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workbookProtection workbookPassword="CAB3" lockStructure="1"/>
  <bookViews>
    <workbookView xWindow="120" yWindow="135" windowWidth="19320" windowHeight="11895"/>
  </bookViews>
  <sheets>
    <sheet name="First" sheetId="85" r:id="rId1"/>
    <sheet name="Second" sheetId="86" r:id="rId2"/>
    <sheet name="Third" sheetId="87" r:id="rId3"/>
    <sheet name="Fourth" sheetId="88" r:id="rId4"/>
    <sheet name="Fifth" sheetId="89" r:id="rId5"/>
    <sheet name="Sixth" sheetId="90" r:id="rId6"/>
    <sheet name="Seventh" sheetId="91" r:id="rId7"/>
    <sheet name="Eighth" sheetId="92" r:id="rId8"/>
    <sheet name="Ninth" sheetId="93" r:id="rId9"/>
    <sheet name="Tenth" sheetId="94" r:id="rId10"/>
    <sheet name="Eleventh" sheetId="95" r:id="rId11"/>
    <sheet name="Twelfth" sheetId="96" r:id="rId12"/>
    <sheet name="Thirteenth" sheetId="97" r:id="rId13"/>
    <sheet name="Fourteenth" sheetId="98" r:id="rId14"/>
    <sheet name="Fifteenth" sheetId="99" r:id="rId15"/>
    <sheet name="Sixteenth" sheetId="100" r:id="rId16"/>
    <sheet name="Seventeenth" sheetId="101" r:id="rId17"/>
    <sheet name="Eighteenth" sheetId="102" r:id="rId18"/>
    <sheet name="Nineteenth" sheetId="103" r:id="rId19"/>
    <sheet name="Twentieth" sheetId="104" r:id="rId20"/>
    <sheet name="Twenty-First" sheetId="105" r:id="rId21"/>
    <sheet name="Twenty-Second" sheetId="106" r:id="rId22"/>
    <sheet name="Twenty-Third" sheetId="107" r:id="rId23"/>
    <sheet name="Twenty-Fourth" sheetId="108" r:id="rId24"/>
    <sheet name="Twenty-Fifth" sheetId="109" r:id="rId25"/>
    <sheet name="Twenty-Sixth" sheetId="110" r:id="rId26"/>
    <sheet name="Twenty-Seventh" sheetId="111" r:id="rId27"/>
    <sheet name="Twenty-Eighth" sheetId="112" r:id="rId28"/>
    <sheet name="Twenty-Ninth" sheetId="113" r:id="rId29"/>
    <sheet name="Thirtieth" sheetId="114" r:id="rId30"/>
    <sheet name="Thirty-First" sheetId="115" r:id="rId31"/>
    <sheet name="Do Not Touch" sheetId="116" r:id="rId32"/>
    <sheet name="Visitor Numbers" sheetId="117" r:id="rId33"/>
    <sheet name="Seen by" sheetId="135" r:id="rId34"/>
    <sheet name="New or Returning" sheetId="118" r:id="rId35"/>
    <sheet name="Gender" sheetId="119" r:id="rId36"/>
    <sheet name="Nature of Visit" sheetId="120" r:id="rId37"/>
    <sheet name="Cancer Site" sheetId="121" r:id="rId38"/>
    <sheet name="Journey Stage" sheetId="122" r:id="rId39"/>
    <sheet name="Cancer site vs Journey Stage" sheetId="139" r:id="rId40"/>
    <sheet name="Activity 1" sheetId="123" r:id="rId41"/>
    <sheet name="Activity 1 Gender" sheetId="124" r:id="rId42"/>
    <sheet name="Activity 1 Seen by" sheetId="125" r:id="rId43"/>
    <sheet name="Activity 2" sheetId="126" r:id="rId44"/>
    <sheet name="Activity 2 Gender" sheetId="127" r:id="rId45"/>
    <sheet name="Activity 2 Seen by" sheetId="128" r:id="rId46"/>
    <sheet name="Activity 3" sheetId="129" r:id="rId47"/>
    <sheet name="Activity 3 Gender" sheetId="130" r:id="rId48"/>
    <sheet name="Activity 3 Seen by" sheetId="131" r:id="rId49"/>
    <sheet name="Psychologist data" sheetId="136" r:id="rId50"/>
    <sheet name="Categories" sheetId="24" r:id="rId51"/>
    <sheet name="Summary" sheetId="132" r:id="rId52"/>
    <sheet name="ASG" sheetId="140" r:id="rId53"/>
  </sheets>
  <definedNames>
    <definedName name="_xlnm._FilterDatabase" localSheetId="31" hidden="1">'Do Not Touch'!$A$1:$K$7751</definedName>
    <definedName name="ValidCancerSite">Categories!$B$117:$B$134</definedName>
    <definedName name="ValidGender">Categories!$B$111:$B$114</definedName>
    <definedName name="ValidPerson">Categories!$B$31:$B$36</definedName>
    <definedName name="ValidProgramme">Categories!$B$39:$B$104</definedName>
    <definedName name="ValidReason">Categories!$B$22:$B$28</definedName>
    <definedName name="ValidSeenby">Categories!$B$147:$B$152</definedName>
    <definedName name="ValidSite">Categories!$B$117:$B$134</definedName>
    <definedName name="ValidStage">Categories!$B$137:$B$144</definedName>
    <definedName name="ValidType">Categories!$B$107:$B$108</definedName>
  </definedNames>
  <calcPr calcId="145621"/>
  <pivotCaches>
    <pivotCache cacheId="27" r:id="rId54"/>
  </pivotCaches>
</workbook>
</file>

<file path=xl/calcChain.xml><?xml version="1.0" encoding="utf-8"?>
<calcChain xmlns="http://schemas.openxmlformats.org/spreadsheetml/2006/main">
  <c r="K7751" i="116" l="1"/>
  <c r="J7751" i="116"/>
  <c r="I7751" i="116"/>
  <c r="H7751" i="116"/>
  <c r="G7751" i="116"/>
  <c r="F7751" i="116"/>
  <c r="E7751" i="116"/>
  <c r="D7751" i="116"/>
  <c r="C7751" i="116"/>
  <c r="B7751" i="116"/>
  <c r="K7750" i="116"/>
  <c r="J7750" i="116"/>
  <c r="I7750" i="116"/>
  <c r="H7750" i="116"/>
  <c r="G7750" i="116"/>
  <c r="F7750" i="116"/>
  <c r="E7750" i="116"/>
  <c r="D7750" i="116"/>
  <c r="C7750" i="116"/>
  <c r="B7750" i="116"/>
  <c r="K7749" i="116"/>
  <c r="J7749" i="116"/>
  <c r="I7749" i="116"/>
  <c r="H7749" i="116"/>
  <c r="G7749" i="116"/>
  <c r="F7749" i="116"/>
  <c r="E7749" i="116"/>
  <c r="D7749" i="116"/>
  <c r="C7749" i="116"/>
  <c r="B7749" i="116"/>
  <c r="K7748" i="116"/>
  <c r="J7748" i="116"/>
  <c r="I7748" i="116"/>
  <c r="H7748" i="116"/>
  <c r="G7748" i="116"/>
  <c r="F7748" i="116"/>
  <c r="E7748" i="116"/>
  <c r="D7748" i="116"/>
  <c r="C7748" i="116"/>
  <c r="B7748" i="116"/>
  <c r="K7747" i="116"/>
  <c r="J7747" i="116"/>
  <c r="I7747" i="116"/>
  <c r="H7747" i="116"/>
  <c r="G7747" i="116"/>
  <c r="F7747" i="116"/>
  <c r="E7747" i="116"/>
  <c r="D7747" i="116"/>
  <c r="C7747" i="116"/>
  <c r="B7747" i="116"/>
  <c r="K7746" i="116"/>
  <c r="J7746" i="116"/>
  <c r="I7746" i="116"/>
  <c r="H7746" i="116"/>
  <c r="G7746" i="116"/>
  <c r="F7746" i="116"/>
  <c r="E7746" i="116"/>
  <c r="D7746" i="116"/>
  <c r="C7746" i="116"/>
  <c r="B7746" i="116"/>
  <c r="K7745" i="116"/>
  <c r="J7745" i="116"/>
  <c r="I7745" i="116"/>
  <c r="H7745" i="116"/>
  <c r="G7745" i="116"/>
  <c r="F7745" i="116"/>
  <c r="E7745" i="116"/>
  <c r="D7745" i="116"/>
  <c r="C7745" i="116"/>
  <c r="B7745" i="116"/>
  <c r="K7744" i="116"/>
  <c r="J7744" i="116"/>
  <c r="I7744" i="116"/>
  <c r="H7744" i="116"/>
  <c r="G7744" i="116"/>
  <c r="F7744" i="116"/>
  <c r="E7744" i="116"/>
  <c r="D7744" i="116"/>
  <c r="C7744" i="116"/>
  <c r="B7744" i="116"/>
  <c r="K7743" i="116"/>
  <c r="J7743" i="116"/>
  <c r="I7743" i="116"/>
  <c r="H7743" i="116"/>
  <c r="G7743" i="116"/>
  <c r="F7743" i="116"/>
  <c r="E7743" i="116"/>
  <c r="D7743" i="116"/>
  <c r="C7743" i="116"/>
  <c r="B7743" i="116"/>
  <c r="K7742" i="116"/>
  <c r="J7742" i="116"/>
  <c r="I7742" i="116"/>
  <c r="H7742" i="116"/>
  <c r="G7742" i="116"/>
  <c r="F7742" i="116"/>
  <c r="E7742" i="116"/>
  <c r="D7742" i="116"/>
  <c r="C7742" i="116"/>
  <c r="B7742" i="116"/>
  <c r="K7741" i="116"/>
  <c r="J7741" i="116"/>
  <c r="I7741" i="116"/>
  <c r="H7741" i="116"/>
  <c r="G7741" i="116"/>
  <c r="F7741" i="116"/>
  <c r="E7741" i="116"/>
  <c r="D7741" i="116"/>
  <c r="C7741" i="116"/>
  <c r="B7741" i="116"/>
  <c r="K7740" i="116"/>
  <c r="J7740" i="116"/>
  <c r="I7740" i="116"/>
  <c r="H7740" i="116"/>
  <c r="G7740" i="116"/>
  <c r="F7740" i="116"/>
  <c r="E7740" i="116"/>
  <c r="D7740" i="116"/>
  <c r="C7740" i="116"/>
  <c r="B7740" i="116"/>
  <c r="K7739" i="116"/>
  <c r="J7739" i="116"/>
  <c r="I7739" i="116"/>
  <c r="H7739" i="116"/>
  <c r="G7739" i="116"/>
  <c r="F7739" i="116"/>
  <c r="E7739" i="116"/>
  <c r="D7739" i="116"/>
  <c r="C7739" i="116"/>
  <c r="B7739" i="116"/>
  <c r="K7738" i="116"/>
  <c r="J7738" i="116"/>
  <c r="I7738" i="116"/>
  <c r="H7738" i="116"/>
  <c r="G7738" i="116"/>
  <c r="F7738" i="116"/>
  <c r="E7738" i="116"/>
  <c r="D7738" i="116"/>
  <c r="C7738" i="116"/>
  <c r="B7738" i="116"/>
  <c r="K7737" i="116"/>
  <c r="J7737" i="116"/>
  <c r="I7737" i="116"/>
  <c r="H7737" i="116"/>
  <c r="G7737" i="116"/>
  <c r="F7737" i="116"/>
  <c r="E7737" i="116"/>
  <c r="D7737" i="116"/>
  <c r="C7737" i="116"/>
  <c r="B7737" i="116"/>
  <c r="K7736" i="116"/>
  <c r="J7736" i="116"/>
  <c r="I7736" i="116"/>
  <c r="H7736" i="116"/>
  <c r="G7736" i="116"/>
  <c r="F7736" i="116"/>
  <c r="E7736" i="116"/>
  <c r="D7736" i="116"/>
  <c r="C7736" i="116"/>
  <c r="B7736" i="116"/>
  <c r="K7735" i="116"/>
  <c r="J7735" i="116"/>
  <c r="I7735" i="116"/>
  <c r="H7735" i="116"/>
  <c r="G7735" i="116"/>
  <c r="F7735" i="116"/>
  <c r="E7735" i="116"/>
  <c r="D7735" i="116"/>
  <c r="C7735" i="116"/>
  <c r="B7735" i="116"/>
  <c r="K7734" i="116"/>
  <c r="J7734" i="116"/>
  <c r="I7734" i="116"/>
  <c r="H7734" i="116"/>
  <c r="G7734" i="116"/>
  <c r="F7734" i="116"/>
  <c r="E7734" i="116"/>
  <c r="D7734" i="116"/>
  <c r="C7734" i="116"/>
  <c r="B7734" i="116"/>
  <c r="K7733" i="116"/>
  <c r="J7733" i="116"/>
  <c r="I7733" i="116"/>
  <c r="H7733" i="116"/>
  <c r="G7733" i="116"/>
  <c r="F7733" i="116"/>
  <c r="E7733" i="116"/>
  <c r="D7733" i="116"/>
  <c r="C7733" i="116"/>
  <c r="B7733" i="116"/>
  <c r="K7732" i="116"/>
  <c r="J7732" i="116"/>
  <c r="I7732" i="116"/>
  <c r="H7732" i="116"/>
  <c r="G7732" i="116"/>
  <c r="F7732" i="116"/>
  <c r="E7732" i="116"/>
  <c r="D7732" i="116"/>
  <c r="C7732" i="116"/>
  <c r="B7732" i="116"/>
  <c r="K7731" i="116"/>
  <c r="J7731" i="116"/>
  <c r="I7731" i="116"/>
  <c r="H7731" i="116"/>
  <c r="G7731" i="116"/>
  <c r="F7731" i="116"/>
  <c r="E7731" i="116"/>
  <c r="D7731" i="116"/>
  <c r="C7731" i="116"/>
  <c r="B7731" i="116"/>
  <c r="K7730" i="116"/>
  <c r="J7730" i="116"/>
  <c r="I7730" i="116"/>
  <c r="H7730" i="116"/>
  <c r="G7730" i="116"/>
  <c r="F7730" i="116"/>
  <c r="E7730" i="116"/>
  <c r="D7730" i="116"/>
  <c r="C7730" i="116"/>
  <c r="B7730" i="116"/>
  <c r="K7729" i="116"/>
  <c r="J7729" i="116"/>
  <c r="I7729" i="116"/>
  <c r="H7729" i="116"/>
  <c r="G7729" i="116"/>
  <c r="F7729" i="116"/>
  <c r="E7729" i="116"/>
  <c r="D7729" i="116"/>
  <c r="C7729" i="116"/>
  <c r="B7729" i="116"/>
  <c r="K7728" i="116"/>
  <c r="J7728" i="116"/>
  <c r="I7728" i="116"/>
  <c r="H7728" i="116"/>
  <c r="G7728" i="116"/>
  <c r="F7728" i="116"/>
  <c r="E7728" i="116"/>
  <c r="D7728" i="116"/>
  <c r="C7728" i="116"/>
  <c r="B7728" i="116"/>
  <c r="K7727" i="116"/>
  <c r="J7727" i="116"/>
  <c r="I7727" i="116"/>
  <c r="H7727" i="116"/>
  <c r="G7727" i="116"/>
  <c r="F7727" i="116"/>
  <c r="E7727" i="116"/>
  <c r="D7727" i="116"/>
  <c r="C7727" i="116"/>
  <c r="B7727" i="116"/>
  <c r="K7726" i="116"/>
  <c r="J7726" i="116"/>
  <c r="I7726" i="116"/>
  <c r="H7726" i="116"/>
  <c r="G7726" i="116"/>
  <c r="F7726" i="116"/>
  <c r="E7726" i="116"/>
  <c r="D7726" i="116"/>
  <c r="C7726" i="116"/>
  <c r="B7726" i="116"/>
  <c r="K7725" i="116"/>
  <c r="J7725" i="116"/>
  <c r="I7725" i="116"/>
  <c r="H7725" i="116"/>
  <c r="G7725" i="116"/>
  <c r="F7725" i="116"/>
  <c r="E7725" i="116"/>
  <c r="D7725" i="116"/>
  <c r="C7725" i="116"/>
  <c r="B7725" i="116"/>
  <c r="K7724" i="116"/>
  <c r="J7724" i="116"/>
  <c r="I7724" i="116"/>
  <c r="H7724" i="116"/>
  <c r="G7724" i="116"/>
  <c r="F7724" i="116"/>
  <c r="E7724" i="116"/>
  <c r="D7724" i="116"/>
  <c r="C7724" i="116"/>
  <c r="B7724" i="116"/>
  <c r="K7723" i="116"/>
  <c r="J7723" i="116"/>
  <c r="I7723" i="116"/>
  <c r="H7723" i="116"/>
  <c r="G7723" i="116"/>
  <c r="F7723" i="116"/>
  <c r="E7723" i="116"/>
  <c r="D7723" i="116"/>
  <c r="C7723" i="116"/>
  <c r="B7723" i="116"/>
  <c r="K7722" i="116"/>
  <c r="J7722" i="116"/>
  <c r="I7722" i="116"/>
  <c r="H7722" i="116"/>
  <c r="G7722" i="116"/>
  <c r="F7722" i="116"/>
  <c r="E7722" i="116"/>
  <c r="D7722" i="116"/>
  <c r="C7722" i="116"/>
  <c r="B7722" i="116"/>
  <c r="K7721" i="116"/>
  <c r="J7721" i="116"/>
  <c r="I7721" i="116"/>
  <c r="H7721" i="116"/>
  <c r="G7721" i="116"/>
  <c r="F7721" i="116"/>
  <c r="E7721" i="116"/>
  <c r="D7721" i="116"/>
  <c r="C7721" i="116"/>
  <c r="B7721" i="116"/>
  <c r="K7720" i="116"/>
  <c r="J7720" i="116"/>
  <c r="I7720" i="116"/>
  <c r="H7720" i="116"/>
  <c r="G7720" i="116"/>
  <c r="F7720" i="116"/>
  <c r="E7720" i="116"/>
  <c r="D7720" i="116"/>
  <c r="C7720" i="116"/>
  <c r="B7720" i="116"/>
  <c r="K7719" i="116"/>
  <c r="J7719" i="116"/>
  <c r="I7719" i="116"/>
  <c r="H7719" i="116"/>
  <c r="G7719" i="116"/>
  <c r="F7719" i="116"/>
  <c r="E7719" i="116"/>
  <c r="D7719" i="116"/>
  <c r="C7719" i="116"/>
  <c r="B7719" i="116"/>
  <c r="K7718" i="116"/>
  <c r="J7718" i="116"/>
  <c r="I7718" i="116"/>
  <c r="H7718" i="116"/>
  <c r="G7718" i="116"/>
  <c r="F7718" i="116"/>
  <c r="E7718" i="116"/>
  <c r="D7718" i="116"/>
  <c r="C7718" i="116"/>
  <c r="B7718" i="116"/>
  <c r="K7717" i="116"/>
  <c r="J7717" i="116"/>
  <c r="I7717" i="116"/>
  <c r="H7717" i="116"/>
  <c r="G7717" i="116"/>
  <c r="F7717" i="116"/>
  <c r="E7717" i="116"/>
  <c r="D7717" i="116"/>
  <c r="C7717" i="116"/>
  <c r="B7717" i="116"/>
  <c r="K7716" i="116"/>
  <c r="J7716" i="116"/>
  <c r="I7716" i="116"/>
  <c r="H7716" i="116"/>
  <c r="G7716" i="116"/>
  <c r="F7716" i="116"/>
  <c r="E7716" i="116"/>
  <c r="D7716" i="116"/>
  <c r="C7716" i="116"/>
  <c r="B7716" i="116"/>
  <c r="K7715" i="116"/>
  <c r="J7715" i="116"/>
  <c r="I7715" i="116"/>
  <c r="H7715" i="116"/>
  <c r="G7715" i="116"/>
  <c r="F7715" i="116"/>
  <c r="E7715" i="116"/>
  <c r="D7715" i="116"/>
  <c r="C7715" i="116"/>
  <c r="B7715" i="116"/>
  <c r="K7714" i="116"/>
  <c r="J7714" i="116"/>
  <c r="I7714" i="116"/>
  <c r="H7714" i="116"/>
  <c r="G7714" i="116"/>
  <c r="F7714" i="116"/>
  <c r="E7714" i="116"/>
  <c r="D7714" i="116"/>
  <c r="C7714" i="116"/>
  <c r="B7714" i="116"/>
  <c r="K7713" i="116"/>
  <c r="J7713" i="116"/>
  <c r="I7713" i="116"/>
  <c r="H7713" i="116"/>
  <c r="G7713" i="116"/>
  <c r="F7713" i="116"/>
  <c r="E7713" i="116"/>
  <c r="D7713" i="116"/>
  <c r="C7713" i="116"/>
  <c r="B7713" i="116"/>
  <c r="K7712" i="116"/>
  <c r="J7712" i="116"/>
  <c r="I7712" i="116"/>
  <c r="H7712" i="116"/>
  <c r="G7712" i="116"/>
  <c r="F7712" i="116"/>
  <c r="E7712" i="116"/>
  <c r="D7712" i="116"/>
  <c r="C7712" i="116"/>
  <c r="B7712" i="116"/>
  <c r="K7711" i="116"/>
  <c r="J7711" i="116"/>
  <c r="I7711" i="116"/>
  <c r="H7711" i="116"/>
  <c r="G7711" i="116"/>
  <c r="F7711" i="116"/>
  <c r="E7711" i="116"/>
  <c r="D7711" i="116"/>
  <c r="C7711" i="116"/>
  <c r="B7711" i="116"/>
  <c r="K7710" i="116"/>
  <c r="J7710" i="116"/>
  <c r="I7710" i="116"/>
  <c r="H7710" i="116"/>
  <c r="G7710" i="116"/>
  <c r="F7710" i="116"/>
  <c r="E7710" i="116"/>
  <c r="D7710" i="116"/>
  <c r="C7710" i="116"/>
  <c r="B7710" i="116"/>
  <c r="K7709" i="116"/>
  <c r="J7709" i="116"/>
  <c r="I7709" i="116"/>
  <c r="H7709" i="116"/>
  <c r="G7709" i="116"/>
  <c r="F7709" i="116"/>
  <c r="E7709" i="116"/>
  <c r="D7709" i="116"/>
  <c r="C7709" i="116"/>
  <c r="B7709" i="116"/>
  <c r="K7708" i="116"/>
  <c r="J7708" i="116"/>
  <c r="I7708" i="116"/>
  <c r="H7708" i="116"/>
  <c r="G7708" i="116"/>
  <c r="F7708" i="116"/>
  <c r="E7708" i="116"/>
  <c r="D7708" i="116"/>
  <c r="C7708" i="116"/>
  <c r="B7708" i="116"/>
  <c r="K7707" i="116"/>
  <c r="J7707" i="116"/>
  <c r="I7707" i="116"/>
  <c r="H7707" i="116"/>
  <c r="G7707" i="116"/>
  <c r="F7707" i="116"/>
  <c r="E7707" i="116"/>
  <c r="D7707" i="116"/>
  <c r="C7707" i="116"/>
  <c r="B7707" i="116"/>
  <c r="K7706" i="116"/>
  <c r="J7706" i="116"/>
  <c r="I7706" i="116"/>
  <c r="H7706" i="116"/>
  <c r="G7706" i="116"/>
  <c r="F7706" i="116"/>
  <c r="E7706" i="116"/>
  <c r="D7706" i="116"/>
  <c r="C7706" i="116"/>
  <c r="B7706" i="116"/>
  <c r="K7705" i="116"/>
  <c r="J7705" i="116"/>
  <c r="I7705" i="116"/>
  <c r="H7705" i="116"/>
  <c r="G7705" i="116"/>
  <c r="F7705" i="116"/>
  <c r="E7705" i="116"/>
  <c r="D7705" i="116"/>
  <c r="C7705" i="116"/>
  <c r="B7705" i="116"/>
  <c r="K7704" i="116"/>
  <c r="J7704" i="116"/>
  <c r="I7704" i="116"/>
  <c r="H7704" i="116"/>
  <c r="G7704" i="116"/>
  <c r="F7704" i="116"/>
  <c r="E7704" i="116"/>
  <c r="D7704" i="116"/>
  <c r="C7704" i="116"/>
  <c r="B7704" i="116"/>
  <c r="K7703" i="116"/>
  <c r="J7703" i="116"/>
  <c r="I7703" i="116"/>
  <c r="H7703" i="116"/>
  <c r="G7703" i="116"/>
  <c r="F7703" i="116"/>
  <c r="E7703" i="116"/>
  <c r="D7703" i="116"/>
  <c r="C7703" i="116"/>
  <c r="B7703" i="116"/>
  <c r="K7702" i="116"/>
  <c r="J7702" i="116"/>
  <c r="I7702" i="116"/>
  <c r="H7702" i="116"/>
  <c r="G7702" i="116"/>
  <c r="F7702" i="116"/>
  <c r="E7702" i="116"/>
  <c r="D7702" i="116"/>
  <c r="C7702" i="116"/>
  <c r="B7702" i="116"/>
  <c r="K7701" i="116"/>
  <c r="J7701" i="116"/>
  <c r="I7701" i="116"/>
  <c r="H7701" i="116"/>
  <c r="G7701" i="116"/>
  <c r="F7701" i="116"/>
  <c r="E7701" i="116"/>
  <c r="D7701" i="116"/>
  <c r="C7701" i="116"/>
  <c r="B7701" i="116"/>
  <c r="K7700" i="116"/>
  <c r="J7700" i="116"/>
  <c r="I7700" i="116"/>
  <c r="H7700" i="116"/>
  <c r="G7700" i="116"/>
  <c r="F7700" i="116"/>
  <c r="E7700" i="116"/>
  <c r="D7700" i="116"/>
  <c r="C7700" i="116"/>
  <c r="B7700" i="116"/>
  <c r="K7699" i="116"/>
  <c r="J7699" i="116"/>
  <c r="I7699" i="116"/>
  <c r="H7699" i="116"/>
  <c r="G7699" i="116"/>
  <c r="F7699" i="116"/>
  <c r="E7699" i="116"/>
  <c r="D7699" i="116"/>
  <c r="C7699" i="116"/>
  <c r="B7699" i="116"/>
  <c r="K7698" i="116"/>
  <c r="J7698" i="116"/>
  <c r="I7698" i="116"/>
  <c r="H7698" i="116"/>
  <c r="G7698" i="116"/>
  <c r="F7698" i="116"/>
  <c r="E7698" i="116"/>
  <c r="D7698" i="116"/>
  <c r="C7698" i="116"/>
  <c r="B7698" i="116"/>
  <c r="K7697" i="116"/>
  <c r="J7697" i="116"/>
  <c r="I7697" i="116"/>
  <c r="H7697" i="116"/>
  <c r="G7697" i="116"/>
  <c r="F7697" i="116"/>
  <c r="E7697" i="116"/>
  <c r="D7697" i="116"/>
  <c r="C7697" i="116"/>
  <c r="B7697" i="116"/>
  <c r="K7696" i="116"/>
  <c r="J7696" i="116"/>
  <c r="I7696" i="116"/>
  <c r="H7696" i="116"/>
  <c r="G7696" i="116"/>
  <c r="F7696" i="116"/>
  <c r="E7696" i="116"/>
  <c r="D7696" i="116"/>
  <c r="C7696" i="116"/>
  <c r="B7696" i="116"/>
  <c r="K7695" i="116"/>
  <c r="J7695" i="116"/>
  <c r="I7695" i="116"/>
  <c r="H7695" i="116"/>
  <c r="G7695" i="116"/>
  <c r="F7695" i="116"/>
  <c r="E7695" i="116"/>
  <c r="D7695" i="116"/>
  <c r="C7695" i="116"/>
  <c r="B7695" i="116"/>
  <c r="K7694" i="116"/>
  <c r="J7694" i="116"/>
  <c r="I7694" i="116"/>
  <c r="H7694" i="116"/>
  <c r="G7694" i="116"/>
  <c r="F7694" i="116"/>
  <c r="E7694" i="116"/>
  <c r="D7694" i="116"/>
  <c r="C7694" i="116"/>
  <c r="B7694" i="116"/>
  <c r="K7693" i="116"/>
  <c r="J7693" i="116"/>
  <c r="I7693" i="116"/>
  <c r="H7693" i="116"/>
  <c r="G7693" i="116"/>
  <c r="F7693" i="116"/>
  <c r="E7693" i="116"/>
  <c r="D7693" i="116"/>
  <c r="C7693" i="116"/>
  <c r="B7693" i="116"/>
  <c r="K7692" i="116"/>
  <c r="J7692" i="116"/>
  <c r="I7692" i="116"/>
  <c r="H7692" i="116"/>
  <c r="G7692" i="116"/>
  <c r="F7692" i="116"/>
  <c r="E7692" i="116"/>
  <c r="D7692" i="116"/>
  <c r="C7692" i="116"/>
  <c r="B7692" i="116"/>
  <c r="K7691" i="116"/>
  <c r="J7691" i="116"/>
  <c r="I7691" i="116"/>
  <c r="H7691" i="116"/>
  <c r="G7691" i="116"/>
  <c r="F7691" i="116"/>
  <c r="E7691" i="116"/>
  <c r="D7691" i="116"/>
  <c r="C7691" i="116"/>
  <c r="B7691" i="116"/>
  <c r="K7690" i="116"/>
  <c r="J7690" i="116"/>
  <c r="I7690" i="116"/>
  <c r="H7690" i="116"/>
  <c r="G7690" i="116"/>
  <c r="F7690" i="116"/>
  <c r="E7690" i="116"/>
  <c r="D7690" i="116"/>
  <c r="C7690" i="116"/>
  <c r="B7690" i="116"/>
  <c r="K7689" i="116"/>
  <c r="J7689" i="116"/>
  <c r="I7689" i="116"/>
  <c r="H7689" i="116"/>
  <c r="G7689" i="116"/>
  <c r="F7689" i="116"/>
  <c r="E7689" i="116"/>
  <c r="D7689" i="116"/>
  <c r="C7689" i="116"/>
  <c r="B7689" i="116"/>
  <c r="K7688" i="116"/>
  <c r="J7688" i="116"/>
  <c r="I7688" i="116"/>
  <c r="H7688" i="116"/>
  <c r="G7688" i="116"/>
  <c r="F7688" i="116"/>
  <c r="E7688" i="116"/>
  <c r="D7688" i="116"/>
  <c r="C7688" i="116"/>
  <c r="B7688" i="116"/>
  <c r="K7687" i="116"/>
  <c r="J7687" i="116"/>
  <c r="I7687" i="116"/>
  <c r="H7687" i="116"/>
  <c r="G7687" i="116"/>
  <c r="F7687" i="116"/>
  <c r="E7687" i="116"/>
  <c r="D7687" i="116"/>
  <c r="C7687" i="116"/>
  <c r="B7687" i="116"/>
  <c r="K7686" i="116"/>
  <c r="J7686" i="116"/>
  <c r="I7686" i="116"/>
  <c r="H7686" i="116"/>
  <c r="G7686" i="116"/>
  <c r="F7686" i="116"/>
  <c r="E7686" i="116"/>
  <c r="D7686" i="116"/>
  <c r="C7686" i="116"/>
  <c r="B7686" i="116"/>
  <c r="K7685" i="116"/>
  <c r="J7685" i="116"/>
  <c r="I7685" i="116"/>
  <c r="H7685" i="116"/>
  <c r="G7685" i="116"/>
  <c r="F7685" i="116"/>
  <c r="E7685" i="116"/>
  <c r="D7685" i="116"/>
  <c r="C7685" i="116"/>
  <c r="B7685" i="116"/>
  <c r="K7684" i="116"/>
  <c r="J7684" i="116"/>
  <c r="I7684" i="116"/>
  <c r="H7684" i="116"/>
  <c r="G7684" i="116"/>
  <c r="F7684" i="116"/>
  <c r="E7684" i="116"/>
  <c r="D7684" i="116"/>
  <c r="C7684" i="116"/>
  <c r="B7684" i="116"/>
  <c r="K7683" i="116"/>
  <c r="J7683" i="116"/>
  <c r="I7683" i="116"/>
  <c r="H7683" i="116"/>
  <c r="G7683" i="116"/>
  <c r="F7683" i="116"/>
  <c r="E7683" i="116"/>
  <c r="D7683" i="116"/>
  <c r="C7683" i="116"/>
  <c r="B7683" i="116"/>
  <c r="K7682" i="116"/>
  <c r="J7682" i="116"/>
  <c r="I7682" i="116"/>
  <c r="H7682" i="116"/>
  <c r="G7682" i="116"/>
  <c r="F7682" i="116"/>
  <c r="E7682" i="116"/>
  <c r="D7682" i="116"/>
  <c r="C7682" i="116"/>
  <c r="B7682" i="116"/>
  <c r="K7681" i="116"/>
  <c r="J7681" i="116"/>
  <c r="I7681" i="116"/>
  <c r="H7681" i="116"/>
  <c r="G7681" i="116"/>
  <c r="F7681" i="116"/>
  <c r="E7681" i="116"/>
  <c r="D7681" i="116"/>
  <c r="C7681" i="116"/>
  <c r="B7681" i="116"/>
  <c r="K7680" i="116"/>
  <c r="J7680" i="116"/>
  <c r="I7680" i="116"/>
  <c r="H7680" i="116"/>
  <c r="G7680" i="116"/>
  <c r="F7680" i="116"/>
  <c r="E7680" i="116"/>
  <c r="D7680" i="116"/>
  <c r="C7680" i="116"/>
  <c r="B7680" i="116"/>
  <c r="K7679" i="116"/>
  <c r="J7679" i="116"/>
  <c r="I7679" i="116"/>
  <c r="H7679" i="116"/>
  <c r="G7679" i="116"/>
  <c r="F7679" i="116"/>
  <c r="E7679" i="116"/>
  <c r="D7679" i="116"/>
  <c r="C7679" i="116"/>
  <c r="B7679" i="116"/>
  <c r="K7678" i="116"/>
  <c r="J7678" i="116"/>
  <c r="I7678" i="116"/>
  <c r="H7678" i="116"/>
  <c r="G7678" i="116"/>
  <c r="F7678" i="116"/>
  <c r="E7678" i="116"/>
  <c r="D7678" i="116"/>
  <c r="C7678" i="116"/>
  <c r="B7678" i="116"/>
  <c r="K7677" i="116"/>
  <c r="J7677" i="116"/>
  <c r="I7677" i="116"/>
  <c r="H7677" i="116"/>
  <c r="G7677" i="116"/>
  <c r="F7677" i="116"/>
  <c r="E7677" i="116"/>
  <c r="D7677" i="116"/>
  <c r="C7677" i="116"/>
  <c r="B7677" i="116"/>
  <c r="K7676" i="116"/>
  <c r="J7676" i="116"/>
  <c r="I7676" i="116"/>
  <c r="H7676" i="116"/>
  <c r="G7676" i="116"/>
  <c r="F7676" i="116"/>
  <c r="E7676" i="116"/>
  <c r="D7676" i="116"/>
  <c r="C7676" i="116"/>
  <c r="B7676" i="116"/>
  <c r="K7675" i="116"/>
  <c r="J7675" i="116"/>
  <c r="I7675" i="116"/>
  <c r="H7675" i="116"/>
  <c r="G7675" i="116"/>
  <c r="F7675" i="116"/>
  <c r="E7675" i="116"/>
  <c r="D7675" i="116"/>
  <c r="C7675" i="116"/>
  <c r="B7675" i="116"/>
  <c r="K7674" i="116"/>
  <c r="J7674" i="116"/>
  <c r="I7674" i="116"/>
  <c r="H7674" i="116"/>
  <c r="G7674" i="116"/>
  <c r="F7674" i="116"/>
  <c r="E7674" i="116"/>
  <c r="D7674" i="116"/>
  <c r="C7674" i="116"/>
  <c r="B7674" i="116"/>
  <c r="K7673" i="116"/>
  <c r="J7673" i="116"/>
  <c r="I7673" i="116"/>
  <c r="H7673" i="116"/>
  <c r="G7673" i="116"/>
  <c r="F7673" i="116"/>
  <c r="E7673" i="116"/>
  <c r="D7673" i="116"/>
  <c r="C7673" i="116"/>
  <c r="B7673" i="116"/>
  <c r="K7672" i="116"/>
  <c r="J7672" i="116"/>
  <c r="I7672" i="116"/>
  <c r="H7672" i="116"/>
  <c r="G7672" i="116"/>
  <c r="F7672" i="116"/>
  <c r="E7672" i="116"/>
  <c r="D7672" i="116"/>
  <c r="C7672" i="116"/>
  <c r="B7672" i="116"/>
  <c r="K7671" i="116"/>
  <c r="J7671" i="116"/>
  <c r="I7671" i="116"/>
  <c r="H7671" i="116"/>
  <c r="G7671" i="116"/>
  <c r="F7671" i="116"/>
  <c r="E7671" i="116"/>
  <c r="D7671" i="116"/>
  <c r="C7671" i="116"/>
  <c r="B7671" i="116"/>
  <c r="K7670" i="116"/>
  <c r="J7670" i="116"/>
  <c r="I7670" i="116"/>
  <c r="H7670" i="116"/>
  <c r="G7670" i="116"/>
  <c r="F7670" i="116"/>
  <c r="E7670" i="116"/>
  <c r="D7670" i="116"/>
  <c r="C7670" i="116"/>
  <c r="B7670" i="116"/>
  <c r="K7669" i="116"/>
  <c r="J7669" i="116"/>
  <c r="I7669" i="116"/>
  <c r="H7669" i="116"/>
  <c r="G7669" i="116"/>
  <c r="F7669" i="116"/>
  <c r="E7669" i="116"/>
  <c r="D7669" i="116"/>
  <c r="C7669" i="116"/>
  <c r="B7669" i="116"/>
  <c r="K7668" i="116"/>
  <c r="J7668" i="116"/>
  <c r="I7668" i="116"/>
  <c r="H7668" i="116"/>
  <c r="G7668" i="116"/>
  <c r="F7668" i="116"/>
  <c r="E7668" i="116"/>
  <c r="D7668" i="116"/>
  <c r="C7668" i="116"/>
  <c r="B7668" i="116"/>
  <c r="K7667" i="116"/>
  <c r="J7667" i="116"/>
  <c r="I7667" i="116"/>
  <c r="H7667" i="116"/>
  <c r="G7667" i="116"/>
  <c r="F7667" i="116"/>
  <c r="E7667" i="116"/>
  <c r="D7667" i="116"/>
  <c r="C7667" i="116"/>
  <c r="B7667" i="116"/>
  <c r="K7666" i="116"/>
  <c r="J7666" i="116"/>
  <c r="I7666" i="116"/>
  <c r="H7666" i="116"/>
  <c r="G7666" i="116"/>
  <c r="F7666" i="116"/>
  <c r="E7666" i="116"/>
  <c r="D7666" i="116"/>
  <c r="C7666" i="116"/>
  <c r="B7666" i="116"/>
  <c r="K7665" i="116"/>
  <c r="J7665" i="116"/>
  <c r="I7665" i="116"/>
  <c r="H7665" i="116"/>
  <c r="G7665" i="116"/>
  <c r="F7665" i="116"/>
  <c r="E7665" i="116"/>
  <c r="D7665" i="116"/>
  <c r="C7665" i="116"/>
  <c r="B7665" i="116"/>
  <c r="K7664" i="116"/>
  <c r="J7664" i="116"/>
  <c r="I7664" i="116"/>
  <c r="H7664" i="116"/>
  <c r="G7664" i="116"/>
  <c r="F7664" i="116"/>
  <c r="E7664" i="116"/>
  <c r="D7664" i="116"/>
  <c r="C7664" i="116"/>
  <c r="B7664" i="116"/>
  <c r="K7663" i="116"/>
  <c r="J7663" i="116"/>
  <c r="I7663" i="116"/>
  <c r="H7663" i="116"/>
  <c r="G7663" i="116"/>
  <c r="F7663" i="116"/>
  <c r="E7663" i="116"/>
  <c r="D7663" i="116"/>
  <c r="C7663" i="116"/>
  <c r="B7663" i="116"/>
  <c r="K7662" i="116"/>
  <c r="J7662" i="116"/>
  <c r="I7662" i="116"/>
  <c r="H7662" i="116"/>
  <c r="G7662" i="116"/>
  <c r="F7662" i="116"/>
  <c r="E7662" i="116"/>
  <c r="D7662" i="116"/>
  <c r="C7662" i="116"/>
  <c r="B7662" i="116"/>
  <c r="K7661" i="116"/>
  <c r="J7661" i="116"/>
  <c r="I7661" i="116"/>
  <c r="H7661" i="116"/>
  <c r="G7661" i="116"/>
  <c r="F7661" i="116"/>
  <c r="E7661" i="116"/>
  <c r="D7661" i="116"/>
  <c r="C7661" i="116"/>
  <c r="B7661" i="116"/>
  <c r="K7660" i="116"/>
  <c r="J7660" i="116"/>
  <c r="I7660" i="116"/>
  <c r="H7660" i="116"/>
  <c r="G7660" i="116"/>
  <c r="F7660" i="116"/>
  <c r="E7660" i="116"/>
  <c r="D7660" i="116"/>
  <c r="C7660" i="116"/>
  <c r="B7660" i="116"/>
  <c r="K7659" i="116"/>
  <c r="J7659" i="116"/>
  <c r="I7659" i="116"/>
  <c r="H7659" i="116"/>
  <c r="G7659" i="116"/>
  <c r="F7659" i="116"/>
  <c r="E7659" i="116"/>
  <c r="D7659" i="116"/>
  <c r="C7659" i="116"/>
  <c r="B7659" i="116"/>
  <c r="K7658" i="116"/>
  <c r="J7658" i="116"/>
  <c r="I7658" i="116"/>
  <c r="H7658" i="116"/>
  <c r="G7658" i="116"/>
  <c r="F7658" i="116"/>
  <c r="E7658" i="116"/>
  <c r="D7658" i="116"/>
  <c r="C7658" i="116"/>
  <c r="B7658" i="116"/>
  <c r="K7657" i="116"/>
  <c r="J7657" i="116"/>
  <c r="I7657" i="116"/>
  <c r="H7657" i="116"/>
  <c r="G7657" i="116"/>
  <c r="F7657" i="116"/>
  <c r="E7657" i="116"/>
  <c r="D7657" i="116"/>
  <c r="C7657" i="116"/>
  <c r="B7657" i="116"/>
  <c r="K7656" i="116"/>
  <c r="J7656" i="116"/>
  <c r="I7656" i="116"/>
  <c r="H7656" i="116"/>
  <c r="G7656" i="116"/>
  <c r="F7656" i="116"/>
  <c r="E7656" i="116"/>
  <c r="D7656" i="116"/>
  <c r="C7656" i="116"/>
  <c r="B7656" i="116"/>
  <c r="K7655" i="116"/>
  <c r="J7655" i="116"/>
  <c r="I7655" i="116"/>
  <c r="H7655" i="116"/>
  <c r="G7655" i="116"/>
  <c r="F7655" i="116"/>
  <c r="E7655" i="116"/>
  <c r="D7655" i="116"/>
  <c r="C7655" i="116"/>
  <c r="B7655" i="116"/>
  <c r="K7654" i="116"/>
  <c r="J7654" i="116"/>
  <c r="I7654" i="116"/>
  <c r="H7654" i="116"/>
  <c r="G7654" i="116"/>
  <c r="F7654" i="116"/>
  <c r="E7654" i="116"/>
  <c r="D7654" i="116"/>
  <c r="C7654" i="116"/>
  <c r="B7654" i="116"/>
  <c r="K7653" i="116"/>
  <c r="J7653" i="116"/>
  <c r="I7653" i="116"/>
  <c r="H7653" i="116"/>
  <c r="G7653" i="116"/>
  <c r="F7653" i="116"/>
  <c r="E7653" i="116"/>
  <c r="D7653" i="116"/>
  <c r="C7653" i="116"/>
  <c r="B7653" i="116"/>
  <c r="K7652" i="116"/>
  <c r="J7652" i="116"/>
  <c r="I7652" i="116"/>
  <c r="H7652" i="116"/>
  <c r="G7652" i="116"/>
  <c r="F7652" i="116"/>
  <c r="E7652" i="116"/>
  <c r="D7652" i="116"/>
  <c r="C7652" i="116"/>
  <c r="B7652" i="116"/>
  <c r="K7651" i="116"/>
  <c r="J7651" i="116"/>
  <c r="I7651" i="116"/>
  <c r="H7651" i="116"/>
  <c r="G7651" i="116"/>
  <c r="F7651" i="116"/>
  <c r="E7651" i="116"/>
  <c r="D7651" i="116"/>
  <c r="C7651" i="116"/>
  <c r="B7651" i="116"/>
  <c r="K7650" i="116"/>
  <c r="J7650" i="116"/>
  <c r="I7650" i="116"/>
  <c r="H7650" i="116"/>
  <c r="G7650" i="116"/>
  <c r="F7650" i="116"/>
  <c r="E7650" i="116"/>
  <c r="D7650" i="116"/>
  <c r="C7650" i="116"/>
  <c r="B7650" i="116"/>
  <c r="K7649" i="116"/>
  <c r="J7649" i="116"/>
  <c r="I7649" i="116"/>
  <c r="H7649" i="116"/>
  <c r="G7649" i="116"/>
  <c r="F7649" i="116"/>
  <c r="E7649" i="116"/>
  <c r="D7649" i="116"/>
  <c r="C7649" i="116"/>
  <c r="B7649" i="116"/>
  <c r="K7648" i="116"/>
  <c r="J7648" i="116"/>
  <c r="I7648" i="116"/>
  <c r="H7648" i="116"/>
  <c r="G7648" i="116"/>
  <c r="F7648" i="116"/>
  <c r="E7648" i="116"/>
  <c r="D7648" i="116"/>
  <c r="C7648" i="116"/>
  <c r="B7648" i="116"/>
  <c r="K7647" i="116"/>
  <c r="J7647" i="116"/>
  <c r="I7647" i="116"/>
  <c r="H7647" i="116"/>
  <c r="G7647" i="116"/>
  <c r="F7647" i="116"/>
  <c r="E7647" i="116"/>
  <c r="D7647" i="116"/>
  <c r="C7647" i="116"/>
  <c r="B7647" i="116"/>
  <c r="K7646" i="116"/>
  <c r="J7646" i="116"/>
  <c r="I7646" i="116"/>
  <c r="H7646" i="116"/>
  <c r="G7646" i="116"/>
  <c r="F7646" i="116"/>
  <c r="E7646" i="116"/>
  <c r="D7646" i="116"/>
  <c r="C7646" i="116"/>
  <c r="B7646" i="116"/>
  <c r="K7645" i="116"/>
  <c r="J7645" i="116"/>
  <c r="I7645" i="116"/>
  <c r="H7645" i="116"/>
  <c r="G7645" i="116"/>
  <c r="F7645" i="116"/>
  <c r="E7645" i="116"/>
  <c r="D7645" i="116"/>
  <c r="C7645" i="116"/>
  <c r="B7645" i="116"/>
  <c r="K7644" i="116"/>
  <c r="J7644" i="116"/>
  <c r="I7644" i="116"/>
  <c r="H7644" i="116"/>
  <c r="G7644" i="116"/>
  <c r="F7644" i="116"/>
  <c r="E7644" i="116"/>
  <c r="D7644" i="116"/>
  <c r="C7644" i="116"/>
  <c r="B7644" i="116"/>
  <c r="K7643" i="116"/>
  <c r="J7643" i="116"/>
  <c r="I7643" i="116"/>
  <c r="H7643" i="116"/>
  <c r="G7643" i="116"/>
  <c r="F7643" i="116"/>
  <c r="E7643" i="116"/>
  <c r="D7643" i="116"/>
  <c r="C7643" i="116"/>
  <c r="B7643" i="116"/>
  <c r="K7642" i="116"/>
  <c r="J7642" i="116"/>
  <c r="I7642" i="116"/>
  <c r="H7642" i="116"/>
  <c r="G7642" i="116"/>
  <c r="F7642" i="116"/>
  <c r="E7642" i="116"/>
  <c r="D7642" i="116"/>
  <c r="C7642" i="116"/>
  <c r="B7642" i="116"/>
  <c r="K7641" i="116"/>
  <c r="J7641" i="116"/>
  <c r="I7641" i="116"/>
  <c r="H7641" i="116"/>
  <c r="G7641" i="116"/>
  <c r="F7641" i="116"/>
  <c r="E7641" i="116"/>
  <c r="D7641" i="116"/>
  <c r="C7641" i="116"/>
  <c r="B7641" i="116"/>
  <c r="K7640" i="116"/>
  <c r="J7640" i="116"/>
  <c r="I7640" i="116"/>
  <c r="H7640" i="116"/>
  <c r="G7640" i="116"/>
  <c r="F7640" i="116"/>
  <c r="E7640" i="116"/>
  <c r="D7640" i="116"/>
  <c r="C7640" i="116"/>
  <c r="B7640" i="116"/>
  <c r="K7639" i="116"/>
  <c r="J7639" i="116"/>
  <c r="I7639" i="116"/>
  <c r="H7639" i="116"/>
  <c r="G7639" i="116"/>
  <c r="F7639" i="116"/>
  <c r="E7639" i="116"/>
  <c r="D7639" i="116"/>
  <c r="C7639" i="116"/>
  <c r="B7639" i="116"/>
  <c r="K7638" i="116"/>
  <c r="J7638" i="116"/>
  <c r="I7638" i="116"/>
  <c r="H7638" i="116"/>
  <c r="G7638" i="116"/>
  <c r="F7638" i="116"/>
  <c r="E7638" i="116"/>
  <c r="D7638" i="116"/>
  <c r="C7638" i="116"/>
  <c r="B7638" i="116"/>
  <c r="K7637" i="116"/>
  <c r="J7637" i="116"/>
  <c r="I7637" i="116"/>
  <c r="H7637" i="116"/>
  <c r="G7637" i="116"/>
  <c r="F7637" i="116"/>
  <c r="E7637" i="116"/>
  <c r="D7637" i="116"/>
  <c r="C7637" i="116"/>
  <c r="B7637" i="116"/>
  <c r="K7636" i="116"/>
  <c r="J7636" i="116"/>
  <c r="I7636" i="116"/>
  <c r="H7636" i="116"/>
  <c r="G7636" i="116"/>
  <c r="F7636" i="116"/>
  <c r="E7636" i="116"/>
  <c r="D7636" i="116"/>
  <c r="C7636" i="116"/>
  <c r="B7636" i="116"/>
  <c r="K7635" i="116"/>
  <c r="J7635" i="116"/>
  <c r="I7635" i="116"/>
  <c r="H7635" i="116"/>
  <c r="G7635" i="116"/>
  <c r="F7635" i="116"/>
  <c r="E7635" i="116"/>
  <c r="D7635" i="116"/>
  <c r="C7635" i="116"/>
  <c r="B7635" i="116"/>
  <c r="K7634" i="116"/>
  <c r="J7634" i="116"/>
  <c r="I7634" i="116"/>
  <c r="H7634" i="116"/>
  <c r="G7634" i="116"/>
  <c r="F7634" i="116"/>
  <c r="E7634" i="116"/>
  <c r="D7634" i="116"/>
  <c r="C7634" i="116"/>
  <c r="B7634" i="116"/>
  <c r="K7633" i="116"/>
  <c r="J7633" i="116"/>
  <c r="I7633" i="116"/>
  <c r="H7633" i="116"/>
  <c r="G7633" i="116"/>
  <c r="F7633" i="116"/>
  <c r="E7633" i="116"/>
  <c r="D7633" i="116"/>
  <c r="C7633" i="116"/>
  <c r="B7633" i="116"/>
  <c r="K7632" i="116"/>
  <c r="J7632" i="116"/>
  <c r="I7632" i="116"/>
  <c r="H7632" i="116"/>
  <c r="G7632" i="116"/>
  <c r="F7632" i="116"/>
  <c r="E7632" i="116"/>
  <c r="D7632" i="116"/>
  <c r="C7632" i="116"/>
  <c r="B7632" i="116"/>
  <c r="K7631" i="116"/>
  <c r="J7631" i="116"/>
  <c r="I7631" i="116"/>
  <c r="H7631" i="116"/>
  <c r="G7631" i="116"/>
  <c r="F7631" i="116"/>
  <c r="E7631" i="116"/>
  <c r="D7631" i="116"/>
  <c r="C7631" i="116"/>
  <c r="B7631" i="116"/>
  <c r="K7630" i="116"/>
  <c r="J7630" i="116"/>
  <c r="I7630" i="116"/>
  <c r="H7630" i="116"/>
  <c r="G7630" i="116"/>
  <c r="F7630" i="116"/>
  <c r="E7630" i="116"/>
  <c r="D7630" i="116"/>
  <c r="C7630" i="116"/>
  <c r="B7630" i="116"/>
  <c r="K7629" i="116"/>
  <c r="J7629" i="116"/>
  <c r="I7629" i="116"/>
  <c r="H7629" i="116"/>
  <c r="G7629" i="116"/>
  <c r="F7629" i="116"/>
  <c r="E7629" i="116"/>
  <c r="D7629" i="116"/>
  <c r="C7629" i="116"/>
  <c r="B7629" i="116"/>
  <c r="K7628" i="116"/>
  <c r="J7628" i="116"/>
  <c r="I7628" i="116"/>
  <c r="H7628" i="116"/>
  <c r="G7628" i="116"/>
  <c r="F7628" i="116"/>
  <c r="E7628" i="116"/>
  <c r="D7628" i="116"/>
  <c r="C7628" i="116"/>
  <c r="B7628" i="116"/>
  <c r="K7627" i="116"/>
  <c r="J7627" i="116"/>
  <c r="I7627" i="116"/>
  <c r="H7627" i="116"/>
  <c r="G7627" i="116"/>
  <c r="F7627" i="116"/>
  <c r="E7627" i="116"/>
  <c r="D7627" i="116"/>
  <c r="C7627" i="116"/>
  <c r="B7627" i="116"/>
  <c r="K7626" i="116"/>
  <c r="J7626" i="116"/>
  <c r="I7626" i="116"/>
  <c r="H7626" i="116"/>
  <c r="G7626" i="116"/>
  <c r="F7626" i="116"/>
  <c r="E7626" i="116"/>
  <c r="D7626" i="116"/>
  <c r="C7626" i="116"/>
  <c r="B7626" i="116"/>
  <c r="K7625" i="116"/>
  <c r="J7625" i="116"/>
  <c r="I7625" i="116"/>
  <c r="H7625" i="116"/>
  <c r="G7625" i="116"/>
  <c r="F7625" i="116"/>
  <c r="E7625" i="116"/>
  <c r="D7625" i="116"/>
  <c r="C7625" i="116"/>
  <c r="B7625" i="116"/>
  <c r="K7624" i="116"/>
  <c r="J7624" i="116"/>
  <c r="I7624" i="116"/>
  <c r="H7624" i="116"/>
  <c r="G7624" i="116"/>
  <c r="F7624" i="116"/>
  <c r="E7624" i="116"/>
  <c r="D7624" i="116"/>
  <c r="C7624" i="116"/>
  <c r="B7624" i="116"/>
  <c r="K7623" i="116"/>
  <c r="J7623" i="116"/>
  <c r="I7623" i="116"/>
  <c r="H7623" i="116"/>
  <c r="G7623" i="116"/>
  <c r="F7623" i="116"/>
  <c r="E7623" i="116"/>
  <c r="D7623" i="116"/>
  <c r="C7623" i="116"/>
  <c r="B7623" i="116"/>
  <c r="K7622" i="116"/>
  <c r="J7622" i="116"/>
  <c r="I7622" i="116"/>
  <c r="H7622" i="116"/>
  <c r="G7622" i="116"/>
  <c r="F7622" i="116"/>
  <c r="E7622" i="116"/>
  <c r="D7622" i="116"/>
  <c r="C7622" i="116"/>
  <c r="B7622" i="116"/>
  <c r="K7621" i="116"/>
  <c r="J7621" i="116"/>
  <c r="I7621" i="116"/>
  <c r="H7621" i="116"/>
  <c r="G7621" i="116"/>
  <c r="F7621" i="116"/>
  <c r="E7621" i="116"/>
  <c r="D7621" i="116"/>
  <c r="C7621" i="116"/>
  <c r="B7621" i="116"/>
  <c r="K7620" i="116"/>
  <c r="J7620" i="116"/>
  <c r="I7620" i="116"/>
  <c r="H7620" i="116"/>
  <c r="G7620" i="116"/>
  <c r="F7620" i="116"/>
  <c r="E7620" i="116"/>
  <c r="D7620" i="116"/>
  <c r="C7620" i="116"/>
  <c r="B7620" i="116"/>
  <c r="K7619" i="116"/>
  <c r="J7619" i="116"/>
  <c r="I7619" i="116"/>
  <c r="H7619" i="116"/>
  <c r="G7619" i="116"/>
  <c r="F7619" i="116"/>
  <c r="E7619" i="116"/>
  <c r="D7619" i="116"/>
  <c r="C7619" i="116"/>
  <c r="B7619" i="116"/>
  <c r="K7618" i="116"/>
  <c r="J7618" i="116"/>
  <c r="I7618" i="116"/>
  <c r="H7618" i="116"/>
  <c r="G7618" i="116"/>
  <c r="F7618" i="116"/>
  <c r="E7618" i="116"/>
  <c r="D7618" i="116"/>
  <c r="C7618" i="116"/>
  <c r="B7618" i="116"/>
  <c r="K7617" i="116"/>
  <c r="J7617" i="116"/>
  <c r="I7617" i="116"/>
  <c r="H7617" i="116"/>
  <c r="G7617" i="116"/>
  <c r="F7617" i="116"/>
  <c r="E7617" i="116"/>
  <c r="D7617" i="116"/>
  <c r="C7617" i="116"/>
  <c r="B7617" i="116"/>
  <c r="K7616" i="116"/>
  <c r="J7616" i="116"/>
  <c r="I7616" i="116"/>
  <c r="H7616" i="116"/>
  <c r="G7616" i="116"/>
  <c r="F7616" i="116"/>
  <c r="E7616" i="116"/>
  <c r="D7616" i="116"/>
  <c r="C7616" i="116"/>
  <c r="B7616" i="116"/>
  <c r="K7615" i="116"/>
  <c r="J7615" i="116"/>
  <c r="I7615" i="116"/>
  <c r="H7615" i="116"/>
  <c r="G7615" i="116"/>
  <c r="F7615" i="116"/>
  <c r="E7615" i="116"/>
  <c r="D7615" i="116"/>
  <c r="C7615" i="116"/>
  <c r="B7615" i="116"/>
  <c r="K7614" i="116"/>
  <c r="J7614" i="116"/>
  <c r="I7614" i="116"/>
  <c r="H7614" i="116"/>
  <c r="G7614" i="116"/>
  <c r="F7614" i="116"/>
  <c r="E7614" i="116"/>
  <c r="D7614" i="116"/>
  <c r="C7614" i="116"/>
  <c r="B7614" i="116"/>
  <c r="K7613" i="116"/>
  <c r="J7613" i="116"/>
  <c r="I7613" i="116"/>
  <c r="H7613" i="116"/>
  <c r="G7613" i="116"/>
  <c r="F7613" i="116"/>
  <c r="E7613" i="116"/>
  <c r="D7613" i="116"/>
  <c r="C7613" i="116"/>
  <c r="B7613" i="116"/>
  <c r="K7612" i="116"/>
  <c r="J7612" i="116"/>
  <c r="I7612" i="116"/>
  <c r="H7612" i="116"/>
  <c r="G7612" i="116"/>
  <c r="F7612" i="116"/>
  <c r="E7612" i="116"/>
  <c r="D7612" i="116"/>
  <c r="C7612" i="116"/>
  <c r="B7612" i="116"/>
  <c r="K7611" i="116"/>
  <c r="J7611" i="116"/>
  <c r="I7611" i="116"/>
  <c r="H7611" i="116"/>
  <c r="G7611" i="116"/>
  <c r="F7611" i="116"/>
  <c r="E7611" i="116"/>
  <c r="D7611" i="116"/>
  <c r="C7611" i="116"/>
  <c r="B7611" i="116"/>
  <c r="K7610" i="116"/>
  <c r="J7610" i="116"/>
  <c r="I7610" i="116"/>
  <c r="H7610" i="116"/>
  <c r="G7610" i="116"/>
  <c r="F7610" i="116"/>
  <c r="E7610" i="116"/>
  <c r="D7610" i="116"/>
  <c r="C7610" i="116"/>
  <c r="B7610" i="116"/>
  <c r="K7609" i="116"/>
  <c r="J7609" i="116"/>
  <c r="I7609" i="116"/>
  <c r="H7609" i="116"/>
  <c r="G7609" i="116"/>
  <c r="F7609" i="116"/>
  <c r="E7609" i="116"/>
  <c r="D7609" i="116"/>
  <c r="C7609" i="116"/>
  <c r="B7609" i="116"/>
  <c r="K7608" i="116"/>
  <c r="J7608" i="116"/>
  <c r="I7608" i="116"/>
  <c r="H7608" i="116"/>
  <c r="G7608" i="116"/>
  <c r="F7608" i="116"/>
  <c r="E7608" i="116"/>
  <c r="D7608" i="116"/>
  <c r="C7608" i="116"/>
  <c r="B7608" i="116"/>
  <c r="K7607" i="116"/>
  <c r="J7607" i="116"/>
  <c r="I7607" i="116"/>
  <c r="H7607" i="116"/>
  <c r="G7607" i="116"/>
  <c r="F7607" i="116"/>
  <c r="E7607" i="116"/>
  <c r="D7607" i="116"/>
  <c r="C7607" i="116"/>
  <c r="B7607" i="116"/>
  <c r="K7606" i="116"/>
  <c r="J7606" i="116"/>
  <c r="I7606" i="116"/>
  <c r="H7606" i="116"/>
  <c r="G7606" i="116"/>
  <c r="F7606" i="116"/>
  <c r="E7606" i="116"/>
  <c r="D7606" i="116"/>
  <c r="C7606" i="116"/>
  <c r="B7606" i="116"/>
  <c r="K7605" i="116"/>
  <c r="J7605" i="116"/>
  <c r="I7605" i="116"/>
  <c r="H7605" i="116"/>
  <c r="G7605" i="116"/>
  <c r="F7605" i="116"/>
  <c r="E7605" i="116"/>
  <c r="D7605" i="116"/>
  <c r="C7605" i="116"/>
  <c r="B7605" i="116"/>
  <c r="K7604" i="116"/>
  <c r="J7604" i="116"/>
  <c r="I7604" i="116"/>
  <c r="H7604" i="116"/>
  <c r="G7604" i="116"/>
  <c r="F7604" i="116"/>
  <c r="E7604" i="116"/>
  <c r="D7604" i="116"/>
  <c r="C7604" i="116"/>
  <c r="B7604" i="116"/>
  <c r="K7603" i="116"/>
  <c r="J7603" i="116"/>
  <c r="I7603" i="116"/>
  <c r="H7603" i="116"/>
  <c r="G7603" i="116"/>
  <c r="F7603" i="116"/>
  <c r="E7603" i="116"/>
  <c r="D7603" i="116"/>
  <c r="C7603" i="116"/>
  <c r="B7603" i="116"/>
  <c r="K7602" i="116"/>
  <c r="J7602" i="116"/>
  <c r="I7602" i="116"/>
  <c r="H7602" i="116"/>
  <c r="G7602" i="116"/>
  <c r="F7602" i="116"/>
  <c r="E7602" i="116"/>
  <c r="D7602" i="116"/>
  <c r="C7602" i="116"/>
  <c r="B7602" i="116"/>
  <c r="K7601" i="116"/>
  <c r="J7601" i="116"/>
  <c r="I7601" i="116"/>
  <c r="H7601" i="116"/>
  <c r="G7601" i="116"/>
  <c r="F7601" i="116"/>
  <c r="E7601" i="116"/>
  <c r="D7601" i="116"/>
  <c r="C7601" i="116"/>
  <c r="B7601" i="116"/>
  <c r="K7600" i="116"/>
  <c r="J7600" i="116"/>
  <c r="I7600" i="116"/>
  <c r="H7600" i="116"/>
  <c r="G7600" i="116"/>
  <c r="F7600" i="116"/>
  <c r="E7600" i="116"/>
  <c r="D7600" i="116"/>
  <c r="C7600" i="116"/>
  <c r="B7600" i="116"/>
  <c r="K7599" i="116"/>
  <c r="J7599" i="116"/>
  <c r="I7599" i="116"/>
  <c r="H7599" i="116"/>
  <c r="G7599" i="116"/>
  <c r="F7599" i="116"/>
  <c r="E7599" i="116"/>
  <c r="D7599" i="116"/>
  <c r="C7599" i="116"/>
  <c r="B7599" i="116"/>
  <c r="K7598" i="116"/>
  <c r="J7598" i="116"/>
  <c r="I7598" i="116"/>
  <c r="H7598" i="116"/>
  <c r="G7598" i="116"/>
  <c r="F7598" i="116"/>
  <c r="E7598" i="116"/>
  <c r="D7598" i="116"/>
  <c r="C7598" i="116"/>
  <c r="B7598" i="116"/>
  <c r="K7597" i="116"/>
  <c r="J7597" i="116"/>
  <c r="I7597" i="116"/>
  <c r="H7597" i="116"/>
  <c r="G7597" i="116"/>
  <c r="F7597" i="116"/>
  <c r="E7597" i="116"/>
  <c r="D7597" i="116"/>
  <c r="C7597" i="116"/>
  <c r="B7597" i="116"/>
  <c r="K7596" i="116"/>
  <c r="J7596" i="116"/>
  <c r="I7596" i="116"/>
  <c r="H7596" i="116"/>
  <c r="G7596" i="116"/>
  <c r="F7596" i="116"/>
  <c r="E7596" i="116"/>
  <c r="D7596" i="116"/>
  <c r="C7596" i="116"/>
  <c r="B7596" i="116"/>
  <c r="K7595" i="116"/>
  <c r="J7595" i="116"/>
  <c r="I7595" i="116"/>
  <c r="H7595" i="116"/>
  <c r="G7595" i="116"/>
  <c r="F7595" i="116"/>
  <c r="E7595" i="116"/>
  <c r="D7595" i="116"/>
  <c r="C7595" i="116"/>
  <c r="B7595" i="116"/>
  <c r="K7594" i="116"/>
  <c r="J7594" i="116"/>
  <c r="I7594" i="116"/>
  <c r="H7594" i="116"/>
  <c r="G7594" i="116"/>
  <c r="F7594" i="116"/>
  <c r="E7594" i="116"/>
  <c r="D7594" i="116"/>
  <c r="C7594" i="116"/>
  <c r="B7594" i="116"/>
  <c r="K7593" i="116"/>
  <c r="J7593" i="116"/>
  <c r="I7593" i="116"/>
  <c r="H7593" i="116"/>
  <c r="G7593" i="116"/>
  <c r="F7593" i="116"/>
  <c r="E7593" i="116"/>
  <c r="D7593" i="116"/>
  <c r="C7593" i="116"/>
  <c r="B7593" i="116"/>
  <c r="K7592" i="116"/>
  <c r="J7592" i="116"/>
  <c r="I7592" i="116"/>
  <c r="H7592" i="116"/>
  <c r="G7592" i="116"/>
  <c r="F7592" i="116"/>
  <c r="E7592" i="116"/>
  <c r="D7592" i="116"/>
  <c r="C7592" i="116"/>
  <c r="B7592" i="116"/>
  <c r="K7591" i="116"/>
  <c r="J7591" i="116"/>
  <c r="I7591" i="116"/>
  <c r="H7591" i="116"/>
  <c r="G7591" i="116"/>
  <c r="F7591" i="116"/>
  <c r="E7591" i="116"/>
  <c r="D7591" i="116"/>
  <c r="C7591" i="116"/>
  <c r="B7591" i="116"/>
  <c r="K7590" i="116"/>
  <c r="J7590" i="116"/>
  <c r="I7590" i="116"/>
  <c r="H7590" i="116"/>
  <c r="G7590" i="116"/>
  <c r="F7590" i="116"/>
  <c r="E7590" i="116"/>
  <c r="D7590" i="116"/>
  <c r="C7590" i="116"/>
  <c r="B7590" i="116"/>
  <c r="K7589" i="116"/>
  <c r="J7589" i="116"/>
  <c r="I7589" i="116"/>
  <c r="H7589" i="116"/>
  <c r="G7589" i="116"/>
  <c r="F7589" i="116"/>
  <c r="E7589" i="116"/>
  <c r="D7589" i="116"/>
  <c r="C7589" i="116"/>
  <c r="B7589" i="116"/>
  <c r="K7588" i="116"/>
  <c r="J7588" i="116"/>
  <c r="I7588" i="116"/>
  <c r="H7588" i="116"/>
  <c r="G7588" i="116"/>
  <c r="F7588" i="116"/>
  <c r="E7588" i="116"/>
  <c r="D7588" i="116"/>
  <c r="C7588" i="116"/>
  <c r="B7588" i="116"/>
  <c r="K7587" i="116"/>
  <c r="J7587" i="116"/>
  <c r="I7587" i="116"/>
  <c r="H7587" i="116"/>
  <c r="G7587" i="116"/>
  <c r="F7587" i="116"/>
  <c r="E7587" i="116"/>
  <c r="D7587" i="116"/>
  <c r="C7587" i="116"/>
  <c r="B7587" i="116"/>
  <c r="K7586" i="116"/>
  <c r="J7586" i="116"/>
  <c r="I7586" i="116"/>
  <c r="H7586" i="116"/>
  <c r="G7586" i="116"/>
  <c r="F7586" i="116"/>
  <c r="E7586" i="116"/>
  <c r="D7586" i="116"/>
  <c r="C7586" i="116"/>
  <c r="B7586" i="116"/>
  <c r="K7585" i="116"/>
  <c r="J7585" i="116"/>
  <c r="I7585" i="116"/>
  <c r="H7585" i="116"/>
  <c r="G7585" i="116"/>
  <c r="F7585" i="116"/>
  <c r="E7585" i="116"/>
  <c r="D7585" i="116"/>
  <c r="C7585" i="116"/>
  <c r="B7585" i="116"/>
  <c r="K7584" i="116"/>
  <c r="J7584" i="116"/>
  <c r="I7584" i="116"/>
  <c r="H7584" i="116"/>
  <c r="G7584" i="116"/>
  <c r="F7584" i="116"/>
  <c r="E7584" i="116"/>
  <c r="D7584" i="116"/>
  <c r="C7584" i="116"/>
  <c r="B7584" i="116"/>
  <c r="K7583" i="116"/>
  <c r="J7583" i="116"/>
  <c r="I7583" i="116"/>
  <c r="H7583" i="116"/>
  <c r="G7583" i="116"/>
  <c r="F7583" i="116"/>
  <c r="E7583" i="116"/>
  <c r="D7583" i="116"/>
  <c r="C7583" i="116"/>
  <c r="B7583" i="116"/>
  <c r="K7582" i="116"/>
  <c r="J7582" i="116"/>
  <c r="I7582" i="116"/>
  <c r="H7582" i="116"/>
  <c r="G7582" i="116"/>
  <c r="F7582" i="116"/>
  <c r="E7582" i="116"/>
  <c r="D7582" i="116"/>
  <c r="C7582" i="116"/>
  <c r="B7582" i="116"/>
  <c r="K7581" i="116"/>
  <c r="J7581" i="116"/>
  <c r="I7581" i="116"/>
  <c r="H7581" i="116"/>
  <c r="G7581" i="116"/>
  <c r="F7581" i="116"/>
  <c r="E7581" i="116"/>
  <c r="D7581" i="116"/>
  <c r="C7581" i="116"/>
  <c r="B7581" i="116"/>
  <c r="K7580" i="116"/>
  <c r="J7580" i="116"/>
  <c r="I7580" i="116"/>
  <c r="H7580" i="116"/>
  <c r="G7580" i="116"/>
  <c r="F7580" i="116"/>
  <c r="E7580" i="116"/>
  <c r="D7580" i="116"/>
  <c r="C7580" i="116"/>
  <c r="B7580" i="116"/>
  <c r="K7579" i="116"/>
  <c r="J7579" i="116"/>
  <c r="I7579" i="116"/>
  <c r="H7579" i="116"/>
  <c r="G7579" i="116"/>
  <c r="F7579" i="116"/>
  <c r="E7579" i="116"/>
  <c r="D7579" i="116"/>
  <c r="C7579" i="116"/>
  <c r="B7579" i="116"/>
  <c r="K7578" i="116"/>
  <c r="J7578" i="116"/>
  <c r="I7578" i="116"/>
  <c r="H7578" i="116"/>
  <c r="G7578" i="116"/>
  <c r="F7578" i="116"/>
  <c r="E7578" i="116"/>
  <c r="D7578" i="116"/>
  <c r="C7578" i="116"/>
  <c r="B7578" i="116"/>
  <c r="K7577" i="116"/>
  <c r="J7577" i="116"/>
  <c r="I7577" i="116"/>
  <c r="H7577" i="116"/>
  <c r="G7577" i="116"/>
  <c r="F7577" i="116"/>
  <c r="E7577" i="116"/>
  <c r="D7577" i="116"/>
  <c r="C7577" i="116"/>
  <c r="B7577" i="116"/>
  <c r="K7576" i="116"/>
  <c r="J7576" i="116"/>
  <c r="I7576" i="116"/>
  <c r="H7576" i="116"/>
  <c r="G7576" i="116"/>
  <c r="F7576" i="116"/>
  <c r="E7576" i="116"/>
  <c r="D7576" i="116"/>
  <c r="C7576" i="116"/>
  <c r="B7576" i="116"/>
  <c r="K7575" i="116"/>
  <c r="J7575" i="116"/>
  <c r="I7575" i="116"/>
  <c r="H7575" i="116"/>
  <c r="G7575" i="116"/>
  <c r="F7575" i="116"/>
  <c r="E7575" i="116"/>
  <c r="D7575" i="116"/>
  <c r="C7575" i="116"/>
  <c r="B7575" i="116"/>
  <c r="K7574" i="116"/>
  <c r="J7574" i="116"/>
  <c r="I7574" i="116"/>
  <c r="H7574" i="116"/>
  <c r="G7574" i="116"/>
  <c r="F7574" i="116"/>
  <c r="E7574" i="116"/>
  <c r="D7574" i="116"/>
  <c r="C7574" i="116"/>
  <c r="B7574" i="116"/>
  <c r="K7573" i="116"/>
  <c r="J7573" i="116"/>
  <c r="I7573" i="116"/>
  <c r="H7573" i="116"/>
  <c r="G7573" i="116"/>
  <c r="F7573" i="116"/>
  <c r="E7573" i="116"/>
  <c r="D7573" i="116"/>
  <c r="C7573" i="116"/>
  <c r="B7573" i="116"/>
  <c r="K7572" i="116"/>
  <c r="J7572" i="116"/>
  <c r="I7572" i="116"/>
  <c r="H7572" i="116"/>
  <c r="G7572" i="116"/>
  <c r="F7572" i="116"/>
  <c r="E7572" i="116"/>
  <c r="D7572" i="116"/>
  <c r="C7572" i="116"/>
  <c r="B7572" i="116"/>
  <c r="K7571" i="116"/>
  <c r="J7571" i="116"/>
  <c r="I7571" i="116"/>
  <c r="H7571" i="116"/>
  <c r="G7571" i="116"/>
  <c r="F7571" i="116"/>
  <c r="E7571" i="116"/>
  <c r="D7571" i="116"/>
  <c r="C7571" i="116"/>
  <c r="B7571" i="116"/>
  <c r="K7570" i="116"/>
  <c r="J7570" i="116"/>
  <c r="I7570" i="116"/>
  <c r="H7570" i="116"/>
  <c r="G7570" i="116"/>
  <c r="F7570" i="116"/>
  <c r="E7570" i="116"/>
  <c r="D7570" i="116"/>
  <c r="C7570" i="116"/>
  <c r="B7570" i="116"/>
  <c r="K7569" i="116"/>
  <c r="J7569" i="116"/>
  <c r="I7569" i="116"/>
  <c r="H7569" i="116"/>
  <c r="G7569" i="116"/>
  <c r="F7569" i="116"/>
  <c r="E7569" i="116"/>
  <c r="D7569" i="116"/>
  <c r="C7569" i="116"/>
  <c r="B7569" i="116"/>
  <c r="K7568" i="116"/>
  <c r="J7568" i="116"/>
  <c r="I7568" i="116"/>
  <c r="H7568" i="116"/>
  <c r="G7568" i="116"/>
  <c r="F7568" i="116"/>
  <c r="E7568" i="116"/>
  <c r="D7568" i="116"/>
  <c r="C7568" i="116"/>
  <c r="B7568" i="116"/>
  <c r="K7567" i="116"/>
  <c r="J7567" i="116"/>
  <c r="I7567" i="116"/>
  <c r="H7567" i="116"/>
  <c r="G7567" i="116"/>
  <c r="F7567" i="116"/>
  <c r="E7567" i="116"/>
  <c r="D7567" i="116"/>
  <c r="C7567" i="116"/>
  <c r="B7567" i="116"/>
  <c r="K7566" i="116"/>
  <c r="J7566" i="116"/>
  <c r="I7566" i="116"/>
  <c r="H7566" i="116"/>
  <c r="G7566" i="116"/>
  <c r="F7566" i="116"/>
  <c r="E7566" i="116"/>
  <c r="D7566" i="116"/>
  <c r="C7566" i="116"/>
  <c r="B7566" i="116"/>
  <c r="K7565" i="116"/>
  <c r="J7565" i="116"/>
  <c r="I7565" i="116"/>
  <c r="H7565" i="116"/>
  <c r="G7565" i="116"/>
  <c r="F7565" i="116"/>
  <c r="E7565" i="116"/>
  <c r="D7565" i="116"/>
  <c r="C7565" i="116"/>
  <c r="B7565" i="116"/>
  <c r="K7564" i="116"/>
  <c r="J7564" i="116"/>
  <c r="I7564" i="116"/>
  <c r="H7564" i="116"/>
  <c r="G7564" i="116"/>
  <c r="F7564" i="116"/>
  <c r="E7564" i="116"/>
  <c r="D7564" i="116"/>
  <c r="C7564" i="116"/>
  <c r="B7564" i="116"/>
  <c r="K7563" i="116"/>
  <c r="J7563" i="116"/>
  <c r="I7563" i="116"/>
  <c r="H7563" i="116"/>
  <c r="G7563" i="116"/>
  <c r="F7563" i="116"/>
  <c r="E7563" i="116"/>
  <c r="D7563" i="116"/>
  <c r="C7563" i="116"/>
  <c r="B7563" i="116"/>
  <c r="K7562" i="116"/>
  <c r="J7562" i="116"/>
  <c r="I7562" i="116"/>
  <c r="H7562" i="116"/>
  <c r="G7562" i="116"/>
  <c r="F7562" i="116"/>
  <c r="E7562" i="116"/>
  <c r="D7562" i="116"/>
  <c r="C7562" i="116"/>
  <c r="B7562" i="116"/>
  <c r="K7561" i="116"/>
  <c r="J7561" i="116"/>
  <c r="I7561" i="116"/>
  <c r="H7561" i="116"/>
  <c r="G7561" i="116"/>
  <c r="F7561" i="116"/>
  <c r="E7561" i="116"/>
  <c r="D7561" i="116"/>
  <c r="C7561" i="116"/>
  <c r="B7561" i="116"/>
  <c r="K7560" i="116"/>
  <c r="J7560" i="116"/>
  <c r="I7560" i="116"/>
  <c r="H7560" i="116"/>
  <c r="G7560" i="116"/>
  <c r="F7560" i="116"/>
  <c r="E7560" i="116"/>
  <c r="D7560" i="116"/>
  <c r="C7560" i="116"/>
  <c r="B7560" i="116"/>
  <c r="K7559" i="116"/>
  <c r="J7559" i="116"/>
  <c r="I7559" i="116"/>
  <c r="H7559" i="116"/>
  <c r="G7559" i="116"/>
  <c r="F7559" i="116"/>
  <c r="E7559" i="116"/>
  <c r="D7559" i="116"/>
  <c r="C7559" i="116"/>
  <c r="B7559" i="116"/>
  <c r="K7558" i="116"/>
  <c r="J7558" i="116"/>
  <c r="I7558" i="116"/>
  <c r="H7558" i="116"/>
  <c r="G7558" i="116"/>
  <c r="F7558" i="116"/>
  <c r="E7558" i="116"/>
  <c r="D7558" i="116"/>
  <c r="C7558" i="116"/>
  <c r="B7558" i="116"/>
  <c r="K7557" i="116"/>
  <c r="J7557" i="116"/>
  <c r="I7557" i="116"/>
  <c r="H7557" i="116"/>
  <c r="G7557" i="116"/>
  <c r="F7557" i="116"/>
  <c r="E7557" i="116"/>
  <c r="D7557" i="116"/>
  <c r="C7557" i="116"/>
  <c r="B7557" i="116"/>
  <c r="K7556" i="116"/>
  <c r="J7556" i="116"/>
  <c r="I7556" i="116"/>
  <c r="H7556" i="116"/>
  <c r="G7556" i="116"/>
  <c r="F7556" i="116"/>
  <c r="E7556" i="116"/>
  <c r="D7556" i="116"/>
  <c r="C7556" i="116"/>
  <c r="B7556" i="116"/>
  <c r="K7555" i="116"/>
  <c r="J7555" i="116"/>
  <c r="I7555" i="116"/>
  <c r="H7555" i="116"/>
  <c r="G7555" i="116"/>
  <c r="F7555" i="116"/>
  <c r="E7555" i="116"/>
  <c r="D7555" i="116"/>
  <c r="C7555" i="116"/>
  <c r="B7555" i="116"/>
  <c r="K7554" i="116"/>
  <c r="J7554" i="116"/>
  <c r="I7554" i="116"/>
  <c r="H7554" i="116"/>
  <c r="G7554" i="116"/>
  <c r="F7554" i="116"/>
  <c r="E7554" i="116"/>
  <c r="D7554" i="116"/>
  <c r="C7554" i="116"/>
  <c r="B7554" i="116"/>
  <c r="K7553" i="116"/>
  <c r="J7553" i="116"/>
  <c r="I7553" i="116"/>
  <c r="H7553" i="116"/>
  <c r="G7553" i="116"/>
  <c r="F7553" i="116"/>
  <c r="E7553" i="116"/>
  <c r="D7553" i="116"/>
  <c r="C7553" i="116"/>
  <c r="B7553" i="116"/>
  <c r="K7552" i="116"/>
  <c r="J7552" i="116"/>
  <c r="I7552" i="116"/>
  <c r="H7552" i="116"/>
  <c r="G7552" i="116"/>
  <c r="F7552" i="116"/>
  <c r="E7552" i="116"/>
  <c r="D7552" i="116"/>
  <c r="C7552" i="116"/>
  <c r="B7552" i="116"/>
  <c r="K7551" i="116"/>
  <c r="J7551" i="116"/>
  <c r="I7551" i="116"/>
  <c r="H7551" i="116"/>
  <c r="G7551" i="116"/>
  <c r="F7551" i="116"/>
  <c r="E7551" i="116"/>
  <c r="D7551" i="116"/>
  <c r="C7551" i="116"/>
  <c r="B7551" i="116"/>
  <c r="K7550" i="116"/>
  <c r="J7550" i="116"/>
  <c r="I7550" i="116"/>
  <c r="H7550" i="116"/>
  <c r="G7550" i="116"/>
  <c r="F7550" i="116"/>
  <c r="E7550" i="116"/>
  <c r="D7550" i="116"/>
  <c r="C7550" i="116"/>
  <c r="B7550" i="116"/>
  <c r="K7549" i="116"/>
  <c r="J7549" i="116"/>
  <c r="I7549" i="116"/>
  <c r="H7549" i="116"/>
  <c r="G7549" i="116"/>
  <c r="F7549" i="116"/>
  <c r="E7549" i="116"/>
  <c r="D7549" i="116"/>
  <c r="C7549" i="116"/>
  <c r="B7549" i="116"/>
  <c r="K7548" i="116"/>
  <c r="J7548" i="116"/>
  <c r="I7548" i="116"/>
  <c r="H7548" i="116"/>
  <c r="G7548" i="116"/>
  <c r="F7548" i="116"/>
  <c r="E7548" i="116"/>
  <c r="D7548" i="116"/>
  <c r="C7548" i="116"/>
  <c r="B7548" i="116"/>
  <c r="K7547" i="116"/>
  <c r="J7547" i="116"/>
  <c r="I7547" i="116"/>
  <c r="H7547" i="116"/>
  <c r="G7547" i="116"/>
  <c r="F7547" i="116"/>
  <c r="E7547" i="116"/>
  <c r="D7547" i="116"/>
  <c r="C7547" i="116"/>
  <c r="B7547" i="116"/>
  <c r="K7546" i="116"/>
  <c r="J7546" i="116"/>
  <c r="I7546" i="116"/>
  <c r="H7546" i="116"/>
  <c r="G7546" i="116"/>
  <c r="F7546" i="116"/>
  <c r="E7546" i="116"/>
  <c r="D7546" i="116"/>
  <c r="C7546" i="116"/>
  <c r="B7546" i="116"/>
  <c r="K7545" i="116"/>
  <c r="J7545" i="116"/>
  <c r="I7545" i="116"/>
  <c r="H7545" i="116"/>
  <c r="G7545" i="116"/>
  <c r="F7545" i="116"/>
  <c r="E7545" i="116"/>
  <c r="D7545" i="116"/>
  <c r="C7545" i="116"/>
  <c r="B7545" i="116"/>
  <c r="K7544" i="116"/>
  <c r="J7544" i="116"/>
  <c r="I7544" i="116"/>
  <c r="H7544" i="116"/>
  <c r="G7544" i="116"/>
  <c r="F7544" i="116"/>
  <c r="E7544" i="116"/>
  <c r="D7544" i="116"/>
  <c r="C7544" i="116"/>
  <c r="B7544" i="116"/>
  <c r="K7543" i="116"/>
  <c r="J7543" i="116"/>
  <c r="I7543" i="116"/>
  <c r="H7543" i="116"/>
  <c r="G7543" i="116"/>
  <c r="F7543" i="116"/>
  <c r="E7543" i="116"/>
  <c r="D7543" i="116"/>
  <c r="C7543" i="116"/>
  <c r="B7543" i="116"/>
  <c r="K7542" i="116"/>
  <c r="J7542" i="116"/>
  <c r="I7542" i="116"/>
  <c r="H7542" i="116"/>
  <c r="G7542" i="116"/>
  <c r="F7542" i="116"/>
  <c r="E7542" i="116"/>
  <c r="D7542" i="116"/>
  <c r="C7542" i="116"/>
  <c r="B7542" i="116"/>
  <c r="K7541" i="116"/>
  <c r="J7541" i="116"/>
  <c r="I7541" i="116"/>
  <c r="H7541" i="116"/>
  <c r="G7541" i="116"/>
  <c r="F7541" i="116"/>
  <c r="E7541" i="116"/>
  <c r="D7541" i="116"/>
  <c r="C7541" i="116"/>
  <c r="B7541" i="116"/>
  <c r="K7540" i="116"/>
  <c r="J7540" i="116"/>
  <c r="I7540" i="116"/>
  <c r="H7540" i="116"/>
  <c r="G7540" i="116"/>
  <c r="F7540" i="116"/>
  <c r="E7540" i="116"/>
  <c r="D7540" i="116"/>
  <c r="C7540" i="116"/>
  <c r="B7540" i="116"/>
  <c r="K7539" i="116"/>
  <c r="J7539" i="116"/>
  <c r="I7539" i="116"/>
  <c r="H7539" i="116"/>
  <c r="G7539" i="116"/>
  <c r="F7539" i="116"/>
  <c r="E7539" i="116"/>
  <c r="D7539" i="116"/>
  <c r="C7539" i="116"/>
  <c r="B7539" i="116"/>
  <c r="K7538" i="116"/>
  <c r="J7538" i="116"/>
  <c r="I7538" i="116"/>
  <c r="H7538" i="116"/>
  <c r="G7538" i="116"/>
  <c r="F7538" i="116"/>
  <c r="E7538" i="116"/>
  <c r="D7538" i="116"/>
  <c r="C7538" i="116"/>
  <c r="B7538" i="116"/>
  <c r="K7537" i="116"/>
  <c r="J7537" i="116"/>
  <c r="I7537" i="116"/>
  <c r="H7537" i="116"/>
  <c r="G7537" i="116"/>
  <c r="F7537" i="116"/>
  <c r="E7537" i="116"/>
  <c r="D7537" i="116"/>
  <c r="C7537" i="116"/>
  <c r="B7537" i="116"/>
  <c r="K7536" i="116"/>
  <c r="J7536" i="116"/>
  <c r="I7536" i="116"/>
  <c r="H7536" i="116"/>
  <c r="G7536" i="116"/>
  <c r="F7536" i="116"/>
  <c r="E7536" i="116"/>
  <c r="D7536" i="116"/>
  <c r="C7536" i="116"/>
  <c r="B7536" i="116"/>
  <c r="K7535" i="116"/>
  <c r="J7535" i="116"/>
  <c r="I7535" i="116"/>
  <c r="H7535" i="116"/>
  <c r="G7535" i="116"/>
  <c r="F7535" i="116"/>
  <c r="E7535" i="116"/>
  <c r="D7535" i="116"/>
  <c r="C7535" i="116"/>
  <c r="B7535" i="116"/>
  <c r="K7534" i="116"/>
  <c r="J7534" i="116"/>
  <c r="I7534" i="116"/>
  <c r="H7534" i="116"/>
  <c r="G7534" i="116"/>
  <c r="F7534" i="116"/>
  <c r="E7534" i="116"/>
  <c r="D7534" i="116"/>
  <c r="C7534" i="116"/>
  <c r="B7534" i="116"/>
  <c r="K7533" i="116"/>
  <c r="J7533" i="116"/>
  <c r="I7533" i="116"/>
  <c r="H7533" i="116"/>
  <c r="G7533" i="116"/>
  <c r="F7533" i="116"/>
  <c r="E7533" i="116"/>
  <c r="D7533" i="116"/>
  <c r="C7533" i="116"/>
  <c r="B7533" i="116"/>
  <c r="K7532" i="116"/>
  <c r="J7532" i="116"/>
  <c r="I7532" i="116"/>
  <c r="H7532" i="116"/>
  <c r="G7532" i="116"/>
  <c r="F7532" i="116"/>
  <c r="E7532" i="116"/>
  <c r="D7532" i="116"/>
  <c r="C7532" i="116"/>
  <c r="B7532" i="116"/>
  <c r="K7531" i="116"/>
  <c r="J7531" i="116"/>
  <c r="I7531" i="116"/>
  <c r="H7531" i="116"/>
  <c r="G7531" i="116"/>
  <c r="F7531" i="116"/>
  <c r="E7531" i="116"/>
  <c r="D7531" i="116"/>
  <c r="C7531" i="116"/>
  <c r="B7531" i="116"/>
  <c r="K7530" i="116"/>
  <c r="J7530" i="116"/>
  <c r="I7530" i="116"/>
  <c r="H7530" i="116"/>
  <c r="G7530" i="116"/>
  <c r="F7530" i="116"/>
  <c r="E7530" i="116"/>
  <c r="D7530" i="116"/>
  <c r="C7530" i="116"/>
  <c r="B7530" i="116"/>
  <c r="K7529" i="116"/>
  <c r="J7529" i="116"/>
  <c r="I7529" i="116"/>
  <c r="H7529" i="116"/>
  <c r="G7529" i="116"/>
  <c r="F7529" i="116"/>
  <c r="E7529" i="116"/>
  <c r="D7529" i="116"/>
  <c r="C7529" i="116"/>
  <c r="B7529" i="116"/>
  <c r="K7528" i="116"/>
  <c r="J7528" i="116"/>
  <c r="I7528" i="116"/>
  <c r="H7528" i="116"/>
  <c r="G7528" i="116"/>
  <c r="F7528" i="116"/>
  <c r="E7528" i="116"/>
  <c r="D7528" i="116"/>
  <c r="C7528" i="116"/>
  <c r="B7528" i="116"/>
  <c r="K7527" i="116"/>
  <c r="J7527" i="116"/>
  <c r="I7527" i="116"/>
  <c r="H7527" i="116"/>
  <c r="G7527" i="116"/>
  <c r="F7527" i="116"/>
  <c r="E7527" i="116"/>
  <c r="D7527" i="116"/>
  <c r="C7527" i="116"/>
  <c r="B7527" i="116"/>
  <c r="K7526" i="116"/>
  <c r="J7526" i="116"/>
  <c r="I7526" i="116"/>
  <c r="H7526" i="116"/>
  <c r="G7526" i="116"/>
  <c r="F7526" i="116"/>
  <c r="E7526" i="116"/>
  <c r="D7526" i="116"/>
  <c r="C7526" i="116"/>
  <c r="B7526" i="116"/>
  <c r="K7525" i="116"/>
  <c r="J7525" i="116"/>
  <c r="I7525" i="116"/>
  <c r="H7525" i="116"/>
  <c r="G7525" i="116"/>
  <c r="F7525" i="116"/>
  <c r="E7525" i="116"/>
  <c r="D7525" i="116"/>
  <c r="C7525" i="116"/>
  <c r="B7525" i="116"/>
  <c r="K7524" i="116"/>
  <c r="J7524" i="116"/>
  <c r="I7524" i="116"/>
  <c r="H7524" i="116"/>
  <c r="G7524" i="116"/>
  <c r="F7524" i="116"/>
  <c r="E7524" i="116"/>
  <c r="D7524" i="116"/>
  <c r="C7524" i="116"/>
  <c r="B7524" i="116"/>
  <c r="K7523" i="116"/>
  <c r="J7523" i="116"/>
  <c r="I7523" i="116"/>
  <c r="H7523" i="116"/>
  <c r="G7523" i="116"/>
  <c r="F7523" i="116"/>
  <c r="E7523" i="116"/>
  <c r="D7523" i="116"/>
  <c r="C7523" i="116"/>
  <c r="B7523" i="116"/>
  <c r="K7522" i="116"/>
  <c r="J7522" i="116"/>
  <c r="I7522" i="116"/>
  <c r="H7522" i="116"/>
  <c r="G7522" i="116"/>
  <c r="F7522" i="116"/>
  <c r="E7522" i="116"/>
  <c r="D7522" i="116"/>
  <c r="C7522" i="116"/>
  <c r="B7522" i="116"/>
  <c r="K7521" i="116"/>
  <c r="J7521" i="116"/>
  <c r="I7521" i="116"/>
  <c r="H7521" i="116"/>
  <c r="G7521" i="116"/>
  <c r="F7521" i="116"/>
  <c r="E7521" i="116"/>
  <c r="D7521" i="116"/>
  <c r="C7521" i="116"/>
  <c r="B7521" i="116"/>
  <c r="K7520" i="116"/>
  <c r="J7520" i="116"/>
  <c r="I7520" i="116"/>
  <c r="H7520" i="116"/>
  <c r="G7520" i="116"/>
  <c r="F7520" i="116"/>
  <c r="E7520" i="116"/>
  <c r="D7520" i="116"/>
  <c r="C7520" i="116"/>
  <c r="B7520" i="116"/>
  <c r="K7519" i="116"/>
  <c r="J7519" i="116"/>
  <c r="I7519" i="116"/>
  <c r="H7519" i="116"/>
  <c r="G7519" i="116"/>
  <c r="F7519" i="116"/>
  <c r="E7519" i="116"/>
  <c r="D7519" i="116"/>
  <c r="C7519" i="116"/>
  <c r="B7519" i="116"/>
  <c r="K7518" i="116"/>
  <c r="J7518" i="116"/>
  <c r="I7518" i="116"/>
  <c r="H7518" i="116"/>
  <c r="G7518" i="116"/>
  <c r="F7518" i="116"/>
  <c r="E7518" i="116"/>
  <c r="D7518" i="116"/>
  <c r="C7518" i="116"/>
  <c r="B7518" i="116"/>
  <c r="K7517" i="116"/>
  <c r="J7517" i="116"/>
  <c r="I7517" i="116"/>
  <c r="H7517" i="116"/>
  <c r="G7517" i="116"/>
  <c r="F7517" i="116"/>
  <c r="E7517" i="116"/>
  <c r="D7517" i="116"/>
  <c r="C7517" i="116"/>
  <c r="B7517" i="116"/>
  <c r="K7516" i="116"/>
  <c r="J7516" i="116"/>
  <c r="I7516" i="116"/>
  <c r="H7516" i="116"/>
  <c r="G7516" i="116"/>
  <c r="F7516" i="116"/>
  <c r="E7516" i="116"/>
  <c r="D7516" i="116"/>
  <c r="C7516" i="116"/>
  <c r="B7516" i="116"/>
  <c r="K7515" i="116"/>
  <c r="J7515" i="116"/>
  <c r="I7515" i="116"/>
  <c r="H7515" i="116"/>
  <c r="G7515" i="116"/>
  <c r="F7515" i="116"/>
  <c r="E7515" i="116"/>
  <c r="D7515" i="116"/>
  <c r="C7515" i="116"/>
  <c r="B7515" i="116"/>
  <c r="K7514" i="116"/>
  <c r="J7514" i="116"/>
  <c r="I7514" i="116"/>
  <c r="H7514" i="116"/>
  <c r="G7514" i="116"/>
  <c r="F7514" i="116"/>
  <c r="E7514" i="116"/>
  <c r="D7514" i="116"/>
  <c r="C7514" i="116"/>
  <c r="B7514" i="116"/>
  <c r="K7513" i="116"/>
  <c r="J7513" i="116"/>
  <c r="I7513" i="116"/>
  <c r="H7513" i="116"/>
  <c r="G7513" i="116"/>
  <c r="F7513" i="116"/>
  <c r="E7513" i="116"/>
  <c r="D7513" i="116"/>
  <c r="C7513" i="116"/>
  <c r="B7513" i="116"/>
  <c r="K7512" i="116"/>
  <c r="J7512" i="116"/>
  <c r="I7512" i="116"/>
  <c r="H7512" i="116"/>
  <c r="G7512" i="116"/>
  <c r="F7512" i="116"/>
  <c r="E7512" i="116"/>
  <c r="D7512" i="116"/>
  <c r="C7512" i="116"/>
  <c r="B7512" i="116"/>
  <c r="K7511" i="116"/>
  <c r="J7511" i="116"/>
  <c r="I7511" i="116"/>
  <c r="H7511" i="116"/>
  <c r="G7511" i="116"/>
  <c r="F7511" i="116"/>
  <c r="E7511" i="116"/>
  <c r="D7511" i="116"/>
  <c r="C7511" i="116"/>
  <c r="B7511" i="116"/>
  <c r="K7510" i="116"/>
  <c r="J7510" i="116"/>
  <c r="I7510" i="116"/>
  <c r="H7510" i="116"/>
  <c r="G7510" i="116"/>
  <c r="F7510" i="116"/>
  <c r="E7510" i="116"/>
  <c r="D7510" i="116"/>
  <c r="C7510" i="116"/>
  <c r="B7510" i="116"/>
  <c r="K7509" i="116"/>
  <c r="J7509" i="116"/>
  <c r="I7509" i="116"/>
  <c r="H7509" i="116"/>
  <c r="G7509" i="116"/>
  <c r="F7509" i="116"/>
  <c r="E7509" i="116"/>
  <c r="D7509" i="116"/>
  <c r="C7509" i="116"/>
  <c r="B7509" i="116"/>
  <c r="K7508" i="116"/>
  <c r="J7508" i="116"/>
  <c r="I7508" i="116"/>
  <c r="H7508" i="116"/>
  <c r="G7508" i="116"/>
  <c r="F7508" i="116"/>
  <c r="E7508" i="116"/>
  <c r="D7508" i="116"/>
  <c r="C7508" i="116"/>
  <c r="B7508" i="116"/>
  <c r="K7507" i="116"/>
  <c r="J7507" i="116"/>
  <c r="I7507" i="116"/>
  <c r="H7507" i="116"/>
  <c r="G7507" i="116"/>
  <c r="F7507" i="116"/>
  <c r="E7507" i="116"/>
  <c r="D7507" i="116"/>
  <c r="C7507" i="116"/>
  <c r="B7507" i="116"/>
  <c r="K7506" i="116"/>
  <c r="J7506" i="116"/>
  <c r="I7506" i="116"/>
  <c r="H7506" i="116"/>
  <c r="G7506" i="116"/>
  <c r="F7506" i="116"/>
  <c r="E7506" i="116"/>
  <c r="D7506" i="116"/>
  <c r="C7506" i="116"/>
  <c r="B7506" i="116"/>
  <c r="K7505" i="116"/>
  <c r="J7505" i="116"/>
  <c r="I7505" i="116"/>
  <c r="H7505" i="116"/>
  <c r="G7505" i="116"/>
  <c r="F7505" i="116"/>
  <c r="E7505" i="116"/>
  <c r="D7505" i="116"/>
  <c r="C7505" i="116"/>
  <c r="B7505" i="116"/>
  <c r="K7504" i="116"/>
  <c r="J7504" i="116"/>
  <c r="I7504" i="116"/>
  <c r="H7504" i="116"/>
  <c r="G7504" i="116"/>
  <c r="F7504" i="116"/>
  <c r="E7504" i="116"/>
  <c r="D7504" i="116"/>
  <c r="C7504" i="116"/>
  <c r="B7504" i="116"/>
  <c r="K7503" i="116"/>
  <c r="J7503" i="116"/>
  <c r="I7503" i="116"/>
  <c r="H7503" i="116"/>
  <c r="G7503" i="116"/>
  <c r="F7503" i="116"/>
  <c r="E7503" i="116"/>
  <c r="D7503" i="116"/>
  <c r="C7503" i="116"/>
  <c r="B7503" i="116"/>
  <c r="K7502" i="116"/>
  <c r="J7502" i="116"/>
  <c r="I7502" i="116"/>
  <c r="H7502" i="116"/>
  <c r="G7502" i="116"/>
  <c r="F7502" i="116"/>
  <c r="E7502" i="116"/>
  <c r="D7502" i="116"/>
  <c r="C7502" i="116"/>
  <c r="B7502" i="116"/>
  <c r="K7501" i="116"/>
  <c r="J7501" i="116"/>
  <c r="I7501" i="116"/>
  <c r="H7501" i="116"/>
  <c r="G7501" i="116"/>
  <c r="F7501" i="116"/>
  <c r="E7501" i="116"/>
  <c r="D7501" i="116"/>
  <c r="C7501" i="116"/>
  <c r="B7501" i="116"/>
  <c r="K7500" i="116"/>
  <c r="J7500" i="116"/>
  <c r="I7500" i="116"/>
  <c r="H7500" i="116"/>
  <c r="G7500" i="116"/>
  <c r="F7500" i="116"/>
  <c r="E7500" i="116"/>
  <c r="D7500" i="116"/>
  <c r="C7500" i="116"/>
  <c r="B7500" i="116"/>
  <c r="K7499" i="116"/>
  <c r="J7499" i="116"/>
  <c r="I7499" i="116"/>
  <c r="H7499" i="116"/>
  <c r="G7499" i="116"/>
  <c r="F7499" i="116"/>
  <c r="E7499" i="116"/>
  <c r="D7499" i="116"/>
  <c r="C7499" i="116"/>
  <c r="B7499" i="116"/>
  <c r="K7498" i="116"/>
  <c r="J7498" i="116"/>
  <c r="I7498" i="116"/>
  <c r="H7498" i="116"/>
  <c r="G7498" i="116"/>
  <c r="F7498" i="116"/>
  <c r="E7498" i="116"/>
  <c r="D7498" i="116"/>
  <c r="C7498" i="116"/>
  <c r="B7498" i="116"/>
  <c r="K7497" i="116"/>
  <c r="J7497" i="116"/>
  <c r="I7497" i="116"/>
  <c r="H7497" i="116"/>
  <c r="G7497" i="116"/>
  <c r="F7497" i="116"/>
  <c r="E7497" i="116"/>
  <c r="D7497" i="116"/>
  <c r="C7497" i="116"/>
  <c r="B7497" i="116"/>
  <c r="K7496" i="116"/>
  <c r="J7496" i="116"/>
  <c r="I7496" i="116"/>
  <c r="H7496" i="116"/>
  <c r="G7496" i="116"/>
  <c r="F7496" i="116"/>
  <c r="E7496" i="116"/>
  <c r="D7496" i="116"/>
  <c r="C7496" i="116"/>
  <c r="B7496" i="116"/>
  <c r="K7495" i="116"/>
  <c r="J7495" i="116"/>
  <c r="I7495" i="116"/>
  <c r="H7495" i="116"/>
  <c r="G7495" i="116"/>
  <c r="F7495" i="116"/>
  <c r="E7495" i="116"/>
  <c r="D7495" i="116"/>
  <c r="C7495" i="116"/>
  <c r="B7495" i="116"/>
  <c r="K7494" i="116"/>
  <c r="J7494" i="116"/>
  <c r="I7494" i="116"/>
  <c r="H7494" i="116"/>
  <c r="G7494" i="116"/>
  <c r="F7494" i="116"/>
  <c r="E7494" i="116"/>
  <c r="D7494" i="116"/>
  <c r="C7494" i="116"/>
  <c r="B7494" i="116"/>
  <c r="K7493" i="116"/>
  <c r="J7493" i="116"/>
  <c r="I7493" i="116"/>
  <c r="H7493" i="116"/>
  <c r="G7493" i="116"/>
  <c r="F7493" i="116"/>
  <c r="E7493" i="116"/>
  <c r="D7493" i="116"/>
  <c r="C7493" i="116"/>
  <c r="B7493" i="116"/>
  <c r="K7492" i="116"/>
  <c r="J7492" i="116"/>
  <c r="I7492" i="116"/>
  <c r="H7492" i="116"/>
  <c r="G7492" i="116"/>
  <c r="F7492" i="116"/>
  <c r="E7492" i="116"/>
  <c r="D7492" i="116"/>
  <c r="C7492" i="116"/>
  <c r="B7492" i="116"/>
  <c r="K7491" i="116"/>
  <c r="J7491" i="116"/>
  <c r="I7491" i="116"/>
  <c r="H7491" i="116"/>
  <c r="G7491" i="116"/>
  <c r="F7491" i="116"/>
  <c r="E7491" i="116"/>
  <c r="D7491" i="116"/>
  <c r="C7491" i="116"/>
  <c r="B7491" i="116"/>
  <c r="K7490" i="116"/>
  <c r="J7490" i="116"/>
  <c r="I7490" i="116"/>
  <c r="H7490" i="116"/>
  <c r="G7490" i="116"/>
  <c r="F7490" i="116"/>
  <c r="E7490" i="116"/>
  <c r="D7490" i="116"/>
  <c r="C7490" i="116"/>
  <c r="B7490" i="116"/>
  <c r="K7489" i="116"/>
  <c r="J7489" i="116"/>
  <c r="I7489" i="116"/>
  <c r="H7489" i="116"/>
  <c r="G7489" i="116"/>
  <c r="F7489" i="116"/>
  <c r="E7489" i="116"/>
  <c r="D7489" i="116"/>
  <c r="C7489" i="116"/>
  <c r="B7489" i="116"/>
  <c r="K7488" i="116"/>
  <c r="J7488" i="116"/>
  <c r="I7488" i="116"/>
  <c r="H7488" i="116"/>
  <c r="G7488" i="116"/>
  <c r="F7488" i="116"/>
  <c r="E7488" i="116"/>
  <c r="D7488" i="116"/>
  <c r="C7488" i="116"/>
  <c r="B7488" i="116"/>
  <c r="K7487" i="116"/>
  <c r="J7487" i="116"/>
  <c r="I7487" i="116"/>
  <c r="H7487" i="116"/>
  <c r="G7487" i="116"/>
  <c r="F7487" i="116"/>
  <c r="E7487" i="116"/>
  <c r="D7487" i="116"/>
  <c r="C7487" i="116"/>
  <c r="B7487" i="116"/>
  <c r="K7486" i="116"/>
  <c r="J7486" i="116"/>
  <c r="I7486" i="116"/>
  <c r="H7486" i="116"/>
  <c r="G7486" i="116"/>
  <c r="F7486" i="116"/>
  <c r="E7486" i="116"/>
  <c r="D7486" i="116"/>
  <c r="C7486" i="116"/>
  <c r="B7486" i="116"/>
  <c r="K7485" i="116"/>
  <c r="J7485" i="116"/>
  <c r="I7485" i="116"/>
  <c r="H7485" i="116"/>
  <c r="G7485" i="116"/>
  <c r="F7485" i="116"/>
  <c r="E7485" i="116"/>
  <c r="D7485" i="116"/>
  <c r="C7485" i="116"/>
  <c r="B7485" i="116"/>
  <c r="K7484" i="116"/>
  <c r="J7484" i="116"/>
  <c r="I7484" i="116"/>
  <c r="H7484" i="116"/>
  <c r="G7484" i="116"/>
  <c r="F7484" i="116"/>
  <c r="E7484" i="116"/>
  <c r="D7484" i="116"/>
  <c r="C7484" i="116"/>
  <c r="B7484" i="116"/>
  <c r="K7483" i="116"/>
  <c r="J7483" i="116"/>
  <c r="I7483" i="116"/>
  <c r="H7483" i="116"/>
  <c r="G7483" i="116"/>
  <c r="F7483" i="116"/>
  <c r="E7483" i="116"/>
  <c r="D7483" i="116"/>
  <c r="C7483" i="116"/>
  <c r="B7483" i="116"/>
  <c r="K7482" i="116"/>
  <c r="J7482" i="116"/>
  <c r="I7482" i="116"/>
  <c r="H7482" i="116"/>
  <c r="G7482" i="116"/>
  <c r="F7482" i="116"/>
  <c r="E7482" i="116"/>
  <c r="D7482" i="116"/>
  <c r="C7482" i="116"/>
  <c r="B7482" i="116"/>
  <c r="K7481" i="116"/>
  <c r="J7481" i="116"/>
  <c r="I7481" i="116"/>
  <c r="H7481" i="116"/>
  <c r="G7481" i="116"/>
  <c r="F7481" i="116"/>
  <c r="E7481" i="116"/>
  <c r="D7481" i="116"/>
  <c r="C7481" i="116"/>
  <c r="B7481" i="116"/>
  <c r="K7480" i="116"/>
  <c r="J7480" i="116"/>
  <c r="I7480" i="116"/>
  <c r="H7480" i="116"/>
  <c r="G7480" i="116"/>
  <c r="F7480" i="116"/>
  <c r="E7480" i="116"/>
  <c r="D7480" i="116"/>
  <c r="C7480" i="116"/>
  <c r="B7480" i="116"/>
  <c r="K7479" i="116"/>
  <c r="J7479" i="116"/>
  <c r="I7479" i="116"/>
  <c r="H7479" i="116"/>
  <c r="G7479" i="116"/>
  <c r="F7479" i="116"/>
  <c r="E7479" i="116"/>
  <c r="D7479" i="116"/>
  <c r="C7479" i="116"/>
  <c r="B7479" i="116"/>
  <c r="K7478" i="116"/>
  <c r="J7478" i="116"/>
  <c r="I7478" i="116"/>
  <c r="H7478" i="116"/>
  <c r="G7478" i="116"/>
  <c r="F7478" i="116"/>
  <c r="E7478" i="116"/>
  <c r="D7478" i="116"/>
  <c r="C7478" i="116"/>
  <c r="B7478" i="116"/>
  <c r="K7477" i="116"/>
  <c r="J7477" i="116"/>
  <c r="I7477" i="116"/>
  <c r="H7477" i="116"/>
  <c r="G7477" i="116"/>
  <c r="F7477" i="116"/>
  <c r="E7477" i="116"/>
  <c r="D7477" i="116"/>
  <c r="C7477" i="116"/>
  <c r="B7477" i="116"/>
  <c r="K7476" i="116"/>
  <c r="J7476" i="116"/>
  <c r="I7476" i="116"/>
  <c r="H7476" i="116"/>
  <c r="G7476" i="116"/>
  <c r="F7476" i="116"/>
  <c r="E7476" i="116"/>
  <c r="D7476" i="116"/>
  <c r="C7476" i="116"/>
  <c r="B7476" i="116"/>
  <c r="K7475" i="116"/>
  <c r="J7475" i="116"/>
  <c r="I7475" i="116"/>
  <c r="H7475" i="116"/>
  <c r="G7475" i="116"/>
  <c r="F7475" i="116"/>
  <c r="E7475" i="116"/>
  <c r="D7475" i="116"/>
  <c r="C7475" i="116"/>
  <c r="B7475" i="116"/>
  <c r="K7474" i="116"/>
  <c r="J7474" i="116"/>
  <c r="I7474" i="116"/>
  <c r="H7474" i="116"/>
  <c r="G7474" i="116"/>
  <c r="F7474" i="116"/>
  <c r="E7474" i="116"/>
  <c r="D7474" i="116"/>
  <c r="C7474" i="116"/>
  <c r="B7474" i="116"/>
  <c r="K7473" i="116"/>
  <c r="J7473" i="116"/>
  <c r="I7473" i="116"/>
  <c r="H7473" i="116"/>
  <c r="G7473" i="116"/>
  <c r="F7473" i="116"/>
  <c r="E7473" i="116"/>
  <c r="D7473" i="116"/>
  <c r="C7473" i="116"/>
  <c r="B7473" i="116"/>
  <c r="K7472" i="116"/>
  <c r="J7472" i="116"/>
  <c r="I7472" i="116"/>
  <c r="H7472" i="116"/>
  <c r="G7472" i="116"/>
  <c r="F7472" i="116"/>
  <c r="E7472" i="116"/>
  <c r="D7472" i="116"/>
  <c r="C7472" i="116"/>
  <c r="B7472" i="116"/>
  <c r="K7471" i="116"/>
  <c r="J7471" i="116"/>
  <c r="I7471" i="116"/>
  <c r="H7471" i="116"/>
  <c r="G7471" i="116"/>
  <c r="F7471" i="116"/>
  <c r="E7471" i="116"/>
  <c r="D7471" i="116"/>
  <c r="C7471" i="116"/>
  <c r="B7471" i="116"/>
  <c r="K7470" i="116"/>
  <c r="J7470" i="116"/>
  <c r="I7470" i="116"/>
  <c r="H7470" i="116"/>
  <c r="G7470" i="116"/>
  <c r="F7470" i="116"/>
  <c r="E7470" i="116"/>
  <c r="D7470" i="116"/>
  <c r="C7470" i="116"/>
  <c r="B7470" i="116"/>
  <c r="K7469" i="116"/>
  <c r="J7469" i="116"/>
  <c r="I7469" i="116"/>
  <c r="H7469" i="116"/>
  <c r="G7469" i="116"/>
  <c r="F7469" i="116"/>
  <c r="E7469" i="116"/>
  <c r="D7469" i="116"/>
  <c r="C7469" i="116"/>
  <c r="B7469" i="116"/>
  <c r="K7468" i="116"/>
  <c r="J7468" i="116"/>
  <c r="I7468" i="116"/>
  <c r="H7468" i="116"/>
  <c r="G7468" i="116"/>
  <c r="F7468" i="116"/>
  <c r="E7468" i="116"/>
  <c r="D7468" i="116"/>
  <c r="C7468" i="116"/>
  <c r="B7468" i="116"/>
  <c r="K7467" i="116"/>
  <c r="J7467" i="116"/>
  <c r="I7467" i="116"/>
  <c r="H7467" i="116"/>
  <c r="G7467" i="116"/>
  <c r="F7467" i="116"/>
  <c r="E7467" i="116"/>
  <c r="D7467" i="116"/>
  <c r="C7467" i="116"/>
  <c r="B7467" i="116"/>
  <c r="K7466" i="116"/>
  <c r="J7466" i="116"/>
  <c r="I7466" i="116"/>
  <c r="H7466" i="116"/>
  <c r="G7466" i="116"/>
  <c r="F7466" i="116"/>
  <c r="E7466" i="116"/>
  <c r="D7466" i="116"/>
  <c r="C7466" i="116"/>
  <c r="B7466" i="116"/>
  <c r="K7465" i="116"/>
  <c r="J7465" i="116"/>
  <c r="I7465" i="116"/>
  <c r="H7465" i="116"/>
  <c r="G7465" i="116"/>
  <c r="F7465" i="116"/>
  <c r="E7465" i="116"/>
  <c r="D7465" i="116"/>
  <c r="C7465" i="116"/>
  <c r="B7465" i="116"/>
  <c r="K7464" i="116"/>
  <c r="J7464" i="116"/>
  <c r="I7464" i="116"/>
  <c r="H7464" i="116"/>
  <c r="G7464" i="116"/>
  <c r="F7464" i="116"/>
  <c r="E7464" i="116"/>
  <c r="D7464" i="116"/>
  <c r="C7464" i="116"/>
  <c r="B7464" i="116"/>
  <c r="K7463" i="116"/>
  <c r="J7463" i="116"/>
  <c r="I7463" i="116"/>
  <c r="H7463" i="116"/>
  <c r="G7463" i="116"/>
  <c r="F7463" i="116"/>
  <c r="E7463" i="116"/>
  <c r="D7463" i="116"/>
  <c r="C7463" i="116"/>
  <c r="B7463" i="116"/>
  <c r="K7462" i="116"/>
  <c r="J7462" i="116"/>
  <c r="I7462" i="116"/>
  <c r="H7462" i="116"/>
  <c r="G7462" i="116"/>
  <c r="F7462" i="116"/>
  <c r="E7462" i="116"/>
  <c r="D7462" i="116"/>
  <c r="C7462" i="116"/>
  <c r="B7462" i="116"/>
  <c r="K7461" i="116"/>
  <c r="J7461" i="116"/>
  <c r="I7461" i="116"/>
  <c r="H7461" i="116"/>
  <c r="G7461" i="116"/>
  <c r="F7461" i="116"/>
  <c r="E7461" i="116"/>
  <c r="D7461" i="116"/>
  <c r="C7461" i="116"/>
  <c r="B7461" i="116"/>
  <c r="K7460" i="116"/>
  <c r="J7460" i="116"/>
  <c r="I7460" i="116"/>
  <c r="H7460" i="116"/>
  <c r="G7460" i="116"/>
  <c r="F7460" i="116"/>
  <c r="E7460" i="116"/>
  <c r="D7460" i="116"/>
  <c r="C7460" i="116"/>
  <c r="B7460" i="116"/>
  <c r="K7459" i="116"/>
  <c r="J7459" i="116"/>
  <c r="I7459" i="116"/>
  <c r="H7459" i="116"/>
  <c r="G7459" i="116"/>
  <c r="F7459" i="116"/>
  <c r="E7459" i="116"/>
  <c r="D7459" i="116"/>
  <c r="C7459" i="116"/>
  <c r="B7459" i="116"/>
  <c r="K7458" i="116"/>
  <c r="J7458" i="116"/>
  <c r="I7458" i="116"/>
  <c r="H7458" i="116"/>
  <c r="G7458" i="116"/>
  <c r="F7458" i="116"/>
  <c r="E7458" i="116"/>
  <c r="D7458" i="116"/>
  <c r="C7458" i="116"/>
  <c r="B7458" i="116"/>
  <c r="K7457" i="116"/>
  <c r="J7457" i="116"/>
  <c r="I7457" i="116"/>
  <c r="H7457" i="116"/>
  <c r="G7457" i="116"/>
  <c r="F7457" i="116"/>
  <c r="E7457" i="116"/>
  <c r="D7457" i="116"/>
  <c r="C7457" i="116"/>
  <c r="B7457" i="116"/>
  <c r="K7456" i="116"/>
  <c r="J7456" i="116"/>
  <c r="I7456" i="116"/>
  <c r="H7456" i="116"/>
  <c r="G7456" i="116"/>
  <c r="F7456" i="116"/>
  <c r="E7456" i="116"/>
  <c r="D7456" i="116"/>
  <c r="C7456" i="116"/>
  <c r="B7456" i="116"/>
  <c r="K7455" i="116"/>
  <c r="J7455" i="116"/>
  <c r="I7455" i="116"/>
  <c r="H7455" i="116"/>
  <c r="G7455" i="116"/>
  <c r="F7455" i="116"/>
  <c r="E7455" i="116"/>
  <c r="D7455" i="116"/>
  <c r="C7455" i="116"/>
  <c r="B7455" i="116"/>
  <c r="K7454" i="116"/>
  <c r="J7454" i="116"/>
  <c r="I7454" i="116"/>
  <c r="H7454" i="116"/>
  <c r="G7454" i="116"/>
  <c r="F7454" i="116"/>
  <c r="E7454" i="116"/>
  <c r="D7454" i="116"/>
  <c r="C7454" i="116"/>
  <c r="B7454" i="116"/>
  <c r="K7453" i="116"/>
  <c r="J7453" i="116"/>
  <c r="I7453" i="116"/>
  <c r="H7453" i="116"/>
  <c r="G7453" i="116"/>
  <c r="F7453" i="116"/>
  <c r="E7453" i="116"/>
  <c r="D7453" i="116"/>
  <c r="C7453" i="116"/>
  <c r="B7453" i="116"/>
  <c r="K7452" i="116"/>
  <c r="J7452" i="116"/>
  <c r="I7452" i="116"/>
  <c r="H7452" i="116"/>
  <c r="G7452" i="116"/>
  <c r="F7452" i="116"/>
  <c r="E7452" i="116"/>
  <c r="D7452" i="116"/>
  <c r="C7452" i="116"/>
  <c r="B7452" i="116"/>
  <c r="K7451" i="116"/>
  <c r="J7451" i="116"/>
  <c r="I7451" i="116"/>
  <c r="H7451" i="116"/>
  <c r="G7451" i="116"/>
  <c r="F7451" i="116"/>
  <c r="E7451" i="116"/>
  <c r="D7451" i="116"/>
  <c r="C7451" i="116"/>
  <c r="B7451" i="116"/>
  <c r="K7450" i="116"/>
  <c r="J7450" i="116"/>
  <c r="I7450" i="116"/>
  <c r="H7450" i="116"/>
  <c r="G7450" i="116"/>
  <c r="F7450" i="116"/>
  <c r="E7450" i="116"/>
  <c r="D7450" i="116"/>
  <c r="C7450" i="116"/>
  <c r="B7450" i="116"/>
  <c r="K7449" i="116"/>
  <c r="J7449" i="116"/>
  <c r="I7449" i="116"/>
  <c r="H7449" i="116"/>
  <c r="G7449" i="116"/>
  <c r="F7449" i="116"/>
  <c r="E7449" i="116"/>
  <c r="D7449" i="116"/>
  <c r="C7449" i="116"/>
  <c r="B7449" i="116"/>
  <c r="K7448" i="116"/>
  <c r="J7448" i="116"/>
  <c r="I7448" i="116"/>
  <c r="H7448" i="116"/>
  <c r="G7448" i="116"/>
  <c r="F7448" i="116"/>
  <c r="E7448" i="116"/>
  <c r="D7448" i="116"/>
  <c r="C7448" i="116"/>
  <c r="B7448" i="116"/>
  <c r="K7447" i="116"/>
  <c r="J7447" i="116"/>
  <c r="I7447" i="116"/>
  <c r="H7447" i="116"/>
  <c r="G7447" i="116"/>
  <c r="F7447" i="116"/>
  <c r="E7447" i="116"/>
  <c r="D7447" i="116"/>
  <c r="C7447" i="116"/>
  <c r="B7447" i="116"/>
  <c r="K7446" i="116"/>
  <c r="J7446" i="116"/>
  <c r="I7446" i="116"/>
  <c r="H7446" i="116"/>
  <c r="G7446" i="116"/>
  <c r="F7446" i="116"/>
  <c r="E7446" i="116"/>
  <c r="D7446" i="116"/>
  <c r="C7446" i="116"/>
  <c r="B7446" i="116"/>
  <c r="K7445" i="116"/>
  <c r="J7445" i="116"/>
  <c r="I7445" i="116"/>
  <c r="H7445" i="116"/>
  <c r="G7445" i="116"/>
  <c r="F7445" i="116"/>
  <c r="E7445" i="116"/>
  <c r="D7445" i="116"/>
  <c r="C7445" i="116"/>
  <c r="B7445" i="116"/>
  <c r="K7444" i="116"/>
  <c r="J7444" i="116"/>
  <c r="I7444" i="116"/>
  <c r="H7444" i="116"/>
  <c r="G7444" i="116"/>
  <c r="F7444" i="116"/>
  <c r="E7444" i="116"/>
  <c r="D7444" i="116"/>
  <c r="C7444" i="116"/>
  <c r="B7444" i="116"/>
  <c r="K7443" i="116"/>
  <c r="J7443" i="116"/>
  <c r="I7443" i="116"/>
  <c r="H7443" i="116"/>
  <c r="G7443" i="116"/>
  <c r="F7443" i="116"/>
  <c r="E7443" i="116"/>
  <c r="D7443" i="116"/>
  <c r="C7443" i="116"/>
  <c r="B7443" i="116"/>
  <c r="K7442" i="116"/>
  <c r="J7442" i="116"/>
  <c r="I7442" i="116"/>
  <c r="H7442" i="116"/>
  <c r="G7442" i="116"/>
  <c r="F7442" i="116"/>
  <c r="E7442" i="116"/>
  <c r="D7442" i="116"/>
  <c r="C7442" i="116"/>
  <c r="B7442" i="116"/>
  <c r="K7441" i="116"/>
  <c r="J7441" i="116"/>
  <c r="I7441" i="116"/>
  <c r="H7441" i="116"/>
  <c r="G7441" i="116"/>
  <c r="F7441" i="116"/>
  <c r="E7441" i="116"/>
  <c r="D7441" i="116"/>
  <c r="C7441" i="116"/>
  <c r="B7441" i="116"/>
  <c r="K7440" i="116"/>
  <c r="J7440" i="116"/>
  <c r="I7440" i="116"/>
  <c r="H7440" i="116"/>
  <c r="G7440" i="116"/>
  <c r="F7440" i="116"/>
  <c r="E7440" i="116"/>
  <c r="D7440" i="116"/>
  <c r="C7440" i="116"/>
  <c r="B7440" i="116"/>
  <c r="K7439" i="116"/>
  <c r="J7439" i="116"/>
  <c r="I7439" i="116"/>
  <c r="H7439" i="116"/>
  <c r="G7439" i="116"/>
  <c r="F7439" i="116"/>
  <c r="E7439" i="116"/>
  <c r="D7439" i="116"/>
  <c r="C7439" i="116"/>
  <c r="B7439" i="116"/>
  <c r="K7438" i="116"/>
  <c r="J7438" i="116"/>
  <c r="I7438" i="116"/>
  <c r="H7438" i="116"/>
  <c r="G7438" i="116"/>
  <c r="F7438" i="116"/>
  <c r="E7438" i="116"/>
  <c r="D7438" i="116"/>
  <c r="C7438" i="116"/>
  <c r="B7438" i="116"/>
  <c r="K7437" i="116"/>
  <c r="J7437" i="116"/>
  <c r="I7437" i="116"/>
  <c r="H7437" i="116"/>
  <c r="G7437" i="116"/>
  <c r="F7437" i="116"/>
  <c r="E7437" i="116"/>
  <c r="D7437" i="116"/>
  <c r="C7437" i="116"/>
  <c r="B7437" i="116"/>
  <c r="K7436" i="116"/>
  <c r="J7436" i="116"/>
  <c r="I7436" i="116"/>
  <c r="H7436" i="116"/>
  <c r="G7436" i="116"/>
  <c r="F7436" i="116"/>
  <c r="E7436" i="116"/>
  <c r="D7436" i="116"/>
  <c r="C7436" i="116"/>
  <c r="B7436" i="116"/>
  <c r="K7435" i="116"/>
  <c r="J7435" i="116"/>
  <c r="I7435" i="116"/>
  <c r="H7435" i="116"/>
  <c r="G7435" i="116"/>
  <c r="F7435" i="116"/>
  <c r="E7435" i="116"/>
  <c r="D7435" i="116"/>
  <c r="C7435" i="116"/>
  <c r="B7435" i="116"/>
  <c r="K7434" i="116"/>
  <c r="J7434" i="116"/>
  <c r="I7434" i="116"/>
  <c r="H7434" i="116"/>
  <c r="G7434" i="116"/>
  <c r="F7434" i="116"/>
  <c r="E7434" i="116"/>
  <c r="D7434" i="116"/>
  <c r="C7434" i="116"/>
  <c r="B7434" i="116"/>
  <c r="K7433" i="116"/>
  <c r="J7433" i="116"/>
  <c r="I7433" i="116"/>
  <c r="H7433" i="116"/>
  <c r="G7433" i="116"/>
  <c r="F7433" i="116"/>
  <c r="E7433" i="116"/>
  <c r="D7433" i="116"/>
  <c r="C7433" i="116"/>
  <c r="B7433" i="116"/>
  <c r="K7432" i="116"/>
  <c r="J7432" i="116"/>
  <c r="I7432" i="116"/>
  <c r="H7432" i="116"/>
  <c r="G7432" i="116"/>
  <c r="F7432" i="116"/>
  <c r="E7432" i="116"/>
  <c r="D7432" i="116"/>
  <c r="C7432" i="116"/>
  <c r="B7432" i="116"/>
  <c r="K7431" i="116"/>
  <c r="J7431" i="116"/>
  <c r="I7431" i="116"/>
  <c r="H7431" i="116"/>
  <c r="G7431" i="116"/>
  <c r="F7431" i="116"/>
  <c r="E7431" i="116"/>
  <c r="D7431" i="116"/>
  <c r="C7431" i="116"/>
  <c r="B7431" i="116"/>
  <c r="K7430" i="116"/>
  <c r="J7430" i="116"/>
  <c r="I7430" i="116"/>
  <c r="H7430" i="116"/>
  <c r="G7430" i="116"/>
  <c r="F7430" i="116"/>
  <c r="E7430" i="116"/>
  <c r="D7430" i="116"/>
  <c r="C7430" i="116"/>
  <c r="B7430" i="116"/>
  <c r="K7429" i="116"/>
  <c r="J7429" i="116"/>
  <c r="I7429" i="116"/>
  <c r="H7429" i="116"/>
  <c r="G7429" i="116"/>
  <c r="F7429" i="116"/>
  <c r="E7429" i="116"/>
  <c r="D7429" i="116"/>
  <c r="C7429" i="116"/>
  <c r="B7429" i="116"/>
  <c r="K7428" i="116"/>
  <c r="J7428" i="116"/>
  <c r="I7428" i="116"/>
  <c r="H7428" i="116"/>
  <c r="G7428" i="116"/>
  <c r="F7428" i="116"/>
  <c r="E7428" i="116"/>
  <c r="D7428" i="116"/>
  <c r="C7428" i="116"/>
  <c r="B7428" i="116"/>
  <c r="K7427" i="116"/>
  <c r="J7427" i="116"/>
  <c r="I7427" i="116"/>
  <c r="H7427" i="116"/>
  <c r="G7427" i="116"/>
  <c r="F7427" i="116"/>
  <c r="E7427" i="116"/>
  <c r="D7427" i="116"/>
  <c r="C7427" i="116"/>
  <c r="B7427" i="116"/>
  <c r="K7426" i="116"/>
  <c r="J7426" i="116"/>
  <c r="I7426" i="116"/>
  <c r="H7426" i="116"/>
  <c r="G7426" i="116"/>
  <c r="F7426" i="116"/>
  <c r="E7426" i="116"/>
  <c r="D7426" i="116"/>
  <c r="C7426" i="116"/>
  <c r="B7426" i="116"/>
  <c r="K7425" i="116"/>
  <c r="J7425" i="116"/>
  <c r="I7425" i="116"/>
  <c r="H7425" i="116"/>
  <c r="G7425" i="116"/>
  <c r="F7425" i="116"/>
  <c r="E7425" i="116"/>
  <c r="D7425" i="116"/>
  <c r="C7425" i="116"/>
  <c r="B7425" i="116"/>
  <c r="K7424" i="116"/>
  <c r="J7424" i="116"/>
  <c r="I7424" i="116"/>
  <c r="H7424" i="116"/>
  <c r="G7424" i="116"/>
  <c r="F7424" i="116"/>
  <c r="E7424" i="116"/>
  <c r="D7424" i="116"/>
  <c r="C7424" i="116"/>
  <c r="B7424" i="116"/>
  <c r="K7423" i="116"/>
  <c r="J7423" i="116"/>
  <c r="I7423" i="116"/>
  <c r="H7423" i="116"/>
  <c r="G7423" i="116"/>
  <c r="F7423" i="116"/>
  <c r="E7423" i="116"/>
  <c r="D7423" i="116"/>
  <c r="C7423" i="116"/>
  <c r="B7423" i="116"/>
  <c r="K7422" i="116"/>
  <c r="J7422" i="116"/>
  <c r="I7422" i="116"/>
  <c r="H7422" i="116"/>
  <c r="G7422" i="116"/>
  <c r="F7422" i="116"/>
  <c r="E7422" i="116"/>
  <c r="D7422" i="116"/>
  <c r="C7422" i="116"/>
  <c r="B7422" i="116"/>
  <c r="K7421" i="116"/>
  <c r="J7421" i="116"/>
  <c r="I7421" i="116"/>
  <c r="H7421" i="116"/>
  <c r="G7421" i="116"/>
  <c r="F7421" i="116"/>
  <c r="E7421" i="116"/>
  <c r="D7421" i="116"/>
  <c r="C7421" i="116"/>
  <c r="B7421" i="116"/>
  <c r="K7420" i="116"/>
  <c r="J7420" i="116"/>
  <c r="I7420" i="116"/>
  <c r="H7420" i="116"/>
  <c r="G7420" i="116"/>
  <c r="F7420" i="116"/>
  <c r="E7420" i="116"/>
  <c r="D7420" i="116"/>
  <c r="C7420" i="116"/>
  <c r="B7420" i="116"/>
  <c r="K7419" i="116"/>
  <c r="J7419" i="116"/>
  <c r="I7419" i="116"/>
  <c r="H7419" i="116"/>
  <c r="G7419" i="116"/>
  <c r="F7419" i="116"/>
  <c r="E7419" i="116"/>
  <c r="D7419" i="116"/>
  <c r="C7419" i="116"/>
  <c r="B7419" i="116"/>
  <c r="K7418" i="116"/>
  <c r="J7418" i="116"/>
  <c r="I7418" i="116"/>
  <c r="H7418" i="116"/>
  <c r="G7418" i="116"/>
  <c r="F7418" i="116"/>
  <c r="E7418" i="116"/>
  <c r="D7418" i="116"/>
  <c r="C7418" i="116"/>
  <c r="B7418" i="116"/>
  <c r="K7417" i="116"/>
  <c r="J7417" i="116"/>
  <c r="I7417" i="116"/>
  <c r="H7417" i="116"/>
  <c r="G7417" i="116"/>
  <c r="F7417" i="116"/>
  <c r="E7417" i="116"/>
  <c r="D7417" i="116"/>
  <c r="C7417" i="116"/>
  <c r="B7417" i="116"/>
  <c r="K7416" i="116"/>
  <c r="J7416" i="116"/>
  <c r="I7416" i="116"/>
  <c r="H7416" i="116"/>
  <c r="G7416" i="116"/>
  <c r="F7416" i="116"/>
  <c r="E7416" i="116"/>
  <c r="D7416" i="116"/>
  <c r="C7416" i="116"/>
  <c r="B7416" i="116"/>
  <c r="K7415" i="116"/>
  <c r="J7415" i="116"/>
  <c r="I7415" i="116"/>
  <c r="H7415" i="116"/>
  <c r="G7415" i="116"/>
  <c r="F7415" i="116"/>
  <c r="E7415" i="116"/>
  <c r="D7415" i="116"/>
  <c r="C7415" i="116"/>
  <c r="B7415" i="116"/>
  <c r="K7414" i="116"/>
  <c r="J7414" i="116"/>
  <c r="I7414" i="116"/>
  <c r="H7414" i="116"/>
  <c r="G7414" i="116"/>
  <c r="F7414" i="116"/>
  <c r="E7414" i="116"/>
  <c r="D7414" i="116"/>
  <c r="C7414" i="116"/>
  <c r="B7414" i="116"/>
  <c r="K7413" i="116"/>
  <c r="J7413" i="116"/>
  <c r="I7413" i="116"/>
  <c r="H7413" i="116"/>
  <c r="G7413" i="116"/>
  <c r="F7413" i="116"/>
  <c r="E7413" i="116"/>
  <c r="D7413" i="116"/>
  <c r="C7413" i="116"/>
  <c r="B7413" i="116"/>
  <c r="K7412" i="116"/>
  <c r="J7412" i="116"/>
  <c r="I7412" i="116"/>
  <c r="H7412" i="116"/>
  <c r="G7412" i="116"/>
  <c r="F7412" i="116"/>
  <c r="E7412" i="116"/>
  <c r="D7412" i="116"/>
  <c r="C7412" i="116"/>
  <c r="B7412" i="116"/>
  <c r="K7411" i="116"/>
  <c r="J7411" i="116"/>
  <c r="I7411" i="116"/>
  <c r="H7411" i="116"/>
  <c r="G7411" i="116"/>
  <c r="F7411" i="116"/>
  <c r="E7411" i="116"/>
  <c r="D7411" i="116"/>
  <c r="C7411" i="116"/>
  <c r="B7411" i="116"/>
  <c r="K7410" i="116"/>
  <c r="J7410" i="116"/>
  <c r="I7410" i="116"/>
  <c r="H7410" i="116"/>
  <c r="G7410" i="116"/>
  <c r="F7410" i="116"/>
  <c r="E7410" i="116"/>
  <c r="D7410" i="116"/>
  <c r="C7410" i="116"/>
  <c r="B7410" i="116"/>
  <c r="K7409" i="116"/>
  <c r="J7409" i="116"/>
  <c r="I7409" i="116"/>
  <c r="H7409" i="116"/>
  <c r="G7409" i="116"/>
  <c r="F7409" i="116"/>
  <c r="E7409" i="116"/>
  <c r="D7409" i="116"/>
  <c r="C7409" i="116"/>
  <c r="B7409" i="116"/>
  <c r="K7408" i="116"/>
  <c r="J7408" i="116"/>
  <c r="I7408" i="116"/>
  <c r="H7408" i="116"/>
  <c r="G7408" i="116"/>
  <c r="F7408" i="116"/>
  <c r="E7408" i="116"/>
  <c r="D7408" i="116"/>
  <c r="C7408" i="116"/>
  <c r="B7408" i="116"/>
  <c r="K7407" i="116"/>
  <c r="J7407" i="116"/>
  <c r="I7407" i="116"/>
  <c r="H7407" i="116"/>
  <c r="G7407" i="116"/>
  <c r="F7407" i="116"/>
  <c r="E7407" i="116"/>
  <c r="D7407" i="116"/>
  <c r="C7407" i="116"/>
  <c r="B7407" i="116"/>
  <c r="K7406" i="116"/>
  <c r="J7406" i="116"/>
  <c r="I7406" i="116"/>
  <c r="H7406" i="116"/>
  <c r="G7406" i="116"/>
  <c r="F7406" i="116"/>
  <c r="E7406" i="116"/>
  <c r="D7406" i="116"/>
  <c r="C7406" i="116"/>
  <c r="B7406" i="116"/>
  <c r="K7405" i="116"/>
  <c r="J7405" i="116"/>
  <c r="I7405" i="116"/>
  <c r="H7405" i="116"/>
  <c r="G7405" i="116"/>
  <c r="F7405" i="116"/>
  <c r="E7405" i="116"/>
  <c r="D7405" i="116"/>
  <c r="C7405" i="116"/>
  <c r="B7405" i="116"/>
  <c r="K7404" i="116"/>
  <c r="J7404" i="116"/>
  <c r="I7404" i="116"/>
  <c r="H7404" i="116"/>
  <c r="G7404" i="116"/>
  <c r="F7404" i="116"/>
  <c r="E7404" i="116"/>
  <c r="D7404" i="116"/>
  <c r="C7404" i="116"/>
  <c r="B7404" i="116"/>
  <c r="K7403" i="116"/>
  <c r="J7403" i="116"/>
  <c r="I7403" i="116"/>
  <c r="H7403" i="116"/>
  <c r="G7403" i="116"/>
  <c r="F7403" i="116"/>
  <c r="E7403" i="116"/>
  <c r="D7403" i="116"/>
  <c r="C7403" i="116"/>
  <c r="B7403" i="116"/>
  <c r="K7402" i="116"/>
  <c r="J7402" i="116"/>
  <c r="I7402" i="116"/>
  <c r="H7402" i="116"/>
  <c r="G7402" i="116"/>
  <c r="F7402" i="116"/>
  <c r="E7402" i="116"/>
  <c r="D7402" i="116"/>
  <c r="C7402" i="116"/>
  <c r="B7402" i="116"/>
  <c r="K7401" i="116"/>
  <c r="J7401" i="116"/>
  <c r="I7401" i="116"/>
  <c r="H7401" i="116"/>
  <c r="G7401" i="116"/>
  <c r="F7401" i="116"/>
  <c r="E7401" i="116"/>
  <c r="D7401" i="116"/>
  <c r="C7401" i="116"/>
  <c r="B7401" i="116"/>
  <c r="K7400" i="116"/>
  <c r="J7400" i="116"/>
  <c r="I7400" i="116"/>
  <c r="H7400" i="116"/>
  <c r="G7400" i="116"/>
  <c r="F7400" i="116"/>
  <c r="E7400" i="116"/>
  <c r="D7400" i="116"/>
  <c r="C7400" i="116"/>
  <c r="B7400" i="116"/>
  <c r="K7399" i="116"/>
  <c r="J7399" i="116"/>
  <c r="I7399" i="116"/>
  <c r="H7399" i="116"/>
  <c r="G7399" i="116"/>
  <c r="F7399" i="116"/>
  <c r="E7399" i="116"/>
  <c r="D7399" i="116"/>
  <c r="C7399" i="116"/>
  <c r="B7399" i="116"/>
  <c r="K7398" i="116"/>
  <c r="J7398" i="116"/>
  <c r="I7398" i="116"/>
  <c r="H7398" i="116"/>
  <c r="G7398" i="116"/>
  <c r="F7398" i="116"/>
  <c r="E7398" i="116"/>
  <c r="D7398" i="116"/>
  <c r="C7398" i="116"/>
  <c r="B7398" i="116"/>
  <c r="K7397" i="116"/>
  <c r="J7397" i="116"/>
  <c r="I7397" i="116"/>
  <c r="H7397" i="116"/>
  <c r="G7397" i="116"/>
  <c r="F7397" i="116"/>
  <c r="E7397" i="116"/>
  <c r="D7397" i="116"/>
  <c r="C7397" i="116"/>
  <c r="B7397" i="116"/>
  <c r="K7396" i="116"/>
  <c r="J7396" i="116"/>
  <c r="I7396" i="116"/>
  <c r="H7396" i="116"/>
  <c r="G7396" i="116"/>
  <c r="F7396" i="116"/>
  <c r="E7396" i="116"/>
  <c r="D7396" i="116"/>
  <c r="C7396" i="116"/>
  <c r="B7396" i="116"/>
  <c r="K7395" i="116"/>
  <c r="J7395" i="116"/>
  <c r="I7395" i="116"/>
  <c r="H7395" i="116"/>
  <c r="G7395" i="116"/>
  <c r="F7395" i="116"/>
  <c r="E7395" i="116"/>
  <c r="D7395" i="116"/>
  <c r="C7395" i="116"/>
  <c r="B7395" i="116"/>
  <c r="K7394" i="116"/>
  <c r="J7394" i="116"/>
  <c r="I7394" i="116"/>
  <c r="H7394" i="116"/>
  <c r="G7394" i="116"/>
  <c r="F7394" i="116"/>
  <c r="E7394" i="116"/>
  <c r="D7394" i="116"/>
  <c r="C7394" i="116"/>
  <c r="B7394" i="116"/>
  <c r="K7393" i="116"/>
  <c r="J7393" i="116"/>
  <c r="I7393" i="116"/>
  <c r="H7393" i="116"/>
  <c r="G7393" i="116"/>
  <c r="F7393" i="116"/>
  <c r="E7393" i="116"/>
  <c r="D7393" i="116"/>
  <c r="C7393" i="116"/>
  <c r="B7393" i="116"/>
  <c r="K7392" i="116"/>
  <c r="J7392" i="116"/>
  <c r="I7392" i="116"/>
  <c r="H7392" i="116"/>
  <c r="G7392" i="116"/>
  <c r="F7392" i="116"/>
  <c r="E7392" i="116"/>
  <c r="D7392" i="116"/>
  <c r="C7392" i="116"/>
  <c r="B7392" i="116"/>
  <c r="K7391" i="116"/>
  <c r="J7391" i="116"/>
  <c r="I7391" i="116"/>
  <c r="H7391" i="116"/>
  <c r="G7391" i="116"/>
  <c r="F7391" i="116"/>
  <c r="E7391" i="116"/>
  <c r="D7391" i="116"/>
  <c r="C7391" i="116"/>
  <c r="B7391" i="116"/>
  <c r="K7390" i="116"/>
  <c r="J7390" i="116"/>
  <c r="I7390" i="116"/>
  <c r="H7390" i="116"/>
  <c r="G7390" i="116"/>
  <c r="F7390" i="116"/>
  <c r="E7390" i="116"/>
  <c r="D7390" i="116"/>
  <c r="C7390" i="116"/>
  <c r="B7390" i="116"/>
  <c r="K7389" i="116"/>
  <c r="J7389" i="116"/>
  <c r="I7389" i="116"/>
  <c r="H7389" i="116"/>
  <c r="G7389" i="116"/>
  <c r="F7389" i="116"/>
  <c r="E7389" i="116"/>
  <c r="D7389" i="116"/>
  <c r="C7389" i="116"/>
  <c r="B7389" i="116"/>
  <c r="K7388" i="116"/>
  <c r="J7388" i="116"/>
  <c r="I7388" i="116"/>
  <c r="H7388" i="116"/>
  <c r="G7388" i="116"/>
  <c r="F7388" i="116"/>
  <c r="E7388" i="116"/>
  <c r="D7388" i="116"/>
  <c r="C7388" i="116"/>
  <c r="B7388" i="116"/>
  <c r="K7387" i="116"/>
  <c r="J7387" i="116"/>
  <c r="I7387" i="116"/>
  <c r="H7387" i="116"/>
  <c r="G7387" i="116"/>
  <c r="F7387" i="116"/>
  <c r="E7387" i="116"/>
  <c r="D7387" i="116"/>
  <c r="C7387" i="116"/>
  <c r="B7387" i="116"/>
  <c r="K7386" i="116"/>
  <c r="J7386" i="116"/>
  <c r="I7386" i="116"/>
  <c r="H7386" i="116"/>
  <c r="G7386" i="116"/>
  <c r="F7386" i="116"/>
  <c r="E7386" i="116"/>
  <c r="D7386" i="116"/>
  <c r="C7386" i="116"/>
  <c r="B7386" i="116"/>
  <c r="K7385" i="116"/>
  <c r="J7385" i="116"/>
  <c r="I7385" i="116"/>
  <c r="H7385" i="116"/>
  <c r="G7385" i="116"/>
  <c r="F7385" i="116"/>
  <c r="E7385" i="116"/>
  <c r="D7385" i="116"/>
  <c r="C7385" i="116"/>
  <c r="B7385" i="116"/>
  <c r="K7384" i="116"/>
  <c r="J7384" i="116"/>
  <c r="I7384" i="116"/>
  <c r="H7384" i="116"/>
  <c r="G7384" i="116"/>
  <c r="F7384" i="116"/>
  <c r="E7384" i="116"/>
  <c r="D7384" i="116"/>
  <c r="C7384" i="116"/>
  <c r="B7384" i="116"/>
  <c r="K7383" i="116"/>
  <c r="J7383" i="116"/>
  <c r="I7383" i="116"/>
  <c r="H7383" i="116"/>
  <c r="G7383" i="116"/>
  <c r="F7383" i="116"/>
  <c r="E7383" i="116"/>
  <c r="D7383" i="116"/>
  <c r="C7383" i="116"/>
  <c r="B7383" i="116"/>
  <c r="K7382" i="116"/>
  <c r="J7382" i="116"/>
  <c r="I7382" i="116"/>
  <c r="H7382" i="116"/>
  <c r="G7382" i="116"/>
  <c r="F7382" i="116"/>
  <c r="E7382" i="116"/>
  <c r="D7382" i="116"/>
  <c r="C7382" i="116"/>
  <c r="B7382" i="116"/>
  <c r="K7381" i="116"/>
  <c r="J7381" i="116"/>
  <c r="I7381" i="116"/>
  <c r="H7381" i="116"/>
  <c r="G7381" i="116"/>
  <c r="F7381" i="116"/>
  <c r="E7381" i="116"/>
  <c r="D7381" i="116"/>
  <c r="C7381" i="116"/>
  <c r="B7381" i="116"/>
  <c r="K7380" i="116"/>
  <c r="J7380" i="116"/>
  <c r="I7380" i="116"/>
  <c r="H7380" i="116"/>
  <c r="G7380" i="116"/>
  <c r="F7380" i="116"/>
  <c r="E7380" i="116"/>
  <c r="D7380" i="116"/>
  <c r="C7380" i="116"/>
  <c r="B7380" i="116"/>
  <c r="K7379" i="116"/>
  <c r="J7379" i="116"/>
  <c r="I7379" i="116"/>
  <c r="H7379" i="116"/>
  <c r="G7379" i="116"/>
  <c r="F7379" i="116"/>
  <c r="E7379" i="116"/>
  <c r="D7379" i="116"/>
  <c r="C7379" i="116"/>
  <c r="B7379" i="116"/>
  <c r="K7378" i="116"/>
  <c r="J7378" i="116"/>
  <c r="I7378" i="116"/>
  <c r="H7378" i="116"/>
  <c r="G7378" i="116"/>
  <c r="F7378" i="116"/>
  <c r="E7378" i="116"/>
  <c r="D7378" i="116"/>
  <c r="C7378" i="116"/>
  <c r="B7378" i="116"/>
  <c r="K7377" i="116"/>
  <c r="J7377" i="116"/>
  <c r="I7377" i="116"/>
  <c r="H7377" i="116"/>
  <c r="G7377" i="116"/>
  <c r="F7377" i="116"/>
  <c r="E7377" i="116"/>
  <c r="D7377" i="116"/>
  <c r="C7377" i="116"/>
  <c r="B7377" i="116"/>
  <c r="K7376" i="116"/>
  <c r="J7376" i="116"/>
  <c r="I7376" i="116"/>
  <c r="H7376" i="116"/>
  <c r="G7376" i="116"/>
  <c r="F7376" i="116"/>
  <c r="E7376" i="116"/>
  <c r="D7376" i="116"/>
  <c r="C7376" i="116"/>
  <c r="B7376" i="116"/>
  <c r="K7375" i="116"/>
  <c r="J7375" i="116"/>
  <c r="I7375" i="116"/>
  <c r="H7375" i="116"/>
  <c r="G7375" i="116"/>
  <c r="F7375" i="116"/>
  <c r="E7375" i="116"/>
  <c r="D7375" i="116"/>
  <c r="C7375" i="116"/>
  <c r="B7375" i="116"/>
  <c r="K7374" i="116"/>
  <c r="J7374" i="116"/>
  <c r="I7374" i="116"/>
  <c r="H7374" i="116"/>
  <c r="G7374" i="116"/>
  <c r="F7374" i="116"/>
  <c r="E7374" i="116"/>
  <c r="D7374" i="116"/>
  <c r="C7374" i="116"/>
  <c r="B7374" i="116"/>
  <c r="K7373" i="116"/>
  <c r="J7373" i="116"/>
  <c r="I7373" i="116"/>
  <c r="H7373" i="116"/>
  <c r="G7373" i="116"/>
  <c r="F7373" i="116"/>
  <c r="E7373" i="116"/>
  <c r="D7373" i="116"/>
  <c r="C7373" i="116"/>
  <c r="B7373" i="116"/>
  <c r="K7372" i="116"/>
  <c r="J7372" i="116"/>
  <c r="I7372" i="116"/>
  <c r="H7372" i="116"/>
  <c r="G7372" i="116"/>
  <c r="F7372" i="116"/>
  <c r="E7372" i="116"/>
  <c r="D7372" i="116"/>
  <c r="C7372" i="116"/>
  <c r="B7372" i="116"/>
  <c r="K7371" i="116"/>
  <c r="J7371" i="116"/>
  <c r="I7371" i="116"/>
  <c r="H7371" i="116"/>
  <c r="G7371" i="116"/>
  <c r="F7371" i="116"/>
  <c r="E7371" i="116"/>
  <c r="D7371" i="116"/>
  <c r="C7371" i="116"/>
  <c r="B7371" i="116"/>
  <c r="K7370" i="116"/>
  <c r="J7370" i="116"/>
  <c r="I7370" i="116"/>
  <c r="H7370" i="116"/>
  <c r="G7370" i="116"/>
  <c r="F7370" i="116"/>
  <c r="E7370" i="116"/>
  <c r="D7370" i="116"/>
  <c r="C7370" i="116"/>
  <c r="B7370" i="116"/>
  <c r="K7369" i="116"/>
  <c r="J7369" i="116"/>
  <c r="I7369" i="116"/>
  <c r="H7369" i="116"/>
  <c r="G7369" i="116"/>
  <c r="F7369" i="116"/>
  <c r="E7369" i="116"/>
  <c r="D7369" i="116"/>
  <c r="C7369" i="116"/>
  <c r="B7369" i="116"/>
  <c r="K7368" i="116"/>
  <c r="J7368" i="116"/>
  <c r="I7368" i="116"/>
  <c r="H7368" i="116"/>
  <c r="G7368" i="116"/>
  <c r="F7368" i="116"/>
  <c r="E7368" i="116"/>
  <c r="D7368" i="116"/>
  <c r="C7368" i="116"/>
  <c r="B7368" i="116"/>
  <c r="K7367" i="116"/>
  <c r="J7367" i="116"/>
  <c r="I7367" i="116"/>
  <c r="H7367" i="116"/>
  <c r="G7367" i="116"/>
  <c r="F7367" i="116"/>
  <c r="E7367" i="116"/>
  <c r="D7367" i="116"/>
  <c r="C7367" i="116"/>
  <c r="B7367" i="116"/>
  <c r="K7366" i="116"/>
  <c r="J7366" i="116"/>
  <c r="I7366" i="116"/>
  <c r="H7366" i="116"/>
  <c r="G7366" i="116"/>
  <c r="F7366" i="116"/>
  <c r="E7366" i="116"/>
  <c r="D7366" i="116"/>
  <c r="C7366" i="116"/>
  <c r="B7366" i="116"/>
  <c r="K7365" i="116"/>
  <c r="J7365" i="116"/>
  <c r="I7365" i="116"/>
  <c r="H7365" i="116"/>
  <c r="G7365" i="116"/>
  <c r="F7365" i="116"/>
  <c r="E7365" i="116"/>
  <c r="D7365" i="116"/>
  <c r="C7365" i="116"/>
  <c r="B7365" i="116"/>
  <c r="K7364" i="116"/>
  <c r="J7364" i="116"/>
  <c r="I7364" i="116"/>
  <c r="H7364" i="116"/>
  <c r="G7364" i="116"/>
  <c r="F7364" i="116"/>
  <c r="E7364" i="116"/>
  <c r="D7364" i="116"/>
  <c r="C7364" i="116"/>
  <c r="B7364" i="116"/>
  <c r="K7363" i="116"/>
  <c r="J7363" i="116"/>
  <c r="I7363" i="116"/>
  <c r="H7363" i="116"/>
  <c r="G7363" i="116"/>
  <c r="F7363" i="116"/>
  <c r="E7363" i="116"/>
  <c r="D7363" i="116"/>
  <c r="C7363" i="116"/>
  <c r="B7363" i="116"/>
  <c r="K7362" i="116"/>
  <c r="J7362" i="116"/>
  <c r="I7362" i="116"/>
  <c r="H7362" i="116"/>
  <c r="G7362" i="116"/>
  <c r="F7362" i="116"/>
  <c r="E7362" i="116"/>
  <c r="D7362" i="116"/>
  <c r="C7362" i="116"/>
  <c r="B7362" i="116"/>
  <c r="K7361" i="116"/>
  <c r="J7361" i="116"/>
  <c r="I7361" i="116"/>
  <c r="H7361" i="116"/>
  <c r="G7361" i="116"/>
  <c r="F7361" i="116"/>
  <c r="E7361" i="116"/>
  <c r="D7361" i="116"/>
  <c r="C7361" i="116"/>
  <c r="B7361" i="116"/>
  <c r="K7360" i="116"/>
  <c r="J7360" i="116"/>
  <c r="I7360" i="116"/>
  <c r="H7360" i="116"/>
  <c r="G7360" i="116"/>
  <c r="F7360" i="116"/>
  <c r="E7360" i="116"/>
  <c r="D7360" i="116"/>
  <c r="C7360" i="116"/>
  <c r="B7360" i="116"/>
  <c r="K7359" i="116"/>
  <c r="J7359" i="116"/>
  <c r="I7359" i="116"/>
  <c r="H7359" i="116"/>
  <c r="G7359" i="116"/>
  <c r="F7359" i="116"/>
  <c r="E7359" i="116"/>
  <c r="D7359" i="116"/>
  <c r="C7359" i="116"/>
  <c r="B7359" i="116"/>
  <c r="K7358" i="116"/>
  <c r="J7358" i="116"/>
  <c r="I7358" i="116"/>
  <c r="H7358" i="116"/>
  <c r="G7358" i="116"/>
  <c r="F7358" i="116"/>
  <c r="E7358" i="116"/>
  <c r="D7358" i="116"/>
  <c r="C7358" i="116"/>
  <c r="B7358" i="116"/>
  <c r="K7357" i="116"/>
  <c r="J7357" i="116"/>
  <c r="I7357" i="116"/>
  <c r="H7357" i="116"/>
  <c r="G7357" i="116"/>
  <c r="F7357" i="116"/>
  <c r="E7357" i="116"/>
  <c r="D7357" i="116"/>
  <c r="C7357" i="116"/>
  <c r="B7357" i="116"/>
  <c r="K7356" i="116"/>
  <c r="J7356" i="116"/>
  <c r="I7356" i="116"/>
  <c r="H7356" i="116"/>
  <c r="G7356" i="116"/>
  <c r="F7356" i="116"/>
  <c r="E7356" i="116"/>
  <c r="D7356" i="116"/>
  <c r="C7356" i="116"/>
  <c r="B7356" i="116"/>
  <c r="K7355" i="116"/>
  <c r="J7355" i="116"/>
  <c r="I7355" i="116"/>
  <c r="H7355" i="116"/>
  <c r="G7355" i="116"/>
  <c r="F7355" i="116"/>
  <c r="E7355" i="116"/>
  <c r="D7355" i="116"/>
  <c r="C7355" i="116"/>
  <c r="B7355" i="116"/>
  <c r="K7354" i="116"/>
  <c r="J7354" i="116"/>
  <c r="I7354" i="116"/>
  <c r="H7354" i="116"/>
  <c r="G7354" i="116"/>
  <c r="F7354" i="116"/>
  <c r="E7354" i="116"/>
  <c r="D7354" i="116"/>
  <c r="C7354" i="116"/>
  <c r="B7354" i="116"/>
  <c r="K7353" i="116"/>
  <c r="J7353" i="116"/>
  <c r="I7353" i="116"/>
  <c r="H7353" i="116"/>
  <c r="G7353" i="116"/>
  <c r="F7353" i="116"/>
  <c r="E7353" i="116"/>
  <c r="D7353" i="116"/>
  <c r="C7353" i="116"/>
  <c r="B7353" i="116"/>
  <c r="K7352" i="116"/>
  <c r="J7352" i="116"/>
  <c r="I7352" i="116"/>
  <c r="H7352" i="116"/>
  <c r="G7352" i="116"/>
  <c r="F7352" i="116"/>
  <c r="E7352" i="116"/>
  <c r="D7352" i="116"/>
  <c r="C7352" i="116"/>
  <c r="B7352" i="116"/>
  <c r="K7351" i="116"/>
  <c r="J7351" i="116"/>
  <c r="I7351" i="116"/>
  <c r="H7351" i="116"/>
  <c r="G7351" i="116"/>
  <c r="F7351" i="116"/>
  <c r="E7351" i="116"/>
  <c r="D7351" i="116"/>
  <c r="C7351" i="116"/>
  <c r="B7351" i="116"/>
  <c r="K7350" i="116"/>
  <c r="J7350" i="116"/>
  <c r="I7350" i="116"/>
  <c r="H7350" i="116"/>
  <c r="G7350" i="116"/>
  <c r="F7350" i="116"/>
  <c r="E7350" i="116"/>
  <c r="D7350" i="116"/>
  <c r="C7350" i="116"/>
  <c r="B7350" i="116"/>
  <c r="K7349" i="116"/>
  <c r="J7349" i="116"/>
  <c r="I7349" i="116"/>
  <c r="H7349" i="116"/>
  <c r="G7349" i="116"/>
  <c r="F7349" i="116"/>
  <c r="E7349" i="116"/>
  <c r="D7349" i="116"/>
  <c r="C7349" i="116"/>
  <c r="B7349" i="116"/>
  <c r="K7348" i="116"/>
  <c r="J7348" i="116"/>
  <c r="I7348" i="116"/>
  <c r="H7348" i="116"/>
  <c r="G7348" i="116"/>
  <c r="F7348" i="116"/>
  <c r="E7348" i="116"/>
  <c r="D7348" i="116"/>
  <c r="C7348" i="116"/>
  <c r="B7348" i="116"/>
  <c r="K7347" i="116"/>
  <c r="J7347" i="116"/>
  <c r="I7347" i="116"/>
  <c r="H7347" i="116"/>
  <c r="G7347" i="116"/>
  <c r="F7347" i="116"/>
  <c r="E7347" i="116"/>
  <c r="D7347" i="116"/>
  <c r="C7347" i="116"/>
  <c r="B7347" i="116"/>
  <c r="K7346" i="116"/>
  <c r="J7346" i="116"/>
  <c r="I7346" i="116"/>
  <c r="H7346" i="116"/>
  <c r="G7346" i="116"/>
  <c r="F7346" i="116"/>
  <c r="E7346" i="116"/>
  <c r="D7346" i="116"/>
  <c r="C7346" i="116"/>
  <c r="B7346" i="116"/>
  <c r="K7345" i="116"/>
  <c r="J7345" i="116"/>
  <c r="I7345" i="116"/>
  <c r="H7345" i="116"/>
  <c r="G7345" i="116"/>
  <c r="F7345" i="116"/>
  <c r="E7345" i="116"/>
  <c r="D7345" i="116"/>
  <c r="C7345" i="116"/>
  <c r="B7345" i="116"/>
  <c r="K7344" i="116"/>
  <c r="J7344" i="116"/>
  <c r="I7344" i="116"/>
  <c r="H7344" i="116"/>
  <c r="G7344" i="116"/>
  <c r="F7344" i="116"/>
  <c r="E7344" i="116"/>
  <c r="D7344" i="116"/>
  <c r="C7344" i="116"/>
  <c r="B7344" i="116"/>
  <c r="K7343" i="116"/>
  <c r="J7343" i="116"/>
  <c r="I7343" i="116"/>
  <c r="H7343" i="116"/>
  <c r="G7343" i="116"/>
  <c r="F7343" i="116"/>
  <c r="E7343" i="116"/>
  <c r="D7343" i="116"/>
  <c r="C7343" i="116"/>
  <c r="B7343" i="116"/>
  <c r="K7342" i="116"/>
  <c r="J7342" i="116"/>
  <c r="I7342" i="116"/>
  <c r="H7342" i="116"/>
  <c r="G7342" i="116"/>
  <c r="F7342" i="116"/>
  <c r="E7342" i="116"/>
  <c r="D7342" i="116"/>
  <c r="C7342" i="116"/>
  <c r="B7342" i="116"/>
  <c r="K7341" i="116"/>
  <c r="J7341" i="116"/>
  <c r="I7341" i="116"/>
  <c r="H7341" i="116"/>
  <c r="G7341" i="116"/>
  <c r="F7341" i="116"/>
  <c r="E7341" i="116"/>
  <c r="D7341" i="116"/>
  <c r="C7341" i="116"/>
  <c r="B7341" i="116"/>
  <c r="K7340" i="116"/>
  <c r="J7340" i="116"/>
  <c r="I7340" i="116"/>
  <c r="H7340" i="116"/>
  <c r="G7340" i="116"/>
  <c r="F7340" i="116"/>
  <c r="E7340" i="116"/>
  <c r="D7340" i="116"/>
  <c r="C7340" i="116"/>
  <c r="B7340" i="116"/>
  <c r="K7339" i="116"/>
  <c r="J7339" i="116"/>
  <c r="I7339" i="116"/>
  <c r="H7339" i="116"/>
  <c r="G7339" i="116"/>
  <c r="F7339" i="116"/>
  <c r="E7339" i="116"/>
  <c r="D7339" i="116"/>
  <c r="C7339" i="116"/>
  <c r="B7339" i="116"/>
  <c r="K7338" i="116"/>
  <c r="J7338" i="116"/>
  <c r="I7338" i="116"/>
  <c r="H7338" i="116"/>
  <c r="G7338" i="116"/>
  <c r="F7338" i="116"/>
  <c r="E7338" i="116"/>
  <c r="D7338" i="116"/>
  <c r="C7338" i="116"/>
  <c r="B7338" i="116"/>
  <c r="K7337" i="116"/>
  <c r="J7337" i="116"/>
  <c r="I7337" i="116"/>
  <c r="H7337" i="116"/>
  <c r="G7337" i="116"/>
  <c r="F7337" i="116"/>
  <c r="E7337" i="116"/>
  <c r="D7337" i="116"/>
  <c r="C7337" i="116"/>
  <c r="B7337" i="116"/>
  <c r="K7336" i="116"/>
  <c r="J7336" i="116"/>
  <c r="I7336" i="116"/>
  <c r="H7336" i="116"/>
  <c r="G7336" i="116"/>
  <c r="F7336" i="116"/>
  <c r="E7336" i="116"/>
  <c r="D7336" i="116"/>
  <c r="C7336" i="116"/>
  <c r="B7336" i="116"/>
  <c r="K7335" i="116"/>
  <c r="J7335" i="116"/>
  <c r="I7335" i="116"/>
  <c r="H7335" i="116"/>
  <c r="G7335" i="116"/>
  <c r="F7335" i="116"/>
  <c r="E7335" i="116"/>
  <c r="D7335" i="116"/>
  <c r="C7335" i="116"/>
  <c r="B7335" i="116"/>
  <c r="K7334" i="116"/>
  <c r="J7334" i="116"/>
  <c r="I7334" i="116"/>
  <c r="H7334" i="116"/>
  <c r="G7334" i="116"/>
  <c r="F7334" i="116"/>
  <c r="E7334" i="116"/>
  <c r="D7334" i="116"/>
  <c r="C7334" i="116"/>
  <c r="B7334" i="116"/>
  <c r="K7333" i="116"/>
  <c r="J7333" i="116"/>
  <c r="I7333" i="116"/>
  <c r="H7333" i="116"/>
  <c r="G7333" i="116"/>
  <c r="F7333" i="116"/>
  <c r="E7333" i="116"/>
  <c r="D7333" i="116"/>
  <c r="C7333" i="116"/>
  <c r="B7333" i="116"/>
  <c r="K7332" i="116"/>
  <c r="J7332" i="116"/>
  <c r="I7332" i="116"/>
  <c r="H7332" i="116"/>
  <c r="G7332" i="116"/>
  <c r="F7332" i="116"/>
  <c r="E7332" i="116"/>
  <c r="D7332" i="116"/>
  <c r="C7332" i="116"/>
  <c r="B7332" i="116"/>
  <c r="K7331" i="116"/>
  <c r="J7331" i="116"/>
  <c r="I7331" i="116"/>
  <c r="H7331" i="116"/>
  <c r="G7331" i="116"/>
  <c r="F7331" i="116"/>
  <c r="E7331" i="116"/>
  <c r="D7331" i="116"/>
  <c r="C7331" i="116"/>
  <c r="B7331" i="116"/>
  <c r="K7330" i="116"/>
  <c r="J7330" i="116"/>
  <c r="I7330" i="116"/>
  <c r="H7330" i="116"/>
  <c r="G7330" i="116"/>
  <c r="F7330" i="116"/>
  <c r="E7330" i="116"/>
  <c r="D7330" i="116"/>
  <c r="C7330" i="116"/>
  <c r="B7330" i="116"/>
  <c r="K7329" i="116"/>
  <c r="J7329" i="116"/>
  <c r="I7329" i="116"/>
  <c r="H7329" i="116"/>
  <c r="G7329" i="116"/>
  <c r="F7329" i="116"/>
  <c r="E7329" i="116"/>
  <c r="D7329" i="116"/>
  <c r="C7329" i="116"/>
  <c r="B7329" i="116"/>
  <c r="K7328" i="116"/>
  <c r="J7328" i="116"/>
  <c r="I7328" i="116"/>
  <c r="H7328" i="116"/>
  <c r="G7328" i="116"/>
  <c r="F7328" i="116"/>
  <c r="E7328" i="116"/>
  <c r="D7328" i="116"/>
  <c r="C7328" i="116"/>
  <c r="B7328" i="116"/>
  <c r="K7327" i="116"/>
  <c r="J7327" i="116"/>
  <c r="I7327" i="116"/>
  <c r="H7327" i="116"/>
  <c r="G7327" i="116"/>
  <c r="F7327" i="116"/>
  <c r="E7327" i="116"/>
  <c r="D7327" i="116"/>
  <c r="C7327" i="116"/>
  <c r="B7327" i="116"/>
  <c r="K7326" i="116"/>
  <c r="J7326" i="116"/>
  <c r="I7326" i="116"/>
  <c r="H7326" i="116"/>
  <c r="G7326" i="116"/>
  <c r="F7326" i="116"/>
  <c r="E7326" i="116"/>
  <c r="D7326" i="116"/>
  <c r="C7326" i="116"/>
  <c r="B7326" i="116"/>
  <c r="K7325" i="116"/>
  <c r="J7325" i="116"/>
  <c r="I7325" i="116"/>
  <c r="H7325" i="116"/>
  <c r="G7325" i="116"/>
  <c r="F7325" i="116"/>
  <c r="E7325" i="116"/>
  <c r="D7325" i="116"/>
  <c r="C7325" i="116"/>
  <c r="B7325" i="116"/>
  <c r="K7324" i="116"/>
  <c r="J7324" i="116"/>
  <c r="I7324" i="116"/>
  <c r="H7324" i="116"/>
  <c r="G7324" i="116"/>
  <c r="F7324" i="116"/>
  <c r="E7324" i="116"/>
  <c r="D7324" i="116"/>
  <c r="C7324" i="116"/>
  <c r="B7324" i="116"/>
  <c r="K7323" i="116"/>
  <c r="J7323" i="116"/>
  <c r="I7323" i="116"/>
  <c r="H7323" i="116"/>
  <c r="G7323" i="116"/>
  <c r="F7323" i="116"/>
  <c r="E7323" i="116"/>
  <c r="D7323" i="116"/>
  <c r="C7323" i="116"/>
  <c r="B7323" i="116"/>
  <c r="K7322" i="116"/>
  <c r="J7322" i="116"/>
  <c r="I7322" i="116"/>
  <c r="H7322" i="116"/>
  <c r="G7322" i="116"/>
  <c r="F7322" i="116"/>
  <c r="E7322" i="116"/>
  <c r="D7322" i="116"/>
  <c r="C7322" i="116"/>
  <c r="B7322" i="116"/>
  <c r="K7321" i="116"/>
  <c r="J7321" i="116"/>
  <c r="I7321" i="116"/>
  <c r="H7321" i="116"/>
  <c r="G7321" i="116"/>
  <c r="F7321" i="116"/>
  <c r="E7321" i="116"/>
  <c r="D7321" i="116"/>
  <c r="C7321" i="116"/>
  <c r="B7321" i="116"/>
  <c r="K7320" i="116"/>
  <c r="J7320" i="116"/>
  <c r="I7320" i="116"/>
  <c r="H7320" i="116"/>
  <c r="G7320" i="116"/>
  <c r="F7320" i="116"/>
  <c r="E7320" i="116"/>
  <c r="D7320" i="116"/>
  <c r="C7320" i="116"/>
  <c r="B7320" i="116"/>
  <c r="K7319" i="116"/>
  <c r="J7319" i="116"/>
  <c r="I7319" i="116"/>
  <c r="H7319" i="116"/>
  <c r="G7319" i="116"/>
  <c r="F7319" i="116"/>
  <c r="E7319" i="116"/>
  <c r="D7319" i="116"/>
  <c r="C7319" i="116"/>
  <c r="B7319" i="116"/>
  <c r="K7318" i="116"/>
  <c r="J7318" i="116"/>
  <c r="I7318" i="116"/>
  <c r="H7318" i="116"/>
  <c r="G7318" i="116"/>
  <c r="F7318" i="116"/>
  <c r="E7318" i="116"/>
  <c r="D7318" i="116"/>
  <c r="C7318" i="116"/>
  <c r="B7318" i="116"/>
  <c r="K7317" i="116"/>
  <c r="J7317" i="116"/>
  <c r="I7317" i="116"/>
  <c r="H7317" i="116"/>
  <c r="G7317" i="116"/>
  <c r="F7317" i="116"/>
  <c r="E7317" i="116"/>
  <c r="D7317" i="116"/>
  <c r="C7317" i="116"/>
  <c r="B7317" i="116"/>
  <c r="K7316" i="116"/>
  <c r="J7316" i="116"/>
  <c r="I7316" i="116"/>
  <c r="H7316" i="116"/>
  <c r="G7316" i="116"/>
  <c r="F7316" i="116"/>
  <c r="E7316" i="116"/>
  <c r="D7316" i="116"/>
  <c r="C7316" i="116"/>
  <c r="B7316" i="116"/>
  <c r="K7315" i="116"/>
  <c r="J7315" i="116"/>
  <c r="I7315" i="116"/>
  <c r="H7315" i="116"/>
  <c r="G7315" i="116"/>
  <c r="F7315" i="116"/>
  <c r="E7315" i="116"/>
  <c r="D7315" i="116"/>
  <c r="C7315" i="116"/>
  <c r="B7315" i="116"/>
  <c r="K7314" i="116"/>
  <c r="J7314" i="116"/>
  <c r="I7314" i="116"/>
  <c r="H7314" i="116"/>
  <c r="G7314" i="116"/>
  <c r="F7314" i="116"/>
  <c r="E7314" i="116"/>
  <c r="D7314" i="116"/>
  <c r="C7314" i="116"/>
  <c r="B7314" i="116"/>
  <c r="K7313" i="116"/>
  <c r="J7313" i="116"/>
  <c r="I7313" i="116"/>
  <c r="H7313" i="116"/>
  <c r="G7313" i="116"/>
  <c r="F7313" i="116"/>
  <c r="E7313" i="116"/>
  <c r="D7313" i="116"/>
  <c r="C7313" i="116"/>
  <c r="B7313" i="116"/>
  <c r="K7312" i="116"/>
  <c r="J7312" i="116"/>
  <c r="I7312" i="116"/>
  <c r="H7312" i="116"/>
  <c r="G7312" i="116"/>
  <c r="F7312" i="116"/>
  <c r="E7312" i="116"/>
  <c r="D7312" i="116"/>
  <c r="C7312" i="116"/>
  <c r="B7312" i="116"/>
  <c r="K7311" i="116"/>
  <c r="J7311" i="116"/>
  <c r="I7311" i="116"/>
  <c r="H7311" i="116"/>
  <c r="G7311" i="116"/>
  <c r="F7311" i="116"/>
  <c r="E7311" i="116"/>
  <c r="D7311" i="116"/>
  <c r="C7311" i="116"/>
  <c r="B7311" i="116"/>
  <c r="K7310" i="116"/>
  <c r="J7310" i="116"/>
  <c r="I7310" i="116"/>
  <c r="H7310" i="116"/>
  <c r="G7310" i="116"/>
  <c r="F7310" i="116"/>
  <c r="E7310" i="116"/>
  <c r="D7310" i="116"/>
  <c r="C7310" i="116"/>
  <c r="B7310" i="116"/>
  <c r="K7309" i="116"/>
  <c r="J7309" i="116"/>
  <c r="I7309" i="116"/>
  <c r="H7309" i="116"/>
  <c r="G7309" i="116"/>
  <c r="F7309" i="116"/>
  <c r="E7309" i="116"/>
  <c r="D7309" i="116"/>
  <c r="C7309" i="116"/>
  <c r="B7309" i="116"/>
  <c r="K7308" i="116"/>
  <c r="J7308" i="116"/>
  <c r="I7308" i="116"/>
  <c r="H7308" i="116"/>
  <c r="G7308" i="116"/>
  <c r="F7308" i="116"/>
  <c r="E7308" i="116"/>
  <c r="D7308" i="116"/>
  <c r="C7308" i="116"/>
  <c r="B7308" i="116"/>
  <c r="K7307" i="116"/>
  <c r="J7307" i="116"/>
  <c r="I7307" i="116"/>
  <c r="H7307" i="116"/>
  <c r="G7307" i="116"/>
  <c r="F7307" i="116"/>
  <c r="E7307" i="116"/>
  <c r="D7307" i="116"/>
  <c r="C7307" i="116"/>
  <c r="B7307" i="116"/>
  <c r="K7306" i="116"/>
  <c r="J7306" i="116"/>
  <c r="I7306" i="116"/>
  <c r="H7306" i="116"/>
  <c r="G7306" i="116"/>
  <c r="F7306" i="116"/>
  <c r="E7306" i="116"/>
  <c r="D7306" i="116"/>
  <c r="C7306" i="116"/>
  <c r="B7306" i="116"/>
  <c r="K7305" i="116"/>
  <c r="J7305" i="116"/>
  <c r="I7305" i="116"/>
  <c r="H7305" i="116"/>
  <c r="G7305" i="116"/>
  <c r="F7305" i="116"/>
  <c r="E7305" i="116"/>
  <c r="D7305" i="116"/>
  <c r="C7305" i="116"/>
  <c r="B7305" i="116"/>
  <c r="K7304" i="116"/>
  <c r="J7304" i="116"/>
  <c r="I7304" i="116"/>
  <c r="H7304" i="116"/>
  <c r="G7304" i="116"/>
  <c r="F7304" i="116"/>
  <c r="E7304" i="116"/>
  <c r="D7304" i="116"/>
  <c r="C7304" i="116"/>
  <c r="B7304" i="116"/>
  <c r="K7303" i="116"/>
  <c r="J7303" i="116"/>
  <c r="I7303" i="116"/>
  <c r="H7303" i="116"/>
  <c r="G7303" i="116"/>
  <c r="F7303" i="116"/>
  <c r="E7303" i="116"/>
  <c r="D7303" i="116"/>
  <c r="C7303" i="116"/>
  <c r="B7303" i="116"/>
  <c r="K7302" i="116"/>
  <c r="J7302" i="116"/>
  <c r="I7302" i="116"/>
  <c r="H7302" i="116"/>
  <c r="G7302" i="116"/>
  <c r="F7302" i="116"/>
  <c r="E7302" i="116"/>
  <c r="D7302" i="116"/>
  <c r="C7302" i="116"/>
  <c r="B7302" i="116"/>
  <c r="K7301" i="116"/>
  <c r="J7301" i="116"/>
  <c r="I7301" i="116"/>
  <c r="H7301" i="116"/>
  <c r="G7301" i="116"/>
  <c r="F7301" i="116"/>
  <c r="E7301" i="116"/>
  <c r="D7301" i="116"/>
  <c r="C7301" i="116"/>
  <c r="B7301" i="116"/>
  <c r="K7300" i="116"/>
  <c r="J7300" i="116"/>
  <c r="I7300" i="116"/>
  <c r="H7300" i="116"/>
  <c r="G7300" i="116"/>
  <c r="F7300" i="116"/>
  <c r="E7300" i="116"/>
  <c r="D7300" i="116"/>
  <c r="C7300" i="116"/>
  <c r="B7300" i="116"/>
  <c r="K7299" i="116"/>
  <c r="J7299" i="116"/>
  <c r="I7299" i="116"/>
  <c r="H7299" i="116"/>
  <c r="G7299" i="116"/>
  <c r="F7299" i="116"/>
  <c r="E7299" i="116"/>
  <c r="D7299" i="116"/>
  <c r="C7299" i="116"/>
  <c r="B7299" i="116"/>
  <c r="K7298" i="116"/>
  <c r="J7298" i="116"/>
  <c r="I7298" i="116"/>
  <c r="H7298" i="116"/>
  <c r="G7298" i="116"/>
  <c r="F7298" i="116"/>
  <c r="E7298" i="116"/>
  <c r="D7298" i="116"/>
  <c r="C7298" i="116"/>
  <c r="B7298" i="116"/>
  <c r="K7297" i="116"/>
  <c r="J7297" i="116"/>
  <c r="I7297" i="116"/>
  <c r="H7297" i="116"/>
  <c r="G7297" i="116"/>
  <c r="F7297" i="116"/>
  <c r="E7297" i="116"/>
  <c r="D7297" i="116"/>
  <c r="C7297" i="116"/>
  <c r="B7297" i="116"/>
  <c r="K7296" i="116"/>
  <c r="J7296" i="116"/>
  <c r="I7296" i="116"/>
  <c r="H7296" i="116"/>
  <c r="G7296" i="116"/>
  <c r="F7296" i="116"/>
  <c r="E7296" i="116"/>
  <c r="D7296" i="116"/>
  <c r="C7296" i="116"/>
  <c r="B7296" i="116"/>
  <c r="K7295" i="116"/>
  <c r="J7295" i="116"/>
  <c r="I7295" i="116"/>
  <c r="H7295" i="116"/>
  <c r="G7295" i="116"/>
  <c r="F7295" i="116"/>
  <c r="E7295" i="116"/>
  <c r="D7295" i="116"/>
  <c r="C7295" i="116"/>
  <c r="B7295" i="116"/>
  <c r="K7294" i="116"/>
  <c r="J7294" i="116"/>
  <c r="I7294" i="116"/>
  <c r="H7294" i="116"/>
  <c r="G7294" i="116"/>
  <c r="F7294" i="116"/>
  <c r="E7294" i="116"/>
  <c r="D7294" i="116"/>
  <c r="C7294" i="116"/>
  <c r="B7294" i="116"/>
  <c r="K7293" i="116"/>
  <c r="J7293" i="116"/>
  <c r="I7293" i="116"/>
  <c r="H7293" i="116"/>
  <c r="G7293" i="116"/>
  <c r="F7293" i="116"/>
  <c r="E7293" i="116"/>
  <c r="D7293" i="116"/>
  <c r="C7293" i="116"/>
  <c r="B7293" i="116"/>
  <c r="K7292" i="116"/>
  <c r="J7292" i="116"/>
  <c r="I7292" i="116"/>
  <c r="H7292" i="116"/>
  <c r="G7292" i="116"/>
  <c r="F7292" i="116"/>
  <c r="E7292" i="116"/>
  <c r="D7292" i="116"/>
  <c r="C7292" i="116"/>
  <c r="B7292" i="116"/>
  <c r="K7291" i="116"/>
  <c r="J7291" i="116"/>
  <c r="I7291" i="116"/>
  <c r="H7291" i="116"/>
  <c r="G7291" i="116"/>
  <c r="F7291" i="116"/>
  <c r="E7291" i="116"/>
  <c r="D7291" i="116"/>
  <c r="C7291" i="116"/>
  <c r="B7291" i="116"/>
  <c r="K7290" i="116"/>
  <c r="J7290" i="116"/>
  <c r="I7290" i="116"/>
  <c r="H7290" i="116"/>
  <c r="G7290" i="116"/>
  <c r="F7290" i="116"/>
  <c r="E7290" i="116"/>
  <c r="D7290" i="116"/>
  <c r="C7290" i="116"/>
  <c r="B7290" i="116"/>
  <c r="K7289" i="116"/>
  <c r="J7289" i="116"/>
  <c r="I7289" i="116"/>
  <c r="H7289" i="116"/>
  <c r="G7289" i="116"/>
  <c r="F7289" i="116"/>
  <c r="E7289" i="116"/>
  <c r="D7289" i="116"/>
  <c r="C7289" i="116"/>
  <c r="B7289" i="116"/>
  <c r="K7288" i="116"/>
  <c r="J7288" i="116"/>
  <c r="I7288" i="116"/>
  <c r="H7288" i="116"/>
  <c r="G7288" i="116"/>
  <c r="F7288" i="116"/>
  <c r="E7288" i="116"/>
  <c r="D7288" i="116"/>
  <c r="C7288" i="116"/>
  <c r="B7288" i="116"/>
  <c r="K7287" i="116"/>
  <c r="J7287" i="116"/>
  <c r="I7287" i="116"/>
  <c r="H7287" i="116"/>
  <c r="G7287" i="116"/>
  <c r="F7287" i="116"/>
  <c r="E7287" i="116"/>
  <c r="D7287" i="116"/>
  <c r="C7287" i="116"/>
  <c r="B7287" i="116"/>
  <c r="K7286" i="116"/>
  <c r="J7286" i="116"/>
  <c r="I7286" i="116"/>
  <c r="H7286" i="116"/>
  <c r="G7286" i="116"/>
  <c r="F7286" i="116"/>
  <c r="E7286" i="116"/>
  <c r="D7286" i="116"/>
  <c r="C7286" i="116"/>
  <c r="B7286" i="116"/>
  <c r="K7285" i="116"/>
  <c r="J7285" i="116"/>
  <c r="I7285" i="116"/>
  <c r="H7285" i="116"/>
  <c r="G7285" i="116"/>
  <c r="F7285" i="116"/>
  <c r="E7285" i="116"/>
  <c r="D7285" i="116"/>
  <c r="C7285" i="116"/>
  <c r="B7285" i="116"/>
  <c r="K7284" i="116"/>
  <c r="J7284" i="116"/>
  <c r="I7284" i="116"/>
  <c r="H7284" i="116"/>
  <c r="G7284" i="116"/>
  <c r="F7284" i="116"/>
  <c r="E7284" i="116"/>
  <c r="D7284" i="116"/>
  <c r="C7284" i="116"/>
  <c r="B7284" i="116"/>
  <c r="K7283" i="116"/>
  <c r="J7283" i="116"/>
  <c r="I7283" i="116"/>
  <c r="H7283" i="116"/>
  <c r="G7283" i="116"/>
  <c r="F7283" i="116"/>
  <c r="E7283" i="116"/>
  <c r="D7283" i="116"/>
  <c r="C7283" i="116"/>
  <c r="B7283" i="116"/>
  <c r="K7282" i="116"/>
  <c r="J7282" i="116"/>
  <c r="I7282" i="116"/>
  <c r="H7282" i="116"/>
  <c r="G7282" i="116"/>
  <c r="F7282" i="116"/>
  <c r="E7282" i="116"/>
  <c r="D7282" i="116"/>
  <c r="C7282" i="116"/>
  <c r="B7282" i="116"/>
  <c r="K7281" i="116"/>
  <c r="J7281" i="116"/>
  <c r="I7281" i="116"/>
  <c r="H7281" i="116"/>
  <c r="G7281" i="116"/>
  <c r="F7281" i="116"/>
  <c r="E7281" i="116"/>
  <c r="D7281" i="116"/>
  <c r="C7281" i="116"/>
  <c r="B7281" i="116"/>
  <c r="K7280" i="116"/>
  <c r="J7280" i="116"/>
  <c r="I7280" i="116"/>
  <c r="H7280" i="116"/>
  <c r="G7280" i="116"/>
  <c r="F7280" i="116"/>
  <c r="E7280" i="116"/>
  <c r="D7280" i="116"/>
  <c r="C7280" i="116"/>
  <c r="B7280" i="116"/>
  <c r="K7279" i="116"/>
  <c r="J7279" i="116"/>
  <c r="I7279" i="116"/>
  <c r="H7279" i="116"/>
  <c r="G7279" i="116"/>
  <c r="F7279" i="116"/>
  <c r="E7279" i="116"/>
  <c r="D7279" i="116"/>
  <c r="C7279" i="116"/>
  <c r="B7279" i="116"/>
  <c r="K7278" i="116"/>
  <c r="J7278" i="116"/>
  <c r="I7278" i="116"/>
  <c r="H7278" i="116"/>
  <c r="G7278" i="116"/>
  <c r="F7278" i="116"/>
  <c r="E7278" i="116"/>
  <c r="D7278" i="116"/>
  <c r="C7278" i="116"/>
  <c r="B7278" i="116"/>
  <c r="K7277" i="116"/>
  <c r="J7277" i="116"/>
  <c r="I7277" i="116"/>
  <c r="H7277" i="116"/>
  <c r="G7277" i="116"/>
  <c r="F7277" i="116"/>
  <c r="E7277" i="116"/>
  <c r="D7277" i="116"/>
  <c r="C7277" i="116"/>
  <c r="B7277" i="116"/>
  <c r="K7276" i="116"/>
  <c r="J7276" i="116"/>
  <c r="I7276" i="116"/>
  <c r="H7276" i="116"/>
  <c r="G7276" i="116"/>
  <c r="F7276" i="116"/>
  <c r="E7276" i="116"/>
  <c r="D7276" i="116"/>
  <c r="C7276" i="116"/>
  <c r="B7276" i="116"/>
  <c r="K7275" i="116"/>
  <c r="J7275" i="116"/>
  <c r="I7275" i="116"/>
  <c r="H7275" i="116"/>
  <c r="G7275" i="116"/>
  <c r="F7275" i="116"/>
  <c r="E7275" i="116"/>
  <c r="D7275" i="116"/>
  <c r="C7275" i="116"/>
  <c r="B7275" i="116"/>
  <c r="K7274" i="116"/>
  <c r="J7274" i="116"/>
  <c r="I7274" i="116"/>
  <c r="H7274" i="116"/>
  <c r="G7274" i="116"/>
  <c r="F7274" i="116"/>
  <c r="E7274" i="116"/>
  <c r="D7274" i="116"/>
  <c r="C7274" i="116"/>
  <c r="B7274" i="116"/>
  <c r="K7273" i="116"/>
  <c r="J7273" i="116"/>
  <c r="I7273" i="116"/>
  <c r="H7273" i="116"/>
  <c r="G7273" i="116"/>
  <c r="F7273" i="116"/>
  <c r="E7273" i="116"/>
  <c r="D7273" i="116"/>
  <c r="C7273" i="116"/>
  <c r="B7273" i="116"/>
  <c r="K7272" i="116"/>
  <c r="J7272" i="116"/>
  <c r="I7272" i="116"/>
  <c r="H7272" i="116"/>
  <c r="G7272" i="116"/>
  <c r="F7272" i="116"/>
  <c r="E7272" i="116"/>
  <c r="D7272" i="116"/>
  <c r="C7272" i="116"/>
  <c r="B7272" i="116"/>
  <c r="K7271" i="116"/>
  <c r="J7271" i="116"/>
  <c r="I7271" i="116"/>
  <c r="H7271" i="116"/>
  <c r="G7271" i="116"/>
  <c r="F7271" i="116"/>
  <c r="E7271" i="116"/>
  <c r="D7271" i="116"/>
  <c r="C7271" i="116"/>
  <c r="B7271" i="116"/>
  <c r="K7270" i="116"/>
  <c r="J7270" i="116"/>
  <c r="I7270" i="116"/>
  <c r="H7270" i="116"/>
  <c r="G7270" i="116"/>
  <c r="F7270" i="116"/>
  <c r="E7270" i="116"/>
  <c r="D7270" i="116"/>
  <c r="C7270" i="116"/>
  <c r="B7270" i="116"/>
  <c r="K7269" i="116"/>
  <c r="J7269" i="116"/>
  <c r="I7269" i="116"/>
  <c r="H7269" i="116"/>
  <c r="G7269" i="116"/>
  <c r="F7269" i="116"/>
  <c r="E7269" i="116"/>
  <c r="D7269" i="116"/>
  <c r="C7269" i="116"/>
  <c r="B7269" i="116"/>
  <c r="K7268" i="116"/>
  <c r="J7268" i="116"/>
  <c r="I7268" i="116"/>
  <c r="H7268" i="116"/>
  <c r="G7268" i="116"/>
  <c r="F7268" i="116"/>
  <c r="E7268" i="116"/>
  <c r="D7268" i="116"/>
  <c r="C7268" i="116"/>
  <c r="B7268" i="116"/>
  <c r="K7267" i="116"/>
  <c r="J7267" i="116"/>
  <c r="I7267" i="116"/>
  <c r="H7267" i="116"/>
  <c r="G7267" i="116"/>
  <c r="F7267" i="116"/>
  <c r="E7267" i="116"/>
  <c r="D7267" i="116"/>
  <c r="C7267" i="116"/>
  <c r="B7267" i="116"/>
  <c r="K7266" i="116"/>
  <c r="J7266" i="116"/>
  <c r="I7266" i="116"/>
  <c r="H7266" i="116"/>
  <c r="G7266" i="116"/>
  <c r="F7266" i="116"/>
  <c r="E7266" i="116"/>
  <c r="D7266" i="116"/>
  <c r="C7266" i="116"/>
  <c r="B7266" i="116"/>
  <c r="K7265" i="116"/>
  <c r="J7265" i="116"/>
  <c r="I7265" i="116"/>
  <c r="H7265" i="116"/>
  <c r="G7265" i="116"/>
  <c r="F7265" i="116"/>
  <c r="E7265" i="116"/>
  <c r="D7265" i="116"/>
  <c r="C7265" i="116"/>
  <c r="B7265" i="116"/>
  <c r="K7264" i="116"/>
  <c r="J7264" i="116"/>
  <c r="I7264" i="116"/>
  <c r="H7264" i="116"/>
  <c r="G7264" i="116"/>
  <c r="F7264" i="116"/>
  <c r="E7264" i="116"/>
  <c r="D7264" i="116"/>
  <c r="C7264" i="116"/>
  <c r="B7264" i="116"/>
  <c r="K7263" i="116"/>
  <c r="J7263" i="116"/>
  <c r="I7263" i="116"/>
  <c r="H7263" i="116"/>
  <c r="G7263" i="116"/>
  <c r="F7263" i="116"/>
  <c r="E7263" i="116"/>
  <c r="D7263" i="116"/>
  <c r="C7263" i="116"/>
  <c r="B7263" i="116"/>
  <c r="K7262" i="116"/>
  <c r="J7262" i="116"/>
  <c r="I7262" i="116"/>
  <c r="H7262" i="116"/>
  <c r="G7262" i="116"/>
  <c r="F7262" i="116"/>
  <c r="E7262" i="116"/>
  <c r="D7262" i="116"/>
  <c r="C7262" i="116"/>
  <c r="B7262" i="116"/>
  <c r="K7261" i="116"/>
  <c r="J7261" i="116"/>
  <c r="I7261" i="116"/>
  <c r="H7261" i="116"/>
  <c r="G7261" i="116"/>
  <c r="F7261" i="116"/>
  <c r="E7261" i="116"/>
  <c r="D7261" i="116"/>
  <c r="C7261" i="116"/>
  <c r="B7261" i="116"/>
  <c r="K7260" i="116"/>
  <c r="J7260" i="116"/>
  <c r="I7260" i="116"/>
  <c r="H7260" i="116"/>
  <c r="G7260" i="116"/>
  <c r="F7260" i="116"/>
  <c r="E7260" i="116"/>
  <c r="D7260" i="116"/>
  <c r="C7260" i="116"/>
  <c r="B7260" i="116"/>
  <c r="K7259" i="116"/>
  <c r="J7259" i="116"/>
  <c r="I7259" i="116"/>
  <c r="H7259" i="116"/>
  <c r="G7259" i="116"/>
  <c r="F7259" i="116"/>
  <c r="E7259" i="116"/>
  <c r="D7259" i="116"/>
  <c r="C7259" i="116"/>
  <c r="B7259" i="116"/>
  <c r="K7258" i="116"/>
  <c r="J7258" i="116"/>
  <c r="I7258" i="116"/>
  <c r="H7258" i="116"/>
  <c r="G7258" i="116"/>
  <c r="F7258" i="116"/>
  <c r="E7258" i="116"/>
  <c r="D7258" i="116"/>
  <c r="C7258" i="116"/>
  <c r="B7258" i="116"/>
  <c r="K7257" i="116"/>
  <c r="J7257" i="116"/>
  <c r="I7257" i="116"/>
  <c r="H7257" i="116"/>
  <c r="G7257" i="116"/>
  <c r="F7257" i="116"/>
  <c r="E7257" i="116"/>
  <c r="D7257" i="116"/>
  <c r="C7257" i="116"/>
  <c r="B7257" i="116"/>
  <c r="K7256" i="116"/>
  <c r="J7256" i="116"/>
  <c r="I7256" i="116"/>
  <c r="H7256" i="116"/>
  <c r="G7256" i="116"/>
  <c r="F7256" i="116"/>
  <c r="E7256" i="116"/>
  <c r="D7256" i="116"/>
  <c r="C7256" i="116"/>
  <c r="B7256" i="116"/>
  <c r="K7255" i="116"/>
  <c r="J7255" i="116"/>
  <c r="I7255" i="116"/>
  <c r="H7255" i="116"/>
  <c r="G7255" i="116"/>
  <c r="F7255" i="116"/>
  <c r="E7255" i="116"/>
  <c r="D7255" i="116"/>
  <c r="C7255" i="116"/>
  <c r="B7255" i="116"/>
  <c r="K7254" i="116"/>
  <c r="J7254" i="116"/>
  <c r="I7254" i="116"/>
  <c r="H7254" i="116"/>
  <c r="G7254" i="116"/>
  <c r="F7254" i="116"/>
  <c r="E7254" i="116"/>
  <c r="D7254" i="116"/>
  <c r="C7254" i="116"/>
  <c r="B7254" i="116"/>
  <c r="K7253" i="116"/>
  <c r="J7253" i="116"/>
  <c r="I7253" i="116"/>
  <c r="H7253" i="116"/>
  <c r="G7253" i="116"/>
  <c r="F7253" i="116"/>
  <c r="E7253" i="116"/>
  <c r="D7253" i="116"/>
  <c r="C7253" i="116"/>
  <c r="B7253" i="116"/>
  <c r="K7252" i="116"/>
  <c r="J7252" i="116"/>
  <c r="I7252" i="116"/>
  <c r="H7252" i="116"/>
  <c r="G7252" i="116"/>
  <c r="F7252" i="116"/>
  <c r="E7252" i="116"/>
  <c r="D7252" i="116"/>
  <c r="C7252" i="116"/>
  <c r="B7252" i="116"/>
  <c r="K7251" i="116"/>
  <c r="J7251" i="116"/>
  <c r="I7251" i="116"/>
  <c r="H7251" i="116"/>
  <c r="G7251" i="116"/>
  <c r="F7251" i="116"/>
  <c r="E7251" i="116"/>
  <c r="D7251" i="116"/>
  <c r="C7251" i="116"/>
  <c r="B7251" i="116"/>
  <c r="K7250" i="116"/>
  <c r="J7250" i="116"/>
  <c r="I7250" i="116"/>
  <c r="H7250" i="116"/>
  <c r="G7250" i="116"/>
  <c r="F7250" i="116"/>
  <c r="E7250" i="116"/>
  <c r="D7250" i="116"/>
  <c r="C7250" i="116"/>
  <c r="B7250" i="116"/>
  <c r="K7249" i="116"/>
  <c r="J7249" i="116"/>
  <c r="I7249" i="116"/>
  <c r="H7249" i="116"/>
  <c r="G7249" i="116"/>
  <c r="F7249" i="116"/>
  <c r="E7249" i="116"/>
  <c r="D7249" i="116"/>
  <c r="C7249" i="116"/>
  <c r="B7249" i="116"/>
  <c r="K7248" i="116"/>
  <c r="J7248" i="116"/>
  <c r="I7248" i="116"/>
  <c r="H7248" i="116"/>
  <c r="G7248" i="116"/>
  <c r="F7248" i="116"/>
  <c r="E7248" i="116"/>
  <c r="D7248" i="116"/>
  <c r="C7248" i="116"/>
  <c r="B7248" i="116"/>
  <c r="K7247" i="116"/>
  <c r="J7247" i="116"/>
  <c r="I7247" i="116"/>
  <c r="H7247" i="116"/>
  <c r="G7247" i="116"/>
  <c r="F7247" i="116"/>
  <c r="E7247" i="116"/>
  <c r="D7247" i="116"/>
  <c r="C7247" i="116"/>
  <c r="B7247" i="116"/>
  <c r="K7246" i="116"/>
  <c r="J7246" i="116"/>
  <c r="I7246" i="116"/>
  <c r="H7246" i="116"/>
  <c r="G7246" i="116"/>
  <c r="F7246" i="116"/>
  <c r="E7246" i="116"/>
  <c r="D7246" i="116"/>
  <c r="C7246" i="116"/>
  <c r="B7246" i="116"/>
  <c r="K7245" i="116"/>
  <c r="J7245" i="116"/>
  <c r="I7245" i="116"/>
  <c r="H7245" i="116"/>
  <c r="G7245" i="116"/>
  <c r="F7245" i="116"/>
  <c r="E7245" i="116"/>
  <c r="D7245" i="116"/>
  <c r="C7245" i="116"/>
  <c r="B7245" i="116"/>
  <c r="K7244" i="116"/>
  <c r="J7244" i="116"/>
  <c r="I7244" i="116"/>
  <c r="H7244" i="116"/>
  <c r="G7244" i="116"/>
  <c r="F7244" i="116"/>
  <c r="E7244" i="116"/>
  <c r="D7244" i="116"/>
  <c r="C7244" i="116"/>
  <c r="B7244" i="116"/>
  <c r="K7243" i="116"/>
  <c r="J7243" i="116"/>
  <c r="I7243" i="116"/>
  <c r="H7243" i="116"/>
  <c r="G7243" i="116"/>
  <c r="F7243" i="116"/>
  <c r="E7243" i="116"/>
  <c r="D7243" i="116"/>
  <c r="C7243" i="116"/>
  <c r="B7243" i="116"/>
  <c r="K7242" i="116"/>
  <c r="J7242" i="116"/>
  <c r="I7242" i="116"/>
  <c r="H7242" i="116"/>
  <c r="G7242" i="116"/>
  <c r="F7242" i="116"/>
  <c r="E7242" i="116"/>
  <c r="D7242" i="116"/>
  <c r="C7242" i="116"/>
  <c r="B7242" i="116"/>
  <c r="K7241" i="116"/>
  <c r="J7241" i="116"/>
  <c r="I7241" i="116"/>
  <c r="H7241" i="116"/>
  <c r="G7241" i="116"/>
  <c r="F7241" i="116"/>
  <c r="E7241" i="116"/>
  <c r="D7241" i="116"/>
  <c r="C7241" i="116"/>
  <c r="B7241" i="116"/>
  <c r="K7240" i="116"/>
  <c r="J7240" i="116"/>
  <c r="I7240" i="116"/>
  <c r="H7240" i="116"/>
  <c r="G7240" i="116"/>
  <c r="F7240" i="116"/>
  <c r="E7240" i="116"/>
  <c r="D7240" i="116"/>
  <c r="C7240" i="116"/>
  <c r="B7240" i="116"/>
  <c r="K7239" i="116"/>
  <c r="J7239" i="116"/>
  <c r="I7239" i="116"/>
  <c r="H7239" i="116"/>
  <c r="G7239" i="116"/>
  <c r="F7239" i="116"/>
  <c r="E7239" i="116"/>
  <c r="D7239" i="116"/>
  <c r="C7239" i="116"/>
  <c r="B7239" i="116"/>
  <c r="K7238" i="116"/>
  <c r="J7238" i="116"/>
  <c r="I7238" i="116"/>
  <c r="H7238" i="116"/>
  <c r="G7238" i="116"/>
  <c r="F7238" i="116"/>
  <c r="E7238" i="116"/>
  <c r="D7238" i="116"/>
  <c r="C7238" i="116"/>
  <c r="B7238" i="116"/>
  <c r="K7237" i="116"/>
  <c r="J7237" i="116"/>
  <c r="I7237" i="116"/>
  <c r="H7237" i="116"/>
  <c r="G7237" i="116"/>
  <c r="F7237" i="116"/>
  <c r="E7237" i="116"/>
  <c r="D7237" i="116"/>
  <c r="C7237" i="116"/>
  <c r="B7237" i="116"/>
  <c r="K7236" i="116"/>
  <c r="J7236" i="116"/>
  <c r="I7236" i="116"/>
  <c r="H7236" i="116"/>
  <c r="G7236" i="116"/>
  <c r="F7236" i="116"/>
  <c r="E7236" i="116"/>
  <c r="D7236" i="116"/>
  <c r="C7236" i="116"/>
  <c r="B7236" i="116"/>
  <c r="K7235" i="116"/>
  <c r="J7235" i="116"/>
  <c r="I7235" i="116"/>
  <c r="H7235" i="116"/>
  <c r="G7235" i="116"/>
  <c r="F7235" i="116"/>
  <c r="E7235" i="116"/>
  <c r="D7235" i="116"/>
  <c r="C7235" i="116"/>
  <c r="B7235" i="116"/>
  <c r="K7234" i="116"/>
  <c r="J7234" i="116"/>
  <c r="I7234" i="116"/>
  <c r="H7234" i="116"/>
  <c r="G7234" i="116"/>
  <c r="F7234" i="116"/>
  <c r="E7234" i="116"/>
  <c r="D7234" i="116"/>
  <c r="C7234" i="116"/>
  <c r="B7234" i="116"/>
  <c r="K7233" i="116"/>
  <c r="J7233" i="116"/>
  <c r="I7233" i="116"/>
  <c r="H7233" i="116"/>
  <c r="G7233" i="116"/>
  <c r="F7233" i="116"/>
  <c r="E7233" i="116"/>
  <c r="D7233" i="116"/>
  <c r="C7233" i="116"/>
  <c r="B7233" i="116"/>
  <c r="K7232" i="116"/>
  <c r="J7232" i="116"/>
  <c r="I7232" i="116"/>
  <c r="H7232" i="116"/>
  <c r="G7232" i="116"/>
  <c r="F7232" i="116"/>
  <c r="E7232" i="116"/>
  <c r="D7232" i="116"/>
  <c r="C7232" i="116"/>
  <c r="B7232" i="116"/>
  <c r="K7231" i="116"/>
  <c r="J7231" i="116"/>
  <c r="I7231" i="116"/>
  <c r="H7231" i="116"/>
  <c r="G7231" i="116"/>
  <c r="F7231" i="116"/>
  <c r="E7231" i="116"/>
  <c r="D7231" i="116"/>
  <c r="C7231" i="116"/>
  <c r="B7231" i="116"/>
  <c r="K7230" i="116"/>
  <c r="J7230" i="116"/>
  <c r="I7230" i="116"/>
  <c r="H7230" i="116"/>
  <c r="G7230" i="116"/>
  <c r="F7230" i="116"/>
  <c r="E7230" i="116"/>
  <c r="D7230" i="116"/>
  <c r="C7230" i="116"/>
  <c r="B7230" i="116"/>
  <c r="K7229" i="116"/>
  <c r="J7229" i="116"/>
  <c r="I7229" i="116"/>
  <c r="H7229" i="116"/>
  <c r="G7229" i="116"/>
  <c r="F7229" i="116"/>
  <c r="E7229" i="116"/>
  <c r="D7229" i="116"/>
  <c r="C7229" i="116"/>
  <c r="B7229" i="116"/>
  <c r="K7228" i="116"/>
  <c r="J7228" i="116"/>
  <c r="I7228" i="116"/>
  <c r="H7228" i="116"/>
  <c r="G7228" i="116"/>
  <c r="F7228" i="116"/>
  <c r="E7228" i="116"/>
  <c r="D7228" i="116"/>
  <c r="C7228" i="116"/>
  <c r="B7228" i="116"/>
  <c r="K7227" i="116"/>
  <c r="J7227" i="116"/>
  <c r="I7227" i="116"/>
  <c r="H7227" i="116"/>
  <c r="G7227" i="116"/>
  <c r="F7227" i="116"/>
  <c r="E7227" i="116"/>
  <c r="D7227" i="116"/>
  <c r="C7227" i="116"/>
  <c r="B7227" i="116"/>
  <c r="K7226" i="116"/>
  <c r="J7226" i="116"/>
  <c r="I7226" i="116"/>
  <c r="H7226" i="116"/>
  <c r="G7226" i="116"/>
  <c r="F7226" i="116"/>
  <c r="E7226" i="116"/>
  <c r="D7226" i="116"/>
  <c r="C7226" i="116"/>
  <c r="B7226" i="116"/>
  <c r="K7225" i="116"/>
  <c r="J7225" i="116"/>
  <c r="I7225" i="116"/>
  <c r="H7225" i="116"/>
  <c r="G7225" i="116"/>
  <c r="F7225" i="116"/>
  <c r="E7225" i="116"/>
  <c r="D7225" i="116"/>
  <c r="C7225" i="116"/>
  <c r="B7225" i="116"/>
  <c r="K7224" i="116"/>
  <c r="J7224" i="116"/>
  <c r="I7224" i="116"/>
  <c r="H7224" i="116"/>
  <c r="G7224" i="116"/>
  <c r="F7224" i="116"/>
  <c r="E7224" i="116"/>
  <c r="D7224" i="116"/>
  <c r="C7224" i="116"/>
  <c r="B7224" i="116"/>
  <c r="K7223" i="116"/>
  <c r="J7223" i="116"/>
  <c r="I7223" i="116"/>
  <c r="H7223" i="116"/>
  <c r="G7223" i="116"/>
  <c r="F7223" i="116"/>
  <c r="E7223" i="116"/>
  <c r="D7223" i="116"/>
  <c r="C7223" i="116"/>
  <c r="B7223" i="116"/>
  <c r="K7222" i="116"/>
  <c r="J7222" i="116"/>
  <c r="I7222" i="116"/>
  <c r="H7222" i="116"/>
  <c r="G7222" i="116"/>
  <c r="F7222" i="116"/>
  <c r="E7222" i="116"/>
  <c r="D7222" i="116"/>
  <c r="C7222" i="116"/>
  <c r="B7222" i="116"/>
  <c r="K7221" i="116"/>
  <c r="J7221" i="116"/>
  <c r="I7221" i="116"/>
  <c r="H7221" i="116"/>
  <c r="G7221" i="116"/>
  <c r="F7221" i="116"/>
  <c r="E7221" i="116"/>
  <c r="D7221" i="116"/>
  <c r="C7221" i="116"/>
  <c r="B7221" i="116"/>
  <c r="K7220" i="116"/>
  <c r="J7220" i="116"/>
  <c r="I7220" i="116"/>
  <c r="H7220" i="116"/>
  <c r="G7220" i="116"/>
  <c r="F7220" i="116"/>
  <c r="E7220" i="116"/>
  <c r="D7220" i="116"/>
  <c r="C7220" i="116"/>
  <c r="B7220" i="116"/>
  <c r="K7219" i="116"/>
  <c r="J7219" i="116"/>
  <c r="I7219" i="116"/>
  <c r="H7219" i="116"/>
  <c r="G7219" i="116"/>
  <c r="F7219" i="116"/>
  <c r="E7219" i="116"/>
  <c r="D7219" i="116"/>
  <c r="C7219" i="116"/>
  <c r="B7219" i="116"/>
  <c r="K7218" i="116"/>
  <c r="J7218" i="116"/>
  <c r="I7218" i="116"/>
  <c r="H7218" i="116"/>
  <c r="G7218" i="116"/>
  <c r="F7218" i="116"/>
  <c r="E7218" i="116"/>
  <c r="D7218" i="116"/>
  <c r="C7218" i="116"/>
  <c r="B7218" i="116"/>
  <c r="K7217" i="116"/>
  <c r="J7217" i="116"/>
  <c r="I7217" i="116"/>
  <c r="H7217" i="116"/>
  <c r="G7217" i="116"/>
  <c r="F7217" i="116"/>
  <c r="E7217" i="116"/>
  <c r="D7217" i="116"/>
  <c r="C7217" i="116"/>
  <c r="B7217" i="116"/>
  <c r="K7216" i="116"/>
  <c r="J7216" i="116"/>
  <c r="I7216" i="116"/>
  <c r="H7216" i="116"/>
  <c r="G7216" i="116"/>
  <c r="F7216" i="116"/>
  <c r="E7216" i="116"/>
  <c r="D7216" i="116"/>
  <c r="C7216" i="116"/>
  <c r="B7216" i="116"/>
  <c r="K7215" i="116"/>
  <c r="J7215" i="116"/>
  <c r="I7215" i="116"/>
  <c r="H7215" i="116"/>
  <c r="G7215" i="116"/>
  <c r="F7215" i="116"/>
  <c r="E7215" i="116"/>
  <c r="D7215" i="116"/>
  <c r="C7215" i="116"/>
  <c r="B7215" i="116"/>
  <c r="K7214" i="116"/>
  <c r="J7214" i="116"/>
  <c r="I7214" i="116"/>
  <c r="H7214" i="116"/>
  <c r="G7214" i="116"/>
  <c r="F7214" i="116"/>
  <c r="E7214" i="116"/>
  <c r="D7214" i="116"/>
  <c r="C7214" i="116"/>
  <c r="B7214" i="116"/>
  <c r="K7213" i="116"/>
  <c r="J7213" i="116"/>
  <c r="I7213" i="116"/>
  <c r="H7213" i="116"/>
  <c r="G7213" i="116"/>
  <c r="F7213" i="116"/>
  <c r="E7213" i="116"/>
  <c r="D7213" i="116"/>
  <c r="C7213" i="116"/>
  <c r="B7213" i="116"/>
  <c r="K7212" i="116"/>
  <c r="J7212" i="116"/>
  <c r="I7212" i="116"/>
  <c r="H7212" i="116"/>
  <c r="G7212" i="116"/>
  <c r="F7212" i="116"/>
  <c r="E7212" i="116"/>
  <c r="D7212" i="116"/>
  <c r="C7212" i="116"/>
  <c r="B7212" i="116"/>
  <c r="K7211" i="116"/>
  <c r="J7211" i="116"/>
  <c r="I7211" i="116"/>
  <c r="H7211" i="116"/>
  <c r="G7211" i="116"/>
  <c r="F7211" i="116"/>
  <c r="E7211" i="116"/>
  <c r="D7211" i="116"/>
  <c r="C7211" i="116"/>
  <c r="B7211" i="116"/>
  <c r="K7210" i="116"/>
  <c r="J7210" i="116"/>
  <c r="I7210" i="116"/>
  <c r="H7210" i="116"/>
  <c r="G7210" i="116"/>
  <c r="F7210" i="116"/>
  <c r="E7210" i="116"/>
  <c r="D7210" i="116"/>
  <c r="C7210" i="116"/>
  <c r="B7210" i="116"/>
  <c r="K7209" i="116"/>
  <c r="J7209" i="116"/>
  <c r="I7209" i="116"/>
  <c r="H7209" i="116"/>
  <c r="G7209" i="116"/>
  <c r="F7209" i="116"/>
  <c r="E7209" i="116"/>
  <c r="D7209" i="116"/>
  <c r="C7209" i="116"/>
  <c r="B7209" i="116"/>
  <c r="K7208" i="116"/>
  <c r="J7208" i="116"/>
  <c r="I7208" i="116"/>
  <c r="H7208" i="116"/>
  <c r="G7208" i="116"/>
  <c r="F7208" i="116"/>
  <c r="E7208" i="116"/>
  <c r="D7208" i="116"/>
  <c r="C7208" i="116"/>
  <c r="B7208" i="116"/>
  <c r="K7207" i="116"/>
  <c r="J7207" i="116"/>
  <c r="I7207" i="116"/>
  <c r="H7207" i="116"/>
  <c r="G7207" i="116"/>
  <c r="F7207" i="116"/>
  <c r="E7207" i="116"/>
  <c r="D7207" i="116"/>
  <c r="C7207" i="116"/>
  <c r="B7207" i="116"/>
  <c r="K7206" i="116"/>
  <c r="J7206" i="116"/>
  <c r="I7206" i="116"/>
  <c r="H7206" i="116"/>
  <c r="G7206" i="116"/>
  <c r="F7206" i="116"/>
  <c r="E7206" i="116"/>
  <c r="D7206" i="116"/>
  <c r="C7206" i="116"/>
  <c r="B7206" i="116"/>
  <c r="K7205" i="116"/>
  <c r="J7205" i="116"/>
  <c r="I7205" i="116"/>
  <c r="H7205" i="116"/>
  <c r="G7205" i="116"/>
  <c r="F7205" i="116"/>
  <c r="E7205" i="116"/>
  <c r="D7205" i="116"/>
  <c r="C7205" i="116"/>
  <c r="B7205" i="116"/>
  <c r="K7204" i="116"/>
  <c r="J7204" i="116"/>
  <c r="I7204" i="116"/>
  <c r="H7204" i="116"/>
  <c r="G7204" i="116"/>
  <c r="F7204" i="116"/>
  <c r="E7204" i="116"/>
  <c r="D7204" i="116"/>
  <c r="C7204" i="116"/>
  <c r="B7204" i="116"/>
  <c r="K7203" i="116"/>
  <c r="J7203" i="116"/>
  <c r="I7203" i="116"/>
  <c r="H7203" i="116"/>
  <c r="G7203" i="116"/>
  <c r="F7203" i="116"/>
  <c r="E7203" i="116"/>
  <c r="D7203" i="116"/>
  <c r="C7203" i="116"/>
  <c r="B7203" i="116"/>
  <c r="K7202" i="116"/>
  <c r="J7202" i="116"/>
  <c r="I7202" i="116"/>
  <c r="H7202" i="116"/>
  <c r="G7202" i="116"/>
  <c r="F7202" i="116"/>
  <c r="E7202" i="116"/>
  <c r="D7202" i="116"/>
  <c r="C7202" i="116"/>
  <c r="B7202" i="116"/>
  <c r="K7201" i="116"/>
  <c r="J7201" i="116"/>
  <c r="I7201" i="116"/>
  <c r="H7201" i="116"/>
  <c r="G7201" i="116"/>
  <c r="F7201" i="116"/>
  <c r="E7201" i="116"/>
  <c r="D7201" i="116"/>
  <c r="C7201" i="116"/>
  <c r="B7201" i="116"/>
  <c r="K7200" i="116"/>
  <c r="J7200" i="116"/>
  <c r="I7200" i="116"/>
  <c r="H7200" i="116"/>
  <c r="G7200" i="116"/>
  <c r="F7200" i="116"/>
  <c r="E7200" i="116"/>
  <c r="D7200" i="116"/>
  <c r="C7200" i="116"/>
  <c r="B7200" i="116"/>
  <c r="K7199" i="116"/>
  <c r="J7199" i="116"/>
  <c r="I7199" i="116"/>
  <c r="H7199" i="116"/>
  <c r="G7199" i="116"/>
  <c r="F7199" i="116"/>
  <c r="E7199" i="116"/>
  <c r="D7199" i="116"/>
  <c r="C7199" i="116"/>
  <c r="B7199" i="116"/>
  <c r="K7198" i="116"/>
  <c r="J7198" i="116"/>
  <c r="I7198" i="116"/>
  <c r="H7198" i="116"/>
  <c r="G7198" i="116"/>
  <c r="F7198" i="116"/>
  <c r="E7198" i="116"/>
  <c r="D7198" i="116"/>
  <c r="C7198" i="116"/>
  <c r="B7198" i="116"/>
  <c r="K7197" i="116"/>
  <c r="J7197" i="116"/>
  <c r="I7197" i="116"/>
  <c r="H7197" i="116"/>
  <c r="G7197" i="116"/>
  <c r="F7197" i="116"/>
  <c r="E7197" i="116"/>
  <c r="D7197" i="116"/>
  <c r="C7197" i="116"/>
  <c r="B7197" i="116"/>
  <c r="K7196" i="116"/>
  <c r="J7196" i="116"/>
  <c r="I7196" i="116"/>
  <c r="H7196" i="116"/>
  <c r="G7196" i="116"/>
  <c r="F7196" i="116"/>
  <c r="E7196" i="116"/>
  <c r="D7196" i="116"/>
  <c r="C7196" i="116"/>
  <c r="B7196" i="116"/>
  <c r="K7195" i="116"/>
  <c r="J7195" i="116"/>
  <c r="I7195" i="116"/>
  <c r="H7195" i="116"/>
  <c r="G7195" i="116"/>
  <c r="F7195" i="116"/>
  <c r="E7195" i="116"/>
  <c r="D7195" i="116"/>
  <c r="C7195" i="116"/>
  <c r="B7195" i="116"/>
  <c r="K7194" i="116"/>
  <c r="J7194" i="116"/>
  <c r="I7194" i="116"/>
  <c r="H7194" i="116"/>
  <c r="G7194" i="116"/>
  <c r="F7194" i="116"/>
  <c r="E7194" i="116"/>
  <c r="D7194" i="116"/>
  <c r="C7194" i="116"/>
  <c r="B7194" i="116"/>
  <c r="K7193" i="116"/>
  <c r="J7193" i="116"/>
  <c r="I7193" i="116"/>
  <c r="H7193" i="116"/>
  <c r="G7193" i="116"/>
  <c r="F7193" i="116"/>
  <c r="E7193" i="116"/>
  <c r="D7193" i="116"/>
  <c r="C7193" i="116"/>
  <c r="B7193" i="116"/>
  <c r="K7192" i="116"/>
  <c r="J7192" i="116"/>
  <c r="I7192" i="116"/>
  <c r="H7192" i="116"/>
  <c r="G7192" i="116"/>
  <c r="F7192" i="116"/>
  <c r="E7192" i="116"/>
  <c r="D7192" i="116"/>
  <c r="C7192" i="116"/>
  <c r="B7192" i="116"/>
  <c r="K7191" i="116"/>
  <c r="J7191" i="116"/>
  <c r="I7191" i="116"/>
  <c r="H7191" i="116"/>
  <c r="G7191" i="116"/>
  <c r="F7191" i="116"/>
  <c r="E7191" i="116"/>
  <c r="D7191" i="116"/>
  <c r="C7191" i="116"/>
  <c r="B7191" i="116"/>
  <c r="K7190" i="116"/>
  <c r="J7190" i="116"/>
  <c r="I7190" i="116"/>
  <c r="H7190" i="116"/>
  <c r="G7190" i="116"/>
  <c r="F7190" i="116"/>
  <c r="E7190" i="116"/>
  <c r="D7190" i="116"/>
  <c r="C7190" i="116"/>
  <c r="B7190" i="116"/>
  <c r="K7189" i="116"/>
  <c r="J7189" i="116"/>
  <c r="I7189" i="116"/>
  <c r="H7189" i="116"/>
  <c r="G7189" i="116"/>
  <c r="F7189" i="116"/>
  <c r="E7189" i="116"/>
  <c r="D7189" i="116"/>
  <c r="C7189" i="116"/>
  <c r="B7189" i="116"/>
  <c r="K7188" i="116"/>
  <c r="J7188" i="116"/>
  <c r="I7188" i="116"/>
  <c r="H7188" i="116"/>
  <c r="G7188" i="116"/>
  <c r="F7188" i="116"/>
  <c r="E7188" i="116"/>
  <c r="D7188" i="116"/>
  <c r="C7188" i="116"/>
  <c r="B7188" i="116"/>
  <c r="K7187" i="116"/>
  <c r="J7187" i="116"/>
  <c r="I7187" i="116"/>
  <c r="H7187" i="116"/>
  <c r="G7187" i="116"/>
  <c r="F7187" i="116"/>
  <c r="E7187" i="116"/>
  <c r="D7187" i="116"/>
  <c r="C7187" i="116"/>
  <c r="B7187" i="116"/>
  <c r="K7186" i="116"/>
  <c r="J7186" i="116"/>
  <c r="I7186" i="116"/>
  <c r="H7186" i="116"/>
  <c r="G7186" i="116"/>
  <c r="F7186" i="116"/>
  <c r="E7186" i="116"/>
  <c r="D7186" i="116"/>
  <c r="C7186" i="116"/>
  <c r="B7186" i="116"/>
  <c r="K7185" i="116"/>
  <c r="J7185" i="116"/>
  <c r="I7185" i="116"/>
  <c r="H7185" i="116"/>
  <c r="G7185" i="116"/>
  <c r="F7185" i="116"/>
  <c r="E7185" i="116"/>
  <c r="D7185" i="116"/>
  <c r="C7185" i="116"/>
  <c r="B7185" i="116"/>
  <c r="K7184" i="116"/>
  <c r="J7184" i="116"/>
  <c r="I7184" i="116"/>
  <c r="H7184" i="116"/>
  <c r="G7184" i="116"/>
  <c r="F7184" i="116"/>
  <c r="E7184" i="116"/>
  <c r="D7184" i="116"/>
  <c r="C7184" i="116"/>
  <c r="B7184" i="116"/>
  <c r="K7183" i="116"/>
  <c r="J7183" i="116"/>
  <c r="I7183" i="116"/>
  <c r="H7183" i="116"/>
  <c r="G7183" i="116"/>
  <c r="F7183" i="116"/>
  <c r="E7183" i="116"/>
  <c r="D7183" i="116"/>
  <c r="C7183" i="116"/>
  <c r="B7183" i="116"/>
  <c r="K7182" i="116"/>
  <c r="J7182" i="116"/>
  <c r="I7182" i="116"/>
  <c r="H7182" i="116"/>
  <c r="G7182" i="116"/>
  <c r="F7182" i="116"/>
  <c r="E7182" i="116"/>
  <c r="D7182" i="116"/>
  <c r="C7182" i="116"/>
  <c r="B7182" i="116"/>
  <c r="K7181" i="116"/>
  <c r="J7181" i="116"/>
  <c r="I7181" i="116"/>
  <c r="H7181" i="116"/>
  <c r="G7181" i="116"/>
  <c r="F7181" i="116"/>
  <c r="E7181" i="116"/>
  <c r="D7181" i="116"/>
  <c r="C7181" i="116"/>
  <c r="B7181" i="116"/>
  <c r="K7180" i="116"/>
  <c r="J7180" i="116"/>
  <c r="I7180" i="116"/>
  <c r="H7180" i="116"/>
  <c r="G7180" i="116"/>
  <c r="F7180" i="116"/>
  <c r="E7180" i="116"/>
  <c r="D7180" i="116"/>
  <c r="C7180" i="116"/>
  <c r="B7180" i="116"/>
  <c r="K7179" i="116"/>
  <c r="J7179" i="116"/>
  <c r="I7179" i="116"/>
  <c r="H7179" i="116"/>
  <c r="G7179" i="116"/>
  <c r="F7179" i="116"/>
  <c r="E7179" i="116"/>
  <c r="D7179" i="116"/>
  <c r="C7179" i="116"/>
  <c r="B7179" i="116"/>
  <c r="K7178" i="116"/>
  <c r="J7178" i="116"/>
  <c r="I7178" i="116"/>
  <c r="H7178" i="116"/>
  <c r="G7178" i="116"/>
  <c r="F7178" i="116"/>
  <c r="E7178" i="116"/>
  <c r="D7178" i="116"/>
  <c r="C7178" i="116"/>
  <c r="B7178" i="116"/>
  <c r="K7177" i="116"/>
  <c r="J7177" i="116"/>
  <c r="I7177" i="116"/>
  <c r="H7177" i="116"/>
  <c r="G7177" i="116"/>
  <c r="F7177" i="116"/>
  <c r="E7177" i="116"/>
  <c r="D7177" i="116"/>
  <c r="C7177" i="116"/>
  <c r="B7177" i="116"/>
  <c r="K7176" i="116"/>
  <c r="J7176" i="116"/>
  <c r="I7176" i="116"/>
  <c r="H7176" i="116"/>
  <c r="G7176" i="116"/>
  <c r="F7176" i="116"/>
  <c r="E7176" i="116"/>
  <c r="D7176" i="116"/>
  <c r="C7176" i="116"/>
  <c r="B7176" i="116"/>
  <c r="K7175" i="116"/>
  <c r="J7175" i="116"/>
  <c r="I7175" i="116"/>
  <c r="H7175" i="116"/>
  <c r="G7175" i="116"/>
  <c r="F7175" i="116"/>
  <c r="E7175" i="116"/>
  <c r="D7175" i="116"/>
  <c r="C7175" i="116"/>
  <c r="B7175" i="116"/>
  <c r="K7174" i="116"/>
  <c r="J7174" i="116"/>
  <c r="I7174" i="116"/>
  <c r="H7174" i="116"/>
  <c r="G7174" i="116"/>
  <c r="F7174" i="116"/>
  <c r="E7174" i="116"/>
  <c r="D7174" i="116"/>
  <c r="C7174" i="116"/>
  <c r="B7174" i="116"/>
  <c r="K7173" i="116"/>
  <c r="J7173" i="116"/>
  <c r="I7173" i="116"/>
  <c r="H7173" i="116"/>
  <c r="G7173" i="116"/>
  <c r="F7173" i="116"/>
  <c r="E7173" i="116"/>
  <c r="D7173" i="116"/>
  <c r="C7173" i="116"/>
  <c r="B7173" i="116"/>
  <c r="K7172" i="116"/>
  <c r="J7172" i="116"/>
  <c r="I7172" i="116"/>
  <c r="H7172" i="116"/>
  <c r="G7172" i="116"/>
  <c r="F7172" i="116"/>
  <c r="E7172" i="116"/>
  <c r="D7172" i="116"/>
  <c r="C7172" i="116"/>
  <c r="B7172" i="116"/>
  <c r="K7171" i="116"/>
  <c r="J7171" i="116"/>
  <c r="I7171" i="116"/>
  <c r="H7171" i="116"/>
  <c r="G7171" i="116"/>
  <c r="F7171" i="116"/>
  <c r="E7171" i="116"/>
  <c r="D7171" i="116"/>
  <c r="C7171" i="116"/>
  <c r="B7171" i="116"/>
  <c r="K7170" i="116"/>
  <c r="J7170" i="116"/>
  <c r="I7170" i="116"/>
  <c r="H7170" i="116"/>
  <c r="G7170" i="116"/>
  <c r="F7170" i="116"/>
  <c r="E7170" i="116"/>
  <c r="D7170" i="116"/>
  <c r="C7170" i="116"/>
  <c r="B7170" i="116"/>
  <c r="K7169" i="116"/>
  <c r="J7169" i="116"/>
  <c r="I7169" i="116"/>
  <c r="H7169" i="116"/>
  <c r="G7169" i="116"/>
  <c r="F7169" i="116"/>
  <c r="E7169" i="116"/>
  <c r="D7169" i="116"/>
  <c r="C7169" i="116"/>
  <c r="B7169" i="116"/>
  <c r="K7168" i="116"/>
  <c r="J7168" i="116"/>
  <c r="I7168" i="116"/>
  <c r="H7168" i="116"/>
  <c r="G7168" i="116"/>
  <c r="F7168" i="116"/>
  <c r="E7168" i="116"/>
  <c r="D7168" i="116"/>
  <c r="C7168" i="116"/>
  <c r="B7168" i="116"/>
  <c r="K7167" i="116"/>
  <c r="J7167" i="116"/>
  <c r="I7167" i="116"/>
  <c r="H7167" i="116"/>
  <c r="G7167" i="116"/>
  <c r="F7167" i="116"/>
  <c r="E7167" i="116"/>
  <c r="D7167" i="116"/>
  <c r="C7167" i="116"/>
  <c r="B7167" i="116"/>
  <c r="K7166" i="116"/>
  <c r="J7166" i="116"/>
  <c r="I7166" i="116"/>
  <c r="H7166" i="116"/>
  <c r="G7166" i="116"/>
  <c r="F7166" i="116"/>
  <c r="E7166" i="116"/>
  <c r="D7166" i="116"/>
  <c r="C7166" i="116"/>
  <c r="B7166" i="116"/>
  <c r="K7165" i="116"/>
  <c r="J7165" i="116"/>
  <c r="I7165" i="116"/>
  <c r="H7165" i="116"/>
  <c r="G7165" i="116"/>
  <c r="F7165" i="116"/>
  <c r="E7165" i="116"/>
  <c r="D7165" i="116"/>
  <c r="C7165" i="116"/>
  <c r="B7165" i="116"/>
  <c r="K7164" i="116"/>
  <c r="J7164" i="116"/>
  <c r="I7164" i="116"/>
  <c r="H7164" i="116"/>
  <c r="G7164" i="116"/>
  <c r="F7164" i="116"/>
  <c r="E7164" i="116"/>
  <c r="D7164" i="116"/>
  <c r="C7164" i="116"/>
  <c r="B7164" i="116"/>
  <c r="K7163" i="116"/>
  <c r="J7163" i="116"/>
  <c r="I7163" i="116"/>
  <c r="H7163" i="116"/>
  <c r="G7163" i="116"/>
  <c r="F7163" i="116"/>
  <c r="E7163" i="116"/>
  <c r="D7163" i="116"/>
  <c r="C7163" i="116"/>
  <c r="B7163" i="116"/>
  <c r="K7162" i="116"/>
  <c r="J7162" i="116"/>
  <c r="I7162" i="116"/>
  <c r="H7162" i="116"/>
  <c r="G7162" i="116"/>
  <c r="F7162" i="116"/>
  <c r="E7162" i="116"/>
  <c r="D7162" i="116"/>
  <c r="C7162" i="116"/>
  <c r="B7162" i="116"/>
  <c r="K7161" i="116"/>
  <c r="J7161" i="116"/>
  <c r="I7161" i="116"/>
  <c r="H7161" i="116"/>
  <c r="G7161" i="116"/>
  <c r="F7161" i="116"/>
  <c r="E7161" i="116"/>
  <c r="D7161" i="116"/>
  <c r="C7161" i="116"/>
  <c r="B7161" i="116"/>
  <c r="K7160" i="116"/>
  <c r="J7160" i="116"/>
  <c r="I7160" i="116"/>
  <c r="H7160" i="116"/>
  <c r="G7160" i="116"/>
  <c r="F7160" i="116"/>
  <c r="E7160" i="116"/>
  <c r="D7160" i="116"/>
  <c r="C7160" i="116"/>
  <c r="B7160" i="116"/>
  <c r="K7159" i="116"/>
  <c r="J7159" i="116"/>
  <c r="I7159" i="116"/>
  <c r="H7159" i="116"/>
  <c r="G7159" i="116"/>
  <c r="F7159" i="116"/>
  <c r="E7159" i="116"/>
  <c r="D7159" i="116"/>
  <c r="C7159" i="116"/>
  <c r="B7159" i="116"/>
  <c r="K7158" i="116"/>
  <c r="J7158" i="116"/>
  <c r="I7158" i="116"/>
  <c r="H7158" i="116"/>
  <c r="G7158" i="116"/>
  <c r="F7158" i="116"/>
  <c r="E7158" i="116"/>
  <c r="D7158" i="116"/>
  <c r="C7158" i="116"/>
  <c r="B7158" i="116"/>
  <c r="K7157" i="116"/>
  <c r="J7157" i="116"/>
  <c r="I7157" i="116"/>
  <c r="H7157" i="116"/>
  <c r="G7157" i="116"/>
  <c r="F7157" i="116"/>
  <c r="E7157" i="116"/>
  <c r="D7157" i="116"/>
  <c r="C7157" i="116"/>
  <c r="B7157" i="116"/>
  <c r="K7156" i="116"/>
  <c r="J7156" i="116"/>
  <c r="I7156" i="116"/>
  <c r="H7156" i="116"/>
  <c r="G7156" i="116"/>
  <c r="F7156" i="116"/>
  <c r="E7156" i="116"/>
  <c r="D7156" i="116"/>
  <c r="C7156" i="116"/>
  <c r="B7156" i="116"/>
  <c r="K7155" i="116"/>
  <c r="J7155" i="116"/>
  <c r="I7155" i="116"/>
  <c r="H7155" i="116"/>
  <c r="G7155" i="116"/>
  <c r="F7155" i="116"/>
  <c r="E7155" i="116"/>
  <c r="D7155" i="116"/>
  <c r="C7155" i="116"/>
  <c r="B7155" i="116"/>
  <c r="K7154" i="116"/>
  <c r="J7154" i="116"/>
  <c r="I7154" i="116"/>
  <c r="H7154" i="116"/>
  <c r="G7154" i="116"/>
  <c r="F7154" i="116"/>
  <c r="E7154" i="116"/>
  <c r="D7154" i="116"/>
  <c r="C7154" i="116"/>
  <c r="B7154" i="116"/>
  <c r="K7153" i="116"/>
  <c r="J7153" i="116"/>
  <c r="I7153" i="116"/>
  <c r="H7153" i="116"/>
  <c r="G7153" i="116"/>
  <c r="F7153" i="116"/>
  <c r="E7153" i="116"/>
  <c r="D7153" i="116"/>
  <c r="C7153" i="116"/>
  <c r="B7153" i="116"/>
  <c r="K7152" i="116"/>
  <c r="J7152" i="116"/>
  <c r="I7152" i="116"/>
  <c r="H7152" i="116"/>
  <c r="G7152" i="116"/>
  <c r="F7152" i="116"/>
  <c r="E7152" i="116"/>
  <c r="D7152" i="116"/>
  <c r="C7152" i="116"/>
  <c r="B7152" i="116"/>
  <c r="K7151" i="116"/>
  <c r="J7151" i="116"/>
  <c r="I7151" i="116"/>
  <c r="H7151" i="116"/>
  <c r="G7151" i="116"/>
  <c r="F7151" i="116"/>
  <c r="E7151" i="116"/>
  <c r="D7151" i="116"/>
  <c r="C7151" i="116"/>
  <c r="B7151" i="116"/>
  <c r="K7150" i="116"/>
  <c r="J7150" i="116"/>
  <c r="I7150" i="116"/>
  <c r="H7150" i="116"/>
  <c r="G7150" i="116"/>
  <c r="F7150" i="116"/>
  <c r="E7150" i="116"/>
  <c r="D7150" i="116"/>
  <c r="C7150" i="116"/>
  <c r="B7150" i="116"/>
  <c r="K7149" i="116"/>
  <c r="J7149" i="116"/>
  <c r="I7149" i="116"/>
  <c r="H7149" i="116"/>
  <c r="G7149" i="116"/>
  <c r="F7149" i="116"/>
  <c r="E7149" i="116"/>
  <c r="D7149" i="116"/>
  <c r="C7149" i="116"/>
  <c r="B7149" i="116"/>
  <c r="K7148" i="116"/>
  <c r="J7148" i="116"/>
  <c r="I7148" i="116"/>
  <c r="H7148" i="116"/>
  <c r="G7148" i="116"/>
  <c r="F7148" i="116"/>
  <c r="E7148" i="116"/>
  <c r="D7148" i="116"/>
  <c r="C7148" i="116"/>
  <c r="B7148" i="116"/>
  <c r="K7147" i="116"/>
  <c r="J7147" i="116"/>
  <c r="I7147" i="116"/>
  <c r="H7147" i="116"/>
  <c r="G7147" i="116"/>
  <c r="F7147" i="116"/>
  <c r="E7147" i="116"/>
  <c r="D7147" i="116"/>
  <c r="C7147" i="116"/>
  <c r="B7147" i="116"/>
  <c r="K7146" i="116"/>
  <c r="J7146" i="116"/>
  <c r="I7146" i="116"/>
  <c r="H7146" i="116"/>
  <c r="G7146" i="116"/>
  <c r="F7146" i="116"/>
  <c r="E7146" i="116"/>
  <c r="D7146" i="116"/>
  <c r="C7146" i="116"/>
  <c r="B7146" i="116"/>
  <c r="K7145" i="116"/>
  <c r="J7145" i="116"/>
  <c r="I7145" i="116"/>
  <c r="H7145" i="116"/>
  <c r="G7145" i="116"/>
  <c r="F7145" i="116"/>
  <c r="E7145" i="116"/>
  <c r="D7145" i="116"/>
  <c r="C7145" i="116"/>
  <c r="B7145" i="116"/>
  <c r="K7144" i="116"/>
  <c r="J7144" i="116"/>
  <c r="I7144" i="116"/>
  <c r="H7144" i="116"/>
  <c r="G7144" i="116"/>
  <c r="F7144" i="116"/>
  <c r="E7144" i="116"/>
  <c r="D7144" i="116"/>
  <c r="C7144" i="116"/>
  <c r="B7144" i="116"/>
  <c r="K7143" i="116"/>
  <c r="J7143" i="116"/>
  <c r="I7143" i="116"/>
  <c r="H7143" i="116"/>
  <c r="G7143" i="116"/>
  <c r="F7143" i="116"/>
  <c r="E7143" i="116"/>
  <c r="D7143" i="116"/>
  <c r="C7143" i="116"/>
  <c r="B7143" i="116"/>
  <c r="K7142" i="116"/>
  <c r="J7142" i="116"/>
  <c r="I7142" i="116"/>
  <c r="H7142" i="116"/>
  <c r="G7142" i="116"/>
  <c r="F7142" i="116"/>
  <c r="E7142" i="116"/>
  <c r="D7142" i="116"/>
  <c r="C7142" i="116"/>
  <c r="B7142" i="116"/>
  <c r="K7141" i="116"/>
  <c r="J7141" i="116"/>
  <c r="I7141" i="116"/>
  <c r="H7141" i="116"/>
  <c r="G7141" i="116"/>
  <c r="F7141" i="116"/>
  <c r="E7141" i="116"/>
  <c r="D7141" i="116"/>
  <c r="C7141" i="116"/>
  <c r="B7141" i="116"/>
  <c r="K7140" i="116"/>
  <c r="J7140" i="116"/>
  <c r="I7140" i="116"/>
  <c r="H7140" i="116"/>
  <c r="G7140" i="116"/>
  <c r="F7140" i="116"/>
  <c r="E7140" i="116"/>
  <c r="D7140" i="116"/>
  <c r="C7140" i="116"/>
  <c r="B7140" i="116"/>
  <c r="K7139" i="116"/>
  <c r="J7139" i="116"/>
  <c r="I7139" i="116"/>
  <c r="H7139" i="116"/>
  <c r="G7139" i="116"/>
  <c r="F7139" i="116"/>
  <c r="E7139" i="116"/>
  <c r="D7139" i="116"/>
  <c r="C7139" i="116"/>
  <c r="B7139" i="116"/>
  <c r="K7138" i="116"/>
  <c r="J7138" i="116"/>
  <c r="I7138" i="116"/>
  <c r="H7138" i="116"/>
  <c r="G7138" i="116"/>
  <c r="F7138" i="116"/>
  <c r="E7138" i="116"/>
  <c r="D7138" i="116"/>
  <c r="C7138" i="116"/>
  <c r="B7138" i="116"/>
  <c r="K7137" i="116"/>
  <c r="J7137" i="116"/>
  <c r="I7137" i="116"/>
  <c r="H7137" i="116"/>
  <c r="G7137" i="116"/>
  <c r="F7137" i="116"/>
  <c r="E7137" i="116"/>
  <c r="D7137" i="116"/>
  <c r="C7137" i="116"/>
  <c r="B7137" i="116"/>
  <c r="K7136" i="116"/>
  <c r="J7136" i="116"/>
  <c r="I7136" i="116"/>
  <c r="H7136" i="116"/>
  <c r="G7136" i="116"/>
  <c r="F7136" i="116"/>
  <c r="E7136" i="116"/>
  <c r="D7136" i="116"/>
  <c r="C7136" i="116"/>
  <c r="B7136" i="116"/>
  <c r="K7135" i="116"/>
  <c r="J7135" i="116"/>
  <c r="I7135" i="116"/>
  <c r="H7135" i="116"/>
  <c r="G7135" i="116"/>
  <c r="F7135" i="116"/>
  <c r="E7135" i="116"/>
  <c r="D7135" i="116"/>
  <c r="C7135" i="116"/>
  <c r="B7135" i="116"/>
  <c r="K7134" i="116"/>
  <c r="J7134" i="116"/>
  <c r="I7134" i="116"/>
  <c r="H7134" i="116"/>
  <c r="G7134" i="116"/>
  <c r="F7134" i="116"/>
  <c r="E7134" i="116"/>
  <c r="D7134" i="116"/>
  <c r="C7134" i="116"/>
  <c r="B7134" i="116"/>
  <c r="K7133" i="116"/>
  <c r="J7133" i="116"/>
  <c r="I7133" i="116"/>
  <c r="H7133" i="116"/>
  <c r="G7133" i="116"/>
  <c r="F7133" i="116"/>
  <c r="E7133" i="116"/>
  <c r="D7133" i="116"/>
  <c r="C7133" i="116"/>
  <c r="B7133" i="116"/>
  <c r="K7132" i="116"/>
  <c r="J7132" i="116"/>
  <c r="I7132" i="116"/>
  <c r="H7132" i="116"/>
  <c r="G7132" i="116"/>
  <c r="F7132" i="116"/>
  <c r="E7132" i="116"/>
  <c r="D7132" i="116"/>
  <c r="C7132" i="116"/>
  <c r="B7132" i="116"/>
  <c r="K7131" i="116"/>
  <c r="J7131" i="116"/>
  <c r="I7131" i="116"/>
  <c r="H7131" i="116"/>
  <c r="G7131" i="116"/>
  <c r="F7131" i="116"/>
  <c r="E7131" i="116"/>
  <c r="D7131" i="116"/>
  <c r="C7131" i="116"/>
  <c r="B7131" i="116"/>
  <c r="K7130" i="116"/>
  <c r="J7130" i="116"/>
  <c r="I7130" i="116"/>
  <c r="H7130" i="116"/>
  <c r="G7130" i="116"/>
  <c r="F7130" i="116"/>
  <c r="E7130" i="116"/>
  <c r="D7130" i="116"/>
  <c r="C7130" i="116"/>
  <c r="B7130" i="116"/>
  <c r="K7129" i="116"/>
  <c r="J7129" i="116"/>
  <c r="I7129" i="116"/>
  <c r="H7129" i="116"/>
  <c r="G7129" i="116"/>
  <c r="F7129" i="116"/>
  <c r="E7129" i="116"/>
  <c r="D7129" i="116"/>
  <c r="C7129" i="116"/>
  <c r="B7129" i="116"/>
  <c r="K7128" i="116"/>
  <c r="J7128" i="116"/>
  <c r="I7128" i="116"/>
  <c r="H7128" i="116"/>
  <c r="G7128" i="116"/>
  <c r="F7128" i="116"/>
  <c r="E7128" i="116"/>
  <c r="D7128" i="116"/>
  <c r="C7128" i="116"/>
  <c r="B7128" i="116"/>
  <c r="K7127" i="116"/>
  <c r="J7127" i="116"/>
  <c r="I7127" i="116"/>
  <c r="H7127" i="116"/>
  <c r="G7127" i="116"/>
  <c r="F7127" i="116"/>
  <c r="E7127" i="116"/>
  <c r="D7127" i="116"/>
  <c r="C7127" i="116"/>
  <c r="B7127" i="116"/>
  <c r="K7126" i="116"/>
  <c r="J7126" i="116"/>
  <c r="I7126" i="116"/>
  <c r="H7126" i="116"/>
  <c r="G7126" i="116"/>
  <c r="F7126" i="116"/>
  <c r="E7126" i="116"/>
  <c r="D7126" i="116"/>
  <c r="C7126" i="116"/>
  <c r="B7126" i="116"/>
  <c r="K7125" i="116"/>
  <c r="J7125" i="116"/>
  <c r="I7125" i="116"/>
  <c r="H7125" i="116"/>
  <c r="G7125" i="116"/>
  <c r="F7125" i="116"/>
  <c r="E7125" i="116"/>
  <c r="D7125" i="116"/>
  <c r="C7125" i="116"/>
  <c r="B7125" i="116"/>
  <c r="K7124" i="116"/>
  <c r="J7124" i="116"/>
  <c r="I7124" i="116"/>
  <c r="H7124" i="116"/>
  <c r="G7124" i="116"/>
  <c r="F7124" i="116"/>
  <c r="E7124" i="116"/>
  <c r="D7124" i="116"/>
  <c r="C7124" i="116"/>
  <c r="B7124" i="116"/>
  <c r="K7123" i="116"/>
  <c r="J7123" i="116"/>
  <c r="I7123" i="116"/>
  <c r="H7123" i="116"/>
  <c r="G7123" i="116"/>
  <c r="F7123" i="116"/>
  <c r="E7123" i="116"/>
  <c r="D7123" i="116"/>
  <c r="C7123" i="116"/>
  <c r="B7123" i="116"/>
  <c r="K7122" i="116"/>
  <c r="J7122" i="116"/>
  <c r="I7122" i="116"/>
  <c r="H7122" i="116"/>
  <c r="G7122" i="116"/>
  <c r="F7122" i="116"/>
  <c r="E7122" i="116"/>
  <c r="D7122" i="116"/>
  <c r="C7122" i="116"/>
  <c r="B7122" i="116"/>
  <c r="K7121" i="116"/>
  <c r="J7121" i="116"/>
  <c r="I7121" i="116"/>
  <c r="H7121" i="116"/>
  <c r="G7121" i="116"/>
  <c r="F7121" i="116"/>
  <c r="E7121" i="116"/>
  <c r="D7121" i="116"/>
  <c r="C7121" i="116"/>
  <c r="B7121" i="116"/>
  <c r="K7120" i="116"/>
  <c r="J7120" i="116"/>
  <c r="I7120" i="116"/>
  <c r="H7120" i="116"/>
  <c r="G7120" i="116"/>
  <c r="F7120" i="116"/>
  <c r="E7120" i="116"/>
  <c r="D7120" i="116"/>
  <c r="C7120" i="116"/>
  <c r="B7120" i="116"/>
  <c r="K7119" i="116"/>
  <c r="J7119" i="116"/>
  <c r="I7119" i="116"/>
  <c r="H7119" i="116"/>
  <c r="G7119" i="116"/>
  <c r="F7119" i="116"/>
  <c r="E7119" i="116"/>
  <c r="D7119" i="116"/>
  <c r="C7119" i="116"/>
  <c r="B7119" i="116"/>
  <c r="K7118" i="116"/>
  <c r="J7118" i="116"/>
  <c r="I7118" i="116"/>
  <c r="H7118" i="116"/>
  <c r="G7118" i="116"/>
  <c r="F7118" i="116"/>
  <c r="E7118" i="116"/>
  <c r="D7118" i="116"/>
  <c r="C7118" i="116"/>
  <c r="B7118" i="116"/>
  <c r="K7117" i="116"/>
  <c r="J7117" i="116"/>
  <c r="I7117" i="116"/>
  <c r="H7117" i="116"/>
  <c r="G7117" i="116"/>
  <c r="F7117" i="116"/>
  <c r="E7117" i="116"/>
  <c r="D7117" i="116"/>
  <c r="C7117" i="116"/>
  <c r="B7117" i="116"/>
  <c r="K7116" i="116"/>
  <c r="J7116" i="116"/>
  <c r="I7116" i="116"/>
  <c r="H7116" i="116"/>
  <c r="G7116" i="116"/>
  <c r="F7116" i="116"/>
  <c r="E7116" i="116"/>
  <c r="D7116" i="116"/>
  <c r="C7116" i="116"/>
  <c r="B7116" i="116"/>
  <c r="K7115" i="116"/>
  <c r="J7115" i="116"/>
  <c r="I7115" i="116"/>
  <c r="H7115" i="116"/>
  <c r="G7115" i="116"/>
  <c r="F7115" i="116"/>
  <c r="E7115" i="116"/>
  <c r="D7115" i="116"/>
  <c r="C7115" i="116"/>
  <c r="B7115" i="116"/>
  <c r="K7114" i="116"/>
  <c r="J7114" i="116"/>
  <c r="I7114" i="116"/>
  <c r="H7114" i="116"/>
  <c r="G7114" i="116"/>
  <c r="F7114" i="116"/>
  <c r="E7114" i="116"/>
  <c r="D7114" i="116"/>
  <c r="C7114" i="116"/>
  <c r="B7114" i="116"/>
  <c r="K7113" i="116"/>
  <c r="J7113" i="116"/>
  <c r="I7113" i="116"/>
  <c r="H7113" i="116"/>
  <c r="G7113" i="116"/>
  <c r="F7113" i="116"/>
  <c r="E7113" i="116"/>
  <c r="D7113" i="116"/>
  <c r="C7113" i="116"/>
  <c r="B7113" i="116"/>
  <c r="K7112" i="116"/>
  <c r="J7112" i="116"/>
  <c r="I7112" i="116"/>
  <c r="H7112" i="116"/>
  <c r="G7112" i="116"/>
  <c r="F7112" i="116"/>
  <c r="E7112" i="116"/>
  <c r="D7112" i="116"/>
  <c r="C7112" i="116"/>
  <c r="B7112" i="116"/>
  <c r="K7111" i="116"/>
  <c r="J7111" i="116"/>
  <c r="I7111" i="116"/>
  <c r="H7111" i="116"/>
  <c r="G7111" i="116"/>
  <c r="F7111" i="116"/>
  <c r="E7111" i="116"/>
  <c r="D7111" i="116"/>
  <c r="C7111" i="116"/>
  <c r="B7111" i="116"/>
  <c r="K7110" i="116"/>
  <c r="J7110" i="116"/>
  <c r="I7110" i="116"/>
  <c r="H7110" i="116"/>
  <c r="G7110" i="116"/>
  <c r="F7110" i="116"/>
  <c r="E7110" i="116"/>
  <c r="D7110" i="116"/>
  <c r="C7110" i="116"/>
  <c r="B7110" i="116"/>
  <c r="K7109" i="116"/>
  <c r="J7109" i="116"/>
  <c r="I7109" i="116"/>
  <c r="H7109" i="116"/>
  <c r="G7109" i="116"/>
  <c r="F7109" i="116"/>
  <c r="E7109" i="116"/>
  <c r="D7109" i="116"/>
  <c r="C7109" i="116"/>
  <c r="B7109" i="116"/>
  <c r="K7108" i="116"/>
  <c r="J7108" i="116"/>
  <c r="I7108" i="116"/>
  <c r="H7108" i="116"/>
  <c r="G7108" i="116"/>
  <c r="F7108" i="116"/>
  <c r="E7108" i="116"/>
  <c r="D7108" i="116"/>
  <c r="C7108" i="116"/>
  <c r="B7108" i="116"/>
  <c r="K7107" i="116"/>
  <c r="J7107" i="116"/>
  <c r="I7107" i="116"/>
  <c r="H7107" i="116"/>
  <c r="G7107" i="116"/>
  <c r="F7107" i="116"/>
  <c r="E7107" i="116"/>
  <c r="D7107" i="116"/>
  <c r="C7107" i="116"/>
  <c r="B7107" i="116"/>
  <c r="K7106" i="116"/>
  <c r="J7106" i="116"/>
  <c r="I7106" i="116"/>
  <c r="H7106" i="116"/>
  <c r="G7106" i="116"/>
  <c r="F7106" i="116"/>
  <c r="E7106" i="116"/>
  <c r="D7106" i="116"/>
  <c r="C7106" i="116"/>
  <c r="B7106" i="116"/>
  <c r="K7105" i="116"/>
  <c r="J7105" i="116"/>
  <c r="I7105" i="116"/>
  <c r="H7105" i="116"/>
  <c r="G7105" i="116"/>
  <c r="F7105" i="116"/>
  <c r="E7105" i="116"/>
  <c r="D7105" i="116"/>
  <c r="C7105" i="116"/>
  <c r="B7105" i="116"/>
  <c r="K7104" i="116"/>
  <c r="J7104" i="116"/>
  <c r="I7104" i="116"/>
  <c r="H7104" i="116"/>
  <c r="G7104" i="116"/>
  <c r="F7104" i="116"/>
  <c r="E7104" i="116"/>
  <c r="D7104" i="116"/>
  <c r="C7104" i="116"/>
  <c r="B7104" i="116"/>
  <c r="K7103" i="116"/>
  <c r="J7103" i="116"/>
  <c r="I7103" i="116"/>
  <c r="H7103" i="116"/>
  <c r="G7103" i="116"/>
  <c r="F7103" i="116"/>
  <c r="E7103" i="116"/>
  <c r="D7103" i="116"/>
  <c r="C7103" i="116"/>
  <c r="B7103" i="116"/>
  <c r="K7102" i="116"/>
  <c r="J7102" i="116"/>
  <c r="I7102" i="116"/>
  <c r="H7102" i="116"/>
  <c r="G7102" i="116"/>
  <c r="F7102" i="116"/>
  <c r="E7102" i="116"/>
  <c r="D7102" i="116"/>
  <c r="C7102" i="116"/>
  <c r="B7102" i="116"/>
  <c r="K7101" i="116"/>
  <c r="J7101" i="116"/>
  <c r="I7101" i="116"/>
  <c r="H7101" i="116"/>
  <c r="G7101" i="116"/>
  <c r="F7101" i="116"/>
  <c r="E7101" i="116"/>
  <c r="D7101" i="116"/>
  <c r="C7101" i="116"/>
  <c r="B7101" i="116"/>
  <c r="K7100" i="116"/>
  <c r="J7100" i="116"/>
  <c r="I7100" i="116"/>
  <c r="H7100" i="116"/>
  <c r="G7100" i="116"/>
  <c r="F7100" i="116"/>
  <c r="E7100" i="116"/>
  <c r="D7100" i="116"/>
  <c r="C7100" i="116"/>
  <c r="B7100" i="116"/>
  <c r="K7099" i="116"/>
  <c r="J7099" i="116"/>
  <c r="I7099" i="116"/>
  <c r="H7099" i="116"/>
  <c r="G7099" i="116"/>
  <c r="F7099" i="116"/>
  <c r="E7099" i="116"/>
  <c r="D7099" i="116"/>
  <c r="C7099" i="116"/>
  <c r="B7099" i="116"/>
  <c r="K7098" i="116"/>
  <c r="J7098" i="116"/>
  <c r="I7098" i="116"/>
  <c r="H7098" i="116"/>
  <c r="G7098" i="116"/>
  <c r="F7098" i="116"/>
  <c r="E7098" i="116"/>
  <c r="D7098" i="116"/>
  <c r="C7098" i="116"/>
  <c r="B7098" i="116"/>
  <c r="K7097" i="116"/>
  <c r="J7097" i="116"/>
  <c r="I7097" i="116"/>
  <c r="H7097" i="116"/>
  <c r="G7097" i="116"/>
  <c r="F7097" i="116"/>
  <c r="E7097" i="116"/>
  <c r="D7097" i="116"/>
  <c r="C7097" i="116"/>
  <c r="B7097" i="116"/>
  <c r="K7096" i="116"/>
  <c r="J7096" i="116"/>
  <c r="I7096" i="116"/>
  <c r="H7096" i="116"/>
  <c r="G7096" i="116"/>
  <c r="F7096" i="116"/>
  <c r="E7096" i="116"/>
  <c r="D7096" i="116"/>
  <c r="C7096" i="116"/>
  <c r="B7096" i="116"/>
  <c r="K7095" i="116"/>
  <c r="J7095" i="116"/>
  <c r="I7095" i="116"/>
  <c r="H7095" i="116"/>
  <c r="G7095" i="116"/>
  <c r="F7095" i="116"/>
  <c r="E7095" i="116"/>
  <c r="D7095" i="116"/>
  <c r="C7095" i="116"/>
  <c r="B7095" i="116"/>
  <c r="K7094" i="116"/>
  <c r="J7094" i="116"/>
  <c r="I7094" i="116"/>
  <c r="H7094" i="116"/>
  <c r="G7094" i="116"/>
  <c r="F7094" i="116"/>
  <c r="E7094" i="116"/>
  <c r="D7094" i="116"/>
  <c r="C7094" i="116"/>
  <c r="B7094" i="116"/>
  <c r="K7093" i="116"/>
  <c r="J7093" i="116"/>
  <c r="I7093" i="116"/>
  <c r="H7093" i="116"/>
  <c r="G7093" i="116"/>
  <c r="F7093" i="116"/>
  <c r="E7093" i="116"/>
  <c r="D7093" i="116"/>
  <c r="C7093" i="116"/>
  <c r="B7093" i="116"/>
  <c r="K7092" i="116"/>
  <c r="J7092" i="116"/>
  <c r="I7092" i="116"/>
  <c r="H7092" i="116"/>
  <c r="G7092" i="116"/>
  <c r="F7092" i="116"/>
  <c r="E7092" i="116"/>
  <c r="D7092" i="116"/>
  <c r="C7092" i="116"/>
  <c r="B7092" i="116"/>
  <c r="K7091" i="116"/>
  <c r="J7091" i="116"/>
  <c r="I7091" i="116"/>
  <c r="H7091" i="116"/>
  <c r="G7091" i="116"/>
  <c r="F7091" i="116"/>
  <c r="E7091" i="116"/>
  <c r="D7091" i="116"/>
  <c r="C7091" i="116"/>
  <c r="B7091" i="116"/>
  <c r="K7090" i="116"/>
  <c r="J7090" i="116"/>
  <c r="I7090" i="116"/>
  <c r="H7090" i="116"/>
  <c r="G7090" i="116"/>
  <c r="F7090" i="116"/>
  <c r="E7090" i="116"/>
  <c r="D7090" i="116"/>
  <c r="C7090" i="116"/>
  <c r="B7090" i="116"/>
  <c r="K7089" i="116"/>
  <c r="J7089" i="116"/>
  <c r="I7089" i="116"/>
  <c r="H7089" i="116"/>
  <c r="G7089" i="116"/>
  <c r="F7089" i="116"/>
  <c r="E7089" i="116"/>
  <c r="D7089" i="116"/>
  <c r="C7089" i="116"/>
  <c r="B7089" i="116"/>
  <c r="K7088" i="116"/>
  <c r="J7088" i="116"/>
  <c r="I7088" i="116"/>
  <c r="H7088" i="116"/>
  <c r="G7088" i="116"/>
  <c r="F7088" i="116"/>
  <c r="E7088" i="116"/>
  <c r="D7088" i="116"/>
  <c r="C7088" i="116"/>
  <c r="B7088" i="116"/>
  <c r="K7087" i="116"/>
  <c r="J7087" i="116"/>
  <c r="I7087" i="116"/>
  <c r="H7087" i="116"/>
  <c r="G7087" i="116"/>
  <c r="F7087" i="116"/>
  <c r="E7087" i="116"/>
  <c r="D7087" i="116"/>
  <c r="C7087" i="116"/>
  <c r="B7087" i="116"/>
  <c r="K7086" i="116"/>
  <c r="J7086" i="116"/>
  <c r="I7086" i="116"/>
  <c r="H7086" i="116"/>
  <c r="G7086" i="116"/>
  <c r="F7086" i="116"/>
  <c r="E7086" i="116"/>
  <c r="D7086" i="116"/>
  <c r="C7086" i="116"/>
  <c r="B7086" i="116"/>
  <c r="K7085" i="116"/>
  <c r="J7085" i="116"/>
  <c r="I7085" i="116"/>
  <c r="H7085" i="116"/>
  <c r="G7085" i="116"/>
  <c r="F7085" i="116"/>
  <c r="E7085" i="116"/>
  <c r="D7085" i="116"/>
  <c r="C7085" i="116"/>
  <c r="B7085" i="116"/>
  <c r="K7084" i="116"/>
  <c r="J7084" i="116"/>
  <c r="I7084" i="116"/>
  <c r="H7084" i="116"/>
  <c r="G7084" i="116"/>
  <c r="F7084" i="116"/>
  <c r="E7084" i="116"/>
  <c r="D7084" i="116"/>
  <c r="C7084" i="116"/>
  <c r="B7084" i="116"/>
  <c r="K7083" i="116"/>
  <c r="J7083" i="116"/>
  <c r="I7083" i="116"/>
  <c r="H7083" i="116"/>
  <c r="G7083" i="116"/>
  <c r="F7083" i="116"/>
  <c r="E7083" i="116"/>
  <c r="D7083" i="116"/>
  <c r="C7083" i="116"/>
  <c r="B7083" i="116"/>
  <c r="K7082" i="116"/>
  <c r="J7082" i="116"/>
  <c r="I7082" i="116"/>
  <c r="H7082" i="116"/>
  <c r="G7082" i="116"/>
  <c r="F7082" i="116"/>
  <c r="E7082" i="116"/>
  <c r="D7082" i="116"/>
  <c r="C7082" i="116"/>
  <c r="B7082" i="116"/>
  <c r="K7081" i="116"/>
  <c r="J7081" i="116"/>
  <c r="I7081" i="116"/>
  <c r="H7081" i="116"/>
  <c r="G7081" i="116"/>
  <c r="F7081" i="116"/>
  <c r="E7081" i="116"/>
  <c r="D7081" i="116"/>
  <c r="C7081" i="116"/>
  <c r="B7081" i="116"/>
  <c r="K7080" i="116"/>
  <c r="J7080" i="116"/>
  <c r="I7080" i="116"/>
  <c r="H7080" i="116"/>
  <c r="G7080" i="116"/>
  <c r="F7080" i="116"/>
  <c r="E7080" i="116"/>
  <c r="D7080" i="116"/>
  <c r="C7080" i="116"/>
  <c r="B7080" i="116"/>
  <c r="K7079" i="116"/>
  <c r="J7079" i="116"/>
  <c r="I7079" i="116"/>
  <c r="H7079" i="116"/>
  <c r="G7079" i="116"/>
  <c r="F7079" i="116"/>
  <c r="E7079" i="116"/>
  <c r="D7079" i="116"/>
  <c r="C7079" i="116"/>
  <c r="B7079" i="116"/>
  <c r="K7078" i="116"/>
  <c r="J7078" i="116"/>
  <c r="I7078" i="116"/>
  <c r="H7078" i="116"/>
  <c r="G7078" i="116"/>
  <c r="F7078" i="116"/>
  <c r="E7078" i="116"/>
  <c r="D7078" i="116"/>
  <c r="C7078" i="116"/>
  <c r="B7078" i="116"/>
  <c r="K7077" i="116"/>
  <c r="J7077" i="116"/>
  <c r="I7077" i="116"/>
  <c r="H7077" i="116"/>
  <c r="G7077" i="116"/>
  <c r="F7077" i="116"/>
  <c r="E7077" i="116"/>
  <c r="D7077" i="116"/>
  <c r="C7077" i="116"/>
  <c r="B7077" i="116"/>
  <c r="K7076" i="116"/>
  <c r="J7076" i="116"/>
  <c r="I7076" i="116"/>
  <c r="H7076" i="116"/>
  <c r="G7076" i="116"/>
  <c r="F7076" i="116"/>
  <c r="E7076" i="116"/>
  <c r="D7076" i="116"/>
  <c r="C7076" i="116"/>
  <c r="B7076" i="116"/>
  <c r="K7075" i="116"/>
  <c r="J7075" i="116"/>
  <c r="I7075" i="116"/>
  <c r="H7075" i="116"/>
  <c r="G7075" i="116"/>
  <c r="F7075" i="116"/>
  <c r="E7075" i="116"/>
  <c r="D7075" i="116"/>
  <c r="C7075" i="116"/>
  <c r="B7075" i="116"/>
  <c r="K7074" i="116"/>
  <c r="J7074" i="116"/>
  <c r="I7074" i="116"/>
  <c r="H7074" i="116"/>
  <c r="G7074" i="116"/>
  <c r="F7074" i="116"/>
  <c r="E7074" i="116"/>
  <c r="D7074" i="116"/>
  <c r="C7074" i="116"/>
  <c r="B7074" i="116"/>
  <c r="K7073" i="116"/>
  <c r="J7073" i="116"/>
  <c r="I7073" i="116"/>
  <c r="H7073" i="116"/>
  <c r="G7073" i="116"/>
  <c r="F7073" i="116"/>
  <c r="E7073" i="116"/>
  <c r="D7073" i="116"/>
  <c r="C7073" i="116"/>
  <c r="B7073" i="116"/>
  <c r="K7072" i="116"/>
  <c r="J7072" i="116"/>
  <c r="I7072" i="116"/>
  <c r="H7072" i="116"/>
  <c r="G7072" i="116"/>
  <c r="F7072" i="116"/>
  <c r="E7072" i="116"/>
  <c r="D7072" i="116"/>
  <c r="C7072" i="116"/>
  <c r="B7072" i="116"/>
  <c r="K7071" i="116"/>
  <c r="J7071" i="116"/>
  <c r="I7071" i="116"/>
  <c r="H7071" i="116"/>
  <c r="G7071" i="116"/>
  <c r="F7071" i="116"/>
  <c r="E7071" i="116"/>
  <c r="D7071" i="116"/>
  <c r="C7071" i="116"/>
  <c r="B7071" i="116"/>
  <c r="K7070" i="116"/>
  <c r="J7070" i="116"/>
  <c r="I7070" i="116"/>
  <c r="H7070" i="116"/>
  <c r="G7070" i="116"/>
  <c r="F7070" i="116"/>
  <c r="E7070" i="116"/>
  <c r="D7070" i="116"/>
  <c r="C7070" i="116"/>
  <c r="B7070" i="116"/>
  <c r="K7069" i="116"/>
  <c r="J7069" i="116"/>
  <c r="I7069" i="116"/>
  <c r="H7069" i="116"/>
  <c r="G7069" i="116"/>
  <c r="F7069" i="116"/>
  <c r="E7069" i="116"/>
  <c r="D7069" i="116"/>
  <c r="C7069" i="116"/>
  <c r="B7069" i="116"/>
  <c r="K7068" i="116"/>
  <c r="J7068" i="116"/>
  <c r="I7068" i="116"/>
  <c r="H7068" i="116"/>
  <c r="G7068" i="116"/>
  <c r="F7068" i="116"/>
  <c r="E7068" i="116"/>
  <c r="D7068" i="116"/>
  <c r="C7068" i="116"/>
  <c r="B7068" i="116"/>
  <c r="K7067" i="116"/>
  <c r="J7067" i="116"/>
  <c r="I7067" i="116"/>
  <c r="H7067" i="116"/>
  <c r="G7067" i="116"/>
  <c r="F7067" i="116"/>
  <c r="E7067" i="116"/>
  <c r="D7067" i="116"/>
  <c r="C7067" i="116"/>
  <c r="B7067" i="116"/>
  <c r="K7066" i="116"/>
  <c r="J7066" i="116"/>
  <c r="I7066" i="116"/>
  <c r="H7066" i="116"/>
  <c r="G7066" i="116"/>
  <c r="F7066" i="116"/>
  <c r="E7066" i="116"/>
  <c r="D7066" i="116"/>
  <c r="C7066" i="116"/>
  <c r="B7066" i="116"/>
  <c r="K7065" i="116"/>
  <c r="J7065" i="116"/>
  <c r="I7065" i="116"/>
  <c r="H7065" i="116"/>
  <c r="G7065" i="116"/>
  <c r="F7065" i="116"/>
  <c r="E7065" i="116"/>
  <c r="D7065" i="116"/>
  <c r="C7065" i="116"/>
  <c r="B7065" i="116"/>
  <c r="K7064" i="116"/>
  <c r="J7064" i="116"/>
  <c r="I7064" i="116"/>
  <c r="H7064" i="116"/>
  <c r="G7064" i="116"/>
  <c r="F7064" i="116"/>
  <c r="E7064" i="116"/>
  <c r="D7064" i="116"/>
  <c r="C7064" i="116"/>
  <c r="B7064" i="116"/>
  <c r="K7063" i="116"/>
  <c r="J7063" i="116"/>
  <c r="I7063" i="116"/>
  <c r="H7063" i="116"/>
  <c r="G7063" i="116"/>
  <c r="F7063" i="116"/>
  <c r="E7063" i="116"/>
  <c r="D7063" i="116"/>
  <c r="C7063" i="116"/>
  <c r="B7063" i="116"/>
  <c r="K7062" i="116"/>
  <c r="J7062" i="116"/>
  <c r="I7062" i="116"/>
  <c r="H7062" i="116"/>
  <c r="G7062" i="116"/>
  <c r="F7062" i="116"/>
  <c r="E7062" i="116"/>
  <c r="D7062" i="116"/>
  <c r="C7062" i="116"/>
  <c r="B7062" i="116"/>
  <c r="K7061" i="116"/>
  <c r="J7061" i="116"/>
  <c r="I7061" i="116"/>
  <c r="H7061" i="116"/>
  <c r="G7061" i="116"/>
  <c r="F7061" i="116"/>
  <c r="E7061" i="116"/>
  <c r="D7061" i="116"/>
  <c r="C7061" i="116"/>
  <c r="B7061" i="116"/>
  <c r="K7060" i="116"/>
  <c r="J7060" i="116"/>
  <c r="I7060" i="116"/>
  <c r="H7060" i="116"/>
  <c r="G7060" i="116"/>
  <c r="F7060" i="116"/>
  <c r="E7060" i="116"/>
  <c r="D7060" i="116"/>
  <c r="C7060" i="116"/>
  <c r="B7060" i="116"/>
  <c r="K7059" i="116"/>
  <c r="J7059" i="116"/>
  <c r="I7059" i="116"/>
  <c r="H7059" i="116"/>
  <c r="G7059" i="116"/>
  <c r="F7059" i="116"/>
  <c r="E7059" i="116"/>
  <c r="D7059" i="116"/>
  <c r="C7059" i="116"/>
  <c r="B7059" i="116"/>
  <c r="K7058" i="116"/>
  <c r="J7058" i="116"/>
  <c r="I7058" i="116"/>
  <c r="H7058" i="116"/>
  <c r="G7058" i="116"/>
  <c r="F7058" i="116"/>
  <c r="E7058" i="116"/>
  <c r="D7058" i="116"/>
  <c r="C7058" i="116"/>
  <c r="B7058" i="116"/>
  <c r="K7057" i="116"/>
  <c r="J7057" i="116"/>
  <c r="I7057" i="116"/>
  <c r="H7057" i="116"/>
  <c r="G7057" i="116"/>
  <c r="F7057" i="116"/>
  <c r="E7057" i="116"/>
  <c r="D7057" i="116"/>
  <c r="C7057" i="116"/>
  <c r="B7057" i="116"/>
  <c r="K7056" i="116"/>
  <c r="J7056" i="116"/>
  <c r="I7056" i="116"/>
  <c r="H7056" i="116"/>
  <c r="G7056" i="116"/>
  <c r="F7056" i="116"/>
  <c r="E7056" i="116"/>
  <c r="D7056" i="116"/>
  <c r="C7056" i="116"/>
  <c r="B7056" i="116"/>
  <c r="K7055" i="116"/>
  <c r="J7055" i="116"/>
  <c r="I7055" i="116"/>
  <c r="H7055" i="116"/>
  <c r="G7055" i="116"/>
  <c r="F7055" i="116"/>
  <c r="E7055" i="116"/>
  <c r="D7055" i="116"/>
  <c r="C7055" i="116"/>
  <c r="B7055" i="116"/>
  <c r="K7054" i="116"/>
  <c r="J7054" i="116"/>
  <c r="I7054" i="116"/>
  <c r="H7054" i="116"/>
  <c r="G7054" i="116"/>
  <c r="F7054" i="116"/>
  <c r="E7054" i="116"/>
  <c r="D7054" i="116"/>
  <c r="C7054" i="116"/>
  <c r="B7054" i="116"/>
  <c r="K7053" i="116"/>
  <c r="J7053" i="116"/>
  <c r="I7053" i="116"/>
  <c r="H7053" i="116"/>
  <c r="G7053" i="116"/>
  <c r="F7053" i="116"/>
  <c r="E7053" i="116"/>
  <c r="D7053" i="116"/>
  <c r="C7053" i="116"/>
  <c r="B7053" i="116"/>
  <c r="K7052" i="116"/>
  <c r="J7052" i="116"/>
  <c r="I7052" i="116"/>
  <c r="H7052" i="116"/>
  <c r="G7052" i="116"/>
  <c r="F7052" i="116"/>
  <c r="E7052" i="116"/>
  <c r="D7052" i="116"/>
  <c r="C7052" i="116"/>
  <c r="B7052" i="116"/>
  <c r="K7051" i="116"/>
  <c r="J7051" i="116"/>
  <c r="I7051" i="116"/>
  <c r="H7051" i="116"/>
  <c r="G7051" i="116"/>
  <c r="F7051" i="116"/>
  <c r="E7051" i="116"/>
  <c r="D7051" i="116"/>
  <c r="C7051" i="116"/>
  <c r="B7051" i="116"/>
  <c r="K7050" i="116"/>
  <c r="J7050" i="116"/>
  <c r="I7050" i="116"/>
  <c r="H7050" i="116"/>
  <c r="G7050" i="116"/>
  <c r="F7050" i="116"/>
  <c r="E7050" i="116"/>
  <c r="D7050" i="116"/>
  <c r="C7050" i="116"/>
  <c r="B7050" i="116"/>
  <c r="K7049" i="116"/>
  <c r="J7049" i="116"/>
  <c r="I7049" i="116"/>
  <c r="H7049" i="116"/>
  <c r="G7049" i="116"/>
  <c r="F7049" i="116"/>
  <c r="E7049" i="116"/>
  <c r="D7049" i="116"/>
  <c r="C7049" i="116"/>
  <c r="B7049" i="116"/>
  <c r="K7048" i="116"/>
  <c r="J7048" i="116"/>
  <c r="I7048" i="116"/>
  <c r="H7048" i="116"/>
  <c r="G7048" i="116"/>
  <c r="F7048" i="116"/>
  <c r="E7048" i="116"/>
  <c r="D7048" i="116"/>
  <c r="C7048" i="116"/>
  <c r="B7048" i="116"/>
  <c r="K7047" i="116"/>
  <c r="J7047" i="116"/>
  <c r="I7047" i="116"/>
  <c r="H7047" i="116"/>
  <c r="G7047" i="116"/>
  <c r="F7047" i="116"/>
  <c r="E7047" i="116"/>
  <c r="D7047" i="116"/>
  <c r="C7047" i="116"/>
  <c r="B7047" i="116"/>
  <c r="K7046" i="116"/>
  <c r="J7046" i="116"/>
  <c r="I7046" i="116"/>
  <c r="H7046" i="116"/>
  <c r="G7046" i="116"/>
  <c r="F7046" i="116"/>
  <c r="E7046" i="116"/>
  <c r="D7046" i="116"/>
  <c r="C7046" i="116"/>
  <c r="B7046" i="116"/>
  <c r="K7045" i="116"/>
  <c r="J7045" i="116"/>
  <c r="I7045" i="116"/>
  <c r="H7045" i="116"/>
  <c r="G7045" i="116"/>
  <c r="F7045" i="116"/>
  <c r="E7045" i="116"/>
  <c r="D7045" i="116"/>
  <c r="C7045" i="116"/>
  <c r="B7045" i="116"/>
  <c r="K7044" i="116"/>
  <c r="J7044" i="116"/>
  <c r="I7044" i="116"/>
  <c r="H7044" i="116"/>
  <c r="G7044" i="116"/>
  <c r="F7044" i="116"/>
  <c r="E7044" i="116"/>
  <c r="D7044" i="116"/>
  <c r="C7044" i="116"/>
  <c r="B7044" i="116"/>
  <c r="K7043" i="116"/>
  <c r="J7043" i="116"/>
  <c r="I7043" i="116"/>
  <c r="H7043" i="116"/>
  <c r="G7043" i="116"/>
  <c r="F7043" i="116"/>
  <c r="E7043" i="116"/>
  <c r="D7043" i="116"/>
  <c r="C7043" i="116"/>
  <c r="B7043" i="116"/>
  <c r="K7042" i="116"/>
  <c r="J7042" i="116"/>
  <c r="I7042" i="116"/>
  <c r="H7042" i="116"/>
  <c r="G7042" i="116"/>
  <c r="F7042" i="116"/>
  <c r="E7042" i="116"/>
  <c r="D7042" i="116"/>
  <c r="C7042" i="116"/>
  <c r="B7042" i="116"/>
  <c r="K7041" i="116"/>
  <c r="J7041" i="116"/>
  <c r="I7041" i="116"/>
  <c r="H7041" i="116"/>
  <c r="G7041" i="116"/>
  <c r="F7041" i="116"/>
  <c r="E7041" i="116"/>
  <c r="D7041" i="116"/>
  <c r="C7041" i="116"/>
  <c r="B7041" i="116"/>
  <c r="K7040" i="116"/>
  <c r="J7040" i="116"/>
  <c r="I7040" i="116"/>
  <c r="H7040" i="116"/>
  <c r="G7040" i="116"/>
  <c r="F7040" i="116"/>
  <c r="E7040" i="116"/>
  <c r="D7040" i="116"/>
  <c r="C7040" i="116"/>
  <c r="B7040" i="116"/>
  <c r="K7039" i="116"/>
  <c r="J7039" i="116"/>
  <c r="I7039" i="116"/>
  <c r="H7039" i="116"/>
  <c r="G7039" i="116"/>
  <c r="F7039" i="116"/>
  <c r="E7039" i="116"/>
  <c r="D7039" i="116"/>
  <c r="C7039" i="116"/>
  <c r="B7039" i="116"/>
  <c r="K7038" i="116"/>
  <c r="J7038" i="116"/>
  <c r="I7038" i="116"/>
  <c r="H7038" i="116"/>
  <c r="G7038" i="116"/>
  <c r="F7038" i="116"/>
  <c r="E7038" i="116"/>
  <c r="D7038" i="116"/>
  <c r="C7038" i="116"/>
  <c r="B7038" i="116"/>
  <c r="K7037" i="116"/>
  <c r="J7037" i="116"/>
  <c r="I7037" i="116"/>
  <c r="H7037" i="116"/>
  <c r="G7037" i="116"/>
  <c r="F7037" i="116"/>
  <c r="E7037" i="116"/>
  <c r="D7037" i="116"/>
  <c r="C7037" i="116"/>
  <c r="B7037" i="116"/>
  <c r="K7036" i="116"/>
  <c r="J7036" i="116"/>
  <c r="I7036" i="116"/>
  <c r="H7036" i="116"/>
  <c r="G7036" i="116"/>
  <c r="F7036" i="116"/>
  <c r="E7036" i="116"/>
  <c r="D7036" i="116"/>
  <c r="C7036" i="116"/>
  <c r="B7036" i="116"/>
  <c r="K7035" i="116"/>
  <c r="J7035" i="116"/>
  <c r="I7035" i="116"/>
  <c r="H7035" i="116"/>
  <c r="G7035" i="116"/>
  <c r="F7035" i="116"/>
  <c r="E7035" i="116"/>
  <c r="D7035" i="116"/>
  <c r="C7035" i="116"/>
  <c r="B7035" i="116"/>
  <c r="K7034" i="116"/>
  <c r="J7034" i="116"/>
  <c r="I7034" i="116"/>
  <c r="H7034" i="116"/>
  <c r="G7034" i="116"/>
  <c r="F7034" i="116"/>
  <c r="E7034" i="116"/>
  <c r="D7034" i="116"/>
  <c r="C7034" i="116"/>
  <c r="B7034" i="116"/>
  <c r="K7033" i="116"/>
  <c r="J7033" i="116"/>
  <c r="I7033" i="116"/>
  <c r="H7033" i="116"/>
  <c r="G7033" i="116"/>
  <c r="F7033" i="116"/>
  <c r="E7033" i="116"/>
  <c r="D7033" i="116"/>
  <c r="C7033" i="116"/>
  <c r="B7033" i="116"/>
  <c r="K7032" i="116"/>
  <c r="J7032" i="116"/>
  <c r="I7032" i="116"/>
  <c r="H7032" i="116"/>
  <c r="G7032" i="116"/>
  <c r="F7032" i="116"/>
  <c r="E7032" i="116"/>
  <c r="D7032" i="116"/>
  <c r="C7032" i="116"/>
  <c r="B7032" i="116"/>
  <c r="K7031" i="116"/>
  <c r="J7031" i="116"/>
  <c r="I7031" i="116"/>
  <c r="H7031" i="116"/>
  <c r="G7031" i="116"/>
  <c r="F7031" i="116"/>
  <c r="E7031" i="116"/>
  <c r="D7031" i="116"/>
  <c r="C7031" i="116"/>
  <c r="B7031" i="116"/>
  <c r="K7030" i="116"/>
  <c r="J7030" i="116"/>
  <c r="I7030" i="116"/>
  <c r="H7030" i="116"/>
  <c r="G7030" i="116"/>
  <c r="F7030" i="116"/>
  <c r="E7030" i="116"/>
  <c r="D7030" i="116"/>
  <c r="C7030" i="116"/>
  <c r="B7030" i="116"/>
  <c r="K7029" i="116"/>
  <c r="J7029" i="116"/>
  <c r="I7029" i="116"/>
  <c r="H7029" i="116"/>
  <c r="G7029" i="116"/>
  <c r="F7029" i="116"/>
  <c r="E7029" i="116"/>
  <c r="D7029" i="116"/>
  <c r="C7029" i="116"/>
  <c r="B7029" i="116"/>
  <c r="K7028" i="116"/>
  <c r="J7028" i="116"/>
  <c r="I7028" i="116"/>
  <c r="H7028" i="116"/>
  <c r="G7028" i="116"/>
  <c r="F7028" i="116"/>
  <c r="E7028" i="116"/>
  <c r="D7028" i="116"/>
  <c r="C7028" i="116"/>
  <c r="B7028" i="116"/>
  <c r="K7027" i="116"/>
  <c r="J7027" i="116"/>
  <c r="I7027" i="116"/>
  <c r="H7027" i="116"/>
  <c r="G7027" i="116"/>
  <c r="F7027" i="116"/>
  <c r="E7027" i="116"/>
  <c r="D7027" i="116"/>
  <c r="C7027" i="116"/>
  <c r="B7027" i="116"/>
  <c r="K7026" i="116"/>
  <c r="J7026" i="116"/>
  <c r="I7026" i="116"/>
  <c r="H7026" i="116"/>
  <c r="G7026" i="116"/>
  <c r="F7026" i="116"/>
  <c r="E7026" i="116"/>
  <c r="D7026" i="116"/>
  <c r="C7026" i="116"/>
  <c r="B7026" i="116"/>
  <c r="K7025" i="116"/>
  <c r="J7025" i="116"/>
  <c r="I7025" i="116"/>
  <c r="H7025" i="116"/>
  <c r="G7025" i="116"/>
  <c r="F7025" i="116"/>
  <c r="E7025" i="116"/>
  <c r="D7025" i="116"/>
  <c r="C7025" i="116"/>
  <c r="B7025" i="116"/>
  <c r="K7024" i="116"/>
  <c r="J7024" i="116"/>
  <c r="I7024" i="116"/>
  <c r="H7024" i="116"/>
  <c r="G7024" i="116"/>
  <c r="F7024" i="116"/>
  <c r="E7024" i="116"/>
  <c r="D7024" i="116"/>
  <c r="C7024" i="116"/>
  <c r="B7024" i="116"/>
  <c r="K7023" i="116"/>
  <c r="J7023" i="116"/>
  <c r="I7023" i="116"/>
  <c r="H7023" i="116"/>
  <c r="G7023" i="116"/>
  <c r="F7023" i="116"/>
  <c r="E7023" i="116"/>
  <c r="D7023" i="116"/>
  <c r="C7023" i="116"/>
  <c r="B7023" i="116"/>
  <c r="K7022" i="116"/>
  <c r="J7022" i="116"/>
  <c r="I7022" i="116"/>
  <c r="H7022" i="116"/>
  <c r="G7022" i="116"/>
  <c r="F7022" i="116"/>
  <c r="E7022" i="116"/>
  <c r="D7022" i="116"/>
  <c r="C7022" i="116"/>
  <c r="B7022" i="116"/>
  <c r="K7021" i="116"/>
  <c r="J7021" i="116"/>
  <c r="I7021" i="116"/>
  <c r="H7021" i="116"/>
  <c r="G7021" i="116"/>
  <c r="F7021" i="116"/>
  <c r="E7021" i="116"/>
  <c r="D7021" i="116"/>
  <c r="C7021" i="116"/>
  <c r="B7021" i="116"/>
  <c r="K7020" i="116"/>
  <c r="J7020" i="116"/>
  <c r="I7020" i="116"/>
  <c r="H7020" i="116"/>
  <c r="G7020" i="116"/>
  <c r="F7020" i="116"/>
  <c r="E7020" i="116"/>
  <c r="D7020" i="116"/>
  <c r="C7020" i="116"/>
  <c r="B7020" i="116"/>
  <c r="K7019" i="116"/>
  <c r="J7019" i="116"/>
  <c r="I7019" i="116"/>
  <c r="H7019" i="116"/>
  <c r="G7019" i="116"/>
  <c r="F7019" i="116"/>
  <c r="E7019" i="116"/>
  <c r="D7019" i="116"/>
  <c r="C7019" i="116"/>
  <c r="B7019" i="116"/>
  <c r="K7018" i="116"/>
  <c r="J7018" i="116"/>
  <c r="I7018" i="116"/>
  <c r="H7018" i="116"/>
  <c r="G7018" i="116"/>
  <c r="F7018" i="116"/>
  <c r="E7018" i="116"/>
  <c r="D7018" i="116"/>
  <c r="C7018" i="116"/>
  <c r="B7018" i="116"/>
  <c r="K7017" i="116"/>
  <c r="J7017" i="116"/>
  <c r="I7017" i="116"/>
  <c r="H7017" i="116"/>
  <c r="G7017" i="116"/>
  <c r="F7017" i="116"/>
  <c r="E7017" i="116"/>
  <c r="D7017" i="116"/>
  <c r="C7017" i="116"/>
  <c r="B7017" i="116"/>
  <c r="K7016" i="116"/>
  <c r="J7016" i="116"/>
  <c r="I7016" i="116"/>
  <c r="H7016" i="116"/>
  <c r="G7016" i="116"/>
  <c r="F7016" i="116"/>
  <c r="E7016" i="116"/>
  <c r="D7016" i="116"/>
  <c r="C7016" i="116"/>
  <c r="B7016" i="116"/>
  <c r="K7015" i="116"/>
  <c r="J7015" i="116"/>
  <c r="I7015" i="116"/>
  <c r="H7015" i="116"/>
  <c r="G7015" i="116"/>
  <c r="F7015" i="116"/>
  <c r="E7015" i="116"/>
  <c r="D7015" i="116"/>
  <c r="C7015" i="116"/>
  <c r="B7015" i="116"/>
  <c r="K7014" i="116"/>
  <c r="J7014" i="116"/>
  <c r="I7014" i="116"/>
  <c r="H7014" i="116"/>
  <c r="G7014" i="116"/>
  <c r="F7014" i="116"/>
  <c r="E7014" i="116"/>
  <c r="D7014" i="116"/>
  <c r="C7014" i="116"/>
  <c r="B7014" i="116"/>
  <c r="K7013" i="116"/>
  <c r="J7013" i="116"/>
  <c r="I7013" i="116"/>
  <c r="H7013" i="116"/>
  <c r="G7013" i="116"/>
  <c r="F7013" i="116"/>
  <c r="E7013" i="116"/>
  <c r="D7013" i="116"/>
  <c r="C7013" i="116"/>
  <c r="B7013" i="116"/>
  <c r="K7012" i="116"/>
  <c r="J7012" i="116"/>
  <c r="I7012" i="116"/>
  <c r="H7012" i="116"/>
  <c r="G7012" i="116"/>
  <c r="F7012" i="116"/>
  <c r="E7012" i="116"/>
  <c r="D7012" i="116"/>
  <c r="C7012" i="116"/>
  <c r="B7012" i="116"/>
  <c r="K7011" i="116"/>
  <c r="J7011" i="116"/>
  <c r="I7011" i="116"/>
  <c r="H7011" i="116"/>
  <c r="G7011" i="116"/>
  <c r="F7011" i="116"/>
  <c r="E7011" i="116"/>
  <c r="D7011" i="116"/>
  <c r="C7011" i="116"/>
  <c r="B7011" i="116"/>
  <c r="K7010" i="116"/>
  <c r="J7010" i="116"/>
  <c r="I7010" i="116"/>
  <c r="H7010" i="116"/>
  <c r="G7010" i="116"/>
  <c r="F7010" i="116"/>
  <c r="E7010" i="116"/>
  <c r="D7010" i="116"/>
  <c r="C7010" i="116"/>
  <c r="B7010" i="116"/>
  <c r="K7009" i="116"/>
  <c r="J7009" i="116"/>
  <c r="I7009" i="116"/>
  <c r="H7009" i="116"/>
  <c r="G7009" i="116"/>
  <c r="F7009" i="116"/>
  <c r="E7009" i="116"/>
  <c r="D7009" i="116"/>
  <c r="C7009" i="116"/>
  <c r="B7009" i="116"/>
  <c r="K7008" i="116"/>
  <c r="J7008" i="116"/>
  <c r="I7008" i="116"/>
  <c r="H7008" i="116"/>
  <c r="G7008" i="116"/>
  <c r="F7008" i="116"/>
  <c r="E7008" i="116"/>
  <c r="D7008" i="116"/>
  <c r="C7008" i="116"/>
  <c r="B7008" i="116"/>
  <c r="K7007" i="116"/>
  <c r="J7007" i="116"/>
  <c r="I7007" i="116"/>
  <c r="H7007" i="116"/>
  <c r="G7007" i="116"/>
  <c r="F7007" i="116"/>
  <c r="E7007" i="116"/>
  <c r="D7007" i="116"/>
  <c r="C7007" i="116"/>
  <c r="B7007" i="116"/>
  <c r="K7006" i="116"/>
  <c r="J7006" i="116"/>
  <c r="I7006" i="116"/>
  <c r="H7006" i="116"/>
  <c r="G7006" i="116"/>
  <c r="F7006" i="116"/>
  <c r="E7006" i="116"/>
  <c r="D7006" i="116"/>
  <c r="C7006" i="116"/>
  <c r="B7006" i="116"/>
  <c r="K7005" i="116"/>
  <c r="J7005" i="116"/>
  <c r="I7005" i="116"/>
  <c r="H7005" i="116"/>
  <c r="G7005" i="116"/>
  <c r="F7005" i="116"/>
  <c r="E7005" i="116"/>
  <c r="D7005" i="116"/>
  <c r="C7005" i="116"/>
  <c r="B7005" i="116"/>
  <c r="K7004" i="116"/>
  <c r="J7004" i="116"/>
  <c r="I7004" i="116"/>
  <c r="H7004" i="116"/>
  <c r="G7004" i="116"/>
  <c r="F7004" i="116"/>
  <c r="E7004" i="116"/>
  <c r="D7004" i="116"/>
  <c r="C7004" i="116"/>
  <c r="B7004" i="116"/>
  <c r="K7003" i="116"/>
  <c r="J7003" i="116"/>
  <c r="I7003" i="116"/>
  <c r="H7003" i="116"/>
  <c r="G7003" i="116"/>
  <c r="F7003" i="116"/>
  <c r="E7003" i="116"/>
  <c r="D7003" i="116"/>
  <c r="C7003" i="116"/>
  <c r="B7003" i="116"/>
  <c r="K7002" i="116"/>
  <c r="J7002" i="116"/>
  <c r="I7002" i="116"/>
  <c r="H7002" i="116"/>
  <c r="G7002" i="116"/>
  <c r="F7002" i="116"/>
  <c r="E7002" i="116"/>
  <c r="D7002" i="116"/>
  <c r="C7002" i="116"/>
  <c r="B7002" i="116"/>
  <c r="K7001" i="116"/>
  <c r="J7001" i="116"/>
  <c r="I7001" i="116"/>
  <c r="H7001" i="116"/>
  <c r="G7001" i="116"/>
  <c r="F7001" i="116"/>
  <c r="E7001" i="116"/>
  <c r="D7001" i="116"/>
  <c r="C7001" i="116"/>
  <c r="B7001" i="116"/>
  <c r="K7000" i="116"/>
  <c r="J7000" i="116"/>
  <c r="I7000" i="116"/>
  <c r="H7000" i="116"/>
  <c r="G7000" i="116"/>
  <c r="F7000" i="116"/>
  <c r="E7000" i="116"/>
  <c r="D7000" i="116"/>
  <c r="C7000" i="116"/>
  <c r="B7000" i="116"/>
  <c r="K6999" i="116"/>
  <c r="J6999" i="116"/>
  <c r="I6999" i="116"/>
  <c r="H6999" i="116"/>
  <c r="G6999" i="116"/>
  <c r="F6999" i="116"/>
  <c r="E6999" i="116"/>
  <c r="D6999" i="116"/>
  <c r="C6999" i="116"/>
  <c r="B6999" i="116"/>
  <c r="K6998" i="116"/>
  <c r="J6998" i="116"/>
  <c r="I6998" i="116"/>
  <c r="H6998" i="116"/>
  <c r="G6998" i="116"/>
  <c r="F6998" i="116"/>
  <c r="E6998" i="116"/>
  <c r="D6998" i="116"/>
  <c r="C6998" i="116"/>
  <c r="B6998" i="116"/>
  <c r="K6997" i="116"/>
  <c r="J6997" i="116"/>
  <c r="I6997" i="116"/>
  <c r="H6997" i="116"/>
  <c r="G6997" i="116"/>
  <c r="F6997" i="116"/>
  <c r="E6997" i="116"/>
  <c r="D6997" i="116"/>
  <c r="C6997" i="116"/>
  <c r="B6997" i="116"/>
  <c r="K6996" i="116"/>
  <c r="J6996" i="116"/>
  <c r="I6996" i="116"/>
  <c r="H6996" i="116"/>
  <c r="G6996" i="116"/>
  <c r="F6996" i="116"/>
  <c r="E6996" i="116"/>
  <c r="D6996" i="116"/>
  <c r="C6996" i="116"/>
  <c r="B6996" i="116"/>
  <c r="K6995" i="116"/>
  <c r="J6995" i="116"/>
  <c r="I6995" i="116"/>
  <c r="H6995" i="116"/>
  <c r="G6995" i="116"/>
  <c r="F6995" i="116"/>
  <c r="E6995" i="116"/>
  <c r="D6995" i="116"/>
  <c r="C6995" i="116"/>
  <c r="B6995" i="116"/>
  <c r="K6994" i="116"/>
  <c r="J6994" i="116"/>
  <c r="I6994" i="116"/>
  <c r="H6994" i="116"/>
  <c r="G6994" i="116"/>
  <c r="F6994" i="116"/>
  <c r="E6994" i="116"/>
  <c r="D6994" i="116"/>
  <c r="C6994" i="116"/>
  <c r="B6994" i="116"/>
  <c r="K6993" i="116"/>
  <c r="J6993" i="116"/>
  <c r="I6993" i="116"/>
  <c r="H6993" i="116"/>
  <c r="G6993" i="116"/>
  <c r="F6993" i="116"/>
  <c r="E6993" i="116"/>
  <c r="D6993" i="116"/>
  <c r="C6993" i="116"/>
  <c r="B6993" i="116"/>
  <c r="K6992" i="116"/>
  <c r="J6992" i="116"/>
  <c r="I6992" i="116"/>
  <c r="H6992" i="116"/>
  <c r="G6992" i="116"/>
  <c r="F6992" i="116"/>
  <c r="E6992" i="116"/>
  <c r="D6992" i="116"/>
  <c r="C6992" i="116"/>
  <c r="B6992" i="116"/>
  <c r="K6991" i="116"/>
  <c r="J6991" i="116"/>
  <c r="I6991" i="116"/>
  <c r="H6991" i="116"/>
  <c r="G6991" i="116"/>
  <c r="F6991" i="116"/>
  <c r="E6991" i="116"/>
  <c r="D6991" i="116"/>
  <c r="C6991" i="116"/>
  <c r="B6991" i="116"/>
  <c r="K6990" i="116"/>
  <c r="J6990" i="116"/>
  <c r="I6990" i="116"/>
  <c r="H6990" i="116"/>
  <c r="G6990" i="116"/>
  <c r="F6990" i="116"/>
  <c r="E6990" i="116"/>
  <c r="D6990" i="116"/>
  <c r="C6990" i="116"/>
  <c r="B6990" i="116"/>
  <c r="K6989" i="116"/>
  <c r="J6989" i="116"/>
  <c r="I6989" i="116"/>
  <c r="H6989" i="116"/>
  <c r="G6989" i="116"/>
  <c r="F6989" i="116"/>
  <c r="E6989" i="116"/>
  <c r="D6989" i="116"/>
  <c r="C6989" i="116"/>
  <c r="B6989" i="116"/>
  <c r="K6988" i="116"/>
  <c r="J6988" i="116"/>
  <c r="I6988" i="116"/>
  <c r="H6988" i="116"/>
  <c r="G6988" i="116"/>
  <c r="F6988" i="116"/>
  <c r="E6988" i="116"/>
  <c r="D6988" i="116"/>
  <c r="C6988" i="116"/>
  <c r="B6988" i="116"/>
  <c r="K6987" i="116"/>
  <c r="J6987" i="116"/>
  <c r="I6987" i="116"/>
  <c r="H6987" i="116"/>
  <c r="G6987" i="116"/>
  <c r="F6987" i="116"/>
  <c r="E6987" i="116"/>
  <c r="D6987" i="116"/>
  <c r="C6987" i="116"/>
  <c r="B6987" i="116"/>
  <c r="K6986" i="116"/>
  <c r="J6986" i="116"/>
  <c r="I6986" i="116"/>
  <c r="H6986" i="116"/>
  <c r="G6986" i="116"/>
  <c r="F6986" i="116"/>
  <c r="E6986" i="116"/>
  <c r="D6986" i="116"/>
  <c r="C6986" i="116"/>
  <c r="B6986" i="116"/>
  <c r="K6985" i="116"/>
  <c r="J6985" i="116"/>
  <c r="I6985" i="116"/>
  <c r="H6985" i="116"/>
  <c r="G6985" i="116"/>
  <c r="F6985" i="116"/>
  <c r="E6985" i="116"/>
  <c r="D6985" i="116"/>
  <c r="C6985" i="116"/>
  <c r="B6985" i="116"/>
  <c r="K6984" i="116"/>
  <c r="J6984" i="116"/>
  <c r="I6984" i="116"/>
  <c r="H6984" i="116"/>
  <c r="G6984" i="116"/>
  <c r="F6984" i="116"/>
  <c r="E6984" i="116"/>
  <c r="D6984" i="116"/>
  <c r="C6984" i="116"/>
  <c r="B6984" i="116"/>
  <c r="K6983" i="116"/>
  <c r="J6983" i="116"/>
  <c r="I6983" i="116"/>
  <c r="H6983" i="116"/>
  <c r="G6983" i="116"/>
  <c r="F6983" i="116"/>
  <c r="E6983" i="116"/>
  <c r="D6983" i="116"/>
  <c r="C6983" i="116"/>
  <c r="B6983" i="116"/>
  <c r="K6982" i="116"/>
  <c r="J6982" i="116"/>
  <c r="I6982" i="116"/>
  <c r="H6982" i="116"/>
  <c r="G6982" i="116"/>
  <c r="F6982" i="116"/>
  <c r="E6982" i="116"/>
  <c r="D6982" i="116"/>
  <c r="C6982" i="116"/>
  <c r="B6982" i="116"/>
  <c r="K6981" i="116"/>
  <c r="J6981" i="116"/>
  <c r="I6981" i="116"/>
  <c r="H6981" i="116"/>
  <c r="G6981" i="116"/>
  <c r="F6981" i="116"/>
  <c r="E6981" i="116"/>
  <c r="D6981" i="116"/>
  <c r="C6981" i="116"/>
  <c r="B6981" i="116"/>
  <c r="K6980" i="116"/>
  <c r="J6980" i="116"/>
  <c r="I6980" i="116"/>
  <c r="H6980" i="116"/>
  <c r="G6980" i="116"/>
  <c r="F6980" i="116"/>
  <c r="E6980" i="116"/>
  <c r="D6980" i="116"/>
  <c r="C6980" i="116"/>
  <c r="B6980" i="116"/>
  <c r="K6979" i="116"/>
  <c r="J6979" i="116"/>
  <c r="I6979" i="116"/>
  <c r="H6979" i="116"/>
  <c r="G6979" i="116"/>
  <c r="F6979" i="116"/>
  <c r="E6979" i="116"/>
  <c r="D6979" i="116"/>
  <c r="C6979" i="116"/>
  <c r="B6979" i="116"/>
  <c r="K6978" i="116"/>
  <c r="J6978" i="116"/>
  <c r="I6978" i="116"/>
  <c r="H6978" i="116"/>
  <c r="G6978" i="116"/>
  <c r="F6978" i="116"/>
  <c r="E6978" i="116"/>
  <c r="D6978" i="116"/>
  <c r="C6978" i="116"/>
  <c r="B6978" i="116"/>
  <c r="K6977" i="116"/>
  <c r="J6977" i="116"/>
  <c r="I6977" i="116"/>
  <c r="H6977" i="116"/>
  <c r="G6977" i="116"/>
  <c r="F6977" i="116"/>
  <c r="E6977" i="116"/>
  <c r="D6977" i="116"/>
  <c r="C6977" i="116"/>
  <c r="B6977" i="116"/>
  <c r="K6976" i="116"/>
  <c r="J6976" i="116"/>
  <c r="I6976" i="116"/>
  <c r="H6976" i="116"/>
  <c r="G6976" i="116"/>
  <c r="F6976" i="116"/>
  <c r="E6976" i="116"/>
  <c r="D6976" i="116"/>
  <c r="C6976" i="116"/>
  <c r="B6976" i="116"/>
  <c r="K6975" i="116"/>
  <c r="J6975" i="116"/>
  <c r="I6975" i="116"/>
  <c r="H6975" i="116"/>
  <c r="G6975" i="116"/>
  <c r="F6975" i="116"/>
  <c r="E6975" i="116"/>
  <c r="D6975" i="116"/>
  <c r="C6975" i="116"/>
  <c r="B6975" i="116"/>
  <c r="K6974" i="116"/>
  <c r="J6974" i="116"/>
  <c r="I6974" i="116"/>
  <c r="H6974" i="116"/>
  <c r="G6974" i="116"/>
  <c r="F6974" i="116"/>
  <c r="E6974" i="116"/>
  <c r="D6974" i="116"/>
  <c r="C6974" i="116"/>
  <c r="B6974" i="116"/>
  <c r="K6973" i="116"/>
  <c r="J6973" i="116"/>
  <c r="I6973" i="116"/>
  <c r="H6973" i="116"/>
  <c r="G6973" i="116"/>
  <c r="F6973" i="116"/>
  <c r="E6973" i="116"/>
  <c r="D6973" i="116"/>
  <c r="C6973" i="116"/>
  <c r="B6973" i="116"/>
  <c r="K6972" i="116"/>
  <c r="J6972" i="116"/>
  <c r="I6972" i="116"/>
  <c r="H6972" i="116"/>
  <c r="G6972" i="116"/>
  <c r="F6972" i="116"/>
  <c r="E6972" i="116"/>
  <c r="D6972" i="116"/>
  <c r="C6972" i="116"/>
  <c r="B6972" i="116"/>
  <c r="K6971" i="116"/>
  <c r="J6971" i="116"/>
  <c r="I6971" i="116"/>
  <c r="H6971" i="116"/>
  <c r="G6971" i="116"/>
  <c r="F6971" i="116"/>
  <c r="E6971" i="116"/>
  <c r="D6971" i="116"/>
  <c r="C6971" i="116"/>
  <c r="B6971" i="116"/>
  <c r="K6970" i="116"/>
  <c r="J6970" i="116"/>
  <c r="I6970" i="116"/>
  <c r="H6970" i="116"/>
  <c r="G6970" i="116"/>
  <c r="F6970" i="116"/>
  <c r="E6970" i="116"/>
  <c r="D6970" i="116"/>
  <c r="C6970" i="116"/>
  <c r="B6970" i="116"/>
  <c r="K6969" i="116"/>
  <c r="J6969" i="116"/>
  <c r="I6969" i="116"/>
  <c r="H6969" i="116"/>
  <c r="G6969" i="116"/>
  <c r="F6969" i="116"/>
  <c r="E6969" i="116"/>
  <c r="D6969" i="116"/>
  <c r="C6969" i="116"/>
  <c r="B6969" i="116"/>
  <c r="K6968" i="116"/>
  <c r="J6968" i="116"/>
  <c r="I6968" i="116"/>
  <c r="H6968" i="116"/>
  <c r="G6968" i="116"/>
  <c r="F6968" i="116"/>
  <c r="E6968" i="116"/>
  <c r="D6968" i="116"/>
  <c r="C6968" i="116"/>
  <c r="B6968" i="116"/>
  <c r="K6967" i="116"/>
  <c r="J6967" i="116"/>
  <c r="I6967" i="116"/>
  <c r="H6967" i="116"/>
  <c r="G6967" i="116"/>
  <c r="F6967" i="116"/>
  <c r="E6967" i="116"/>
  <c r="D6967" i="116"/>
  <c r="C6967" i="116"/>
  <c r="B6967" i="116"/>
  <c r="K6966" i="116"/>
  <c r="J6966" i="116"/>
  <c r="I6966" i="116"/>
  <c r="H6966" i="116"/>
  <c r="G6966" i="116"/>
  <c r="F6966" i="116"/>
  <c r="E6966" i="116"/>
  <c r="D6966" i="116"/>
  <c r="C6966" i="116"/>
  <c r="B6966" i="116"/>
  <c r="K6965" i="116"/>
  <c r="J6965" i="116"/>
  <c r="I6965" i="116"/>
  <c r="H6965" i="116"/>
  <c r="G6965" i="116"/>
  <c r="F6965" i="116"/>
  <c r="E6965" i="116"/>
  <c r="D6965" i="116"/>
  <c r="C6965" i="116"/>
  <c r="B6965" i="116"/>
  <c r="K6964" i="116"/>
  <c r="J6964" i="116"/>
  <c r="I6964" i="116"/>
  <c r="H6964" i="116"/>
  <c r="G6964" i="116"/>
  <c r="F6964" i="116"/>
  <c r="E6964" i="116"/>
  <c r="D6964" i="116"/>
  <c r="C6964" i="116"/>
  <c r="B6964" i="116"/>
  <c r="K6963" i="116"/>
  <c r="J6963" i="116"/>
  <c r="I6963" i="116"/>
  <c r="H6963" i="116"/>
  <c r="G6963" i="116"/>
  <c r="F6963" i="116"/>
  <c r="E6963" i="116"/>
  <c r="D6963" i="116"/>
  <c r="C6963" i="116"/>
  <c r="B6963" i="116"/>
  <c r="K6962" i="116"/>
  <c r="J6962" i="116"/>
  <c r="I6962" i="116"/>
  <c r="H6962" i="116"/>
  <c r="G6962" i="116"/>
  <c r="F6962" i="116"/>
  <c r="E6962" i="116"/>
  <c r="D6962" i="116"/>
  <c r="C6962" i="116"/>
  <c r="B6962" i="116"/>
  <c r="K6961" i="116"/>
  <c r="J6961" i="116"/>
  <c r="I6961" i="116"/>
  <c r="H6961" i="116"/>
  <c r="G6961" i="116"/>
  <c r="F6961" i="116"/>
  <c r="E6961" i="116"/>
  <c r="D6961" i="116"/>
  <c r="C6961" i="116"/>
  <c r="B6961" i="116"/>
  <c r="K6960" i="116"/>
  <c r="J6960" i="116"/>
  <c r="I6960" i="116"/>
  <c r="H6960" i="116"/>
  <c r="G6960" i="116"/>
  <c r="F6960" i="116"/>
  <c r="E6960" i="116"/>
  <c r="D6960" i="116"/>
  <c r="C6960" i="116"/>
  <c r="B6960" i="116"/>
  <c r="K6959" i="116"/>
  <c r="J6959" i="116"/>
  <c r="I6959" i="116"/>
  <c r="H6959" i="116"/>
  <c r="G6959" i="116"/>
  <c r="F6959" i="116"/>
  <c r="E6959" i="116"/>
  <c r="D6959" i="116"/>
  <c r="C6959" i="116"/>
  <c r="B6959" i="116"/>
  <c r="K6958" i="116"/>
  <c r="J6958" i="116"/>
  <c r="I6958" i="116"/>
  <c r="H6958" i="116"/>
  <c r="G6958" i="116"/>
  <c r="F6958" i="116"/>
  <c r="E6958" i="116"/>
  <c r="D6958" i="116"/>
  <c r="C6958" i="116"/>
  <c r="B6958" i="116"/>
  <c r="K6957" i="116"/>
  <c r="J6957" i="116"/>
  <c r="I6957" i="116"/>
  <c r="H6957" i="116"/>
  <c r="G6957" i="116"/>
  <c r="F6957" i="116"/>
  <c r="E6957" i="116"/>
  <c r="D6957" i="116"/>
  <c r="C6957" i="116"/>
  <c r="B6957" i="116"/>
  <c r="K6956" i="116"/>
  <c r="J6956" i="116"/>
  <c r="I6956" i="116"/>
  <c r="H6956" i="116"/>
  <c r="G6956" i="116"/>
  <c r="F6956" i="116"/>
  <c r="E6956" i="116"/>
  <c r="D6956" i="116"/>
  <c r="C6956" i="116"/>
  <c r="B6956" i="116"/>
  <c r="K6955" i="116"/>
  <c r="J6955" i="116"/>
  <c r="I6955" i="116"/>
  <c r="H6955" i="116"/>
  <c r="G6955" i="116"/>
  <c r="F6955" i="116"/>
  <c r="E6955" i="116"/>
  <c r="D6955" i="116"/>
  <c r="C6955" i="116"/>
  <c r="B6955" i="116"/>
  <c r="K6954" i="116"/>
  <c r="J6954" i="116"/>
  <c r="I6954" i="116"/>
  <c r="H6954" i="116"/>
  <c r="G6954" i="116"/>
  <c r="F6954" i="116"/>
  <c r="E6954" i="116"/>
  <c r="D6954" i="116"/>
  <c r="C6954" i="116"/>
  <c r="B6954" i="116"/>
  <c r="K6953" i="116"/>
  <c r="J6953" i="116"/>
  <c r="I6953" i="116"/>
  <c r="H6953" i="116"/>
  <c r="G6953" i="116"/>
  <c r="F6953" i="116"/>
  <c r="E6953" i="116"/>
  <c r="D6953" i="116"/>
  <c r="C6953" i="116"/>
  <c r="B6953" i="116"/>
  <c r="K6952" i="116"/>
  <c r="J6952" i="116"/>
  <c r="I6952" i="116"/>
  <c r="H6952" i="116"/>
  <c r="G6952" i="116"/>
  <c r="F6952" i="116"/>
  <c r="E6952" i="116"/>
  <c r="D6952" i="116"/>
  <c r="C6952" i="116"/>
  <c r="B6952" i="116"/>
  <c r="K6951" i="116"/>
  <c r="J6951" i="116"/>
  <c r="I6951" i="116"/>
  <c r="H6951" i="116"/>
  <c r="G6951" i="116"/>
  <c r="F6951" i="116"/>
  <c r="E6951" i="116"/>
  <c r="D6951" i="116"/>
  <c r="C6951" i="116"/>
  <c r="B6951" i="116"/>
  <c r="K6950" i="116"/>
  <c r="J6950" i="116"/>
  <c r="I6950" i="116"/>
  <c r="H6950" i="116"/>
  <c r="G6950" i="116"/>
  <c r="F6950" i="116"/>
  <c r="E6950" i="116"/>
  <c r="D6950" i="116"/>
  <c r="C6950" i="116"/>
  <c r="B6950" i="116"/>
  <c r="K6949" i="116"/>
  <c r="J6949" i="116"/>
  <c r="I6949" i="116"/>
  <c r="H6949" i="116"/>
  <c r="G6949" i="116"/>
  <c r="F6949" i="116"/>
  <c r="E6949" i="116"/>
  <c r="D6949" i="116"/>
  <c r="C6949" i="116"/>
  <c r="B6949" i="116"/>
  <c r="K6948" i="116"/>
  <c r="J6948" i="116"/>
  <c r="I6948" i="116"/>
  <c r="H6948" i="116"/>
  <c r="G6948" i="116"/>
  <c r="F6948" i="116"/>
  <c r="E6948" i="116"/>
  <c r="D6948" i="116"/>
  <c r="C6948" i="116"/>
  <c r="B6948" i="116"/>
  <c r="K6947" i="116"/>
  <c r="J6947" i="116"/>
  <c r="I6947" i="116"/>
  <c r="H6947" i="116"/>
  <c r="G6947" i="116"/>
  <c r="F6947" i="116"/>
  <c r="E6947" i="116"/>
  <c r="D6947" i="116"/>
  <c r="C6947" i="116"/>
  <c r="B6947" i="116"/>
  <c r="K6946" i="116"/>
  <c r="J6946" i="116"/>
  <c r="I6946" i="116"/>
  <c r="H6946" i="116"/>
  <c r="G6946" i="116"/>
  <c r="F6946" i="116"/>
  <c r="E6946" i="116"/>
  <c r="D6946" i="116"/>
  <c r="C6946" i="116"/>
  <c r="B6946" i="116"/>
  <c r="K6945" i="116"/>
  <c r="J6945" i="116"/>
  <c r="I6945" i="116"/>
  <c r="H6945" i="116"/>
  <c r="G6945" i="116"/>
  <c r="F6945" i="116"/>
  <c r="E6945" i="116"/>
  <c r="D6945" i="116"/>
  <c r="C6945" i="116"/>
  <c r="B6945" i="116"/>
  <c r="K6944" i="116"/>
  <c r="J6944" i="116"/>
  <c r="I6944" i="116"/>
  <c r="H6944" i="116"/>
  <c r="G6944" i="116"/>
  <c r="F6944" i="116"/>
  <c r="E6944" i="116"/>
  <c r="D6944" i="116"/>
  <c r="C6944" i="116"/>
  <c r="B6944" i="116"/>
  <c r="K6943" i="116"/>
  <c r="J6943" i="116"/>
  <c r="I6943" i="116"/>
  <c r="H6943" i="116"/>
  <c r="G6943" i="116"/>
  <c r="F6943" i="116"/>
  <c r="E6943" i="116"/>
  <c r="D6943" i="116"/>
  <c r="C6943" i="116"/>
  <c r="B6943" i="116"/>
  <c r="K6942" i="116"/>
  <c r="J6942" i="116"/>
  <c r="I6942" i="116"/>
  <c r="H6942" i="116"/>
  <c r="G6942" i="116"/>
  <c r="F6942" i="116"/>
  <c r="E6942" i="116"/>
  <c r="D6942" i="116"/>
  <c r="C6942" i="116"/>
  <c r="B6942" i="116"/>
  <c r="K6941" i="116"/>
  <c r="J6941" i="116"/>
  <c r="I6941" i="116"/>
  <c r="H6941" i="116"/>
  <c r="G6941" i="116"/>
  <c r="F6941" i="116"/>
  <c r="E6941" i="116"/>
  <c r="D6941" i="116"/>
  <c r="C6941" i="116"/>
  <c r="B6941" i="116"/>
  <c r="K6940" i="116"/>
  <c r="J6940" i="116"/>
  <c r="I6940" i="116"/>
  <c r="H6940" i="116"/>
  <c r="G6940" i="116"/>
  <c r="F6940" i="116"/>
  <c r="E6940" i="116"/>
  <c r="D6940" i="116"/>
  <c r="C6940" i="116"/>
  <c r="B6940" i="116"/>
  <c r="K6939" i="116"/>
  <c r="J6939" i="116"/>
  <c r="I6939" i="116"/>
  <c r="H6939" i="116"/>
  <c r="G6939" i="116"/>
  <c r="F6939" i="116"/>
  <c r="E6939" i="116"/>
  <c r="D6939" i="116"/>
  <c r="C6939" i="116"/>
  <c r="B6939" i="116"/>
  <c r="K6938" i="116"/>
  <c r="J6938" i="116"/>
  <c r="I6938" i="116"/>
  <c r="H6938" i="116"/>
  <c r="G6938" i="116"/>
  <c r="F6938" i="116"/>
  <c r="E6938" i="116"/>
  <c r="D6938" i="116"/>
  <c r="C6938" i="116"/>
  <c r="B6938" i="116"/>
  <c r="K6937" i="116"/>
  <c r="J6937" i="116"/>
  <c r="I6937" i="116"/>
  <c r="H6937" i="116"/>
  <c r="G6937" i="116"/>
  <c r="F6937" i="116"/>
  <c r="E6937" i="116"/>
  <c r="D6937" i="116"/>
  <c r="C6937" i="116"/>
  <c r="B6937" i="116"/>
  <c r="K6936" i="116"/>
  <c r="J6936" i="116"/>
  <c r="I6936" i="116"/>
  <c r="H6936" i="116"/>
  <c r="G6936" i="116"/>
  <c r="F6936" i="116"/>
  <c r="E6936" i="116"/>
  <c r="D6936" i="116"/>
  <c r="C6936" i="116"/>
  <c r="B6936" i="116"/>
  <c r="K6935" i="116"/>
  <c r="J6935" i="116"/>
  <c r="I6935" i="116"/>
  <c r="H6935" i="116"/>
  <c r="G6935" i="116"/>
  <c r="F6935" i="116"/>
  <c r="E6935" i="116"/>
  <c r="D6935" i="116"/>
  <c r="C6935" i="116"/>
  <c r="B6935" i="116"/>
  <c r="K6934" i="116"/>
  <c r="J6934" i="116"/>
  <c r="I6934" i="116"/>
  <c r="H6934" i="116"/>
  <c r="G6934" i="116"/>
  <c r="F6934" i="116"/>
  <c r="E6934" i="116"/>
  <c r="D6934" i="116"/>
  <c r="C6934" i="116"/>
  <c r="B6934" i="116"/>
  <c r="K6933" i="116"/>
  <c r="J6933" i="116"/>
  <c r="I6933" i="116"/>
  <c r="H6933" i="116"/>
  <c r="G6933" i="116"/>
  <c r="F6933" i="116"/>
  <c r="E6933" i="116"/>
  <c r="D6933" i="116"/>
  <c r="C6933" i="116"/>
  <c r="B6933" i="116"/>
  <c r="K6932" i="116"/>
  <c r="J6932" i="116"/>
  <c r="I6932" i="116"/>
  <c r="H6932" i="116"/>
  <c r="G6932" i="116"/>
  <c r="F6932" i="116"/>
  <c r="E6932" i="116"/>
  <c r="D6932" i="116"/>
  <c r="C6932" i="116"/>
  <c r="B6932" i="116"/>
  <c r="K6931" i="116"/>
  <c r="J6931" i="116"/>
  <c r="I6931" i="116"/>
  <c r="H6931" i="116"/>
  <c r="G6931" i="116"/>
  <c r="F6931" i="116"/>
  <c r="E6931" i="116"/>
  <c r="D6931" i="116"/>
  <c r="C6931" i="116"/>
  <c r="B6931" i="116"/>
  <c r="K6930" i="116"/>
  <c r="J6930" i="116"/>
  <c r="I6930" i="116"/>
  <c r="H6930" i="116"/>
  <c r="G6930" i="116"/>
  <c r="F6930" i="116"/>
  <c r="E6930" i="116"/>
  <c r="D6930" i="116"/>
  <c r="C6930" i="116"/>
  <c r="B6930" i="116"/>
  <c r="K6929" i="116"/>
  <c r="J6929" i="116"/>
  <c r="I6929" i="116"/>
  <c r="H6929" i="116"/>
  <c r="G6929" i="116"/>
  <c r="F6929" i="116"/>
  <c r="E6929" i="116"/>
  <c r="D6929" i="116"/>
  <c r="C6929" i="116"/>
  <c r="B6929" i="116"/>
  <c r="K6928" i="116"/>
  <c r="J6928" i="116"/>
  <c r="I6928" i="116"/>
  <c r="H6928" i="116"/>
  <c r="G6928" i="116"/>
  <c r="F6928" i="116"/>
  <c r="E6928" i="116"/>
  <c r="D6928" i="116"/>
  <c r="C6928" i="116"/>
  <c r="B6928" i="116"/>
  <c r="K6927" i="116"/>
  <c r="J6927" i="116"/>
  <c r="I6927" i="116"/>
  <c r="H6927" i="116"/>
  <c r="G6927" i="116"/>
  <c r="F6927" i="116"/>
  <c r="E6927" i="116"/>
  <c r="D6927" i="116"/>
  <c r="C6927" i="116"/>
  <c r="B6927" i="116"/>
  <c r="K6926" i="116"/>
  <c r="J6926" i="116"/>
  <c r="I6926" i="116"/>
  <c r="H6926" i="116"/>
  <c r="G6926" i="116"/>
  <c r="F6926" i="116"/>
  <c r="E6926" i="116"/>
  <c r="D6926" i="116"/>
  <c r="C6926" i="116"/>
  <c r="B6926" i="116"/>
  <c r="K6925" i="116"/>
  <c r="J6925" i="116"/>
  <c r="I6925" i="116"/>
  <c r="H6925" i="116"/>
  <c r="G6925" i="116"/>
  <c r="F6925" i="116"/>
  <c r="E6925" i="116"/>
  <c r="D6925" i="116"/>
  <c r="C6925" i="116"/>
  <c r="B6925" i="116"/>
  <c r="K6924" i="116"/>
  <c r="J6924" i="116"/>
  <c r="I6924" i="116"/>
  <c r="H6924" i="116"/>
  <c r="G6924" i="116"/>
  <c r="F6924" i="116"/>
  <c r="E6924" i="116"/>
  <c r="D6924" i="116"/>
  <c r="C6924" i="116"/>
  <c r="B6924" i="116"/>
  <c r="K6923" i="116"/>
  <c r="J6923" i="116"/>
  <c r="I6923" i="116"/>
  <c r="H6923" i="116"/>
  <c r="G6923" i="116"/>
  <c r="F6923" i="116"/>
  <c r="E6923" i="116"/>
  <c r="D6923" i="116"/>
  <c r="C6923" i="116"/>
  <c r="B6923" i="116"/>
  <c r="K6922" i="116"/>
  <c r="J6922" i="116"/>
  <c r="I6922" i="116"/>
  <c r="H6922" i="116"/>
  <c r="G6922" i="116"/>
  <c r="F6922" i="116"/>
  <c r="E6922" i="116"/>
  <c r="D6922" i="116"/>
  <c r="C6922" i="116"/>
  <c r="B6922" i="116"/>
  <c r="K6921" i="116"/>
  <c r="J6921" i="116"/>
  <c r="I6921" i="116"/>
  <c r="H6921" i="116"/>
  <c r="G6921" i="116"/>
  <c r="F6921" i="116"/>
  <c r="E6921" i="116"/>
  <c r="D6921" i="116"/>
  <c r="C6921" i="116"/>
  <c r="B6921" i="116"/>
  <c r="K6920" i="116"/>
  <c r="J6920" i="116"/>
  <c r="I6920" i="116"/>
  <c r="H6920" i="116"/>
  <c r="G6920" i="116"/>
  <c r="F6920" i="116"/>
  <c r="E6920" i="116"/>
  <c r="D6920" i="116"/>
  <c r="C6920" i="116"/>
  <c r="B6920" i="116"/>
  <c r="K6919" i="116"/>
  <c r="J6919" i="116"/>
  <c r="I6919" i="116"/>
  <c r="H6919" i="116"/>
  <c r="G6919" i="116"/>
  <c r="F6919" i="116"/>
  <c r="E6919" i="116"/>
  <c r="D6919" i="116"/>
  <c r="C6919" i="116"/>
  <c r="B6919" i="116"/>
  <c r="K6918" i="116"/>
  <c r="J6918" i="116"/>
  <c r="I6918" i="116"/>
  <c r="H6918" i="116"/>
  <c r="G6918" i="116"/>
  <c r="F6918" i="116"/>
  <c r="E6918" i="116"/>
  <c r="D6918" i="116"/>
  <c r="C6918" i="116"/>
  <c r="B6918" i="116"/>
  <c r="K6917" i="116"/>
  <c r="J6917" i="116"/>
  <c r="I6917" i="116"/>
  <c r="H6917" i="116"/>
  <c r="G6917" i="116"/>
  <c r="F6917" i="116"/>
  <c r="E6917" i="116"/>
  <c r="D6917" i="116"/>
  <c r="C6917" i="116"/>
  <c r="B6917" i="116"/>
  <c r="K6916" i="116"/>
  <c r="J6916" i="116"/>
  <c r="I6916" i="116"/>
  <c r="H6916" i="116"/>
  <c r="G6916" i="116"/>
  <c r="F6916" i="116"/>
  <c r="E6916" i="116"/>
  <c r="D6916" i="116"/>
  <c r="C6916" i="116"/>
  <c r="B6916" i="116"/>
  <c r="K6915" i="116"/>
  <c r="J6915" i="116"/>
  <c r="I6915" i="116"/>
  <c r="H6915" i="116"/>
  <c r="G6915" i="116"/>
  <c r="F6915" i="116"/>
  <c r="E6915" i="116"/>
  <c r="D6915" i="116"/>
  <c r="C6915" i="116"/>
  <c r="B6915" i="116"/>
  <c r="K6914" i="116"/>
  <c r="J6914" i="116"/>
  <c r="I6914" i="116"/>
  <c r="H6914" i="116"/>
  <c r="G6914" i="116"/>
  <c r="F6914" i="116"/>
  <c r="E6914" i="116"/>
  <c r="D6914" i="116"/>
  <c r="C6914" i="116"/>
  <c r="B6914" i="116"/>
  <c r="K6913" i="116"/>
  <c r="J6913" i="116"/>
  <c r="I6913" i="116"/>
  <c r="H6913" i="116"/>
  <c r="G6913" i="116"/>
  <c r="F6913" i="116"/>
  <c r="E6913" i="116"/>
  <c r="D6913" i="116"/>
  <c r="C6913" i="116"/>
  <c r="B6913" i="116"/>
  <c r="K6912" i="116"/>
  <c r="J6912" i="116"/>
  <c r="I6912" i="116"/>
  <c r="H6912" i="116"/>
  <c r="G6912" i="116"/>
  <c r="F6912" i="116"/>
  <c r="E6912" i="116"/>
  <c r="D6912" i="116"/>
  <c r="C6912" i="116"/>
  <c r="B6912" i="116"/>
  <c r="K6911" i="116"/>
  <c r="J6911" i="116"/>
  <c r="I6911" i="116"/>
  <c r="H6911" i="116"/>
  <c r="G6911" i="116"/>
  <c r="F6911" i="116"/>
  <c r="E6911" i="116"/>
  <c r="D6911" i="116"/>
  <c r="C6911" i="116"/>
  <c r="B6911" i="116"/>
  <c r="K6910" i="116"/>
  <c r="J6910" i="116"/>
  <c r="I6910" i="116"/>
  <c r="H6910" i="116"/>
  <c r="G6910" i="116"/>
  <c r="F6910" i="116"/>
  <c r="E6910" i="116"/>
  <c r="D6910" i="116"/>
  <c r="C6910" i="116"/>
  <c r="B6910" i="116"/>
  <c r="K6909" i="116"/>
  <c r="J6909" i="116"/>
  <c r="I6909" i="116"/>
  <c r="H6909" i="116"/>
  <c r="G6909" i="116"/>
  <c r="F6909" i="116"/>
  <c r="E6909" i="116"/>
  <c r="D6909" i="116"/>
  <c r="C6909" i="116"/>
  <c r="B6909" i="116"/>
  <c r="K6908" i="116"/>
  <c r="J6908" i="116"/>
  <c r="I6908" i="116"/>
  <c r="H6908" i="116"/>
  <c r="G6908" i="116"/>
  <c r="F6908" i="116"/>
  <c r="E6908" i="116"/>
  <c r="D6908" i="116"/>
  <c r="C6908" i="116"/>
  <c r="B6908" i="116"/>
  <c r="K6907" i="116"/>
  <c r="J6907" i="116"/>
  <c r="I6907" i="116"/>
  <c r="H6907" i="116"/>
  <c r="G6907" i="116"/>
  <c r="F6907" i="116"/>
  <c r="E6907" i="116"/>
  <c r="D6907" i="116"/>
  <c r="C6907" i="116"/>
  <c r="B6907" i="116"/>
  <c r="K6906" i="116"/>
  <c r="J6906" i="116"/>
  <c r="I6906" i="116"/>
  <c r="H6906" i="116"/>
  <c r="G6906" i="116"/>
  <c r="F6906" i="116"/>
  <c r="E6906" i="116"/>
  <c r="D6906" i="116"/>
  <c r="C6906" i="116"/>
  <c r="B6906" i="116"/>
  <c r="K6905" i="116"/>
  <c r="J6905" i="116"/>
  <c r="I6905" i="116"/>
  <c r="H6905" i="116"/>
  <c r="G6905" i="116"/>
  <c r="F6905" i="116"/>
  <c r="E6905" i="116"/>
  <c r="D6905" i="116"/>
  <c r="C6905" i="116"/>
  <c r="B6905" i="116"/>
  <c r="K6904" i="116"/>
  <c r="J6904" i="116"/>
  <c r="I6904" i="116"/>
  <c r="H6904" i="116"/>
  <c r="G6904" i="116"/>
  <c r="F6904" i="116"/>
  <c r="E6904" i="116"/>
  <c r="D6904" i="116"/>
  <c r="C6904" i="116"/>
  <c r="B6904" i="116"/>
  <c r="K6903" i="116"/>
  <c r="J6903" i="116"/>
  <c r="I6903" i="116"/>
  <c r="H6903" i="116"/>
  <c r="G6903" i="116"/>
  <c r="F6903" i="116"/>
  <c r="E6903" i="116"/>
  <c r="D6903" i="116"/>
  <c r="C6903" i="116"/>
  <c r="B6903" i="116"/>
  <c r="K6902" i="116"/>
  <c r="J6902" i="116"/>
  <c r="I6902" i="116"/>
  <c r="H6902" i="116"/>
  <c r="G6902" i="116"/>
  <c r="F6902" i="116"/>
  <c r="E6902" i="116"/>
  <c r="D6902" i="116"/>
  <c r="C6902" i="116"/>
  <c r="B6902" i="116"/>
  <c r="K6901" i="116"/>
  <c r="J6901" i="116"/>
  <c r="I6901" i="116"/>
  <c r="H6901" i="116"/>
  <c r="G6901" i="116"/>
  <c r="F6901" i="116"/>
  <c r="E6901" i="116"/>
  <c r="D6901" i="116"/>
  <c r="C6901" i="116"/>
  <c r="B6901" i="116"/>
  <c r="K6900" i="116"/>
  <c r="J6900" i="116"/>
  <c r="I6900" i="116"/>
  <c r="H6900" i="116"/>
  <c r="G6900" i="116"/>
  <c r="F6900" i="116"/>
  <c r="E6900" i="116"/>
  <c r="D6900" i="116"/>
  <c r="C6900" i="116"/>
  <c r="B6900" i="116"/>
  <c r="K6899" i="116"/>
  <c r="J6899" i="116"/>
  <c r="I6899" i="116"/>
  <c r="H6899" i="116"/>
  <c r="G6899" i="116"/>
  <c r="F6899" i="116"/>
  <c r="E6899" i="116"/>
  <c r="D6899" i="116"/>
  <c r="C6899" i="116"/>
  <c r="B6899" i="116"/>
  <c r="K6898" i="116"/>
  <c r="J6898" i="116"/>
  <c r="I6898" i="116"/>
  <c r="H6898" i="116"/>
  <c r="G6898" i="116"/>
  <c r="F6898" i="116"/>
  <c r="E6898" i="116"/>
  <c r="D6898" i="116"/>
  <c r="C6898" i="116"/>
  <c r="B6898" i="116"/>
  <c r="K6897" i="116"/>
  <c r="J6897" i="116"/>
  <c r="I6897" i="116"/>
  <c r="H6897" i="116"/>
  <c r="G6897" i="116"/>
  <c r="F6897" i="116"/>
  <c r="E6897" i="116"/>
  <c r="D6897" i="116"/>
  <c r="C6897" i="116"/>
  <c r="B6897" i="116"/>
  <c r="K6896" i="116"/>
  <c r="J6896" i="116"/>
  <c r="I6896" i="116"/>
  <c r="H6896" i="116"/>
  <c r="G6896" i="116"/>
  <c r="F6896" i="116"/>
  <c r="E6896" i="116"/>
  <c r="D6896" i="116"/>
  <c r="C6896" i="116"/>
  <c r="B6896" i="116"/>
  <c r="K6895" i="116"/>
  <c r="J6895" i="116"/>
  <c r="I6895" i="116"/>
  <c r="H6895" i="116"/>
  <c r="G6895" i="116"/>
  <c r="F6895" i="116"/>
  <c r="E6895" i="116"/>
  <c r="D6895" i="116"/>
  <c r="C6895" i="116"/>
  <c r="B6895" i="116"/>
  <c r="K6894" i="116"/>
  <c r="J6894" i="116"/>
  <c r="I6894" i="116"/>
  <c r="H6894" i="116"/>
  <c r="G6894" i="116"/>
  <c r="F6894" i="116"/>
  <c r="E6894" i="116"/>
  <c r="D6894" i="116"/>
  <c r="C6894" i="116"/>
  <c r="B6894" i="116"/>
  <c r="K6893" i="116"/>
  <c r="J6893" i="116"/>
  <c r="I6893" i="116"/>
  <c r="H6893" i="116"/>
  <c r="G6893" i="116"/>
  <c r="F6893" i="116"/>
  <c r="E6893" i="116"/>
  <c r="D6893" i="116"/>
  <c r="C6893" i="116"/>
  <c r="B6893" i="116"/>
  <c r="K6892" i="116"/>
  <c r="J6892" i="116"/>
  <c r="I6892" i="116"/>
  <c r="H6892" i="116"/>
  <c r="G6892" i="116"/>
  <c r="F6892" i="116"/>
  <c r="E6892" i="116"/>
  <c r="D6892" i="116"/>
  <c r="C6892" i="116"/>
  <c r="B6892" i="116"/>
  <c r="K6891" i="116"/>
  <c r="J6891" i="116"/>
  <c r="I6891" i="116"/>
  <c r="H6891" i="116"/>
  <c r="G6891" i="116"/>
  <c r="F6891" i="116"/>
  <c r="E6891" i="116"/>
  <c r="D6891" i="116"/>
  <c r="C6891" i="116"/>
  <c r="B6891" i="116"/>
  <c r="K6890" i="116"/>
  <c r="J6890" i="116"/>
  <c r="I6890" i="116"/>
  <c r="H6890" i="116"/>
  <c r="G6890" i="116"/>
  <c r="F6890" i="116"/>
  <c r="E6890" i="116"/>
  <c r="D6890" i="116"/>
  <c r="C6890" i="116"/>
  <c r="B6890" i="116"/>
  <c r="K6889" i="116"/>
  <c r="J6889" i="116"/>
  <c r="I6889" i="116"/>
  <c r="H6889" i="116"/>
  <c r="G6889" i="116"/>
  <c r="F6889" i="116"/>
  <c r="E6889" i="116"/>
  <c r="D6889" i="116"/>
  <c r="C6889" i="116"/>
  <c r="B6889" i="116"/>
  <c r="K6888" i="116"/>
  <c r="J6888" i="116"/>
  <c r="I6888" i="116"/>
  <c r="H6888" i="116"/>
  <c r="G6888" i="116"/>
  <c r="F6888" i="116"/>
  <c r="E6888" i="116"/>
  <c r="D6888" i="116"/>
  <c r="C6888" i="116"/>
  <c r="B6888" i="116"/>
  <c r="K6887" i="116"/>
  <c r="J6887" i="116"/>
  <c r="I6887" i="116"/>
  <c r="H6887" i="116"/>
  <c r="G6887" i="116"/>
  <c r="F6887" i="116"/>
  <c r="E6887" i="116"/>
  <c r="D6887" i="116"/>
  <c r="C6887" i="116"/>
  <c r="B6887" i="116"/>
  <c r="K6886" i="116"/>
  <c r="J6886" i="116"/>
  <c r="I6886" i="116"/>
  <c r="H6886" i="116"/>
  <c r="G6886" i="116"/>
  <c r="F6886" i="116"/>
  <c r="E6886" i="116"/>
  <c r="D6886" i="116"/>
  <c r="C6886" i="116"/>
  <c r="B6886" i="116"/>
  <c r="K6885" i="116"/>
  <c r="J6885" i="116"/>
  <c r="I6885" i="116"/>
  <c r="H6885" i="116"/>
  <c r="G6885" i="116"/>
  <c r="F6885" i="116"/>
  <c r="E6885" i="116"/>
  <c r="D6885" i="116"/>
  <c r="C6885" i="116"/>
  <c r="B6885" i="116"/>
  <c r="K6884" i="116"/>
  <c r="J6884" i="116"/>
  <c r="I6884" i="116"/>
  <c r="H6884" i="116"/>
  <c r="G6884" i="116"/>
  <c r="F6884" i="116"/>
  <c r="E6884" i="116"/>
  <c r="D6884" i="116"/>
  <c r="C6884" i="116"/>
  <c r="B6884" i="116"/>
  <c r="K6883" i="116"/>
  <c r="J6883" i="116"/>
  <c r="I6883" i="116"/>
  <c r="H6883" i="116"/>
  <c r="G6883" i="116"/>
  <c r="F6883" i="116"/>
  <c r="E6883" i="116"/>
  <c r="D6883" i="116"/>
  <c r="C6883" i="116"/>
  <c r="B6883" i="116"/>
  <c r="K6882" i="116"/>
  <c r="J6882" i="116"/>
  <c r="I6882" i="116"/>
  <c r="H6882" i="116"/>
  <c r="G6882" i="116"/>
  <c r="F6882" i="116"/>
  <c r="E6882" i="116"/>
  <c r="D6882" i="116"/>
  <c r="C6882" i="116"/>
  <c r="B6882" i="116"/>
  <c r="K6881" i="116"/>
  <c r="J6881" i="116"/>
  <c r="I6881" i="116"/>
  <c r="H6881" i="116"/>
  <c r="G6881" i="116"/>
  <c r="F6881" i="116"/>
  <c r="E6881" i="116"/>
  <c r="D6881" i="116"/>
  <c r="C6881" i="116"/>
  <c r="B6881" i="116"/>
  <c r="K6880" i="116"/>
  <c r="J6880" i="116"/>
  <c r="I6880" i="116"/>
  <c r="H6880" i="116"/>
  <c r="G6880" i="116"/>
  <c r="F6880" i="116"/>
  <c r="E6880" i="116"/>
  <c r="D6880" i="116"/>
  <c r="C6880" i="116"/>
  <c r="B6880" i="116"/>
  <c r="K6879" i="116"/>
  <c r="J6879" i="116"/>
  <c r="I6879" i="116"/>
  <c r="H6879" i="116"/>
  <c r="G6879" i="116"/>
  <c r="F6879" i="116"/>
  <c r="E6879" i="116"/>
  <c r="D6879" i="116"/>
  <c r="C6879" i="116"/>
  <c r="B6879" i="116"/>
  <c r="K6878" i="116"/>
  <c r="J6878" i="116"/>
  <c r="I6878" i="116"/>
  <c r="H6878" i="116"/>
  <c r="G6878" i="116"/>
  <c r="F6878" i="116"/>
  <c r="E6878" i="116"/>
  <c r="D6878" i="116"/>
  <c r="C6878" i="116"/>
  <c r="B6878" i="116"/>
  <c r="K6877" i="116"/>
  <c r="J6877" i="116"/>
  <c r="I6877" i="116"/>
  <c r="H6877" i="116"/>
  <c r="G6877" i="116"/>
  <c r="F6877" i="116"/>
  <c r="E6877" i="116"/>
  <c r="D6877" i="116"/>
  <c r="C6877" i="116"/>
  <c r="B6877" i="116"/>
  <c r="K6876" i="116"/>
  <c r="J6876" i="116"/>
  <c r="I6876" i="116"/>
  <c r="H6876" i="116"/>
  <c r="G6876" i="116"/>
  <c r="F6876" i="116"/>
  <c r="E6876" i="116"/>
  <c r="D6876" i="116"/>
  <c r="C6876" i="116"/>
  <c r="B6876" i="116"/>
  <c r="K6875" i="116"/>
  <c r="J6875" i="116"/>
  <c r="I6875" i="116"/>
  <c r="H6875" i="116"/>
  <c r="G6875" i="116"/>
  <c r="F6875" i="116"/>
  <c r="E6875" i="116"/>
  <c r="D6875" i="116"/>
  <c r="C6875" i="116"/>
  <c r="B6875" i="116"/>
  <c r="K6874" i="116"/>
  <c r="J6874" i="116"/>
  <c r="I6874" i="116"/>
  <c r="H6874" i="116"/>
  <c r="G6874" i="116"/>
  <c r="F6874" i="116"/>
  <c r="E6874" i="116"/>
  <c r="D6874" i="116"/>
  <c r="C6874" i="116"/>
  <c r="B6874" i="116"/>
  <c r="K6873" i="116"/>
  <c r="J6873" i="116"/>
  <c r="I6873" i="116"/>
  <c r="H6873" i="116"/>
  <c r="G6873" i="116"/>
  <c r="F6873" i="116"/>
  <c r="E6873" i="116"/>
  <c r="D6873" i="116"/>
  <c r="C6873" i="116"/>
  <c r="B6873" i="116"/>
  <c r="K6872" i="116"/>
  <c r="J6872" i="116"/>
  <c r="I6872" i="116"/>
  <c r="H6872" i="116"/>
  <c r="G6872" i="116"/>
  <c r="F6872" i="116"/>
  <c r="E6872" i="116"/>
  <c r="D6872" i="116"/>
  <c r="C6872" i="116"/>
  <c r="B6872" i="116"/>
  <c r="K6871" i="116"/>
  <c r="J6871" i="116"/>
  <c r="I6871" i="116"/>
  <c r="H6871" i="116"/>
  <c r="G6871" i="116"/>
  <c r="F6871" i="116"/>
  <c r="E6871" i="116"/>
  <c r="D6871" i="116"/>
  <c r="C6871" i="116"/>
  <c r="B6871" i="116"/>
  <c r="K6870" i="116"/>
  <c r="J6870" i="116"/>
  <c r="I6870" i="116"/>
  <c r="H6870" i="116"/>
  <c r="G6870" i="116"/>
  <c r="F6870" i="116"/>
  <c r="E6870" i="116"/>
  <c r="D6870" i="116"/>
  <c r="C6870" i="116"/>
  <c r="B6870" i="116"/>
  <c r="K6869" i="116"/>
  <c r="J6869" i="116"/>
  <c r="I6869" i="116"/>
  <c r="H6869" i="116"/>
  <c r="G6869" i="116"/>
  <c r="F6869" i="116"/>
  <c r="E6869" i="116"/>
  <c r="D6869" i="116"/>
  <c r="C6869" i="116"/>
  <c r="B6869" i="116"/>
  <c r="K6868" i="116"/>
  <c r="J6868" i="116"/>
  <c r="I6868" i="116"/>
  <c r="H6868" i="116"/>
  <c r="G6868" i="116"/>
  <c r="F6868" i="116"/>
  <c r="E6868" i="116"/>
  <c r="D6868" i="116"/>
  <c r="C6868" i="116"/>
  <c r="B6868" i="116"/>
  <c r="K6867" i="116"/>
  <c r="J6867" i="116"/>
  <c r="I6867" i="116"/>
  <c r="H6867" i="116"/>
  <c r="G6867" i="116"/>
  <c r="F6867" i="116"/>
  <c r="E6867" i="116"/>
  <c r="D6867" i="116"/>
  <c r="C6867" i="116"/>
  <c r="B6867" i="116"/>
  <c r="K6866" i="116"/>
  <c r="J6866" i="116"/>
  <c r="I6866" i="116"/>
  <c r="H6866" i="116"/>
  <c r="G6866" i="116"/>
  <c r="F6866" i="116"/>
  <c r="E6866" i="116"/>
  <c r="D6866" i="116"/>
  <c r="C6866" i="116"/>
  <c r="B6866" i="116"/>
  <c r="K6865" i="116"/>
  <c r="J6865" i="116"/>
  <c r="I6865" i="116"/>
  <c r="H6865" i="116"/>
  <c r="G6865" i="116"/>
  <c r="F6865" i="116"/>
  <c r="E6865" i="116"/>
  <c r="D6865" i="116"/>
  <c r="C6865" i="116"/>
  <c r="B6865" i="116"/>
  <c r="K6864" i="116"/>
  <c r="J6864" i="116"/>
  <c r="I6864" i="116"/>
  <c r="H6864" i="116"/>
  <c r="G6864" i="116"/>
  <c r="F6864" i="116"/>
  <c r="E6864" i="116"/>
  <c r="D6864" i="116"/>
  <c r="C6864" i="116"/>
  <c r="B6864" i="116"/>
  <c r="K6863" i="116"/>
  <c r="J6863" i="116"/>
  <c r="I6863" i="116"/>
  <c r="H6863" i="116"/>
  <c r="G6863" i="116"/>
  <c r="F6863" i="116"/>
  <c r="E6863" i="116"/>
  <c r="D6863" i="116"/>
  <c r="C6863" i="116"/>
  <c r="B6863" i="116"/>
  <c r="K6862" i="116"/>
  <c r="J6862" i="116"/>
  <c r="I6862" i="116"/>
  <c r="H6862" i="116"/>
  <c r="G6862" i="116"/>
  <c r="F6862" i="116"/>
  <c r="E6862" i="116"/>
  <c r="D6862" i="116"/>
  <c r="C6862" i="116"/>
  <c r="B6862" i="116"/>
  <c r="K6861" i="116"/>
  <c r="J6861" i="116"/>
  <c r="I6861" i="116"/>
  <c r="H6861" i="116"/>
  <c r="G6861" i="116"/>
  <c r="F6861" i="116"/>
  <c r="E6861" i="116"/>
  <c r="D6861" i="116"/>
  <c r="C6861" i="116"/>
  <c r="B6861" i="116"/>
  <c r="K6860" i="116"/>
  <c r="J6860" i="116"/>
  <c r="I6860" i="116"/>
  <c r="H6860" i="116"/>
  <c r="G6860" i="116"/>
  <c r="F6860" i="116"/>
  <c r="E6860" i="116"/>
  <c r="D6860" i="116"/>
  <c r="C6860" i="116"/>
  <c r="B6860" i="116"/>
  <c r="K6859" i="116"/>
  <c r="J6859" i="116"/>
  <c r="I6859" i="116"/>
  <c r="H6859" i="116"/>
  <c r="G6859" i="116"/>
  <c r="F6859" i="116"/>
  <c r="E6859" i="116"/>
  <c r="D6859" i="116"/>
  <c r="C6859" i="116"/>
  <c r="B6859" i="116"/>
  <c r="K6858" i="116"/>
  <c r="J6858" i="116"/>
  <c r="I6858" i="116"/>
  <c r="H6858" i="116"/>
  <c r="G6858" i="116"/>
  <c r="F6858" i="116"/>
  <c r="E6858" i="116"/>
  <c r="D6858" i="116"/>
  <c r="C6858" i="116"/>
  <c r="B6858" i="116"/>
  <c r="K6857" i="116"/>
  <c r="J6857" i="116"/>
  <c r="I6857" i="116"/>
  <c r="H6857" i="116"/>
  <c r="G6857" i="116"/>
  <c r="F6857" i="116"/>
  <c r="E6857" i="116"/>
  <c r="D6857" i="116"/>
  <c r="C6857" i="116"/>
  <c r="B6857" i="116"/>
  <c r="K6856" i="116"/>
  <c r="J6856" i="116"/>
  <c r="I6856" i="116"/>
  <c r="H6856" i="116"/>
  <c r="G6856" i="116"/>
  <c r="F6856" i="116"/>
  <c r="E6856" i="116"/>
  <c r="D6856" i="116"/>
  <c r="C6856" i="116"/>
  <c r="B6856" i="116"/>
  <c r="K6855" i="116"/>
  <c r="J6855" i="116"/>
  <c r="I6855" i="116"/>
  <c r="H6855" i="116"/>
  <c r="G6855" i="116"/>
  <c r="F6855" i="116"/>
  <c r="E6855" i="116"/>
  <c r="D6855" i="116"/>
  <c r="C6855" i="116"/>
  <c r="B6855" i="116"/>
  <c r="K6854" i="116"/>
  <c r="J6854" i="116"/>
  <c r="I6854" i="116"/>
  <c r="H6854" i="116"/>
  <c r="G6854" i="116"/>
  <c r="F6854" i="116"/>
  <c r="E6854" i="116"/>
  <c r="D6854" i="116"/>
  <c r="C6854" i="116"/>
  <c r="B6854" i="116"/>
  <c r="K6853" i="116"/>
  <c r="J6853" i="116"/>
  <c r="I6853" i="116"/>
  <c r="H6853" i="116"/>
  <c r="G6853" i="116"/>
  <c r="F6853" i="116"/>
  <c r="E6853" i="116"/>
  <c r="D6853" i="116"/>
  <c r="C6853" i="116"/>
  <c r="B6853" i="116"/>
  <c r="K6852" i="116"/>
  <c r="J6852" i="116"/>
  <c r="I6852" i="116"/>
  <c r="H6852" i="116"/>
  <c r="G6852" i="116"/>
  <c r="F6852" i="116"/>
  <c r="E6852" i="116"/>
  <c r="D6852" i="116"/>
  <c r="C6852" i="116"/>
  <c r="B6852" i="116"/>
  <c r="K6851" i="116"/>
  <c r="J6851" i="116"/>
  <c r="I6851" i="116"/>
  <c r="H6851" i="116"/>
  <c r="G6851" i="116"/>
  <c r="F6851" i="116"/>
  <c r="E6851" i="116"/>
  <c r="D6851" i="116"/>
  <c r="C6851" i="116"/>
  <c r="B6851" i="116"/>
  <c r="K6850" i="116"/>
  <c r="J6850" i="116"/>
  <c r="I6850" i="116"/>
  <c r="H6850" i="116"/>
  <c r="G6850" i="116"/>
  <c r="F6850" i="116"/>
  <c r="E6850" i="116"/>
  <c r="D6850" i="116"/>
  <c r="C6850" i="116"/>
  <c r="B6850" i="116"/>
  <c r="K6849" i="116"/>
  <c r="J6849" i="116"/>
  <c r="I6849" i="116"/>
  <c r="H6849" i="116"/>
  <c r="G6849" i="116"/>
  <c r="F6849" i="116"/>
  <c r="E6849" i="116"/>
  <c r="D6849" i="116"/>
  <c r="C6849" i="116"/>
  <c r="B6849" i="116"/>
  <c r="K6848" i="116"/>
  <c r="J6848" i="116"/>
  <c r="I6848" i="116"/>
  <c r="H6848" i="116"/>
  <c r="G6848" i="116"/>
  <c r="F6848" i="116"/>
  <c r="E6848" i="116"/>
  <c r="D6848" i="116"/>
  <c r="C6848" i="116"/>
  <c r="B6848" i="116"/>
  <c r="K6847" i="116"/>
  <c r="J6847" i="116"/>
  <c r="I6847" i="116"/>
  <c r="H6847" i="116"/>
  <c r="G6847" i="116"/>
  <c r="F6847" i="116"/>
  <c r="E6847" i="116"/>
  <c r="D6847" i="116"/>
  <c r="C6847" i="116"/>
  <c r="B6847" i="116"/>
  <c r="K6846" i="116"/>
  <c r="J6846" i="116"/>
  <c r="I6846" i="116"/>
  <c r="H6846" i="116"/>
  <c r="G6846" i="116"/>
  <c r="F6846" i="116"/>
  <c r="E6846" i="116"/>
  <c r="D6846" i="116"/>
  <c r="C6846" i="116"/>
  <c r="B6846" i="116"/>
  <c r="K6845" i="116"/>
  <c r="J6845" i="116"/>
  <c r="I6845" i="116"/>
  <c r="H6845" i="116"/>
  <c r="G6845" i="116"/>
  <c r="F6845" i="116"/>
  <c r="E6845" i="116"/>
  <c r="D6845" i="116"/>
  <c r="C6845" i="116"/>
  <c r="B6845" i="116"/>
  <c r="K6844" i="116"/>
  <c r="J6844" i="116"/>
  <c r="I6844" i="116"/>
  <c r="H6844" i="116"/>
  <c r="G6844" i="116"/>
  <c r="F6844" i="116"/>
  <c r="E6844" i="116"/>
  <c r="D6844" i="116"/>
  <c r="C6844" i="116"/>
  <c r="B6844" i="116"/>
  <c r="K6843" i="116"/>
  <c r="J6843" i="116"/>
  <c r="I6843" i="116"/>
  <c r="H6843" i="116"/>
  <c r="G6843" i="116"/>
  <c r="F6843" i="116"/>
  <c r="E6843" i="116"/>
  <c r="D6843" i="116"/>
  <c r="C6843" i="116"/>
  <c r="B6843" i="116"/>
  <c r="K6842" i="116"/>
  <c r="J6842" i="116"/>
  <c r="I6842" i="116"/>
  <c r="H6842" i="116"/>
  <c r="G6842" i="116"/>
  <c r="F6842" i="116"/>
  <c r="E6842" i="116"/>
  <c r="D6842" i="116"/>
  <c r="C6842" i="116"/>
  <c r="B6842" i="116"/>
  <c r="K6841" i="116"/>
  <c r="J6841" i="116"/>
  <c r="I6841" i="116"/>
  <c r="H6841" i="116"/>
  <c r="G6841" i="116"/>
  <c r="F6841" i="116"/>
  <c r="E6841" i="116"/>
  <c r="D6841" i="116"/>
  <c r="C6841" i="116"/>
  <c r="B6841" i="116"/>
  <c r="K6840" i="116"/>
  <c r="J6840" i="116"/>
  <c r="I6840" i="116"/>
  <c r="H6840" i="116"/>
  <c r="G6840" i="116"/>
  <c r="F6840" i="116"/>
  <c r="E6840" i="116"/>
  <c r="D6840" i="116"/>
  <c r="C6840" i="116"/>
  <c r="B6840" i="116"/>
  <c r="K6839" i="116"/>
  <c r="J6839" i="116"/>
  <c r="I6839" i="116"/>
  <c r="H6839" i="116"/>
  <c r="G6839" i="116"/>
  <c r="F6839" i="116"/>
  <c r="E6839" i="116"/>
  <c r="D6839" i="116"/>
  <c r="C6839" i="116"/>
  <c r="B6839" i="116"/>
  <c r="K6838" i="116"/>
  <c r="J6838" i="116"/>
  <c r="I6838" i="116"/>
  <c r="H6838" i="116"/>
  <c r="G6838" i="116"/>
  <c r="F6838" i="116"/>
  <c r="E6838" i="116"/>
  <c r="D6838" i="116"/>
  <c r="C6838" i="116"/>
  <c r="B6838" i="116"/>
  <c r="K6837" i="116"/>
  <c r="J6837" i="116"/>
  <c r="I6837" i="116"/>
  <c r="H6837" i="116"/>
  <c r="G6837" i="116"/>
  <c r="F6837" i="116"/>
  <c r="E6837" i="116"/>
  <c r="D6837" i="116"/>
  <c r="C6837" i="116"/>
  <c r="B6837" i="116"/>
  <c r="K6836" i="116"/>
  <c r="J6836" i="116"/>
  <c r="I6836" i="116"/>
  <c r="H6836" i="116"/>
  <c r="G6836" i="116"/>
  <c r="F6836" i="116"/>
  <c r="E6836" i="116"/>
  <c r="D6836" i="116"/>
  <c r="C6836" i="116"/>
  <c r="B6836" i="116"/>
  <c r="K6835" i="116"/>
  <c r="J6835" i="116"/>
  <c r="I6835" i="116"/>
  <c r="H6835" i="116"/>
  <c r="G6835" i="116"/>
  <c r="F6835" i="116"/>
  <c r="E6835" i="116"/>
  <c r="D6835" i="116"/>
  <c r="C6835" i="116"/>
  <c r="B6835" i="116"/>
  <c r="K6834" i="116"/>
  <c r="J6834" i="116"/>
  <c r="I6834" i="116"/>
  <c r="H6834" i="116"/>
  <c r="G6834" i="116"/>
  <c r="F6834" i="116"/>
  <c r="E6834" i="116"/>
  <c r="D6834" i="116"/>
  <c r="C6834" i="116"/>
  <c r="B6834" i="116"/>
  <c r="K6833" i="116"/>
  <c r="J6833" i="116"/>
  <c r="I6833" i="116"/>
  <c r="H6833" i="116"/>
  <c r="G6833" i="116"/>
  <c r="F6833" i="116"/>
  <c r="E6833" i="116"/>
  <c r="D6833" i="116"/>
  <c r="C6833" i="116"/>
  <c r="B6833" i="116"/>
  <c r="K6832" i="116"/>
  <c r="J6832" i="116"/>
  <c r="I6832" i="116"/>
  <c r="H6832" i="116"/>
  <c r="G6832" i="116"/>
  <c r="F6832" i="116"/>
  <c r="E6832" i="116"/>
  <c r="D6832" i="116"/>
  <c r="C6832" i="116"/>
  <c r="B6832" i="116"/>
  <c r="K6831" i="116"/>
  <c r="J6831" i="116"/>
  <c r="I6831" i="116"/>
  <c r="H6831" i="116"/>
  <c r="G6831" i="116"/>
  <c r="F6831" i="116"/>
  <c r="E6831" i="116"/>
  <c r="D6831" i="116"/>
  <c r="C6831" i="116"/>
  <c r="B6831" i="116"/>
  <c r="K6830" i="116"/>
  <c r="J6830" i="116"/>
  <c r="I6830" i="116"/>
  <c r="H6830" i="116"/>
  <c r="G6830" i="116"/>
  <c r="F6830" i="116"/>
  <c r="E6830" i="116"/>
  <c r="D6830" i="116"/>
  <c r="C6830" i="116"/>
  <c r="B6830" i="116"/>
  <c r="K6829" i="116"/>
  <c r="J6829" i="116"/>
  <c r="I6829" i="116"/>
  <c r="H6829" i="116"/>
  <c r="G6829" i="116"/>
  <c r="F6829" i="116"/>
  <c r="E6829" i="116"/>
  <c r="D6829" i="116"/>
  <c r="C6829" i="116"/>
  <c r="B6829" i="116"/>
  <c r="K6828" i="116"/>
  <c r="J6828" i="116"/>
  <c r="I6828" i="116"/>
  <c r="H6828" i="116"/>
  <c r="G6828" i="116"/>
  <c r="F6828" i="116"/>
  <c r="E6828" i="116"/>
  <c r="D6828" i="116"/>
  <c r="C6828" i="116"/>
  <c r="B6828" i="116"/>
  <c r="K6827" i="116"/>
  <c r="J6827" i="116"/>
  <c r="I6827" i="116"/>
  <c r="H6827" i="116"/>
  <c r="G6827" i="116"/>
  <c r="F6827" i="116"/>
  <c r="E6827" i="116"/>
  <c r="D6827" i="116"/>
  <c r="C6827" i="116"/>
  <c r="B6827" i="116"/>
  <c r="K6826" i="116"/>
  <c r="J6826" i="116"/>
  <c r="I6826" i="116"/>
  <c r="H6826" i="116"/>
  <c r="G6826" i="116"/>
  <c r="F6826" i="116"/>
  <c r="E6826" i="116"/>
  <c r="D6826" i="116"/>
  <c r="C6826" i="116"/>
  <c r="B6826" i="116"/>
  <c r="K6825" i="116"/>
  <c r="J6825" i="116"/>
  <c r="I6825" i="116"/>
  <c r="H6825" i="116"/>
  <c r="G6825" i="116"/>
  <c r="F6825" i="116"/>
  <c r="E6825" i="116"/>
  <c r="D6825" i="116"/>
  <c r="C6825" i="116"/>
  <c r="B6825" i="116"/>
  <c r="K6824" i="116"/>
  <c r="J6824" i="116"/>
  <c r="I6824" i="116"/>
  <c r="H6824" i="116"/>
  <c r="G6824" i="116"/>
  <c r="F6824" i="116"/>
  <c r="E6824" i="116"/>
  <c r="D6824" i="116"/>
  <c r="C6824" i="116"/>
  <c r="B6824" i="116"/>
  <c r="K6823" i="116"/>
  <c r="J6823" i="116"/>
  <c r="I6823" i="116"/>
  <c r="H6823" i="116"/>
  <c r="G6823" i="116"/>
  <c r="F6823" i="116"/>
  <c r="E6823" i="116"/>
  <c r="D6823" i="116"/>
  <c r="C6823" i="116"/>
  <c r="B6823" i="116"/>
  <c r="K6822" i="116"/>
  <c r="J6822" i="116"/>
  <c r="I6822" i="116"/>
  <c r="H6822" i="116"/>
  <c r="G6822" i="116"/>
  <c r="F6822" i="116"/>
  <c r="E6822" i="116"/>
  <c r="D6822" i="116"/>
  <c r="C6822" i="116"/>
  <c r="B6822" i="116"/>
  <c r="K6821" i="116"/>
  <c r="J6821" i="116"/>
  <c r="I6821" i="116"/>
  <c r="H6821" i="116"/>
  <c r="G6821" i="116"/>
  <c r="F6821" i="116"/>
  <c r="E6821" i="116"/>
  <c r="D6821" i="116"/>
  <c r="C6821" i="116"/>
  <c r="B6821" i="116"/>
  <c r="K6820" i="116"/>
  <c r="J6820" i="116"/>
  <c r="I6820" i="116"/>
  <c r="H6820" i="116"/>
  <c r="G6820" i="116"/>
  <c r="F6820" i="116"/>
  <c r="E6820" i="116"/>
  <c r="D6820" i="116"/>
  <c r="C6820" i="116"/>
  <c r="B6820" i="116"/>
  <c r="K6819" i="116"/>
  <c r="J6819" i="116"/>
  <c r="I6819" i="116"/>
  <c r="H6819" i="116"/>
  <c r="G6819" i="116"/>
  <c r="F6819" i="116"/>
  <c r="E6819" i="116"/>
  <c r="D6819" i="116"/>
  <c r="C6819" i="116"/>
  <c r="B6819" i="116"/>
  <c r="K6818" i="116"/>
  <c r="J6818" i="116"/>
  <c r="I6818" i="116"/>
  <c r="H6818" i="116"/>
  <c r="G6818" i="116"/>
  <c r="F6818" i="116"/>
  <c r="E6818" i="116"/>
  <c r="D6818" i="116"/>
  <c r="C6818" i="116"/>
  <c r="B6818" i="116"/>
  <c r="K6817" i="116"/>
  <c r="J6817" i="116"/>
  <c r="I6817" i="116"/>
  <c r="H6817" i="116"/>
  <c r="G6817" i="116"/>
  <c r="F6817" i="116"/>
  <c r="E6817" i="116"/>
  <c r="D6817" i="116"/>
  <c r="C6817" i="116"/>
  <c r="B6817" i="116"/>
  <c r="K6816" i="116"/>
  <c r="J6816" i="116"/>
  <c r="I6816" i="116"/>
  <c r="H6816" i="116"/>
  <c r="G6816" i="116"/>
  <c r="F6816" i="116"/>
  <c r="E6816" i="116"/>
  <c r="D6816" i="116"/>
  <c r="C6816" i="116"/>
  <c r="B6816" i="116"/>
  <c r="K6815" i="116"/>
  <c r="J6815" i="116"/>
  <c r="I6815" i="116"/>
  <c r="H6815" i="116"/>
  <c r="G6815" i="116"/>
  <c r="F6815" i="116"/>
  <c r="E6815" i="116"/>
  <c r="D6815" i="116"/>
  <c r="C6815" i="116"/>
  <c r="B6815" i="116"/>
  <c r="K6814" i="116"/>
  <c r="J6814" i="116"/>
  <c r="I6814" i="116"/>
  <c r="H6814" i="116"/>
  <c r="G6814" i="116"/>
  <c r="F6814" i="116"/>
  <c r="E6814" i="116"/>
  <c r="D6814" i="116"/>
  <c r="C6814" i="116"/>
  <c r="B6814" i="116"/>
  <c r="K6813" i="116"/>
  <c r="J6813" i="116"/>
  <c r="I6813" i="116"/>
  <c r="H6813" i="116"/>
  <c r="G6813" i="116"/>
  <c r="F6813" i="116"/>
  <c r="E6813" i="116"/>
  <c r="D6813" i="116"/>
  <c r="C6813" i="116"/>
  <c r="B6813" i="116"/>
  <c r="K6812" i="116"/>
  <c r="J6812" i="116"/>
  <c r="I6812" i="116"/>
  <c r="H6812" i="116"/>
  <c r="G6812" i="116"/>
  <c r="F6812" i="116"/>
  <c r="E6812" i="116"/>
  <c r="D6812" i="116"/>
  <c r="C6812" i="116"/>
  <c r="B6812" i="116"/>
  <c r="K6811" i="116"/>
  <c r="J6811" i="116"/>
  <c r="I6811" i="116"/>
  <c r="H6811" i="116"/>
  <c r="G6811" i="116"/>
  <c r="F6811" i="116"/>
  <c r="E6811" i="116"/>
  <c r="D6811" i="116"/>
  <c r="C6811" i="116"/>
  <c r="B6811" i="116"/>
  <c r="K6810" i="116"/>
  <c r="J6810" i="116"/>
  <c r="I6810" i="116"/>
  <c r="H6810" i="116"/>
  <c r="G6810" i="116"/>
  <c r="F6810" i="116"/>
  <c r="E6810" i="116"/>
  <c r="D6810" i="116"/>
  <c r="C6810" i="116"/>
  <c r="B6810" i="116"/>
  <c r="K6809" i="116"/>
  <c r="J6809" i="116"/>
  <c r="I6809" i="116"/>
  <c r="H6809" i="116"/>
  <c r="G6809" i="116"/>
  <c r="F6809" i="116"/>
  <c r="E6809" i="116"/>
  <c r="D6809" i="116"/>
  <c r="C6809" i="116"/>
  <c r="B6809" i="116"/>
  <c r="K6808" i="116"/>
  <c r="J6808" i="116"/>
  <c r="I6808" i="116"/>
  <c r="H6808" i="116"/>
  <c r="G6808" i="116"/>
  <c r="F6808" i="116"/>
  <c r="E6808" i="116"/>
  <c r="D6808" i="116"/>
  <c r="C6808" i="116"/>
  <c r="B6808" i="116"/>
  <c r="K6807" i="116"/>
  <c r="J6807" i="116"/>
  <c r="I6807" i="116"/>
  <c r="H6807" i="116"/>
  <c r="G6807" i="116"/>
  <c r="F6807" i="116"/>
  <c r="E6807" i="116"/>
  <c r="D6807" i="116"/>
  <c r="C6807" i="116"/>
  <c r="B6807" i="116"/>
  <c r="K6806" i="116"/>
  <c r="J6806" i="116"/>
  <c r="I6806" i="116"/>
  <c r="H6806" i="116"/>
  <c r="G6806" i="116"/>
  <c r="F6806" i="116"/>
  <c r="E6806" i="116"/>
  <c r="D6806" i="116"/>
  <c r="C6806" i="116"/>
  <c r="B6806" i="116"/>
  <c r="K6805" i="116"/>
  <c r="J6805" i="116"/>
  <c r="I6805" i="116"/>
  <c r="H6805" i="116"/>
  <c r="G6805" i="116"/>
  <c r="F6805" i="116"/>
  <c r="E6805" i="116"/>
  <c r="D6805" i="116"/>
  <c r="C6805" i="116"/>
  <c r="B6805" i="116"/>
  <c r="K6804" i="116"/>
  <c r="J6804" i="116"/>
  <c r="I6804" i="116"/>
  <c r="H6804" i="116"/>
  <c r="G6804" i="116"/>
  <c r="F6804" i="116"/>
  <c r="E6804" i="116"/>
  <c r="D6804" i="116"/>
  <c r="C6804" i="116"/>
  <c r="B6804" i="116"/>
  <c r="K6803" i="116"/>
  <c r="J6803" i="116"/>
  <c r="I6803" i="116"/>
  <c r="H6803" i="116"/>
  <c r="G6803" i="116"/>
  <c r="F6803" i="116"/>
  <c r="E6803" i="116"/>
  <c r="D6803" i="116"/>
  <c r="C6803" i="116"/>
  <c r="B6803" i="116"/>
  <c r="K6802" i="116"/>
  <c r="J6802" i="116"/>
  <c r="I6802" i="116"/>
  <c r="H6802" i="116"/>
  <c r="G6802" i="116"/>
  <c r="F6802" i="116"/>
  <c r="E6802" i="116"/>
  <c r="D6802" i="116"/>
  <c r="C6802" i="116"/>
  <c r="B6802" i="116"/>
  <c r="K6801" i="116"/>
  <c r="J6801" i="116"/>
  <c r="I6801" i="116"/>
  <c r="H6801" i="116"/>
  <c r="G6801" i="116"/>
  <c r="F6801" i="116"/>
  <c r="E6801" i="116"/>
  <c r="D6801" i="116"/>
  <c r="C6801" i="116"/>
  <c r="B6801" i="116"/>
  <c r="K6800" i="116"/>
  <c r="J6800" i="116"/>
  <c r="I6800" i="116"/>
  <c r="H6800" i="116"/>
  <c r="G6800" i="116"/>
  <c r="F6800" i="116"/>
  <c r="E6800" i="116"/>
  <c r="D6800" i="116"/>
  <c r="C6800" i="116"/>
  <c r="B6800" i="116"/>
  <c r="K6799" i="116"/>
  <c r="J6799" i="116"/>
  <c r="I6799" i="116"/>
  <c r="H6799" i="116"/>
  <c r="G6799" i="116"/>
  <c r="F6799" i="116"/>
  <c r="E6799" i="116"/>
  <c r="D6799" i="116"/>
  <c r="C6799" i="116"/>
  <c r="B6799" i="116"/>
  <c r="K6798" i="116"/>
  <c r="J6798" i="116"/>
  <c r="I6798" i="116"/>
  <c r="H6798" i="116"/>
  <c r="G6798" i="116"/>
  <c r="F6798" i="116"/>
  <c r="E6798" i="116"/>
  <c r="D6798" i="116"/>
  <c r="C6798" i="116"/>
  <c r="B6798" i="116"/>
  <c r="K6797" i="116"/>
  <c r="J6797" i="116"/>
  <c r="I6797" i="116"/>
  <c r="H6797" i="116"/>
  <c r="G6797" i="116"/>
  <c r="F6797" i="116"/>
  <c r="E6797" i="116"/>
  <c r="D6797" i="116"/>
  <c r="C6797" i="116"/>
  <c r="B6797" i="116"/>
  <c r="K6796" i="116"/>
  <c r="J6796" i="116"/>
  <c r="I6796" i="116"/>
  <c r="H6796" i="116"/>
  <c r="G6796" i="116"/>
  <c r="F6796" i="116"/>
  <c r="E6796" i="116"/>
  <c r="D6796" i="116"/>
  <c r="C6796" i="116"/>
  <c r="B6796" i="116"/>
  <c r="K6795" i="116"/>
  <c r="J6795" i="116"/>
  <c r="I6795" i="116"/>
  <c r="H6795" i="116"/>
  <c r="G6795" i="116"/>
  <c r="F6795" i="116"/>
  <c r="E6795" i="116"/>
  <c r="D6795" i="116"/>
  <c r="C6795" i="116"/>
  <c r="B6795" i="116"/>
  <c r="K6794" i="116"/>
  <c r="J6794" i="116"/>
  <c r="I6794" i="116"/>
  <c r="H6794" i="116"/>
  <c r="G6794" i="116"/>
  <c r="F6794" i="116"/>
  <c r="E6794" i="116"/>
  <c r="D6794" i="116"/>
  <c r="C6794" i="116"/>
  <c r="B6794" i="116"/>
  <c r="K6793" i="116"/>
  <c r="J6793" i="116"/>
  <c r="I6793" i="116"/>
  <c r="H6793" i="116"/>
  <c r="G6793" i="116"/>
  <c r="F6793" i="116"/>
  <c r="E6793" i="116"/>
  <c r="D6793" i="116"/>
  <c r="C6793" i="116"/>
  <c r="B6793" i="116"/>
  <c r="K6792" i="116"/>
  <c r="J6792" i="116"/>
  <c r="I6792" i="116"/>
  <c r="H6792" i="116"/>
  <c r="G6792" i="116"/>
  <c r="F6792" i="116"/>
  <c r="E6792" i="116"/>
  <c r="D6792" i="116"/>
  <c r="C6792" i="116"/>
  <c r="B6792" i="116"/>
  <c r="K6791" i="116"/>
  <c r="J6791" i="116"/>
  <c r="I6791" i="116"/>
  <c r="H6791" i="116"/>
  <c r="G6791" i="116"/>
  <c r="F6791" i="116"/>
  <c r="E6791" i="116"/>
  <c r="D6791" i="116"/>
  <c r="C6791" i="116"/>
  <c r="B6791" i="116"/>
  <c r="K6790" i="116"/>
  <c r="J6790" i="116"/>
  <c r="I6790" i="116"/>
  <c r="H6790" i="116"/>
  <c r="G6790" i="116"/>
  <c r="F6790" i="116"/>
  <c r="E6790" i="116"/>
  <c r="D6790" i="116"/>
  <c r="C6790" i="116"/>
  <c r="B6790" i="116"/>
  <c r="K6789" i="116"/>
  <c r="J6789" i="116"/>
  <c r="I6789" i="116"/>
  <c r="H6789" i="116"/>
  <c r="G6789" i="116"/>
  <c r="F6789" i="116"/>
  <c r="E6789" i="116"/>
  <c r="D6789" i="116"/>
  <c r="C6789" i="116"/>
  <c r="B6789" i="116"/>
  <c r="K6788" i="116"/>
  <c r="J6788" i="116"/>
  <c r="I6788" i="116"/>
  <c r="H6788" i="116"/>
  <c r="G6788" i="116"/>
  <c r="F6788" i="116"/>
  <c r="E6788" i="116"/>
  <c r="D6788" i="116"/>
  <c r="C6788" i="116"/>
  <c r="B6788" i="116"/>
  <c r="K6787" i="116"/>
  <c r="J6787" i="116"/>
  <c r="I6787" i="116"/>
  <c r="H6787" i="116"/>
  <c r="G6787" i="116"/>
  <c r="F6787" i="116"/>
  <c r="E6787" i="116"/>
  <c r="D6787" i="116"/>
  <c r="C6787" i="116"/>
  <c r="B6787" i="116"/>
  <c r="K6786" i="116"/>
  <c r="J6786" i="116"/>
  <c r="I6786" i="116"/>
  <c r="H6786" i="116"/>
  <c r="G6786" i="116"/>
  <c r="F6786" i="116"/>
  <c r="E6786" i="116"/>
  <c r="D6786" i="116"/>
  <c r="C6786" i="116"/>
  <c r="B6786" i="116"/>
  <c r="K6785" i="116"/>
  <c r="J6785" i="116"/>
  <c r="I6785" i="116"/>
  <c r="H6785" i="116"/>
  <c r="G6785" i="116"/>
  <c r="F6785" i="116"/>
  <c r="E6785" i="116"/>
  <c r="D6785" i="116"/>
  <c r="C6785" i="116"/>
  <c r="B6785" i="116"/>
  <c r="K6784" i="116"/>
  <c r="J6784" i="116"/>
  <c r="I6784" i="116"/>
  <c r="H6784" i="116"/>
  <c r="G6784" i="116"/>
  <c r="F6784" i="116"/>
  <c r="E6784" i="116"/>
  <c r="D6784" i="116"/>
  <c r="C6784" i="116"/>
  <c r="B6784" i="116"/>
  <c r="K6783" i="116"/>
  <c r="J6783" i="116"/>
  <c r="I6783" i="116"/>
  <c r="H6783" i="116"/>
  <c r="G6783" i="116"/>
  <c r="F6783" i="116"/>
  <c r="E6783" i="116"/>
  <c r="D6783" i="116"/>
  <c r="C6783" i="116"/>
  <c r="B6783" i="116"/>
  <c r="K6782" i="116"/>
  <c r="J6782" i="116"/>
  <c r="I6782" i="116"/>
  <c r="H6782" i="116"/>
  <c r="G6782" i="116"/>
  <c r="F6782" i="116"/>
  <c r="E6782" i="116"/>
  <c r="D6782" i="116"/>
  <c r="C6782" i="116"/>
  <c r="B6782" i="116"/>
  <c r="K6781" i="116"/>
  <c r="J6781" i="116"/>
  <c r="I6781" i="116"/>
  <c r="H6781" i="116"/>
  <c r="G6781" i="116"/>
  <c r="F6781" i="116"/>
  <c r="E6781" i="116"/>
  <c r="D6781" i="116"/>
  <c r="C6781" i="116"/>
  <c r="B6781" i="116"/>
  <c r="K6780" i="116"/>
  <c r="J6780" i="116"/>
  <c r="I6780" i="116"/>
  <c r="H6780" i="116"/>
  <c r="G6780" i="116"/>
  <c r="F6780" i="116"/>
  <c r="E6780" i="116"/>
  <c r="D6780" i="116"/>
  <c r="C6780" i="116"/>
  <c r="B6780" i="116"/>
  <c r="K6779" i="116"/>
  <c r="J6779" i="116"/>
  <c r="I6779" i="116"/>
  <c r="H6779" i="116"/>
  <c r="G6779" i="116"/>
  <c r="F6779" i="116"/>
  <c r="E6779" i="116"/>
  <c r="D6779" i="116"/>
  <c r="C6779" i="116"/>
  <c r="B6779" i="116"/>
  <c r="K6778" i="116"/>
  <c r="J6778" i="116"/>
  <c r="I6778" i="116"/>
  <c r="H6778" i="116"/>
  <c r="G6778" i="116"/>
  <c r="F6778" i="116"/>
  <c r="E6778" i="116"/>
  <c r="D6778" i="116"/>
  <c r="C6778" i="116"/>
  <c r="B6778" i="116"/>
  <c r="K6777" i="116"/>
  <c r="J6777" i="116"/>
  <c r="I6777" i="116"/>
  <c r="H6777" i="116"/>
  <c r="G6777" i="116"/>
  <c r="F6777" i="116"/>
  <c r="E6777" i="116"/>
  <c r="D6777" i="116"/>
  <c r="C6777" i="116"/>
  <c r="B6777" i="116"/>
  <c r="K6776" i="116"/>
  <c r="J6776" i="116"/>
  <c r="I6776" i="116"/>
  <c r="H6776" i="116"/>
  <c r="G6776" i="116"/>
  <c r="F6776" i="116"/>
  <c r="E6776" i="116"/>
  <c r="D6776" i="116"/>
  <c r="C6776" i="116"/>
  <c r="B6776" i="116"/>
  <c r="K6775" i="116"/>
  <c r="J6775" i="116"/>
  <c r="I6775" i="116"/>
  <c r="H6775" i="116"/>
  <c r="G6775" i="116"/>
  <c r="F6775" i="116"/>
  <c r="E6775" i="116"/>
  <c r="D6775" i="116"/>
  <c r="C6775" i="116"/>
  <c r="B6775" i="116"/>
  <c r="K6774" i="116"/>
  <c r="J6774" i="116"/>
  <c r="I6774" i="116"/>
  <c r="H6774" i="116"/>
  <c r="G6774" i="116"/>
  <c r="F6774" i="116"/>
  <c r="E6774" i="116"/>
  <c r="D6774" i="116"/>
  <c r="C6774" i="116"/>
  <c r="B6774" i="116"/>
  <c r="K6773" i="116"/>
  <c r="J6773" i="116"/>
  <c r="I6773" i="116"/>
  <c r="H6773" i="116"/>
  <c r="G6773" i="116"/>
  <c r="F6773" i="116"/>
  <c r="E6773" i="116"/>
  <c r="D6773" i="116"/>
  <c r="C6773" i="116"/>
  <c r="B6773" i="116"/>
  <c r="K6772" i="116"/>
  <c r="J6772" i="116"/>
  <c r="I6772" i="116"/>
  <c r="H6772" i="116"/>
  <c r="G6772" i="116"/>
  <c r="F6772" i="116"/>
  <c r="E6772" i="116"/>
  <c r="D6772" i="116"/>
  <c r="C6772" i="116"/>
  <c r="B6772" i="116"/>
  <c r="K6771" i="116"/>
  <c r="J6771" i="116"/>
  <c r="I6771" i="116"/>
  <c r="H6771" i="116"/>
  <c r="G6771" i="116"/>
  <c r="F6771" i="116"/>
  <c r="E6771" i="116"/>
  <c r="D6771" i="116"/>
  <c r="C6771" i="116"/>
  <c r="B6771" i="116"/>
  <c r="K6770" i="116"/>
  <c r="J6770" i="116"/>
  <c r="I6770" i="116"/>
  <c r="H6770" i="116"/>
  <c r="G6770" i="116"/>
  <c r="F6770" i="116"/>
  <c r="E6770" i="116"/>
  <c r="D6770" i="116"/>
  <c r="C6770" i="116"/>
  <c r="B6770" i="116"/>
  <c r="K6769" i="116"/>
  <c r="J6769" i="116"/>
  <c r="I6769" i="116"/>
  <c r="H6769" i="116"/>
  <c r="G6769" i="116"/>
  <c r="F6769" i="116"/>
  <c r="E6769" i="116"/>
  <c r="D6769" i="116"/>
  <c r="C6769" i="116"/>
  <c r="B6769" i="116"/>
  <c r="K6768" i="116"/>
  <c r="J6768" i="116"/>
  <c r="I6768" i="116"/>
  <c r="H6768" i="116"/>
  <c r="G6768" i="116"/>
  <c r="F6768" i="116"/>
  <c r="E6768" i="116"/>
  <c r="D6768" i="116"/>
  <c r="C6768" i="116"/>
  <c r="B6768" i="116"/>
  <c r="K6767" i="116"/>
  <c r="J6767" i="116"/>
  <c r="I6767" i="116"/>
  <c r="H6767" i="116"/>
  <c r="G6767" i="116"/>
  <c r="F6767" i="116"/>
  <c r="E6767" i="116"/>
  <c r="D6767" i="116"/>
  <c r="C6767" i="116"/>
  <c r="B6767" i="116"/>
  <c r="K6766" i="116"/>
  <c r="J6766" i="116"/>
  <c r="I6766" i="116"/>
  <c r="H6766" i="116"/>
  <c r="G6766" i="116"/>
  <c r="F6766" i="116"/>
  <c r="E6766" i="116"/>
  <c r="D6766" i="116"/>
  <c r="C6766" i="116"/>
  <c r="B6766" i="116"/>
  <c r="K6765" i="116"/>
  <c r="J6765" i="116"/>
  <c r="I6765" i="116"/>
  <c r="H6765" i="116"/>
  <c r="G6765" i="116"/>
  <c r="F6765" i="116"/>
  <c r="E6765" i="116"/>
  <c r="D6765" i="116"/>
  <c r="C6765" i="116"/>
  <c r="B6765" i="116"/>
  <c r="K6764" i="116"/>
  <c r="J6764" i="116"/>
  <c r="I6764" i="116"/>
  <c r="H6764" i="116"/>
  <c r="G6764" i="116"/>
  <c r="F6764" i="116"/>
  <c r="E6764" i="116"/>
  <c r="D6764" i="116"/>
  <c r="C6764" i="116"/>
  <c r="B6764" i="116"/>
  <c r="K6763" i="116"/>
  <c r="J6763" i="116"/>
  <c r="I6763" i="116"/>
  <c r="H6763" i="116"/>
  <c r="G6763" i="116"/>
  <c r="F6763" i="116"/>
  <c r="E6763" i="116"/>
  <c r="D6763" i="116"/>
  <c r="C6763" i="116"/>
  <c r="B6763" i="116"/>
  <c r="K6762" i="116"/>
  <c r="J6762" i="116"/>
  <c r="I6762" i="116"/>
  <c r="H6762" i="116"/>
  <c r="G6762" i="116"/>
  <c r="F6762" i="116"/>
  <c r="E6762" i="116"/>
  <c r="D6762" i="116"/>
  <c r="C6762" i="116"/>
  <c r="B6762" i="116"/>
  <c r="K6761" i="116"/>
  <c r="J6761" i="116"/>
  <c r="I6761" i="116"/>
  <c r="H6761" i="116"/>
  <c r="G6761" i="116"/>
  <c r="F6761" i="116"/>
  <c r="E6761" i="116"/>
  <c r="D6761" i="116"/>
  <c r="C6761" i="116"/>
  <c r="B6761" i="116"/>
  <c r="K6760" i="116"/>
  <c r="J6760" i="116"/>
  <c r="I6760" i="116"/>
  <c r="H6760" i="116"/>
  <c r="G6760" i="116"/>
  <c r="F6760" i="116"/>
  <c r="E6760" i="116"/>
  <c r="D6760" i="116"/>
  <c r="C6760" i="116"/>
  <c r="B6760" i="116"/>
  <c r="K6759" i="116"/>
  <c r="J6759" i="116"/>
  <c r="I6759" i="116"/>
  <c r="H6759" i="116"/>
  <c r="G6759" i="116"/>
  <c r="F6759" i="116"/>
  <c r="E6759" i="116"/>
  <c r="D6759" i="116"/>
  <c r="C6759" i="116"/>
  <c r="B6759" i="116"/>
  <c r="K6758" i="116"/>
  <c r="J6758" i="116"/>
  <c r="I6758" i="116"/>
  <c r="H6758" i="116"/>
  <c r="G6758" i="116"/>
  <c r="F6758" i="116"/>
  <c r="E6758" i="116"/>
  <c r="D6758" i="116"/>
  <c r="C6758" i="116"/>
  <c r="B6758" i="116"/>
  <c r="K6757" i="116"/>
  <c r="J6757" i="116"/>
  <c r="I6757" i="116"/>
  <c r="H6757" i="116"/>
  <c r="G6757" i="116"/>
  <c r="F6757" i="116"/>
  <c r="E6757" i="116"/>
  <c r="D6757" i="116"/>
  <c r="C6757" i="116"/>
  <c r="B6757" i="116"/>
  <c r="K6756" i="116"/>
  <c r="J6756" i="116"/>
  <c r="I6756" i="116"/>
  <c r="H6756" i="116"/>
  <c r="G6756" i="116"/>
  <c r="F6756" i="116"/>
  <c r="E6756" i="116"/>
  <c r="D6756" i="116"/>
  <c r="C6756" i="116"/>
  <c r="B6756" i="116"/>
  <c r="K6755" i="116"/>
  <c r="J6755" i="116"/>
  <c r="I6755" i="116"/>
  <c r="H6755" i="116"/>
  <c r="G6755" i="116"/>
  <c r="F6755" i="116"/>
  <c r="E6755" i="116"/>
  <c r="D6755" i="116"/>
  <c r="C6755" i="116"/>
  <c r="B6755" i="116"/>
  <c r="K6754" i="116"/>
  <c r="J6754" i="116"/>
  <c r="I6754" i="116"/>
  <c r="H6754" i="116"/>
  <c r="G6754" i="116"/>
  <c r="F6754" i="116"/>
  <c r="E6754" i="116"/>
  <c r="D6754" i="116"/>
  <c r="C6754" i="116"/>
  <c r="B6754" i="116"/>
  <c r="K6753" i="116"/>
  <c r="J6753" i="116"/>
  <c r="I6753" i="116"/>
  <c r="H6753" i="116"/>
  <c r="G6753" i="116"/>
  <c r="F6753" i="116"/>
  <c r="E6753" i="116"/>
  <c r="D6753" i="116"/>
  <c r="C6753" i="116"/>
  <c r="B6753" i="116"/>
  <c r="K6752" i="116"/>
  <c r="J6752" i="116"/>
  <c r="I6752" i="116"/>
  <c r="H6752" i="116"/>
  <c r="G6752" i="116"/>
  <c r="F6752" i="116"/>
  <c r="E6752" i="116"/>
  <c r="D6752" i="116"/>
  <c r="C6752" i="116"/>
  <c r="B6752" i="116"/>
  <c r="K6751" i="116"/>
  <c r="J6751" i="116"/>
  <c r="I6751" i="116"/>
  <c r="H6751" i="116"/>
  <c r="G6751" i="116"/>
  <c r="F6751" i="116"/>
  <c r="E6751" i="116"/>
  <c r="D6751" i="116"/>
  <c r="C6751" i="116"/>
  <c r="B6751" i="116"/>
  <c r="K6750" i="116"/>
  <c r="J6750" i="116"/>
  <c r="I6750" i="116"/>
  <c r="H6750" i="116"/>
  <c r="G6750" i="116"/>
  <c r="F6750" i="116"/>
  <c r="E6750" i="116"/>
  <c r="D6750" i="116"/>
  <c r="C6750" i="116"/>
  <c r="B6750" i="116"/>
  <c r="K6749" i="116"/>
  <c r="J6749" i="116"/>
  <c r="I6749" i="116"/>
  <c r="H6749" i="116"/>
  <c r="G6749" i="116"/>
  <c r="F6749" i="116"/>
  <c r="E6749" i="116"/>
  <c r="D6749" i="116"/>
  <c r="C6749" i="116"/>
  <c r="B6749" i="116"/>
  <c r="K6748" i="116"/>
  <c r="J6748" i="116"/>
  <c r="I6748" i="116"/>
  <c r="H6748" i="116"/>
  <c r="G6748" i="116"/>
  <c r="F6748" i="116"/>
  <c r="E6748" i="116"/>
  <c r="D6748" i="116"/>
  <c r="C6748" i="116"/>
  <c r="B6748" i="116"/>
  <c r="K6747" i="116"/>
  <c r="J6747" i="116"/>
  <c r="I6747" i="116"/>
  <c r="H6747" i="116"/>
  <c r="G6747" i="116"/>
  <c r="F6747" i="116"/>
  <c r="E6747" i="116"/>
  <c r="D6747" i="116"/>
  <c r="C6747" i="116"/>
  <c r="B6747" i="116"/>
  <c r="K6746" i="116"/>
  <c r="J6746" i="116"/>
  <c r="I6746" i="116"/>
  <c r="H6746" i="116"/>
  <c r="G6746" i="116"/>
  <c r="F6746" i="116"/>
  <c r="E6746" i="116"/>
  <c r="D6746" i="116"/>
  <c r="C6746" i="116"/>
  <c r="B6746" i="116"/>
  <c r="K6745" i="116"/>
  <c r="J6745" i="116"/>
  <c r="I6745" i="116"/>
  <c r="H6745" i="116"/>
  <c r="G6745" i="116"/>
  <c r="F6745" i="116"/>
  <c r="E6745" i="116"/>
  <c r="D6745" i="116"/>
  <c r="C6745" i="116"/>
  <c r="B6745" i="116"/>
  <c r="K6744" i="116"/>
  <c r="J6744" i="116"/>
  <c r="I6744" i="116"/>
  <c r="H6744" i="116"/>
  <c r="G6744" i="116"/>
  <c r="F6744" i="116"/>
  <c r="E6744" i="116"/>
  <c r="D6744" i="116"/>
  <c r="C6744" i="116"/>
  <c r="B6744" i="116"/>
  <c r="K6743" i="116"/>
  <c r="J6743" i="116"/>
  <c r="I6743" i="116"/>
  <c r="H6743" i="116"/>
  <c r="G6743" i="116"/>
  <c r="F6743" i="116"/>
  <c r="E6743" i="116"/>
  <c r="D6743" i="116"/>
  <c r="C6743" i="116"/>
  <c r="B6743" i="116"/>
  <c r="K6742" i="116"/>
  <c r="J6742" i="116"/>
  <c r="I6742" i="116"/>
  <c r="H6742" i="116"/>
  <c r="G6742" i="116"/>
  <c r="F6742" i="116"/>
  <c r="E6742" i="116"/>
  <c r="D6742" i="116"/>
  <c r="C6742" i="116"/>
  <c r="B6742" i="116"/>
  <c r="K6741" i="116"/>
  <c r="J6741" i="116"/>
  <c r="I6741" i="116"/>
  <c r="H6741" i="116"/>
  <c r="G6741" i="116"/>
  <c r="F6741" i="116"/>
  <c r="E6741" i="116"/>
  <c r="D6741" i="116"/>
  <c r="C6741" i="116"/>
  <c r="B6741" i="116"/>
  <c r="K6740" i="116"/>
  <c r="J6740" i="116"/>
  <c r="I6740" i="116"/>
  <c r="H6740" i="116"/>
  <c r="G6740" i="116"/>
  <c r="F6740" i="116"/>
  <c r="E6740" i="116"/>
  <c r="D6740" i="116"/>
  <c r="C6740" i="116"/>
  <c r="B6740" i="116"/>
  <c r="K6739" i="116"/>
  <c r="J6739" i="116"/>
  <c r="I6739" i="116"/>
  <c r="H6739" i="116"/>
  <c r="G6739" i="116"/>
  <c r="F6739" i="116"/>
  <c r="E6739" i="116"/>
  <c r="D6739" i="116"/>
  <c r="C6739" i="116"/>
  <c r="B6739" i="116"/>
  <c r="K6738" i="116"/>
  <c r="J6738" i="116"/>
  <c r="I6738" i="116"/>
  <c r="H6738" i="116"/>
  <c r="G6738" i="116"/>
  <c r="F6738" i="116"/>
  <c r="E6738" i="116"/>
  <c r="D6738" i="116"/>
  <c r="C6738" i="116"/>
  <c r="B6738" i="116"/>
  <c r="K6737" i="116"/>
  <c r="J6737" i="116"/>
  <c r="I6737" i="116"/>
  <c r="H6737" i="116"/>
  <c r="G6737" i="116"/>
  <c r="F6737" i="116"/>
  <c r="E6737" i="116"/>
  <c r="D6737" i="116"/>
  <c r="C6737" i="116"/>
  <c r="B6737" i="116"/>
  <c r="K6736" i="116"/>
  <c r="J6736" i="116"/>
  <c r="I6736" i="116"/>
  <c r="H6736" i="116"/>
  <c r="G6736" i="116"/>
  <c r="F6736" i="116"/>
  <c r="E6736" i="116"/>
  <c r="D6736" i="116"/>
  <c r="C6736" i="116"/>
  <c r="B6736" i="116"/>
  <c r="K6735" i="116"/>
  <c r="J6735" i="116"/>
  <c r="I6735" i="116"/>
  <c r="H6735" i="116"/>
  <c r="G6735" i="116"/>
  <c r="F6735" i="116"/>
  <c r="E6735" i="116"/>
  <c r="D6735" i="116"/>
  <c r="C6735" i="116"/>
  <c r="B6735" i="116"/>
  <c r="K6734" i="116"/>
  <c r="J6734" i="116"/>
  <c r="I6734" i="116"/>
  <c r="H6734" i="116"/>
  <c r="G6734" i="116"/>
  <c r="F6734" i="116"/>
  <c r="E6734" i="116"/>
  <c r="D6734" i="116"/>
  <c r="C6734" i="116"/>
  <c r="B6734" i="116"/>
  <c r="K6733" i="116"/>
  <c r="J6733" i="116"/>
  <c r="I6733" i="116"/>
  <c r="H6733" i="116"/>
  <c r="G6733" i="116"/>
  <c r="F6733" i="116"/>
  <c r="E6733" i="116"/>
  <c r="D6733" i="116"/>
  <c r="C6733" i="116"/>
  <c r="B6733" i="116"/>
  <c r="K6732" i="116"/>
  <c r="J6732" i="116"/>
  <c r="I6732" i="116"/>
  <c r="H6732" i="116"/>
  <c r="G6732" i="116"/>
  <c r="F6732" i="116"/>
  <c r="E6732" i="116"/>
  <c r="D6732" i="116"/>
  <c r="C6732" i="116"/>
  <c r="B6732" i="116"/>
  <c r="K6731" i="116"/>
  <c r="J6731" i="116"/>
  <c r="I6731" i="116"/>
  <c r="H6731" i="116"/>
  <c r="G6731" i="116"/>
  <c r="F6731" i="116"/>
  <c r="E6731" i="116"/>
  <c r="D6731" i="116"/>
  <c r="C6731" i="116"/>
  <c r="B6731" i="116"/>
  <c r="K6730" i="116"/>
  <c r="J6730" i="116"/>
  <c r="I6730" i="116"/>
  <c r="H6730" i="116"/>
  <c r="G6730" i="116"/>
  <c r="F6730" i="116"/>
  <c r="E6730" i="116"/>
  <c r="D6730" i="116"/>
  <c r="C6730" i="116"/>
  <c r="B6730" i="116"/>
  <c r="K6729" i="116"/>
  <c r="J6729" i="116"/>
  <c r="I6729" i="116"/>
  <c r="H6729" i="116"/>
  <c r="G6729" i="116"/>
  <c r="F6729" i="116"/>
  <c r="E6729" i="116"/>
  <c r="D6729" i="116"/>
  <c r="C6729" i="116"/>
  <c r="B6729" i="116"/>
  <c r="K6728" i="116"/>
  <c r="J6728" i="116"/>
  <c r="I6728" i="116"/>
  <c r="H6728" i="116"/>
  <c r="G6728" i="116"/>
  <c r="F6728" i="116"/>
  <c r="E6728" i="116"/>
  <c r="D6728" i="116"/>
  <c r="C6728" i="116"/>
  <c r="B6728" i="116"/>
  <c r="K6727" i="116"/>
  <c r="J6727" i="116"/>
  <c r="I6727" i="116"/>
  <c r="H6727" i="116"/>
  <c r="G6727" i="116"/>
  <c r="F6727" i="116"/>
  <c r="E6727" i="116"/>
  <c r="D6727" i="116"/>
  <c r="C6727" i="116"/>
  <c r="B6727" i="116"/>
  <c r="K6726" i="116"/>
  <c r="J6726" i="116"/>
  <c r="I6726" i="116"/>
  <c r="H6726" i="116"/>
  <c r="G6726" i="116"/>
  <c r="F6726" i="116"/>
  <c r="E6726" i="116"/>
  <c r="D6726" i="116"/>
  <c r="C6726" i="116"/>
  <c r="B6726" i="116"/>
  <c r="K6725" i="116"/>
  <c r="J6725" i="116"/>
  <c r="I6725" i="116"/>
  <c r="H6725" i="116"/>
  <c r="G6725" i="116"/>
  <c r="F6725" i="116"/>
  <c r="E6725" i="116"/>
  <c r="D6725" i="116"/>
  <c r="C6725" i="116"/>
  <c r="B6725" i="116"/>
  <c r="K6724" i="116"/>
  <c r="J6724" i="116"/>
  <c r="I6724" i="116"/>
  <c r="H6724" i="116"/>
  <c r="G6724" i="116"/>
  <c r="F6724" i="116"/>
  <c r="E6724" i="116"/>
  <c r="D6724" i="116"/>
  <c r="C6724" i="116"/>
  <c r="B6724" i="116"/>
  <c r="K6723" i="116"/>
  <c r="J6723" i="116"/>
  <c r="I6723" i="116"/>
  <c r="H6723" i="116"/>
  <c r="G6723" i="116"/>
  <c r="F6723" i="116"/>
  <c r="E6723" i="116"/>
  <c r="D6723" i="116"/>
  <c r="C6723" i="116"/>
  <c r="B6723" i="116"/>
  <c r="K6722" i="116"/>
  <c r="J6722" i="116"/>
  <c r="I6722" i="116"/>
  <c r="H6722" i="116"/>
  <c r="G6722" i="116"/>
  <c r="F6722" i="116"/>
  <c r="E6722" i="116"/>
  <c r="D6722" i="116"/>
  <c r="C6722" i="116"/>
  <c r="B6722" i="116"/>
  <c r="K6721" i="116"/>
  <c r="J6721" i="116"/>
  <c r="I6721" i="116"/>
  <c r="H6721" i="116"/>
  <c r="G6721" i="116"/>
  <c r="F6721" i="116"/>
  <c r="E6721" i="116"/>
  <c r="D6721" i="116"/>
  <c r="C6721" i="116"/>
  <c r="B6721" i="116"/>
  <c r="K6720" i="116"/>
  <c r="J6720" i="116"/>
  <c r="I6720" i="116"/>
  <c r="H6720" i="116"/>
  <c r="G6720" i="116"/>
  <c r="F6720" i="116"/>
  <c r="E6720" i="116"/>
  <c r="D6720" i="116"/>
  <c r="C6720" i="116"/>
  <c r="B6720" i="116"/>
  <c r="K6719" i="116"/>
  <c r="J6719" i="116"/>
  <c r="I6719" i="116"/>
  <c r="H6719" i="116"/>
  <c r="G6719" i="116"/>
  <c r="F6719" i="116"/>
  <c r="E6719" i="116"/>
  <c r="D6719" i="116"/>
  <c r="C6719" i="116"/>
  <c r="B6719" i="116"/>
  <c r="K6718" i="116"/>
  <c r="J6718" i="116"/>
  <c r="I6718" i="116"/>
  <c r="H6718" i="116"/>
  <c r="G6718" i="116"/>
  <c r="F6718" i="116"/>
  <c r="E6718" i="116"/>
  <c r="D6718" i="116"/>
  <c r="C6718" i="116"/>
  <c r="B6718" i="116"/>
  <c r="K6717" i="116"/>
  <c r="J6717" i="116"/>
  <c r="I6717" i="116"/>
  <c r="H6717" i="116"/>
  <c r="G6717" i="116"/>
  <c r="F6717" i="116"/>
  <c r="E6717" i="116"/>
  <c r="D6717" i="116"/>
  <c r="C6717" i="116"/>
  <c r="B6717" i="116"/>
  <c r="K6716" i="116"/>
  <c r="J6716" i="116"/>
  <c r="I6716" i="116"/>
  <c r="H6716" i="116"/>
  <c r="G6716" i="116"/>
  <c r="F6716" i="116"/>
  <c r="E6716" i="116"/>
  <c r="D6716" i="116"/>
  <c r="C6716" i="116"/>
  <c r="B6716" i="116"/>
  <c r="K6715" i="116"/>
  <c r="J6715" i="116"/>
  <c r="I6715" i="116"/>
  <c r="H6715" i="116"/>
  <c r="G6715" i="116"/>
  <c r="F6715" i="116"/>
  <c r="E6715" i="116"/>
  <c r="D6715" i="116"/>
  <c r="C6715" i="116"/>
  <c r="B6715" i="116"/>
  <c r="K6714" i="116"/>
  <c r="J6714" i="116"/>
  <c r="I6714" i="116"/>
  <c r="H6714" i="116"/>
  <c r="G6714" i="116"/>
  <c r="F6714" i="116"/>
  <c r="E6714" i="116"/>
  <c r="D6714" i="116"/>
  <c r="C6714" i="116"/>
  <c r="B6714" i="116"/>
  <c r="K6713" i="116"/>
  <c r="J6713" i="116"/>
  <c r="I6713" i="116"/>
  <c r="H6713" i="116"/>
  <c r="G6713" i="116"/>
  <c r="F6713" i="116"/>
  <c r="E6713" i="116"/>
  <c r="D6713" i="116"/>
  <c r="C6713" i="116"/>
  <c r="B6713" i="116"/>
  <c r="K6712" i="116"/>
  <c r="J6712" i="116"/>
  <c r="I6712" i="116"/>
  <c r="H6712" i="116"/>
  <c r="G6712" i="116"/>
  <c r="F6712" i="116"/>
  <c r="E6712" i="116"/>
  <c r="D6712" i="116"/>
  <c r="C6712" i="116"/>
  <c r="B6712" i="116"/>
  <c r="K6711" i="116"/>
  <c r="J6711" i="116"/>
  <c r="I6711" i="116"/>
  <c r="H6711" i="116"/>
  <c r="G6711" i="116"/>
  <c r="F6711" i="116"/>
  <c r="E6711" i="116"/>
  <c r="D6711" i="116"/>
  <c r="C6711" i="116"/>
  <c r="B6711" i="116"/>
  <c r="K6710" i="116"/>
  <c r="J6710" i="116"/>
  <c r="I6710" i="116"/>
  <c r="H6710" i="116"/>
  <c r="G6710" i="116"/>
  <c r="F6710" i="116"/>
  <c r="E6710" i="116"/>
  <c r="D6710" i="116"/>
  <c r="C6710" i="116"/>
  <c r="B6710" i="116"/>
  <c r="K6709" i="116"/>
  <c r="J6709" i="116"/>
  <c r="I6709" i="116"/>
  <c r="H6709" i="116"/>
  <c r="G6709" i="116"/>
  <c r="F6709" i="116"/>
  <c r="E6709" i="116"/>
  <c r="D6709" i="116"/>
  <c r="C6709" i="116"/>
  <c r="B6709" i="116"/>
  <c r="K6708" i="116"/>
  <c r="J6708" i="116"/>
  <c r="I6708" i="116"/>
  <c r="H6708" i="116"/>
  <c r="G6708" i="116"/>
  <c r="F6708" i="116"/>
  <c r="E6708" i="116"/>
  <c r="D6708" i="116"/>
  <c r="C6708" i="116"/>
  <c r="B6708" i="116"/>
  <c r="K6707" i="116"/>
  <c r="J6707" i="116"/>
  <c r="I6707" i="116"/>
  <c r="H6707" i="116"/>
  <c r="G6707" i="116"/>
  <c r="F6707" i="116"/>
  <c r="E6707" i="116"/>
  <c r="D6707" i="116"/>
  <c r="C6707" i="116"/>
  <c r="B6707" i="116"/>
  <c r="K6706" i="116"/>
  <c r="J6706" i="116"/>
  <c r="I6706" i="116"/>
  <c r="H6706" i="116"/>
  <c r="G6706" i="116"/>
  <c r="F6706" i="116"/>
  <c r="E6706" i="116"/>
  <c r="D6706" i="116"/>
  <c r="C6706" i="116"/>
  <c r="B6706" i="116"/>
  <c r="K6705" i="116"/>
  <c r="J6705" i="116"/>
  <c r="I6705" i="116"/>
  <c r="H6705" i="116"/>
  <c r="G6705" i="116"/>
  <c r="F6705" i="116"/>
  <c r="E6705" i="116"/>
  <c r="D6705" i="116"/>
  <c r="C6705" i="116"/>
  <c r="B6705" i="116"/>
  <c r="K6704" i="116"/>
  <c r="J6704" i="116"/>
  <c r="I6704" i="116"/>
  <c r="H6704" i="116"/>
  <c r="G6704" i="116"/>
  <c r="F6704" i="116"/>
  <c r="E6704" i="116"/>
  <c r="D6704" i="116"/>
  <c r="C6704" i="116"/>
  <c r="B6704" i="116"/>
  <c r="K6703" i="116"/>
  <c r="J6703" i="116"/>
  <c r="I6703" i="116"/>
  <c r="H6703" i="116"/>
  <c r="G6703" i="116"/>
  <c r="F6703" i="116"/>
  <c r="E6703" i="116"/>
  <c r="D6703" i="116"/>
  <c r="C6703" i="116"/>
  <c r="B6703" i="116"/>
  <c r="K6702" i="116"/>
  <c r="J6702" i="116"/>
  <c r="I6702" i="116"/>
  <c r="H6702" i="116"/>
  <c r="G6702" i="116"/>
  <c r="F6702" i="116"/>
  <c r="E6702" i="116"/>
  <c r="D6702" i="116"/>
  <c r="C6702" i="116"/>
  <c r="B6702" i="116"/>
  <c r="K6701" i="116"/>
  <c r="J6701" i="116"/>
  <c r="I6701" i="116"/>
  <c r="H6701" i="116"/>
  <c r="G6701" i="116"/>
  <c r="F6701" i="116"/>
  <c r="E6701" i="116"/>
  <c r="D6701" i="116"/>
  <c r="C6701" i="116"/>
  <c r="B6701" i="116"/>
  <c r="K6700" i="116"/>
  <c r="J6700" i="116"/>
  <c r="I6700" i="116"/>
  <c r="H6700" i="116"/>
  <c r="G6700" i="116"/>
  <c r="F6700" i="116"/>
  <c r="E6700" i="116"/>
  <c r="D6700" i="116"/>
  <c r="C6700" i="116"/>
  <c r="B6700" i="116"/>
  <c r="K6699" i="116"/>
  <c r="J6699" i="116"/>
  <c r="I6699" i="116"/>
  <c r="H6699" i="116"/>
  <c r="G6699" i="116"/>
  <c r="F6699" i="116"/>
  <c r="E6699" i="116"/>
  <c r="D6699" i="116"/>
  <c r="C6699" i="116"/>
  <c r="B6699" i="116"/>
  <c r="K6698" i="116"/>
  <c r="J6698" i="116"/>
  <c r="I6698" i="116"/>
  <c r="H6698" i="116"/>
  <c r="G6698" i="116"/>
  <c r="F6698" i="116"/>
  <c r="E6698" i="116"/>
  <c r="D6698" i="116"/>
  <c r="C6698" i="116"/>
  <c r="B6698" i="116"/>
  <c r="K6697" i="116"/>
  <c r="J6697" i="116"/>
  <c r="I6697" i="116"/>
  <c r="H6697" i="116"/>
  <c r="G6697" i="116"/>
  <c r="F6697" i="116"/>
  <c r="E6697" i="116"/>
  <c r="D6697" i="116"/>
  <c r="C6697" i="116"/>
  <c r="B6697" i="116"/>
  <c r="K6696" i="116"/>
  <c r="J6696" i="116"/>
  <c r="I6696" i="116"/>
  <c r="H6696" i="116"/>
  <c r="G6696" i="116"/>
  <c r="F6696" i="116"/>
  <c r="E6696" i="116"/>
  <c r="D6696" i="116"/>
  <c r="C6696" i="116"/>
  <c r="B6696" i="116"/>
  <c r="K6695" i="116"/>
  <c r="J6695" i="116"/>
  <c r="I6695" i="116"/>
  <c r="H6695" i="116"/>
  <c r="G6695" i="116"/>
  <c r="F6695" i="116"/>
  <c r="E6695" i="116"/>
  <c r="D6695" i="116"/>
  <c r="C6695" i="116"/>
  <c r="B6695" i="116"/>
  <c r="K6694" i="116"/>
  <c r="J6694" i="116"/>
  <c r="I6694" i="116"/>
  <c r="H6694" i="116"/>
  <c r="G6694" i="116"/>
  <c r="F6694" i="116"/>
  <c r="E6694" i="116"/>
  <c r="D6694" i="116"/>
  <c r="C6694" i="116"/>
  <c r="B6694" i="116"/>
  <c r="K6693" i="116"/>
  <c r="J6693" i="116"/>
  <c r="I6693" i="116"/>
  <c r="H6693" i="116"/>
  <c r="G6693" i="116"/>
  <c r="F6693" i="116"/>
  <c r="E6693" i="116"/>
  <c r="D6693" i="116"/>
  <c r="C6693" i="116"/>
  <c r="B6693" i="116"/>
  <c r="K6692" i="116"/>
  <c r="J6692" i="116"/>
  <c r="I6692" i="116"/>
  <c r="H6692" i="116"/>
  <c r="G6692" i="116"/>
  <c r="F6692" i="116"/>
  <c r="E6692" i="116"/>
  <c r="D6692" i="116"/>
  <c r="C6692" i="116"/>
  <c r="B6692" i="116"/>
  <c r="K6691" i="116"/>
  <c r="J6691" i="116"/>
  <c r="I6691" i="116"/>
  <c r="H6691" i="116"/>
  <c r="G6691" i="116"/>
  <c r="F6691" i="116"/>
  <c r="E6691" i="116"/>
  <c r="D6691" i="116"/>
  <c r="C6691" i="116"/>
  <c r="B6691" i="116"/>
  <c r="K6690" i="116"/>
  <c r="J6690" i="116"/>
  <c r="I6690" i="116"/>
  <c r="H6690" i="116"/>
  <c r="G6690" i="116"/>
  <c r="F6690" i="116"/>
  <c r="E6690" i="116"/>
  <c r="D6690" i="116"/>
  <c r="C6690" i="116"/>
  <c r="B6690" i="116"/>
  <c r="K6689" i="116"/>
  <c r="J6689" i="116"/>
  <c r="I6689" i="116"/>
  <c r="H6689" i="116"/>
  <c r="G6689" i="116"/>
  <c r="F6689" i="116"/>
  <c r="E6689" i="116"/>
  <c r="D6689" i="116"/>
  <c r="C6689" i="116"/>
  <c r="B6689" i="116"/>
  <c r="K6688" i="116"/>
  <c r="J6688" i="116"/>
  <c r="I6688" i="116"/>
  <c r="H6688" i="116"/>
  <c r="G6688" i="116"/>
  <c r="F6688" i="116"/>
  <c r="E6688" i="116"/>
  <c r="D6688" i="116"/>
  <c r="C6688" i="116"/>
  <c r="B6688" i="116"/>
  <c r="K6687" i="116"/>
  <c r="J6687" i="116"/>
  <c r="I6687" i="116"/>
  <c r="H6687" i="116"/>
  <c r="G6687" i="116"/>
  <c r="F6687" i="116"/>
  <c r="E6687" i="116"/>
  <c r="D6687" i="116"/>
  <c r="C6687" i="116"/>
  <c r="B6687" i="116"/>
  <c r="K6686" i="116"/>
  <c r="J6686" i="116"/>
  <c r="I6686" i="116"/>
  <c r="H6686" i="116"/>
  <c r="G6686" i="116"/>
  <c r="F6686" i="116"/>
  <c r="E6686" i="116"/>
  <c r="D6686" i="116"/>
  <c r="C6686" i="116"/>
  <c r="B6686" i="116"/>
  <c r="K6685" i="116"/>
  <c r="J6685" i="116"/>
  <c r="I6685" i="116"/>
  <c r="H6685" i="116"/>
  <c r="G6685" i="116"/>
  <c r="F6685" i="116"/>
  <c r="E6685" i="116"/>
  <c r="D6685" i="116"/>
  <c r="C6685" i="116"/>
  <c r="B6685" i="116"/>
  <c r="K6684" i="116"/>
  <c r="J6684" i="116"/>
  <c r="I6684" i="116"/>
  <c r="H6684" i="116"/>
  <c r="G6684" i="116"/>
  <c r="F6684" i="116"/>
  <c r="E6684" i="116"/>
  <c r="D6684" i="116"/>
  <c r="C6684" i="116"/>
  <c r="B6684" i="116"/>
  <c r="K6683" i="116"/>
  <c r="J6683" i="116"/>
  <c r="I6683" i="116"/>
  <c r="H6683" i="116"/>
  <c r="G6683" i="116"/>
  <c r="F6683" i="116"/>
  <c r="E6683" i="116"/>
  <c r="D6683" i="116"/>
  <c r="C6683" i="116"/>
  <c r="B6683" i="116"/>
  <c r="K6682" i="116"/>
  <c r="J6682" i="116"/>
  <c r="I6682" i="116"/>
  <c r="H6682" i="116"/>
  <c r="G6682" i="116"/>
  <c r="F6682" i="116"/>
  <c r="E6682" i="116"/>
  <c r="D6682" i="116"/>
  <c r="C6682" i="116"/>
  <c r="B6682" i="116"/>
  <c r="K6681" i="116"/>
  <c r="J6681" i="116"/>
  <c r="I6681" i="116"/>
  <c r="H6681" i="116"/>
  <c r="G6681" i="116"/>
  <c r="F6681" i="116"/>
  <c r="E6681" i="116"/>
  <c r="D6681" i="116"/>
  <c r="C6681" i="116"/>
  <c r="B6681" i="116"/>
  <c r="K6680" i="116"/>
  <c r="J6680" i="116"/>
  <c r="I6680" i="116"/>
  <c r="H6680" i="116"/>
  <c r="G6680" i="116"/>
  <c r="F6680" i="116"/>
  <c r="E6680" i="116"/>
  <c r="D6680" i="116"/>
  <c r="C6680" i="116"/>
  <c r="B6680" i="116"/>
  <c r="K6679" i="116"/>
  <c r="J6679" i="116"/>
  <c r="I6679" i="116"/>
  <c r="H6679" i="116"/>
  <c r="G6679" i="116"/>
  <c r="F6679" i="116"/>
  <c r="E6679" i="116"/>
  <c r="D6679" i="116"/>
  <c r="C6679" i="116"/>
  <c r="B6679" i="116"/>
  <c r="K6678" i="116"/>
  <c r="J6678" i="116"/>
  <c r="I6678" i="116"/>
  <c r="H6678" i="116"/>
  <c r="G6678" i="116"/>
  <c r="F6678" i="116"/>
  <c r="E6678" i="116"/>
  <c r="D6678" i="116"/>
  <c r="C6678" i="116"/>
  <c r="B6678" i="116"/>
  <c r="K6677" i="116"/>
  <c r="J6677" i="116"/>
  <c r="I6677" i="116"/>
  <c r="H6677" i="116"/>
  <c r="G6677" i="116"/>
  <c r="F6677" i="116"/>
  <c r="E6677" i="116"/>
  <c r="D6677" i="116"/>
  <c r="C6677" i="116"/>
  <c r="B6677" i="116"/>
  <c r="K6676" i="116"/>
  <c r="J6676" i="116"/>
  <c r="I6676" i="116"/>
  <c r="H6676" i="116"/>
  <c r="G6676" i="116"/>
  <c r="F6676" i="116"/>
  <c r="E6676" i="116"/>
  <c r="D6676" i="116"/>
  <c r="C6676" i="116"/>
  <c r="B6676" i="116"/>
  <c r="K6675" i="116"/>
  <c r="J6675" i="116"/>
  <c r="I6675" i="116"/>
  <c r="H6675" i="116"/>
  <c r="G6675" i="116"/>
  <c r="F6675" i="116"/>
  <c r="E6675" i="116"/>
  <c r="D6675" i="116"/>
  <c r="C6675" i="116"/>
  <c r="B6675" i="116"/>
  <c r="K6674" i="116"/>
  <c r="J6674" i="116"/>
  <c r="I6674" i="116"/>
  <c r="H6674" i="116"/>
  <c r="G6674" i="116"/>
  <c r="F6674" i="116"/>
  <c r="E6674" i="116"/>
  <c r="D6674" i="116"/>
  <c r="C6674" i="116"/>
  <c r="B6674" i="116"/>
  <c r="K6673" i="116"/>
  <c r="J6673" i="116"/>
  <c r="I6673" i="116"/>
  <c r="H6673" i="116"/>
  <c r="G6673" i="116"/>
  <c r="F6673" i="116"/>
  <c r="E6673" i="116"/>
  <c r="D6673" i="116"/>
  <c r="C6673" i="116"/>
  <c r="B6673" i="116"/>
  <c r="K6672" i="116"/>
  <c r="J6672" i="116"/>
  <c r="I6672" i="116"/>
  <c r="H6672" i="116"/>
  <c r="G6672" i="116"/>
  <c r="F6672" i="116"/>
  <c r="E6672" i="116"/>
  <c r="D6672" i="116"/>
  <c r="C6672" i="116"/>
  <c r="B6672" i="116"/>
  <c r="K6671" i="116"/>
  <c r="J6671" i="116"/>
  <c r="I6671" i="116"/>
  <c r="H6671" i="116"/>
  <c r="G6671" i="116"/>
  <c r="F6671" i="116"/>
  <c r="E6671" i="116"/>
  <c r="D6671" i="116"/>
  <c r="C6671" i="116"/>
  <c r="B6671" i="116"/>
  <c r="K6670" i="116"/>
  <c r="J6670" i="116"/>
  <c r="I6670" i="116"/>
  <c r="H6670" i="116"/>
  <c r="G6670" i="116"/>
  <c r="F6670" i="116"/>
  <c r="E6670" i="116"/>
  <c r="D6670" i="116"/>
  <c r="C6670" i="116"/>
  <c r="B6670" i="116"/>
  <c r="K6669" i="116"/>
  <c r="J6669" i="116"/>
  <c r="I6669" i="116"/>
  <c r="H6669" i="116"/>
  <c r="G6669" i="116"/>
  <c r="F6669" i="116"/>
  <c r="E6669" i="116"/>
  <c r="D6669" i="116"/>
  <c r="C6669" i="116"/>
  <c r="B6669" i="116"/>
  <c r="K6668" i="116"/>
  <c r="J6668" i="116"/>
  <c r="I6668" i="116"/>
  <c r="H6668" i="116"/>
  <c r="G6668" i="116"/>
  <c r="F6668" i="116"/>
  <c r="E6668" i="116"/>
  <c r="D6668" i="116"/>
  <c r="C6668" i="116"/>
  <c r="B6668" i="116"/>
  <c r="K6667" i="116"/>
  <c r="J6667" i="116"/>
  <c r="I6667" i="116"/>
  <c r="H6667" i="116"/>
  <c r="G6667" i="116"/>
  <c r="F6667" i="116"/>
  <c r="E6667" i="116"/>
  <c r="D6667" i="116"/>
  <c r="C6667" i="116"/>
  <c r="B6667" i="116"/>
  <c r="K6666" i="116"/>
  <c r="J6666" i="116"/>
  <c r="I6666" i="116"/>
  <c r="H6666" i="116"/>
  <c r="G6666" i="116"/>
  <c r="F6666" i="116"/>
  <c r="E6666" i="116"/>
  <c r="D6666" i="116"/>
  <c r="C6666" i="116"/>
  <c r="B6666" i="116"/>
  <c r="K6665" i="116"/>
  <c r="J6665" i="116"/>
  <c r="I6665" i="116"/>
  <c r="H6665" i="116"/>
  <c r="G6665" i="116"/>
  <c r="F6665" i="116"/>
  <c r="E6665" i="116"/>
  <c r="D6665" i="116"/>
  <c r="C6665" i="116"/>
  <c r="B6665" i="116"/>
  <c r="K6664" i="116"/>
  <c r="J6664" i="116"/>
  <c r="I6664" i="116"/>
  <c r="H6664" i="116"/>
  <c r="G6664" i="116"/>
  <c r="F6664" i="116"/>
  <c r="E6664" i="116"/>
  <c r="D6664" i="116"/>
  <c r="C6664" i="116"/>
  <c r="B6664" i="116"/>
  <c r="K6663" i="116"/>
  <c r="J6663" i="116"/>
  <c r="I6663" i="116"/>
  <c r="H6663" i="116"/>
  <c r="G6663" i="116"/>
  <c r="F6663" i="116"/>
  <c r="E6663" i="116"/>
  <c r="D6663" i="116"/>
  <c r="C6663" i="116"/>
  <c r="B6663" i="116"/>
  <c r="K6662" i="116"/>
  <c r="J6662" i="116"/>
  <c r="I6662" i="116"/>
  <c r="H6662" i="116"/>
  <c r="G6662" i="116"/>
  <c r="F6662" i="116"/>
  <c r="E6662" i="116"/>
  <c r="D6662" i="116"/>
  <c r="C6662" i="116"/>
  <c r="B6662" i="116"/>
  <c r="K6661" i="116"/>
  <c r="J6661" i="116"/>
  <c r="I6661" i="116"/>
  <c r="H6661" i="116"/>
  <c r="G6661" i="116"/>
  <c r="F6661" i="116"/>
  <c r="E6661" i="116"/>
  <c r="D6661" i="116"/>
  <c r="C6661" i="116"/>
  <c r="B6661" i="116"/>
  <c r="K6660" i="116"/>
  <c r="J6660" i="116"/>
  <c r="I6660" i="116"/>
  <c r="H6660" i="116"/>
  <c r="G6660" i="116"/>
  <c r="F6660" i="116"/>
  <c r="E6660" i="116"/>
  <c r="D6660" i="116"/>
  <c r="C6660" i="116"/>
  <c r="B6660" i="116"/>
  <c r="K6659" i="116"/>
  <c r="J6659" i="116"/>
  <c r="I6659" i="116"/>
  <c r="H6659" i="116"/>
  <c r="G6659" i="116"/>
  <c r="F6659" i="116"/>
  <c r="E6659" i="116"/>
  <c r="D6659" i="116"/>
  <c r="C6659" i="116"/>
  <c r="B6659" i="116"/>
  <c r="K6658" i="116"/>
  <c r="J6658" i="116"/>
  <c r="I6658" i="116"/>
  <c r="H6658" i="116"/>
  <c r="G6658" i="116"/>
  <c r="F6658" i="116"/>
  <c r="E6658" i="116"/>
  <c r="D6658" i="116"/>
  <c r="C6658" i="116"/>
  <c r="B6658" i="116"/>
  <c r="K6657" i="116"/>
  <c r="J6657" i="116"/>
  <c r="I6657" i="116"/>
  <c r="H6657" i="116"/>
  <c r="G6657" i="116"/>
  <c r="F6657" i="116"/>
  <c r="E6657" i="116"/>
  <c r="D6657" i="116"/>
  <c r="C6657" i="116"/>
  <c r="B6657" i="116"/>
  <c r="K6656" i="116"/>
  <c r="J6656" i="116"/>
  <c r="I6656" i="116"/>
  <c r="H6656" i="116"/>
  <c r="G6656" i="116"/>
  <c r="F6656" i="116"/>
  <c r="E6656" i="116"/>
  <c r="D6656" i="116"/>
  <c r="C6656" i="116"/>
  <c r="B6656" i="116"/>
  <c r="K6655" i="116"/>
  <c r="J6655" i="116"/>
  <c r="I6655" i="116"/>
  <c r="H6655" i="116"/>
  <c r="G6655" i="116"/>
  <c r="F6655" i="116"/>
  <c r="E6655" i="116"/>
  <c r="D6655" i="116"/>
  <c r="C6655" i="116"/>
  <c r="B6655" i="116"/>
  <c r="K6654" i="116"/>
  <c r="J6654" i="116"/>
  <c r="I6654" i="116"/>
  <c r="H6654" i="116"/>
  <c r="G6654" i="116"/>
  <c r="F6654" i="116"/>
  <c r="E6654" i="116"/>
  <c r="D6654" i="116"/>
  <c r="C6654" i="116"/>
  <c r="B6654" i="116"/>
  <c r="K6653" i="116"/>
  <c r="J6653" i="116"/>
  <c r="I6653" i="116"/>
  <c r="H6653" i="116"/>
  <c r="G6653" i="116"/>
  <c r="F6653" i="116"/>
  <c r="E6653" i="116"/>
  <c r="D6653" i="116"/>
  <c r="C6653" i="116"/>
  <c r="B6653" i="116"/>
  <c r="K6652" i="116"/>
  <c r="J6652" i="116"/>
  <c r="I6652" i="116"/>
  <c r="H6652" i="116"/>
  <c r="G6652" i="116"/>
  <c r="F6652" i="116"/>
  <c r="E6652" i="116"/>
  <c r="D6652" i="116"/>
  <c r="C6652" i="116"/>
  <c r="B6652" i="116"/>
  <c r="K6651" i="116"/>
  <c r="J6651" i="116"/>
  <c r="I6651" i="116"/>
  <c r="H6651" i="116"/>
  <c r="G6651" i="116"/>
  <c r="F6651" i="116"/>
  <c r="E6651" i="116"/>
  <c r="D6651" i="116"/>
  <c r="C6651" i="116"/>
  <c r="B6651" i="116"/>
  <c r="K6650" i="116"/>
  <c r="J6650" i="116"/>
  <c r="I6650" i="116"/>
  <c r="H6650" i="116"/>
  <c r="G6650" i="116"/>
  <c r="F6650" i="116"/>
  <c r="E6650" i="116"/>
  <c r="D6650" i="116"/>
  <c r="C6650" i="116"/>
  <c r="B6650" i="116"/>
  <c r="K6649" i="116"/>
  <c r="J6649" i="116"/>
  <c r="I6649" i="116"/>
  <c r="H6649" i="116"/>
  <c r="G6649" i="116"/>
  <c r="F6649" i="116"/>
  <c r="E6649" i="116"/>
  <c r="D6649" i="116"/>
  <c r="C6649" i="116"/>
  <c r="B6649" i="116"/>
  <c r="K6648" i="116"/>
  <c r="J6648" i="116"/>
  <c r="I6648" i="116"/>
  <c r="H6648" i="116"/>
  <c r="G6648" i="116"/>
  <c r="F6648" i="116"/>
  <c r="E6648" i="116"/>
  <c r="D6648" i="116"/>
  <c r="C6648" i="116"/>
  <c r="B6648" i="116"/>
  <c r="K6647" i="116"/>
  <c r="J6647" i="116"/>
  <c r="I6647" i="116"/>
  <c r="H6647" i="116"/>
  <c r="G6647" i="116"/>
  <c r="F6647" i="116"/>
  <c r="E6647" i="116"/>
  <c r="D6647" i="116"/>
  <c r="C6647" i="116"/>
  <c r="B6647" i="116"/>
  <c r="K6646" i="116"/>
  <c r="J6646" i="116"/>
  <c r="I6646" i="116"/>
  <c r="H6646" i="116"/>
  <c r="G6646" i="116"/>
  <c r="F6646" i="116"/>
  <c r="E6646" i="116"/>
  <c r="D6646" i="116"/>
  <c r="C6646" i="116"/>
  <c r="B6646" i="116"/>
  <c r="K6645" i="116"/>
  <c r="J6645" i="116"/>
  <c r="I6645" i="116"/>
  <c r="H6645" i="116"/>
  <c r="G6645" i="116"/>
  <c r="F6645" i="116"/>
  <c r="E6645" i="116"/>
  <c r="D6645" i="116"/>
  <c r="C6645" i="116"/>
  <c r="B6645" i="116"/>
  <c r="K6644" i="116"/>
  <c r="J6644" i="116"/>
  <c r="I6644" i="116"/>
  <c r="H6644" i="116"/>
  <c r="G6644" i="116"/>
  <c r="F6644" i="116"/>
  <c r="E6644" i="116"/>
  <c r="D6644" i="116"/>
  <c r="C6644" i="116"/>
  <c r="B6644" i="116"/>
  <c r="K6643" i="116"/>
  <c r="J6643" i="116"/>
  <c r="I6643" i="116"/>
  <c r="H6643" i="116"/>
  <c r="G6643" i="116"/>
  <c r="F6643" i="116"/>
  <c r="E6643" i="116"/>
  <c r="D6643" i="116"/>
  <c r="C6643" i="116"/>
  <c r="B6643" i="116"/>
  <c r="K6642" i="116"/>
  <c r="J6642" i="116"/>
  <c r="I6642" i="116"/>
  <c r="H6642" i="116"/>
  <c r="G6642" i="116"/>
  <c r="F6642" i="116"/>
  <c r="E6642" i="116"/>
  <c r="D6642" i="116"/>
  <c r="C6642" i="116"/>
  <c r="B6642" i="116"/>
  <c r="K6641" i="116"/>
  <c r="J6641" i="116"/>
  <c r="I6641" i="116"/>
  <c r="H6641" i="116"/>
  <c r="G6641" i="116"/>
  <c r="F6641" i="116"/>
  <c r="E6641" i="116"/>
  <c r="D6641" i="116"/>
  <c r="C6641" i="116"/>
  <c r="B6641" i="116"/>
  <c r="K6640" i="116"/>
  <c r="J6640" i="116"/>
  <c r="I6640" i="116"/>
  <c r="H6640" i="116"/>
  <c r="G6640" i="116"/>
  <c r="F6640" i="116"/>
  <c r="E6640" i="116"/>
  <c r="D6640" i="116"/>
  <c r="C6640" i="116"/>
  <c r="B6640" i="116"/>
  <c r="K6639" i="116"/>
  <c r="J6639" i="116"/>
  <c r="I6639" i="116"/>
  <c r="H6639" i="116"/>
  <c r="G6639" i="116"/>
  <c r="F6639" i="116"/>
  <c r="E6639" i="116"/>
  <c r="D6639" i="116"/>
  <c r="C6639" i="116"/>
  <c r="B6639" i="116"/>
  <c r="K6638" i="116"/>
  <c r="J6638" i="116"/>
  <c r="I6638" i="116"/>
  <c r="H6638" i="116"/>
  <c r="G6638" i="116"/>
  <c r="F6638" i="116"/>
  <c r="E6638" i="116"/>
  <c r="D6638" i="116"/>
  <c r="C6638" i="116"/>
  <c r="B6638" i="116"/>
  <c r="K6637" i="116"/>
  <c r="J6637" i="116"/>
  <c r="I6637" i="116"/>
  <c r="H6637" i="116"/>
  <c r="G6637" i="116"/>
  <c r="F6637" i="116"/>
  <c r="E6637" i="116"/>
  <c r="D6637" i="116"/>
  <c r="C6637" i="116"/>
  <c r="B6637" i="116"/>
  <c r="K6636" i="116"/>
  <c r="J6636" i="116"/>
  <c r="I6636" i="116"/>
  <c r="H6636" i="116"/>
  <c r="G6636" i="116"/>
  <c r="F6636" i="116"/>
  <c r="E6636" i="116"/>
  <c r="D6636" i="116"/>
  <c r="C6636" i="116"/>
  <c r="B6636" i="116"/>
  <c r="K6635" i="116"/>
  <c r="J6635" i="116"/>
  <c r="I6635" i="116"/>
  <c r="H6635" i="116"/>
  <c r="G6635" i="116"/>
  <c r="F6635" i="116"/>
  <c r="E6635" i="116"/>
  <c r="D6635" i="116"/>
  <c r="C6635" i="116"/>
  <c r="B6635" i="116"/>
  <c r="K6634" i="116"/>
  <c r="J6634" i="116"/>
  <c r="I6634" i="116"/>
  <c r="H6634" i="116"/>
  <c r="G6634" i="116"/>
  <c r="F6634" i="116"/>
  <c r="E6634" i="116"/>
  <c r="D6634" i="116"/>
  <c r="C6634" i="116"/>
  <c r="B6634" i="116"/>
  <c r="K6633" i="116"/>
  <c r="J6633" i="116"/>
  <c r="I6633" i="116"/>
  <c r="H6633" i="116"/>
  <c r="G6633" i="116"/>
  <c r="F6633" i="116"/>
  <c r="E6633" i="116"/>
  <c r="D6633" i="116"/>
  <c r="C6633" i="116"/>
  <c r="B6633" i="116"/>
  <c r="K6632" i="116"/>
  <c r="J6632" i="116"/>
  <c r="I6632" i="116"/>
  <c r="H6632" i="116"/>
  <c r="G6632" i="116"/>
  <c r="F6632" i="116"/>
  <c r="E6632" i="116"/>
  <c r="D6632" i="116"/>
  <c r="C6632" i="116"/>
  <c r="B6632" i="116"/>
  <c r="K6631" i="116"/>
  <c r="J6631" i="116"/>
  <c r="I6631" i="116"/>
  <c r="H6631" i="116"/>
  <c r="G6631" i="116"/>
  <c r="F6631" i="116"/>
  <c r="E6631" i="116"/>
  <c r="D6631" i="116"/>
  <c r="C6631" i="116"/>
  <c r="B6631" i="116"/>
  <c r="K6630" i="116"/>
  <c r="J6630" i="116"/>
  <c r="I6630" i="116"/>
  <c r="H6630" i="116"/>
  <c r="G6630" i="116"/>
  <c r="F6630" i="116"/>
  <c r="E6630" i="116"/>
  <c r="D6630" i="116"/>
  <c r="C6630" i="116"/>
  <c r="B6630" i="116"/>
  <c r="K6629" i="116"/>
  <c r="J6629" i="116"/>
  <c r="I6629" i="116"/>
  <c r="H6629" i="116"/>
  <c r="G6629" i="116"/>
  <c r="F6629" i="116"/>
  <c r="E6629" i="116"/>
  <c r="D6629" i="116"/>
  <c r="C6629" i="116"/>
  <c r="B6629" i="116"/>
  <c r="K6628" i="116"/>
  <c r="J6628" i="116"/>
  <c r="I6628" i="116"/>
  <c r="H6628" i="116"/>
  <c r="G6628" i="116"/>
  <c r="F6628" i="116"/>
  <c r="E6628" i="116"/>
  <c r="D6628" i="116"/>
  <c r="C6628" i="116"/>
  <c r="B6628" i="116"/>
  <c r="K6627" i="116"/>
  <c r="J6627" i="116"/>
  <c r="I6627" i="116"/>
  <c r="H6627" i="116"/>
  <c r="G6627" i="116"/>
  <c r="F6627" i="116"/>
  <c r="E6627" i="116"/>
  <c r="D6627" i="116"/>
  <c r="C6627" i="116"/>
  <c r="B6627" i="116"/>
  <c r="K6626" i="116"/>
  <c r="J6626" i="116"/>
  <c r="I6626" i="116"/>
  <c r="H6626" i="116"/>
  <c r="G6626" i="116"/>
  <c r="F6626" i="116"/>
  <c r="E6626" i="116"/>
  <c r="D6626" i="116"/>
  <c r="C6626" i="116"/>
  <c r="B6626" i="116"/>
  <c r="K6625" i="116"/>
  <c r="J6625" i="116"/>
  <c r="I6625" i="116"/>
  <c r="H6625" i="116"/>
  <c r="G6625" i="116"/>
  <c r="F6625" i="116"/>
  <c r="E6625" i="116"/>
  <c r="D6625" i="116"/>
  <c r="C6625" i="116"/>
  <c r="B6625" i="116"/>
  <c r="K6624" i="116"/>
  <c r="J6624" i="116"/>
  <c r="I6624" i="116"/>
  <c r="H6624" i="116"/>
  <c r="G6624" i="116"/>
  <c r="F6624" i="116"/>
  <c r="E6624" i="116"/>
  <c r="D6624" i="116"/>
  <c r="C6624" i="116"/>
  <c r="B6624" i="116"/>
  <c r="K6623" i="116"/>
  <c r="J6623" i="116"/>
  <c r="I6623" i="116"/>
  <c r="H6623" i="116"/>
  <c r="G6623" i="116"/>
  <c r="F6623" i="116"/>
  <c r="E6623" i="116"/>
  <c r="D6623" i="116"/>
  <c r="C6623" i="116"/>
  <c r="B6623" i="116"/>
  <c r="K6622" i="116"/>
  <c r="J6622" i="116"/>
  <c r="I6622" i="116"/>
  <c r="H6622" i="116"/>
  <c r="G6622" i="116"/>
  <c r="F6622" i="116"/>
  <c r="E6622" i="116"/>
  <c r="D6622" i="116"/>
  <c r="C6622" i="116"/>
  <c r="B6622" i="116"/>
  <c r="K6621" i="116"/>
  <c r="J6621" i="116"/>
  <c r="I6621" i="116"/>
  <c r="H6621" i="116"/>
  <c r="G6621" i="116"/>
  <c r="F6621" i="116"/>
  <c r="E6621" i="116"/>
  <c r="D6621" i="116"/>
  <c r="C6621" i="116"/>
  <c r="B6621" i="116"/>
  <c r="K6620" i="116"/>
  <c r="J6620" i="116"/>
  <c r="I6620" i="116"/>
  <c r="H6620" i="116"/>
  <c r="G6620" i="116"/>
  <c r="F6620" i="116"/>
  <c r="E6620" i="116"/>
  <c r="D6620" i="116"/>
  <c r="C6620" i="116"/>
  <c r="B6620" i="116"/>
  <c r="K6619" i="116"/>
  <c r="J6619" i="116"/>
  <c r="I6619" i="116"/>
  <c r="H6619" i="116"/>
  <c r="G6619" i="116"/>
  <c r="F6619" i="116"/>
  <c r="E6619" i="116"/>
  <c r="D6619" i="116"/>
  <c r="C6619" i="116"/>
  <c r="B6619" i="116"/>
  <c r="K6618" i="116"/>
  <c r="J6618" i="116"/>
  <c r="I6618" i="116"/>
  <c r="H6618" i="116"/>
  <c r="G6618" i="116"/>
  <c r="F6618" i="116"/>
  <c r="E6618" i="116"/>
  <c r="D6618" i="116"/>
  <c r="C6618" i="116"/>
  <c r="B6618" i="116"/>
  <c r="K6617" i="116"/>
  <c r="J6617" i="116"/>
  <c r="I6617" i="116"/>
  <c r="H6617" i="116"/>
  <c r="G6617" i="116"/>
  <c r="F6617" i="116"/>
  <c r="E6617" i="116"/>
  <c r="D6617" i="116"/>
  <c r="C6617" i="116"/>
  <c r="B6617" i="116"/>
  <c r="K6616" i="116"/>
  <c r="J6616" i="116"/>
  <c r="I6616" i="116"/>
  <c r="H6616" i="116"/>
  <c r="G6616" i="116"/>
  <c r="F6616" i="116"/>
  <c r="E6616" i="116"/>
  <c r="D6616" i="116"/>
  <c r="C6616" i="116"/>
  <c r="B6616" i="116"/>
  <c r="K6615" i="116"/>
  <c r="J6615" i="116"/>
  <c r="I6615" i="116"/>
  <c r="H6615" i="116"/>
  <c r="G6615" i="116"/>
  <c r="F6615" i="116"/>
  <c r="E6615" i="116"/>
  <c r="D6615" i="116"/>
  <c r="C6615" i="116"/>
  <c r="B6615" i="116"/>
  <c r="K6614" i="116"/>
  <c r="J6614" i="116"/>
  <c r="I6614" i="116"/>
  <c r="H6614" i="116"/>
  <c r="G6614" i="116"/>
  <c r="F6614" i="116"/>
  <c r="E6614" i="116"/>
  <c r="D6614" i="116"/>
  <c r="C6614" i="116"/>
  <c r="B6614" i="116"/>
  <c r="K6613" i="116"/>
  <c r="J6613" i="116"/>
  <c r="I6613" i="116"/>
  <c r="H6613" i="116"/>
  <c r="G6613" i="116"/>
  <c r="F6613" i="116"/>
  <c r="E6613" i="116"/>
  <c r="D6613" i="116"/>
  <c r="C6613" i="116"/>
  <c r="B6613" i="116"/>
  <c r="K6612" i="116"/>
  <c r="J6612" i="116"/>
  <c r="I6612" i="116"/>
  <c r="H6612" i="116"/>
  <c r="G6612" i="116"/>
  <c r="F6612" i="116"/>
  <c r="E6612" i="116"/>
  <c r="D6612" i="116"/>
  <c r="C6612" i="116"/>
  <c r="B6612" i="116"/>
  <c r="K6611" i="116"/>
  <c r="J6611" i="116"/>
  <c r="I6611" i="116"/>
  <c r="H6611" i="116"/>
  <c r="G6611" i="116"/>
  <c r="F6611" i="116"/>
  <c r="E6611" i="116"/>
  <c r="D6611" i="116"/>
  <c r="C6611" i="116"/>
  <c r="B6611" i="116"/>
  <c r="K6610" i="116"/>
  <c r="J6610" i="116"/>
  <c r="I6610" i="116"/>
  <c r="H6610" i="116"/>
  <c r="G6610" i="116"/>
  <c r="F6610" i="116"/>
  <c r="E6610" i="116"/>
  <c r="D6610" i="116"/>
  <c r="C6610" i="116"/>
  <c r="B6610" i="116"/>
  <c r="K6609" i="116"/>
  <c r="J6609" i="116"/>
  <c r="I6609" i="116"/>
  <c r="H6609" i="116"/>
  <c r="G6609" i="116"/>
  <c r="F6609" i="116"/>
  <c r="E6609" i="116"/>
  <c r="D6609" i="116"/>
  <c r="C6609" i="116"/>
  <c r="B6609" i="116"/>
  <c r="K6608" i="116"/>
  <c r="J6608" i="116"/>
  <c r="I6608" i="116"/>
  <c r="H6608" i="116"/>
  <c r="G6608" i="116"/>
  <c r="F6608" i="116"/>
  <c r="E6608" i="116"/>
  <c r="D6608" i="116"/>
  <c r="C6608" i="116"/>
  <c r="B6608" i="116"/>
  <c r="K6607" i="116"/>
  <c r="J6607" i="116"/>
  <c r="I6607" i="116"/>
  <c r="H6607" i="116"/>
  <c r="G6607" i="116"/>
  <c r="F6607" i="116"/>
  <c r="E6607" i="116"/>
  <c r="D6607" i="116"/>
  <c r="C6607" i="116"/>
  <c r="B6607" i="116"/>
  <c r="K6606" i="116"/>
  <c r="J6606" i="116"/>
  <c r="I6606" i="116"/>
  <c r="H6606" i="116"/>
  <c r="G6606" i="116"/>
  <c r="F6606" i="116"/>
  <c r="E6606" i="116"/>
  <c r="D6606" i="116"/>
  <c r="C6606" i="116"/>
  <c r="B6606" i="116"/>
  <c r="K6605" i="116"/>
  <c r="J6605" i="116"/>
  <c r="I6605" i="116"/>
  <c r="H6605" i="116"/>
  <c r="G6605" i="116"/>
  <c r="F6605" i="116"/>
  <c r="E6605" i="116"/>
  <c r="D6605" i="116"/>
  <c r="C6605" i="116"/>
  <c r="B6605" i="116"/>
  <c r="K6604" i="116"/>
  <c r="J6604" i="116"/>
  <c r="I6604" i="116"/>
  <c r="H6604" i="116"/>
  <c r="G6604" i="116"/>
  <c r="F6604" i="116"/>
  <c r="E6604" i="116"/>
  <c r="D6604" i="116"/>
  <c r="C6604" i="116"/>
  <c r="B6604" i="116"/>
  <c r="K6603" i="116"/>
  <c r="J6603" i="116"/>
  <c r="I6603" i="116"/>
  <c r="H6603" i="116"/>
  <c r="G6603" i="116"/>
  <c r="F6603" i="116"/>
  <c r="E6603" i="116"/>
  <c r="D6603" i="116"/>
  <c r="C6603" i="116"/>
  <c r="B6603" i="116"/>
  <c r="K6602" i="116"/>
  <c r="J6602" i="116"/>
  <c r="I6602" i="116"/>
  <c r="H6602" i="116"/>
  <c r="G6602" i="116"/>
  <c r="F6602" i="116"/>
  <c r="E6602" i="116"/>
  <c r="D6602" i="116"/>
  <c r="C6602" i="116"/>
  <c r="B6602" i="116"/>
  <c r="K6601" i="116"/>
  <c r="J6601" i="116"/>
  <c r="I6601" i="116"/>
  <c r="H6601" i="116"/>
  <c r="G6601" i="116"/>
  <c r="F6601" i="116"/>
  <c r="E6601" i="116"/>
  <c r="D6601" i="116"/>
  <c r="C6601" i="116"/>
  <c r="B6601" i="116"/>
  <c r="K6600" i="116"/>
  <c r="J6600" i="116"/>
  <c r="I6600" i="116"/>
  <c r="H6600" i="116"/>
  <c r="G6600" i="116"/>
  <c r="F6600" i="116"/>
  <c r="E6600" i="116"/>
  <c r="D6600" i="116"/>
  <c r="C6600" i="116"/>
  <c r="B6600" i="116"/>
  <c r="K6599" i="116"/>
  <c r="J6599" i="116"/>
  <c r="I6599" i="116"/>
  <c r="H6599" i="116"/>
  <c r="G6599" i="116"/>
  <c r="F6599" i="116"/>
  <c r="E6599" i="116"/>
  <c r="D6599" i="116"/>
  <c r="C6599" i="116"/>
  <c r="B6599" i="116"/>
  <c r="K6598" i="116"/>
  <c r="J6598" i="116"/>
  <c r="I6598" i="116"/>
  <c r="H6598" i="116"/>
  <c r="G6598" i="116"/>
  <c r="F6598" i="116"/>
  <c r="E6598" i="116"/>
  <c r="D6598" i="116"/>
  <c r="C6598" i="116"/>
  <c r="B6598" i="116"/>
  <c r="K6597" i="116"/>
  <c r="J6597" i="116"/>
  <c r="I6597" i="116"/>
  <c r="H6597" i="116"/>
  <c r="G6597" i="116"/>
  <c r="F6597" i="116"/>
  <c r="E6597" i="116"/>
  <c r="D6597" i="116"/>
  <c r="C6597" i="116"/>
  <c r="B6597" i="116"/>
  <c r="K6596" i="116"/>
  <c r="J6596" i="116"/>
  <c r="I6596" i="116"/>
  <c r="H6596" i="116"/>
  <c r="G6596" i="116"/>
  <c r="F6596" i="116"/>
  <c r="E6596" i="116"/>
  <c r="D6596" i="116"/>
  <c r="C6596" i="116"/>
  <c r="B6596" i="116"/>
  <c r="K6595" i="116"/>
  <c r="J6595" i="116"/>
  <c r="I6595" i="116"/>
  <c r="H6595" i="116"/>
  <c r="G6595" i="116"/>
  <c r="F6595" i="116"/>
  <c r="E6595" i="116"/>
  <c r="D6595" i="116"/>
  <c r="C6595" i="116"/>
  <c r="B6595" i="116"/>
  <c r="K6594" i="116"/>
  <c r="J6594" i="116"/>
  <c r="I6594" i="116"/>
  <c r="H6594" i="116"/>
  <c r="G6594" i="116"/>
  <c r="F6594" i="116"/>
  <c r="E6594" i="116"/>
  <c r="D6594" i="116"/>
  <c r="C6594" i="116"/>
  <c r="B6594" i="116"/>
  <c r="K6593" i="116"/>
  <c r="J6593" i="116"/>
  <c r="I6593" i="116"/>
  <c r="H6593" i="116"/>
  <c r="G6593" i="116"/>
  <c r="F6593" i="116"/>
  <c r="E6593" i="116"/>
  <c r="D6593" i="116"/>
  <c r="C6593" i="116"/>
  <c r="B6593" i="116"/>
  <c r="K6592" i="116"/>
  <c r="J6592" i="116"/>
  <c r="I6592" i="116"/>
  <c r="H6592" i="116"/>
  <c r="G6592" i="116"/>
  <c r="F6592" i="116"/>
  <c r="E6592" i="116"/>
  <c r="D6592" i="116"/>
  <c r="C6592" i="116"/>
  <c r="B6592" i="116"/>
  <c r="K6591" i="116"/>
  <c r="J6591" i="116"/>
  <c r="I6591" i="116"/>
  <c r="H6591" i="116"/>
  <c r="G6591" i="116"/>
  <c r="F6591" i="116"/>
  <c r="E6591" i="116"/>
  <c r="D6591" i="116"/>
  <c r="C6591" i="116"/>
  <c r="B6591" i="116"/>
  <c r="K6590" i="116"/>
  <c r="J6590" i="116"/>
  <c r="I6590" i="116"/>
  <c r="H6590" i="116"/>
  <c r="G6590" i="116"/>
  <c r="F6590" i="116"/>
  <c r="E6590" i="116"/>
  <c r="D6590" i="116"/>
  <c r="C6590" i="116"/>
  <c r="B6590" i="116"/>
  <c r="K6589" i="116"/>
  <c r="J6589" i="116"/>
  <c r="I6589" i="116"/>
  <c r="H6589" i="116"/>
  <c r="G6589" i="116"/>
  <c r="F6589" i="116"/>
  <c r="E6589" i="116"/>
  <c r="D6589" i="116"/>
  <c r="C6589" i="116"/>
  <c r="B6589" i="116"/>
  <c r="K6588" i="116"/>
  <c r="J6588" i="116"/>
  <c r="I6588" i="116"/>
  <c r="H6588" i="116"/>
  <c r="G6588" i="116"/>
  <c r="F6588" i="116"/>
  <c r="E6588" i="116"/>
  <c r="D6588" i="116"/>
  <c r="C6588" i="116"/>
  <c r="B6588" i="116"/>
  <c r="K6587" i="116"/>
  <c r="J6587" i="116"/>
  <c r="I6587" i="116"/>
  <c r="H6587" i="116"/>
  <c r="G6587" i="116"/>
  <c r="F6587" i="116"/>
  <c r="E6587" i="116"/>
  <c r="D6587" i="116"/>
  <c r="C6587" i="116"/>
  <c r="B6587" i="116"/>
  <c r="K6586" i="116"/>
  <c r="J6586" i="116"/>
  <c r="I6586" i="116"/>
  <c r="H6586" i="116"/>
  <c r="G6586" i="116"/>
  <c r="F6586" i="116"/>
  <c r="E6586" i="116"/>
  <c r="D6586" i="116"/>
  <c r="C6586" i="116"/>
  <c r="B6586" i="116"/>
  <c r="K6585" i="116"/>
  <c r="J6585" i="116"/>
  <c r="I6585" i="116"/>
  <c r="H6585" i="116"/>
  <c r="G6585" i="116"/>
  <c r="F6585" i="116"/>
  <c r="E6585" i="116"/>
  <c r="D6585" i="116"/>
  <c r="C6585" i="116"/>
  <c r="B6585" i="116"/>
  <c r="K6584" i="116"/>
  <c r="J6584" i="116"/>
  <c r="I6584" i="116"/>
  <c r="H6584" i="116"/>
  <c r="G6584" i="116"/>
  <c r="F6584" i="116"/>
  <c r="E6584" i="116"/>
  <c r="D6584" i="116"/>
  <c r="C6584" i="116"/>
  <c r="B6584" i="116"/>
  <c r="K6583" i="116"/>
  <c r="J6583" i="116"/>
  <c r="I6583" i="116"/>
  <c r="H6583" i="116"/>
  <c r="G6583" i="116"/>
  <c r="F6583" i="116"/>
  <c r="E6583" i="116"/>
  <c r="D6583" i="116"/>
  <c r="C6583" i="116"/>
  <c r="B6583" i="116"/>
  <c r="K6582" i="116"/>
  <c r="J6582" i="116"/>
  <c r="I6582" i="116"/>
  <c r="H6582" i="116"/>
  <c r="G6582" i="116"/>
  <c r="F6582" i="116"/>
  <c r="E6582" i="116"/>
  <c r="D6582" i="116"/>
  <c r="C6582" i="116"/>
  <c r="B6582" i="116"/>
  <c r="K6581" i="116"/>
  <c r="J6581" i="116"/>
  <c r="I6581" i="116"/>
  <c r="H6581" i="116"/>
  <c r="G6581" i="116"/>
  <c r="F6581" i="116"/>
  <c r="E6581" i="116"/>
  <c r="D6581" i="116"/>
  <c r="C6581" i="116"/>
  <c r="B6581" i="116"/>
  <c r="K6580" i="116"/>
  <c r="J6580" i="116"/>
  <c r="I6580" i="116"/>
  <c r="H6580" i="116"/>
  <c r="G6580" i="116"/>
  <c r="F6580" i="116"/>
  <c r="E6580" i="116"/>
  <c r="D6580" i="116"/>
  <c r="C6580" i="116"/>
  <c r="B6580" i="116"/>
  <c r="K6579" i="116"/>
  <c r="J6579" i="116"/>
  <c r="I6579" i="116"/>
  <c r="H6579" i="116"/>
  <c r="G6579" i="116"/>
  <c r="F6579" i="116"/>
  <c r="E6579" i="116"/>
  <c r="D6579" i="116"/>
  <c r="C6579" i="116"/>
  <c r="B6579" i="116"/>
  <c r="K6578" i="116"/>
  <c r="J6578" i="116"/>
  <c r="I6578" i="116"/>
  <c r="H6578" i="116"/>
  <c r="G6578" i="116"/>
  <c r="F6578" i="116"/>
  <c r="E6578" i="116"/>
  <c r="D6578" i="116"/>
  <c r="C6578" i="116"/>
  <c r="B6578" i="116"/>
  <c r="K6577" i="116"/>
  <c r="J6577" i="116"/>
  <c r="I6577" i="116"/>
  <c r="H6577" i="116"/>
  <c r="G6577" i="116"/>
  <c r="F6577" i="116"/>
  <c r="E6577" i="116"/>
  <c r="D6577" i="116"/>
  <c r="C6577" i="116"/>
  <c r="B6577" i="116"/>
  <c r="K6576" i="116"/>
  <c r="J6576" i="116"/>
  <c r="I6576" i="116"/>
  <c r="H6576" i="116"/>
  <c r="G6576" i="116"/>
  <c r="F6576" i="116"/>
  <c r="E6576" i="116"/>
  <c r="D6576" i="116"/>
  <c r="C6576" i="116"/>
  <c r="B6576" i="116"/>
  <c r="K6575" i="116"/>
  <c r="J6575" i="116"/>
  <c r="I6575" i="116"/>
  <c r="H6575" i="116"/>
  <c r="G6575" i="116"/>
  <c r="F6575" i="116"/>
  <c r="E6575" i="116"/>
  <c r="D6575" i="116"/>
  <c r="C6575" i="116"/>
  <c r="B6575" i="116"/>
  <c r="K6574" i="116"/>
  <c r="J6574" i="116"/>
  <c r="I6574" i="116"/>
  <c r="H6574" i="116"/>
  <c r="G6574" i="116"/>
  <c r="F6574" i="116"/>
  <c r="E6574" i="116"/>
  <c r="D6574" i="116"/>
  <c r="C6574" i="116"/>
  <c r="B6574" i="116"/>
  <c r="K6573" i="116"/>
  <c r="J6573" i="116"/>
  <c r="I6573" i="116"/>
  <c r="H6573" i="116"/>
  <c r="G6573" i="116"/>
  <c r="F6573" i="116"/>
  <c r="E6573" i="116"/>
  <c r="D6573" i="116"/>
  <c r="C6573" i="116"/>
  <c r="B6573" i="116"/>
  <c r="K6572" i="116"/>
  <c r="J6572" i="116"/>
  <c r="I6572" i="116"/>
  <c r="H6572" i="116"/>
  <c r="G6572" i="116"/>
  <c r="F6572" i="116"/>
  <c r="E6572" i="116"/>
  <c r="D6572" i="116"/>
  <c r="C6572" i="116"/>
  <c r="B6572" i="116"/>
  <c r="K6571" i="116"/>
  <c r="J6571" i="116"/>
  <c r="I6571" i="116"/>
  <c r="H6571" i="116"/>
  <c r="G6571" i="116"/>
  <c r="F6571" i="116"/>
  <c r="E6571" i="116"/>
  <c r="D6571" i="116"/>
  <c r="C6571" i="116"/>
  <c r="B6571" i="116"/>
  <c r="K6570" i="116"/>
  <c r="J6570" i="116"/>
  <c r="I6570" i="116"/>
  <c r="H6570" i="116"/>
  <c r="G6570" i="116"/>
  <c r="F6570" i="116"/>
  <c r="E6570" i="116"/>
  <c r="D6570" i="116"/>
  <c r="C6570" i="116"/>
  <c r="B6570" i="116"/>
  <c r="K6569" i="116"/>
  <c r="J6569" i="116"/>
  <c r="I6569" i="116"/>
  <c r="H6569" i="116"/>
  <c r="G6569" i="116"/>
  <c r="F6569" i="116"/>
  <c r="E6569" i="116"/>
  <c r="D6569" i="116"/>
  <c r="C6569" i="116"/>
  <c r="B6569" i="116"/>
  <c r="K6568" i="116"/>
  <c r="J6568" i="116"/>
  <c r="I6568" i="116"/>
  <c r="H6568" i="116"/>
  <c r="G6568" i="116"/>
  <c r="F6568" i="116"/>
  <c r="E6568" i="116"/>
  <c r="D6568" i="116"/>
  <c r="C6568" i="116"/>
  <c r="B6568" i="116"/>
  <c r="K6567" i="116"/>
  <c r="J6567" i="116"/>
  <c r="I6567" i="116"/>
  <c r="H6567" i="116"/>
  <c r="G6567" i="116"/>
  <c r="F6567" i="116"/>
  <c r="E6567" i="116"/>
  <c r="D6567" i="116"/>
  <c r="C6567" i="116"/>
  <c r="B6567" i="116"/>
  <c r="K6566" i="116"/>
  <c r="J6566" i="116"/>
  <c r="I6566" i="116"/>
  <c r="H6566" i="116"/>
  <c r="G6566" i="116"/>
  <c r="F6566" i="116"/>
  <c r="E6566" i="116"/>
  <c r="D6566" i="116"/>
  <c r="C6566" i="116"/>
  <c r="B6566" i="116"/>
  <c r="K6565" i="116"/>
  <c r="J6565" i="116"/>
  <c r="I6565" i="116"/>
  <c r="H6565" i="116"/>
  <c r="G6565" i="116"/>
  <c r="F6565" i="116"/>
  <c r="E6565" i="116"/>
  <c r="D6565" i="116"/>
  <c r="C6565" i="116"/>
  <c r="B6565" i="116"/>
  <c r="K6564" i="116"/>
  <c r="J6564" i="116"/>
  <c r="I6564" i="116"/>
  <c r="H6564" i="116"/>
  <c r="G6564" i="116"/>
  <c r="F6564" i="116"/>
  <c r="E6564" i="116"/>
  <c r="D6564" i="116"/>
  <c r="C6564" i="116"/>
  <c r="B6564" i="116"/>
  <c r="K6563" i="116"/>
  <c r="J6563" i="116"/>
  <c r="I6563" i="116"/>
  <c r="H6563" i="116"/>
  <c r="G6563" i="116"/>
  <c r="F6563" i="116"/>
  <c r="E6563" i="116"/>
  <c r="D6563" i="116"/>
  <c r="C6563" i="116"/>
  <c r="B6563" i="116"/>
  <c r="K6562" i="116"/>
  <c r="J6562" i="116"/>
  <c r="I6562" i="116"/>
  <c r="H6562" i="116"/>
  <c r="G6562" i="116"/>
  <c r="F6562" i="116"/>
  <c r="E6562" i="116"/>
  <c r="D6562" i="116"/>
  <c r="C6562" i="116"/>
  <c r="B6562" i="116"/>
  <c r="K6561" i="116"/>
  <c r="J6561" i="116"/>
  <c r="I6561" i="116"/>
  <c r="H6561" i="116"/>
  <c r="G6561" i="116"/>
  <c r="F6561" i="116"/>
  <c r="E6561" i="116"/>
  <c r="D6561" i="116"/>
  <c r="C6561" i="116"/>
  <c r="B6561" i="116"/>
  <c r="K6560" i="116"/>
  <c r="J6560" i="116"/>
  <c r="I6560" i="116"/>
  <c r="H6560" i="116"/>
  <c r="G6560" i="116"/>
  <c r="F6560" i="116"/>
  <c r="E6560" i="116"/>
  <c r="D6560" i="116"/>
  <c r="C6560" i="116"/>
  <c r="B6560" i="116"/>
  <c r="K6559" i="116"/>
  <c r="J6559" i="116"/>
  <c r="I6559" i="116"/>
  <c r="H6559" i="116"/>
  <c r="G6559" i="116"/>
  <c r="F6559" i="116"/>
  <c r="E6559" i="116"/>
  <c r="D6559" i="116"/>
  <c r="C6559" i="116"/>
  <c r="B6559" i="116"/>
  <c r="K6558" i="116"/>
  <c r="J6558" i="116"/>
  <c r="I6558" i="116"/>
  <c r="H6558" i="116"/>
  <c r="G6558" i="116"/>
  <c r="F6558" i="116"/>
  <c r="E6558" i="116"/>
  <c r="D6558" i="116"/>
  <c r="C6558" i="116"/>
  <c r="B6558" i="116"/>
  <c r="K6557" i="116"/>
  <c r="J6557" i="116"/>
  <c r="I6557" i="116"/>
  <c r="H6557" i="116"/>
  <c r="G6557" i="116"/>
  <c r="F6557" i="116"/>
  <c r="E6557" i="116"/>
  <c r="D6557" i="116"/>
  <c r="C6557" i="116"/>
  <c r="B6557" i="116"/>
  <c r="K6556" i="116"/>
  <c r="J6556" i="116"/>
  <c r="I6556" i="116"/>
  <c r="H6556" i="116"/>
  <c r="G6556" i="116"/>
  <c r="F6556" i="116"/>
  <c r="E6556" i="116"/>
  <c r="D6556" i="116"/>
  <c r="C6556" i="116"/>
  <c r="B6556" i="116"/>
  <c r="K6555" i="116"/>
  <c r="J6555" i="116"/>
  <c r="I6555" i="116"/>
  <c r="H6555" i="116"/>
  <c r="G6555" i="116"/>
  <c r="F6555" i="116"/>
  <c r="E6555" i="116"/>
  <c r="D6555" i="116"/>
  <c r="C6555" i="116"/>
  <c r="B6555" i="116"/>
  <c r="K6554" i="116"/>
  <c r="J6554" i="116"/>
  <c r="I6554" i="116"/>
  <c r="H6554" i="116"/>
  <c r="G6554" i="116"/>
  <c r="F6554" i="116"/>
  <c r="E6554" i="116"/>
  <c r="D6554" i="116"/>
  <c r="C6554" i="116"/>
  <c r="B6554" i="116"/>
  <c r="K6553" i="116"/>
  <c r="J6553" i="116"/>
  <c r="I6553" i="116"/>
  <c r="H6553" i="116"/>
  <c r="G6553" i="116"/>
  <c r="F6553" i="116"/>
  <c r="E6553" i="116"/>
  <c r="D6553" i="116"/>
  <c r="C6553" i="116"/>
  <c r="B6553" i="116"/>
  <c r="K6552" i="116"/>
  <c r="J6552" i="116"/>
  <c r="I6552" i="116"/>
  <c r="H6552" i="116"/>
  <c r="G6552" i="116"/>
  <c r="F6552" i="116"/>
  <c r="E6552" i="116"/>
  <c r="D6552" i="116"/>
  <c r="C6552" i="116"/>
  <c r="B6552" i="116"/>
  <c r="K6551" i="116"/>
  <c r="J6551" i="116"/>
  <c r="I6551" i="116"/>
  <c r="H6551" i="116"/>
  <c r="G6551" i="116"/>
  <c r="F6551" i="116"/>
  <c r="E6551" i="116"/>
  <c r="D6551" i="116"/>
  <c r="C6551" i="116"/>
  <c r="B6551" i="116"/>
  <c r="K6550" i="116"/>
  <c r="J6550" i="116"/>
  <c r="I6550" i="116"/>
  <c r="H6550" i="116"/>
  <c r="G6550" i="116"/>
  <c r="F6550" i="116"/>
  <c r="E6550" i="116"/>
  <c r="D6550" i="116"/>
  <c r="C6550" i="116"/>
  <c r="B6550" i="116"/>
  <c r="K6549" i="116"/>
  <c r="J6549" i="116"/>
  <c r="I6549" i="116"/>
  <c r="H6549" i="116"/>
  <c r="G6549" i="116"/>
  <c r="F6549" i="116"/>
  <c r="E6549" i="116"/>
  <c r="D6549" i="116"/>
  <c r="C6549" i="116"/>
  <c r="B6549" i="116"/>
  <c r="K6548" i="116"/>
  <c r="J6548" i="116"/>
  <c r="I6548" i="116"/>
  <c r="H6548" i="116"/>
  <c r="G6548" i="116"/>
  <c r="F6548" i="116"/>
  <c r="E6548" i="116"/>
  <c r="D6548" i="116"/>
  <c r="C6548" i="116"/>
  <c r="B6548" i="116"/>
  <c r="K6547" i="116"/>
  <c r="J6547" i="116"/>
  <c r="I6547" i="116"/>
  <c r="H6547" i="116"/>
  <c r="G6547" i="116"/>
  <c r="F6547" i="116"/>
  <c r="E6547" i="116"/>
  <c r="D6547" i="116"/>
  <c r="C6547" i="116"/>
  <c r="B6547" i="116"/>
  <c r="K6546" i="116"/>
  <c r="J6546" i="116"/>
  <c r="I6546" i="116"/>
  <c r="H6546" i="116"/>
  <c r="G6546" i="116"/>
  <c r="F6546" i="116"/>
  <c r="E6546" i="116"/>
  <c r="D6546" i="116"/>
  <c r="C6546" i="116"/>
  <c r="B6546" i="116"/>
  <c r="K6545" i="116"/>
  <c r="J6545" i="116"/>
  <c r="I6545" i="116"/>
  <c r="H6545" i="116"/>
  <c r="G6545" i="116"/>
  <c r="F6545" i="116"/>
  <c r="E6545" i="116"/>
  <c r="D6545" i="116"/>
  <c r="C6545" i="116"/>
  <c r="B6545" i="116"/>
  <c r="K6544" i="116"/>
  <c r="J6544" i="116"/>
  <c r="I6544" i="116"/>
  <c r="H6544" i="116"/>
  <c r="G6544" i="116"/>
  <c r="F6544" i="116"/>
  <c r="E6544" i="116"/>
  <c r="D6544" i="116"/>
  <c r="C6544" i="116"/>
  <c r="B6544" i="116"/>
  <c r="K6543" i="116"/>
  <c r="J6543" i="116"/>
  <c r="I6543" i="116"/>
  <c r="H6543" i="116"/>
  <c r="G6543" i="116"/>
  <c r="F6543" i="116"/>
  <c r="E6543" i="116"/>
  <c r="D6543" i="116"/>
  <c r="C6543" i="116"/>
  <c r="B6543" i="116"/>
  <c r="K6542" i="116"/>
  <c r="J6542" i="116"/>
  <c r="I6542" i="116"/>
  <c r="H6542" i="116"/>
  <c r="G6542" i="116"/>
  <c r="F6542" i="116"/>
  <c r="E6542" i="116"/>
  <c r="D6542" i="116"/>
  <c r="C6542" i="116"/>
  <c r="B6542" i="116"/>
  <c r="K6541" i="116"/>
  <c r="J6541" i="116"/>
  <c r="I6541" i="116"/>
  <c r="H6541" i="116"/>
  <c r="G6541" i="116"/>
  <c r="F6541" i="116"/>
  <c r="E6541" i="116"/>
  <c r="D6541" i="116"/>
  <c r="C6541" i="116"/>
  <c r="B6541" i="116"/>
  <c r="K6540" i="116"/>
  <c r="J6540" i="116"/>
  <c r="I6540" i="116"/>
  <c r="H6540" i="116"/>
  <c r="G6540" i="116"/>
  <c r="F6540" i="116"/>
  <c r="E6540" i="116"/>
  <c r="D6540" i="116"/>
  <c r="C6540" i="116"/>
  <c r="B6540" i="116"/>
  <c r="K6539" i="116"/>
  <c r="J6539" i="116"/>
  <c r="I6539" i="116"/>
  <c r="H6539" i="116"/>
  <c r="G6539" i="116"/>
  <c r="F6539" i="116"/>
  <c r="E6539" i="116"/>
  <c r="D6539" i="116"/>
  <c r="C6539" i="116"/>
  <c r="B6539" i="116"/>
  <c r="K6538" i="116"/>
  <c r="J6538" i="116"/>
  <c r="I6538" i="116"/>
  <c r="H6538" i="116"/>
  <c r="G6538" i="116"/>
  <c r="F6538" i="116"/>
  <c r="E6538" i="116"/>
  <c r="D6538" i="116"/>
  <c r="C6538" i="116"/>
  <c r="B6538" i="116"/>
  <c r="K6537" i="116"/>
  <c r="J6537" i="116"/>
  <c r="I6537" i="116"/>
  <c r="H6537" i="116"/>
  <c r="G6537" i="116"/>
  <c r="F6537" i="116"/>
  <c r="E6537" i="116"/>
  <c r="D6537" i="116"/>
  <c r="C6537" i="116"/>
  <c r="B6537" i="116"/>
  <c r="K6536" i="116"/>
  <c r="J6536" i="116"/>
  <c r="I6536" i="116"/>
  <c r="H6536" i="116"/>
  <c r="G6536" i="116"/>
  <c r="F6536" i="116"/>
  <c r="E6536" i="116"/>
  <c r="D6536" i="116"/>
  <c r="C6536" i="116"/>
  <c r="B6536" i="116"/>
  <c r="K6535" i="116"/>
  <c r="J6535" i="116"/>
  <c r="I6535" i="116"/>
  <c r="H6535" i="116"/>
  <c r="G6535" i="116"/>
  <c r="F6535" i="116"/>
  <c r="E6535" i="116"/>
  <c r="D6535" i="116"/>
  <c r="C6535" i="116"/>
  <c r="B6535" i="116"/>
  <c r="K6534" i="116"/>
  <c r="J6534" i="116"/>
  <c r="I6534" i="116"/>
  <c r="H6534" i="116"/>
  <c r="G6534" i="116"/>
  <c r="F6534" i="116"/>
  <c r="E6534" i="116"/>
  <c r="D6534" i="116"/>
  <c r="C6534" i="116"/>
  <c r="B6534" i="116"/>
  <c r="K6533" i="116"/>
  <c r="J6533" i="116"/>
  <c r="I6533" i="116"/>
  <c r="H6533" i="116"/>
  <c r="G6533" i="116"/>
  <c r="F6533" i="116"/>
  <c r="E6533" i="116"/>
  <c r="D6533" i="116"/>
  <c r="C6533" i="116"/>
  <c r="B6533" i="116"/>
  <c r="K6532" i="116"/>
  <c r="J6532" i="116"/>
  <c r="I6532" i="116"/>
  <c r="H6532" i="116"/>
  <c r="G6532" i="116"/>
  <c r="F6532" i="116"/>
  <c r="E6532" i="116"/>
  <c r="D6532" i="116"/>
  <c r="C6532" i="116"/>
  <c r="B6532" i="116"/>
  <c r="K6531" i="116"/>
  <c r="J6531" i="116"/>
  <c r="I6531" i="116"/>
  <c r="H6531" i="116"/>
  <c r="G6531" i="116"/>
  <c r="F6531" i="116"/>
  <c r="E6531" i="116"/>
  <c r="D6531" i="116"/>
  <c r="C6531" i="116"/>
  <c r="B6531" i="116"/>
  <c r="K6530" i="116"/>
  <c r="J6530" i="116"/>
  <c r="I6530" i="116"/>
  <c r="H6530" i="116"/>
  <c r="G6530" i="116"/>
  <c r="F6530" i="116"/>
  <c r="E6530" i="116"/>
  <c r="D6530" i="116"/>
  <c r="C6530" i="116"/>
  <c r="B6530" i="116"/>
  <c r="K6529" i="116"/>
  <c r="J6529" i="116"/>
  <c r="I6529" i="116"/>
  <c r="H6529" i="116"/>
  <c r="G6529" i="116"/>
  <c r="F6529" i="116"/>
  <c r="E6529" i="116"/>
  <c r="D6529" i="116"/>
  <c r="C6529" i="116"/>
  <c r="B6529" i="116"/>
  <c r="K6528" i="116"/>
  <c r="J6528" i="116"/>
  <c r="I6528" i="116"/>
  <c r="H6528" i="116"/>
  <c r="G6528" i="116"/>
  <c r="F6528" i="116"/>
  <c r="E6528" i="116"/>
  <c r="D6528" i="116"/>
  <c r="C6528" i="116"/>
  <c r="B6528" i="116"/>
  <c r="K6527" i="116"/>
  <c r="J6527" i="116"/>
  <c r="I6527" i="116"/>
  <c r="H6527" i="116"/>
  <c r="G6527" i="116"/>
  <c r="F6527" i="116"/>
  <c r="E6527" i="116"/>
  <c r="D6527" i="116"/>
  <c r="C6527" i="116"/>
  <c r="B6527" i="116"/>
  <c r="K6526" i="116"/>
  <c r="J6526" i="116"/>
  <c r="I6526" i="116"/>
  <c r="H6526" i="116"/>
  <c r="G6526" i="116"/>
  <c r="F6526" i="116"/>
  <c r="E6526" i="116"/>
  <c r="D6526" i="116"/>
  <c r="C6526" i="116"/>
  <c r="B6526" i="116"/>
  <c r="K6525" i="116"/>
  <c r="J6525" i="116"/>
  <c r="I6525" i="116"/>
  <c r="H6525" i="116"/>
  <c r="G6525" i="116"/>
  <c r="F6525" i="116"/>
  <c r="E6525" i="116"/>
  <c r="D6525" i="116"/>
  <c r="C6525" i="116"/>
  <c r="B6525" i="116"/>
  <c r="K6524" i="116"/>
  <c r="J6524" i="116"/>
  <c r="I6524" i="116"/>
  <c r="H6524" i="116"/>
  <c r="G6524" i="116"/>
  <c r="F6524" i="116"/>
  <c r="E6524" i="116"/>
  <c r="D6524" i="116"/>
  <c r="C6524" i="116"/>
  <c r="B6524" i="116"/>
  <c r="K6523" i="116"/>
  <c r="J6523" i="116"/>
  <c r="I6523" i="116"/>
  <c r="H6523" i="116"/>
  <c r="G6523" i="116"/>
  <c r="F6523" i="116"/>
  <c r="E6523" i="116"/>
  <c r="D6523" i="116"/>
  <c r="C6523" i="116"/>
  <c r="B6523" i="116"/>
  <c r="K6522" i="116"/>
  <c r="J6522" i="116"/>
  <c r="I6522" i="116"/>
  <c r="H6522" i="116"/>
  <c r="G6522" i="116"/>
  <c r="F6522" i="116"/>
  <c r="E6522" i="116"/>
  <c r="D6522" i="116"/>
  <c r="C6522" i="116"/>
  <c r="B6522" i="116"/>
  <c r="K6521" i="116"/>
  <c r="J6521" i="116"/>
  <c r="I6521" i="116"/>
  <c r="H6521" i="116"/>
  <c r="G6521" i="116"/>
  <c r="F6521" i="116"/>
  <c r="E6521" i="116"/>
  <c r="D6521" i="116"/>
  <c r="C6521" i="116"/>
  <c r="B6521" i="116"/>
  <c r="K6520" i="116"/>
  <c r="J6520" i="116"/>
  <c r="I6520" i="116"/>
  <c r="H6520" i="116"/>
  <c r="G6520" i="116"/>
  <c r="F6520" i="116"/>
  <c r="E6520" i="116"/>
  <c r="D6520" i="116"/>
  <c r="C6520" i="116"/>
  <c r="B6520" i="116"/>
  <c r="K6519" i="116"/>
  <c r="J6519" i="116"/>
  <c r="I6519" i="116"/>
  <c r="H6519" i="116"/>
  <c r="G6519" i="116"/>
  <c r="F6519" i="116"/>
  <c r="E6519" i="116"/>
  <c r="D6519" i="116"/>
  <c r="C6519" i="116"/>
  <c r="B6519" i="116"/>
  <c r="K6518" i="116"/>
  <c r="J6518" i="116"/>
  <c r="I6518" i="116"/>
  <c r="H6518" i="116"/>
  <c r="G6518" i="116"/>
  <c r="F6518" i="116"/>
  <c r="E6518" i="116"/>
  <c r="D6518" i="116"/>
  <c r="C6518" i="116"/>
  <c r="B6518" i="116"/>
  <c r="K6517" i="116"/>
  <c r="J6517" i="116"/>
  <c r="I6517" i="116"/>
  <c r="H6517" i="116"/>
  <c r="G6517" i="116"/>
  <c r="F6517" i="116"/>
  <c r="E6517" i="116"/>
  <c r="D6517" i="116"/>
  <c r="C6517" i="116"/>
  <c r="B6517" i="116"/>
  <c r="K6516" i="116"/>
  <c r="J6516" i="116"/>
  <c r="I6516" i="116"/>
  <c r="H6516" i="116"/>
  <c r="G6516" i="116"/>
  <c r="F6516" i="116"/>
  <c r="E6516" i="116"/>
  <c r="D6516" i="116"/>
  <c r="C6516" i="116"/>
  <c r="B6516" i="116"/>
  <c r="K6515" i="116"/>
  <c r="J6515" i="116"/>
  <c r="I6515" i="116"/>
  <c r="H6515" i="116"/>
  <c r="G6515" i="116"/>
  <c r="F6515" i="116"/>
  <c r="E6515" i="116"/>
  <c r="D6515" i="116"/>
  <c r="C6515" i="116"/>
  <c r="B6515" i="116"/>
  <c r="K6514" i="116"/>
  <c r="J6514" i="116"/>
  <c r="I6514" i="116"/>
  <c r="H6514" i="116"/>
  <c r="G6514" i="116"/>
  <c r="F6514" i="116"/>
  <c r="E6514" i="116"/>
  <c r="D6514" i="116"/>
  <c r="C6514" i="116"/>
  <c r="B6514" i="116"/>
  <c r="K6513" i="116"/>
  <c r="J6513" i="116"/>
  <c r="I6513" i="116"/>
  <c r="H6513" i="116"/>
  <c r="G6513" i="116"/>
  <c r="F6513" i="116"/>
  <c r="E6513" i="116"/>
  <c r="D6513" i="116"/>
  <c r="C6513" i="116"/>
  <c r="B6513" i="116"/>
  <c r="K6512" i="116"/>
  <c r="J6512" i="116"/>
  <c r="I6512" i="116"/>
  <c r="H6512" i="116"/>
  <c r="G6512" i="116"/>
  <c r="F6512" i="116"/>
  <c r="E6512" i="116"/>
  <c r="D6512" i="116"/>
  <c r="C6512" i="116"/>
  <c r="B6512" i="116"/>
  <c r="K6511" i="116"/>
  <c r="J6511" i="116"/>
  <c r="I6511" i="116"/>
  <c r="H6511" i="116"/>
  <c r="G6511" i="116"/>
  <c r="F6511" i="116"/>
  <c r="E6511" i="116"/>
  <c r="D6511" i="116"/>
  <c r="C6511" i="116"/>
  <c r="B6511" i="116"/>
  <c r="K6510" i="116"/>
  <c r="J6510" i="116"/>
  <c r="I6510" i="116"/>
  <c r="H6510" i="116"/>
  <c r="G6510" i="116"/>
  <c r="F6510" i="116"/>
  <c r="E6510" i="116"/>
  <c r="D6510" i="116"/>
  <c r="C6510" i="116"/>
  <c r="B6510" i="116"/>
  <c r="K6509" i="116"/>
  <c r="J6509" i="116"/>
  <c r="I6509" i="116"/>
  <c r="H6509" i="116"/>
  <c r="G6509" i="116"/>
  <c r="F6509" i="116"/>
  <c r="E6509" i="116"/>
  <c r="D6509" i="116"/>
  <c r="C6509" i="116"/>
  <c r="B6509" i="116"/>
  <c r="K6508" i="116"/>
  <c r="J6508" i="116"/>
  <c r="I6508" i="116"/>
  <c r="H6508" i="116"/>
  <c r="G6508" i="116"/>
  <c r="F6508" i="116"/>
  <c r="E6508" i="116"/>
  <c r="D6508" i="116"/>
  <c r="C6508" i="116"/>
  <c r="B6508" i="116"/>
  <c r="K6507" i="116"/>
  <c r="J6507" i="116"/>
  <c r="I6507" i="116"/>
  <c r="H6507" i="116"/>
  <c r="G6507" i="116"/>
  <c r="F6507" i="116"/>
  <c r="E6507" i="116"/>
  <c r="D6507" i="116"/>
  <c r="C6507" i="116"/>
  <c r="B6507" i="116"/>
  <c r="K6506" i="116"/>
  <c r="J6506" i="116"/>
  <c r="I6506" i="116"/>
  <c r="H6506" i="116"/>
  <c r="G6506" i="116"/>
  <c r="F6506" i="116"/>
  <c r="E6506" i="116"/>
  <c r="D6506" i="116"/>
  <c r="C6506" i="116"/>
  <c r="B6506" i="116"/>
  <c r="K6505" i="116"/>
  <c r="J6505" i="116"/>
  <c r="I6505" i="116"/>
  <c r="H6505" i="116"/>
  <c r="G6505" i="116"/>
  <c r="F6505" i="116"/>
  <c r="E6505" i="116"/>
  <c r="D6505" i="116"/>
  <c r="C6505" i="116"/>
  <c r="B6505" i="116"/>
  <c r="K6504" i="116"/>
  <c r="J6504" i="116"/>
  <c r="I6504" i="116"/>
  <c r="H6504" i="116"/>
  <c r="G6504" i="116"/>
  <c r="F6504" i="116"/>
  <c r="E6504" i="116"/>
  <c r="D6504" i="116"/>
  <c r="C6504" i="116"/>
  <c r="B6504" i="116"/>
  <c r="K6503" i="116"/>
  <c r="J6503" i="116"/>
  <c r="I6503" i="116"/>
  <c r="H6503" i="116"/>
  <c r="G6503" i="116"/>
  <c r="F6503" i="116"/>
  <c r="E6503" i="116"/>
  <c r="D6503" i="116"/>
  <c r="C6503" i="116"/>
  <c r="B6503" i="116"/>
  <c r="K6502" i="116"/>
  <c r="J6502" i="116"/>
  <c r="I6502" i="116"/>
  <c r="H6502" i="116"/>
  <c r="G6502" i="116"/>
  <c r="F6502" i="116"/>
  <c r="E6502" i="116"/>
  <c r="D6502" i="116"/>
  <c r="C6502" i="116"/>
  <c r="B6502" i="116"/>
  <c r="K6501" i="116"/>
  <c r="J6501" i="116"/>
  <c r="I6501" i="116"/>
  <c r="H6501" i="116"/>
  <c r="G6501" i="116"/>
  <c r="F6501" i="116"/>
  <c r="E6501" i="116"/>
  <c r="D6501" i="116"/>
  <c r="C6501" i="116"/>
  <c r="B6501" i="116"/>
  <c r="K6500" i="116"/>
  <c r="J6500" i="116"/>
  <c r="I6500" i="116"/>
  <c r="H6500" i="116"/>
  <c r="G6500" i="116"/>
  <c r="F6500" i="116"/>
  <c r="E6500" i="116"/>
  <c r="D6500" i="116"/>
  <c r="C6500" i="116"/>
  <c r="B6500" i="116"/>
  <c r="K6499" i="116"/>
  <c r="J6499" i="116"/>
  <c r="I6499" i="116"/>
  <c r="H6499" i="116"/>
  <c r="G6499" i="116"/>
  <c r="F6499" i="116"/>
  <c r="E6499" i="116"/>
  <c r="D6499" i="116"/>
  <c r="C6499" i="116"/>
  <c r="B6499" i="116"/>
  <c r="K6498" i="116"/>
  <c r="J6498" i="116"/>
  <c r="I6498" i="116"/>
  <c r="H6498" i="116"/>
  <c r="G6498" i="116"/>
  <c r="F6498" i="116"/>
  <c r="E6498" i="116"/>
  <c r="D6498" i="116"/>
  <c r="C6498" i="116"/>
  <c r="B6498" i="116"/>
  <c r="K6497" i="116"/>
  <c r="J6497" i="116"/>
  <c r="I6497" i="116"/>
  <c r="H6497" i="116"/>
  <c r="G6497" i="116"/>
  <c r="F6497" i="116"/>
  <c r="E6497" i="116"/>
  <c r="D6497" i="116"/>
  <c r="C6497" i="116"/>
  <c r="B6497" i="116"/>
  <c r="K6496" i="116"/>
  <c r="J6496" i="116"/>
  <c r="I6496" i="116"/>
  <c r="H6496" i="116"/>
  <c r="G6496" i="116"/>
  <c r="F6496" i="116"/>
  <c r="E6496" i="116"/>
  <c r="D6496" i="116"/>
  <c r="C6496" i="116"/>
  <c r="B6496" i="116"/>
  <c r="K6495" i="116"/>
  <c r="J6495" i="116"/>
  <c r="I6495" i="116"/>
  <c r="H6495" i="116"/>
  <c r="G6495" i="116"/>
  <c r="F6495" i="116"/>
  <c r="E6495" i="116"/>
  <c r="D6495" i="116"/>
  <c r="C6495" i="116"/>
  <c r="B6495" i="116"/>
  <c r="K6494" i="116"/>
  <c r="J6494" i="116"/>
  <c r="I6494" i="116"/>
  <c r="H6494" i="116"/>
  <c r="G6494" i="116"/>
  <c r="F6494" i="116"/>
  <c r="E6494" i="116"/>
  <c r="D6494" i="116"/>
  <c r="C6494" i="116"/>
  <c r="B6494" i="116"/>
  <c r="K6493" i="116"/>
  <c r="J6493" i="116"/>
  <c r="I6493" i="116"/>
  <c r="H6493" i="116"/>
  <c r="G6493" i="116"/>
  <c r="F6493" i="116"/>
  <c r="E6493" i="116"/>
  <c r="D6493" i="116"/>
  <c r="C6493" i="116"/>
  <c r="B6493" i="116"/>
  <c r="K6492" i="116"/>
  <c r="J6492" i="116"/>
  <c r="I6492" i="116"/>
  <c r="H6492" i="116"/>
  <c r="G6492" i="116"/>
  <c r="F6492" i="116"/>
  <c r="E6492" i="116"/>
  <c r="D6492" i="116"/>
  <c r="C6492" i="116"/>
  <c r="B6492" i="116"/>
  <c r="K6491" i="116"/>
  <c r="J6491" i="116"/>
  <c r="I6491" i="116"/>
  <c r="H6491" i="116"/>
  <c r="G6491" i="116"/>
  <c r="F6491" i="116"/>
  <c r="E6491" i="116"/>
  <c r="D6491" i="116"/>
  <c r="C6491" i="116"/>
  <c r="B6491" i="116"/>
  <c r="K6490" i="116"/>
  <c r="J6490" i="116"/>
  <c r="I6490" i="116"/>
  <c r="H6490" i="116"/>
  <c r="G6490" i="116"/>
  <c r="F6490" i="116"/>
  <c r="E6490" i="116"/>
  <c r="D6490" i="116"/>
  <c r="C6490" i="116"/>
  <c r="B6490" i="116"/>
  <c r="K6489" i="116"/>
  <c r="J6489" i="116"/>
  <c r="I6489" i="116"/>
  <c r="H6489" i="116"/>
  <c r="G6489" i="116"/>
  <c r="F6489" i="116"/>
  <c r="E6489" i="116"/>
  <c r="D6489" i="116"/>
  <c r="C6489" i="116"/>
  <c r="B6489" i="116"/>
  <c r="K6488" i="116"/>
  <c r="J6488" i="116"/>
  <c r="I6488" i="116"/>
  <c r="H6488" i="116"/>
  <c r="G6488" i="116"/>
  <c r="F6488" i="116"/>
  <c r="E6488" i="116"/>
  <c r="D6488" i="116"/>
  <c r="C6488" i="116"/>
  <c r="B6488" i="116"/>
  <c r="K6487" i="116"/>
  <c r="J6487" i="116"/>
  <c r="I6487" i="116"/>
  <c r="H6487" i="116"/>
  <c r="G6487" i="116"/>
  <c r="F6487" i="116"/>
  <c r="E6487" i="116"/>
  <c r="D6487" i="116"/>
  <c r="C6487" i="116"/>
  <c r="B6487" i="116"/>
  <c r="K6486" i="116"/>
  <c r="J6486" i="116"/>
  <c r="I6486" i="116"/>
  <c r="H6486" i="116"/>
  <c r="G6486" i="116"/>
  <c r="F6486" i="116"/>
  <c r="E6486" i="116"/>
  <c r="D6486" i="116"/>
  <c r="C6486" i="116"/>
  <c r="B6486" i="116"/>
  <c r="K6485" i="116"/>
  <c r="J6485" i="116"/>
  <c r="I6485" i="116"/>
  <c r="H6485" i="116"/>
  <c r="G6485" i="116"/>
  <c r="F6485" i="116"/>
  <c r="E6485" i="116"/>
  <c r="D6485" i="116"/>
  <c r="C6485" i="116"/>
  <c r="B6485" i="116"/>
  <c r="K6484" i="116"/>
  <c r="J6484" i="116"/>
  <c r="I6484" i="116"/>
  <c r="H6484" i="116"/>
  <c r="G6484" i="116"/>
  <c r="F6484" i="116"/>
  <c r="E6484" i="116"/>
  <c r="D6484" i="116"/>
  <c r="C6484" i="116"/>
  <c r="B6484" i="116"/>
  <c r="K6483" i="116"/>
  <c r="J6483" i="116"/>
  <c r="I6483" i="116"/>
  <c r="H6483" i="116"/>
  <c r="G6483" i="116"/>
  <c r="F6483" i="116"/>
  <c r="E6483" i="116"/>
  <c r="D6483" i="116"/>
  <c r="C6483" i="116"/>
  <c r="B6483" i="116"/>
  <c r="K6482" i="116"/>
  <c r="J6482" i="116"/>
  <c r="I6482" i="116"/>
  <c r="H6482" i="116"/>
  <c r="G6482" i="116"/>
  <c r="F6482" i="116"/>
  <c r="E6482" i="116"/>
  <c r="D6482" i="116"/>
  <c r="C6482" i="116"/>
  <c r="B6482" i="116"/>
  <c r="K6481" i="116"/>
  <c r="J6481" i="116"/>
  <c r="I6481" i="116"/>
  <c r="H6481" i="116"/>
  <c r="G6481" i="116"/>
  <c r="F6481" i="116"/>
  <c r="E6481" i="116"/>
  <c r="D6481" i="116"/>
  <c r="C6481" i="116"/>
  <c r="B6481" i="116"/>
  <c r="K6480" i="116"/>
  <c r="J6480" i="116"/>
  <c r="I6480" i="116"/>
  <c r="H6480" i="116"/>
  <c r="G6480" i="116"/>
  <c r="F6480" i="116"/>
  <c r="E6480" i="116"/>
  <c r="D6480" i="116"/>
  <c r="C6480" i="116"/>
  <c r="B6480" i="116"/>
  <c r="K6479" i="116"/>
  <c r="J6479" i="116"/>
  <c r="I6479" i="116"/>
  <c r="H6479" i="116"/>
  <c r="G6479" i="116"/>
  <c r="F6479" i="116"/>
  <c r="E6479" i="116"/>
  <c r="D6479" i="116"/>
  <c r="C6479" i="116"/>
  <c r="B6479" i="116"/>
  <c r="K6478" i="116"/>
  <c r="J6478" i="116"/>
  <c r="I6478" i="116"/>
  <c r="H6478" i="116"/>
  <c r="G6478" i="116"/>
  <c r="F6478" i="116"/>
  <c r="E6478" i="116"/>
  <c r="D6478" i="116"/>
  <c r="C6478" i="116"/>
  <c r="B6478" i="116"/>
  <c r="K6477" i="116"/>
  <c r="J6477" i="116"/>
  <c r="I6477" i="116"/>
  <c r="H6477" i="116"/>
  <c r="G6477" i="116"/>
  <c r="F6477" i="116"/>
  <c r="E6477" i="116"/>
  <c r="D6477" i="116"/>
  <c r="C6477" i="116"/>
  <c r="B6477" i="116"/>
  <c r="K6476" i="116"/>
  <c r="J6476" i="116"/>
  <c r="I6476" i="116"/>
  <c r="H6476" i="116"/>
  <c r="G6476" i="116"/>
  <c r="F6476" i="116"/>
  <c r="E6476" i="116"/>
  <c r="D6476" i="116"/>
  <c r="C6476" i="116"/>
  <c r="B6476" i="116"/>
  <c r="K6475" i="116"/>
  <c r="J6475" i="116"/>
  <c r="I6475" i="116"/>
  <c r="H6475" i="116"/>
  <c r="G6475" i="116"/>
  <c r="F6475" i="116"/>
  <c r="E6475" i="116"/>
  <c r="D6475" i="116"/>
  <c r="C6475" i="116"/>
  <c r="B6475" i="116"/>
  <c r="K6474" i="116"/>
  <c r="J6474" i="116"/>
  <c r="I6474" i="116"/>
  <c r="H6474" i="116"/>
  <c r="G6474" i="116"/>
  <c r="F6474" i="116"/>
  <c r="E6474" i="116"/>
  <c r="D6474" i="116"/>
  <c r="C6474" i="116"/>
  <c r="B6474" i="116"/>
  <c r="K6473" i="116"/>
  <c r="J6473" i="116"/>
  <c r="I6473" i="116"/>
  <c r="H6473" i="116"/>
  <c r="G6473" i="116"/>
  <c r="F6473" i="116"/>
  <c r="E6473" i="116"/>
  <c r="D6473" i="116"/>
  <c r="C6473" i="116"/>
  <c r="B6473" i="116"/>
  <c r="K6472" i="116"/>
  <c r="J6472" i="116"/>
  <c r="I6472" i="116"/>
  <c r="H6472" i="116"/>
  <c r="G6472" i="116"/>
  <c r="F6472" i="116"/>
  <c r="E6472" i="116"/>
  <c r="D6472" i="116"/>
  <c r="C6472" i="116"/>
  <c r="B6472" i="116"/>
  <c r="K6471" i="116"/>
  <c r="J6471" i="116"/>
  <c r="I6471" i="116"/>
  <c r="H6471" i="116"/>
  <c r="G6471" i="116"/>
  <c r="F6471" i="116"/>
  <c r="E6471" i="116"/>
  <c r="D6471" i="116"/>
  <c r="C6471" i="116"/>
  <c r="B6471" i="116"/>
  <c r="K6470" i="116"/>
  <c r="J6470" i="116"/>
  <c r="I6470" i="116"/>
  <c r="H6470" i="116"/>
  <c r="G6470" i="116"/>
  <c r="F6470" i="116"/>
  <c r="E6470" i="116"/>
  <c r="D6470" i="116"/>
  <c r="C6470" i="116"/>
  <c r="B6470" i="116"/>
  <c r="K6469" i="116"/>
  <c r="J6469" i="116"/>
  <c r="I6469" i="116"/>
  <c r="H6469" i="116"/>
  <c r="G6469" i="116"/>
  <c r="F6469" i="116"/>
  <c r="E6469" i="116"/>
  <c r="D6469" i="116"/>
  <c r="C6469" i="116"/>
  <c r="B6469" i="116"/>
  <c r="K6468" i="116"/>
  <c r="J6468" i="116"/>
  <c r="I6468" i="116"/>
  <c r="H6468" i="116"/>
  <c r="G6468" i="116"/>
  <c r="F6468" i="116"/>
  <c r="E6468" i="116"/>
  <c r="D6468" i="116"/>
  <c r="C6468" i="116"/>
  <c r="B6468" i="116"/>
  <c r="K6467" i="116"/>
  <c r="J6467" i="116"/>
  <c r="I6467" i="116"/>
  <c r="H6467" i="116"/>
  <c r="G6467" i="116"/>
  <c r="F6467" i="116"/>
  <c r="E6467" i="116"/>
  <c r="D6467" i="116"/>
  <c r="C6467" i="116"/>
  <c r="B6467" i="116"/>
  <c r="K6466" i="116"/>
  <c r="J6466" i="116"/>
  <c r="I6466" i="116"/>
  <c r="H6466" i="116"/>
  <c r="G6466" i="116"/>
  <c r="F6466" i="116"/>
  <c r="E6466" i="116"/>
  <c r="D6466" i="116"/>
  <c r="C6466" i="116"/>
  <c r="B6466" i="116"/>
  <c r="K6465" i="116"/>
  <c r="J6465" i="116"/>
  <c r="I6465" i="116"/>
  <c r="H6465" i="116"/>
  <c r="G6465" i="116"/>
  <c r="F6465" i="116"/>
  <c r="E6465" i="116"/>
  <c r="D6465" i="116"/>
  <c r="C6465" i="116"/>
  <c r="B6465" i="116"/>
  <c r="K6464" i="116"/>
  <c r="J6464" i="116"/>
  <c r="I6464" i="116"/>
  <c r="H6464" i="116"/>
  <c r="G6464" i="116"/>
  <c r="F6464" i="116"/>
  <c r="E6464" i="116"/>
  <c r="D6464" i="116"/>
  <c r="C6464" i="116"/>
  <c r="B6464" i="116"/>
  <c r="K6463" i="116"/>
  <c r="J6463" i="116"/>
  <c r="I6463" i="116"/>
  <c r="H6463" i="116"/>
  <c r="G6463" i="116"/>
  <c r="F6463" i="116"/>
  <c r="E6463" i="116"/>
  <c r="D6463" i="116"/>
  <c r="C6463" i="116"/>
  <c r="B6463" i="116"/>
  <c r="K6462" i="116"/>
  <c r="J6462" i="116"/>
  <c r="I6462" i="116"/>
  <c r="H6462" i="116"/>
  <c r="G6462" i="116"/>
  <c r="F6462" i="116"/>
  <c r="E6462" i="116"/>
  <c r="D6462" i="116"/>
  <c r="C6462" i="116"/>
  <c r="B6462" i="116"/>
  <c r="K6461" i="116"/>
  <c r="J6461" i="116"/>
  <c r="I6461" i="116"/>
  <c r="H6461" i="116"/>
  <c r="G6461" i="116"/>
  <c r="F6461" i="116"/>
  <c r="E6461" i="116"/>
  <c r="D6461" i="116"/>
  <c r="C6461" i="116"/>
  <c r="B6461" i="116"/>
  <c r="K6460" i="116"/>
  <c r="J6460" i="116"/>
  <c r="I6460" i="116"/>
  <c r="H6460" i="116"/>
  <c r="G6460" i="116"/>
  <c r="F6460" i="116"/>
  <c r="E6460" i="116"/>
  <c r="D6460" i="116"/>
  <c r="C6460" i="116"/>
  <c r="B6460" i="116"/>
  <c r="K6459" i="116"/>
  <c r="J6459" i="116"/>
  <c r="I6459" i="116"/>
  <c r="H6459" i="116"/>
  <c r="G6459" i="116"/>
  <c r="F6459" i="116"/>
  <c r="E6459" i="116"/>
  <c r="D6459" i="116"/>
  <c r="C6459" i="116"/>
  <c r="B6459" i="116"/>
  <c r="K6458" i="116"/>
  <c r="J6458" i="116"/>
  <c r="I6458" i="116"/>
  <c r="H6458" i="116"/>
  <c r="G6458" i="116"/>
  <c r="F6458" i="116"/>
  <c r="E6458" i="116"/>
  <c r="D6458" i="116"/>
  <c r="C6458" i="116"/>
  <c r="B6458" i="116"/>
  <c r="K6457" i="116"/>
  <c r="J6457" i="116"/>
  <c r="I6457" i="116"/>
  <c r="H6457" i="116"/>
  <c r="G6457" i="116"/>
  <c r="F6457" i="116"/>
  <c r="E6457" i="116"/>
  <c r="D6457" i="116"/>
  <c r="C6457" i="116"/>
  <c r="B6457" i="116"/>
  <c r="K6456" i="116"/>
  <c r="J6456" i="116"/>
  <c r="I6456" i="116"/>
  <c r="H6456" i="116"/>
  <c r="G6456" i="116"/>
  <c r="F6456" i="116"/>
  <c r="E6456" i="116"/>
  <c r="D6456" i="116"/>
  <c r="C6456" i="116"/>
  <c r="B6456" i="116"/>
  <c r="K6455" i="116"/>
  <c r="J6455" i="116"/>
  <c r="I6455" i="116"/>
  <c r="H6455" i="116"/>
  <c r="G6455" i="116"/>
  <c r="F6455" i="116"/>
  <c r="E6455" i="116"/>
  <c r="D6455" i="116"/>
  <c r="C6455" i="116"/>
  <c r="B6455" i="116"/>
  <c r="K6454" i="116"/>
  <c r="J6454" i="116"/>
  <c r="I6454" i="116"/>
  <c r="H6454" i="116"/>
  <c r="G6454" i="116"/>
  <c r="F6454" i="116"/>
  <c r="E6454" i="116"/>
  <c r="D6454" i="116"/>
  <c r="C6454" i="116"/>
  <c r="B6454" i="116"/>
  <c r="K6453" i="116"/>
  <c r="J6453" i="116"/>
  <c r="I6453" i="116"/>
  <c r="H6453" i="116"/>
  <c r="G6453" i="116"/>
  <c r="F6453" i="116"/>
  <c r="E6453" i="116"/>
  <c r="D6453" i="116"/>
  <c r="C6453" i="116"/>
  <c r="B6453" i="116"/>
  <c r="K6452" i="116"/>
  <c r="J6452" i="116"/>
  <c r="I6452" i="116"/>
  <c r="H6452" i="116"/>
  <c r="G6452" i="116"/>
  <c r="F6452" i="116"/>
  <c r="E6452" i="116"/>
  <c r="D6452" i="116"/>
  <c r="C6452" i="116"/>
  <c r="B6452" i="116"/>
  <c r="K6451" i="116"/>
  <c r="J6451" i="116"/>
  <c r="I6451" i="116"/>
  <c r="H6451" i="116"/>
  <c r="G6451" i="116"/>
  <c r="F6451" i="116"/>
  <c r="E6451" i="116"/>
  <c r="D6451" i="116"/>
  <c r="C6451" i="116"/>
  <c r="B6451" i="116"/>
  <c r="K6450" i="116"/>
  <c r="J6450" i="116"/>
  <c r="I6450" i="116"/>
  <c r="H6450" i="116"/>
  <c r="G6450" i="116"/>
  <c r="F6450" i="116"/>
  <c r="E6450" i="116"/>
  <c r="D6450" i="116"/>
  <c r="C6450" i="116"/>
  <c r="B6450" i="116"/>
  <c r="K6449" i="116"/>
  <c r="J6449" i="116"/>
  <c r="I6449" i="116"/>
  <c r="H6449" i="116"/>
  <c r="G6449" i="116"/>
  <c r="F6449" i="116"/>
  <c r="E6449" i="116"/>
  <c r="D6449" i="116"/>
  <c r="C6449" i="116"/>
  <c r="B6449" i="116"/>
  <c r="K6448" i="116"/>
  <c r="J6448" i="116"/>
  <c r="I6448" i="116"/>
  <c r="H6448" i="116"/>
  <c r="G6448" i="116"/>
  <c r="F6448" i="116"/>
  <c r="E6448" i="116"/>
  <c r="D6448" i="116"/>
  <c r="C6448" i="116"/>
  <c r="B6448" i="116"/>
  <c r="K6447" i="116"/>
  <c r="J6447" i="116"/>
  <c r="I6447" i="116"/>
  <c r="H6447" i="116"/>
  <c r="G6447" i="116"/>
  <c r="F6447" i="116"/>
  <c r="E6447" i="116"/>
  <c r="D6447" i="116"/>
  <c r="C6447" i="116"/>
  <c r="B6447" i="116"/>
  <c r="K6446" i="116"/>
  <c r="J6446" i="116"/>
  <c r="I6446" i="116"/>
  <c r="H6446" i="116"/>
  <c r="G6446" i="116"/>
  <c r="F6446" i="116"/>
  <c r="E6446" i="116"/>
  <c r="D6446" i="116"/>
  <c r="C6446" i="116"/>
  <c r="B6446" i="116"/>
  <c r="K6445" i="116"/>
  <c r="J6445" i="116"/>
  <c r="I6445" i="116"/>
  <c r="H6445" i="116"/>
  <c r="G6445" i="116"/>
  <c r="F6445" i="116"/>
  <c r="E6445" i="116"/>
  <c r="D6445" i="116"/>
  <c r="C6445" i="116"/>
  <c r="B6445" i="116"/>
  <c r="K6444" i="116"/>
  <c r="J6444" i="116"/>
  <c r="I6444" i="116"/>
  <c r="H6444" i="116"/>
  <c r="G6444" i="116"/>
  <c r="F6444" i="116"/>
  <c r="E6444" i="116"/>
  <c r="D6444" i="116"/>
  <c r="C6444" i="116"/>
  <c r="B6444" i="116"/>
  <c r="K6443" i="116"/>
  <c r="J6443" i="116"/>
  <c r="I6443" i="116"/>
  <c r="H6443" i="116"/>
  <c r="G6443" i="116"/>
  <c r="F6443" i="116"/>
  <c r="E6443" i="116"/>
  <c r="D6443" i="116"/>
  <c r="C6443" i="116"/>
  <c r="B6443" i="116"/>
  <c r="K6442" i="116"/>
  <c r="J6442" i="116"/>
  <c r="I6442" i="116"/>
  <c r="H6442" i="116"/>
  <c r="G6442" i="116"/>
  <c r="F6442" i="116"/>
  <c r="E6442" i="116"/>
  <c r="D6442" i="116"/>
  <c r="C6442" i="116"/>
  <c r="B6442" i="116"/>
  <c r="K6441" i="116"/>
  <c r="J6441" i="116"/>
  <c r="I6441" i="116"/>
  <c r="H6441" i="116"/>
  <c r="G6441" i="116"/>
  <c r="F6441" i="116"/>
  <c r="E6441" i="116"/>
  <c r="D6441" i="116"/>
  <c r="C6441" i="116"/>
  <c r="B6441" i="116"/>
  <c r="K6440" i="116"/>
  <c r="J6440" i="116"/>
  <c r="I6440" i="116"/>
  <c r="H6440" i="116"/>
  <c r="G6440" i="116"/>
  <c r="F6440" i="116"/>
  <c r="E6440" i="116"/>
  <c r="D6440" i="116"/>
  <c r="C6440" i="116"/>
  <c r="B6440" i="116"/>
  <c r="K6439" i="116"/>
  <c r="J6439" i="116"/>
  <c r="I6439" i="116"/>
  <c r="H6439" i="116"/>
  <c r="G6439" i="116"/>
  <c r="F6439" i="116"/>
  <c r="E6439" i="116"/>
  <c r="D6439" i="116"/>
  <c r="C6439" i="116"/>
  <c r="B6439" i="116"/>
  <c r="K6438" i="116"/>
  <c r="J6438" i="116"/>
  <c r="I6438" i="116"/>
  <c r="H6438" i="116"/>
  <c r="G6438" i="116"/>
  <c r="F6438" i="116"/>
  <c r="E6438" i="116"/>
  <c r="D6438" i="116"/>
  <c r="C6438" i="116"/>
  <c r="B6438" i="116"/>
  <c r="K6437" i="116"/>
  <c r="J6437" i="116"/>
  <c r="I6437" i="116"/>
  <c r="H6437" i="116"/>
  <c r="G6437" i="116"/>
  <c r="F6437" i="116"/>
  <c r="E6437" i="116"/>
  <c r="D6437" i="116"/>
  <c r="C6437" i="116"/>
  <c r="B6437" i="116"/>
  <c r="K6436" i="116"/>
  <c r="J6436" i="116"/>
  <c r="I6436" i="116"/>
  <c r="H6436" i="116"/>
  <c r="G6436" i="116"/>
  <c r="F6436" i="116"/>
  <c r="E6436" i="116"/>
  <c r="D6436" i="116"/>
  <c r="C6436" i="116"/>
  <c r="B6436" i="116"/>
  <c r="K6435" i="116"/>
  <c r="J6435" i="116"/>
  <c r="I6435" i="116"/>
  <c r="H6435" i="116"/>
  <c r="G6435" i="116"/>
  <c r="F6435" i="116"/>
  <c r="E6435" i="116"/>
  <c r="D6435" i="116"/>
  <c r="C6435" i="116"/>
  <c r="B6435" i="116"/>
  <c r="K6434" i="116"/>
  <c r="J6434" i="116"/>
  <c r="I6434" i="116"/>
  <c r="H6434" i="116"/>
  <c r="G6434" i="116"/>
  <c r="F6434" i="116"/>
  <c r="E6434" i="116"/>
  <c r="D6434" i="116"/>
  <c r="C6434" i="116"/>
  <c r="B6434" i="116"/>
  <c r="K6433" i="116"/>
  <c r="J6433" i="116"/>
  <c r="I6433" i="116"/>
  <c r="H6433" i="116"/>
  <c r="G6433" i="116"/>
  <c r="F6433" i="116"/>
  <c r="E6433" i="116"/>
  <c r="D6433" i="116"/>
  <c r="C6433" i="116"/>
  <c r="B6433" i="116"/>
  <c r="K6432" i="116"/>
  <c r="J6432" i="116"/>
  <c r="I6432" i="116"/>
  <c r="H6432" i="116"/>
  <c r="G6432" i="116"/>
  <c r="F6432" i="116"/>
  <c r="E6432" i="116"/>
  <c r="D6432" i="116"/>
  <c r="C6432" i="116"/>
  <c r="B6432" i="116"/>
  <c r="K6431" i="116"/>
  <c r="J6431" i="116"/>
  <c r="I6431" i="116"/>
  <c r="H6431" i="116"/>
  <c r="G6431" i="116"/>
  <c r="F6431" i="116"/>
  <c r="E6431" i="116"/>
  <c r="D6431" i="116"/>
  <c r="C6431" i="116"/>
  <c r="B6431" i="116"/>
  <c r="K6430" i="116"/>
  <c r="J6430" i="116"/>
  <c r="I6430" i="116"/>
  <c r="H6430" i="116"/>
  <c r="G6430" i="116"/>
  <c r="F6430" i="116"/>
  <c r="E6430" i="116"/>
  <c r="D6430" i="116"/>
  <c r="C6430" i="116"/>
  <c r="B6430" i="116"/>
  <c r="K6429" i="116"/>
  <c r="J6429" i="116"/>
  <c r="I6429" i="116"/>
  <c r="H6429" i="116"/>
  <c r="G6429" i="116"/>
  <c r="F6429" i="116"/>
  <c r="E6429" i="116"/>
  <c r="D6429" i="116"/>
  <c r="C6429" i="116"/>
  <c r="B6429" i="116"/>
  <c r="K6428" i="116"/>
  <c r="J6428" i="116"/>
  <c r="I6428" i="116"/>
  <c r="H6428" i="116"/>
  <c r="G6428" i="116"/>
  <c r="F6428" i="116"/>
  <c r="E6428" i="116"/>
  <c r="D6428" i="116"/>
  <c r="C6428" i="116"/>
  <c r="B6428" i="116"/>
  <c r="K6427" i="116"/>
  <c r="J6427" i="116"/>
  <c r="I6427" i="116"/>
  <c r="H6427" i="116"/>
  <c r="G6427" i="116"/>
  <c r="F6427" i="116"/>
  <c r="E6427" i="116"/>
  <c r="D6427" i="116"/>
  <c r="C6427" i="116"/>
  <c r="B6427" i="116"/>
  <c r="K6426" i="116"/>
  <c r="J6426" i="116"/>
  <c r="I6426" i="116"/>
  <c r="H6426" i="116"/>
  <c r="G6426" i="116"/>
  <c r="F6426" i="116"/>
  <c r="E6426" i="116"/>
  <c r="D6426" i="116"/>
  <c r="C6426" i="116"/>
  <c r="B6426" i="116"/>
  <c r="K6425" i="116"/>
  <c r="J6425" i="116"/>
  <c r="I6425" i="116"/>
  <c r="H6425" i="116"/>
  <c r="G6425" i="116"/>
  <c r="F6425" i="116"/>
  <c r="E6425" i="116"/>
  <c r="D6425" i="116"/>
  <c r="C6425" i="116"/>
  <c r="B6425" i="116"/>
  <c r="K6424" i="116"/>
  <c r="J6424" i="116"/>
  <c r="I6424" i="116"/>
  <c r="H6424" i="116"/>
  <c r="G6424" i="116"/>
  <c r="F6424" i="116"/>
  <c r="E6424" i="116"/>
  <c r="D6424" i="116"/>
  <c r="C6424" i="116"/>
  <c r="B6424" i="116"/>
  <c r="K6423" i="116"/>
  <c r="J6423" i="116"/>
  <c r="I6423" i="116"/>
  <c r="H6423" i="116"/>
  <c r="G6423" i="116"/>
  <c r="F6423" i="116"/>
  <c r="E6423" i="116"/>
  <c r="D6423" i="116"/>
  <c r="C6423" i="116"/>
  <c r="B6423" i="116"/>
  <c r="K6422" i="116"/>
  <c r="J6422" i="116"/>
  <c r="I6422" i="116"/>
  <c r="H6422" i="116"/>
  <c r="G6422" i="116"/>
  <c r="F6422" i="116"/>
  <c r="E6422" i="116"/>
  <c r="D6422" i="116"/>
  <c r="C6422" i="116"/>
  <c r="B6422" i="116"/>
  <c r="K6421" i="116"/>
  <c r="J6421" i="116"/>
  <c r="I6421" i="116"/>
  <c r="H6421" i="116"/>
  <c r="G6421" i="116"/>
  <c r="F6421" i="116"/>
  <c r="E6421" i="116"/>
  <c r="D6421" i="116"/>
  <c r="C6421" i="116"/>
  <c r="B6421" i="116"/>
  <c r="K6420" i="116"/>
  <c r="J6420" i="116"/>
  <c r="I6420" i="116"/>
  <c r="H6420" i="116"/>
  <c r="G6420" i="116"/>
  <c r="F6420" i="116"/>
  <c r="E6420" i="116"/>
  <c r="D6420" i="116"/>
  <c r="C6420" i="116"/>
  <c r="B6420" i="116"/>
  <c r="K6419" i="116"/>
  <c r="J6419" i="116"/>
  <c r="I6419" i="116"/>
  <c r="H6419" i="116"/>
  <c r="G6419" i="116"/>
  <c r="F6419" i="116"/>
  <c r="E6419" i="116"/>
  <c r="D6419" i="116"/>
  <c r="C6419" i="116"/>
  <c r="B6419" i="116"/>
  <c r="K6418" i="116"/>
  <c r="J6418" i="116"/>
  <c r="I6418" i="116"/>
  <c r="H6418" i="116"/>
  <c r="G6418" i="116"/>
  <c r="F6418" i="116"/>
  <c r="E6418" i="116"/>
  <c r="D6418" i="116"/>
  <c r="C6418" i="116"/>
  <c r="B6418" i="116"/>
  <c r="K6417" i="116"/>
  <c r="J6417" i="116"/>
  <c r="I6417" i="116"/>
  <c r="H6417" i="116"/>
  <c r="G6417" i="116"/>
  <c r="F6417" i="116"/>
  <c r="E6417" i="116"/>
  <c r="D6417" i="116"/>
  <c r="C6417" i="116"/>
  <c r="B6417" i="116"/>
  <c r="K6416" i="116"/>
  <c r="J6416" i="116"/>
  <c r="I6416" i="116"/>
  <c r="H6416" i="116"/>
  <c r="G6416" i="116"/>
  <c r="F6416" i="116"/>
  <c r="E6416" i="116"/>
  <c r="D6416" i="116"/>
  <c r="C6416" i="116"/>
  <c r="B6416" i="116"/>
  <c r="K6415" i="116"/>
  <c r="J6415" i="116"/>
  <c r="I6415" i="116"/>
  <c r="H6415" i="116"/>
  <c r="G6415" i="116"/>
  <c r="F6415" i="116"/>
  <c r="E6415" i="116"/>
  <c r="D6415" i="116"/>
  <c r="C6415" i="116"/>
  <c r="B6415" i="116"/>
  <c r="K6414" i="116"/>
  <c r="J6414" i="116"/>
  <c r="I6414" i="116"/>
  <c r="H6414" i="116"/>
  <c r="G6414" i="116"/>
  <c r="F6414" i="116"/>
  <c r="E6414" i="116"/>
  <c r="D6414" i="116"/>
  <c r="C6414" i="116"/>
  <c r="B6414" i="116"/>
  <c r="K6413" i="116"/>
  <c r="J6413" i="116"/>
  <c r="I6413" i="116"/>
  <c r="H6413" i="116"/>
  <c r="G6413" i="116"/>
  <c r="F6413" i="116"/>
  <c r="E6413" i="116"/>
  <c r="D6413" i="116"/>
  <c r="C6413" i="116"/>
  <c r="B6413" i="116"/>
  <c r="K6412" i="116"/>
  <c r="J6412" i="116"/>
  <c r="I6412" i="116"/>
  <c r="H6412" i="116"/>
  <c r="G6412" i="116"/>
  <c r="F6412" i="116"/>
  <c r="E6412" i="116"/>
  <c r="D6412" i="116"/>
  <c r="C6412" i="116"/>
  <c r="B6412" i="116"/>
  <c r="K6411" i="116"/>
  <c r="J6411" i="116"/>
  <c r="I6411" i="116"/>
  <c r="H6411" i="116"/>
  <c r="G6411" i="116"/>
  <c r="F6411" i="116"/>
  <c r="E6411" i="116"/>
  <c r="D6411" i="116"/>
  <c r="C6411" i="116"/>
  <c r="B6411" i="116"/>
  <c r="K6410" i="116"/>
  <c r="J6410" i="116"/>
  <c r="I6410" i="116"/>
  <c r="H6410" i="116"/>
  <c r="G6410" i="116"/>
  <c r="F6410" i="116"/>
  <c r="E6410" i="116"/>
  <c r="D6410" i="116"/>
  <c r="C6410" i="116"/>
  <c r="B6410" i="116"/>
  <c r="K6409" i="116"/>
  <c r="J6409" i="116"/>
  <c r="I6409" i="116"/>
  <c r="H6409" i="116"/>
  <c r="G6409" i="116"/>
  <c r="F6409" i="116"/>
  <c r="E6409" i="116"/>
  <c r="D6409" i="116"/>
  <c r="C6409" i="116"/>
  <c r="B6409" i="116"/>
  <c r="K6408" i="116"/>
  <c r="J6408" i="116"/>
  <c r="I6408" i="116"/>
  <c r="H6408" i="116"/>
  <c r="G6408" i="116"/>
  <c r="F6408" i="116"/>
  <c r="E6408" i="116"/>
  <c r="D6408" i="116"/>
  <c r="C6408" i="116"/>
  <c r="B6408" i="116"/>
  <c r="K6407" i="116"/>
  <c r="J6407" i="116"/>
  <c r="I6407" i="116"/>
  <c r="H6407" i="116"/>
  <c r="G6407" i="116"/>
  <c r="F6407" i="116"/>
  <c r="E6407" i="116"/>
  <c r="D6407" i="116"/>
  <c r="C6407" i="116"/>
  <c r="B6407" i="116"/>
  <c r="K6406" i="116"/>
  <c r="J6406" i="116"/>
  <c r="I6406" i="116"/>
  <c r="H6406" i="116"/>
  <c r="G6406" i="116"/>
  <c r="F6406" i="116"/>
  <c r="E6406" i="116"/>
  <c r="D6406" i="116"/>
  <c r="C6406" i="116"/>
  <c r="B6406" i="116"/>
  <c r="K6405" i="116"/>
  <c r="J6405" i="116"/>
  <c r="I6405" i="116"/>
  <c r="H6405" i="116"/>
  <c r="G6405" i="116"/>
  <c r="F6405" i="116"/>
  <c r="E6405" i="116"/>
  <c r="D6405" i="116"/>
  <c r="C6405" i="116"/>
  <c r="B6405" i="116"/>
  <c r="K6404" i="116"/>
  <c r="J6404" i="116"/>
  <c r="I6404" i="116"/>
  <c r="H6404" i="116"/>
  <c r="G6404" i="116"/>
  <c r="F6404" i="116"/>
  <c r="E6404" i="116"/>
  <c r="D6404" i="116"/>
  <c r="C6404" i="116"/>
  <c r="B6404" i="116"/>
  <c r="K6403" i="116"/>
  <c r="J6403" i="116"/>
  <c r="I6403" i="116"/>
  <c r="H6403" i="116"/>
  <c r="G6403" i="116"/>
  <c r="F6403" i="116"/>
  <c r="E6403" i="116"/>
  <c r="D6403" i="116"/>
  <c r="C6403" i="116"/>
  <c r="B6403" i="116"/>
  <c r="K6402" i="116"/>
  <c r="J6402" i="116"/>
  <c r="I6402" i="116"/>
  <c r="H6402" i="116"/>
  <c r="G6402" i="116"/>
  <c r="F6402" i="116"/>
  <c r="E6402" i="116"/>
  <c r="D6402" i="116"/>
  <c r="C6402" i="116"/>
  <c r="B6402" i="116"/>
  <c r="K6401" i="116"/>
  <c r="J6401" i="116"/>
  <c r="I6401" i="116"/>
  <c r="H6401" i="116"/>
  <c r="G6401" i="116"/>
  <c r="F6401" i="116"/>
  <c r="E6401" i="116"/>
  <c r="D6401" i="116"/>
  <c r="C6401" i="116"/>
  <c r="B6401" i="116"/>
  <c r="K6400" i="116"/>
  <c r="J6400" i="116"/>
  <c r="I6400" i="116"/>
  <c r="H6400" i="116"/>
  <c r="G6400" i="116"/>
  <c r="F6400" i="116"/>
  <c r="E6400" i="116"/>
  <c r="D6400" i="116"/>
  <c r="C6400" i="116"/>
  <c r="B6400" i="116"/>
  <c r="K6399" i="116"/>
  <c r="J6399" i="116"/>
  <c r="I6399" i="116"/>
  <c r="H6399" i="116"/>
  <c r="G6399" i="116"/>
  <c r="F6399" i="116"/>
  <c r="E6399" i="116"/>
  <c r="D6399" i="116"/>
  <c r="C6399" i="116"/>
  <c r="B6399" i="116"/>
  <c r="K6398" i="116"/>
  <c r="J6398" i="116"/>
  <c r="I6398" i="116"/>
  <c r="H6398" i="116"/>
  <c r="G6398" i="116"/>
  <c r="F6398" i="116"/>
  <c r="E6398" i="116"/>
  <c r="D6398" i="116"/>
  <c r="C6398" i="116"/>
  <c r="B6398" i="116"/>
  <c r="K6397" i="116"/>
  <c r="J6397" i="116"/>
  <c r="I6397" i="116"/>
  <c r="H6397" i="116"/>
  <c r="G6397" i="116"/>
  <c r="F6397" i="116"/>
  <c r="E6397" i="116"/>
  <c r="D6397" i="116"/>
  <c r="C6397" i="116"/>
  <c r="B6397" i="116"/>
  <c r="K6396" i="116"/>
  <c r="J6396" i="116"/>
  <c r="I6396" i="116"/>
  <c r="H6396" i="116"/>
  <c r="G6396" i="116"/>
  <c r="F6396" i="116"/>
  <c r="E6396" i="116"/>
  <c r="D6396" i="116"/>
  <c r="C6396" i="116"/>
  <c r="B6396" i="116"/>
  <c r="K6395" i="116"/>
  <c r="J6395" i="116"/>
  <c r="I6395" i="116"/>
  <c r="H6395" i="116"/>
  <c r="G6395" i="116"/>
  <c r="F6395" i="116"/>
  <c r="E6395" i="116"/>
  <c r="D6395" i="116"/>
  <c r="C6395" i="116"/>
  <c r="B6395" i="116"/>
  <c r="K6394" i="116"/>
  <c r="J6394" i="116"/>
  <c r="I6394" i="116"/>
  <c r="H6394" i="116"/>
  <c r="G6394" i="116"/>
  <c r="F6394" i="116"/>
  <c r="E6394" i="116"/>
  <c r="D6394" i="116"/>
  <c r="C6394" i="116"/>
  <c r="B6394" i="116"/>
  <c r="K6393" i="116"/>
  <c r="J6393" i="116"/>
  <c r="I6393" i="116"/>
  <c r="H6393" i="116"/>
  <c r="G6393" i="116"/>
  <c r="F6393" i="116"/>
  <c r="E6393" i="116"/>
  <c r="D6393" i="116"/>
  <c r="C6393" i="116"/>
  <c r="B6393" i="116"/>
  <c r="K6392" i="116"/>
  <c r="J6392" i="116"/>
  <c r="I6392" i="116"/>
  <c r="H6392" i="116"/>
  <c r="G6392" i="116"/>
  <c r="F6392" i="116"/>
  <c r="E6392" i="116"/>
  <c r="D6392" i="116"/>
  <c r="C6392" i="116"/>
  <c r="B6392" i="116"/>
  <c r="K6391" i="116"/>
  <c r="J6391" i="116"/>
  <c r="I6391" i="116"/>
  <c r="H6391" i="116"/>
  <c r="G6391" i="116"/>
  <c r="F6391" i="116"/>
  <c r="E6391" i="116"/>
  <c r="D6391" i="116"/>
  <c r="C6391" i="116"/>
  <c r="B6391" i="116"/>
  <c r="K6390" i="116"/>
  <c r="J6390" i="116"/>
  <c r="I6390" i="116"/>
  <c r="H6390" i="116"/>
  <c r="G6390" i="116"/>
  <c r="F6390" i="116"/>
  <c r="E6390" i="116"/>
  <c r="D6390" i="116"/>
  <c r="C6390" i="116"/>
  <c r="B6390" i="116"/>
  <c r="K6389" i="116"/>
  <c r="J6389" i="116"/>
  <c r="I6389" i="116"/>
  <c r="H6389" i="116"/>
  <c r="G6389" i="116"/>
  <c r="F6389" i="116"/>
  <c r="E6389" i="116"/>
  <c r="D6389" i="116"/>
  <c r="C6389" i="116"/>
  <c r="B6389" i="116"/>
  <c r="K6388" i="116"/>
  <c r="J6388" i="116"/>
  <c r="I6388" i="116"/>
  <c r="H6388" i="116"/>
  <c r="G6388" i="116"/>
  <c r="F6388" i="116"/>
  <c r="E6388" i="116"/>
  <c r="D6388" i="116"/>
  <c r="C6388" i="116"/>
  <c r="B6388" i="116"/>
  <c r="K6387" i="116"/>
  <c r="J6387" i="116"/>
  <c r="I6387" i="116"/>
  <c r="H6387" i="116"/>
  <c r="G6387" i="116"/>
  <c r="F6387" i="116"/>
  <c r="E6387" i="116"/>
  <c r="D6387" i="116"/>
  <c r="C6387" i="116"/>
  <c r="B6387" i="116"/>
  <c r="K6386" i="116"/>
  <c r="J6386" i="116"/>
  <c r="I6386" i="116"/>
  <c r="H6386" i="116"/>
  <c r="G6386" i="116"/>
  <c r="F6386" i="116"/>
  <c r="E6386" i="116"/>
  <c r="D6386" i="116"/>
  <c r="C6386" i="116"/>
  <c r="B6386" i="116"/>
  <c r="K6385" i="116"/>
  <c r="J6385" i="116"/>
  <c r="I6385" i="116"/>
  <c r="H6385" i="116"/>
  <c r="G6385" i="116"/>
  <c r="F6385" i="116"/>
  <c r="E6385" i="116"/>
  <c r="D6385" i="116"/>
  <c r="C6385" i="116"/>
  <c r="B6385" i="116"/>
  <c r="K6384" i="116"/>
  <c r="J6384" i="116"/>
  <c r="I6384" i="116"/>
  <c r="H6384" i="116"/>
  <c r="G6384" i="116"/>
  <c r="F6384" i="116"/>
  <c r="E6384" i="116"/>
  <c r="D6384" i="116"/>
  <c r="C6384" i="116"/>
  <c r="B6384" i="116"/>
  <c r="K6383" i="116"/>
  <c r="J6383" i="116"/>
  <c r="I6383" i="116"/>
  <c r="H6383" i="116"/>
  <c r="G6383" i="116"/>
  <c r="F6383" i="116"/>
  <c r="E6383" i="116"/>
  <c r="D6383" i="116"/>
  <c r="C6383" i="116"/>
  <c r="B6383" i="116"/>
  <c r="K6382" i="116"/>
  <c r="J6382" i="116"/>
  <c r="I6382" i="116"/>
  <c r="H6382" i="116"/>
  <c r="G6382" i="116"/>
  <c r="F6382" i="116"/>
  <c r="E6382" i="116"/>
  <c r="D6382" i="116"/>
  <c r="C6382" i="116"/>
  <c r="B6382" i="116"/>
  <c r="K6381" i="116"/>
  <c r="J6381" i="116"/>
  <c r="I6381" i="116"/>
  <c r="H6381" i="116"/>
  <c r="G6381" i="116"/>
  <c r="F6381" i="116"/>
  <c r="E6381" i="116"/>
  <c r="D6381" i="116"/>
  <c r="C6381" i="116"/>
  <c r="B6381" i="116"/>
  <c r="K6380" i="116"/>
  <c r="J6380" i="116"/>
  <c r="I6380" i="116"/>
  <c r="H6380" i="116"/>
  <c r="G6380" i="116"/>
  <c r="F6380" i="116"/>
  <c r="E6380" i="116"/>
  <c r="D6380" i="116"/>
  <c r="C6380" i="116"/>
  <c r="B6380" i="116"/>
  <c r="K6379" i="116"/>
  <c r="J6379" i="116"/>
  <c r="I6379" i="116"/>
  <c r="H6379" i="116"/>
  <c r="G6379" i="116"/>
  <c r="F6379" i="116"/>
  <c r="E6379" i="116"/>
  <c r="D6379" i="116"/>
  <c r="C6379" i="116"/>
  <c r="B6379" i="116"/>
  <c r="K6378" i="116"/>
  <c r="J6378" i="116"/>
  <c r="I6378" i="116"/>
  <c r="H6378" i="116"/>
  <c r="G6378" i="116"/>
  <c r="F6378" i="116"/>
  <c r="E6378" i="116"/>
  <c r="D6378" i="116"/>
  <c r="C6378" i="116"/>
  <c r="B6378" i="116"/>
  <c r="K6377" i="116"/>
  <c r="J6377" i="116"/>
  <c r="I6377" i="116"/>
  <c r="H6377" i="116"/>
  <c r="G6377" i="116"/>
  <c r="F6377" i="116"/>
  <c r="E6377" i="116"/>
  <c r="D6377" i="116"/>
  <c r="C6377" i="116"/>
  <c r="B6377" i="116"/>
  <c r="K6376" i="116"/>
  <c r="J6376" i="116"/>
  <c r="I6376" i="116"/>
  <c r="H6376" i="116"/>
  <c r="G6376" i="116"/>
  <c r="F6376" i="116"/>
  <c r="E6376" i="116"/>
  <c r="D6376" i="116"/>
  <c r="C6376" i="116"/>
  <c r="B6376" i="116"/>
  <c r="K6375" i="116"/>
  <c r="J6375" i="116"/>
  <c r="I6375" i="116"/>
  <c r="H6375" i="116"/>
  <c r="G6375" i="116"/>
  <c r="F6375" i="116"/>
  <c r="E6375" i="116"/>
  <c r="D6375" i="116"/>
  <c r="C6375" i="116"/>
  <c r="B6375" i="116"/>
  <c r="K6374" i="116"/>
  <c r="J6374" i="116"/>
  <c r="I6374" i="116"/>
  <c r="H6374" i="116"/>
  <c r="G6374" i="116"/>
  <c r="F6374" i="116"/>
  <c r="E6374" i="116"/>
  <c r="D6374" i="116"/>
  <c r="C6374" i="116"/>
  <c r="B6374" i="116"/>
  <c r="K6373" i="116"/>
  <c r="J6373" i="116"/>
  <c r="I6373" i="116"/>
  <c r="H6373" i="116"/>
  <c r="G6373" i="116"/>
  <c r="F6373" i="116"/>
  <c r="E6373" i="116"/>
  <c r="D6373" i="116"/>
  <c r="C6373" i="116"/>
  <c r="B6373" i="116"/>
  <c r="K6372" i="116"/>
  <c r="J6372" i="116"/>
  <c r="I6372" i="116"/>
  <c r="H6372" i="116"/>
  <c r="G6372" i="116"/>
  <c r="F6372" i="116"/>
  <c r="E6372" i="116"/>
  <c r="D6372" i="116"/>
  <c r="C6372" i="116"/>
  <c r="B6372" i="116"/>
  <c r="K6371" i="116"/>
  <c r="J6371" i="116"/>
  <c r="I6371" i="116"/>
  <c r="H6371" i="116"/>
  <c r="G6371" i="116"/>
  <c r="F6371" i="116"/>
  <c r="E6371" i="116"/>
  <c r="D6371" i="116"/>
  <c r="C6371" i="116"/>
  <c r="B6371" i="116"/>
  <c r="K6370" i="116"/>
  <c r="J6370" i="116"/>
  <c r="I6370" i="116"/>
  <c r="H6370" i="116"/>
  <c r="G6370" i="116"/>
  <c r="F6370" i="116"/>
  <c r="E6370" i="116"/>
  <c r="D6370" i="116"/>
  <c r="C6370" i="116"/>
  <c r="B6370" i="116"/>
  <c r="K6369" i="116"/>
  <c r="J6369" i="116"/>
  <c r="I6369" i="116"/>
  <c r="H6369" i="116"/>
  <c r="G6369" i="116"/>
  <c r="F6369" i="116"/>
  <c r="E6369" i="116"/>
  <c r="D6369" i="116"/>
  <c r="C6369" i="116"/>
  <c r="B6369" i="116"/>
  <c r="K6368" i="116"/>
  <c r="J6368" i="116"/>
  <c r="I6368" i="116"/>
  <c r="H6368" i="116"/>
  <c r="G6368" i="116"/>
  <c r="F6368" i="116"/>
  <c r="E6368" i="116"/>
  <c r="D6368" i="116"/>
  <c r="C6368" i="116"/>
  <c r="B6368" i="116"/>
  <c r="K6367" i="116"/>
  <c r="J6367" i="116"/>
  <c r="I6367" i="116"/>
  <c r="H6367" i="116"/>
  <c r="G6367" i="116"/>
  <c r="F6367" i="116"/>
  <c r="E6367" i="116"/>
  <c r="D6367" i="116"/>
  <c r="C6367" i="116"/>
  <c r="B6367" i="116"/>
  <c r="K6366" i="116"/>
  <c r="J6366" i="116"/>
  <c r="I6366" i="116"/>
  <c r="H6366" i="116"/>
  <c r="G6366" i="116"/>
  <c r="F6366" i="116"/>
  <c r="E6366" i="116"/>
  <c r="D6366" i="116"/>
  <c r="C6366" i="116"/>
  <c r="B6366" i="116"/>
  <c r="K6365" i="116"/>
  <c r="J6365" i="116"/>
  <c r="I6365" i="116"/>
  <c r="H6365" i="116"/>
  <c r="G6365" i="116"/>
  <c r="F6365" i="116"/>
  <c r="E6365" i="116"/>
  <c r="D6365" i="116"/>
  <c r="C6365" i="116"/>
  <c r="B6365" i="116"/>
  <c r="K6364" i="116"/>
  <c r="J6364" i="116"/>
  <c r="I6364" i="116"/>
  <c r="H6364" i="116"/>
  <c r="G6364" i="116"/>
  <c r="F6364" i="116"/>
  <c r="E6364" i="116"/>
  <c r="D6364" i="116"/>
  <c r="C6364" i="116"/>
  <c r="B6364" i="116"/>
  <c r="K6363" i="116"/>
  <c r="J6363" i="116"/>
  <c r="I6363" i="116"/>
  <c r="H6363" i="116"/>
  <c r="G6363" i="116"/>
  <c r="F6363" i="116"/>
  <c r="E6363" i="116"/>
  <c r="D6363" i="116"/>
  <c r="C6363" i="116"/>
  <c r="B6363" i="116"/>
  <c r="K6362" i="116"/>
  <c r="J6362" i="116"/>
  <c r="I6362" i="116"/>
  <c r="H6362" i="116"/>
  <c r="G6362" i="116"/>
  <c r="F6362" i="116"/>
  <c r="E6362" i="116"/>
  <c r="D6362" i="116"/>
  <c r="C6362" i="116"/>
  <c r="B6362" i="116"/>
  <c r="K6361" i="116"/>
  <c r="J6361" i="116"/>
  <c r="I6361" i="116"/>
  <c r="H6361" i="116"/>
  <c r="G6361" i="116"/>
  <c r="F6361" i="116"/>
  <c r="E6361" i="116"/>
  <c r="D6361" i="116"/>
  <c r="C6361" i="116"/>
  <c r="B6361" i="116"/>
  <c r="K6360" i="116"/>
  <c r="J6360" i="116"/>
  <c r="I6360" i="116"/>
  <c r="H6360" i="116"/>
  <c r="G6360" i="116"/>
  <c r="F6360" i="116"/>
  <c r="E6360" i="116"/>
  <c r="D6360" i="116"/>
  <c r="C6360" i="116"/>
  <c r="B6360" i="116"/>
  <c r="K6359" i="116"/>
  <c r="J6359" i="116"/>
  <c r="I6359" i="116"/>
  <c r="H6359" i="116"/>
  <c r="G6359" i="116"/>
  <c r="F6359" i="116"/>
  <c r="E6359" i="116"/>
  <c r="D6359" i="116"/>
  <c r="C6359" i="116"/>
  <c r="B6359" i="116"/>
  <c r="K6358" i="116"/>
  <c r="J6358" i="116"/>
  <c r="I6358" i="116"/>
  <c r="H6358" i="116"/>
  <c r="G6358" i="116"/>
  <c r="F6358" i="116"/>
  <c r="E6358" i="116"/>
  <c r="D6358" i="116"/>
  <c r="C6358" i="116"/>
  <c r="B6358" i="116"/>
  <c r="K6357" i="116"/>
  <c r="J6357" i="116"/>
  <c r="I6357" i="116"/>
  <c r="H6357" i="116"/>
  <c r="G6357" i="116"/>
  <c r="F6357" i="116"/>
  <c r="E6357" i="116"/>
  <c r="D6357" i="116"/>
  <c r="C6357" i="116"/>
  <c r="B6357" i="116"/>
  <c r="K6356" i="116"/>
  <c r="J6356" i="116"/>
  <c r="I6356" i="116"/>
  <c r="H6356" i="116"/>
  <c r="G6356" i="116"/>
  <c r="F6356" i="116"/>
  <c r="E6356" i="116"/>
  <c r="D6356" i="116"/>
  <c r="C6356" i="116"/>
  <c r="B6356" i="116"/>
  <c r="K6355" i="116"/>
  <c r="J6355" i="116"/>
  <c r="I6355" i="116"/>
  <c r="H6355" i="116"/>
  <c r="G6355" i="116"/>
  <c r="F6355" i="116"/>
  <c r="E6355" i="116"/>
  <c r="D6355" i="116"/>
  <c r="C6355" i="116"/>
  <c r="B6355" i="116"/>
  <c r="K6354" i="116"/>
  <c r="J6354" i="116"/>
  <c r="I6354" i="116"/>
  <c r="H6354" i="116"/>
  <c r="G6354" i="116"/>
  <c r="F6354" i="116"/>
  <c r="E6354" i="116"/>
  <c r="D6354" i="116"/>
  <c r="C6354" i="116"/>
  <c r="B6354" i="116"/>
  <c r="K6353" i="116"/>
  <c r="J6353" i="116"/>
  <c r="I6353" i="116"/>
  <c r="H6353" i="116"/>
  <c r="G6353" i="116"/>
  <c r="F6353" i="116"/>
  <c r="E6353" i="116"/>
  <c r="D6353" i="116"/>
  <c r="C6353" i="116"/>
  <c r="B6353" i="116"/>
  <c r="K6352" i="116"/>
  <c r="J6352" i="116"/>
  <c r="I6352" i="116"/>
  <c r="H6352" i="116"/>
  <c r="G6352" i="116"/>
  <c r="F6352" i="116"/>
  <c r="E6352" i="116"/>
  <c r="D6352" i="116"/>
  <c r="C6352" i="116"/>
  <c r="B6352" i="116"/>
  <c r="K6351" i="116"/>
  <c r="J6351" i="116"/>
  <c r="I6351" i="116"/>
  <c r="H6351" i="116"/>
  <c r="G6351" i="116"/>
  <c r="F6351" i="116"/>
  <c r="E6351" i="116"/>
  <c r="D6351" i="116"/>
  <c r="C6351" i="116"/>
  <c r="B6351" i="116"/>
  <c r="K6350" i="116"/>
  <c r="J6350" i="116"/>
  <c r="I6350" i="116"/>
  <c r="H6350" i="116"/>
  <c r="G6350" i="116"/>
  <c r="F6350" i="116"/>
  <c r="E6350" i="116"/>
  <c r="D6350" i="116"/>
  <c r="C6350" i="116"/>
  <c r="B6350" i="116"/>
  <c r="K6349" i="116"/>
  <c r="J6349" i="116"/>
  <c r="I6349" i="116"/>
  <c r="H6349" i="116"/>
  <c r="G6349" i="116"/>
  <c r="F6349" i="116"/>
  <c r="E6349" i="116"/>
  <c r="D6349" i="116"/>
  <c r="C6349" i="116"/>
  <c r="B6349" i="116"/>
  <c r="K6348" i="116"/>
  <c r="J6348" i="116"/>
  <c r="I6348" i="116"/>
  <c r="H6348" i="116"/>
  <c r="G6348" i="116"/>
  <c r="F6348" i="116"/>
  <c r="E6348" i="116"/>
  <c r="D6348" i="116"/>
  <c r="C6348" i="116"/>
  <c r="B6348" i="116"/>
  <c r="K6347" i="116"/>
  <c r="J6347" i="116"/>
  <c r="I6347" i="116"/>
  <c r="H6347" i="116"/>
  <c r="G6347" i="116"/>
  <c r="F6347" i="116"/>
  <c r="E6347" i="116"/>
  <c r="D6347" i="116"/>
  <c r="C6347" i="116"/>
  <c r="B6347" i="116"/>
  <c r="K6346" i="116"/>
  <c r="J6346" i="116"/>
  <c r="I6346" i="116"/>
  <c r="H6346" i="116"/>
  <c r="G6346" i="116"/>
  <c r="F6346" i="116"/>
  <c r="E6346" i="116"/>
  <c r="D6346" i="116"/>
  <c r="C6346" i="116"/>
  <c r="B6346" i="116"/>
  <c r="K6345" i="116"/>
  <c r="J6345" i="116"/>
  <c r="I6345" i="116"/>
  <c r="H6345" i="116"/>
  <c r="G6345" i="116"/>
  <c r="F6345" i="116"/>
  <c r="E6345" i="116"/>
  <c r="D6345" i="116"/>
  <c r="C6345" i="116"/>
  <c r="B6345" i="116"/>
  <c r="K6344" i="116"/>
  <c r="J6344" i="116"/>
  <c r="I6344" i="116"/>
  <c r="H6344" i="116"/>
  <c r="G6344" i="116"/>
  <c r="F6344" i="116"/>
  <c r="E6344" i="116"/>
  <c r="D6344" i="116"/>
  <c r="C6344" i="116"/>
  <c r="B6344" i="116"/>
  <c r="K6343" i="116"/>
  <c r="J6343" i="116"/>
  <c r="I6343" i="116"/>
  <c r="H6343" i="116"/>
  <c r="G6343" i="116"/>
  <c r="F6343" i="116"/>
  <c r="E6343" i="116"/>
  <c r="D6343" i="116"/>
  <c r="C6343" i="116"/>
  <c r="B6343" i="116"/>
  <c r="K6342" i="116"/>
  <c r="J6342" i="116"/>
  <c r="I6342" i="116"/>
  <c r="H6342" i="116"/>
  <c r="G6342" i="116"/>
  <c r="F6342" i="116"/>
  <c r="E6342" i="116"/>
  <c r="D6342" i="116"/>
  <c r="C6342" i="116"/>
  <c r="B6342" i="116"/>
  <c r="K6341" i="116"/>
  <c r="J6341" i="116"/>
  <c r="I6341" i="116"/>
  <c r="H6341" i="116"/>
  <c r="G6341" i="116"/>
  <c r="F6341" i="116"/>
  <c r="E6341" i="116"/>
  <c r="D6341" i="116"/>
  <c r="C6341" i="116"/>
  <c r="B6341" i="116"/>
  <c r="K6340" i="116"/>
  <c r="J6340" i="116"/>
  <c r="I6340" i="116"/>
  <c r="H6340" i="116"/>
  <c r="G6340" i="116"/>
  <c r="F6340" i="116"/>
  <c r="E6340" i="116"/>
  <c r="D6340" i="116"/>
  <c r="C6340" i="116"/>
  <c r="B6340" i="116"/>
  <c r="K6339" i="116"/>
  <c r="J6339" i="116"/>
  <c r="I6339" i="116"/>
  <c r="H6339" i="116"/>
  <c r="G6339" i="116"/>
  <c r="F6339" i="116"/>
  <c r="E6339" i="116"/>
  <c r="D6339" i="116"/>
  <c r="C6339" i="116"/>
  <c r="B6339" i="116"/>
  <c r="K6338" i="116"/>
  <c r="J6338" i="116"/>
  <c r="I6338" i="116"/>
  <c r="H6338" i="116"/>
  <c r="G6338" i="116"/>
  <c r="F6338" i="116"/>
  <c r="E6338" i="116"/>
  <c r="D6338" i="116"/>
  <c r="C6338" i="116"/>
  <c r="B6338" i="116"/>
  <c r="K6337" i="116"/>
  <c r="J6337" i="116"/>
  <c r="I6337" i="116"/>
  <c r="H6337" i="116"/>
  <c r="G6337" i="116"/>
  <c r="F6337" i="116"/>
  <c r="E6337" i="116"/>
  <c r="D6337" i="116"/>
  <c r="C6337" i="116"/>
  <c r="B6337" i="116"/>
  <c r="K6336" i="116"/>
  <c r="J6336" i="116"/>
  <c r="I6336" i="116"/>
  <c r="H6336" i="116"/>
  <c r="G6336" i="116"/>
  <c r="F6336" i="116"/>
  <c r="E6336" i="116"/>
  <c r="D6336" i="116"/>
  <c r="C6336" i="116"/>
  <c r="B6336" i="116"/>
  <c r="K6335" i="116"/>
  <c r="J6335" i="116"/>
  <c r="I6335" i="116"/>
  <c r="H6335" i="116"/>
  <c r="G6335" i="116"/>
  <c r="F6335" i="116"/>
  <c r="E6335" i="116"/>
  <c r="D6335" i="116"/>
  <c r="C6335" i="116"/>
  <c r="B6335" i="116"/>
  <c r="K6334" i="116"/>
  <c r="J6334" i="116"/>
  <c r="I6334" i="116"/>
  <c r="H6334" i="116"/>
  <c r="G6334" i="116"/>
  <c r="F6334" i="116"/>
  <c r="E6334" i="116"/>
  <c r="D6334" i="116"/>
  <c r="C6334" i="116"/>
  <c r="B6334" i="116"/>
  <c r="K6333" i="116"/>
  <c r="J6333" i="116"/>
  <c r="I6333" i="116"/>
  <c r="H6333" i="116"/>
  <c r="G6333" i="116"/>
  <c r="F6333" i="116"/>
  <c r="E6333" i="116"/>
  <c r="D6333" i="116"/>
  <c r="C6333" i="116"/>
  <c r="B6333" i="116"/>
  <c r="K6332" i="116"/>
  <c r="J6332" i="116"/>
  <c r="I6332" i="116"/>
  <c r="H6332" i="116"/>
  <c r="G6332" i="116"/>
  <c r="F6332" i="116"/>
  <c r="E6332" i="116"/>
  <c r="D6332" i="116"/>
  <c r="C6332" i="116"/>
  <c r="B6332" i="116"/>
  <c r="K6331" i="116"/>
  <c r="J6331" i="116"/>
  <c r="I6331" i="116"/>
  <c r="H6331" i="116"/>
  <c r="G6331" i="116"/>
  <c r="F6331" i="116"/>
  <c r="E6331" i="116"/>
  <c r="D6331" i="116"/>
  <c r="C6331" i="116"/>
  <c r="B6331" i="116"/>
  <c r="K6330" i="116"/>
  <c r="J6330" i="116"/>
  <c r="I6330" i="116"/>
  <c r="H6330" i="116"/>
  <c r="G6330" i="116"/>
  <c r="F6330" i="116"/>
  <c r="E6330" i="116"/>
  <c r="D6330" i="116"/>
  <c r="C6330" i="116"/>
  <c r="B6330" i="116"/>
  <c r="K6329" i="116"/>
  <c r="J6329" i="116"/>
  <c r="I6329" i="116"/>
  <c r="H6329" i="116"/>
  <c r="G6329" i="116"/>
  <c r="F6329" i="116"/>
  <c r="E6329" i="116"/>
  <c r="D6329" i="116"/>
  <c r="C6329" i="116"/>
  <c r="B6329" i="116"/>
  <c r="K6328" i="116"/>
  <c r="J6328" i="116"/>
  <c r="I6328" i="116"/>
  <c r="H6328" i="116"/>
  <c r="G6328" i="116"/>
  <c r="F6328" i="116"/>
  <c r="E6328" i="116"/>
  <c r="D6328" i="116"/>
  <c r="C6328" i="116"/>
  <c r="B6328" i="116"/>
  <c r="K6327" i="116"/>
  <c r="J6327" i="116"/>
  <c r="I6327" i="116"/>
  <c r="H6327" i="116"/>
  <c r="G6327" i="116"/>
  <c r="F6327" i="116"/>
  <c r="E6327" i="116"/>
  <c r="D6327" i="116"/>
  <c r="C6327" i="116"/>
  <c r="B6327" i="116"/>
  <c r="K6326" i="116"/>
  <c r="J6326" i="116"/>
  <c r="I6326" i="116"/>
  <c r="H6326" i="116"/>
  <c r="G6326" i="116"/>
  <c r="F6326" i="116"/>
  <c r="E6326" i="116"/>
  <c r="D6326" i="116"/>
  <c r="C6326" i="116"/>
  <c r="B6326" i="116"/>
  <c r="K6325" i="116"/>
  <c r="J6325" i="116"/>
  <c r="I6325" i="116"/>
  <c r="H6325" i="116"/>
  <c r="G6325" i="116"/>
  <c r="F6325" i="116"/>
  <c r="E6325" i="116"/>
  <c r="D6325" i="116"/>
  <c r="C6325" i="116"/>
  <c r="B6325" i="116"/>
  <c r="K6324" i="116"/>
  <c r="J6324" i="116"/>
  <c r="I6324" i="116"/>
  <c r="H6324" i="116"/>
  <c r="G6324" i="116"/>
  <c r="F6324" i="116"/>
  <c r="E6324" i="116"/>
  <c r="D6324" i="116"/>
  <c r="C6324" i="116"/>
  <c r="B6324" i="116"/>
  <c r="K6323" i="116"/>
  <c r="J6323" i="116"/>
  <c r="I6323" i="116"/>
  <c r="H6323" i="116"/>
  <c r="G6323" i="116"/>
  <c r="F6323" i="116"/>
  <c r="E6323" i="116"/>
  <c r="D6323" i="116"/>
  <c r="C6323" i="116"/>
  <c r="B6323" i="116"/>
  <c r="K6322" i="116"/>
  <c r="J6322" i="116"/>
  <c r="I6322" i="116"/>
  <c r="H6322" i="116"/>
  <c r="G6322" i="116"/>
  <c r="F6322" i="116"/>
  <c r="E6322" i="116"/>
  <c r="D6322" i="116"/>
  <c r="C6322" i="116"/>
  <c r="B6322" i="116"/>
  <c r="K6321" i="116"/>
  <c r="J6321" i="116"/>
  <c r="I6321" i="116"/>
  <c r="H6321" i="116"/>
  <c r="G6321" i="116"/>
  <c r="F6321" i="116"/>
  <c r="E6321" i="116"/>
  <c r="D6321" i="116"/>
  <c r="C6321" i="116"/>
  <c r="B6321" i="116"/>
  <c r="K6320" i="116"/>
  <c r="J6320" i="116"/>
  <c r="I6320" i="116"/>
  <c r="H6320" i="116"/>
  <c r="G6320" i="116"/>
  <c r="F6320" i="116"/>
  <c r="E6320" i="116"/>
  <c r="D6320" i="116"/>
  <c r="C6320" i="116"/>
  <c r="B6320" i="116"/>
  <c r="K6319" i="116"/>
  <c r="J6319" i="116"/>
  <c r="I6319" i="116"/>
  <c r="H6319" i="116"/>
  <c r="G6319" i="116"/>
  <c r="F6319" i="116"/>
  <c r="E6319" i="116"/>
  <c r="D6319" i="116"/>
  <c r="C6319" i="116"/>
  <c r="B6319" i="116"/>
  <c r="K6318" i="116"/>
  <c r="J6318" i="116"/>
  <c r="I6318" i="116"/>
  <c r="H6318" i="116"/>
  <c r="G6318" i="116"/>
  <c r="F6318" i="116"/>
  <c r="E6318" i="116"/>
  <c r="D6318" i="116"/>
  <c r="C6318" i="116"/>
  <c r="B6318" i="116"/>
  <c r="K6317" i="116"/>
  <c r="J6317" i="116"/>
  <c r="I6317" i="116"/>
  <c r="H6317" i="116"/>
  <c r="G6317" i="116"/>
  <c r="F6317" i="116"/>
  <c r="E6317" i="116"/>
  <c r="D6317" i="116"/>
  <c r="C6317" i="116"/>
  <c r="B6317" i="116"/>
  <c r="K6316" i="116"/>
  <c r="J6316" i="116"/>
  <c r="I6316" i="116"/>
  <c r="H6316" i="116"/>
  <c r="G6316" i="116"/>
  <c r="F6316" i="116"/>
  <c r="E6316" i="116"/>
  <c r="D6316" i="116"/>
  <c r="C6316" i="116"/>
  <c r="B6316" i="116"/>
  <c r="K6315" i="116"/>
  <c r="J6315" i="116"/>
  <c r="I6315" i="116"/>
  <c r="H6315" i="116"/>
  <c r="G6315" i="116"/>
  <c r="F6315" i="116"/>
  <c r="E6315" i="116"/>
  <c r="D6315" i="116"/>
  <c r="C6315" i="116"/>
  <c r="B6315" i="116"/>
  <c r="K6314" i="116"/>
  <c r="J6314" i="116"/>
  <c r="I6314" i="116"/>
  <c r="H6314" i="116"/>
  <c r="G6314" i="116"/>
  <c r="F6314" i="116"/>
  <c r="E6314" i="116"/>
  <c r="D6314" i="116"/>
  <c r="C6314" i="116"/>
  <c r="B6314" i="116"/>
  <c r="K6313" i="116"/>
  <c r="J6313" i="116"/>
  <c r="I6313" i="116"/>
  <c r="H6313" i="116"/>
  <c r="G6313" i="116"/>
  <c r="F6313" i="116"/>
  <c r="E6313" i="116"/>
  <c r="D6313" i="116"/>
  <c r="C6313" i="116"/>
  <c r="B6313" i="116"/>
  <c r="K6312" i="116"/>
  <c r="J6312" i="116"/>
  <c r="I6312" i="116"/>
  <c r="H6312" i="116"/>
  <c r="G6312" i="116"/>
  <c r="F6312" i="116"/>
  <c r="E6312" i="116"/>
  <c r="D6312" i="116"/>
  <c r="C6312" i="116"/>
  <c r="B6312" i="116"/>
  <c r="K6311" i="116"/>
  <c r="J6311" i="116"/>
  <c r="I6311" i="116"/>
  <c r="H6311" i="116"/>
  <c r="G6311" i="116"/>
  <c r="F6311" i="116"/>
  <c r="E6311" i="116"/>
  <c r="D6311" i="116"/>
  <c r="C6311" i="116"/>
  <c r="B6311" i="116"/>
  <c r="K6310" i="116"/>
  <c r="J6310" i="116"/>
  <c r="I6310" i="116"/>
  <c r="H6310" i="116"/>
  <c r="G6310" i="116"/>
  <c r="F6310" i="116"/>
  <c r="E6310" i="116"/>
  <c r="D6310" i="116"/>
  <c r="C6310" i="116"/>
  <c r="B6310" i="116"/>
  <c r="K6309" i="116"/>
  <c r="J6309" i="116"/>
  <c r="I6309" i="116"/>
  <c r="H6309" i="116"/>
  <c r="G6309" i="116"/>
  <c r="F6309" i="116"/>
  <c r="E6309" i="116"/>
  <c r="D6309" i="116"/>
  <c r="C6309" i="116"/>
  <c r="B6309" i="116"/>
  <c r="K6308" i="116"/>
  <c r="J6308" i="116"/>
  <c r="I6308" i="116"/>
  <c r="H6308" i="116"/>
  <c r="G6308" i="116"/>
  <c r="F6308" i="116"/>
  <c r="E6308" i="116"/>
  <c r="D6308" i="116"/>
  <c r="C6308" i="116"/>
  <c r="B6308" i="116"/>
  <c r="K6307" i="116"/>
  <c r="J6307" i="116"/>
  <c r="I6307" i="116"/>
  <c r="H6307" i="116"/>
  <c r="G6307" i="116"/>
  <c r="F6307" i="116"/>
  <c r="E6307" i="116"/>
  <c r="D6307" i="116"/>
  <c r="C6307" i="116"/>
  <c r="B6307" i="116"/>
  <c r="K6306" i="116"/>
  <c r="J6306" i="116"/>
  <c r="I6306" i="116"/>
  <c r="H6306" i="116"/>
  <c r="G6306" i="116"/>
  <c r="F6306" i="116"/>
  <c r="E6306" i="116"/>
  <c r="D6306" i="116"/>
  <c r="C6306" i="116"/>
  <c r="B6306" i="116"/>
  <c r="K6305" i="116"/>
  <c r="J6305" i="116"/>
  <c r="I6305" i="116"/>
  <c r="H6305" i="116"/>
  <c r="G6305" i="116"/>
  <c r="F6305" i="116"/>
  <c r="E6305" i="116"/>
  <c r="D6305" i="116"/>
  <c r="C6305" i="116"/>
  <c r="B6305" i="116"/>
  <c r="K6304" i="116"/>
  <c r="J6304" i="116"/>
  <c r="I6304" i="116"/>
  <c r="H6304" i="116"/>
  <c r="G6304" i="116"/>
  <c r="F6304" i="116"/>
  <c r="E6304" i="116"/>
  <c r="D6304" i="116"/>
  <c r="C6304" i="116"/>
  <c r="B6304" i="116"/>
  <c r="K6303" i="116"/>
  <c r="J6303" i="116"/>
  <c r="I6303" i="116"/>
  <c r="H6303" i="116"/>
  <c r="G6303" i="116"/>
  <c r="F6303" i="116"/>
  <c r="E6303" i="116"/>
  <c r="D6303" i="116"/>
  <c r="C6303" i="116"/>
  <c r="B6303" i="116"/>
  <c r="K6302" i="116"/>
  <c r="J6302" i="116"/>
  <c r="I6302" i="116"/>
  <c r="H6302" i="116"/>
  <c r="G6302" i="116"/>
  <c r="F6302" i="116"/>
  <c r="E6302" i="116"/>
  <c r="D6302" i="116"/>
  <c r="C6302" i="116"/>
  <c r="B6302" i="116"/>
  <c r="K6301" i="116"/>
  <c r="J6301" i="116"/>
  <c r="I6301" i="116"/>
  <c r="H6301" i="116"/>
  <c r="G6301" i="116"/>
  <c r="F6301" i="116"/>
  <c r="E6301" i="116"/>
  <c r="D6301" i="116"/>
  <c r="C6301" i="116"/>
  <c r="B6301" i="116"/>
  <c r="K6300" i="116"/>
  <c r="J6300" i="116"/>
  <c r="I6300" i="116"/>
  <c r="H6300" i="116"/>
  <c r="G6300" i="116"/>
  <c r="F6300" i="116"/>
  <c r="E6300" i="116"/>
  <c r="D6300" i="116"/>
  <c r="C6300" i="116"/>
  <c r="B6300" i="116"/>
  <c r="K6299" i="116"/>
  <c r="J6299" i="116"/>
  <c r="I6299" i="116"/>
  <c r="H6299" i="116"/>
  <c r="G6299" i="116"/>
  <c r="F6299" i="116"/>
  <c r="E6299" i="116"/>
  <c r="D6299" i="116"/>
  <c r="C6299" i="116"/>
  <c r="B6299" i="116"/>
  <c r="K6298" i="116"/>
  <c r="J6298" i="116"/>
  <c r="I6298" i="116"/>
  <c r="H6298" i="116"/>
  <c r="G6298" i="116"/>
  <c r="F6298" i="116"/>
  <c r="E6298" i="116"/>
  <c r="D6298" i="116"/>
  <c r="C6298" i="116"/>
  <c r="B6298" i="116"/>
  <c r="K6297" i="116"/>
  <c r="J6297" i="116"/>
  <c r="I6297" i="116"/>
  <c r="H6297" i="116"/>
  <c r="G6297" i="116"/>
  <c r="F6297" i="116"/>
  <c r="E6297" i="116"/>
  <c r="D6297" i="116"/>
  <c r="C6297" i="116"/>
  <c r="B6297" i="116"/>
  <c r="K6296" i="116"/>
  <c r="J6296" i="116"/>
  <c r="I6296" i="116"/>
  <c r="H6296" i="116"/>
  <c r="G6296" i="116"/>
  <c r="F6296" i="116"/>
  <c r="E6296" i="116"/>
  <c r="D6296" i="116"/>
  <c r="C6296" i="116"/>
  <c r="B6296" i="116"/>
  <c r="K6295" i="116"/>
  <c r="J6295" i="116"/>
  <c r="I6295" i="116"/>
  <c r="H6295" i="116"/>
  <c r="G6295" i="116"/>
  <c r="F6295" i="116"/>
  <c r="E6295" i="116"/>
  <c r="D6295" i="116"/>
  <c r="C6295" i="116"/>
  <c r="B6295" i="116"/>
  <c r="K6294" i="116"/>
  <c r="J6294" i="116"/>
  <c r="I6294" i="116"/>
  <c r="H6294" i="116"/>
  <c r="G6294" i="116"/>
  <c r="F6294" i="116"/>
  <c r="E6294" i="116"/>
  <c r="D6294" i="116"/>
  <c r="C6294" i="116"/>
  <c r="B6294" i="116"/>
  <c r="K6293" i="116"/>
  <c r="J6293" i="116"/>
  <c r="I6293" i="116"/>
  <c r="H6293" i="116"/>
  <c r="G6293" i="116"/>
  <c r="F6293" i="116"/>
  <c r="E6293" i="116"/>
  <c r="D6293" i="116"/>
  <c r="C6293" i="116"/>
  <c r="B6293" i="116"/>
  <c r="K6292" i="116"/>
  <c r="J6292" i="116"/>
  <c r="I6292" i="116"/>
  <c r="H6292" i="116"/>
  <c r="G6292" i="116"/>
  <c r="F6292" i="116"/>
  <c r="E6292" i="116"/>
  <c r="D6292" i="116"/>
  <c r="C6292" i="116"/>
  <c r="B6292" i="116"/>
  <c r="K6291" i="116"/>
  <c r="J6291" i="116"/>
  <c r="I6291" i="116"/>
  <c r="H6291" i="116"/>
  <c r="G6291" i="116"/>
  <c r="F6291" i="116"/>
  <c r="E6291" i="116"/>
  <c r="D6291" i="116"/>
  <c r="C6291" i="116"/>
  <c r="B6291" i="116"/>
  <c r="K6290" i="116"/>
  <c r="J6290" i="116"/>
  <c r="I6290" i="116"/>
  <c r="H6290" i="116"/>
  <c r="G6290" i="116"/>
  <c r="F6290" i="116"/>
  <c r="E6290" i="116"/>
  <c r="D6290" i="116"/>
  <c r="C6290" i="116"/>
  <c r="B6290" i="116"/>
  <c r="K6289" i="116"/>
  <c r="J6289" i="116"/>
  <c r="I6289" i="116"/>
  <c r="H6289" i="116"/>
  <c r="G6289" i="116"/>
  <c r="F6289" i="116"/>
  <c r="E6289" i="116"/>
  <c r="D6289" i="116"/>
  <c r="C6289" i="116"/>
  <c r="B6289" i="116"/>
  <c r="K6288" i="116"/>
  <c r="J6288" i="116"/>
  <c r="I6288" i="116"/>
  <c r="H6288" i="116"/>
  <c r="G6288" i="116"/>
  <c r="F6288" i="116"/>
  <c r="E6288" i="116"/>
  <c r="D6288" i="116"/>
  <c r="C6288" i="116"/>
  <c r="B6288" i="116"/>
  <c r="K6287" i="116"/>
  <c r="J6287" i="116"/>
  <c r="I6287" i="116"/>
  <c r="H6287" i="116"/>
  <c r="G6287" i="116"/>
  <c r="F6287" i="116"/>
  <c r="E6287" i="116"/>
  <c r="D6287" i="116"/>
  <c r="C6287" i="116"/>
  <c r="B6287" i="116"/>
  <c r="K6286" i="116"/>
  <c r="J6286" i="116"/>
  <c r="I6286" i="116"/>
  <c r="H6286" i="116"/>
  <c r="G6286" i="116"/>
  <c r="F6286" i="116"/>
  <c r="E6286" i="116"/>
  <c r="D6286" i="116"/>
  <c r="C6286" i="116"/>
  <c r="B6286" i="116"/>
  <c r="K6285" i="116"/>
  <c r="J6285" i="116"/>
  <c r="I6285" i="116"/>
  <c r="H6285" i="116"/>
  <c r="G6285" i="116"/>
  <c r="F6285" i="116"/>
  <c r="E6285" i="116"/>
  <c r="D6285" i="116"/>
  <c r="C6285" i="116"/>
  <c r="B6285" i="116"/>
  <c r="K6284" i="116"/>
  <c r="J6284" i="116"/>
  <c r="I6284" i="116"/>
  <c r="H6284" i="116"/>
  <c r="G6284" i="116"/>
  <c r="F6284" i="116"/>
  <c r="E6284" i="116"/>
  <c r="D6284" i="116"/>
  <c r="C6284" i="116"/>
  <c r="B6284" i="116"/>
  <c r="K6283" i="116"/>
  <c r="J6283" i="116"/>
  <c r="I6283" i="116"/>
  <c r="H6283" i="116"/>
  <c r="G6283" i="116"/>
  <c r="F6283" i="116"/>
  <c r="E6283" i="116"/>
  <c r="D6283" i="116"/>
  <c r="C6283" i="116"/>
  <c r="B6283" i="116"/>
  <c r="K6282" i="116"/>
  <c r="J6282" i="116"/>
  <c r="I6282" i="116"/>
  <c r="H6282" i="116"/>
  <c r="G6282" i="116"/>
  <c r="F6282" i="116"/>
  <c r="E6282" i="116"/>
  <c r="D6282" i="116"/>
  <c r="C6282" i="116"/>
  <c r="B6282" i="116"/>
  <c r="K6281" i="116"/>
  <c r="J6281" i="116"/>
  <c r="I6281" i="116"/>
  <c r="H6281" i="116"/>
  <c r="G6281" i="116"/>
  <c r="F6281" i="116"/>
  <c r="E6281" i="116"/>
  <c r="D6281" i="116"/>
  <c r="C6281" i="116"/>
  <c r="B6281" i="116"/>
  <c r="K6280" i="116"/>
  <c r="J6280" i="116"/>
  <c r="I6280" i="116"/>
  <c r="H6280" i="116"/>
  <c r="G6280" i="116"/>
  <c r="F6280" i="116"/>
  <c r="E6280" i="116"/>
  <c r="D6280" i="116"/>
  <c r="C6280" i="116"/>
  <c r="B6280" i="116"/>
  <c r="K6279" i="116"/>
  <c r="J6279" i="116"/>
  <c r="I6279" i="116"/>
  <c r="H6279" i="116"/>
  <c r="G6279" i="116"/>
  <c r="F6279" i="116"/>
  <c r="E6279" i="116"/>
  <c r="D6279" i="116"/>
  <c r="C6279" i="116"/>
  <c r="B6279" i="116"/>
  <c r="K6278" i="116"/>
  <c r="J6278" i="116"/>
  <c r="I6278" i="116"/>
  <c r="H6278" i="116"/>
  <c r="G6278" i="116"/>
  <c r="F6278" i="116"/>
  <c r="E6278" i="116"/>
  <c r="D6278" i="116"/>
  <c r="C6278" i="116"/>
  <c r="B6278" i="116"/>
  <c r="K6277" i="116"/>
  <c r="J6277" i="116"/>
  <c r="I6277" i="116"/>
  <c r="H6277" i="116"/>
  <c r="G6277" i="116"/>
  <c r="F6277" i="116"/>
  <c r="E6277" i="116"/>
  <c r="D6277" i="116"/>
  <c r="C6277" i="116"/>
  <c r="B6277" i="116"/>
  <c r="K6276" i="116"/>
  <c r="J6276" i="116"/>
  <c r="I6276" i="116"/>
  <c r="H6276" i="116"/>
  <c r="G6276" i="116"/>
  <c r="F6276" i="116"/>
  <c r="E6276" i="116"/>
  <c r="D6276" i="116"/>
  <c r="C6276" i="116"/>
  <c r="B6276" i="116"/>
  <c r="K6275" i="116"/>
  <c r="J6275" i="116"/>
  <c r="I6275" i="116"/>
  <c r="H6275" i="116"/>
  <c r="G6275" i="116"/>
  <c r="F6275" i="116"/>
  <c r="E6275" i="116"/>
  <c r="D6275" i="116"/>
  <c r="C6275" i="116"/>
  <c r="B6275" i="116"/>
  <c r="K6274" i="116"/>
  <c r="J6274" i="116"/>
  <c r="I6274" i="116"/>
  <c r="H6274" i="116"/>
  <c r="G6274" i="116"/>
  <c r="F6274" i="116"/>
  <c r="E6274" i="116"/>
  <c r="D6274" i="116"/>
  <c r="C6274" i="116"/>
  <c r="B6274" i="116"/>
  <c r="K6273" i="116"/>
  <c r="J6273" i="116"/>
  <c r="I6273" i="116"/>
  <c r="H6273" i="116"/>
  <c r="G6273" i="116"/>
  <c r="F6273" i="116"/>
  <c r="E6273" i="116"/>
  <c r="D6273" i="116"/>
  <c r="C6273" i="116"/>
  <c r="B6273" i="116"/>
  <c r="K6272" i="116"/>
  <c r="J6272" i="116"/>
  <c r="I6272" i="116"/>
  <c r="H6272" i="116"/>
  <c r="G6272" i="116"/>
  <c r="F6272" i="116"/>
  <c r="E6272" i="116"/>
  <c r="D6272" i="116"/>
  <c r="C6272" i="116"/>
  <c r="B6272" i="116"/>
  <c r="K6271" i="116"/>
  <c r="J6271" i="116"/>
  <c r="I6271" i="116"/>
  <c r="H6271" i="116"/>
  <c r="G6271" i="116"/>
  <c r="F6271" i="116"/>
  <c r="E6271" i="116"/>
  <c r="D6271" i="116"/>
  <c r="C6271" i="116"/>
  <c r="B6271" i="116"/>
  <c r="K6270" i="116"/>
  <c r="J6270" i="116"/>
  <c r="I6270" i="116"/>
  <c r="H6270" i="116"/>
  <c r="G6270" i="116"/>
  <c r="F6270" i="116"/>
  <c r="E6270" i="116"/>
  <c r="D6270" i="116"/>
  <c r="C6270" i="116"/>
  <c r="B6270" i="116"/>
  <c r="K6269" i="116"/>
  <c r="J6269" i="116"/>
  <c r="I6269" i="116"/>
  <c r="H6269" i="116"/>
  <c r="G6269" i="116"/>
  <c r="F6269" i="116"/>
  <c r="E6269" i="116"/>
  <c r="D6269" i="116"/>
  <c r="C6269" i="116"/>
  <c r="B6269" i="116"/>
  <c r="K6268" i="116"/>
  <c r="J6268" i="116"/>
  <c r="I6268" i="116"/>
  <c r="H6268" i="116"/>
  <c r="G6268" i="116"/>
  <c r="F6268" i="116"/>
  <c r="E6268" i="116"/>
  <c r="D6268" i="116"/>
  <c r="C6268" i="116"/>
  <c r="B6268" i="116"/>
  <c r="K6267" i="116"/>
  <c r="J6267" i="116"/>
  <c r="I6267" i="116"/>
  <c r="H6267" i="116"/>
  <c r="G6267" i="116"/>
  <c r="F6267" i="116"/>
  <c r="E6267" i="116"/>
  <c r="D6267" i="116"/>
  <c r="C6267" i="116"/>
  <c r="B6267" i="116"/>
  <c r="K6266" i="116"/>
  <c r="J6266" i="116"/>
  <c r="I6266" i="116"/>
  <c r="H6266" i="116"/>
  <c r="G6266" i="116"/>
  <c r="F6266" i="116"/>
  <c r="E6266" i="116"/>
  <c r="D6266" i="116"/>
  <c r="C6266" i="116"/>
  <c r="B6266" i="116"/>
  <c r="K6265" i="116"/>
  <c r="J6265" i="116"/>
  <c r="I6265" i="116"/>
  <c r="H6265" i="116"/>
  <c r="G6265" i="116"/>
  <c r="F6265" i="116"/>
  <c r="E6265" i="116"/>
  <c r="D6265" i="116"/>
  <c r="C6265" i="116"/>
  <c r="B6265" i="116"/>
  <c r="K6264" i="116"/>
  <c r="J6264" i="116"/>
  <c r="I6264" i="116"/>
  <c r="H6264" i="116"/>
  <c r="G6264" i="116"/>
  <c r="F6264" i="116"/>
  <c r="E6264" i="116"/>
  <c r="D6264" i="116"/>
  <c r="C6264" i="116"/>
  <c r="B6264" i="116"/>
  <c r="K6263" i="116"/>
  <c r="J6263" i="116"/>
  <c r="I6263" i="116"/>
  <c r="H6263" i="116"/>
  <c r="G6263" i="116"/>
  <c r="F6263" i="116"/>
  <c r="E6263" i="116"/>
  <c r="D6263" i="116"/>
  <c r="C6263" i="116"/>
  <c r="B6263" i="116"/>
  <c r="K6262" i="116"/>
  <c r="J6262" i="116"/>
  <c r="I6262" i="116"/>
  <c r="H6262" i="116"/>
  <c r="G6262" i="116"/>
  <c r="F6262" i="116"/>
  <c r="E6262" i="116"/>
  <c r="D6262" i="116"/>
  <c r="C6262" i="116"/>
  <c r="B6262" i="116"/>
  <c r="K6261" i="116"/>
  <c r="J6261" i="116"/>
  <c r="I6261" i="116"/>
  <c r="H6261" i="116"/>
  <c r="G6261" i="116"/>
  <c r="F6261" i="116"/>
  <c r="E6261" i="116"/>
  <c r="D6261" i="116"/>
  <c r="C6261" i="116"/>
  <c r="B6261" i="116"/>
  <c r="K6260" i="116"/>
  <c r="J6260" i="116"/>
  <c r="I6260" i="116"/>
  <c r="H6260" i="116"/>
  <c r="G6260" i="116"/>
  <c r="F6260" i="116"/>
  <c r="E6260" i="116"/>
  <c r="D6260" i="116"/>
  <c r="C6260" i="116"/>
  <c r="B6260" i="116"/>
  <c r="K6259" i="116"/>
  <c r="J6259" i="116"/>
  <c r="I6259" i="116"/>
  <c r="H6259" i="116"/>
  <c r="G6259" i="116"/>
  <c r="F6259" i="116"/>
  <c r="E6259" i="116"/>
  <c r="D6259" i="116"/>
  <c r="C6259" i="116"/>
  <c r="B6259" i="116"/>
  <c r="K6258" i="116"/>
  <c r="J6258" i="116"/>
  <c r="I6258" i="116"/>
  <c r="H6258" i="116"/>
  <c r="G6258" i="116"/>
  <c r="F6258" i="116"/>
  <c r="E6258" i="116"/>
  <c r="D6258" i="116"/>
  <c r="C6258" i="116"/>
  <c r="B6258" i="116"/>
  <c r="K6257" i="116"/>
  <c r="J6257" i="116"/>
  <c r="I6257" i="116"/>
  <c r="H6257" i="116"/>
  <c r="G6257" i="116"/>
  <c r="F6257" i="116"/>
  <c r="E6257" i="116"/>
  <c r="D6257" i="116"/>
  <c r="C6257" i="116"/>
  <c r="B6257" i="116"/>
  <c r="K6256" i="116"/>
  <c r="J6256" i="116"/>
  <c r="I6256" i="116"/>
  <c r="H6256" i="116"/>
  <c r="G6256" i="116"/>
  <c r="F6256" i="116"/>
  <c r="E6256" i="116"/>
  <c r="D6256" i="116"/>
  <c r="C6256" i="116"/>
  <c r="B6256" i="116"/>
  <c r="K6255" i="116"/>
  <c r="J6255" i="116"/>
  <c r="I6255" i="116"/>
  <c r="H6255" i="116"/>
  <c r="G6255" i="116"/>
  <c r="F6255" i="116"/>
  <c r="E6255" i="116"/>
  <c r="D6255" i="116"/>
  <c r="C6255" i="116"/>
  <c r="B6255" i="116"/>
  <c r="K6254" i="116"/>
  <c r="J6254" i="116"/>
  <c r="I6254" i="116"/>
  <c r="H6254" i="116"/>
  <c r="G6254" i="116"/>
  <c r="F6254" i="116"/>
  <c r="E6254" i="116"/>
  <c r="D6254" i="116"/>
  <c r="C6254" i="116"/>
  <c r="B6254" i="116"/>
  <c r="K6253" i="116"/>
  <c r="J6253" i="116"/>
  <c r="I6253" i="116"/>
  <c r="H6253" i="116"/>
  <c r="G6253" i="116"/>
  <c r="F6253" i="116"/>
  <c r="E6253" i="116"/>
  <c r="D6253" i="116"/>
  <c r="C6253" i="116"/>
  <c r="B6253" i="116"/>
  <c r="K6252" i="116"/>
  <c r="J6252" i="116"/>
  <c r="I6252" i="116"/>
  <c r="H6252" i="116"/>
  <c r="G6252" i="116"/>
  <c r="F6252" i="116"/>
  <c r="E6252" i="116"/>
  <c r="D6252" i="116"/>
  <c r="C6252" i="116"/>
  <c r="B6252" i="116"/>
  <c r="K6251" i="116"/>
  <c r="J6251" i="116"/>
  <c r="I6251" i="116"/>
  <c r="H6251" i="116"/>
  <c r="G6251" i="116"/>
  <c r="F6251" i="116"/>
  <c r="E6251" i="116"/>
  <c r="D6251" i="116"/>
  <c r="C6251" i="116"/>
  <c r="B6251" i="116"/>
  <c r="K6250" i="116"/>
  <c r="J6250" i="116"/>
  <c r="I6250" i="116"/>
  <c r="H6250" i="116"/>
  <c r="G6250" i="116"/>
  <c r="F6250" i="116"/>
  <c r="E6250" i="116"/>
  <c r="D6250" i="116"/>
  <c r="C6250" i="116"/>
  <c r="B6250" i="116"/>
  <c r="K6249" i="116"/>
  <c r="J6249" i="116"/>
  <c r="I6249" i="116"/>
  <c r="H6249" i="116"/>
  <c r="G6249" i="116"/>
  <c r="F6249" i="116"/>
  <c r="E6249" i="116"/>
  <c r="D6249" i="116"/>
  <c r="C6249" i="116"/>
  <c r="B6249" i="116"/>
  <c r="K6248" i="116"/>
  <c r="J6248" i="116"/>
  <c r="I6248" i="116"/>
  <c r="H6248" i="116"/>
  <c r="G6248" i="116"/>
  <c r="F6248" i="116"/>
  <c r="E6248" i="116"/>
  <c r="D6248" i="116"/>
  <c r="C6248" i="116"/>
  <c r="B6248" i="116"/>
  <c r="K6247" i="116"/>
  <c r="J6247" i="116"/>
  <c r="I6247" i="116"/>
  <c r="H6247" i="116"/>
  <c r="G6247" i="116"/>
  <c r="F6247" i="116"/>
  <c r="E6247" i="116"/>
  <c r="D6247" i="116"/>
  <c r="C6247" i="116"/>
  <c r="B6247" i="116"/>
  <c r="K6246" i="116"/>
  <c r="J6246" i="116"/>
  <c r="I6246" i="116"/>
  <c r="H6246" i="116"/>
  <c r="G6246" i="116"/>
  <c r="F6246" i="116"/>
  <c r="E6246" i="116"/>
  <c r="D6246" i="116"/>
  <c r="C6246" i="116"/>
  <c r="B6246" i="116"/>
  <c r="K6245" i="116"/>
  <c r="J6245" i="116"/>
  <c r="I6245" i="116"/>
  <c r="H6245" i="116"/>
  <c r="G6245" i="116"/>
  <c r="F6245" i="116"/>
  <c r="E6245" i="116"/>
  <c r="D6245" i="116"/>
  <c r="C6245" i="116"/>
  <c r="B6245" i="116"/>
  <c r="K6244" i="116"/>
  <c r="J6244" i="116"/>
  <c r="I6244" i="116"/>
  <c r="H6244" i="116"/>
  <c r="G6244" i="116"/>
  <c r="F6244" i="116"/>
  <c r="E6244" i="116"/>
  <c r="D6244" i="116"/>
  <c r="C6244" i="116"/>
  <c r="B6244" i="116"/>
  <c r="K6243" i="116"/>
  <c r="J6243" i="116"/>
  <c r="I6243" i="116"/>
  <c r="H6243" i="116"/>
  <c r="G6243" i="116"/>
  <c r="F6243" i="116"/>
  <c r="E6243" i="116"/>
  <c r="D6243" i="116"/>
  <c r="C6243" i="116"/>
  <c r="B6243" i="116"/>
  <c r="K6242" i="116"/>
  <c r="J6242" i="116"/>
  <c r="I6242" i="116"/>
  <c r="H6242" i="116"/>
  <c r="G6242" i="116"/>
  <c r="F6242" i="116"/>
  <c r="E6242" i="116"/>
  <c r="D6242" i="116"/>
  <c r="C6242" i="116"/>
  <c r="B6242" i="116"/>
  <c r="K6241" i="116"/>
  <c r="J6241" i="116"/>
  <c r="I6241" i="116"/>
  <c r="H6241" i="116"/>
  <c r="G6241" i="116"/>
  <c r="F6241" i="116"/>
  <c r="E6241" i="116"/>
  <c r="D6241" i="116"/>
  <c r="C6241" i="116"/>
  <c r="B6241" i="116"/>
  <c r="K6240" i="116"/>
  <c r="J6240" i="116"/>
  <c r="I6240" i="116"/>
  <c r="H6240" i="116"/>
  <c r="G6240" i="116"/>
  <c r="F6240" i="116"/>
  <c r="E6240" i="116"/>
  <c r="D6240" i="116"/>
  <c r="C6240" i="116"/>
  <c r="B6240" i="116"/>
  <c r="K6239" i="116"/>
  <c r="J6239" i="116"/>
  <c r="I6239" i="116"/>
  <c r="H6239" i="116"/>
  <c r="G6239" i="116"/>
  <c r="F6239" i="116"/>
  <c r="E6239" i="116"/>
  <c r="D6239" i="116"/>
  <c r="C6239" i="116"/>
  <c r="B6239" i="116"/>
  <c r="K6238" i="116"/>
  <c r="J6238" i="116"/>
  <c r="I6238" i="116"/>
  <c r="H6238" i="116"/>
  <c r="G6238" i="116"/>
  <c r="F6238" i="116"/>
  <c r="E6238" i="116"/>
  <c r="D6238" i="116"/>
  <c r="C6238" i="116"/>
  <c r="B6238" i="116"/>
  <c r="K6237" i="116"/>
  <c r="J6237" i="116"/>
  <c r="I6237" i="116"/>
  <c r="H6237" i="116"/>
  <c r="G6237" i="116"/>
  <c r="F6237" i="116"/>
  <c r="E6237" i="116"/>
  <c r="D6237" i="116"/>
  <c r="C6237" i="116"/>
  <c r="B6237" i="116"/>
  <c r="K6236" i="116"/>
  <c r="J6236" i="116"/>
  <c r="I6236" i="116"/>
  <c r="H6236" i="116"/>
  <c r="G6236" i="116"/>
  <c r="F6236" i="116"/>
  <c r="E6236" i="116"/>
  <c r="D6236" i="116"/>
  <c r="C6236" i="116"/>
  <c r="B6236" i="116"/>
  <c r="K6235" i="116"/>
  <c r="J6235" i="116"/>
  <c r="I6235" i="116"/>
  <c r="H6235" i="116"/>
  <c r="G6235" i="116"/>
  <c r="F6235" i="116"/>
  <c r="E6235" i="116"/>
  <c r="D6235" i="116"/>
  <c r="C6235" i="116"/>
  <c r="B6235" i="116"/>
  <c r="K6234" i="116"/>
  <c r="J6234" i="116"/>
  <c r="I6234" i="116"/>
  <c r="H6234" i="116"/>
  <c r="G6234" i="116"/>
  <c r="F6234" i="116"/>
  <c r="E6234" i="116"/>
  <c r="D6234" i="116"/>
  <c r="C6234" i="116"/>
  <c r="B6234" i="116"/>
  <c r="K6233" i="116"/>
  <c r="J6233" i="116"/>
  <c r="I6233" i="116"/>
  <c r="H6233" i="116"/>
  <c r="G6233" i="116"/>
  <c r="F6233" i="116"/>
  <c r="E6233" i="116"/>
  <c r="D6233" i="116"/>
  <c r="C6233" i="116"/>
  <c r="B6233" i="116"/>
  <c r="K6232" i="116"/>
  <c r="J6232" i="116"/>
  <c r="I6232" i="116"/>
  <c r="H6232" i="116"/>
  <c r="G6232" i="116"/>
  <c r="F6232" i="116"/>
  <c r="E6232" i="116"/>
  <c r="D6232" i="116"/>
  <c r="C6232" i="116"/>
  <c r="B6232" i="116"/>
  <c r="K6231" i="116"/>
  <c r="J6231" i="116"/>
  <c r="I6231" i="116"/>
  <c r="H6231" i="116"/>
  <c r="G6231" i="116"/>
  <c r="F6231" i="116"/>
  <c r="E6231" i="116"/>
  <c r="D6231" i="116"/>
  <c r="C6231" i="116"/>
  <c r="B6231" i="116"/>
  <c r="K6230" i="116"/>
  <c r="J6230" i="116"/>
  <c r="I6230" i="116"/>
  <c r="H6230" i="116"/>
  <c r="G6230" i="116"/>
  <c r="F6230" i="116"/>
  <c r="E6230" i="116"/>
  <c r="D6230" i="116"/>
  <c r="C6230" i="116"/>
  <c r="B6230" i="116"/>
  <c r="K6229" i="116"/>
  <c r="J6229" i="116"/>
  <c r="I6229" i="116"/>
  <c r="H6229" i="116"/>
  <c r="G6229" i="116"/>
  <c r="F6229" i="116"/>
  <c r="E6229" i="116"/>
  <c r="D6229" i="116"/>
  <c r="C6229" i="116"/>
  <c r="B6229" i="116"/>
  <c r="K6228" i="116"/>
  <c r="J6228" i="116"/>
  <c r="I6228" i="116"/>
  <c r="H6228" i="116"/>
  <c r="G6228" i="116"/>
  <c r="F6228" i="116"/>
  <c r="E6228" i="116"/>
  <c r="D6228" i="116"/>
  <c r="C6228" i="116"/>
  <c r="B6228" i="116"/>
  <c r="K6227" i="116"/>
  <c r="J6227" i="116"/>
  <c r="I6227" i="116"/>
  <c r="H6227" i="116"/>
  <c r="G6227" i="116"/>
  <c r="F6227" i="116"/>
  <c r="E6227" i="116"/>
  <c r="D6227" i="116"/>
  <c r="C6227" i="116"/>
  <c r="B6227" i="116"/>
  <c r="K6226" i="116"/>
  <c r="J6226" i="116"/>
  <c r="I6226" i="116"/>
  <c r="H6226" i="116"/>
  <c r="G6226" i="116"/>
  <c r="F6226" i="116"/>
  <c r="E6226" i="116"/>
  <c r="D6226" i="116"/>
  <c r="C6226" i="116"/>
  <c r="B6226" i="116"/>
  <c r="K6225" i="116"/>
  <c r="J6225" i="116"/>
  <c r="I6225" i="116"/>
  <c r="H6225" i="116"/>
  <c r="G6225" i="116"/>
  <c r="F6225" i="116"/>
  <c r="E6225" i="116"/>
  <c r="D6225" i="116"/>
  <c r="C6225" i="116"/>
  <c r="B6225" i="116"/>
  <c r="K6224" i="116"/>
  <c r="J6224" i="116"/>
  <c r="I6224" i="116"/>
  <c r="H6224" i="116"/>
  <c r="G6224" i="116"/>
  <c r="F6224" i="116"/>
  <c r="E6224" i="116"/>
  <c r="D6224" i="116"/>
  <c r="C6224" i="116"/>
  <c r="B6224" i="116"/>
  <c r="K6223" i="116"/>
  <c r="J6223" i="116"/>
  <c r="I6223" i="116"/>
  <c r="H6223" i="116"/>
  <c r="G6223" i="116"/>
  <c r="F6223" i="116"/>
  <c r="E6223" i="116"/>
  <c r="D6223" i="116"/>
  <c r="C6223" i="116"/>
  <c r="B6223" i="116"/>
  <c r="K6222" i="116"/>
  <c r="J6222" i="116"/>
  <c r="I6222" i="116"/>
  <c r="H6222" i="116"/>
  <c r="G6222" i="116"/>
  <c r="F6222" i="116"/>
  <c r="E6222" i="116"/>
  <c r="D6222" i="116"/>
  <c r="C6222" i="116"/>
  <c r="B6222" i="116"/>
  <c r="K6221" i="116"/>
  <c r="J6221" i="116"/>
  <c r="I6221" i="116"/>
  <c r="H6221" i="116"/>
  <c r="G6221" i="116"/>
  <c r="F6221" i="116"/>
  <c r="E6221" i="116"/>
  <c r="D6221" i="116"/>
  <c r="C6221" i="116"/>
  <c r="B6221" i="116"/>
  <c r="K6220" i="116"/>
  <c r="J6220" i="116"/>
  <c r="I6220" i="116"/>
  <c r="H6220" i="116"/>
  <c r="G6220" i="116"/>
  <c r="F6220" i="116"/>
  <c r="E6220" i="116"/>
  <c r="D6220" i="116"/>
  <c r="C6220" i="116"/>
  <c r="B6220" i="116"/>
  <c r="K6219" i="116"/>
  <c r="J6219" i="116"/>
  <c r="I6219" i="116"/>
  <c r="H6219" i="116"/>
  <c r="G6219" i="116"/>
  <c r="F6219" i="116"/>
  <c r="E6219" i="116"/>
  <c r="D6219" i="116"/>
  <c r="C6219" i="116"/>
  <c r="B6219" i="116"/>
  <c r="K6218" i="116"/>
  <c r="J6218" i="116"/>
  <c r="I6218" i="116"/>
  <c r="H6218" i="116"/>
  <c r="G6218" i="116"/>
  <c r="F6218" i="116"/>
  <c r="E6218" i="116"/>
  <c r="D6218" i="116"/>
  <c r="C6218" i="116"/>
  <c r="B6218" i="116"/>
  <c r="K6217" i="116"/>
  <c r="J6217" i="116"/>
  <c r="I6217" i="116"/>
  <c r="H6217" i="116"/>
  <c r="G6217" i="116"/>
  <c r="F6217" i="116"/>
  <c r="E6217" i="116"/>
  <c r="D6217" i="116"/>
  <c r="C6217" i="116"/>
  <c r="B6217" i="116"/>
  <c r="K6216" i="116"/>
  <c r="J6216" i="116"/>
  <c r="I6216" i="116"/>
  <c r="H6216" i="116"/>
  <c r="G6216" i="116"/>
  <c r="F6216" i="116"/>
  <c r="E6216" i="116"/>
  <c r="D6216" i="116"/>
  <c r="C6216" i="116"/>
  <c r="B6216" i="116"/>
  <c r="K6215" i="116"/>
  <c r="J6215" i="116"/>
  <c r="I6215" i="116"/>
  <c r="H6215" i="116"/>
  <c r="G6215" i="116"/>
  <c r="F6215" i="116"/>
  <c r="E6215" i="116"/>
  <c r="D6215" i="116"/>
  <c r="C6215" i="116"/>
  <c r="B6215" i="116"/>
  <c r="K6214" i="116"/>
  <c r="J6214" i="116"/>
  <c r="I6214" i="116"/>
  <c r="H6214" i="116"/>
  <c r="G6214" i="116"/>
  <c r="F6214" i="116"/>
  <c r="E6214" i="116"/>
  <c r="D6214" i="116"/>
  <c r="C6214" i="116"/>
  <c r="B6214" i="116"/>
  <c r="K6213" i="116"/>
  <c r="J6213" i="116"/>
  <c r="I6213" i="116"/>
  <c r="H6213" i="116"/>
  <c r="G6213" i="116"/>
  <c r="F6213" i="116"/>
  <c r="E6213" i="116"/>
  <c r="D6213" i="116"/>
  <c r="C6213" i="116"/>
  <c r="B6213" i="116"/>
  <c r="K6212" i="116"/>
  <c r="J6212" i="116"/>
  <c r="I6212" i="116"/>
  <c r="H6212" i="116"/>
  <c r="G6212" i="116"/>
  <c r="F6212" i="116"/>
  <c r="E6212" i="116"/>
  <c r="D6212" i="116"/>
  <c r="C6212" i="116"/>
  <c r="B6212" i="116"/>
  <c r="K6211" i="116"/>
  <c r="J6211" i="116"/>
  <c r="I6211" i="116"/>
  <c r="H6211" i="116"/>
  <c r="G6211" i="116"/>
  <c r="F6211" i="116"/>
  <c r="E6211" i="116"/>
  <c r="D6211" i="116"/>
  <c r="C6211" i="116"/>
  <c r="B6211" i="116"/>
  <c r="K6210" i="116"/>
  <c r="J6210" i="116"/>
  <c r="I6210" i="116"/>
  <c r="H6210" i="116"/>
  <c r="G6210" i="116"/>
  <c r="F6210" i="116"/>
  <c r="E6210" i="116"/>
  <c r="D6210" i="116"/>
  <c r="C6210" i="116"/>
  <c r="B6210" i="116"/>
  <c r="K6209" i="116"/>
  <c r="J6209" i="116"/>
  <c r="I6209" i="116"/>
  <c r="H6209" i="116"/>
  <c r="G6209" i="116"/>
  <c r="F6209" i="116"/>
  <c r="E6209" i="116"/>
  <c r="D6209" i="116"/>
  <c r="C6209" i="116"/>
  <c r="B6209" i="116"/>
  <c r="K6208" i="116"/>
  <c r="J6208" i="116"/>
  <c r="I6208" i="116"/>
  <c r="H6208" i="116"/>
  <c r="G6208" i="116"/>
  <c r="F6208" i="116"/>
  <c r="E6208" i="116"/>
  <c r="D6208" i="116"/>
  <c r="C6208" i="116"/>
  <c r="B6208" i="116"/>
  <c r="K6207" i="116"/>
  <c r="J6207" i="116"/>
  <c r="I6207" i="116"/>
  <c r="H6207" i="116"/>
  <c r="G6207" i="116"/>
  <c r="F6207" i="116"/>
  <c r="E6207" i="116"/>
  <c r="D6207" i="116"/>
  <c r="C6207" i="116"/>
  <c r="B6207" i="116"/>
  <c r="K6206" i="116"/>
  <c r="J6206" i="116"/>
  <c r="I6206" i="116"/>
  <c r="H6206" i="116"/>
  <c r="G6206" i="116"/>
  <c r="F6206" i="116"/>
  <c r="E6206" i="116"/>
  <c r="D6206" i="116"/>
  <c r="C6206" i="116"/>
  <c r="B6206" i="116"/>
  <c r="K6205" i="116"/>
  <c r="J6205" i="116"/>
  <c r="I6205" i="116"/>
  <c r="H6205" i="116"/>
  <c r="G6205" i="116"/>
  <c r="F6205" i="116"/>
  <c r="E6205" i="116"/>
  <c r="D6205" i="116"/>
  <c r="C6205" i="116"/>
  <c r="B6205" i="116"/>
  <c r="K6204" i="116"/>
  <c r="J6204" i="116"/>
  <c r="I6204" i="116"/>
  <c r="H6204" i="116"/>
  <c r="G6204" i="116"/>
  <c r="F6204" i="116"/>
  <c r="E6204" i="116"/>
  <c r="D6204" i="116"/>
  <c r="C6204" i="116"/>
  <c r="B6204" i="116"/>
  <c r="K6203" i="116"/>
  <c r="J6203" i="116"/>
  <c r="I6203" i="116"/>
  <c r="H6203" i="116"/>
  <c r="G6203" i="116"/>
  <c r="F6203" i="116"/>
  <c r="E6203" i="116"/>
  <c r="D6203" i="116"/>
  <c r="C6203" i="116"/>
  <c r="B6203" i="116"/>
  <c r="K6202" i="116"/>
  <c r="J6202" i="116"/>
  <c r="I6202" i="116"/>
  <c r="H6202" i="116"/>
  <c r="G6202" i="116"/>
  <c r="F6202" i="116"/>
  <c r="E6202" i="116"/>
  <c r="D6202" i="116"/>
  <c r="C6202" i="116"/>
  <c r="B6202" i="116"/>
  <c r="K6201" i="116"/>
  <c r="J6201" i="116"/>
  <c r="I6201" i="116"/>
  <c r="H6201" i="116"/>
  <c r="G6201" i="116"/>
  <c r="F6201" i="116"/>
  <c r="E6201" i="116"/>
  <c r="D6201" i="116"/>
  <c r="C6201" i="116"/>
  <c r="B6201" i="116"/>
  <c r="K6200" i="116"/>
  <c r="J6200" i="116"/>
  <c r="I6200" i="116"/>
  <c r="H6200" i="116"/>
  <c r="G6200" i="116"/>
  <c r="F6200" i="116"/>
  <c r="E6200" i="116"/>
  <c r="D6200" i="116"/>
  <c r="C6200" i="116"/>
  <c r="B6200" i="116"/>
  <c r="K6199" i="116"/>
  <c r="J6199" i="116"/>
  <c r="I6199" i="116"/>
  <c r="H6199" i="116"/>
  <c r="G6199" i="116"/>
  <c r="F6199" i="116"/>
  <c r="E6199" i="116"/>
  <c r="D6199" i="116"/>
  <c r="C6199" i="116"/>
  <c r="B6199" i="116"/>
  <c r="K6198" i="116"/>
  <c r="J6198" i="116"/>
  <c r="I6198" i="116"/>
  <c r="H6198" i="116"/>
  <c r="G6198" i="116"/>
  <c r="F6198" i="116"/>
  <c r="E6198" i="116"/>
  <c r="D6198" i="116"/>
  <c r="C6198" i="116"/>
  <c r="B6198" i="116"/>
  <c r="K6197" i="116"/>
  <c r="J6197" i="116"/>
  <c r="I6197" i="116"/>
  <c r="H6197" i="116"/>
  <c r="G6197" i="116"/>
  <c r="F6197" i="116"/>
  <c r="E6197" i="116"/>
  <c r="D6197" i="116"/>
  <c r="C6197" i="116"/>
  <c r="B6197" i="116"/>
  <c r="K6196" i="116"/>
  <c r="J6196" i="116"/>
  <c r="I6196" i="116"/>
  <c r="H6196" i="116"/>
  <c r="G6196" i="116"/>
  <c r="F6196" i="116"/>
  <c r="E6196" i="116"/>
  <c r="D6196" i="116"/>
  <c r="C6196" i="116"/>
  <c r="B6196" i="116"/>
  <c r="K6195" i="116"/>
  <c r="J6195" i="116"/>
  <c r="I6195" i="116"/>
  <c r="H6195" i="116"/>
  <c r="G6195" i="116"/>
  <c r="F6195" i="116"/>
  <c r="E6195" i="116"/>
  <c r="D6195" i="116"/>
  <c r="C6195" i="116"/>
  <c r="B6195" i="116"/>
  <c r="K6194" i="116"/>
  <c r="J6194" i="116"/>
  <c r="I6194" i="116"/>
  <c r="H6194" i="116"/>
  <c r="G6194" i="116"/>
  <c r="F6194" i="116"/>
  <c r="E6194" i="116"/>
  <c r="D6194" i="116"/>
  <c r="C6194" i="116"/>
  <c r="B6194" i="116"/>
  <c r="K6193" i="116"/>
  <c r="J6193" i="116"/>
  <c r="I6193" i="116"/>
  <c r="H6193" i="116"/>
  <c r="G6193" i="116"/>
  <c r="F6193" i="116"/>
  <c r="E6193" i="116"/>
  <c r="D6193" i="116"/>
  <c r="C6193" i="116"/>
  <c r="B6193" i="116"/>
  <c r="K6192" i="116"/>
  <c r="J6192" i="116"/>
  <c r="I6192" i="116"/>
  <c r="H6192" i="116"/>
  <c r="G6192" i="116"/>
  <c r="F6192" i="116"/>
  <c r="E6192" i="116"/>
  <c r="D6192" i="116"/>
  <c r="C6192" i="116"/>
  <c r="B6192" i="116"/>
  <c r="K6191" i="116"/>
  <c r="J6191" i="116"/>
  <c r="I6191" i="116"/>
  <c r="H6191" i="116"/>
  <c r="G6191" i="116"/>
  <c r="F6191" i="116"/>
  <c r="E6191" i="116"/>
  <c r="D6191" i="116"/>
  <c r="C6191" i="116"/>
  <c r="B6191" i="116"/>
  <c r="K6190" i="116"/>
  <c r="J6190" i="116"/>
  <c r="I6190" i="116"/>
  <c r="H6190" i="116"/>
  <c r="G6190" i="116"/>
  <c r="F6190" i="116"/>
  <c r="E6190" i="116"/>
  <c r="D6190" i="116"/>
  <c r="C6190" i="116"/>
  <c r="B6190" i="116"/>
  <c r="K6189" i="116"/>
  <c r="J6189" i="116"/>
  <c r="I6189" i="116"/>
  <c r="H6189" i="116"/>
  <c r="G6189" i="116"/>
  <c r="F6189" i="116"/>
  <c r="E6189" i="116"/>
  <c r="D6189" i="116"/>
  <c r="C6189" i="116"/>
  <c r="B6189" i="116"/>
  <c r="K6188" i="116"/>
  <c r="J6188" i="116"/>
  <c r="I6188" i="116"/>
  <c r="H6188" i="116"/>
  <c r="G6188" i="116"/>
  <c r="F6188" i="116"/>
  <c r="E6188" i="116"/>
  <c r="D6188" i="116"/>
  <c r="C6188" i="116"/>
  <c r="B6188" i="116"/>
  <c r="K6187" i="116"/>
  <c r="J6187" i="116"/>
  <c r="I6187" i="116"/>
  <c r="H6187" i="116"/>
  <c r="G6187" i="116"/>
  <c r="F6187" i="116"/>
  <c r="E6187" i="116"/>
  <c r="D6187" i="116"/>
  <c r="C6187" i="116"/>
  <c r="B6187" i="116"/>
  <c r="K6186" i="116"/>
  <c r="J6186" i="116"/>
  <c r="I6186" i="116"/>
  <c r="H6186" i="116"/>
  <c r="G6186" i="116"/>
  <c r="F6186" i="116"/>
  <c r="E6186" i="116"/>
  <c r="D6186" i="116"/>
  <c r="C6186" i="116"/>
  <c r="B6186" i="116"/>
  <c r="K6185" i="116"/>
  <c r="J6185" i="116"/>
  <c r="I6185" i="116"/>
  <c r="H6185" i="116"/>
  <c r="G6185" i="116"/>
  <c r="F6185" i="116"/>
  <c r="E6185" i="116"/>
  <c r="D6185" i="116"/>
  <c r="C6185" i="116"/>
  <c r="B6185" i="116"/>
  <c r="K6184" i="116"/>
  <c r="J6184" i="116"/>
  <c r="I6184" i="116"/>
  <c r="H6184" i="116"/>
  <c r="G6184" i="116"/>
  <c r="F6184" i="116"/>
  <c r="E6184" i="116"/>
  <c r="D6184" i="116"/>
  <c r="C6184" i="116"/>
  <c r="B6184" i="116"/>
  <c r="K6183" i="116"/>
  <c r="J6183" i="116"/>
  <c r="I6183" i="116"/>
  <c r="H6183" i="116"/>
  <c r="G6183" i="116"/>
  <c r="F6183" i="116"/>
  <c r="E6183" i="116"/>
  <c r="D6183" i="116"/>
  <c r="C6183" i="116"/>
  <c r="B6183" i="116"/>
  <c r="K6182" i="116"/>
  <c r="J6182" i="116"/>
  <c r="I6182" i="116"/>
  <c r="H6182" i="116"/>
  <c r="G6182" i="116"/>
  <c r="F6182" i="116"/>
  <c r="E6182" i="116"/>
  <c r="D6182" i="116"/>
  <c r="C6182" i="116"/>
  <c r="B6182" i="116"/>
  <c r="K6181" i="116"/>
  <c r="J6181" i="116"/>
  <c r="I6181" i="116"/>
  <c r="H6181" i="116"/>
  <c r="G6181" i="116"/>
  <c r="F6181" i="116"/>
  <c r="E6181" i="116"/>
  <c r="D6181" i="116"/>
  <c r="C6181" i="116"/>
  <c r="B6181" i="116"/>
  <c r="K6180" i="116"/>
  <c r="J6180" i="116"/>
  <c r="I6180" i="116"/>
  <c r="H6180" i="116"/>
  <c r="G6180" i="116"/>
  <c r="F6180" i="116"/>
  <c r="E6180" i="116"/>
  <c r="D6180" i="116"/>
  <c r="C6180" i="116"/>
  <c r="B6180" i="116"/>
  <c r="K6179" i="116"/>
  <c r="J6179" i="116"/>
  <c r="I6179" i="116"/>
  <c r="H6179" i="116"/>
  <c r="G6179" i="116"/>
  <c r="F6179" i="116"/>
  <c r="E6179" i="116"/>
  <c r="D6179" i="116"/>
  <c r="C6179" i="116"/>
  <c r="B6179" i="116"/>
  <c r="K6178" i="116"/>
  <c r="J6178" i="116"/>
  <c r="I6178" i="116"/>
  <c r="H6178" i="116"/>
  <c r="G6178" i="116"/>
  <c r="F6178" i="116"/>
  <c r="E6178" i="116"/>
  <c r="D6178" i="116"/>
  <c r="C6178" i="116"/>
  <c r="B6178" i="116"/>
  <c r="K6177" i="116"/>
  <c r="J6177" i="116"/>
  <c r="I6177" i="116"/>
  <c r="H6177" i="116"/>
  <c r="G6177" i="116"/>
  <c r="F6177" i="116"/>
  <c r="E6177" i="116"/>
  <c r="D6177" i="116"/>
  <c r="C6177" i="116"/>
  <c r="B6177" i="116"/>
  <c r="K6176" i="116"/>
  <c r="J6176" i="116"/>
  <c r="I6176" i="116"/>
  <c r="H6176" i="116"/>
  <c r="G6176" i="116"/>
  <c r="F6176" i="116"/>
  <c r="E6176" i="116"/>
  <c r="D6176" i="116"/>
  <c r="C6176" i="116"/>
  <c r="B6176" i="116"/>
  <c r="K6175" i="116"/>
  <c r="J6175" i="116"/>
  <c r="I6175" i="116"/>
  <c r="H6175" i="116"/>
  <c r="G6175" i="116"/>
  <c r="F6175" i="116"/>
  <c r="E6175" i="116"/>
  <c r="D6175" i="116"/>
  <c r="C6175" i="116"/>
  <c r="B6175" i="116"/>
  <c r="K6174" i="116"/>
  <c r="J6174" i="116"/>
  <c r="I6174" i="116"/>
  <c r="H6174" i="116"/>
  <c r="G6174" i="116"/>
  <c r="F6174" i="116"/>
  <c r="E6174" i="116"/>
  <c r="D6174" i="116"/>
  <c r="C6174" i="116"/>
  <c r="B6174" i="116"/>
  <c r="K6173" i="116"/>
  <c r="J6173" i="116"/>
  <c r="I6173" i="116"/>
  <c r="H6173" i="116"/>
  <c r="G6173" i="116"/>
  <c r="F6173" i="116"/>
  <c r="E6173" i="116"/>
  <c r="D6173" i="116"/>
  <c r="C6173" i="116"/>
  <c r="B6173" i="116"/>
  <c r="K6172" i="116"/>
  <c r="J6172" i="116"/>
  <c r="I6172" i="116"/>
  <c r="H6172" i="116"/>
  <c r="G6172" i="116"/>
  <c r="F6172" i="116"/>
  <c r="E6172" i="116"/>
  <c r="D6172" i="116"/>
  <c r="C6172" i="116"/>
  <c r="B6172" i="116"/>
  <c r="K6171" i="116"/>
  <c r="J6171" i="116"/>
  <c r="I6171" i="116"/>
  <c r="H6171" i="116"/>
  <c r="G6171" i="116"/>
  <c r="F6171" i="116"/>
  <c r="E6171" i="116"/>
  <c r="D6171" i="116"/>
  <c r="C6171" i="116"/>
  <c r="B6171" i="116"/>
  <c r="K6170" i="116"/>
  <c r="J6170" i="116"/>
  <c r="I6170" i="116"/>
  <c r="H6170" i="116"/>
  <c r="G6170" i="116"/>
  <c r="F6170" i="116"/>
  <c r="E6170" i="116"/>
  <c r="D6170" i="116"/>
  <c r="C6170" i="116"/>
  <c r="B6170" i="116"/>
  <c r="K6169" i="116"/>
  <c r="J6169" i="116"/>
  <c r="I6169" i="116"/>
  <c r="H6169" i="116"/>
  <c r="G6169" i="116"/>
  <c r="F6169" i="116"/>
  <c r="E6169" i="116"/>
  <c r="D6169" i="116"/>
  <c r="C6169" i="116"/>
  <c r="B6169" i="116"/>
  <c r="K6168" i="116"/>
  <c r="J6168" i="116"/>
  <c r="I6168" i="116"/>
  <c r="H6168" i="116"/>
  <c r="G6168" i="116"/>
  <c r="F6168" i="116"/>
  <c r="E6168" i="116"/>
  <c r="D6168" i="116"/>
  <c r="C6168" i="116"/>
  <c r="B6168" i="116"/>
  <c r="K6167" i="116"/>
  <c r="J6167" i="116"/>
  <c r="I6167" i="116"/>
  <c r="H6167" i="116"/>
  <c r="G6167" i="116"/>
  <c r="F6167" i="116"/>
  <c r="E6167" i="116"/>
  <c r="D6167" i="116"/>
  <c r="C6167" i="116"/>
  <c r="B6167" i="116"/>
  <c r="K6166" i="116"/>
  <c r="J6166" i="116"/>
  <c r="I6166" i="116"/>
  <c r="H6166" i="116"/>
  <c r="G6166" i="116"/>
  <c r="F6166" i="116"/>
  <c r="E6166" i="116"/>
  <c r="D6166" i="116"/>
  <c r="C6166" i="116"/>
  <c r="B6166" i="116"/>
  <c r="K6165" i="116"/>
  <c r="J6165" i="116"/>
  <c r="I6165" i="116"/>
  <c r="H6165" i="116"/>
  <c r="G6165" i="116"/>
  <c r="F6165" i="116"/>
  <c r="E6165" i="116"/>
  <c r="D6165" i="116"/>
  <c r="C6165" i="116"/>
  <c r="B6165" i="116"/>
  <c r="K6164" i="116"/>
  <c r="J6164" i="116"/>
  <c r="I6164" i="116"/>
  <c r="H6164" i="116"/>
  <c r="G6164" i="116"/>
  <c r="F6164" i="116"/>
  <c r="E6164" i="116"/>
  <c r="D6164" i="116"/>
  <c r="C6164" i="116"/>
  <c r="B6164" i="116"/>
  <c r="K6163" i="116"/>
  <c r="J6163" i="116"/>
  <c r="I6163" i="116"/>
  <c r="H6163" i="116"/>
  <c r="G6163" i="116"/>
  <c r="F6163" i="116"/>
  <c r="E6163" i="116"/>
  <c r="D6163" i="116"/>
  <c r="C6163" i="116"/>
  <c r="B6163" i="116"/>
  <c r="K6162" i="116"/>
  <c r="J6162" i="116"/>
  <c r="I6162" i="116"/>
  <c r="H6162" i="116"/>
  <c r="G6162" i="116"/>
  <c r="F6162" i="116"/>
  <c r="E6162" i="116"/>
  <c r="D6162" i="116"/>
  <c r="C6162" i="116"/>
  <c r="B6162" i="116"/>
  <c r="K6161" i="116"/>
  <c r="J6161" i="116"/>
  <c r="I6161" i="116"/>
  <c r="H6161" i="116"/>
  <c r="G6161" i="116"/>
  <c r="F6161" i="116"/>
  <c r="E6161" i="116"/>
  <c r="D6161" i="116"/>
  <c r="C6161" i="116"/>
  <c r="B6161" i="116"/>
  <c r="K6160" i="116"/>
  <c r="J6160" i="116"/>
  <c r="I6160" i="116"/>
  <c r="H6160" i="116"/>
  <c r="G6160" i="116"/>
  <c r="F6160" i="116"/>
  <c r="E6160" i="116"/>
  <c r="D6160" i="116"/>
  <c r="C6160" i="116"/>
  <c r="B6160" i="116"/>
  <c r="K6159" i="116"/>
  <c r="J6159" i="116"/>
  <c r="I6159" i="116"/>
  <c r="H6159" i="116"/>
  <c r="G6159" i="116"/>
  <c r="F6159" i="116"/>
  <c r="E6159" i="116"/>
  <c r="D6159" i="116"/>
  <c r="C6159" i="116"/>
  <c r="B6159" i="116"/>
  <c r="K6158" i="116"/>
  <c r="J6158" i="116"/>
  <c r="I6158" i="116"/>
  <c r="H6158" i="116"/>
  <c r="G6158" i="116"/>
  <c r="F6158" i="116"/>
  <c r="E6158" i="116"/>
  <c r="D6158" i="116"/>
  <c r="C6158" i="116"/>
  <c r="B6158" i="116"/>
  <c r="K6157" i="116"/>
  <c r="J6157" i="116"/>
  <c r="I6157" i="116"/>
  <c r="H6157" i="116"/>
  <c r="G6157" i="116"/>
  <c r="F6157" i="116"/>
  <c r="E6157" i="116"/>
  <c r="D6157" i="116"/>
  <c r="C6157" i="116"/>
  <c r="B6157" i="116"/>
  <c r="K6156" i="116"/>
  <c r="J6156" i="116"/>
  <c r="I6156" i="116"/>
  <c r="H6156" i="116"/>
  <c r="G6156" i="116"/>
  <c r="F6156" i="116"/>
  <c r="E6156" i="116"/>
  <c r="D6156" i="116"/>
  <c r="C6156" i="116"/>
  <c r="B6156" i="116"/>
  <c r="K6155" i="116"/>
  <c r="J6155" i="116"/>
  <c r="I6155" i="116"/>
  <c r="H6155" i="116"/>
  <c r="G6155" i="116"/>
  <c r="F6155" i="116"/>
  <c r="E6155" i="116"/>
  <c r="D6155" i="116"/>
  <c r="C6155" i="116"/>
  <c r="B6155" i="116"/>
  <c r="K6154" i="116"/>
  <c r="J6154" i="116"/>
  <c r="I6154" i="116"/>
  <c r="H6154" i="116"/>
  <c r="G6154" i="116"/>
  <c r="F6154" i="116"/>
  <c r="E6154" i="116"/>
  <c r="D6154" i="116"/>
  <c r="C6154" i="116"/>
  <c r="B6154" i="116"/>
  <c r="K6153" i="116"/>
  <c r="J6153" i="116"/>
  <c r="I6153" i="116"/>
  <c r="H6153" i="116"/>
  <c r="G6153" i="116"/>
  <c r="F6153" i="116"/>
  <c r="E6153" i="116"/>
  <c r="D6153" i="116"/>
  <c r="C6153" i="116"/>
  <c r="B6153" i="116"/>
  <c r="K6152" i="116"/>
  <c r="J6152" i="116"/>
  <c r="I6152" i="116"/>
  <c r="H6152" i="116"/>
  <c r="G6152" i="116"/>
  <c r="F6152" i="116"/>
  <c r="E6152" i="116"/>
  <c r="D6152" i="116"/>
  <c r="C6152" i="116"/>
  <c r="B6152" i="116"/>
  <c r="K6151" i="116"/>
  <c r="J6151" i="116"/>
  <c r="I6151" i="116"/>
  <c r="H6151" i="116"/>
  <c r="G6151" i="116"/>
  <c r="F6151" i="116"/>
  <c r="E6151" i="116"/>
  <c r="D6151" i="116"/>
  <c r="C6151" i="116"/>
  <c r="B6151" i="116"/>
  <c r="K6150" i="116"/>
  <c r="J6150" i="116"/>
  <c r="I6150" i="116"/>
  <c r="H6150" i="116"/>
  <c r="G6150" i="116"/>
  <c r="F6150" i="116"/>
  <c r="E6150" i="116"/>
  <c r="D6150" i="116"/>
  <c r="C6150" i="116"/>
  <c r="B6150" i="116"/>
  <c r="K6149" i="116"/>
  <c r="J6149" i="116"/>
  <c r="I6149" i="116"/>
  <c r="H6149" i="116"/>
  <c r="G6149" i="116"/>
  <c r="F6149" i="116"/>
  <c r="E6149" i="116"/>
  <c r="D6149" i="116"/>
  <c r="C6149" i="116"/>
  <c r="B6149" i="116"/>
  <c r="K6148" i="116"/>
  <c r="J6148" i="116"/>
  <c r="I6148" i="116"/>
  <c r="H6148" i="116"/>
  <c r="G6148" i="116"/>
  <c r="F6148" i="116"/>
  <c r="E6148" i="116"/>
  <c r="D6148" i="116"/>
  <c r="C6148" i="116"/>
  <c r="B6148" i="116"/>
  <c r="K6147" i="116"/>
  <c r="J6147" i="116"/>
  <c r="I6147" i="116"/>
  <c r="H6147" i="116"/>
  <c r="G6147" i="116"/>
  <c r="F6147" i="116"/>
  <c r="E6147" i="116"/>
  <c r="D6147" i="116"/>
  <c r="C6147" i="116"/>
  <c r="B6147" i="116"/>
  <c r="K6146" i="116"/>
  <c r="J6146" i="116"/>
  <c r="I6146" i="116"/>
  <c r="H6146" i="116"/>
  <c r="G6146" i="116"/>
  <c r="F6146" i="116"/>
  <c r="E6146" i="116"/>
  <c r="D6146" i="116"/>
  <c r="C6146" i="116"/>
  <c r="B6146" i="116"/>
  <c r="K6145" i="116"/>
  <c r="J6145" i="116"/>
  <c r="I6145" i="116"/>
  <c r="H6145" i="116"/>
  <c r="G6145" i="116"/>
  <c r="F6145" i="116"/>
  <c r="E6145" i="116"/>
  <c r="D6145" i="116"/>
  <c r="C6145" i="116"/>
  <c r="B6145" i="116"/>
  <c r="K6144" i="116"/>
  <c r="J6144" i="116"/>
  <c r="I6144" i="116"/>
  <c r="H6144" i="116"/>
  <c r="G6144" i="116"/>
  <c r="F6144" i="116"/>
  <c r="E6144" i="116"/>
  <c r="D6144" i="116"/>
  <c r="C6144" i="116"/>
  <c r="B6144" i="116"/>
  <c r="K6143" i="116"/>
  <c r="J6143" i="116"/>
  <c r="I6143" i="116"/>
  <c r="H6143" i="116"/>
  <c r="G6143" i="116"/>
  <c r="F6143" i="116"/>
  <c r="E6143" i="116"/>
  <c r="D6143" i="116"/>
  <c r="C6143" i="116"/>
  <c r="B6143" i="116"/>
  <c r="K6142" i="116"/>
  <c r="J6142" i="116"/>
  <c r="I6142" i="116"/>
  <c r="H6142" i="116"/>
  <c r="G6142" i="116"/>
  <c r="F6142" i="116"/>
  <c r="E6142" i="116"/>
  <c r="D6142" i="116"/>
  <c r="C6142" i="116"/>
  <c r="B6142" i="116"/>
  <c r="K6141" i="116"/>
  <c r="J6141" i="116"/>
  <c r="I6141" i="116"/>
  <c r="H6141" i="116"/>
  <c r="G6141" i="116"/>
  <c r="F6141" i="116"/>
  <c r="E6141" i="116"/>
  <c r="D6141" i="116"/>
  <c r="C6141" i="116"/>
  <c r="B6141" i="116"/>
  <c r="K6140" i="116"/>
  <c r="J6140" i="116"/>
  <c r="I6140" i="116"/>
  <c r="H6140" i="116"/>
  <c r="G6140" i="116"/>
  <c r="F6140" i="116"/>
  <c r="E6140" i="116"/>
  <c r="D6140" i="116"/>
  <c r="C6140" i="116"/>
  <c r="B6140" i="116"/>
  <c r="K6139" i="116"/>
  <c r="J6139" i="116"/>
  <c r="I6139" i="116"/>
  <c r="H6139" i="116"/>
  <c r="G6139" i="116"/>
  <c r="F6139" i="116"/>
  <c r="E6139" i="116"/>
  <c r="D6139" i="116"/>
  <c r="C6139" i="116"/>
  <c r="B6139" i="116"/>
  <c r="K6138" i="116"/>
  <c r="J6138" i="116"/>
  <c r="I6138" i="116"/>
  <c r="H6138" i="116"/>
  <c r="G6138" i="116"/>
  <c r="F6138" i="116"/>
  <c r="E6138" i="116"/>
  <c r="D6138" i="116"/>
  <c r="C6138" i="116"/>
  <c r="B6138" i="116"/>
  <c r="K6137" i="116"/>
  <c r="J6137" i="116"/>
  <c r="I6137" i="116"/>
  <c r="H6137" i="116"/>
  <c r="G6137" i="116"/>
  <c r="F6137" i="116"/>
  <c r="E6137" i="116"/>
  <c r="D6137" i="116"/>
  <c r="C6137" i="116"/>
  <c r="B6137" i="116"/>
  <c r="K6136" i="116"/>
  <c r="J6136" i="116"/>
  <c r="I6136" i="116"/>
  <c r="H6136" i="116"/>
  <c r="G6136" i="116"/>
  <c r="F6136" i="116"/>
  <c r="E6136" i="116"/>
  <c r="D6136" i="116"/>
  <c r="C6136" i="116"/>
  <c r="B6136" i="116"/>
  <c r="K6135" i="116"/>
  <c r="J6135" i="116"/>
  <c r="I6135" i="116"/>
  <c r="H6135" i="116"/>
  <c r="G6135" i="116"/>
  <c r="F6135" i="116"/>
  <c r="E6135" i="116"/>
  <c r="D6135" i="116"/>
  <c r="C6135" i="116"/>
  <c r="B6135" i="116"/>
  <c r="K6134" i="116"/>
  <c r="J6134" i="116"/>
  <c r="I6134" i="116"/>
  <c r="H6134" i="116"/>
  <c r="G6134" i="116"/>
  <c r="F6134" i="116"/>
  <c r="E6134" i="116"/>
  <c r="D6134" i="116"/>
  <c r="C6134" i="116"/>
  <c r="B6134" i="116"/>
  <c r="K6133" i="116"/>
  <c r="J6133" i="116"/>
  <c r="I6133" i="116"/>
  <c r="H6133" i="116"/>
  <c r="G6133" i="116"/>
  <c r="F6133" i="116"/>
  <c r="E6133" i="116"/>
  <c r="D6133" i="116"/>
  <c r="C6133" i="116"/>
  <c r="B6133" i="116"/>
  <c r="K6132" i="116"/>
  <c r="J6132" i="116"/>
  <c r="I6132" i="116"/>
  <c r="H6132" i="116"/>
  <c r="G6132" i="116"/>
  <c r="F6132" i="116"/>
  <c r="E6132" i="116"/>
  <c r="D6132" i="116"/>
  <c r="C6132" i="116"/>
  <c r="B6132" i="116"/>
  <c r="K6131" i="116"/>
  <c r="J6131" i="116"/>
  <c r="I6131" i="116"/>
  <c r="H6131" i="116"/>
  <c r="G6131" i="116"/>
  <c r="F6131" i="116"/>
  <c r="E6131" i="116"/>
  <c r="D6131" i="116"/>
  <c r="C6131" i="116"/>
  <c r="B6131" i="116"/>
  <c r="K6130" i="116"/>
  <c r="J6130" i="116"/>
  <c r="I6130" i="116"/>
  <c r="H6130" i="116"/>
  <c r="G6130" i="116"/>
  <c r="F6130" i="116"/>
  <c r="E6130" i="116"/>
  <c r="D6130" i="116"/>
  <c r="C6130" i="116"/>
  <c r="B6130" i="116"/>
  <c r="K6129" i="116"/>
  <c r="J6129" i="116"/>
  <c r="I6129" i="116"/>
  <c r="H6129" i="116"/>
  <c r="G6129" i="116"/>
  <c r="F6129" i="116"/>
  <c r="E6129" i="116"/>
  <c r="D6129" i="116"/>
  <c r="C6129" i="116"/>
  <c r="B6129" i="116"/>
  <c r="K6128" i="116"/>
  <c r="J6128" i="116"/>
  <c r="I6128" i="116"/>
  <c r="H6128" i="116"/>
  <c r="G6128" i="116"/>
  <c r="F6128" i="116"/>
  <c r="E6128" i="116"/>
  <c r="D6128" i="116"/>
  <c r="C6128" i="116"/>
  <c r="B6128" i="116"/>
  <c r="K6127" i="116"/>
  <c r="J6127" i="116"/>
  <c r="I6127" i="116"/>
  <c r="H6127" i="116"/>
  <c r="G6127" i="116"/>
  <c r="F6127" i="116"/>
  <c r="E6127" i="116"/>
  <c r="D6127" i="116"/>
  <c r="C6127" i="116"/>
  <c r="B6127" i="116"/>
  <c r="K6126" i="116"/>
  <c r="J6126" i="116"/>
  <c r="I6126" i="116"/>
  <c r="H6126" i="116"/>
  <c r="G6126" i="116"/>
  <c r="F6126" i="116"/>
  <c r="E6126" i="116"/>
  <c r="D6126" i="116"/>
  <c r="C6126" i="116"/>
  <c r="B6126" i="116"/>
  <c r="K6125" i="116"/>
  <c r="J6125" i="116"/>
  <c r="I6125" i="116"/>
  <c r="H6125" i="116"/>
  <c r="G6125" i="116"/>
  <c r="F6125" i="116"/>
  <c r="E6125" i="116"/>
  <c r="D6125" i="116"/>
  <c r="C6125" i="116"/>
  <c r="B6125" i="116"/>
  <c r="K6124" i="116"/>
  <c r="J6124" i="116"/>
  <c r="I6124" i="116"/>
  <c r="H6124" i="116"/>
  <c r="G6124" i="116"/>
  <c r="F6124" i="116"/>
  <c r="E6124" i="116"/>
  <c r="D6124" i="116"/>
  <c r="C6124" i="116"/>
  <c r="B6124" i="116"/>
  <c r="K6123" i="116"/>
  <c r="J6123" i="116"/>
  <c r="I6123" i="116"/>
  <c r="H6123" i="116"/>
  <c r="G6123" i="116"/>
  <c r="F6123" i="116"/>
  <c r="E6123" i="116"/>
  <c r="D6123" i="116"/>
  <c r="C6123" i="116"/>
  <c r="B6123" i="116"/>
  <c r="K6122" i="116"/>
  <c r="J6122" i="116"/>
  <c r="I6122" i="116"/>
  <c r="H6122" i="116"/>
  <c r="G6122" i="116"/>
  <c r="F6122" i="116"/>
  <c r="E6122" i="116"/>
  <c r="D6122" i="116"/>
  <c r="C6122" i="116"/>
  <c r="B6122" i="116"/>
  <c r="K6121" i="116"/>
  <c r="J6121" i="116"/>
  <c r="I6121" i="116"/>
  <c r="H6121" i="116"/>
  <c r="G6121" i="116"/>
  <c r="F6121" i="116"/>
  <c r="E6121" i="116"/>
  <c r="D6121" i="116"/>
  <c r="C6121" i="116"/>
  <c r="B6121" i="116"/>
  <c r="K6120" i="116"/>
  <c r="J6120" i="116"/>
  <c r="I6120" i="116"/>
  <c r="H6120" i="116"/>
  <c r="G6120" i="116"/>
  <c r="F6120" i="116"/>
  <c r="E6120" i="116"/>
  <c r="D6120" i="116"/>
  <c r="C6120" i="116"/>
  <c r="B6120" i="116"/>
  <c r="K6119" i="116"/>
  <c r="J6119" i="116"/>
  <c r="I6119" i="116"/>
  <c r="H6119" i="116"/>
  <c r="G6119" i="116"/>
  <c r="F6119" i="116"/>
  <c r="E6119" i="116"/>
  <c r="D6119" i="116"/>
  <c r="C6119" i="116"/>
  <c r="B6119" i="116"/>
  <c r="K6118" i="116"/>
  <c r="J6118" i="116"/>
  <c r="I6118" i="116"/>
  <c r="H6118" i="116"/>
  <c r="G6118" i="116"/>
  <c r="F6118" i="116"/>
  <c r="E6118" i="116"/>
  <c r="D6118" i="116"/>
  <c r="C6118" i="116"/>
  <c r="B6118" i="116"/>
  <c r="K6117" i="116"/>
  <c r="J6117" i="116"/>
  <c r="I6117" i="116"/>
  <c r="H6117" i="116"/>
  <c r="G6117" i="116"/>
  <c r="F6117" i="116"/>
  <c r="E6117" i="116"/>
  <c r="D6117" i="116"/>
  <c r="C6117" i="116"/>
  <c r="B6117" i="116"/>
  <c r="K6116" i="116"/>
  <c r="J6116" i="116"/>
  <c r="I6116" i="116"/>
  <c r="H6116" i="116"/>
  <c r="G6116" i="116"/>
  <c r="F6116" i="116"/>
  <c r="E6116" i="116"/>
  <c r="D6116" i="116"/>
  <c r="C6116" i="116"/>
  <c r="B6116" i="116"/>
  <c r="K6115" i="116"/>
  <c r="J6115" i="116"/>
  <c r="I6115" i="116"/>
  <c r="H6115" i="116"/>
  <c r="G6115" i="116"/>
  <c r="F6115" i="116"/>
  <c r="E6115" i="116"/>
  <c r="D6115" i="116"/>
  <c r="C6115" i="116"/>
  <c r="B6115" i="116"/>
  <c r="K6114" i="116"/>
  <c r="J6114" i="116"/>
  <c r="I6114" i="116"/>
  <c r="H6114" i="116"/>
  <c r="G6114" i="116"/>
  <c r="F6114" i="116"/>
  <c r="E6114" i="116"/>
  <c r="D6114" i="116"/>
  <c r="C6114" i="116"/>
  <c r="B6114" i="116"/>
  <c r="K6113" i="116"/>
  <c r="J6113" i="116"/>
  <c r="I6113" i="116"/>
  <c r="H6113" i="116"/>
  <c r="G6113" i="116"/>
  <c r="F6113" i="116"/>
  <c r="E6113" i="116"/>
  <c r="D6113" i="116"/>
  <c r="C6113" i="116"/>
  <c r="B6113" i="116"/>
  <c r="K6112" i="116"/>
  <c r="J6112" i="116"/>
  <c r="I6112" i="116"/>
  <c r="H6112" i="116"/>
  <c r="G6112" i="116"/>
  <c r="F6112" i="116"/>
  <c r="E6112" i="116"/>
  <c r="D6112" i="116"/>
  <c r="C6112" i="116"/>
  <c r="B6112" i="116"/>
  <c r="K6111" i="116"/>
  <c r="J6111" i="116"/>
  <c r="I6111" i="116"/>
  <c r="H6111" i="116"/>
  <c r="G6111" i="116"/>
  <c r="F6111" i="116"/>
  <c r="E6111" i="116"/>
  <c r="D6111" i="116"/>
  <c r="C6111" i="116"/>
  <c r="B6111" i="116"/>
  <c r="K6110" i="116"/>
  <c r="J6110" i="116"/>
  <c r="I6110" i="116"/>
  <c r="H6110" i="116"/>
  <c r="G6110" i="116"/>
  <c r="F6110" i="116"/>
  <c r="E6110" i="116"/>
  <c r="D6110" i="116"/>
  <c r="C6110" i="116"/>
  <c r="B6110" i="116"/>
  <c r="K6109" i="116"/>
  <c r="J6109" i="116"/>
  <c r="I6109" i="116"/>
  <c r="H6109" i="116"/>
  <c r="G6109" i="116"/>
  <c r="F6109" i="116"/>
  <c r="E6109" i="116"/>
  <c r="D6109" i="116"/>
  <c r="C6109" i="116"/>
  <c r="B6109" i="116"/>
  <c r="K6108" i="116"/>
  <c r="J6108" i="116"/>
  <c r="I6108" i="116"/>
  <c r="H6108" i="116"/>
  <c r="G6108" i="116"/>
  <c r="F6108" i="116"/>
  <c r="E6108" i="116"/>
  <c r="D6108" i="116"/>
  <c r="C6108" i="116"/>
  <c r="B6108" i="116"/>
  <c r="K6107" i="116"/>
  <c r="J6107" i="116"/>
  <c r="I6107" i="116"/>
  <c r="H6107" i="116"/>
  <c r="G6107" i="116"/>
  <c r="F6107" i="116"/>
  <c r="E6107" i="116"/>
  <c r="D6107" i="116"/>
  <c r="C6107" i="116"/>
  <c r="B6107" i="116"/>
  <c r="K6106" i="116"/>
  <c r="J6106" i="116"/>
  <c r="I6106" i="116"/>
  <c r="H6106" i="116"/>
  <c r="G6106" i="116"/>
  <c r="F6106" i="116"/>
  <c r="E6106" i="116"/>
  <c r="D6106" i="116"/>
  <c r="C6106" i="116"/>
  <c r="B6106" i="116"/>
  <c r="K6105" i="116"/>
  <c r="J6105" i="116"/>
  <c r="I6105" i="116"/>
  <c r="H6105" i="116"/>
  <c r="G6105" i="116"/>
  <c r="F6105" i="116"/>
  <c r="E6105" i="116"/>
  <c r="D6105" i="116"/>
  <c r="C6105" i="116"/>
  <c r="B6105" i="116"/>
  <c r="K6104" i="116"/>
  <c r="J6104" i="116"/>
  <c r="I6104" i="116"/>
  <c r="H6104" i="116"/>
  <c r="G6104" i="116"/>
  <c r="F6104" i="116"/>
  <c r="E6104" i="116"/>
  <c r="D6104" i="116"/>
  <c r="C6104" i="116"/>
  <c r="B6104" i="116"/>
  <c r="K6103" i="116"/>
  <c r="J6103" i="116"/>
  <c r="I6103" i="116"/>
  <c r="H6103" i="116"/>
  <c r="G6103" i="116"/>
  <c r="F6103" i="116"/>
  <c r="E6103" i="116"/>
  <c r="D6103" i="116"/>
  <c r="C6103" i="116"/>
  <c r="B6103" i="116"/>
  <c r="K6102" i="116"/>
  <c r="J6102" i="116"/>
  <c r="I6102" i="116"/>
  <c r="H6102" i="116"/>
  <c r="G6102" i="116"/>
  <c r="F6102" i="116"/>
  <c r="E6102" i="116"/>
  <c r="D6102" i="116"/>
  <c r="C6102" i="116"/>
  <c r="B6102" i="116"/>
  <c r="K6101" i="116"/>
  <c r="J6101" i="116"/>
  <c r="I6101" i="116"/>
  <c r="H6101" i="116"/>
  <c r="G6101" i="116"/>
  <c r="F6101" i="116"/>
  <c r="E6101" i="116"/>
  <c r="D6101" i="116"/>
  <c r="C6101" i="116"/>
  <c r="B6101" i="116"/>
  <c r="K6100" i="116"/>
  <c r="J6100" i="116"/>
  <c r="I6100" i="116"/>
  <c r="H6100" i="116"/>
  <c r="G6100" i="116"/>
  <c r="F6100" i="116"/>
  <c r="E6100" i="116"/>
  <c r="D6100" i="116"/>
  <c r="C6100" i="116"/>
  <c r="B6100" i="116"/>
  <c r="K6099" i="116"/>
  <c r="J6099" i="116"/>
  <c r="I6099" i="116"/>
  <c r="H6099" i="116"/>
  <c r="G6099" i="116"/>
  <c r="F6099" i="116"/>
  <c r="E6099" i="116"/>
  <c r="D6099" i="116"/>
  <c r="C6099" i="116"/>
  <c r="B6099" i="116"/>
  <c r="K6098" i="116"/>
  <c r="J6098" i="116"/>
  <c r="I6098" i="116"/>
  <c r="H6098" i="116"/>
  <c r="G6098" i="116"/>
  <c r="F6098" i="116"/>
  <c r="E6098" i="116"/>
  <c r="D6098" i="116"/>
  <c r="C6098" i="116"/>
  <c r="B6098" i="116"/>
  <c r="K6097" i="116"/>
  <c r="J6097" i="116"/>
  <c r="I6097" i="116"/>
  <c r="H6097" i="116"/>
  <c r="G6097" i="116"/>
  <c r="F6097" i="116"/>
  <c r="E6097" i="116"/>
  <c r="D6097" i="116"/>
  <c r="C6097" i="116"/>
  <c r="B6097" i="116"/>
  <c r="K6096" i="116"/>
  <c r="J6096" i="116"/>
  <c r="I6096" i="116"/>
  <c r="H6096" i="116"/>
  <c r="G6096" i="116"/>
  <c r="F6096" i="116"/>
  <c r="E6096" i="116"/>
  <c r="D6096" i="116"/>
  <c r="C6096" i="116"/>
  <c r="B6096" i="116"/>
  <c r="K6095" i="116"/>
  <c r="J6095" i="116"/>
  <c r="I6095" i="116"/>
  <c r="H6095" i="116"/>
  <c r="G6095" i="116"/>
  <c r="F6095" i="116"/>
  <c r="E6095" i="116"/>
  <c r="D6095" i="116"/>
  <c r="C6095" i="116"/>
  <c r="B6095" i="116"/>
  <c r="K6094" i="116"/>
  <c r="J6094" i="116"/>
  <c r="I6094" i="116"/>
  <c r="H6094" i="116"/>
  <c r="G6094" i="116"/>
  <c r="F6094" i="116"/>
  <c r="E6094" i="116"/>
  <c r="D6094" i="116"/>
  <c r="C6094" i="116"/>
  <c r="B6094" i="116"/>
  <c r="K6093" i="116"/>
  <c r="J6093" i="116"/>
  <c r="I6093" i="116"/>
  <c r="H6093" i="116"/>
  <c r="G6093" i="116"/>
  <c r="F6093" i="116"/>
  <c r="E6093" i="116"/>
  <c r="D6093" i="116"/>
  <c r="C6093" i="116"/>
  <c r="B6093" i="116"/>
  <c r="K6092" i="116"/>
  <c r="J6092" i="116"/>
  <c r="I6092" i="116"/>
  <c r="H6092" i="116"/>
  <c r="G6092" i="116"/>
  <c r="F6092" i="116"/>
  <c r="E6092" i="116"/>
  <c r="D6092" i="116"/>
  <c r="C6092" i="116"/>
  <c r="B6092" i="116"/>
  <c r="K6091" i="116"/>
  <c r="J6091" i="116"/>
  <c r="I6091" i="116"/>
  <c r="H6091" i="116"/>
  <c r="G6091" i="116"/>
  <c r="F6091" i="116"/>
  <c r="E6091" i="116"/>
  <c r="D6091" i="116"/>
  <c r="C6091" i="116"/>
  <c r="B6091" i="116"/>
  <c r="K6090" i="116"/>
  <c r="J6090" i="116"/>
  <c r="I6090" i="116"/>
  <c r="H6090" i="116"/>
  <c r="G6090" i="116"/>
  <c r="F6090" i="116"/>
  <c r="E6090" i="116"/>
  <c r="D6090" i="116"/>
  <c r="C6090" i="116"/>
  <c r="B6090" i="116"/>
  <c r="K6089" i="116"/>
  <c r="J6089" i="116"/>
  <c r="I6089" i="116"/>
  <c r="H6089" i="116"/>
  <c r="G6089" i="116"/>
  <c r="F6089" i="116"/>
  <c r="E6089" i="116"/>
  <c r="D6089" i="116"/>
  <c r="C6089" i="116"/>
  <c r="B6089" i="116"/>
  <c r="K6088" i="116"/>
  <c r="J6088" i="116"/>
  <c r="I6088" i="116"/>
  <c r="H6088" i="116"/>
  <c r="G6088" i="116"/>
  <c r="F6088" i="116"/>
  <c r="E6088" i="116"/>
  <c r="D6088" i="116"/>
  <c r="C6088" i="116"/>
  <c r="B6088" i="116"/>
  <c r="K6087" i="116"/>
  <c r="J6087" i="116"/>
  <c r="I6087" i="116"/>
  <c r="H6087" i="116"/>
  <c r="G6087" i="116"/>
  <c r="F6087" i="116"/>
  <c r="E6087" i="116"/>
  <c r="D6087" i="116"/>
  <c r="C6087" i="116"/>
  <c r="B6087" i="116"/>
  <c r="K6086" i="116"/>
  <c r="J6086" i="116"/>
  <c r="I6086" i="116"/>
  <c r="H6086" i="116"/>
  <c r="G6086" i="116"/>
  <c r="F6086" i="116"/>
  <c r="E6086" i="116"/>
  <c r="D6086" i="116"/>
  <c r="C6086" i="116"/>
  <c r="B6086" i="116"/>
  <c r="K6085" i="116"/>
  <c r="J6085" i="116"/>
  <c r="I6085" i="116"/>
  <c r="H6085" i="116"/>
  <c r="G6085" i="116"/>
  <c r="F6085" i="116"/>
  <c r="E6085" i="116"/>
  <c r="D6085" i="116"/>
  <c r="C6085" i="116"/>
  <c r="B6085" i="116"/>
  <c r="K6084" i="116"/>
  <c r="J6084" i="116"/>
  <c r="I6084" i="116"/>
  <c r="H6084" i="116"/>
  <c r="G6084" i="116"/>
  <c r="F6084" i="116"/>
  <c r="E6084" i="116"/>
  <c r="D6084" i="116"/>
  <c r="C6084" i="116"/>
  <c r="B6084" i="116"/>
  <c r="K6083" i="116"/>
  <c r="J6083" i="116"/>
  <c r="I6083" i="116"/>
  <c r="H6083" i="116"/>
  <c r="G6083" i="116"/>
  <c r="F6083" i="116"/>
  <c r="E6083" i="116"/>
  <c r="D6083" i="116"/>
  <c r="C6083" i="116"/>
  <c r="B6083" i="116"/>
  <c r="K6082" i="116"/>
  <c r="J6082" i="116"/>
  <c r="I6082" i="116"/>
  <c r="H6082" i="116"/>
  <c r="G6082" i="116"/>
  <c r="F6082" i="116"/>
  <c r="E6082" i="116"/>
  <c r="D6082" i="116"/>
  <c r="C6082" i="116"/>
  <c r="B6082" i="116"/>
  <c r="K6081" i="116"/>
  <c r="J6081" i="116"/>
  <c r="I6081" i="116"/>
  <c r="H6081" i="116"/>
  <c r="G6081" i="116"/>
  <c r="F6081" i="116"/>
  <c r="E6081" i="116"/>
  <c r="D6081" i="116"/>
  <c r="C6081" i="116"/>
  <c r="B6081" i="116"/>
  <c r="K6080" i="116"/>
  <c r="J6080" i="116"/>
  <c r="I6080" i="116"/>
  <c r="H6080" i="116"/>
  <c r="G6080" i="116"/>
  <c r="F6080" i="116"/>
  <c r="E6080" i="116"/>
  <c r="D6080" i="116"/>
  <c r="C6080" i="116"/>
  <c r="B6080" i="116"/>
  <c r="K6079" i="116"/>
  <c r="J6079" i="116"/>
  <c r="I6079" i="116"/>
  <c r="H6079" i="116"/>
  <c r="G6079" i="116"/>
  <c r="F6079" i="116"/>
  <c r="E6079" i="116"/>
  <c r="D6079" i="116"/>
  <c r="C6079" i="116"/>
  <c r="B6079" i="116"/>
  <c r="K6078" i="116"/>
  <c r="J6078" i="116"/>
  <c r="I6078" i="116"/>
  <c r="H6078" i="116"/>
  <c r="G6078" i="116"/>
  <c r="F6078" i="116"/>
  <c r="E6078" i="116"/>
  <c r="D6078" i="116"/>
  <c r="C6078" i="116"/>
  <c r="B6078" i="116"/>
  <c r="K6077" i="116"/>
  <c r="J6077" i="116"/>
  <c r="I6077" i="116"/>
  <c r="H6077" i="116"/>
  <c r="G6077" i="116"/>
  <c r="F6077" i="116"/>
  <c r="E6077" i="116"/>
  <c r="D6077" i="116"/>
  <c r="C6077" i="116"/>
  <c r="B6077" i="116"/>
  <c r="K6076" i="116"/>
  <c r="J6076" i="116"/>
  <c r="I6076" i="116"/>
  <c r="H6076" i="116"/>
  <c r="G6076" i="116"/>
  <c r="F6076" i="116"/>
  <c r="E6076" i="116"/>
  <c r="D6076" i="116"/>
  <c r="C6076" i="116"/>
  <c r="B6076" i="116"/>
  <c r="K6075" i="116"/>
  <c r="J6075" i="116"/>
  <c r="I6075" i="116"/>
  <c r="H6075" i="116"/>
  <c r="G6075" i="116"/>
  <c r="F6075" i="116"/>
  <c r="E6075" i="116"/>
  <c r="D6075" i="116"/>
  <c r="C6075" i="116"/>
  <c r="B6075" i="116"/>
  <c r="K6074" i="116"/>
  <c r="J6074" i="116"/>
  <c r="I6074" i="116"/>
  <c r="H6074" i="116"/>
  <c r="G6074" i="116"/>
  <c r="F6074" i="116"/>
  <c r="E6074" i="116"/>
  <c r="D6074" i="116"/>
  <c r="C6074" i="116"/>
  <c r="B6074" i="116"/>
  <c r="K6073" i="116"/>
  <c r="J6073" i="116"/>
  <c r="I6073" i="116"/>
  <c r="H6073" i="116"/>
  <c r="G6073" i="116"/>
  <c r="F6073" i="116"/>
  <c r="E6073" i="116"/>
  <c r="D6073" i="116"/>
  <c r="C6073" i="116"/>
  <c r="B6073" i="116"/>
  <c r="K6072" i="116"/>
  <c r="J6072" i="116"/>
  <c r="I6072" i="116"/>
  <c r="H6072" i="116"/>
  <c r="G6072" i="116"/>
  <c r="F6072" i="116"/>
  <c r="E6072" i="116"/>
  <c r="D6072" i="116"/>
  <c r="C6072" i="116"/>
  <c r="B6072" i="116"/>
  <c r="K6071" i="116"/>
  <c r="J6071" i="116"/>
  <c r="I6071" i="116"/>
  <c r="H6071" i="116"/>
  <c r="G6071" i="116"/>
  <c r="F6071" i="116"/>
  <c r="E6071" i="116"/>
  <c r="D6071" i="116"/>
  <c r="C6071" i="116"/>
  <c r="B6071" i="116"/>
  <c r="K6070" i="116"/>
  <c r="J6070" i="116"/>
  <c r="I6070" i="116"/>
  <c r="H6070" i="116"/>
  <c r="G6070" i="116"/>
  <c r="F6070" i="116"/>
  <c r="E6070" i="116"/>
  <c r="D6070" i="116"/>
  <c r="C6070" i="116"/>
  <c r="B6070" i="116"/>
  <c r="K6069" i="116"/>
  <c r="J6069" i="116"/>
  <c r="I6069" i="116"/>
  <c r="H6069" i="116"/>
  <c r="G6069" i="116"/>
  <c r="F6069" i="116"/>
  <c r="E6069" i="116"/>
  <c r="D6069" i="116"/>
  <c r="C6069" i="116"/>
  <c r="B6069" i="116"/>
  <c r="K6068" i="116"/>
  <c r="J6068" i="116"/>
  <c r="I6068" i="116"/>
  <c r="H6068" i="116"/>
  <c r="G6068" i="116"/>
  <c r="F6068" i="116"/>
  <c r="E6068" i="116"/>
  <c r="D6068" i="116"/>
  <c r="C6068" i="116"/>
  <c r="B6068" i="116"/>
  <c r="K6067" i="116"/>
  <c r="J6067" i="116"/>
  <c r="I6067" i="116"/>
  <c r="H6067" i="116"/>
  <c r="G6067" i="116"/>
  <c r="F6067" i="116"/>
  <c r="E6067" i="116"/>
  <c r="D6067" i="116"/>
  <c r="C6067" i="116"/>
  <c r="B6067" i="116"/>
  <c r="K6066" i="116"/>
  <c r="J6066" i="116"/>
  <c r="I6066" i="116"/>
  <c r="H6066" i="116"/>
  <c r="G6066" i="116"/>
  <c r="F6066" i="116"/>
  <c r="E6066" i="116"/>
  <c r="D6066" i="116"/>
  <c r="C6066" i="116"/>
  <c r="B6066" i="116"/>
  <c r="K6065" i="116"/>
  <c r="J6065" i="116"/>
  <c r="I6065" i="116"/>
  <c r="H6065" i="116"/>
  <c r="G6065" i="116"/>
  <c r="F6065" i="116"/>
  <c r="E6065" i="116"/>
  <c r="D6065" i="116"/>
  <c r="C6065" i="116"/>
  <c r="B6065" i="116"/>
  <c r="K6064" i="116"/>
  <c r="J6064" i="116"/>
  <c r="I6064" i="116"/>
  <c r="H6064" i="116"/>
  <c r="G6064" i="116"/>
  <c r="F6064" i="116"/>
  <c r="E6064" i="116"/>
  <c r="D6064" i="116"/>
  <c r="C6064" i="116"/>
  <c r="B6064" i="116"/>
  <c r="K6063" i="116"/>
  <c r="J6063" i="116"/>
  <c r="I6063" i="116"/>
  <c r="H6063" i="116"/>
  <c r="G6063" i="116"/>
  <c r="F6063" i="116"/>
  <c r="E6063" i="116"/>
  <c r="D6063" i="116"/>
  <c r="C6063" i="116"/>
  <c r="B6063" i="116"/>
  <c r="K6062" i="116"/>
  <c r="J6062" i="116"/>
  <c r="I6062" i="116"/>
  <c r="H6062" i="116"/>
  <c r="G6062" i="116"/>
  <c r="F6062" i="116"/>
  <c r="E6062" i="116"/>
  <c r="D6062" i="116"/>
  <c r="C6062" i="116"/>
  <c r="B6062" i="116"/>
  <c r="K6061" i="116"/>
  <c r="J6061" i="116"/>
  <c r="I6061" i="116"/>
  <c r="H6061" i="116"/>
  <c r="G6061" i="116"/>
  <c r="F6061" i="116"/>
  <c r="E6061" i="116"/>
  <c r="D6061" i="116"/>
  <c r="C6061" i="116"/>
  <c r="B6061" i="116"/>
  <c r="K6060" i="116"/>
  <c r="J6060" i="116"/>
  <c r="I6060" i="116"/>
  <c r="H6060" i="116"/>
  <c r="G6060" i="116"/>
  <c r="F6060" i="116"/>
  <c r="E6060" i="116"/>
  <c r="D6060" i="116"/>
  <c r="C6060" i="116"/>
  <c r="B6060" i="116"/>
  <c r="K6059" i="116"/>
  <c r="J6059" i="116"/>
  <c r="I6059" i="116"/>
  <c r="H6059" i="116"/>
  <c r="G6059" i="116"/>
  <c r="F6059" i="116"/>
  <c r="E6059" i="116"/>
  <c r="D6059" i="116"/>
  <c r="C6059" i="116"/>
  <c r="B6059" i="116"/>
  <c r="K6058" i="116"/>
  <c r="J6058" i="116"/>
  <c r="I6058" i="116"/>
  <c r="H6058" i="116"/>
  <c r="G6058" i="116"/>
  <c r="F6058" i="116"/>
  <c r="E6058" i="116"/>
  <c r="D6058" i="116"/>
  <c r="C6058" i="116"/>
  <c r="B6058" i="116"/>
  <c r="K6057" i="116"/>
  <c r="J6057" i="116"/>
  <c r="I6057" i="116"/>
  <c r="H6057" i="116"/>
  <c r="G6057" i="116"/>
  <c r="F6057" i="116"/>
  <c r="E6057" i="116"/>
  <c r="D6057" i="116"/>
  <c r="C6057" i="116"/>
  <c r="B6057" i="116"/>
  <c r="K6056" i="116"/>
  <c r="J6056" i="116"/>
  <c r="I6056" i="116"/>
  <c r="H6056" i="116"/>
  <c r="G6056" i="116"/>
  <c r="F6056" i="116"/>
  <c r="E6056" i="116"/>
  <c r="D6056" i="116"/>
  <c r="C6056" i="116"/>
  <c r="B6056" i="116"/>
  <c r="K6055" i="116"/>
  <c r="J6055" i="116"/>
  <c r="I6055" i="116"/>
  <c r="H6055" i="116"/>
  <c r="G6055" i="116"/>
  <c r="F6055" i="116"/>
  <c r="E6055" i="116"/>
  <c r="D6055" i="116"/>
  <c r="C6055" i="116"/>
  <c r="B6055" i="116"/>
  <c r="K6054" i="116"/>
  <c r="J6054" i="116"/>
  <c r="I6054" i="116"/>
  <c r="H6054" i="116"/>
  <c r="G6054" i="116"/>
  <c r="F6054" i="116"/>
  <c r="E6054" i="116"/>
  <c r="D6054" i="116"/>
  <c r="C6054" i="116"/>
  <c r="B6054" i="116"/>
  <c r="K6053" i="116"/>
  <c r="J6053" i="116"/>
  <c r="I6053" i="116"/>
  <c r="H6053" i="116"/>
  <c r="G6053" i="116"/>
  <c r="F6053" i="116"/>
  <c r="E6053" i="116"/>
  <c r="D6053" i="116"/>
  <c r="C6053" i="116"/>
  <c r="B6053" i="116"/>
  <c r="K6052" i="116"/>
  <c r="J6052" i="116"/>
  <c r="I6052" i="116"/>
  <c r="H6052" i="116"/>
  <c r="G6052" i="116"/>
  <c r="F6052" i="116"/>
  <c r="E6052" i="116"/>
  <c r="D6052" i="116"/>
  <c r="C6052" i="116"/>
  <c r="B6052" i="116"/>
  <c r="K6051" i="116"/>
  <c r="J6051" i="116"/>
  <c r="I6051" i="116"/>
  <c r="H6051" i="116"/>
  <c r="G6051" i="116"/>
  <c r="F6051" i="116"/>
  <c r="E6051" i="116"/>
  <c r="D6051" i="116"/>
  <c r="C6051" i="116"/>
  <c r="B6051" i="116"/>
  <c r="K6050" i="116"/>
  <c r="J6050" i="116"/>
  <c r="I6050" i="116"/>
  <c r="H6050" i="116"/>
  <c r="G6050" i="116"/>
  <c r="F6050" i="116"/>
  <c r="E6050" i="116"/>
  <c r="D6050" i="116"/>
  <c r="C6050" i="116"/>
  <c r="B6050" i="116"/>
  <c r="K6049" i="116"/>
  <c r="J6049" i="116"/>
  <c r="I6049" i="116"/>
  <c r="H6049" i="116"/>
  <c r="G6049" i="116"/>
  <c r="F6049" i="116"/>
  <c r="E6049" i="116"/>
  <c r="D6049" i="116"/>
  <c r="C6049" i="116"/>
  <c r="B6049" i="116"/>
  <c r="K6048" i="116"/>
  <c r="J6048" i="116"/>
  <c r="I6048" i="116"/>
  <c r="H6048" i="116"/>
  <c r="G6048" i="116"/>
  <c r="F6048" i="116"/>
  <c r="E6048" i="116"/>
  <c r="D6048" i="116"/>
  <c r="C6048" i="116"/>
  <c r="B6048" i="116"/>
  <c r="K6047" i="116"/>
  <c r="J6047" i="116"/>
  <c r="I6047" i="116"/>
  <c r="H6047" i="116"/>
  <c r="G6047" i="116"/>
  <c r="F6047" i="116"/>
  <c r="E6047" i="116"/>
  <c r="D6047" i="116"/>
  <c r="C6047" i="116"/>
  <c r="B6047" i="116"/>
  <c r="K6046" i="116"/>
  <c r="J6046" i="116"/>
  <c r="I6046" i="116"/>
  <c r="H6046" i="116"/>
  <c r="G6046" i="116"/>
  <c r="F6046" i="116"/>
  <c r="E6046" i="116"/>
  <c r="D6046" i="116"/>
  <c r="C6046" i="116"/>
  <c r="B6046" i="116"/>
  <c r="K6045" i="116"/>
  <c r="J6045" i="116"/>
  <c r="I6045" i="116"/>
  <c r="H6045" i="116"/>
  <c r="G6045" i="116"/>
  <c r="F6045" i="116"/>
  <c r="E6045" i="116"/>
  <c r="D6045" i="116"/>
  <c r="C6045" i="116"/>
  <c r="B6045" i="116"/>
  <c r="K6044" i="116"/>
  <c r="J6044" i="116"/>
  <c r="I6044" i="116"/>
  <c r="H6044" i="116"/>
  <c r="G6044" i="116"/>
  <c r="F6044" i="116"/>
  <c r="E6044" i="116"/>
  <c r="D6044" i="116"/>
  <c r="C6044" i="116"/>
  <c r="B6044" i="116"/>
  <c r="K6043" i="116"/>
  <c r="J6043" i="116"/>
  <c r="I6043" i="116"/>
  <c r="H6043" i="116"/>
  <c r="G6043" i="116"/>
  <c r="F6043" i="116"/>
  <c r="E6043" i="116"/>
  <c r="D6043" i="116"/>
  <c r="C6043" i="116"/>
  <c r="B6043" i="116"/>
  <c r="K6042" i="116"/>
  <c r="J6042" i="116"/>
  <c r="I6042" i="116"/>
  <c r="H6042" i="116"/>
  <c r="G6042" i="116"/>
  <c r="F6042" i="116"/>
  <c r="E6042" i="116"/>
  <c r="D6042" i="116"/>
  <c r="C6042" i="116"/>
  <c r="B6042" i="116"/>
  <c r="K6041" i="116"/>
  <c r="J6041" i="116"/>
  <c r="I6041" i="116"/>
  <c r="H6041" i="116"/>
  <c r="G6041" i="116"/>
  <c r="F6041" i="116"/>
  <c r="E6041" i="116"/>
  <c r="D6041" i="116"/>
  <c r="C6041" i="116"/>
  <c r="B6041" i="116"/>
  <c r="K6040" i="116"/>
  <c r="J6040" i="116"/>
  <c r="I6040" i="116"/>
  <c r="H6040" i="116"/>
  <c r="G6040" i="116"/>
  <c r="F6040" i="116"/>
  <c r="E6040" i="116"/>
  <c r="D6040" i="116"/>
  <c r="C6040" i="116"/>
  <c r="B6040" i="116"/>
  <c r="K6039" i="116"/>
  <c r="J6039" i="116"/>
  <c r="I6039" i="116"/>
  <c r="H6039" i="116"/>
  <c r="G6039" i="116"/>
  <c r="F6039" i="116"/>
  <c r="E6039" i="116"/>
  <c r="D6039" i="116"/>
  <c r="C6039" i="116"/>
  <c r="B6039" i="116"/>
  <c r="K6038" i="116"/>
  <c r="J6038" i="116"/>
  <c r="I6038" i="116"/>
  <c r="H6038" i="116"/>
  <c r="G6038" i="116"/>
  <c r="F6038" i="116"/>
  <c r="E6038" i="116"/>
  <c r="D6038" i="116"/>
  <c r="C6038" i="116"/>
  <c r="B6038" i="116"/>
  <c r="K6037" i="116"/>
  <c r="J6037" i="116"/>
  <c r="I6037" i="116"/>
  <c r="H6037" i="116"/>
  <c r="G6037" i="116"/>
  <c r="F6037" i="116"/>
  <c r="E6037" i="116"/>
  <c r="D6037" i="116"/>
  <c r="C6037" i="116"/>
  <c r="B6037" i="116"/>
  <c r="K6036" i="116"/>
  <c r="J6036" i="116"/>
  <c r="I6036" i="116"/>
  <c r="H6036" i="116"/>
  <c r="G6036" i="116"/>
  <c r="F6036" i="116"/>
  <c r="E6036" i="116"/>
  <c r="D6036" i="116"/>
  <c r="C6036" i="116"/>
  <c r="B6036" i="116"/>
  <c r="K6035" i="116"/>
  <c r="J6035" i="116"/>
  <c r="I6035" i="116"/>
  <c r="H6035" i="116"/>
  <c r="G6035" i="116"/>
  <c r="F6035" i="116"/>
  <c r="E6035" i="116"/>
  <c r="D6035" i="116"/>
  <c r="C6035" i="116"/>
  <c r="B6035" i="116"/>
  <c r="K6034" i="116"/>
  <c r="J6034" i="116"/>
  <c r="I6034" i="116"/>
  <c r="H6034" i="116"/>
  <c r="G6034" i="116"/>
  <c r="F6034" i="116"/>
  <c r="E6034" i="116"/>
  <c r="D6034" i="116"/>
  <c r="C6034" i="116"/>
  <c r="B6034" i="116"/>
  <c r="K6033" i="116"/>
  <c r="J6033" i="116"/>
  <c r="I6033" i="116"/>
  <c r="H6033" i="116"/>
  <c r="G6033" i="116"/>
  <c r="F6033" i="116"/>
  <c r="E6033" i="116"/>
  <c r="D6033" i="116"/>
  <c r="C6033" i="116"/>
  <c r="B6033" i="116"/>
  <c r="K6032" i="116"/>
  <c r="J6032" i="116"/>
  <c r="I6032" i="116"/>
  <c r="H6032" i="116"/>
  <c r="G6032" i="116"/>
  <c r="F6032" i="116"/>
  <c r="E6032" i="116"/>
  <c r="D6032" i="116"/>
  <c r="C6032" i="116"/>
  <c r="B6032" i="116"/>
  <c r="K6031" i="116"/>
  <c r="J6031" i="116"/>
  <c r="I6031" i="116"/>
  <c r="H6031" i="116"/>
  <c r="G6031" i="116"/>
  <c r="F6031" i="116"/>
  <c r="E6031" i="116"/>
  <c r="D6031" i="116"/>
  <c r="C6031" i="116"/>
  <c r="B6031" i="116"/>
  <c r="K6030" i="116"/>
  <c r="J6030" i="116"/>
  <c r="I6030" i="116"/>
  <c r="H6030" i="116"/>
  <c r="G6030" i="116"/>
  <c r="F6030" i="116"/>
  <c r="E6030" i="116"/>
  <c r="D6030" i="116"/>
  <c r="C6030" i="116"/>
  <c r="B6030" i="116"/>
  <c r="K6029" i="116"/>
  <c r="J6029" i="116"/>
  <c r="I6029" i="116"/>
  <c r="H6029" i="116"/>
  <c r="G6029" i="116"/>
  <c r="F6029" i="116"/>
  <c r="E6029" i="116"/>
  <c r="D6029" i="116"/>
  <c r="C6029" i="116"/>
  <c r="B6029" i="116"/>
  <c r="K6028" i="116"/>
  <c r="J6028" i="116"/>
  <c r="I6028" i="116"/>
  <c r="H6028" i="116"/>
  <c r="G6028" i="116"/>
  <c r="F6028" i="116"/>
  <c r="E6028" i="116"/>
  <c r="D6028" i="116"/>
  <c r="C6028" i="116"/>
  <c r="B6028" i="116"/>
  <c r="K6027" i="116"/>
  <c r="J6027" i="116"/>
  <c r="I6027" i="116"/>
  <c r="H6027" i="116"/>
  <c r="G6027" i="116"/>
  <c r="F6027" i="116"/>
  <c r="E6027" i="116"/>
  <c r="D6027" i="116"/>
  <c r="C6027" i="116"/>
  <c r="B6027" i="116"/>
  <c r="K6026" i="116"/>
  <c r="J6026" i="116"/>
  <c r="I6026" i="116"/>
  <c r="H6026" i="116"/>
  <c r="G6026" i="116"/>
  <c r="F6026" i="116"/>
  <c r="E6026" i="116"/>
  <c r="D6026" i="116"/>
  <c r="C6026" i="116"/>
  <c r="B6026" i="116"/>
  <c r="K6025" i="116"/>
  <c r="J6025" i="116"/>
  <c r="I6025" i="116"/>
  <c r="H6025" i="116"/>
  <c r="G6025" i="116"/>
  <c r="F6025" i="116"/>
  <c r="E6025" i="116"/>
  <c r="D6025" i="116"/>
  <c r="C6025" i="116"/>
  <c r="B6025" i="116"/>
  <c r="K6024" i="116"/>
  <c r="J6024" i="116"/>
  <c r="I6024" i="116"/>
  <c r="H6024" i="116"/>
  <c r="G6024" i="116"/>
  <c r="F6024" i="116"/>
  <c r="E6024" i="116"/>
  <c r="D6024" i="116"/>
  <c r="C6024" i="116"/>
  <c r="B6024" i="116"/>
  <c r="K6023" i="116"/>
  <c r="J6023" i="116"/>
  <c r="I6023" i="116"/>
  <c r="H6023" i="116"/>
  <c r="G6023" i="116"/>
  <c r="F6023" i="116"/>
  <c r="E6023" i="116"/>
  <c r="D6023" i="116"/>
  <c r="C6023" i="116"/>
  <c r="B6023" i="116"/>
  <c r="K6022" i="116"/>
  <c r="J6022" i="116"/>
  <c r="I6022" i="116"/>
  <c r="H6022" i="116"/>
  <c r="G6022" i="116"/>
  <c r="F6022" i="116"/>
  <c r="E6022" i="116"/>
  <c r="D6022" i="116"/>
  <c r="C6022" i="116"/>
  <c r="B6022" i="116"/>
  <c r="K6021" i="116"/>
  <c r="J6021" i="116"/>
  <c r="I6021" i="116"/>
  <c r="H6021" i="116"/>
  <c r="G6021" i="116"/>
  <c r="F6021" i="116"/>
  <c r="E6021" i="116"/>
  <c r="D6021" i="116"/>
  <c r="C6021" i="116"/>
  <c r="B6021" i="116"/>
  <c r="K6020" i="116"/>
  <c r="J6020" i="116"/>
  <c r="I6020" i="116"/>
  <c r="H6020" i="116"/>
  <c r="G6020" i="116"/>
  <c r="F6020" i="116"/>
  <c r="E6020" i="116"/>
  <c r="D6020" i="116"/>
  <c r="C6020" i="116"/>
  <c r="B6020" i="116"/>
  <c r="K6019" i="116"/>
  <c r="J6019" i="116"/>
  <c r="I6019" i="116"/>
  <c r="H6019" i="116"/>
  <c r="G6019" i="116"/>
  <c r="F6019" i="116"/>
  <c r="E6019" i="116"/>
  <c r="D6019" i="116"/>
  <c r="C6019" i="116"/>
  <c r="B6019" i="116"/>
  <c r="K6018" i="116"/>
  <c r="J6018" i="116"/>
  <c r="I6018" i="116"/>
  <c r="H6018" i="116"/>
  <c r="G6018" i="116"/>
  <c r="F6018" i="116"/>
  <c r="E6018" i="116"/>
  <c r="D6018" i="116"/>
  <c r="C6018" i="116"/>
  <c r="B6018" i="116"/>
  <c r="K6017" i="116"/>
  <c r="J6017" i="116"/>
  <c r="I6017" i="116"/>
  <c r="H6017" i="116"/>
  <c r="G6017" i="116"/>
  <c r="F6017" i="116"/>
  <c r="E6017" i="116"/>
  <c r="D6017" i="116"/>
  <c r="C6017" i="116"/>
  <c r="B6017" i="116"/>
  <c r="K6016" i="116"/>
  <c r="J6016" i="116"/>
  <c r="I6016" i="116"/>
  <c r="H6016" i="116"/>
  <c r="G6016" i="116"/>
  <c r="F6016" i="116"/>
  <c r="E6016" i="116"/>
  <c r="D6016" i="116"/>
  <c r="C6016" i="116"/>
  <c r="B6016" i="116"/>
  <c r="K6015" i="116"/>
  <c r="J6015" i="116"/>
  <c r="I6015" i="116"/>
  <c r="H6015" i="116"/>
  <c r="G6015" i="116"/>
  <c r="F6015" i="116"/>
  <c r="E6015" i="116"/>
  <c r="D6015" i="116"/>
  <c r="C6015" i="116"/>
  <c r="B6015" i="116"/>
  <c r="K6014" i="116"/>
  <c r="J6014" i="116"/>
  <c r="I6014" i="116"/>
  <c r="H6014" i="116"/>
  <c r="G6014" i="116"/>
  <c r="F6014" i="116"/>
  <c r="E6014" i="116"/>
  <c r="D6014" i="116"/>
  <c r="C6014" i="116"/>
  <c r="B6014" i="116"/>
  <c r="K6013" i="116"/>
  <c r="J6013" i="116"/>
  <c r="I6013" i="116"/>
  <c r="H6013" i="116"/>
  <c r="G6013" i="116"/>
  <c r="F6013" i="116"/>
  <c r="E6013" i="116"/>
  <c r="D6013" i="116"/>
  <c r="C6013" i="116"/>
  <c r="B6013" i="116"/>
  <c r="K6012" i="116"/>
  <c r="J6012" i="116"/>
  <c r="I6012" i="116"/>
  <c r="H6012" i="116"/>
  <c r="G6012" i="116"/>
  <c r="F6012" i="116"/>
  <c r="E6012" i="116"/>
  <c r="D6012" i="116"/>
  <c r="C6012" i="116"/>
  <c r="B6012" i="116"/>
  <c r="K6011" i="116"/>
  <c r="J6011" i="116"/>
  <c r="I6011" i="116"/>
  <c r="H6011" i="116"/>
  <c r="G6011" i="116"/>
  <c r="F6011" i="116"/>
  <c r="E6011" i="116"/>
  <c r="D6011" i="116"/>
  <c r="C6011" i="116"/>
  <c r="B6011" i="116"/>
  <c r="K6010" i="116"/>
  <c r="J6010" i="116"/>
  <c r="I6010" i="116"/>
  <c r="H6010" i="116"/>
  <c r="G6010" i="116"/>
  <c r="F6010" i="116"/>
  <c r="E6010" i="116"/>
  <c r="D6010" i="116"/>
  <c r="C6010" i="116"/>
  <c r="B6010" i="116"/>
  <c r="K6009" i="116"/>
  <c r="J6009" i="116"/>
  <c r="I6009" i="116"/>
  <c r="H6009" i="116"/>
  <c r="G6009" i="116"/>
  <c r="F6009" i="116"/>
  <c r="E6009" i="116"/>
  <c r="D6009" i="116"/>
  <c r="C6009" i="116"/>
  <c r="B6009" i="116"/>
  <c r="K6008" i="116"/>
  <c r="J6008" i="116"/>
  <c r="I6008" i="116"/>
  <c r="H6008" i="116"/>
  <c r="G6008" i="116"/>
  <c r="F6008" i="116"/>
  <c r="E6008" i="116"/>
  <c r="D6008" i="116"/>
  <c r="C6008" i="116"/>
  <c r="B6008" i="116"/>
  <c r="K6007" i="116"/>
  <c r="J6007" i="116"/>
  <c r="I6007" i="116"/>
  <c r="H6007" i="116"/>
  <c r="G6007" i="116"/>
  <c r="F6007" i="116"/>
  <c r="E6007" i="116"/>
  <c r="D6007" i="116"/>
  <c r="C6007" i="116"/>
  <c r="B6007" i="116"/>
  <c r="K6006" i="116"/>
  <c r="J6006" i="116"/>
  <c r="I6006" i="116"/>
  <c r="H6006" i="116"/>
  <c r="G6006" i="116"/>
  <c r="F6006" i="116"/>
  <c r="E6006" i="116"/>
  <c r="D6006" i="116"/>
  <c r="C6006" i="116"/>
  <c r="B6006" i="116"/>
  <c r="K6005" i="116"/>
  <c r="J6005" i="116"/>
  <c r="I6005" i="116"/>
  <c r="H6005" i="116"/>
  <c r="G6005" i="116"/>
  <c r="F6005" i="116"/>
  <c r="E6005" i="116"/>
  <c r="D6005" i="116"/>
  <c r="C6005" i="116"/>
  <c r="B6005" i="116"/>
  <c r="K6004" i="116"/>
  <c r="J6004" i="116"/>
  <c r="I6004" i="116"/>
  <c r="H6004" i="116"/>
  <c r="G6004" i="116"/>
  <c r="F6004" i="116"/>
  <c r="E6004" i="116"/>
  <c r="D6004" i="116"/>
  <c r="C6004" i="116"/>
  <c r="B6004" i="116"/>
  <c r="K6003" i="116"/>
  <c r="J6003" i="116"/>
  <c r="I6003" i="116"/>
  <c r="H6003" i="116"/>
  <c r="G6003" i="116"/>
  <c r="F6003" i="116"/>
  <c r="E6003" i="116"/>
  <c r="D6003" i="116"/>
  <c r="C6003" i="116"/>
  <c r="B6003" i="116"/>
  <c r="K6002" i="116"/>
  <c r="J6002" i="116"/>
  <c r="I6002" i="116"/>
  <c r="H6002" i="116"/>
  <c r="G6002" i="116"/>
  <c r="F6002" i="116"/>
  <c r="E6002" i="116"/>
  <c r="D6002" i="116"/>
  <c r="C6002" i="116"/>
  <c r="B6002" i="116"/>
  <c r="K6001" i="116"/>
  <c r="J6001" i="116"/>
  <c r="I6001" i="116"/>
  <c r="H6001" i="116"/>
  <c r="G6001" i="116"/>
  <c r="F6001" i="116"/>
  <c r="E6001" i="116"/>
  <c r="D6001" i="116"/>
  <c r="C6001" i="116"/>
  <c r="B6001" i="116"/>
  <c r="K6000" i="116"/>
  <c r="J6000" i="116"/>
  <c r="I6000" i="116"/>
  <c r="H6000" i="116"/>
  <c r="G6000" i="116"/>
  <c r="F6000" i="116"/>
  <c r="E6000" i="116"/>
  <c r="D6000" i="116"/>
  <c r="C6000" i="116"/>
  <c r="B6000" i="116"/>
  <c r="K5999" i="116"/>
  <c r="J5999" i="116"/>
  <c r="I5999" i="116"/>
  <c r="H5999" i="116"/>
  <c r="G5999" i="116"/>
  <c r="F5999" i="116"/>
  <c r="E5999" i="116"/>
  <c r="D5999" i="116"/>
  <c r="C5999" i="116"/>
  <c r="B5999" i="116"/>
  <c r="K5998" i="116"/>
  <c r="J5998" i="116"/>
  <c r="I5998" i="116"/>
  <c r="H5998" i="116"/>
  <c r="G5998" i="116"/>
  <c r="F5998" i="116"/>
  <c r="E5998" i="116"/>
  <c r="D5998" i="116"/>
  <c r="C5998" i="116"/>
  <c r="B5998" i="116"/>
  <c r="K5997" i="116"/>
  <c r="J5997" i="116"/>
  <c r="I5997" i="116"/>
  <c r="H5997" i="116"/>
  <c r="G5997" i="116"/>
  <c r="F5997" i="116"/>
  <c r="E5997" i="116"/>
  <c r="D5997" i="116"/>
  <c r="C5997" i="116"/>
  <c r="B5997" i="116"/>
  <c r="K5996" i="116"/>
  <c r="J5996" i="116"/>
  <c r="I5996" i="116"/>
  <c r="H5996" i="116"/>
  <c r="G5996" i="116"/>
  <c r="F5996" i="116"/>
  <c r="E5996" i="116"/>
  <c r="D5996" i="116"/>
  <c r="C5996" i="116"/>
  <c r="B5996" i="116"/>
  <c r="K5995" i="116"/>
  <c r="J5995" i="116"/>
  <c r="I5995" i="116"/>
  <c r="H5995" i="116"/>
  <c r="G5995" i="116"/>
  <c r="F5995" i="116"/>
  <c r="E5995" i="116"/>
  <c r="D5995" i="116"/>
  <c r="C5995" i="116"/>
  <c r="B5995" i="116"/>
  <c r="K5994" i="116"/>
  <c r="J5994" i="116"/>
  <c r="I5994" i="116"/>
  <c r="H5994" i="116"/>
  <c r="G5994" i="116"/>
  <c r="F5994" i="116"/>
  <c r="E5994" i="116"/>
  <c r="D5994" i="116"/>
  <c r="C5994" i="116"/>
  <c r="B5994" i="116"/>
  <c r="K5993" i="116"/>
  <c r="J5993" i="116"/>
  <c r="I5993" i="116"/>
  <c r="H5993" i="116"/>
  <c r="G5993" i="116"/>
  <c r="F5993" i="116"/>
  <c r="E5993" i="116"/>
  <c r="D5993" i="116"/>
  <c r="C5993" i="116"/>
  <c r="B5993" i="116"/>
  <c r="K5992" i="116"/>
  <c r="J5992" i="116"/>
  <c r="I5992" i="116"/>
  <c r="H5992" i="116"/>
  <c r="G5992" i="116"/>
  <c r="F5992" i="116"/>
  <c r="E5992" i="116"/>
  <c r="D5992" i="116"/>
  <c r="C5992" i="116"/>
  <c r="B5992" i="116"/>
  <c r="K5991" i="116"/>
  <c r="J5991" i="116"/>
  <c r="I5991" i="116"/>
  <c r="H5991" i="116"/>
  <c r="G5991" i="116"/>
  <c r="F5991" i="116"/>
  <c r="E5991" i="116"/>
  <c r="D5991" i="116"/>
  <c r="C5991" i="116"/>
  <c r="B5991" i="116"/>
  <c r="K5990" i="116"/>
  <c r="J5990" i="116"/>
  <c r="I5990" i="116"/>
  <c r="H5990" i="116"/>
  <c r="G5990" i="116"/>
  <c r="F5990" i="116"/>
  <c r="E5990" i="116"/>
  <c r="D5990" i="116"/>
  <c r="C5990" i="116"/>
  <c r="B5990" i="116"/>
  <c r="K5989" i="116"/>
  <c r="J5989" i="116"/>
  <c r="I5989" i="116"/>
  <c r="H5989" i="116"/>
  <c r="G5989" i="116"/>
  <c r="F5989" i="116"/>
  <c r="E5989" i="116"/>
  <c r="D5989" i="116"/>
  <c r="C5989" i="116"/>
  <c r="B5989" i="116"/>
  <c r="K5988" i="116"/>
  <c r="J5988" i="116"/>
  <c r="I5988" i="116"/>
  <c r="H5988" i="116"/>
  <c r="G5988" i="116"/>
  <c r="F5988" i="116"/>
  <c r="E5988" i="116"/>
  <c r="D5988" i="116"/>
  <c r="C5988" i="116"/>
  <c r="B5988" i="116"/>
  <c r="K5987" i="116"/>
  <c r="J5987" i="116"/>
  <c r="I5987" i="116"/>
  <c r="H5987" i="116"/>
  <c r="G5987" i="116"/>
  <c r="F5987" i="116"/>
  <c r="E5987" i="116"/>
  <c r="D5987" i="116"/>
  <c r="C5987" i="116"/>
  <c r="B5987" i="116"/>
  <c r="K5986" i="116"/>
  <c r="J5986" i="116"/>
  <c r="I5986" i="116"/>
  <c r="H5986" i="116"/>
  <c r="G5986" i="116"/>
  <c r="F5986" i="116"/>
  <c r="E5986" i="116"/>
  <c r="D5986" i="116"/>
  <c r="C5986" i="116"/>
  <c r="B5986" i="116"/>
  <c r="K5985" i="116"/>
  <c r="J5985" i="116"/>
  <c r="I5985" i="116"/>
  <c r="H5985" i="116"/>
  <c r="G5985" i="116"/>
  <c r="F5985" i="116"/>
  <c r="E5985" i="116"/>
  <c r="D5985" i="116"/>
  <c r="C5985" i="116"/>
  <c r="B5985" i="116"/>
  <c r="K5984" i="116"/>
  <c r="J5984" i="116"/>
  <c r="I5984" i="116"/>
  <c r="H5984" i="116"/>
  <c r="G5984" i="116"/>
  <c r="F5984" i="116"/>
  <c r="E5984" i="116"/>
  <c r="D5984" i="116"/>
  <c r="C5984" i="116"/>
  <c r="B5984" i="116"/>
  <c r="K5983" i="116"/>
  <c r="J5983" i="116"/>
  <c r="I5983" i="116"/>
  <c r="H5983" i="116"/>
  <c r="G5983" i="116"/>
  <c r="F5983" i="116"/>
  <c r="E5983" i="116"/>
  <c r="D5983" i="116"/>
  <c r="C5983" i="116"/>
  <c r="B5983" i="116"/>
  <c r="K5982" i="116"/>
  <c r="J5982" i="116"/>
  <c r="I5982" i="116"/>
  <c r="H5982" i="116"/>
  <c r="G5982" i="116"/>
  <c r="F5982" i="116"/>
  <c r="E5982" i="116"/>
  <c r="D5982" i="116"/>
  <c r="C5982" i="116"/>
  <c r="B5982" i="116"/>
  <c r="K5981" i="116"/>
  <c r="J5981" i="116"/>
  <c r="I5981" i="116"/>
  <c r="H5981" i="116"/>
  <c r="G5981" i="116"/>
  <c r="F5981" i="116"/>
  <c r="E5981" i="116"/>
  <c r="D5981" i="116"/>
  <c r="C5981" i="116"/>
  <c r="B5981" i="116"/>
  <c r="K5980" i="116"/>
  <c r="J5980" i="116"/>
  <c r="I5980" i="116"/>
  <c r="H5980" i="116"/>
  <c r="G5980" i="116"/>
  <c r="F5980" i="116"/>
  <c r="E5980" i="116"/>
  <c r="D5980" i="116"/>
  <c r="C5980" i="116"/>
  <c r="B5980" i="116"/>
  <c r="K5979" i="116"/>
  <c r="J5979" i="116"/>
  <c r="I5979" i="116"/>
  <c r="H5979" i="116"/>
  <c r="G5979" i="116"/>
  <c r="F5979" i="116"/>
  <c r="E5979" i="116"/>
  <c r="D5979" i="116"/>
  <c r="C5979" i="116"/>
  <c r="B5979" i="116"/>
  <c r="K5978" i="116"/>
  <c r="J5978" i="116"/>
  <c r="I5978" i="116"/>
  <c r="H5978" i="116"/>
  <c r="G5978" i="116"/>
  <c r="F5978" i="116"/>
  <c r="E5978" i="116"/>
  <c r="D5978" i="116"/>
  <c r="C5978" i="116"/>
  <c r="B5978" i="116"/>
  <c r="K5977" i="116"/>
  <c r="J5977" i="116"/>
  <c r="I5977" i="116"/>
  <c r="H5977" i="116"/>
  <c r="G5977" i="116"/>
  <c r="F5977" i="116"/>
  <c r="E5977" i="116"/>
  <c r="D5977" i="116"/>
  <c r="C5977" i="116"/>
  <c r="B5977" i="116"/>
  <c r="K5976" i="116"/>
  <c r="J5976" i="116"/>
  <c r="I5976" i="116"/>
  <c r="H5976" i="116"/>
  <c r="G5976" i="116"/>
  <c r="F5976" i="116"/>
  <c r="E5976" i="116"/>
  <c r="D5976" i="116"/>
  <c r="C5976" i="116"/>
  <c r="B5976" i="116"/>
  <c r="K5975" i="116"/>
  <c r="J5975" i="116"/>
  <c r="I5975" i="116"/>
  <c r="H5975" i="116"/>
  <c r="G5975" i="116"/>
  <c r="F5975" i="116"/>
  <c r="E5975" i="116"/>
  <c r="D5975" i="116"/>
  <c r="C5975" i="116"/>
  <c r="B5975" i="116"/>
  <c r="K5974" i="116"/>
  <c r="J5974" i="116"/>
  <c r="I5974" i="116"/>
  <c r="H5974" i="116"/>
  <c r="G5974" i="116"/>
  <c r="F5974" i="116"/>
  <c r="E5974" i="116"/>
  <c r="D5974" i="116"/>
  <c r="C5974" i="116"/>
  <c r="B5974" i="116"/>
  <c r="K5973" i="116"/>
  <c r="J5973" i="116"/>
  <c r="I5973" i="116"/>
  <c r="H5973" i="116"/>
  <c r="G5973" i="116"/>
  <c r="F5973" i="116"/>
  <c r="E5973" i="116"/>
  <c r="D5973" i="116"/>
  <c r="C5973" i="116"/>
  <c r="B5973" i="116"/>
  <c r="K5972" i="116"/>
  <c r="J5972" i="116"/>
  <c r="I5972" i="116"/>
  <c r="H5972" i="116"/>
  <c r="G5972" i="116"/>
  <c r="F5972" i="116"/>
  <c r="E5972" i="116"/>
  <c r="D5972" i="116"/>
  <c r="C5972" i="116"/>
  <c r="B5972" i="116"/>
  <c r="K5971" i="116"/>
  <c r="J5971" i="116"/>
  <c r="I5971" i="116"/>
  <c r="H5971" i="116"/>
  <c r="G5971" i="116"/>
  <c r="F5971" i="116"/>
  <c r="E5971" i="116"/>
  <c r="D5971" i="116"/>
  <c r="C5971" i="116"/>
  <c r="B5971" i="116"/>
  <c r="K5970" i="116"/>
  <c r="J5970" i="116"/>
  <c r="I5970" i="116"/>
  <c r="H5970" i="116"/>
  <c r="G5970" i="116"/>
  <c r="F5970" i="116"/>
  <c r="E5970" i="116"/>
  <c r="D5970" i="116"/>
  <c r="C5970" i="116"/>
  <c r="B5970" i="116"/>
  <c r="K5969" i="116"/>
  <c r="J5969" i="116"/>
  <c r="I5969" i="116"/>
  <c r="H5969" i="116"/>
  <c r="G5969" i="116"/>
  <c r="F5969" i="116"/>
  <c r="E5969" i="116"/>
  <c r="D5969" i="116"/>
  <c r="C5969" i="116"/>
  <c r="B5969" i="116"/>
  <c r="K5968" i="116"/>
  <c r="J5968" i="116"/>
  <c r="I5968" i="116"/>
  <c r="H5968" i="116"/>
  <c r="G5968" i="116"/>
  <c r="F5968" i="116"/>
  <c r="E5968" i="116"/>
  <c r="D5968" i="116"/>
  <c r="C5968" i="116"/>
  <c r="B5968" i="116"/>
  <c r="K5967" i="116"/>
  <c r="J5967" i="116"/>
  <c r="I5967" i="116"/>
  <c r="H5967" i="116"/>
  <c r="G5967" i="116"/>
  <c r="F5967" i="116"/>
  <c r="E5967" i="116"/>
  <c r="D5967" i="116"/>
  <c r="C5967" i="116"/>
  <c r="B5967" i="116"/>
  <c r="K5966" i="116"/>
  <c r="J5966" i="116"/>
  <c r="I5966" i="116"/>
  <c r="H5966" i="116"/>
  <c r="G5966" i="116"/>
  <c r="F5966" i="116"/>
  <c r="E5966" i="116"/>
  <c r="D5966" i="116"/>
  <c r="C5966" i="116"/>
  <c r="B5966" i="116"/>
  <c r="K5965" i="116"/>
  <c r="J5965" i="116"/>
  <c r="I5965" i="116"/>
  <c r="H5965" i="116"/>
  <c r="G5965" i="116"/>
  <c r="F5965" i="116"/>
  <c r="E5965" i="116"/>
  <c r="D5965" i="116"/>
  <c r="C5965" i="116"/>
  <c r="B5965" i="116"/>
  <c r="K5964" i="116"/>
  <c r="J5964" i="116"/>
  <c r="I5964" i="116"/>
  <c r="H5964" i="116"/>
  <c r="G5964" i="116"/>
  <c r="F5964" i="116"/>
  <c r="E5964" i="116"/>
  <c r="D5964" i="116"/>
  <c r="C5964" i="116"/>
  <c r="B5964" i="116"/>
  <c r="K5963" i="116"/>
  <c r="J5963" i="116"/>
  <c r="I5963" i="116"/>
  <c r="H5963" i="116"/>
  <c r="G5963" i="116"/>
  <c r="F5963" i="116"/>
  <c r="E5963" i="116"/>
  <c r="D5963" i="116"/>
  <c r="C5963" i="116"/>
  <c r="B5963" i="116"/>
  <c r="K5962" i="116"/>
  <c r="J5962" i="116"/>
  <c r="I5962" i="116"/>
  <c r="H5962" i="116"/>
  <c r="G5962" i="116"/>
  <c r="F5962" i="116"/>
  <c r="E5962" i="116"/>
  <c r="D5962" i="116"/>
  <c r="C5962" i="116"/>
  <c r="B5962" i="116"/>
  <c r="K5961" i="116"/>
  <c r="J5961" i="116"/>
  <c r="I5961" i="116"/>
  <c r="H5961" i="116"/>
  <c r="G5961" i="116"/>
  <c r="F5961" i="116"/>
  <c r="E5961" i="116"/>
  <c r="D5961" i="116"/>
  <c r="C5961" i="116"/>
  <c r="B5961" i="116"/>
  <c r="K5960" i="116"/>
  <c r="J5960" i="116"/>
  <c r="I5960" i="116"/>
  <c r="H5960" i="116"/>
  <c r="G5960" i="116"/>
  <c r="F5960" i="116"/>
  <c r="E5960" i="116"/>
  <c r="D5960" i="116"/>
  <c r="C5960" i="116"/>
  <c r="B5960" i="116"/>
  <c r="K5959" i="116"/>
  <c r="J5959" i="116"/>
  <c r="I5959" i="116"/>
  <c r="H5959" i="116"/>
  <c r="G5959" i="116"/>
  <c r="F5959" i="116"/>
  <c r="E5959" i="116"/>
  <c r="D5959" i="116"/>
  <c r="C5959" i="116"/>
  <c r="B5959" i="116"/>
  <c r="K5958" i="116"/>
  <c r="J5958" i="116"/>
  <c r="I5958" i="116"/>
  <c r="H5958" i="116"/>
  <c r="G5958" i="116"/>
  <c r="F5958" i="116"/>
  <c r="E5958" i="116"/>
  <c r="D5958" i="116"/>
  <c r="C5958" i="116"/>
  <c r="B5958" i="116"/>
  <c r="K5957" i="116"/>
  <c r="J5957" i="116"/>
  <c r="I5957" i="116"/>
  <c r="H5957" i="116"/>
  <c r="G5957" i="116"/>
  <c r="F5957" i="116"/>
  <c r="E5957" i="116"/>
  <c r="D5957" i="116"/>
  <c r="C5957" i="116"/>
  <c r="B5957" i="116"/>
  <c r="K5956" i="116"/>
  <c r="J5956" i="116"/>
  <c r="I5956" i="116"/>
  <c r="H5956" i="116"/>
  <c r="G5956" i="116"/>
  <c r="F5956" i="116"/>
  <c r="E5956" i="116"/>
  <c r="D5956" i="116"/>
  <c r="C5956" i="116"/>
  <c r="B5956" i="116"/>
  <c r="K5955" i="116"/>
  <c r="J5955" i="116"/>
  <c r="I5955" i="116"/>
  <c r="H5955" i="116"/>
  <c r="G5955" i="116"/>
  <c r="F5955" i="116"/>
  <c r="E5955" i="116"/>
  <c r="D5955" i="116"/>
  <c r="C5955" i="116"/>
  <c r="B5955" i="116"/>
  <c r="K5954" i="116"/>
  <c r="J5954" i="116"/>
  <c r="I5954" i="116"/>
  <c r="H5954" i="116"/>
  <c r="G5954" i="116"/>
  <c r="F5954" i="116"/>
  <c r="E5954" i="116"/>
  <c r="D5954" i="116"/>
  <c r="C5954" i="116"/>
  <c r="B5954" i="116"/>
  <c r="K5953" i="116"/>
  <c r="J5953" i="116"/>
  <c r="I5953" i="116"/>
  <c r="H5953" i="116"/>
  <c r="G5953" i="116"/>
  <c r="F5953" i="116"/>
  <c r="E5953" i="116"/>
  <c r="D5953" i="116"/>
  <c r="C5953" i="116"/>
  <c r="B5953" i="116"/>
  <c r="K5952" i="116"/>
  <c r="J5952" i="116"/>
  <c r="I5952" i="116"/>
  <c r="H5952" i="116"/>
  <c r="G5952" i="116"/>
  <c r="F5952" i="116"/>
  <c r="E5952" i="116"/>
  <c r="D5952" i="116"/>
  <c r="C5952" i="116"/>
  <c r="B5952" i="116"/>
  <c r="K5951" i="116"/>
  <c r="J5951" i="116"/>
  <c r="I5951" i="116"/>
  <c r="H5951" i="116"/>
  <c r="G5951" i="116"/>
  <c r="F5951" i="116"/>
  <c r="E5951" i="116"/>
  <c r="D5951" i="116"/>
  <c r="C5951" i="116"/>
  <c r="B5951" i="116"/>
  <c r="K5950" i="116"/>
  <c r="J5950" i="116"/>
  <c r="I5950" i="116"/>
  <c r="H5950" i="116"/>
  <c r="G5950" i="116"/>
  <c r="F5950" i="116"/>
  <c r="E5950" i="116"/>
  <c r="D5950" i="116"/>
  <c r="C5950" i="116"/>
  <c r="B5950" i="116"/>
  <c r="K5949" i="116"/>
  <c r="J5949" i="116"/>
  <c r="I5949" i="116"/>
  <c r="H5949" i="116"/>
  <c r="G5949" i="116"/>
  <c r="F5949" i="116"/>
  <c r="E5949" i="116"/>
  <c r="D5949" i="116"/>
  <c r="C5949" i="116"/>
  <c r="B5949" i="116"/>
  <c r="K5948" i="116"/>
  <c r="J5948" i="116"/>
  <c r="I5948" i="116"/>
  <c r="H5948" i="116"/>
  <c r="G5948" i="116"/>
  <c r="F5948" i="116"/>
  <c r="E5948" i="116"/>
  <c r="D5948" i="116"/>
  <c r="C5948" i="116"/>
  <c r="B5948" i="116"/>
  <c r="K5947" i="116"/>
  <c r="J5947" i="116"/>
  <c r="I5947" i="116"/>
  <c r="H5947" i="116"/>
  <c r="G5947" i="116"/>
  <c r="F5947" i="116"/>
  <c r="E5947" i="116"/>
  <c r="D5947" i="116"/>
  <c r="C5947" i="116"/>
  <c r="B5947" i="116"/>
  <c r="K5946" i="116"/>
  <c r="J5946" i="116"/>
  <c r="I5946" i="116"/>
  <c r="H5946" i="116"/>
  <c r="G5946" i="116"/>
  <c r="F5946" i="116"/>
  <c r="E5946" i="116"/>
  <c r="D5946" i="116"/>
  <c r="C5946" i="116"/>
  <c r="B5946" i="116"/>
  <c r="K5945" i="116"/>
  <c r="J5945" i="116"/>
  <c r="I5945" i="116"/>
  <c r="H5945" i="116"/>
  <c r="G5945" i="116"/>
  <c r="F5945" i="116"/>
  <c r="E5945" i="116"/>
  <c r="D5945" i="116"/>
  <c r="C5945" i="116"/>
  <c r="B5945" i="116"/>
  <c r="K5944" i="116"/>
  <c r="J5944" i="116"/>
  <c r="I5944" i="116"/>
  <c r="H5944" i="116"/>
  <c r="G5944" i="116"/>
  <c r="F5944" i="116"/>
  <c r="E5944" i="116"/>
  <c r="D5944" i="116"/>
  <c r="C5944" i="116"/>
  <c r="B5944" i="116"/>
  <c r="K5943" i="116"/>
  <c r="J5943" i="116"/>
  <c r="I5943" i="116"/>
  <c r="H5943" i="116"/>
  <c r="G5943" i="116"/>
  <c r="F5943" i="116"/>
  <c r="E5943" i="116"/>
  <c r="D5943" i="116"/>
  <c r="C5943" i="116"/>
  <c r="B5943" i="116"/>
  <c r="K5942" i="116"/>
  <c r="J5942" i="116"/>
  <c r="I5942" i="116"/>
  <c r="H5942" i="116"/>
  <c r="G5942" i="116"/>
  <c r="F5942" i="116"/>
  <c r="E5942" i="116"/>
  <c r="D5942" i="116"/>
  <c r="C5942" i="116"/>
  <c r="B5942" i="116"/>
  <c r="K5941" i="116"/>
  <c r="J5941" i="116"/>
  <c r="I5941" i="116"/>
  <c r="H5941" i="116"/>
  <c r="G5941" i="116"/>
  <c r="F5941" i="116"/>
  <c r="E5941" i="116"/>
  <c r="D5941" i="116"/>
  <c r="C5941" i="116"/>
  <c r="B5941" i="116"/>
  <c r="K5940" i="116"/>
  <c r="J5940" i="116"/>
  <c r="I5940" i="116"/>
  <c r="H5940" i="116"/>
  <c r="G5940" i="116"/>
  <c r="F5940" i="116"/>
  <c r="E5940" i="116"/>
  <c r="D5940" i="116"/>
  <c r="C5940" i="116"/>
  <c r="B5940" i="116"/>
  <c r="K5939" i="116"/>
  <c r="J5939" i="116"/>
  <c r="I5939" i="116"/>
  <c r="H5939" i="116"/>
  <c r="G5939" i="116"/>
  <c r="F5939" i="116"/>
  <c r="E5939" i="116"/>
  <c r="D5939" i="116"/>
  <c r="C5939" i="116"/>
  <c r="B5939" i="116"/>
  <c r="K5938" i="116"/>
  <c r="J5938" i="116"/>
  <c r="I5938" i="116"/>
  <c r="H5938" i="116"/>
  <c r="G5938" i="116"/>
  <c r="F5938" i="116"/>
  <c r="E5938" i="116"/>
  <c r="D5938" i="116"/>
  <c r="C5938" i="116"/>
  <c r="B5938" i="116"/>
  <c r="K5937" i="116"/>
  <c r="J5937" i="116"/>
  <c r="I5937" i="116"/>
  <c r="H5937" i="116"/>
  <c r="G5937" i="116"/>
  <c r="F5937" i="116"/>
  <c r="E5937" i="116"/>
  <c r="D5937" i="116"/>
  <c r="C5937" i="116"/>
  <c r="B5937" i="116"/>
  <c r="K5936" i="116"/>
  <c r="J5936" i="116"/>
  <c r="I5936" i="116"/>
  <c r="H5936" i="116"/>
  <c r="G5936" i="116"/>
  <c r="F5936" i="116"/>
  <c r="E5936" i="116"/>
  <c r="D5936" i="116"/>
  <c r="C5936" i="116"/>
  <c r="B5936" i="116"/>
  <c r="K5935" i="116"/>
  <c r="J5935" i="116"/>
  <c r="I5935" i="116"/>
  <c r="H5935" i="116"/>
  <c r="G5935" i="116"/>
  <c r="F5935" i="116"/>
  <c r="E5935" i="116"/>
  <c r="D5935" i="116"/>
  <c r="C5935" i="116"/>
  <c r="B5935" i="116"/>
  <c r="K5934" i="116"/>
  <c r="J5934" i="116"/>
  <c r="I5934" i="116"/>
  <c r="H5934" i="116"/>
  <c r="G5934" i="116"/>
  <c r="F5934" i="116"/>
  <c r="E5934" i="116"/>
  <c r="D5934" i="116"/>
  <c r="C5934" i="116"/>
  <c r="B5934" i="116"/>
  <c r="K5933" i="116"/>
  <c r="J5933" i="116"/>
  <c r="I5933" i="116"/>
  <c r="H5933" i="116"/>
  <c r="G5933" i="116"/>
  <c r="F5933" i="116"/>
  <c r="E5933" i="116"/>
  <c r="D5933" i="116"/>
  <c r="C5933" i="116"/>
  <c r="B5933" i="116"/>
  <c r="K5932" i="116"/>
  <c r="J5932" i="116"/>
  <c r="I5932" i="116"/>
  <c r="H5932" i="116"/>
  <c r="G5932" i="116"/>
  <c r="F5932" i="116"/>
  <c r="E5932" i="116"/>
  <c r="D5932" i="116"/>
  <c r="C5932" i="116"/>
  <c r="B5932" i="116"/>
  <c r="K5931" i="116"/>
  <c r="J5931" i="116"/>
  <c r="I5931" i="116"/>
  <c r="H5931" i="116"/>
  <c r="G5931" i="116"/>
  <c r="F5931" i="116"/>
  <c r="E5931" i="116"/>
  <c r="D5931" i="116"/>
  <c r="C5931" i="116"/>
  <c r="B5931" i="116"/>
  <c r="K5930" i="116"/>
  <c r="J5930" i="116"/>
  <c r="I5930" i="116"/>
  <c r="H5930" i="116"/>
  <c r="G5930" i="116"/>
  <c r="F5930" i="116"/>
  <c r="E5930" i="116"/>
  <c r="D5930" i="116"/>
  <c r="C5930" i="116"/>
  <c r="B5930" i="116"/>
  <c r="K5929" i="116"/>
  <c r="J5929" i="116"/>
  <c r="I5929" i="116"/>
  <c r="H5929" i="116"/>
  <c r="G5929" i="116"/>
  <c r="F5929" i="116"/>
  <c r="E5929" i="116"/>
  <c r="D5929" i="116"/>
  <c r="C5929" i="116"/>
  <c r="B5929" i="116"/>
  <c r="K5928" i="116"/>
  <c r="J5928" i="116"/>
  <c r="I5928" i="116"/>
  <c r="H5928" i="116"/>
  <c r="G5928" i="116"/>
  <c r="F5928" i="116"/>
  <c r="E5928" i="116"/>
  <c r="D5928" i="116"/>
  <c r="C5928" i="116"/>
  <c r="B5928" i="116"/>
  <c r="K5927" i="116"/>
  <c r="J5927" i="116"/>
  <c r="I5927" i="116"/>
  <c r="H5927" i="116"/>
  <c r="G5927" i="116"/>
  <c r="F5927" i="116"/>
  <c r="E5927" i="116"/>
  <c r="D5927" i="116"/>
  <c r="C5927" i="116"/>
  <c r="B5927" i="116"/>
  <c r="K5926" i="116"/>
  <c r="J5926" i="116"/>
  <c r="I5926" i="116"/>
  <c r="H5926" i="116"/>
  <c r="G5926" i="116"/>
  <c r="F5926" i="116"/>
  <c r="E5926" i="116"/>
  <c r="D5926" i="116"/>
  <c r="C5926" i="116"/>
  <c r="B5926" i="116"/>
  <c r="K5925" i="116"/>
  <c r="J5925" i="116"/>
  <c r="I5925" i="116"/>
  <c r="H5925" i="116"/>
  <c r="G5925" i="116"/>
  <c r="F5925" i="116"/>
  <c r="E5925" i="116"/>
  <c r="D5925" i="116"/>
  <c r="C5925" i="116"/>
  <c r="B5925" i="116"/>
  <c r="K5924" i="116"/>
  <c r="J5924" i="116"/>
  <c r="I5924" i="116"/>
  <c r="H5924" i="116"/>
  <c r="G5924" i="116"/>
  <c r="F5924" i="116"/>
  <c r="E5924" i="116"/>
  <c r="D5924" i="116"/>
  <c r="C5924" i="116"/>
  <c r="B5924" i="116"/>
  <c r="K5923" i="116"/>
  <c r="J5923" i="116"/>
  <c r="I5923" i="116"/>
  <c r="H5923" i="116"/>
  <c r="G5923" i="116"/>
  <c r="F5923" i="116"/>
  <c r="E5923" i="116"/>
  <c r="D5923" i="116"/>
  <c r="C5923" i="116"/>
  <c r="B5923" i="116"/>
  <c r="K5922" i="116"/>
  <c r="J5922" i="116"/>
  <c r="I5922" i="116"/>
  <c r="H5922" i="116"/>
  <c r="G5922" i="116"/>
  <c r="F5922" i="116"/>
  <c r="E5922" i="116"/>
  <c r="D5922" i="116"/>
  <c r="C5922" i="116"/>
  <c r="B5922" i="116"/>
  <c r="K5921" i="116"/>
  <c r="J5921" i="116"/>
  <c r="I5921" i="116"/>
  <c r="H5921" i="116"/>
  <c r="G5921" i="116"/>
  <c r="F5921" i="116"/>
  <c r="E5921" i="116"/>
  <c r="D5921" i="116"/>
  <c r="C5921" i="116"/>
  <c r="B5921" i="116"/>
  <c r="K5920" i="116"/>
  <c r="J5920" i="116"/>
  <c r="I5920" i="116"/>
  <c r="H5920" i="116"/>
  <c r="G5920" i="116"/>
  <c r="F5920" i="116"/>
  <c r="E5920" i="116"/>
  <c r="D5920" i="116"/>
  <c r="C5920" i="116"/>
  <c r="B5920" i="116"/>
  <c r="K5919" i="116"/>
  <c r="J5919" i="116"/>
  <c r="I5919" i="116"/>
  <c r="H5919" i="116"/>
  <c r="G5919" i="116"/>
  <c r="F5919" i="116"/>
  <c r="E5919" i="116"/>
  <c r="D5919" i="116"/>
  <c r="C5919" i="116"/>
  <c r="B5919" i="116"/>
  <c r="K5918" i="116"/>
  <c r="J5918" i="116"/>
  <c r="I5918" i="116"/>
  <c r="H5918" i="116"/>
  <c r="G5918" i="116"/>
  <c r="F5918" i="116"/>
  <c r="E5918" i="116"/>
  <c r="D5918" i="116"/>
  <c r="C5918" i="116"/>
  <c r="B5918" i="116"/>
  <c r="K5917" i="116"/>
  <c r="J5917" i="116"/>
  <c r="I5917" i="116"/>
  <c r="H5917" i="116"/>
  <c r="G5917" i="116"/>
  <c r="F5917" i="116"/>
  <c r="E5917" i="116"/>
  <c r="D5917" i="116"/>
  <c r="C5917" i="116"/>
  <c r="B5917" i="116"/>
  <c r="K5916" i="116"/>
  <c r="J5916" i="116"/>
  <c r="I5916" i="116"/>
  <c r="H5916" i="116"/>
  <c r="G5916" i="116"/>
  <c r="F5916" i="116"/>
  <c r="E5916" i="116"/>
  <c r="D5916" i="116"/>
  <c r="C5916" i="116"/>
  <c r="B5916" i="116"/>
  <c r="K5915" i="116"/>
  <c r="J5915" i="116"/>
  <c r="I5915" i="116"/>
  <c r="H5915" i="116"/>
  <c r="G5915" i="116"/>
  <c r="F5915" i="116"/>
  <c r="E5915" i="116"/>
  <c r="D5915" i="116"/>
  <c r="C5915" i="116"/>
  <c r="B5915" i="116"/>
  <c r="K5914" i="116"/>
  <c r="J5914" i="116"/>
  <c r="I5914" i="116"/>
  <c r="H5914" i="116"/>
  <c r="G5914" i="116"/>
  <c r="F5914" i="116"/>
  <c r="E5914" i="116"/>
  <c r="D5914" i="116"/>
  <c r="C5914" i="116"/>
  <c r="B5914" i="116"/>
  <c r="K5913" i="116"/>
  <c r="J5913" i="116"/>
  <c r="I5913" i="116"/>
  <c r="H5913" i="116"/>
  <c r="G5913" i="116"/>
  <c r="F5913" i="116"/>
  <c r="E5913" i="116"/>
  <c r="D5913" i="116"/>
  <c r="C5913" i="116"/>
  <c r="B5913" i="116"/>
  <c r="K5912" i="116"/>
  <c r="J5912" i="116"/>
  <c r="I5912" i="116"/>
  <c r="H5912" i="116"/>
  <c r="G5912" i="116"/>
  <c r="F5912" i="116"/>
  <c r="E5912" i="116"/>
  <c r="D5912" i="116"/>
  <c r="C5912" i="116"/>
  <c r="B5912" i="116"/>
  <c r="K5911" i="116"/>
  <c r="J5911" i="116"/>
  <c r="I5911" i="116"/>
  <c r="H5911" i="116"/>
  <c r="G5911" i="116"/>
  <c r="F5911" i="116"/>
  <c r="E5911" i="116"/>
  <c r="D5911" i="116"/>
  <c r="C5911" i="116"/>
  <c r="B5911" i="116"/>
  <c r="K5910" i="116"/>
  <c r="J5910" i="116"/>
  <c r="I5910" i="116"/>
  <c r="H5910" i="116"/>
  <c r="G5910" i="116"/>
  <c r="F5910" i="116"/>
  <c r="E5910" i="116"/>
  <c r="D5910" i="116"/>
  <c r="C5910" i="116"/>
  <c r="B5910" i="116"/>
  <c r="K5909" i="116"/>
  <c r="J5909" i="116"/>
  <c r="I5909" i="116"/>
  <c r="H5909" i="116"/>
  <c r="G5909" i="116"/>
  <c r="F5909" i="116"/>
  <c r="E5909" i="116"/>
  <c r="D5909" i="116"/>
  <c r="C5909" i="116"/>
  <c r="B5909" i="116"/>
  <c r="K5908" i="116"/>
  <c r="J5908" i="116"/>
  <c r="I5908" i="116"/>
  <c r="H5908" i="116"/>
  <c r="G5908" i="116"/>
  <c r="F5908" i="116"/>
  <c r="E5908" i="116"/>
  <c r="D5908" i="116"/>
  <c r="C5908" i="116"/>
  <c r="B5908" i="116"/>
  <c r="K5907" i="116"/>
  <c r="J5907" i="116"/>
  <c r="I5907" i="116"/>
  <c r="H5907" i="116"/>
  <c r="G5907" i="116"/>
  <c r="F5907" i="116"/>
  <c r="E5907" i="116"/>
  <c r="D5907" i="116"/>
  <c r="C5907" i="116"/>
  <c r="B5907" i="116"/>
  <c r="K5906" i="116"/>
  <c r="J5906" i="116"/>
  <c r="I5906" i="116"/>
  <c r="H5906" i="116"/>
  <c r="G5906" i="116"/>
  <c r="F5906" i="116"/>
  <c r="E5906" i="116"/>
  <c r="D5906" i="116"/>
  <c r="C5906" i="116"/>
  <c r="B5906" i="116"/>
  <c r="K5905" i="116"/>
  <c r="J5905" i="116"/>
  <c r="I5905" i="116"/>
  <c r="H5905" i="116"/>
  <c r="G5905" i="116"/>
  <c r="F5905" i="116"/>
  <c r="E5905" i="116"/>
  <c r="D5905" i="116"/>
  <c r="C5905" i="116"/>
  <c r="B5905" i="116"/>
  <c r="K5904" i="116"/>
  <c r="J5904" i="116"/>
  <c r="I5904" i="116"/>
  <c r="H5904" i="116"/>
  <c r="G5904" i="116"/>
  <c r="F5904" i="116"/>
  <c r="E5904" i="116"/>
  <c r="D5904" i="116"/>
  <c r="C5904" i="116"/>
  <c r="B5904" i="116"/>
  <c r="K5903" i="116"/>
  <c r="J5903" i="116"/>
  <c r="I5903" i="116"/>
  <c r="H5903" i="116"/>
  <c r="G5903" i="116"/>
  <c r="F5903" i="116"/>
  <c r="E5903" i="116"/>
  <c r="D5903" i="116"/>
  <c r="C5903" i="116"/>
  <c r="B5903" i="116"/>
  <c r="K5902" i="116"/>
  <c r="J5902" i="116"/>
  <c r="I5902" i="116"/>
  <c r="H5902" i="116"/>
  <c r="G5902" i="116"/>
  <c r="F5902" i="116"/>
  <c r="E5902" i="116"/>
  <c r="D5902" i="116"/>
  <c r="C5902" i="116"/>
  <c r="B5902" i="116"/>
  <c r="K5901" i="116"/>
  <c r="J5901" i="116"/>
  <c r="I5901" i="116"/>
  <c r="H5901" i="116"/>
  <c r="G5901" i="116"/>
  <c r="F5901" i="116"/>
  <c r="E5901" i="116"/>
  <c r="D5901" i="116"/>
  <c r="C5901" i="116"/>
  <c r="B5901" i="116"/>
  <c r="K5900" i="116"/>
  <c r="J5900" i="116"/>
  <c r="I5900" i="116"/>
  <c r="H5900" i="116"/>
  <c r="G5900" i="116"/>
  <c r="F5900" i="116"/>
  <c r="E5900" i="116"/>
  <c r="D5900" i="116"/>
  <c r="C5900" i="116"/>
  <c r="B5900" i="116"/>
  <c r="K5899" i="116"/>
  <c r="J5899" i="116"/>
  <c r="I5899" i="116"/>
  <c r="H5899" i="116"/>
  <c r="G5899" i="116"/>
  <c r="F5899" i="116"/>
  <c r="E5899" i="116"/>
  <c r="D5899" i="116"/>
  <c r="C5899" i="116"/>
  <c r="B5899" i="116"/>
  <c r="K5898" i="116"/>
  <c r="J5898" i="116"/>
  <c r="I5898" i="116"/>
  <c r="H5898" i="116"/>
  <c r="G5898" i="116"/>
  <c r="F5898" i="116"/>
  <c r="E5898" i="116"/>
  <c r="D5898" i="116"/>
  <c r="C5898" i="116"/>
  <c r="B5898" i="116"/>
  <c r="K5897" i="116"/>
  <c r="J5897" i="116"/>
  <c r="I5897" i="116"/>
  <c r="H5897" i="116"/>
  <c r="G5897" i="116"/>
  <c r="F5897" i="116"/>
  <c r="E5897" i="116"/>
  <c r="D5897" i="116"/>
  <c r="C5897" i="116"/>
  <c r="B5897" i="116"/>
  <c r="K5896" i="116"/>
  <c r="J5896" i="116"/>
  <c r="I5896" i="116"/>
  <c r="H5896" i="116"/>
  <c r="G5896" i="116"/>
  <c r="F5896" i="116"/>
  <c r="E5896" i="116"/>
  <c r="D5896" i="116"/>
  <c r="C5896" i="116"/>
  <c r="B5896" i="116"/>
  <c r="K5895" i="116"/>
  <c r="J5895" i="116"/>
  <c r="I5895" i="116"/>
  <c r="H5895" i="116"/>
  <c r="G5895" i="116"/>
  <c r="F5895" i="116"/>
  <c r="E5895" i="116"/>
  <c r="D5895" i="116"/>
  <c r="C5895" i="116"/>
  <c r="B5895" i="116"/>
  <c r="K5894" i="116"/>
  <c r="J5894" i="116"/>
  <c r="I5894" i="116"/>
  <c r="H5894" i="116"/>
  <c r="G5894" i="116"/>
  <c r="F5894" i="116"/>
  <c r="E5894" i="116"/>
  <c r="D5894" i="116"/>
  <c r="C5894" i="116"/>
  <c r="B5894" i="116"/>
  <c r="K5893" i="116"/>
  <c r="J5893" i="116"/>
  <c r="I5893" i="116"/>
  <c r="H5893" i="116"/>
  <c r="G5893" i="116"/>
  <c r="F5893" i="116"/>
  <c r="E5893" i="116"/>
  <c r="D5893" i="116"/>
  <c r="C5893" i="116"/>
  <c r="B5893" i="116"/>
  <c r="K5892" i="116"/>
  <c r="J5892" i="116"/>
  <c r="I5892" i="116"/>
  <c r="H5892" i="116"/>
  <c r="G5892" i="116"/>
  <c r="F5892" i="116"/>
  <c r="E5892" i="116"/>
  <c r="D5892" i="116"/>
  <c r="C5892" i="116"/>
  <c r="B5892" i="116"/>
  <c r="K5891" i="116"/>
  <c r="J5891" i="116"/>
  <c r="I5891" i="116"/>
  <c r="H5891" i="116"/>
  <c r="G5891" i="116"/>
  <c r="F5891" i="116"/>
  <c r="E5891" i="116"/>
  <c r="D5891" i="116"/>
  <c r="C5891" i="116"/>
  <c r="B5891" i="116"/>
  <c r="K5890" i="116"/>
  <c r="J5890" i="116"/>
  <c r="I5890" i="116"/>
  <c r="H5890" i="116"/>
  <c r="G5890" i="116"/>
  <c r="F5890" i="116"/>
  <c r="E5890" i="116"/>
  <c r="D5890" i="116"/>
  <c r="C5890" i="116"/>
  <c r="B5890" i="116"/>
  <c r="K5889" i="116"/>
  <c r="J5889" i="116"/>
  <c r="I5889" i="116"/>
  <c r="H5889" i="116"/>
  <c r="G5889" i="116"/>
  <c r="F5889" i="116"/>
  <c r="E5889" i="116"/>
  <c r="D5889" i="116"/>
  <c r="C5889" i="116"/>
  <c r="B5889" i="116"/>
  <c r="K5888" i="116"/>
  <c r="J5888" i="116"/>
  <c r="I5888" i="116"/>
  <c r="H5888" i="116"/>
  <c r="G5888" i="116"/>
  <c r="F5888" i="116"/>
  <c r="E5888" i="116"/>
  <c r="D5888" i="116"/>
  <c r="C5888" i="116"/>
  <c r="B5888" i="116"/>
  <c r="K5887" i="116"/>
  <c r="J5887" i="116"/>
  <c r="I5887" i="116"/>
  <c r="H5887" i="116"/>
  <c r="G5887" i="116"/>
  <c r="F5887" i="116"/>
  <c r="E5887" i="116"/>
  <c r="D5887" i="116"/>
  <c r="C5887" i="116"/>
  <c r="B5887" i="116"/>
  <c r="K5886" i="116"/>
  <c r="J5886" i="116"/>
  <c r="I5886" i="116"/>
  <c r="H5886" i="116"/>
  <c r="G5886" i="116"/>
  <c r="F5886" i="116"/>
  <c r="E5886" i="116"/>
  <c r="D5886" i="116"/>
  <c r="C5886" i="116"/>
  <c r="B5886" i="116"/>
  <c r="K5885" i="116"/>
  <c r="J5885" i="116"/>
  <c r="I5885" i="116"/>
  <c r="H5885" i="116"/>
  <c r="G5885" i="116"/>
  <c r="F5885" i="116"/>
  <c r="E5885" i="116"/>
  <c r="D5885" i="116"/>
  <c r="C5885" i="116"/>
  <c r="B5885" i="116"/>
  <c r="K5884" i="116"/>
  <c r="J5884" i="116"/>
  <c r="I5884" i="116"/>
  <c r="H5884" i="116"/>
  <c r="G5884" i="116"/>
  <c r="F5884" i="116"/>
  <c r="E5884" i="116"/>
  <c r="D5884" i="116"/>
  <c r="C5884" i="116"/>
  <c r="B5884" i="116"/>
  <c r="K5883" i="116"/>
  <c r="J5883" i="116"/>
  <c r="I5883" i="116"/>
  <c r="H5883" i="116"/>
  <c r="G5883" i="116"/>
  <c r="F5883" i="116"/>
  <c r="E5883" i="116"/>
  <c r="D5883" i="116"/>
  <c r="C5883" i="116"/>
  <c r="B5883" i="116"/>
  <c r="K5882" i="116"/>
  <c r="J5882" i="116"/>
  <c r="I5882" i="116"/>
  <c r="H5882" i="116"/>
  <c r="G5882" i="116"/>
  <c r="F5882" i="116"/>
  <c r="E5882" i="116"/>
  <c r="D5882" i="116"/>
  <c r="C5882" i="116"/>
  <c r="B5882" i="116"/>
  <c r="K5881" i="116"/>
  <c r="J5881" i="116"/>
  <c r="I5881" i="116"/>
  <c r="H5881" i="116"/>
  <c r="G5881" i="116"/>
  <c r="F5881" i="116"/>
  <c r="E5881" i="116"/>
  <c r="D5881" i="116"/>
  <c r="C5881" i="116"/>
  <c r="B5881" i="116"/>
  <c r="K5880" i="116"/>
  <c r="J5880" i="116"/>
  <c r="I5880" i="116"/>
  <c r="H5880" i="116"/>
  <c r="G5880" i="116"/>
  <c r="F5880" i="116"/>
  <c r="E5880" i="116"/>
  <c r="D5880" i="116"/>
  <c r="C5880" i="116"/>
  <c r="B5880" i="116"/>
  <c r="K5879" i="116"/>
  <c r="J5879" i="116"/>
  <c r="I5879" i="116"/>
  <c r="H5879" i="116"/>
  <c r="G5879" i="116"/>
  <c r="F5879" i="116"/>
  <c r="E5879" i="116"/>
  <c r="D5879" i="116"/>
  <c r="C5879" i="116"/>
  <c r="B5879" i="116"/>
  <c r="K5878" i="116"/>
  <c r="J5878" i="116"/>
  <c r="I5878" i="116"/>
  <c r="H5878" i="116"/>
  <c r="G5878" i="116"/>
  <c r="F5878" i="116"/>
  <c r="E5878" i="116"/>
  <c r="D5878" i="116"/>
  <c r="C5878" i="116"/>
  <c r="B5878" i="116"/>
  <c r="K5877" i="116"/>
  <c r="J5877" i="116"/>
  <c r="I5877" i="116"/>
  <c r="H5877" i="116"/>
  <c r="G5877" i="116"/>
  <c r="F5877" i="116"/>
  <c r="E5877" i="116"/>
  <c r="D5877" i="116"/>
  <c r="C5877" i="116"/>
  <c r="B5877" i="116"/>
  <c r="K5876" i="116"/>
  <c r="J5876" i="116"/>
  <c r="I5876" i="116"/>
  <c r="H5876" i="116"/>
  <c r="G5876" i="116"/>
  <c r="F5876" i="116"/>
  <c r="E5876" i="116"/>
  <c r="D5876" i="116"/>
  <c r="C5876" i="116"/>
  <c r="B5876" i="116"/>
  <c r="K5875" i="116"/>
  <c r="J5875" i="116"/>
  <c r="I5875" i="116"/>
  <c r="H5875" i="116"/>
  <c r="G5875" i="116"/>
  <c r="F5875" i="116"/>
  <c r="E5875" i="116"/>
  <c r="D5875" i="116"/>
  <c r="C5875" i="116"/>
  <c r="B5875" i="116"/>
  <c r="K5874" i="116"/>
  <c r="J5874" i="116"/>
  <c r="I5874" i="116"/>
  <c r="H5874" i="116"/>
  <c r="G5874" i="116"/>
  <c r="F5874" i="116"/>
  <c r="E5874" i="116"/>
  <c r="D5874" i="116"/>
  <c r="C5874" i="116"/>
  <c r="B5874" i="116"/>
  <c r="K5873" i="116"/>
  <c r="J5873" i="116"/>
  <c r="I5873" i="116"/>
  <c r="H5873" i="116"/>
  <c r="G5873" i="116"/>
  <c r="F5873" i="116"/>
  <c r="E5873" i="116"/>
  <c r="D5873" i="116"/>
  <c r="C5873" i="116"/>
  <c r="B5873" i="116"/>
  <c r="K5872" i="116"/>
  <c r="J5872" i="116"/>
  <c r="I5872" i="116"/>
  <c r="H5872" i="116"/>
  <c r="G5872" i="116"/>
  <c r="F5872" i="116"/>
  <c r="E5872" i="116"/>
  <c r="D5872" i="116"/>
  <c r="C5872" i="116"/>
  <c r="B5872" i="116"/>
  <c r="K5871" i="116"/>
  <c r="J5871" i="116"/>
  <c r="I5871" i="116"/>
  <c r="H5871" i="116"/>
  <c r="G5871" i="116"/>
  <c r="F5871" i="116"/>
  <c r="E5871" i="116"/>
  <c r="D5871" i="116"/>
  <c r="C5871" i="116"/>
  <c r="B5871" i="116"/>
  <c r="K5870" i="116"/>
  <c r="J5870" i="116"/>
  <c r="I5870" i="116"/>
  <c r="H5870" i="116"/>
  <c r="G5870" i="116"/>
  <c r="F5870" i="116"/>
  <c r="E5870" i="116"/>
  <c r="D5870" i="116"/>
  <c r="C5870" i="116"/>
  <c r="B5870" i="116"/>
  <c r="K5869" i="116"/>
  <c r="J5869" i="116"/>
  <c r="I5869" i="116"/>
  <c r="H5869" i="116"/>
  <c r="G5869" i="116"/>
  <c r="F5869" i="116"/>
  <c r="E5869" i="116"/>
  <c r="D5869" i="116"/>
  <c r="C5869" i="116"/>
  <c r="B5869" i="116"/>
  <c r="K5868" i="116"/>
  <c r="J5868" i="116"/>
  <c r="I5868" i="116"/>
  <c r="H5868" i="116"/>
  <c r="G5868" i="116"/>
  <c r="F5868" i="116"/>
  <c r="E5868" i="116"/>
  <c r="D5868" i="116"/>
  <c r="C5868" i="116"/>
  <c r="B5868" i="116"/>
  <c r="K5867" i="116"/>
  <c r="J5867" i="116"/>
  <c r="I5867" i="116"/>
  <c r="H5867" i="116"/>
  <c r="G5867" i="116"/>
  <c r="F5867" i="116"/>
  <c r="E5867" i="116"/>
  <c r="D5867" i="116"/>
  <c r="C5867" i="116"/>
  <c r="B5867" i="116"/>
  <c r="K5866" i="116"/>
  <c r="J5866" i="116"/>
  <c r="I5866" i="116"/>
  <c r="H5866" i="116"/>
  <c r="G5866" i="116"/>
  <c r="F5866" i="116"/>
  <c r="E5866" i="116"/>
  <c r="D5866" i="116"/>
  <c r="C5866" i="116"/>
  <c r="B5866" i="116"/>
  <c r="K5865" i="116"/>
  <c r="J5865" i="116"/>
  <c r="I5865" i="116"/>
  <c r="H5865" i="116"/>
  <c r="G5865" i="116"/>
  <c r="F5865" i="116"/>
  <c r="E5865" i="116"/>
  <c r="D5865" i="116"/>
  <c r="C5865" i="116"/>
  <c r="B5865" i="116"/>
  <c r="K5864" i="116"/>
  <c r="J5864" i="116"/>
  <c r="I5864" i="116"/>
  <c r="H5864" i="116"/>
  <c r="G5864" i="116"/>
  <c r="F5864" i="116"/>
  <c r="E5864" i="116"/>
  <c r="D5864" i="116"/>
  <c r="C5864" i="116"/>
  <c r="B5864" i="116"/>
  <c r="K5863" i="116"/>
  <c r="J5863" i="116"/>
  <c r="I5863" i="116"/>
  <c r="H5863" i="116"/>
  <c r="G5863" i="116"/>
  <c r="F5863" i="116"/>
  <c r="E5863" i="116"/>
  <c r="D5863" i="116"/>
  <c r="C5863" i="116"/>
  <c r="B5863" i="116"/>
  <c r="K5862" i="116"/>
  <c r="J5862" i="116"/>
  <c r="I5862" i="116"/>
  <c r="H5862" i="116"/>
  <c r="G5862" i="116"/>
  <c r="F5862" i="116"/>
  <c r="E5862" i="116"/>
  <c r="D5862" i="116"/>
  <c r="C5862" i="116"/>
  <c r="B5862" i="116"/>
  <c r="K5861" i="116"/>
  <c r="J5861" i="116"/>
  <c r="I5861" i="116"/>
  <c r="H5861" i="116"/>
  <c r="G5861" i="116"/>
  <c r="F5861" i="116"/>
  <c r="E5861" i="116"/>
  <c r="D5861" i="116"/>
  <c r="C5861" i="116"/>
  <c r="B5861" i="116"/>
  <c r="K5860" i="116"/>
  <c r="J5860" i="116"/>
  <c r="I5860" i="116"/>
  <c r="H5860" i="116"/>
  <c r="G5860" i="116"/>
  <c r="F5860" i="116"/>
  <c r="E5860" i="116"/>
  <c r="D5860" i="116"/>
  <c r="C5860" i="116"/>
  <c r="B5860" i="116"/>
  <c r="K5859" i="116"/>
  <c r="J5859" i="116"/>
  <c r="I5859" i="116"/>
  <c r="H5859" i="116"/>
  <c r="G5859" i="116"/>
  <c r="F5859" i="116"/>
  <c r="E5859" i="116"/>
  <c r="D5859" i="116"/>
  <c r="C5859" i="116"/>
  <c r="B5859" i="116"/>
  <c r="K5858" i="116"/>
  <c r="J5858" i="116"/>
  <c r="I5858" i="116"/>
  <c r="H5858" i="116"/>
  <c r="G5858" i="116"/>
  <c r="F5858" i="116"/>
  <c r="E5858" i="116"/>
  <c r="D5858" i="116"/>
  <c r="C5858" i="116"/>
  <c r="B5858" i="116"/>
  <c r="K5857" i="116"/>
  <c r="J5857" i="116"/>
  <c r="I5857" i="116"/>
  <c r="H5857" i="116"/>
  <c r="G5857" i="116"/>
  <c r="F5857" i="116"/>
  <c r="E5857" i="116"/>
  <c r="D5857" i="116"/>
  <c r="C5857" i="116"/>
  <c r="B5857" i="116"/>
  <c r="K5856" i="116"/>
  <c r="J5856" i="116"/>
  <c r="I5856" i="116"/>
  <c r="H5856" i="116"/>
  <c r="G5856" i="116"/>
  <c r="F5856" i="116"/>
  <c r="E5856" i="116"/>
  <c r="D5856" i="116"/>
  <c r="C5856" i="116"/>
  <c r="B5856" i="116"/>
  <c r="K5855" i="116"/>
  <c r="J5855" i="116"/>
  <c r="I5855" i="116"/>
  <c r="H5855" i="116"/>
  <c r="G5855" i="116"/>
  <c r="F5855" i="116"/>
  <c r="E5855" i="116"/>
  <c r="D5855" i="116"/>
  <c r="C5855" i="116"/>
  <c r="B5855" i="116"/>
  <c r="K5854" i="116"/>
  <c r="J5854" i="116"/>
  <c r="I5854" i="116"/>
  <c r="H5854" i="116"/>
  <c r="G5854" i="116"/>
  <c r="F5854" i="116"/>
  <c r="E5854" i="116"/>
  <c r="D5854" i="116"/>
  <c r="C5854" i="116"/>
  <c r="B5854" i="116"/>
  <c r="K5853" i="116"/>
  <c r="J5853" i="116"/>
  <c r="I5853" i="116"/>
  <c r="H5853" i="116"/>
  <c r="G5853" i="116"/>
  <c r="F5853" i="116"/>
  <c r="E5853" i="116"/>
  <c r="D5853" i="116"/>
  <c r="C5853" i="116"/>
  <c r="B5853" i="116"/>
  <c r="K5852" i="116"/>
  <c r="J5852" i="116"/>
  <c r="I5852" i="116"/>
  <c r="H5852" i="116"/>
  <c r="G5852" i="116"/>
  <c r="F5852" i="116"/>
  <c r="E5852" i="116"/>
  <c r="D5852" i="116"/>
  <c r="C5852" i="116"/>
  <c r="B5852" i="116"/>
  <c r="K5851" i="116"/>
  <c r="J5851" i="116"/>
  <c r="I5851" i="116"/>
  <c r="H5851" i="116"/>
  <c r="G5851" i="116"/>
  <c r="F5851" i="116"/>
  <c r="E5851" i="116"/>
  <c r="D5851" i="116"/>
  <c r="C5851" i="116"/>
  <c r="B5851" i="116"/>
  <c r="K5850" i="116"/>
  <c r="J5850" i="116"/>
  <c r="I5850" i="116"/>
  <c r="H5850" i="116"/>
  <c r="G5850" i="116"/>
  <c r="F5850" i="116"/>
  <c r="E5850" i="116"/>
  <c r="D5850" i="116"/>
  <c r="C5850" i="116"/>
  <c r="B5850" i="116"/>
  <c r="K5849" i="116"/>
  <c r="J5849" i="116"/>
  <c r="I5849" i="116"/>
  <c r="H5849" i="116"/>
  <c r="G5849" i="116"/>
  <c r="F5849" i="116"/>
  <c r="E5849" i="116"/>
  <c r="D5849" i="116"/>
  <c r="C5849" i="116"/>
  <c r="B5849" i="116"/>
  <c r="K5848" i="116"/>
  <c r="J5848" i="116"/>
  <c r="I5848" i="116"/>
  <c r="H5848" i="116"/>
  <c r="G5848" i="116"/>
  <c r="F5848" i="116"/>
  <c r="E5848" i="116"/>
  <c r="D5848" i="116"/>
  <c r="C5848" i="116"/>
  <c r="B5848" i="116"/>
  <c r="K5847" i="116"/>
  <c r="J5847" i="116"/>
  <c r="I5847" i="116"/>
  <c r="H5847" i="116"/>
  <c r="G5847" i="116"/>
  <c r="F5847" i="116"/>
  <c r="E5847" i="116"/>
  <c r="D5847" i="116"/>
  <c r="C5847" i="116"/>
  <c r="B5847" i="116"/>
  <c r="K5846" i="116"/>
  <c r="J5846" i="116"/>
  <c r="I5846" i="116"/>
  <c r="H5846" i="116"/>
  <c r="G5846" i="116"/>
  <c r="F5846" i="116"/>
  <c r="E5846" i="116"/>
  <c r="D5846" i="116"/>
  <c r="C5846" i="116"/>
  <c r="B5846" i="116"/>
  <c r="K5845" i="116"/>
  <c r="J5845" i="116"/>
  <c r="I5845" i="116"/>
  <c r="H5845" i="116"/>
  <c r="G5845" i="116"/>
  <c r="F5845" i="116"/>
  <c r="E5845" i="116"/>
  <c r="D5845" i="116"/>
  <c r="C5845" i="116"/>
  <c r="B5845" i="116"/>
  <c r="K5844" i="116"/>
  <c r="J5844" i="116"/>
  <c r="I5844" i="116"/>
  <c r="H5844" i="116"/>
  <c r="G5844" i="116"/>
  <c r="F5844" i="116"/>
  <c r="E5844" i="116"/>
  <c r="D5844" i="116"/>
  <c r="C5844" i="116"/>
  <c r="B5844" i="116"/>
  <c r="K5843" i="116"/>
  <c r="J5843" i="116"/>
  <c r="I5843" i="116"/>
  <c r="H5843" i="116"/>
  <c r="G5843" i="116"/>
  <c r="F5843" i="116"/>
  <c r="E5843" i="116"/>
  <c r="D5843" i="116"/>
  <c r="C5843" i="116"/>
  <c r="B5843" i="116"/>
  <c r="K5842" i="116"/>
  <c r="J5842" i="116"/>
  <c r="I5842" i="116"/>
  <c r="H5842" i="116"/>
  <c r="G5842" i="116"/>
  <c r="F5842" i="116"/>
  <c r="E5842" i="116"/>
  <c r="D5842" i="116"/>
  <c r="C5842" i="116"/>
  <c r="B5842" i="116"/>
  <c r="K5841" i="116"/>
  <c r="J5841" i="116"/>
  <c r="I5841" i="116"/>
  <c r="H5841" i="116"/>
  <c r="G5841" i="116"/>
  <c r="F5841" i="116"/>
  <c r="E5841" i="116"/>
  <c r="D5841" i="116"/>
  <c r="C5841" i="116"/>
  <c r="B5841" i="116"/>
  <c r="K5840" i="116"/>
  <c r="J5840" i="116"/>
  <c r="I5840" i="116"/>
  <c r="H5840" i="116"/>
  <c r="G5840" i="116"/>
  <c r="F5840" i="116"/>
  <c r="E5840" i="116"/>
  <c r="D5840" i="116"/>
  <c r="C5840" i="116"/>
  <c r="B5840" i="116"/>
  <c r="K5839" i="116"/>
  <c r="J5839" i="116"/>
  <c r="I5839" i="116"/>
  <c r="H5839" i="116"/>
  <c r="G5839" i="116"/>
  <c r="F5839" i="116"/>
  <c r="E5839" i="116"/>
  <c r="D5839" i="116"/>
  <c r="C5839" i="116"/>
  <c r="B5839" i="116"/>
  <c r="K5838" i="116"/>
  <c r="J5838" i="116"/>
  <c r="I5838" i="116"/>
  <c r="H5838" i="116"/>
  <c r="G5838" i="116"/>
  <c r="F5838" i="116"/>
  <c r="E5838" i="116"/>
  <c r="D5838" i="116"/>
  <c r="C5838" i="116"/>
  <c r="B5838" i="116"/>
  <c r="K5837" i="116"/>
  <c r="J5837" i="116"/>
  <c r="I5837" i="116"/>
  <c r="H5837" i="116"/>
  <c r="G5837" i="116"/>
  <c r="F5837" i="116"/>
  <c r="E5837" i="116"/>
  <c r="D5837" i="116"/>
  <c r="C5837" i="116"/>
  <c r="B5837" i="116"/>
  <c r="K5836" i="116"/>
  <c r="J5836" i="116"/>
  <c r="I5836" i="116"/>
  <c r="H5836" i="116"/>
  <c r="G5836" i="116"/>
  <c r="F5836" i="116"/>
  <c r="E5836" i="116"/>
  <c r="D5836" i="116"/>
  <c r="C5836" i="116"/>
  <c r="B5836" i="116"/>
  <c r="K5835" i="116"/>
  <c r="J5835" i="116"/>
  <c r="I5835" i="116"/>
  <c r="H5835" i="116"/>
  <c r="G5835" i="116"/>
  <c r="F5835" i="116"/>
  <c r="E5835" i="116"/>
  <c r="D5835" i="116"/>
  <c r="C5835" i="116"/>
  <c r="B5835" i="116"/>
  <c r="K5834" i="116"/>
  <c r="J5834" i="116"/>
  <c r="I5834" i="116"/>
  <c r="H5834" i="116"/>
  <c r="G5834" i="116"/>
  <c r="F5834" i="116"/>
  <c r="E5834" i="116"/>
  <c r="D5834" i="116"/>
  <c r="C5834" i="116"/>
  <c r="B5834" i="116"/>
  <c r="K5833" i="116"/>
  <c r="J5833" i="116"/>
  <c r="I5833" i="116"/>
  <c r="H5833" i="116"/>
  <c r="G5833" i="116"/>
  <c r="F5833" i="116"/>
  <c r="E5833" i="116"/>
  <c r="D5833" i="116"/>
  <c r="C5833" i="116"/>
  <c r="B5833" i="116"/>
  <c r="K5832" i="116"/>
  <c r="J5832" i="116"/>
  <c r="I5832" i="116"/>
  <c r="H5832" i="116"/>
  <c r="G5832" i="116"/>
  <c r="F5832" i="116"/>
  <c r="E5832" i="116"/>
  <c r="D5832" i="116"/>
  <c r="C5832" i="116"/>
  <c r="B5832" i="116"/>
  <c r="K5831" i="116"/>
  <c r="J5831" i="116"/>
  <c r="I5831" i="116"/>
  <c r="H5831" i="116"/>
  <c r="G5831" i="116"/>
  <c r="F5831" i="116"/>
  <c r="E5831" i="116"/>
  <c r="D5831" i="116"/>
  <c r="C5831" i="116"/>
  <c r="B5831" i="116"/>
  <c r="K5830" i="116"/>
  <c r="J5830" i="116"/>
  <c r="I5830" i="116"/>
  <c r="H5830" i="116"/>
  <c r="G5830" i="116"/>
  <c r="F5830" i="116"/>
  <c r="E5830" i="116"/>
  <c r="D5830" i="116"/>
  <c r="C5830" i="116"/>
  <c r="B5830" i="116"/>
  <c r="K5829" i="116"/>
  <c r="J5829" i="116"/>
  <c r="I5829" i="116"/>
  <c r="H5829" i="116"/>
  <c r="G5829" i="116"/>
  <c r="F5829" i="116"/>
  <c r="E5829" i="116"/>
  <c r="D5829" i="116"/>
  <c r="C5829" i="116"/>
  <c r="B5829" i="116"/>
  <c r="K5828" i="116"/>
  <c r="J5828" i="116"/>
  <c r="I5828" i="116"/>
  <c r="H5828" i="116"/>
  <c r="G5828" i="116"/>
  <c r="F5828" i="116"/>
  <c r="E5828" i="116"/>
  <c r="D5828" i="116"/>
  <c r="C5828" i="116"/>
  <c r="B5828" i="116"/>
  <c r="K5827" i="116"/>
  <c r="J5827" i="116"/>
  <c r="I5827" i="116"/>
  <c r="H5827" i="116"/>
  <c r="G5827" i="116"/>
  <c r="F5827" i="116"/>
  <c r="E5827" i="116"/>
  <c r="D5827" i="116"/>
  <c r="C5827" i="116"/>
  <c r="B5827" i="116"/>
  <c r="K5826" i="116"/>
  <c r="J5826" i="116"/>
  <c r="I5826" i="116"/>
  <c r="H5826" i="116"/>
  <c r="G5826" i="116"/>
  <c r="F5826" i="116"/>
  <c r="E5826" i="116"/>
  <c r="D5826" i="116"/>
  <c r="C5826" i="116"/>
  <c r="B5826" i="116"/>
  <c r="K5825" i="116"/>
  <c r="J5825" i="116"/>
  <c r="I5825" i="116"/>
  <c r="H5825" i="116"/>
  <c r="G5825" i="116"/>
  <c r="F5825" i="116"/>
  <c r="E5825" i="116"/>
  <c r="D5825" i="116"/>
  <c r="C5825" i="116"/>
  <c r="B5825" i="116"/>
  <c r="K5824" i="116"/>
  <c r="J5824" i="116"/>
  <c r="I5824" i="116"/>
  <c r="H5824" i="116"/>
  <c r="G5824" i="116"/>
  <c r="F5824" i="116"/>
  <c r="E5824" i="116"/>
  <c r="D5824" i="116"/>
  <c r="C5824" i="116"/>
  <c r="B5824" i="116"/>
  <c r="K5823" i="116"/>
  <c r="J5823" i="116"/>
  <c r="I5823" i="116"/>
  <c r="H5823" i="116"/>
  <c r="G5823" i="116"/>
  <c r="F5823" i="116"/>
  <c r="E5823" i="116"/>
  <c r="D5823" i="116"/>
  <c r="C5823" i="116"/>
  <c r="B5823" i="116"/>
  <c r="K5822" i="116"/>
  <c r="J5822" i="116"/>
  <c r="I5822" i="116"/>
  <c r="H5822" i="116"/>
  <c r="G5822" i="116"/>
  <c r="F5822" i="116"/>
  <c r="E5822" i="116"/>
  <c r="D5822" i="116"/>
  <c r="C5822" i="116"/>
  <c r="B5822" i="116"/>
  <c r="K5821" i="116"/>
  <c r="J5821" i="116"/>
  <c r="I5821" i="116"/>
  <c r="H5821" i="116"/>
  <c r="G5821" i="116"/>
  <c r="F5821" i="116"/>
  <c r="E5821" i="116"/>
  <c r="D5821" i="116"/>
  <c r="C5821" i="116"/>
  <c r="B5821" i="116"/>
  <c r="K5820" i="116"/>
  <c r="J5820" i="116"/>
  <c r="I5820" i="116"/>
  <c r="H5820" i="116"/>
  <c r="G5820" i="116"/>
  <c r="F5820" i="116"/>
  <c r="E5820" i="116"/>
  <c r="D5820" i="116"/>
  <c r="C5820" i="116"/>
  <c r="B5820" i="116"/>
  <c r="K5819" i="116"/>
  <c r="J5819" i="116"/>
  <c r="I5819" i="116"/>
  <c r="H5819" i="116"/>
  <c r="G5819" i="116"/>
  <c r="F5819" i="116"/>
  <c r="E5819" i="116"/>
  <c r="D5819" i="116"/>
  <c r="C5819" i="116"/>
  <c r="B5819" i="116"/>
  <c r="K5818" i="116"/>
  <c r="J5818" i="116"/>
  <c r="I5818" i="116"/>
  <c r="H5818" i="116"/>
  <c r="G5818" i="116"/>
  <c r="F5818" i="116"/>
  <c r="E5818" i="116"/>
  <c r="D5818" i="116"/>
  <c r="C5818" i="116"/>
  <c r="B5818" i="116"/>
  <c r="K5817" i="116"/>
  <c r="J5817" i="116"/>
  <c r="I5817" i="116"/>
  <c r="H5817" i="116"/>
  <c r="G5817" i="116"/>
  <c r="F5817" i="116"/>
  <c r="E5817" i="116"/>
  <c r="D5817" i="116"/>
  <c r="C5817" i="116"/>
  <c r="B5817" i="116"/>
  <c r="K5816" i="116"/>
  <c r="J5816" i="116"/>
  <c r="I5816" i="116"/>
  <c r="H5816" i="116"/>
  <c r="G5816" i="116"/>
  <c r="F5816" i="116"/>
  <c r="E5816" i="116"/>
  <c r="D5816" i="116"/>
  <c r="C5816" i="116"/>
  <c r="B5816" i="116"/>
  <c r="K5815" i="116"/>
  <c r="J5815" i="116"/>
  <c r="I5815" i="116"/>
  <c r="H5815" i="116"/>
  <c r="G5815" i="116"/>
  <c r="F5815" i="116"/>
  <c r="E5815" i="116"/>
  <c r="D5815" i="116"/>
  <c r="C5815" i="116"/>
  <c r="B5815" i="116"/>
  <c r="K5814" i="116"/>
  <c r="J5814" i="116"/>
  <c r="I5814" i="116"/>
  <c r="H5814" i="116"/>
  <c r="G5814" i="116"/>
  <c r="F5814" i="116"/>
  <c r="E5814" i="116"/>
  <c r="D5814" i="116"/>
  <c r="C5814" i="116"/>
  <c r="B5814" i="116"/>
  <c r="K5813" i="116"/>
  <c r="J5813" i="116"/>
  <c r="I5813" i="116"/>
  <c r="H5813" i="116"/>
  <c r="G5813" i="116"/>
  <c r="F5813" i="116"/>
  <c r="E5813" i="116"/>
  <c r="D5813" i="116"/>
  <c r="C5813" i="116"/>
  <c r="B5813" i="116"/>
  <c r="K5812" i="116"/>
  <c r="J5812" i="116"/>
  <c r="I5812" i="116"/>
  <c r="H5812" i="116"/>
  <c r="G5812" i="116"/>
  <c r="F5812" i="116"/>
  <c r="E5812" i="116"/>
  <c r="D5812" i="116"/>
  <c r="C5812" i="116"/>
  <c r="B5812" i="116"/>
  <c r="K5811" i="116"/>
  <c r="J5811" i="116"/>
  <c r="I5811" i="116"/>
  <c r="H5811" i="116"/>
  <c r="G5811" i="116"/>
  <c r="F5811" i="116"/>
  <c r="E5811" i="116"/>
  <c r="D5811" i="116"/>
  <c r="C5811" i="116"/>
  <c r="B5811" i="116"/>
  <c r="K5810" i="116"/>
  <c r="J5810" i="116"/>
  <c r="I5810" i="116"/>
  <c r="H5810" i="116"/>
  <c r="G5810" i="116"/>
  <c r="F5810" i="116"/>
  <c r="E5810" i="116"/>
  <c r="D5810" i="116"/>
  <c r="C5810" i="116"/>
  <c r="B5810" i="116"/>
  <c r="K5809" i="116"/>
  <c r="J5809" i="116"/>
  <c r="I5809" i="116"/>
  <c r="H5809" i="116"/>
  <c r="G5809" i="116"/>
  <c r="F5809" i="116"/>
  <c r="E5809" i="116"/>
  <c r="D5809" i="116"/>
  <c r="C5809" i="116"/>
  <c r="B5809" i="116"/>
  <c r="K5808" i="116"/>
  <c r="J5808" i="116"/>
  <c r="I5808" i="116"/>
  <c r="H5808" i="116"/>
  <c r="G5808" i="116"/>
  <c r="F5808" i="116"/>
  <c r="E5808" i="116"/>
  <c r="D5808" i="116"/>
  <c r="C5808" i="116"/>
  <c r="B5808" i="116"/>
  <c r="K5807" i="116"/>
  <c r="J5807" i="116"/>
  <c r="I5807" i="116"/>
  <c r="H5807" i="116"/>
  <c r="G5807" i="116"/>
  <c r="F5807" i="116"/>
  <c r="E5807" i="116"/>
  <c r="D5807" i="116"/>
  <c r="C5807" i="116"/>
  <c r="B5807" i="116"/>
  <c r="K5806" i="116"/>
  <c r="J5806" i="116"/>
  <c r="I5806" i="116"/>
  <c r="H5806" i="116"/>
  <c r="G5806" i="116"/>
  <c r="F5806" i="116"/>
  <c r="E5806" i="116"/>
  <c r="D5806" i="116"/>
  <c r="C5806" i="116"/>
  <c r="B5806" i="116"/>
  <c r="K5805" i="116"/>
  <c r="J5805" i="116"/>
  <c r="I5805" i="116"/>
  <c r="H5805" i="116"/>
  <c r="G5805" i="116"/>
  <c r="F5805" i="116"/>
  <c r="E5805" i="116"/>
  <c r="D5805" i="116"/>
  <c r="C5805" i="116"/>
  <c r="B5805" i="116"/>
  <c r="K5804" i="116"/>
  <c r="J5804" i="116"/>
  <c r="I5804" i="116"/>
  <c r="H5804" i="116"/>
  <c r="G5804" i="116"/>
  <c r="F5804" i="116"/>
  <c r="E5804" i="116"/>
  <c r="D5804" i="116"/>
  <c r="C5804" i="116"/>
  <c r="B5804" i="116"/>
  <c r="K5803" i="116"/>
  <c r="J5803" i="116"/>
  <c r="I5803" i="116"/>
  <c r="H5803" i="116"/>
  <c r="G5803" i="116"/>
  <c r="F5803" i="116"/>
  <c r="E5803" i="116"/>
  <c r="D5803" i="116"/>
  <c r="C5803" i="116"/>
  <c r="B5803" i="116"/>
  <c r="K5802" i="116"/>
  <c r="J5802" i="116"/>
  <c r="I5802" i="116"/>
  <c r="H5802" i="116"/>
  <c r="G5802" i="116"/>
  <c r="F5802" i="116"/>
  <c r="E5802" i="116"/>
  <c r="D5802" i="116"/>
  <c r="C5802" i="116"/>
  <c r="B5802" i="116"/>
  <c r="K5801" i="116"/>
  <c r="J5801" i="116"/>
  <c r="I5801" i="116"/>
  <c r="H5801" i="116"/>
  <c r="G5801" i="116"/>
  <c r="F5801" i="116"/>
  <c r="E5801" i="116"/>
  <c r="D5801" i="116"/>
  <c r="C5801" i="116"/>
  <c r="B5801" i="116"/>
  <c r="K5800" i="116"/>
  <c r="J5800" i="116"/>
  <c r="I5800" i="116"/>
  <c r="H5800" i="116"/>
  <c r="G5800" i="116"/>
  <c r="F5800" i="116"/>
  <c r="E5800" i="116"/>
  <c r="D5800" i="116"/>
  <c r="C5800" i="116"/>
  <c r="B5800" i="116"/>
  <c r="K5799" i="116"/>
  <c r="J5799" i="116"/>
  <c r="I5799" i="116"/>
  <c r="H5799" i="116"/>
  <c r="G5799" i="116"/>
  <c r="F5799" i="116"/>
  <c r="E5799" i="116"/>
  <c r="D5799" i="116"/>
  <c r="C5799" i="116"/>
  <c r="B5799" i="116"/>
  <c r="K5798" i="116"/>
  <c r="J5798" i="116"/>
  <c r="I5798" i="116"/>
  <c r="H5798" i="116"/>
  <c r="G5798" i="116"/>
  <c r="F5798" i="116"/>
  <c r="E5798" i="116"/>
  <c r="D5798" i="116"/>
  <c r="C5798" i="116"/>
  <c r="B5798" i="116"/>
  <c r="K5797" i="116"/>
  <c r="J5797" i="116"/>
  <c r="I5797" i="116"/>
  <c r="H5797" i="116"/>
  <c r="G5797" i="116"/>
  <c r="F5797" i="116"/>
  <c r="E5797" i="116"/>
  <c r="D5797" i="116"/>
  <c r="C5797" i="116"/>
  <c r="B5797" i="116"/>
  <c r="K5796" i="116"/>
  <c r="J5796" i="116"/>
  <c r="I5796" i="116"/>
  <c r="H5796" i="116"/>
  <c r="G5796" i="116"/>
  <c r="F5796" i="116"/>
  <c r="E5796" i="116"/>
  <c r="D5796" i="116"/>
  <c r="C5796" i="116"/>
  <c r="B5796" i="116"/>
  <c r="K5795" i="116"/>
  <c r="J5795" i="116"/>
  <c r="I5795" i="116"/>
  <c r="H5795" i="116"/>
  <c r="G5795" i="116"/>
  <c r="F5795" i="116"/>
  <c r="E5795" i="116"/>
  <c r="D5795" i="116"/>
  <c r="C5795" i="116"/>
  <c r="B5795" i="116"/>
  <c r="K5794" i="116"/>
  <c r="J5794" i="116"/>
  <c r="I5794" i="116"/>
  <c r="H5794" i="116"/>
  <c r="G5794" i="116"/>
  <c r="F5794" i="116"/>
  <c r="E5794" i="116"/>
  <c r="D5794" i="116"/>
  <c r="C5794" i="116"/>
  <c r="B5794" i="116"/>
  <c r="K5793" i="116"/>
  <c r="J5793" i="116"/>
  <c r="I5793" i="116"/>
  <c r="H5793" i="116"/>
  <c r="G5793" i="116"/>
  <c r="F5793" i="116"/>
  <c r="E5793" i="116"/>
  <c r="D5793" i="116"/>
  <c r="C5793" i="116"/>
  <c r="B5793" i="116"/>
  <c r="K5792" i="116"/>
  <c r="J5792" i="116"/>
  <c r="I5792" i="116"/>
  <c r="H5792" i="116"/>
  <c r="G5792" i="116"/>
  <c r="F5792" i="116"/>
  <c r="E5792" i="116"/>
  <c r="D5792" i="116"/>
  <c r="C5792" i="116"/>
  <c r="B5792" i="116"/>
  <c r="K5791" i="116"/>
  <c r="J5791" i="116"/>
  <c r="I5791" i="116"/>
  <c r="H5791" i="116"/>
  <c r="G5791" i="116"/>
  <c r="F5791" i="116"/>
  <c r="E5791" i="116"/>
  <c r="D5791" i="116"/>
  <c r="C5791" i="116"/>
  <c r="B5791" i="116"/>
  <c r="K5790" i="116"/>
  <c r="J5790" i="116"/>
  <c r="I5790" i="116"/>
  <c r="H5790" i="116"/>
  <c r="G5790" i="116"/>
  <c r="F5790" i="116"/>
  <c r="E5790" i="116"/>
  <c r="D5790" i="116"/>
  <c r="C5790" i="116"/>
  <c r="B5790" i="116"/>
  <c r="K5789" i="116"/>
  <c r="J5789" i="116"/>
  <c r="I5789" i="116"/>
  <c r="H5789" i="116"/>
  <c r="G5789" i="116"/>
  <c r="F5789" i="116"/>
  <c r="E5789" i="116"/>
  <c r="D5789" i="116"/>
  <c r="C5789" i="116"/>
  <c r="B5789" i="116"/>
  <c r="K5788" i="116"/>
  <c r="J5788" i="116"/>
  <c r="I5788" i="116"/>
  <c r="H5788" i="116"/>
  <c r="G5788" i="116"/>
  <c r="F5788" i="116"/>
  <c r="E5788" i="116"/>
  <c r="D5788" i="116"/>
  <c r="C5788" i="116"/>
  <c r="B5788" i="116"/>
  <c r="K5787" i="116"/>
  <c r="J5787" i="116"/>
  <c r="I5787" i="116"/>
  <c r="H5787" i="116"/>
  <c r="G5787" i="116"/>
  <c r="F5787" i="116"/>
  <c r="E5787" i="116"/>
  <c r="D5787" i="116"/>
  <c r="C5787" i="116"/>
  <c r="B5787" i="116"/>
  <c r="K5786" i="116"/>
  <c r="J5786" i="116"/>
  <c r="I5786" i="116"/>
  <c r="H5786" i="116"/>
  <c r="G5786" i="116"/>
  <c r="F5786" i="116"/>
  <c r="E5786" i="116"/>
  <c r="D5786" i="116"/>
  <c r="C5786" i="116"/>
  <c r="B5786" i="116"/>
  <c r="K5785" i="116"/>
  <c r="J5785" i="116"/>
  <c r="I5785" i="116"/>
  <c r="H5785" i="116"/>
  <c r="G5785" i="116"/>
  <c r="F5785" i="116"/>
  <c r="E5785" i="116"/>
  <c r="D5785" i="116"/>
  <c r="C5785" i="116"/>
  <c r="B5785" i="116"/>
  <c r="K5784" i="116"/>
  <c r="J5784" i="116"/>
  <c r="I5784" i="116"/>
  <c r="H5784" i="116"/>
  <c r="G5784" i="116"/>
  <c r="F5784" i="116"/>
  <c r="E5784" i="116"/>
  <c r="D5784" i="116"/>
  <c r="C5784" i="116"/>
  <c r="B5784" i="116"/>
  <c r="K5783" i="116"/>
  <c r="J5783" i="116"/>
  <c r="I5783" i="116"/>
  <c r="H5783" i="116"/>
  <c r="G5783" i="116"/>
  <c r="F5783" i="116"/>
  <c r="E5783" i="116"/>
  <c r="D5783" i="116"/>
  <c r="C5783" i="116"/>
  <c r="B5783" i="116"/>
  <c r="K5782" i="116"/>
  <c r="J5782" i="116"/>
  <c r="I5782" i="116"/>
  <c r="H5782" i="116"/>
  <c r="G5782" i="116"/>
  <c r="F5782" i="116"/>
  <c r="E5782" i="116"/>
  <c r="D5782" i="116"/>
  <c r="C5782" i="116"/>
  <c r="B5782" i="116"/>
  <c r="K5781" i="116"/>
  <c r="J5781" i="116"/>
  <c r="I5781" i="116"/>
  <c r="H5781" i="116"/>
  <c r="G5781" i="116"/>
  <c r="F5781" i="116"/>
  <c r="E5781" i="116"/>
  <c r="D5781" i="116"/>
  <c r="C5781" i="116"/>
  <c r="B5781" i="116"/>
  <c r="K5780" i="116"/>
  <c r="J5780" i="116"/>
  <c r="I5780" i="116"/>
  <c r="H5780" i="116"/>
  <c r="G5780" i="116"/>
  <c r="F5780" i="116"/>
  <c r="E5780" i="116"/>
  <c r="D5780" i="116"/>
  <c r="C5780" i="116"/>
  <c r="B5780" i="116"/>
  <c r="K5779" i="116"/>
  <c r="J5779" i="116"/>
  <c r="I5779" i="116"/>
  <c r="H5779" i="116"/>
  <c r="G5779" i="116"/>
  <c r="F5779" i="116"/>
  <c r="E5779" i="116"/>
  <c r="D5779" i="116"/>
  <c r="C5779" i="116"/>
  <c r="B5779" i="116"/>
  <c r="K5778" i="116"/>
  <c r="J5778" i="116"/>
  <c r="I5778" i="116"/>
  <c r="H5778" i="116"/>
  <c r="G5778" i="116"/>
  <c r="F5778" i="116"/>
  <c r="E5778" i="116"/>
  <c r="D5778" i="116"/>
  <c r="C5778" i="116"/>
  <c r="B5778" i="116"/>
  <c r="K5777" i="116"/>
  <c r="J5777" i="116"/>
  <c r="I5777" i="116"/>
  <c r="H5777" i="116"/>
  <c r="G5777" i="116"/>
  <c r="F5777" i="116"/>
  <c r="E5777" i="116"/>
  <c r="D5777" i="116"/>
  <c r="C5777" i="116"/>
  <c r="B5777" i="116"/>
  <c r="K5776" i="116"/>
  <c r="J5776" i="116"/>
  <c r="I5776" i="116"/>
  <c r="H5776" i="116"/>
  <c r="G5776" i="116"/>
  <c r="F5776" i="116"/>
  <c r="E5776" i="116"/>
  <c r="D5776" i="116"/>
  <c r="C5776" i="116"/>
  <c r="B5776" i="116"/>
  <c r="K5775" i="116"/>
  <c r="J5775" i="116"/>
  <c r="I5775" i="116"/>
  <c r="H5775" i="116"/>
  <c r="G5775" i="116"/>
  <c r="F5775" i="116"/>
  <c r="E5775" i="116"/>
  <c r="D5775" i="116"/>
  <c r="C5775" i="116"/>
  <c r="B5775" i="116"/>
  <c r="K5774" i="116"/>
  <c r="J5774" i="116"/>
  <c r="I5774" i="116"/>
  <c r="H5774" i="116"/>
  <c r="G5774" i="116"/>
  <c r="F5774" i="116"/>
  <c r="E5774" i="116"/>
  <c r="D5774" i="116"/>
  <c r="C5774" i="116"/>
  <c r="B5774" i="116"/>
  <c r="K5773" i="116"/>
  <c r="J5773" i="116"/>
  <c r="I5773" i="116"/>
  <c r="H5773" i="116"/>
  <c r="G5773" i="116"/>
  <c r="F5773" i="116"/>
  <c r="E5773" i="116"/>
  <c r="D5773" i="116"/>
  <c r="C5773" i="116"/>
  <c r="B5773" i="116"/>
  <c r="K5772" i="116"/>
  <c r="J5772" i="116"/>
  <c r="I5772" i="116"/>
  <c r="H5772" i="116"/>
  <c r="G5772" i="116"/>
  <c r="F5772" i="116"/>
  <c r="E5772" i="116"/>
  <c r="D5772" i="116"/>
  <c r="C5772" i="116"/>
  <c r="B5772" i="116"/>
  <c r="K5771" i="116"/>
  <c r="J5771" i="116"/>
  <c r="I5771" i="116"/>
  <c r="H5771" i="116"/>
  <c r="G5771" i="116"/>
  <c r="F5771" i="116"/>
  <c r="E5771" i="116"/>
  <c r="D5771" i="116"/>
  <c r="C5771" i="116"/>
  <c r="B5771" i="116"/>
  <c r="K5770" i="116"/>
  <c r="J5770" i="116"/>
  <c r="I5770" i="116"/>
  <c r="H5770" i="116"/>
  <c r="G5770" i="116"/>
  <c r="F5770" i="116"/>
  <c r="E5770" i="116"/>
  <c r="D5770" i="116"/>
  <c r="C5770" i="116"/>
  <c r="B5770" i="116"/>
  <c r="K5769" i="116"/>
  <c r="J5769" i="116"/>
  <c r="I5769" i="116"/>
  <c r="H5769" i="116"/>
  <c r="G5769" i="116"/>
  <c r="F5769" i="116"/>
  <c r="E5769" i="116"/>
  <c r="D5769" i="116"/>
  <c r="C5769" i="116"/>
  <c r="B5769" i="116"/>
  <c r="K5768" i="116"/>
  <c r="J5768" i="116"/>
  <c r="I5768" i="116"/>
  <c r="H5768" i="116"/>
  <c r="G5768" i="116"/>
  <c r="F5768" i="116"/>
  <c r="E5768" i="116"/>
  <c r="D5768" i="116"/>
  <c r="C5768" i="116"/>
  <c r="B5768" i="116"/>
  <c r="K5767" i="116"/>
  <c r="J5767" i="116"/>
  <c r="I5767" i="116"/>
  <c r="H5767" i="116"/>
  <c r="G5767" i="116"/>
  <c r="F5767" i="116"/>
  <c r="E5767" i="116"/>
  <c r="D5767" i="116"/>
  <c r="C5767" i="116"/>
  <c r="B5767" i="116"/>
  <c r="K5766" i="116"/>
  <c r="J5766" i="116"/>
  <c r="I5766" i="116"/>
  <c r="H5766" i="116"/>
  <c r="G5766" i="116"/>
  <c r="F5766" i="116"/>
  <c r="E5766" i="116"/>
  <c r="D5766" i="116"/>
  <c r="C5766" i="116"/>
  <c r="B5766" i="116"/>
  <c r="K5765" i="116"/>
  <c r="J5765" i="116"/>
  <c r="I5765" i="116"/>
  <c r="H5765" i="116"/>
  <c r="G5765" i="116"/>
  <c r="F5765" i="116"/>
  <c r="E5765" i="116"/>
  <c r="D5765" i="116"/>
  <c r="C5765" i="116"/>
  <c r="B5765" i="116"/>
  <c r="K5764" i="116"/>
  <c r="J5764" i="116"/>
  <c r="I5764" i="116"/>
  <c r="H5764" i="116"/>
  <c r="G5764" i="116"/>
  <c r="F5764" i="116"/>
  <c r="E5764" i="116"/>
  <c r="D5764" i="116"/>
  <c r="C5764" i="116"/>
  <c r="B5764" i="116"/>
  <c r="K5763" i="116"/>
  <c r="J5763" i="116"/>
  <c r="I5763" i="116"/>
  <c r="H5763" i="116"/>
  <c r="G5763" i="116"/>
  <c r="F5763" i="116"/>
  <c r="E5763" i="116"/>
  <c r="D5763" i="116"/>
  <c r="C5763" i="116"/>
  <c r="B5763" i="116"/>
  <c r="K5762" i="116"/>
  <c r="J5762" i="116"/>
  <c r="I5762" i="116"/>
  <c r="H5762" i="116"/>
  <c r="G5762" i="116"/>
  <c r="F5762" i="116"/>
  <c r="E5762" i="116"/>
  <c r="D5762" i="116"/>
  <c r="C5762" i="116"/>
  <c r="B5762" i="116"/>
  <c r="K5761" i="116"/>
  <c r="J5761" i="116"/>
  <c r="I5761" i="116"/>
  <c r="H5761" i="116"/>
  <c r="G5761" i="116"/>
  <c r="F5761" i="116"/>
  <c r="E5761" i="116"/>
  <c r="D5761" i="116"/>
  <c r="C5761" i="116"/>
  <c r="B5761" i="116"/>
  <c r="K5760" i="116"/>
  <c r="J5760" i="116"/>
  <c r="I5760" i="116"/>
  <c r="H5760" i="116"/>
  <c r="G5760" i="116"/>
  <c r="F5760" i="116"/>
  <c r="E5760" i="116"/>
  <c r="D5760" i="116"/>
  <c r="C5760" i="116"/>
  <c r="B5760" i="116"/>
  <c r="K5759" i="116"/>
  <c r="J5759" i="116"/>
  <c r="I5759" i="116"/>
  <c r="H5759" i="116"/>
  <c r="G5759" i="116"/>
  <c r="F5759" i="116"/>
  <c r="E5759" i="116"/>
  <c r="D5759" i="116"/>
  <c r="C5759" i="116"/>
  <c r="B5759" i="116"/>
  <c r="K5758" i="116"/>
  <c r="J5758" i="116"/>
  <c r="I5758" i="116"/>
  <c r="H5758" i="116"/>
  <c r="G5758" i="116"/>
  <c r="F5758" i="116"/>
  <c r="E5758" i="116"/>
  <c r="D5758" i="116"/>
  <c r="C5758" i="116"/>
  <c r="B5758" i="116"/>
  <c r="K5757" i="116"/>
  <c r="J5757" i="116"/>
  <c r="I5757" i="116"/>
  <c r="H5757" i="116"/>
  <c r="G5757" i="116"/>
  <c r="F5757" i="116"/>
  <c r="E5757" i="116"/>
  <c r="D5757" i="116"/>
  <c r="C5757" i="116"/>
  <c r="B5757" i="116"/>
  <c r="K5756" i="116"/>
  <c r="J5756" i="116"/>
  <c r="I5756" i="116"/>
  <c r="H5756" i="116"/>
  <c r="G5756" i="116"/>
  <c r="F5756" i="116"/>
  <c r="E5756" i="116"/>
  <c r="D5756" i="116"/>
  <c r="C5756" i="116"/>
  <c r="B5756" i="116"/>
  <c r="K5755" i="116"/>
  <c r="J5755" i="116"/>
  <c r="I5755" i="116"/>
  <c r="H5755" i="116"/>
  <c r="G5755" i="116"/>
  <c r="F5755" i="116"/>
  <c r="E5755" i="116"/>
  <c r="D5755" i="116"/>
  <c r="C5755" i="116"/>
  <c r="B5755" i="116"/>
  <c r="K5754" i="116"/>
  <c r="J5754" i="116"/>
  <c r="I5754" i="116"/>
  <c r="H5754" i="116"/>
  <c r="G5754" i="116"/>
  <c r="F5754" i="116"/>
  <c r="E5754" i="116"/>
  <c r="D5754" i="116"/>
  <c r="C5754" i="116"/>
  <c r="B5754" i="116"/>
  <c r="K5753" i="116"/>
  <c r="J5753" i="116"/>
  <c r="I5753" i="116"/>
  <c r="H5753" i="116"/>
  <c r="G5753" i="116"/>
  <c r="F5753" i="116"/>
  <c r="E5753" i="116"/>
  <c r="D5753" i="116"/>
  <c r="C5753" i="116"/>
  <c r="B5753" i="116"/>
  <c r="K5752" i="116"/>
  <c r="J5752" i="116"/>
  <c r="I5752" i="116"/>
  <c r="H5752" i="116"/>
  <c r="G5752" i="116"/>
  <c r="F5752" i="116"/>
  <c r="E5752" i="116"/>
  <c r="D5752" i="116"/>
  <c r="C5752" i="116"/>
  <c r="B5752" i="116"/>
  <c r="K5751" i="116"/>
  <c r="J5751" i="116"/>
  <c r="I5751" i="116"/>
  <c r="H5751" i="116"/>
  <c r="G5751" i="116"/>
  <c r="F5751" i="116"/>
  <c r="E5751" i="116"/>
  <c r="D5751" i="116"/>
  <c r="C5751" i="116"/>
  <c r="B5751" i="116"/>
  <c r="K5750" i="116"/>
  <c r="J5750" i="116"/>
  <c r="I5750" i="116"/>
  <c r="H5750" i="116"/>
  <c r="G5750" i="116"/>
  <c r="F5750" i="116"/>
  <c r="E5750" i="116"/>
  <c r="D5750" i="116"/>
  <c r="C5750" i="116"/>
  <c r="B5750" i="116"/>
  <c r="K5749" i="116"/>
  <c r="J5749" i="116"/>
  <c r="I5749" i="116"/>
  <c r="H5749" i="116"/>
  <c r="G5749" i="116"/>
  <c r="F5749" i="116"/>
  <c r="E5749" i="116"/>
  <c r="D5749" i="116"/>
  <c r="C5749" i="116"/>
  <c r="B5749" i="116"/>
  <c r="K5748" i="116"/>
  <c r="J5748" i="116"/>
  <c r="I5748" i="116"/>
  <c r="H5748" i="116"/>
  <c r="G5748" i="116"/>
  <c r="F5748" i="116"/>
  <c r="E5748" i="116"/>
  <c r="D5748" i="116"/>
  <c r="C5748" i="116"/>
  <c r="B5748" i="116"/>
  <c r="K5747" i="116"/>
  <c r="J5747" i="116"/>
  <c r="I5747" i="116"/>
  <c r="H5747" i="116"/>
  <c r="G5747" i="116"/>
  <c r="F5747" i="116"/>
  <c r="E5747" i="116"/>
  <c r="D5747" i="116"/>
  <c r="C5747" i="116"/>
  <c r="B5747" i="116"/>
  <c r="K5746" i="116"/>
  <c r="J5746" i="116"/>
  <c r="I5746" i="116"/>
  <c r="H5746" i="116"/>
  <c r="G5746" i="116"/>
  <c r="F5746" i="116"/>
  <c r="E5746" i="116"/>
  <c r="D5746" i="116"/>
  <c r="C5746" i="116"/>
  <c r="B5746" i="116"/>
  <c r="K5745" i="116"/>
  <c r="J5745" i="116"/>
  <c r="I5745" i="116"/>
  <c r="H5745" i="116"/>
  <c r="G5745" i="116"/>
  <c r="F5745" i="116"/>
  <c r="E5745" i="116"/>
  <c r="D5745" i="116"/>
  <c r="C5745" i="116"/>
  <c r="B5745" i="116"/>
  <c r="K5744" i="116"/>
  <c r="J5744" i="116"/>
  <c r="I5744" i="116"/>
  <c r="H5744" i="116"/>
  <c r="G5744" i="116"/>
  <c r="F5744" i="116"/>
  <c r="E5744" i="116"/>
  <c r="D5744" i="116"/>
  <c r="C5744" i="116"/>
  <c r="B5744" i="116"/>
  <c r="K5743" i="116"/>
  <c r="J5743" i="116"/>
  <c r="I5743" i="116"/>
  <c r="H5743" i="116"/>
  <c r="G5743" i="116"/>
  <c r="F5743" i="116"/>
  <c r="E5743" i="116"/>
  <c r="D5743" i="116"/>
  <c r="C5743" i="116"/>
  <c r="B5743" i="116"/>
  <c r="K5742" i="116"/>
  <c r="J5742" i="116"/>
  <c r="I5742" i="116"/>
  <c r="H5742" i="116"/>
  <c r="G5742" i="116"/>
  <c r="F5742" i="116"/>
  <c r="E5742" i="116"/>
  <c r="D5742" i="116"/>
  <c r="C5742" i="116"/>
  <c r="B5742" i="116"/>
  <c r="K5741" i="116"/>
  <c r="J5741" i="116"/>
  <c r="I5741" i="116"/>
  <c r="H5741" i="116"/>
  <c r="G5741" i="116"/>
  <c r="F5741" i="116"/>
  <c r="E5741" i="116"/>
  <c r="D5741" i="116"/>
  <c r="C5741" i="116"/>
  <c r="B5741" i="116"/>
  <c r="K5740" i="116"/>
  <c r="J5740" i="116"/>
  <c r="I5740" i="116"/>
  <c r="H5740" i="116"/>
  <c r="G5740" i="116"/>
  <c r="F5740" i="116"/>
  <c r="E5740" i="116"/>
  <c r="D5740" i="116"/>
  <c r="C5740" i="116"/>
  <c r="B5740" i="116"/>
  <c r="K5739" i="116"/>
  <c r="J5739" i="116"/>
  <c r="I5739" i="116"/>
  <c r="H5739" i="116"/>
  <c r="G5739" i="116"/>
  <c r="F5739" i="116"/>
  <c r="E5739" i="116"/>
  <c r="D5739" i="116"/>
  <c r="C5739" i="116"/>
  <c r="B5739" i="116"/>
  <c r="K5738" i="116"/>
  <c r="J5738" i="116"/>
  <c r="I5738" i="116"/>
  <c r="H5738" i="116"/>
  <c r="G5738" i="116"/>
  <c r="F5738" i="116"/>
  <c r="E5738" i="116"/>
  <c r="D5738" i="116"/>
  <c r="C5738" i="116"/>
  <c r="B5738" i="116"/>
  <c r="K5737" i="116"/>
  <c r="J5737" i="116"/>
  <c r="I5737" i="116"/>
  <c r="H5737" i="116"/>
  <c r="G5737" i="116"/>
  <c r="F5737" i="116"/>
  <c r="E5737" i="116"/>
  <c r="D5737" i="116"/>
  <c r="C5737" i="116"/>
  <c r="B5737" i="116"/>
  <c r="K5736" i="116"/>
  <c r="J5736" i="116"/>
  <c r="I5736" i="116"/>
  <c r="H5736" i="116"/>
  <c r="G5736" i="116"/>
  <c r="F5736" i="116"/>
  <c r="E5736" i="116"/>
  <c r="D5736" i="116"/>
  <c r="C5736" i="116"/>
  <c r="B5736" i="116"/>
  <c r="K5735" i="116"/>
  <c r="J5735" i="116"/>
  <c r="I5735" i="116"/>
  <c r="H5735" i="116"/>
  <c r="G5735" i="116"/>
  <c r="F5735" i="116"/>
  <c r="E5735" i="116"/>
  <c r="D5735" i="116"/>
  <c r="C5735" i="116"/>
  <c r="B5735" i="116"/>
  <c r="K5734" i="116"/>
  <c r="J5734" i="116"/>
  <c r="I5734" i="116"/>
  <c r="H5734" i="116"/>
  <c r="G5734" i="116"/>
  <c r="F5734" i="116"/>
  <c r="E5734" i="116"/>
  <c r="D5734" i="116"/>
  <c r="C5734" i="116"/>
  <c r="B5734" i="116"/>
  <c r="K5733" i="116"/>
  <c r="J5733" i="116"/>
  <c r="I5733" i="116"/>
  <c r="H5733" i="116"/>
  <c r="G5733" i="116"/>
  <c r="F5733" i="116"/>
  <c r="E5733" i="116"/>
  <c r="D5733" i="116"/>
  <c r="C5733" i="116"/>
  <c r="B5733" i="116"/>
  <c r="K5732" i="116"/>
  <c r="J5732" i="116"/>
  <c r="I5732" i="116"/>
  <c r="H5732" i="116"/>
  <c r="G5732" i="116"/>
  <c r="F5732" i="116"/>
  <c r="E5732" i="116"/>
  <c r="D5732" i="116"/>
  <c r="C5732" i="116"/>
  <c r="B5732" i="116"/>
  <c r="K5731" i="116"/>
  <c r="J5731" i="116"/>
  <c r="I5731" i="116"/>
  <c r="H5731" i="116"/>
  <c r="G5731" i="116"/>
  <c r="F5731" i="116"/>
  <c r="E5731" i="116"/>
  <c r="D5731" i="116"/>
  <c r="C5731" i="116"/>
  <c r="B5731" i="116"/>
  <c r="K5730" i="116"/>
  <c r="J5730" i="116"/>
  <c r="I5730" i="116"/>
  <c r="H5730" i="116"/>
  <c r="G5730" i="116"/>
  <c r="F5730" i="116"/>
  <c r="E5730" i="116"/>
  <c r="D5730" i="116"/>
  <c r="C5730" i="116"/>
  <c r="B5730" i="116"/>
  <c r="K5729" i="116"/>
  <c r="J5729" i="116"/>
  <c r="I5729" i="116"/>
  <c r="H5729" i="116"/>
  <c r="G5729" i="116"/>
  <c r="F5729" i="116"/>
  <c r="E5729" i="116"/>
  <c r="D5729" i="116"/>
  <c r="C5729" i="116"/>
  <c r="B5729" i="116"/>
  <c r="K5728" i="116"/>
  <c r="J5728" i="116"/>
  <c r="I5728" i="116"/>
  <c r="H5728" i="116"/>
  <c r="G5728" i="116"/>
  <c r="F5728" i="116"/>
  <c r="E5728" i="116"/>
  <c r="D5728" i="116"/>
  <c r="C5728" i="116"/>
  <c r="B5728" i="116"/>
  <c r="K5727" i="116"/>
  <c r="J5727" i="116"/>
  <c r="I5727" i="116"/>
  <c r="H5727" i="116"/>
  <c r="G5727" i="116"/>
  <c r="F5727" i="116"/>
  <c r="E5727" i="116"/>
  <c r="D5727" i="116"/>
  <c r="C5727" i="116"/>
  <c r="B5727" i="116"/>
  <c r="K5726" i="116"/>
  <c r="J5726" i="116"/>
  <c r="I5726" i="116"/>
  <c r="H5726" i="116"/>
  <c r="G5726" i="116"/>
  <c r="F5726" i="116"/>
  <c r="E5726" i="116"/>
  <c r="D5726" i="116"/>
  <c r="C5726" i="116"/>
  <c r="B5726" i="116"/>
  <c r="K5725" i="116"/>
  <c r="J5725" i="116"/>
  <c r="I5725" i="116"/>
  <c r="H5725" i="116"/>
  <c r="G5725" i="116"/>
  <c r="F5725" i="116"/>
  <c r="E5725" i="116"/>
  <c r="D5725" i="116"/>
  <c r="C5725" i="116"/>
  <c r="B5725" i="116"/>
  <c r="K5724" i="116"/>
  <c r="J5724" i="116"/>
  <c r="I5724" i="116"/>
  <c r="H5724" i="116"/>
  <c r="G5724" i="116"/>
  <c r="F5724" i="116"/>
  <c r="E5724" i="116"/>
  <c r="D5724" i="116"/>
  <c r="C5724" i="116"/>
  <c r="B5724" i="116"/>
  <c r="K5723" i="116"/>
  <c r="J5723" i="116"/>
  <c r="I5723" i="116"/>
  <c r="H5723" i="116"/>
  <c r="G5723" i="116"/>
  <c r="F5723" i="116"/>
  <c r="E5723" i="116"/>
  <c r="D5723" i="116"/>
  <c r="C5723" i="116"/>
  <c r="B5723" i="116"/>
  <c r="K5722" i="116"/>
  <c r="J5722" i="116"/>
  <c r="I5722" i="116"/>
  <c r="H5722" i="116"/>
  <c r="G5722" i="116"/>
  <c r="F5722" i="116"/>
  <c r="E5722" i="116"/>
  <c r="D5722" i="116"/>
  <c r="C5722" i="116"/>
  <c r="B5722" i="116"/>
  <c r="K5721" i="116"/>
  <c r="J5721" i="116"/>
  <c r="I5721" i="116"/>
  <c r="H5721" i="116"/>
  <c r="G5721" i="116"/>
  <c r="F5721" i="116"/>
  <c r="E5721" i="116"/>
  <c r="D5721" i="116"/>
  <c r="C5721" i="116"/>
  <c r="B5721" i="116"/>
  <c r="K5720" i="116"/>
  <c r="J5720" i="116"/>
  <c r="I5720" i="116"/>
  <c r="H5720" i="116"/>
  <c r="G5720" i="116"/>
  <c r="F5720" i="116"/>
  <c r="E5720" i="116"/>
  <c r="D5720" i="116"/>
  <c r="C5720" i="116"/>
  <c r="B5720" i="116"/>
  <c r="K5719" i="116"/>
  <c r="J5719" i="116"/>
  <c r="I5719" i="116"/>
  <c r="H5719" i="116"/>
  <c r="G5719" i="116"/>
  <c r="F5719" i="116"/>
  <c r="E5719" i="116"/>
  <c r="D5719" i="116"/>
  <c r="C5719" i="116"/>
  <c r="B5719" i="116"/>
  <c r="K5718" i="116"/>
  <c r="J5718" i="116"/>
  <c r="I5718" i="116"/>
  <c r="H5718" i="116"/>
  <c r="G5718" i="116"/>
  <c r="F5718" i="116"/>
  <c r="E5718" i="116"/>
  <c r="D5718" i="116"/>
  <c r="C5718" i="116"/>
  <c r="B5718" i="116"/>
  <c r="K5717" i="116"/>
  <c r="J5717" i="116"/>
  <c r="I5717" i="116"/>
  <c r="H5717" i="116"/>
  <c r="G5717" i="116"/>
  <c r="F5717" i="116"/>
  <c r="E5717" i="116"/>
  <c r="D5717" i="116"/>
  <c r="C5717" i="116"/>
  <c r="B5717" i="116"/>
  <c r="K5716" i="116"/>
  <c r="J5716" i="116"/>
  <c r="I5716" i="116"/>
  <c r="H5716" i="116"/>
  <c r="G5716" i="116"/>
  <c r="F5716" i="116"/>
  <c r="E5716" i="116"/>
  <c r="D5716" i="116"/>
  <c r="C5716" i="116"/>
  <c r="B5716" i="116"/>
  <c r="K5715" i="116"/>
  <c r="J5715" i="116"/>
  <c r="I5715" i="116"/>
  <c r="H5715" i="116"/>
  <c r="G5715" i="116"/>
  <c r="F5715" i="116"/>
  <c r="E5715" i="116"/>
  <c r="D5715" i="116"/>
  <c r="C5715" i="116"/>
  <c r="B5715" i="116"/>
  <c r="K5714" i="116"/>
  <c r="J5714" i="116"/>
  <c r="I5714" i="116"/>
  <c r="H5714" i="116"/>
  <c r="G5714" i="116"/>
  <c r="F5714" i="116"/>
  <c r="E5714" i="116"/>
  <c r="D5714" i="116"/>
  <c r="C5714" i="116"/>
  <c r="B5714" i="116"/>
  <c r="K5713" i="116"/>
  <c r="J5713" i="116"/>
  <c r="I5713" i="116"/>
  <c r="H5713" i="116"/>
  <c r="G5713" i="116"/>
  <c r="F5713" i="116"/>
  <c r="E5713" i="116"/>
  <c r="D5713" i="116"/>
  <c r="C5713" i="116"/>
  <c r="B5713" i="116"/>
  <c r="K5712" i="116"/>
  <c r="J5712" i="116"/>
  <c r="I5712" i="116"/>
  <c r="H5712" i="116"/>
  <c r="G5712" i="116"/>
  <c r="F5712" i="116"/>
  <c r="E5712" i="116"/>
  <c r="D5712" i="116"/>
  <c r="C5712" i="116"/>
  <c r="B5712" i="116"/>
  <c r="K5711" i="116"/>
  <c r="J5711" i="116"/>
  <c r="I5711" i="116"/>
  <c r="H5711" i="116"/>
  <c r="G5711" i="116"/>
  <c r="F5711" i="116"/>
  <c r="E5711" i="116"/>
  <c r="D5711" i="116"/>
  <c r="C5711" i="116"/>
  <c r="B5711" i="116"/>
  <c r="K5710" i="116"/>
  <c r="J5710" i="116"/>
  <c r="I5710" i="116"/>
  <c r="H5710" i="116"/>
  <c r="G5710" i="116"/>
  <c r="F5710" i="116"/>
  <c r="E5710" i="116"/>
  <c r="D5710" i="116"/>
  <c r="C5710" i="116"/>
  <c r="B5710" i="116"/>
  <c r="K5709" i="116"/>
  <c r="J5709" i="116"/>
  <c r="I5709" i="116"/>
  <c r="H5709" i="116"/>
  <c r="G5709" i="116"/>
  <c r="F5709" i="116"/>
  <c r="E5709" i="116"/>
  <c r="D5709" i="116"/>
  <c r="C5709" i="116"/>
  <c r="B5709" i="116"/>
  <c r="K5708" i="116"/>
  <c r="J5708" i="116"/>
  <c r="I5708" i="116"/>
  <c r="H5708" i="116"/>
  <c r="G5708" i="116"/>
  <c r="F5708" i="116"/>
  <c r="E5708" i="116"/>
  <c r="D5708" i="116"/>
  <c r="C5708" i="116"/>
  <c r="B5708" i="116"/>
  <c r="K5707" i="116"/>
  <c r="J5707" i="116"/>
  <c r="I5707" i="116"/>
  <c r="H5707" i="116"/>
  <c r="G5707" i="116"/>
  <c r="F5707" i="116"/>
  <c r="E5707" i="116"/>
  <c r="D5707" i="116"/>
  <c r="C5707" i="116"/>
  <c r="B5707" i="116"/>
  <c r="K5706" i="116"/>
  <c r="J5706" i="116"/>
  <c r="I5706" i="116"/>
  <c r="H5706" i="116"/>
  <c r="G5706" i="116"/>
  <c r="F5706" i="116"/>
  <c r="E5706" i="116"/>
  <c r="D5706" i="116"/>
  <c r="C5706" i="116"/>
  <c r="B5706" i="116"/>
  <c r="K5705" i="116"/>
  <c r="J5705" i="116"/>
  <c r="I5705" i="116"/>
  <c r="H5705" i="116"/>
  <c r="G5705" i="116"/>
  <c r="F5705" i="116"/>
  <c r="E5705" i="116"/>
  <c r="D5705" i="116"/>
  <c r="C5705" i="116"/>
  <c r="B5705" i="116"/>
  <c r="K5704" i="116"/>
  <c r="J5704" i="116"/>
  <c r="I5704" i="116"/>
  <c r="H5704" i="116"/>
  <c r="G5704" i="116"/>
  <c r="F5704" i="116"/>
  <c r="E5704" i="116"/>
  <c r="D5704" i="116"/>
  <c r="C5704" i="116"/>
  <c r="B5704" i="116"/>
  <c r="K5703" i="116"/>
  <c r="J5703" i="116"/>
  <c r="I5703" i="116"/>
  <c r="H5703" i="116"/>
  <c r="G5703" i="116"/>
  <c r="F5703" i="116"/>
  <c r="E5703" i="116"/>
  <c r="D5703" i="116"/>
  <c r="C5703" i="116"/>
  <c r="B5703" i="116"/>
  <c r="K5702" i="116"/>
  <c r="J5702" i="116"/>
  <c r="I5702" i="116"/>
  <c r="H5702" i="116"/>
  <c r="G5702" i="116"/>
  <c r="F5702" i="116"/>
  <c r="E5702" i="116"/>
  <c r="D5702" i="116"/>
  <c r="C5702" i="116"/>
  <c r="B5702" i="116"/>
  <c r="K5701" i="116"/>
  <c r="J5701" i="116"/>
  <c r="I5701" i="116"/>
  <c r="H5701" i="116"/>
  <c r="G5701" i="116"/>
  <c r="F5701" i="116"/>
  <c r="E5701" i="116"/>
  <c r="D5701" i="116"/>
  <c r="C5701" i="116"/>
  <c r="B5701" i="116"/>
  <c r="K5700" i="116"/>
  <c r="J5700" i="116"/>
  <c r="I5700" i="116"/>
  <c r="H5700" i="116"/>
  <c r="G5700" i="116"/>
  <c r="F5700" i="116"/>
  <c r="E5700" i="116"/>
  <c r="D5700" i="116"/>
  <c r="C5700" i="116"/>
  <c r="B5700" i="116"/>
  <c r="K5699" i="116"/>
  <c r="J5699" i="116"/>
  <c r="I5699" i="116"/>
  <c r="H5699" i="116"/>
  <c r="G5699" i="116"/>
  <c r="F5699" i="116"/>
  <c r="E5699" i="116"/>
  <c r="D5699" i="116"/>
  <c r="C5699" i="116"/>
  <c r="B5699" i="116"/>
  <c r="K5698" i="116"/>
  <c r="J5698" i="116"/>
  <c r="I5698" i="116"/>
  <c r="H5698" i="116"/>
  <c r="G5698" i="116"/>
  <c r="F5698" i="116"/>
  <c r="E5698" i="116"/>
  <c r="D5698" i="116"/>
  <c r="C5698" i="116"/>
  <c r="B5698" i="116"/>
  <c r="K5697" i="116"/>
  <c r="J5697" i="116"/>
  <c r="I5697" i="116"/>
  <c r="H5697" i="116"/>
  <c r="G5697" i="116"/>
  <c r="F5697" i="116"/>
  <c r="E5697" i="116"/>
  <c r="D5697" i="116"/>
  <c r="C5697" i="116"/>
  <c r="B5697" i="116"/>
  <c r="K5696" i="116"/>
  <c r="J5696" i="116"/>
  <c r="I5696" i="116"/>
  <c r="H5696" i="116"/>
  <c r="G5696" i="116"/>
  <c r="F5696" i="116"/>
  <c r="E5696" i="116"/>
  <c r="D5696" i="116"/>
  <c r="C5696" i="116"/>
  <c r="B5696" i="116"/>
  <c r="K5695" i="116"/>
  <c r="J5695" i="116"/>
  <c r="I5695" i="116"/>
  <c r="H5695" i="116"/>
  <c r="G5695" i="116"/>
  <c r="F5695" i="116"/>
  <c r="E5695" i="116"/>
  <c r="D5695" i="116"/>
  <c r="C5695" i="116"/>
  <c r="B5695" i="116"/>
  <c r="K5694" i="116"/>
  <c r="J5694" i="116"/>
  <c r="I5694" i="116"/>
  <c r="H5694" i="116"/>
  <c r="G5694" i="116"/>
  <c r="F5694" i="116"/>
  <c r="E5694" i="116"/>
  <c r="D5694" i="116"/>
  <c r="C5694" i="116"/>
  <c r="B5694" i="116"/>
  <c r="K5693" i="116"/>
  <c r="J5693" i="116"/>
  <c r="I5693" i="116"/>
  <c r="H5693" i="116"/>
  <c r="G5693" i="116"/>
  <c r="F5693" i="116"/>
  <c r="E5693" i="116"/>
  <c r="D5693" i="116"/>
  <c r="C5693" i="116"/>
  <c r="B5693" i="116"/>
  <c r="K5692" i="116"/>
  <c r="J5692" i="116"/>
  <c r="I5692" i="116"/>
  <c r="H5692" i="116"/>
  <c r="G5692" i="116"/>
  <c r="F5692" i="116"/>
  <c r="E5692" i="116"/>
  <c r="D5692" i="116"/>
  <c r="C5692" i="116"/>
  <c r="B5692" i="116"/>
  <c r="K5691" i="116"/>
  <c r="J5691" i="116"/>
  <c r="I5691" i="116"/>
  <c r="H5691" i="116"/>
  <c r="G5691" i="116"/>
  <c r="F5691" i="116"/>
  <c r="E5691" i="116"/>
  <c r="D5691" i="116"/>
  <c r="C5691" i="116"/>
  <c r="B5691" i="116"/>
  <c r="K5690" i="116"/>
  <c r="J5690" i="116"/>
  <c r="I5690" i="116"/>
  <c r="H5690" i="116"/>
  <c r="G5690" i="116"/>
  <c r="F5690" i="116"/>
  <c r="E5690" i="116"/>
  <c r="D5690" i="116"/>
  <c r="C5690" i="116"/>
  <c r="B5690" i="116"/>
  <c r="K5689" i="116"/>
  <c r="J5689" i="116"/>
  <c r="I5689" i="116"/>
  <c r="H5689" i="116"/>
  <c r="G5689" i="116"/>
  <c r="F5689" i="116"/>
  <c r="E5689" i="116"/>
  <c r="D5689" i="116"/>
  <c r="C5689" i="116"/>
  <c r="B5689" i="116"/>
  <c r="K5688" i="116"/>
  <c r="J5688" i="116"/>
  <c r="I5688" i="116"/>
  <c r="H5688" i="116"/>
  <c r="G5688" i="116"/>
  <c r="F5688" i="116"/>
  <c r="E5688" i="116"/>
  <c r="D5688" i="116"/>
  <c r="C5688" i="116"/>
  <c r="B5688" i="116"/>
  <c r="K5687" i="116"/>
  <c r="J5687" i="116"/>
  <c r="I5687" i="116"/>
  <c r="H5687" i="116"/>
  <c r="G5687" i="116"/>
  <c r="F5687" i="116"/>
  <c r="E5687" i="116"/>
  <c r="D5687" i="116"/>
  <c r="C5687" i="116"/>
  <c r="B5687" i="116"/>
  <c r="K5686" i="116"/>
  <c r="J5686" i="116"/>
  <c r="I5686" i="116"/>
  <c r="H5686" i="116"/>
  <c r="G5686" i="116"/>
  <c r="F5686" i="116"/>
  <c r="E5686" i="116"/>
  <c r="D5686" i="116"/>
  <c r="C5686" i="116"/>
  <c r="B5686" i="116"/>
  <c r="K5685" i="116"/>
  <c r="J5685" i="116"/>
  <c r="I5685" i="116"/>
  <c r="H5685" i="116"/>
  <c r="G5685" i="116"/>
  <c r="F5685" i="116"/>
  <c r="E5685" i="116"/>
  <c r="D5685" i="116"/>
  <c r="C5685" i="116"/>
  <c r="B5685" i="116"/>
  <c r="K5684" i="116"/>
  <c r="J5684" i="116"/>
  <c r="I5684" i="116"/>
  <c r="H5684" i="116"/>
  <c r="G5684" i="116"/>
  <c r="F5684" i="116"/>
  <c r="E5684" i="116"/>
  <c r="D5684" i="116"/>
  <c r="C5684" i="116"/>
  <c r="B5684" i="116"/>
  <c r="K5683" i="116"/>
  <c r="J5683" i="116"/>
  <c r="I5683" i="116"/>
  <c r="H5683" i="116"/>
  <c r="G5683" i="116"/>
  <c r="F5683" i="116"/>
  <c r="E5683" i="116"/>
  <c r="D5683" i="116"/>
  <c r="C5683" i="116"/>
  <c r="B5683" i="116"/>
  <c r="K5682" i="116"/>
  <c r="J5682" i="116"/>
  <c r="I5682" i="116"/>
  <c r="H5682" i="116"/>
  <c r="G5682" i="116"/>
  <c r="F5682" i="116"/>
  <c r="E5682" i="116"/>
  <c r="D5682" i="116"/>
  <c r="C5682" i="116"/>
  <c r="B5682" i="116"/>
  <c r="K5681" i="116"/>
  <c r="J5681" i="116"/>
  <c r="I5681" i="116"/>
  <c r="H5681" i="116"/>
  <c r="G5681" i="116"/>
  <c r="F5681" i="116"/>
  <c r="E5681" i="116"/>
  <c r="D5681" i="116"/>
  <c r="C5681" i="116"/>
  <c r="B5681" i="116"/>
  <c r="K5680" i="116"/>
  <c r="J5680" i="116"/>
  <c r="I5680" i="116"/>
  <c r="H5680" i="116"/>
  <c r="G5680" i="116"/>
  <c r="F5680" i="116"/>
  <c r="E5680" i="116"/>
  <c r="D5680" i="116"/>
  <c r="C5680" i="116"/>
  <c r="B5680" i="116"/>
  <c r="K5679" i="116"/>
  <c r="J5679" i="116"/>
  <c r="I5679" i="116"/>
  <c r="H5679" i="116"/>
  <c r="G5679" i="116"/>
  <c r="F5679" i="116"/>
  <c r="E5679" i="116"/>
  <c r="D5679" i="116"/>
  <c r="C5679" i="116"/>
  <c r="B5679" i="116"/>
  <c r="K5678" i="116"/>
  <c r="J5678" i="116"/>
  <c r="I5678" i="116"/>
  <c r="H5678" i="116"/>
  <c r="G5678" i="116"/>
  <c r="F5678" i="116"/>
  <c r="E5678" i="116"/>
  <c r="D5678" i="116"/>
  <c r="C5678" i="116"/>
  <c r="B5678" i="116"/>
  <c r="K5677" i="116"/>
  <c r="J5677" i="116"/>
  <c r="I5677" i="116"/>
  <c r="H5677" i="116"/>
  <c r="G5677" i="116"/>
  <c r="F5677" i="116"/>
  <c r="E5677" i="116"/>
  <c r="D5677" i="116"/>
  <c r="C5677" i="116"/>
  <c r="B5677" i="116"/>
  <c r="K5676" i="116"/>
  <c r="J5676" i="116"/>
  <c r="I5676" i="116"/>
  <c r="H5676" i="116"/>
  <c r="G5676" i="116"/>
  <c r="F5676" i="116"/>
  <c r="E5676" i="116"/>
  <c r="D5676" i="116"/>
  <c r="C5676" i="116"/>
  <c r="B5676" i="116"/>
  <c r="K5675" i="116"/>
  <c r="J5675" i="116"/>
  <c r="I5675" i="116"/>
  <c r="H5675" i="116"/>
  <c r="G5675" i="116"/>
  <c r="F5675" i="116"/>
  <c r="E5675" i="116"/>
  <c r="D5675" i="116"/>
  <c r="C5675" i="116"/>
  <c r="B5675" i="116"/>
  <c r="K5674" i="116"/>
  <c r="J5674" i="116"/>
  <c r="I5674" i="116"/>
  <c r="H5674" i="116"/>
  <c r="G5674" i="116"/>
  <c r="F5674" i="116"/>
  <c r="E5674" i="116"/>
  <c r="D5674" i="116"/>
  <c r="C5674" i="116"/>
  <c r="B5674" i="116"/>
  <c r="K5673" i="116"/>
  <c r="J5673" i="116"/>
  <c r="I5673" i="116"/>
  <c r="H5673" i="116"/>
  <c r="G5673" i="116"/>
  <c r="F5673" i="116"/>
  <c r="E5673" i="116"/>
  <c r="D5673" i="116"/>
  <c r="C5673" i="116"/>
  <c r="B5673" i="116"/>
  <c r="K5672" i="116"/>
  <c r="J5672" i="116"/>
  <c r="I5672" i="116"/>
  <c r="H5672" i="116"/>
  <c r="G5672" i="116"/>
  <c r="F5672" i="116"/>
  <c r="E5672" i="116"/>
  <c r="D5672" i="116"/>
  <c r="C5672" i="116"/>
  <c r="B5672" i="116"/>
  <c r="K5671" i="116"/>
  <c r="J5671" i="116"/>
  <c r="I5671" i="116"/>
  <c r="H5671" i="116"/>
  <c r="G5671" i="116"/>
  <c r="F5671" i="116"/>
  <c r="E5671" i="116"/>
  <c r="D5671" i="116"/>
  <c r="C5671" i="116"/>
  <c r="B5671" i="116"/>
  <c r="K5670" i="116"/>
  <c r="J5670" i="116"/>
  <c r="I5670" i="116"/>
  <c r="H5670" i="116"/>
  <c r="G5670" i="116"/>
  <c r="F5670" i="116"/>
  <c r="E5670" i="116"/>
  <c r="D5670" i="116"/>
  <c r="C5670" i="116"/>
  <c r="B5670" i="116"/>
  <c r="K5669" i="116"/>
  <c r="J5669" i="116"/>
  <c r="I5669" i="116"/>
  <c r="H5669" i="116"/>
  <c r="G5669" i="116"/>
  <c r="F5669" i="116"/>
  <c r="E5669" i="116"/>
  <c r="D5669" i="116"/>
  <c r="C5669" i="116"/>
  <c r="B5669" i="116"/>
  <c r="K5668" i="116"/>
  <c r="J5668" i="116"/>
  <c r="I5668" i="116"/>
  <c r="H5668" i="116"/>
  <c r="G5668" i="116"/>
  <c r="F5668" i="116"/>
  <c r="E5668" i="116"/>
  <c r="D5668" i="116"/>
  <c r="C5668" i="116"/>
  <c r="B5668" i="116"/>
  <c r="K5667" i="116"/>
  <c r="J5667" i="116"/>
  <c r="I5667" i="116"/>
  <c r="H5667" i="116"/>
  <c r="G5667" i="116"/>
  <c r="F5667" i="116"/>
  <c r="E5667" i="116"/>
  <c r="D5667" i="116"/>
  <c r="C5667" i="116"/>
  <c r="B5667" i="116"/>
  <c r="K5666" i="116"/>
  <c r="J5666" i="116"/>
  <c r="I5666" i="116"/>
  <c r="H5666" i="116"/>
  <c r="G5666" i="116"/>
  <c r="F5666" i="116"/>
  <c r="E5666" i="116"/>
  <c r="D5666" i="116"/>
  <c r="C5666" i="116"/>
  <c r="B5666" i="116"/>
  <c r="K5665" i="116"/>
  <c r="J5665" i="116"/>
  <c r="I5665" i="116"/>
  <c r="H5665" i="116"/>
  <c r="G5665" i="116"/>
  <c r="F5665" i="116"/>
  <c r="E5665" i="116"/>
  <c r="D5665" i="116"/>
  <c r="C5665" i="116"/>
  <c r="B5665" i="116"/>
  <c r="K5664" i="116"/>
  <c r="J5664" i="116"/>
  <c r="I5664" i="116"/>
  <c r="H5664" i="116"/>
  <c r="G5664" i="116"/>
  <c r="F5664" i="116"/>
  <c r="E5664" i="116"/>
  <c r="D5664" i="116"/>
  <c r="C5664" i="116"/>
  <c r="B5664" i="116"/>
  <c r="K5663" i="116"/>
  <c r="J5663" i="116"/>
  <c r="I5663" i="116"/>
  <c r="H5663" i="116"/>
  <c r="G5663" i="116"/>
  <c r="F5663" i="116"/>
  <c r="E5663" i="116"/>
  <c r="D5663" i="116"/>
  <c r="C5663" i="116"/>
  <c r="B5663" i="116"/>
  <c r="K5662" i="116"/>
  <c r="J5662" i="116"/>
  <c r="I5662" i="116"/>
  <c r="H5662" i="116"/>
  <c r="G5662" i="116"/>
  <c r="F5662" i="116"/>
  <c r="E5662" i="116"/>
  <c r="D5662" i="116"/>
  <c r="C5662" i="116"/>
  <c r="B5662" i="116"/>
  <c r="K5661" i="116"/>
  <c r="J5661" i="116"/>
  <c r="I5661" i="116"/>
  <c r="H5661" i="116"/>
  <c r="G5661" i="116"/>
  <c r="F5661" i="116"/>
  <c r="E5661" i="116"/>
  <c r="D5661" i="116"/>
  <c r="C5661" i="116"/>
  <c r="B5661" i="116"/>
  <c r="K5660" i="116"/>
  <c r="J5660" i="116"/>
  <c r="I5660" i="116"/>
  <c r="H5660" i="116"/>
  <c r="G5660" i="116"/>
  <c r="F5660" i="116"/>
  <c r="E5660" i="116"/>
  <c r="D5660" i="116"/>
  <c r="C5660" i="116"/>
  <c r="B5660" i="116"/>
  <c r="K5659" i="116"/>
  <c r="J5659" i="116"/>
  <c r="I5659" i="116"/>
  <c r="H5659" i="116"/>
  <c r="G5659" i="116"/>
  <c r="F5659" i="116"/>
  <c r="E5659" i="116"/>
  <c r="D5659" i="116"/>
  <c r="C5659" i="116"/>
  <c r="B5659" i="116"/>
  <c r="K5658" i="116"/>
  <c r="J5658" i="116"/>
  <c r="I5658" i="116"/>
  <c r="H5658" i="116"/>
  <c r="G5658" i="116"/>
  <c r="F5658" i="116"/>
  <c r="E5658" i="116"/>
  <c r="D5658" i="116"/>
  <c r="C5658" i="116"/>
  <c r="B5658" i="116"/>
  <c r="K5657" i="116"/>
  <c r="J5657" i="116"/>
  <c r="I5657" i="116"/>
  <c r="H5657" i="116"/>
  <c r="G5657" i="116"/>
  <c r="F5657" i="116"/>
  <c r="E5657" i="116"/>
  <c r="D5657" i="116"/>
  <c r="C5657" i="116"/>
  <c r="B5657" i="116"/>
  <c r="K5656" i="116"/>
  <c r="J5656" i="116"/>
  <c r="I5656" i="116"/>
  <c r="H5656" i="116"/>
  <c r="G5656" i="116"/>
  <c r="F5656" i="116"/>
  <c r="E5656" i="116"/>
  <c r="D5656" i="116"/>
  <c r="C5656" i="116"/>
  <c r="B5656" i="116"/>
  <c r="K5655" i="116"/>
  <c r="J5655" i="116"/>
  <c r="I5655" i="116"/>
  <c r="H5655" i="116"/>
  <c r="G5655" i="116"/>
  <c r="F5655" i="116"/>
  <c r="E5655" i="116"/>
  <c r="D5655" i="116"/>
  <c r="C5655" i="116"/>
  <c r="B5655" i="116"/>
  <c r="K5654" i="116"/>
  <c r="J5654" i="116"/>
  <c r="I5654" i="116"/>
  <c r="H5654" i="116"/>
  <c r="G5654" i="116"/>
  <c r="F5654" i="116"/>
  <c r="E5654" i="116"/>
  <c r="D5654" i="116"/>
  <c r="C5654" i="116"/>
  <c r="B5654" i="116"/>
  <c r="K5653" i="116"/>
  <c r="J5653" i="116"/>
  <c r="I5653" i="116"/>
  <c r="H5653" i="116"/>
  <c r="G5653" i="116"/>
  <c r="F5653" i="116"/>
  <c r="E5653" i="116"/>
  <c r="D5653" i="116"/>
  <c r="C5653" i="116"/>
  <c r="B5653" i="116"/>
  <c r="K5652" i="116"/>
  <c r="J5652" i="116"/>
  <c r="I5652" i="116"/>
  <c r="H5652" i="116"/>
  <c r="G5652" i="116"/>
  <c r="F5652" i="116"/>
  <c r="E5652" i="116"/>
  <c r="D5652" i="116"/>
  <c r="C5652" i="116"/>
  <c r="B5652" i="116"/>
  <c r="K5651" i="116"/>
  <c r="J5651" i="116"/>
  <c r="I5651" i="116"/>
  <c r="H5651" i="116"/>
  <c r="G5651" i="116"/>
  <c r="F5651" i="116"/>
  <c r="E5651" i="116"/>
  <c r="D5651" i="116"/>
  <c r="C5651" i="116"/>
  <c r="B5651" i="116"/>
  <c r="K5650" i="116"/>
  <c r="J5650" i="116"/>
  <c r="I5650" i="116"/>
  <c r="H5650" i="116"/>
  <c r="G5650" i="116"/>
  <c r="F5650" i="116"/>
  <c r="E5650" i="116"/>
  <c r="D5650" i="116"/>
  <c r="C5650" i="116"/>
  <c r="B5650" i="116"/>
  <c r="K5649" i="116"/>
  <c r="J5649" i="116"/>
  <c r="I5649" i="116"/>
  <c r="H5649" i="116"/>
  <c r="G5649" i="116"/>
  <c r="F5649" i="116"/>
  <c r="E5649" i="116"/>
  <c r="D5649" i="116"/>
  <c r="C5649" i="116"/>
  <c r="B5649" i="116"/>
  <c r="K5648" i="116"/>
  <c r="J5648" i="116"/>
  <c r="I5648" i="116"/>
  <c r="H5648" i="116"/>
  <c r="G5648" i="116"/>
  <c r="F5648" i="116"/>
  <c r="E5648" i="116"/>
  <c r="D5648" i="116"/>
  <c r="C5648" i="116"/>
  <c r="B5648" i="116"/>
  <c r="K5647" i="116"/>
  <c r="J5647" i="116"/>
  <c r="I5647" i="116"/>
  <c r="H5647" i="116"/>
  <c r="G5647" i="116"/>
  <c r="F5647" i="116"/>
  <c r="E5647" i="116"/>
  <c r="D5647" i="116"/>
  <c r="C5647" i="116"/>
  <c r="B5647" i="116"/>
  <c r="K5646" i="116"/>
  <c r="J5646" i="116"/>
  <c r="I5646" i="116"/>
  <c r="H5646" i="116"/>
  <c r="G5646" i="116"/>
  <c r="F5646" i="116"/>
  <c r="E5646" i="116"/>
  <c r="D5646" i="116"/>
  <c r="C5646" i="116"/>
  <c r="B5646" i="116"/>
  <c r="K5645" i="116"/>
  <c r="J5645" i="116"/>
  <c r="I5645" i="116"/>
  <c r="H5645" i="116"/>
  <c r="G5645" i="116"/>
  <c r="F5645" i="116"/>
  <c r="E5645" i="116"/>
  <c r="D5645" i="116"/>
  <c r="C5645" i="116"/>
  <c r="B5645" i="116"/>
  <c r="K5644" i="116"/>
  <c r="J5644" i="116"/>
  <c r="I5644" i="116"/>
  <c r="H5644" i="116"/>
  <c r="G5644" i="116"/>
  <c r="F5644" i="116"/>
  <c r="E5644" i="116"/>
  <c r="D5644" i="116"/>
  <c r="C5644" i="116"/>
  <c r="B5644" i="116"/>
  <c r="K5643" i="116"/>
  <c r="J5643" i="116"/>
  <c r="I5643" i="116"/>
  <c r="H5643" i="116"/>
  <c r="G5643" i="116"/>
  <c r="F5643" i="116"/>
  <c r="E5643" i="116"/>
  <c r="D5643" i="116"/>
  <c r="C5643" i="116"/>
  <c r="B5643" i="116"/>
  <c r="K5642" i="116"/>
  <c r="J5642" i="116"/>
  <c r="I5642" i="116"/>
  <c r="H5642" i="116"/>
  <c r="G5642" i="116"/>
  <c r="F5642" i="116"/>
  <c r="E5642" i="116"/>
  <c r="D5642" i="116"/>
  <c r="C5642" i="116"/>
  <c r="B5642" i="116"/>
  <c r="K5641" i="116"/>
  <c r="J5641" i="116"/>
  <c r="I5641" i="116"/>
  <c r="H5641" i="116"/>
  <c r="G5641" i="116"/>
  <c r="F5641" i="116"/>
  <c r="E5641" i="116"/>
  <c r="D5641" i="116"/>
  <c r="C5641" i="116"/>
  <c r="B5641" i="116"/>
  <c r="K5640" i="116"/>
  <c r="J5640" i="116"/>
  <c r="I5640" i="116"/>
  <c r="H5640" i="116"/>
  <c r="G5640" i="116"/>
  <c r="F5640" i="116"/>
  <c r="E5640" i="116"/>
  <c r="D5640" i="116"/>
  <c r="C5640" i="116"/>
  <c r="B5640" i="116"/>
  <c r="K5639" i="116"/>
  <c r="J5639" i="116"/>
  <c r="I5639" i="116"/>
  <c r="H5639" i="116"/>
  <c r="G5639" i="116"/>
  <c r="F5639" i="116"/>
  <c r="E5639" i="116"/>
  <c r="D5639" i="116"/>
  <c r="C5639" i="116"/>
  <c r="B5639" i="116"/>
  <c r="K5638" i="116"/>
  <c r="J5638" i="116"/>
  <c r="I5638" i="116"/>
  <c r="H5638" i="116"/>
  <c r="G5638" i="116"/>
  <c r="F5638" i="116"/>
  <c r="E5638" i="116"/>
  <c r="D5638" i="116"/>
  <c r="C5638" i="116"/>
  <c r="B5638" i="116"/>
  <c r="K5637" i="116"/>
  <c r="J5637" i="116"/>
  <c r="I5637" i="116"/>
  <c r="H5637" i="116"/>
  <c r="G5637" i="116"/>
  <c r="F5637" i="116"/>
  <c r="E5637" i="116"/>
  <c r="D5637" i="116"/>
  <c r="C5637" i="116"/>
  <c r="B5637" i="116"/>
  <c r="K5636" i="116"/>
  <c r="J5636" i="116"/>
  <c r="I5636" i="116"/>
  <c r="H5636" i="116"/>
  <c r="G5636" i="116"/>
  <c r="F5636" i="116"/>
  <c r="E5636" i="116"/>
  <c r="D5636" i="116"/>
  <c r="C5636" i="116"/>
  <c r="B5636" i="116"/>
  <c r="K5635" i="116"/>
  <c r="J5635" i="116"/>
  <c r="I5635" i="116"/>
  <c r="H5635" i="116"/>
  <c r="G5635" i="116"/>
  <c r="F5635" i="116"/>
  <c r="E5635" i="116"/>
  <c r="D5635" i="116"/>
  <c r="C5635" i="116"/>
  <c r="B5635" i="116"/>
  <c r="K5634" i="116"/>
  <c r="J5634" i="116"/>
  <c r="I5634" i="116"/>
  <c r="H5634" i="116"/>
  <c r="G5634" i="116"/>
  <c r="F5634" i="116"/>
  <c r="E5634" i="116"/>
  <c r="D5634" i="116"/>
  <c r="C5634" i="116"/>
  <c r="B5634" i="116"/>
  <c r="K5633" i="116"/>
  <c r="J5633" i="116"/>
  <c r="I5633" i="116"/>
  <c r="H5633" i="116"/>
  <c r="G5633" i="116"/>
  <c r="F5633" i="116"/>
  <c r="E5633" i="116"/>
  <c r="D5633" i="116"/>
  <c r="C5633" i="116"/>
  <c r="B5633" i="116"/>
  <c r="K5632" i="116"/>
  <c r="J5632" i="116"/>
  <c r="I5632" i="116"/>
  <c r="H5632" i="116"/>
  <c r="G5632" i="116"/>
  <c r="F5632" i="116"/>
  <c r="E5632" i="116"/>
  <c r="D5632" i="116"/>
  <c r="C5632" i="116"/>
  <c r="B5632" i="116"/>
  <c r="K5631" i="116"/>
  <c r="J5631" i="116"/>
  <c r="I5631" i="116"/>
  <c r="H5631" i="116"/>
  <c r="G5631" i="116"/>
  <c r="F5631" i="116"/>
  <c r="E5631" i="116"/>
  <c r="D5631" i="116"/>
  <c r="C5631" i="116"/>
  <c r="B5631" i="116"/>
  <c r="K5630" i="116"/>
  <c r="J5630" i="116"/>
  <c r="I5630" i="116"/>
  <c r="H5630" i="116"/>
  <c r="G5630" i="116"/>
  <c r="F5630" i="116"/>
  <c r="E5630" i="116"/>
  <c r="D5630" i="116"/>
  <c r="C5630" i="116"/>
  <c r="B5630" i="116"/>
  <c r="K5629" i="116"/>
  <c r="J5629" i="116"/>
  <c r="I5629" i="116"/>
  <c r="H5629" i="116"/>
  <c r="G5629" i="116"/>
  <c r="F5629" i="116"/>
  <c r="E5629" i="116"/>
  <c r="D5629" i="116"/>
  <c r="C5629" i="116"/>
  <c r="B5629" i="116"/>
  <c r="K5628" i="116"/>
  <c r="J5628" i="116"/>
  <c r="I5628" i="116"/>
  <c r="H5628" i="116"/>
  <c r="G5628" i="116"/>
  <c r="F5628" i="116"/>
  <c r="E5628" i="116"/>
  <c r="D5628" i="116"/>
  <c r="C5628" i="116"/>
  <c r="B5628" i="116"/>
  <c r="K5627" i="116"/>
  <c r="J5627" i="116"/>
  <c r="I5627" i="116"/>
  <c r="H5627" i="116"/>
  <c r="G5627" i="116"/>
  <c r="F5627" i="116"/>
  <c r="E5627" i="116"/>
  <c r="D5627" i="116"/>
  <c r="C5627" i="116"/>
  <c r="B5627" i="116"/>
  <c r="K5626" i="116"/>
  <c r="J5626" i="116"/>
  <c r="I5626" i="116"/>
  <c r="H5626" i="116"/>
  <c r="G5626" i="116"/>
  <c r="F5626" i="116"/>
  <c r="E5626" i="116"/>
  <c r="D5626" i="116"/>
  <c r="C5626" i="116"/>
  <c r="B5626" i="116"/>
  <c r="K5625" i="116"/>
  <c r="J5625" i="116"/>
  <c r="I5625" i="116"/>
  <c r="H5625" i="116"/>
  <c r="G5625" i="116"/>
  <c r="F5625" i="116"/>
  <c r="E5625" i="116"/>
  <c r="D5625" i="116"/>
  <c r="C5625" i="116"/>
  <c r="B5625" i="116"/>
  <c r="K5624" i="116"/>
  <c r="J5624" i="116"/>
  <c r="I5624" i="116"/>
  <c r="H5624" i="116"/>
  <c r="G5624" i="116"/>
  <c r="F5624" i="116"/>
  <c r="E5624" i="116"/>
  <c r="D5624" i="116"/>
  <c r="C5624" i="116"/>
  <c r="B5624" i="116"/>
  <c r="K5623" i="116"/>
  <c r="J5623" i="116"/>
  <c r="I5623" i="116"/>
  <c r="H5623" i="116"/>
  <c r="G5623" i="116"/>
  <c r="F5623" i="116"/>
  <c r="E5623" i="116"/>
  <c r="D5623" i="116"/>
  <c r="C5623" i="116"/>
  <c r="B5623" i="116"/>
  <c r="K5622" i="116"/>
  <c r="J5622" i="116"/>
  <c r="I5622" i="116"/>
  <c r="H5622" i="116"/>
  <c r="G5622" i="116"/>
  <c r="F5622" i="116"/>
  <c r="E5622" i="116"/>
  <c r="D5622" i="116"/>
  <c r="C5622" i="116"/>
  <c r="B5622" i="116"/>
  <c r="K5621" i="116"/>
  <c r="J5621" i="116"/>
  <c r="I5621" i="116"/>
  <c r="H5621" i="116"/>
  <c r="G5621" i="116"/>
  <c r="F5621" i="116"/>
  <c r="E5621" i="116"/>
  <c r="D5621" i="116"/>
  <c r="C5621" i="116"/>
  <c r="B5621" i="116"/>
  <c r="K5620" i="116"/>
  <c r="J5620" i="116"/>
  <c r="I5620" i="116"/>
  <c r="H5620" i="116"/>
  <c r="G5620" i="116"/>
  <c r="F5620" i="116"/>
  <c r="E5620" i="116"/>
  <c r="D5620" i="116"/>
  <c r="C5620" i="116"/>
  <c r="B5620" i="116"/>
  <c r="K5619" i="116"/>
  <c r="J5619" i="116"/>
  <c r="I5619" i="116"/>
  <c r="H5619" i="116"/>
  <c r="G5619" i="116"/>
  <c r="F5619" i="116"/>
  <c r="E5619" i="116"/>
  <c r="D5619" i="116"/>
  <c r="C5619" i="116"/>
  <c r="B5619" i="116"/>
  <c r="K5618" i="116"/>
  <c r="J5618" i="116"/>
  <c r="I5618" i="116"/>
  <c r="H5618" i="116"/>
  <c r="G5618" i="116"/>
  <c r="F5618" i="116"/>
  <c r="E5618" i="116"/>
  <c r="D5618" i="116"/>
  <c r="C5618" i="116"/>
  <c r="B5618" i="116"/>
  <c r="K5617" i="116"/>
  <c r="J5617" i="116"/>
  <c r="I5617" i="116"/>
  <c r="H5617" i="116"/>
  <c r="G5617" i="116"/>
  <c r="F5617" i="116"/>
  <c r="E5617" i="116"/>
  <c r="D5617" i="116"/>
  <c r="C5617" i="116"/>
  <c r="B5617" i="116"/>
  <c r="K5616" i="116"/>
  <c r="J5616" i="116"/>
  <c r="I5616" i="116"/>
  <c r="H5616" i="116"/>
  <c r="G5616" i="116"/>
  <c r="F5616" i="116"/>
  <c r="E5616" i="116"/>
  <c r="D5616" i="116"/>
  <c r="C5616" i="116"/>
  <c r="B5616" i="116"/>
  <c r="K5615" i="116"/>
  <c r="J5615" i="116"/>
  <c r="I5615" i="116"/>
  <c r="H5615" i="116"/>
  <c r="G5615" i="116"/>
  <c r="F5615" i="116"/>
  <c r="E5615" i="116"/>
  <c r="D5615" i="116"/>
  <c r="C5615" i="116"/>
  <c r="B5615" i="116"/>
  <c r="K5614" i="116"/>
  <c r="J5614" i="116"/>
  <c r="I5614" i="116"/>
  <c r="H5614" i="116"/>
  <c r="G5614" i="116"/>
  <c r="F5614" i="116"/>
  <c r="E5614" i="116"/>
  <c r="D5614" i="116"/>
  <c r="C5614" i="116"/>
  <c r="B5614" i="116"/>
  <c r="K5613" i="116"/>
  <c r="J5613" i="116"/>
  <c r="I5613" i="116"/>
  <c r="H5613" i="116"/>
  <c r="G5613" i="116"/>
  <c r="F5613" i="116"/>
  <c r="E5613" i="116"/>
  <c r="D5613" i="116"/>
  <c r="C5613" i="116"/>
  <c r="B5613" i="116"/>
  <c r="K5612" i="116"/>
  <c r="J5612" i="116"/>
  <c r="I5612" i="116"/>
  <c r="H5612" i="116"/>
  <c r="G5612" i="116"/>
  <c r="F5612" i="116"/>
  <c r="E5612" i="116"/>
  <c r="D5612" i="116"/>
  <c r="C5612" i="116"/>
  <c r="B5612" i="116"/>
  <c r="K5611" i="116"/>
  <c r="J5611" i="116"/>
  <c r="I5611" i="116"/>
  <c r="H5611" i="116"/>
  <c r="G5611" i="116"/>
  <c r="F5611" i="116"/>
  <c r="E5611" i="116"/>
  <c r="D5611" i="116"/>
  <c r="C5611" i="116"/>
  <c r="B5611" i="116"/>
  <c r="K5610" i="116"/>
  <c r="J5610" i="116"/>
  <c r="I5610" i="116"/>
  <c r="H5610" i="116"/>
  <c r="G5610" i="116"/>
  <c r="F5610" i="116"/>
  <c r="E5610" i="116"/>
  <c r="D5610" i="116"/>
  <c r="C5610" i="116"/>
  <c r="B5610" i="116"/>
  <c r="K5609" i="116"/>
  <c r="J5609" i="116"/>
  <c r="I5609" i="116"/>
  <c r="H5609" i="116"/>
  <c r="G5609" i="116"/>
  <c r="F5609" i="116"/>
  <c r="E5609" i="116"/>
  <c r="D5609" i="116"/>
  <c r="C5609" i="116"/>
  <c r="B5609" i="116"/>
  <c r="K5608" i="116"/>
  <c r="J5608" i="116"/>
  <c r="I5608" i="116"/>
  <c r="H5608" i="116"/>
  <c r="G5608" i="116"/>
  <c r="F5608" i="116"/>
  <c r="E5608" i="116"/>
  <c r="D5608" i="116"/>
  <c r="C5608" i="116"/>
  <c r="B5608" i="116"/>
  <c r="K5607" i="116"/>
  <c r="J5607" i="116"/>
  <c r="I5607" i="116"/>
  <c r="H5607" i="116"/>
  <c r="G5607" i="116"/>
  <c r="F5607" i="116"/>
  <c r="E5607" i="116"/>
  <c r="D5607" i="116"/>
  <c r="C5607" i="116"/>
  <c r="B5607" i="116"/>
  <c r="K5606" i="116"/>
  <c r="J5606" i="116"/>
  <c r="I5606" i="116"/>
  <c r="H5606" i="116"/>
  <c r="G5606" i="116"/>
  <c r="F5606" i="116"/>
  <c r="E5606" i="116"/>
  <c r="D5606" i="116"/>
  <c r="C5606" i="116"/>
  <c r="B5606" i="116"/>
  <c r="K5605" i="116"/>
  <c r="J5605" i="116"/>
  <c r="I5605" i="116"/>
  <c r="H5605" i="116"/>
  <c r="G5605" i="116"/>
  <c r="F5605" i="116"/>
  <c r="E5605" i="116"/>
  <c r="D5605" i="116"/>
  <c r="C5605" i="116"/>
  <c r="B5605" i="116"/>
  <c r="K5604" i="116"/>
  <c r="J5604" i="116"/>
  <c r="I5604" i="116"/>
  <c r="H5604" i="116"/>
  <c r="G5604" i="116"/>
  <c r="F5604" i="116"/>
  <c r="E5604" i="116"/>
  <c r="D5604" i="116"/>
  <c r="C5604" i="116"/>
  <c r="B5604" i="116"/>
  <c r="K5603" i="116"/>
  <c r="J5603" i="116"/>
  <c r="I5603" i="116"/>
  <c r="H5603" i="116"/>
  <c r="G5603" i="116"/>
  <c r="F5603" i="116"/>
  <c r="E5603" i="116"/>
  <c r="D5603" i="116"/>
  <c r="C5603" i="116"/>
  <c r="B5603" i="116"/>
  <c r="K5602" i="116"/>
  <c r="J5602" i="116"/>
  <c r="I5602" i="116"/>
  <c r="H5602" i="116"/>
  <c r="G5602" i="116"/>
  <c r="F5602" i="116"/>
  <c r="E5602" i="116"/>
  <c r="D5602" i="116"/>
  <c r="C5602" i="116"/>
  <c r="B5602" i="116"/>
  <c r="K5601" i="116"/>
  <c r="J5601" i="116"/>
  <c r="I5601" i="116"/>
  <c r="H5601" i="116"/>
  <c r="G5601" i="116"/>
  <c r="F5601" i="116"/>
  <c r="E5601" i="116"/>
  <c r="D5601" i="116"/>
  <c r="C5601" i="116"/>
  <c r="B5601" i="116"/>
  <c r="K5600" i="116"/>
  <c r="J5600" i="116"/>
  <c r="I5600" i="116"/>
  <c r="H5600" i="116"/>
  <c r="G5600" i="116"/>
  <c r="F5600" i="116"/>
  <c r="E5600" i="116"/>
  <c r="D5600" i="116"/>
  <c r="C5600" i="116"/>
  <c r="B5600" i="116"/>
  <c r="K5599" i="116"/>
  <c r="J5599" i="116"/>
  <c r="I5599" i="116"/>
  <c r="H5599" i="116"/>
  <c r="G5599" i="116"/>
  <c r="F5599" i="116"/>
  <c r="E5599" i="116"/>
  <c r="D5599" i="116"/>
  <c r="C5599" i="116"/>
  <c r="B5599" i="116"/>
  <c r="K5598" i="116"/>
  <c r="J5598" i="116"/>
  <c r="I5598" i="116"/>
  <c r="H5598" i="116"/>
  <c r="G5598" i="116"/>
  <c r="F5598" i="116"/>
  <c r="E5598" i="116"/>
  <c r="D5598" i="116"/>
  <c r="C5598" i="116"/>
  <c r="B5598" i="116"/>
  <c r="K5597" i="116"/>
  <c r="J5597" i="116"/>
  <c r="I5597" i="116"/>
  <c r="H5597" i="116"/>
  <c r="G5597" i="116"/>
  <c r="F5597" i="116"/>
  <c r="E5597" i="116"/>
  <c r="D5597" i="116"/>
  <c r="C5597" i="116"/>
  <c r="B5597" i="116"/>
  <c r="K5596" i="116"/>
  <c r="J5596" i="116"/>
  <c r="I5596" i="116"/>
  <c r="H5596" i="116"/>
  <c r="G5596" i="116"/>
  <c r="F5596" i="116"/>
  <c r="E5596" i="116"/>
  <c r="D5596" i="116"/>
  <c r="C5596" i="116"/>
  <c r="B5596" i="116"/>
  <c r="K5595" i="116"/>
  <c r="J5595" i="116"/>
  <c r="I5595" i="116"/>
  <c r="H5595" i="116"/>
  <c r="G5595" i="116"/>
  <c r="F5595" i="116"/>
  <c r="E5595" i="116"/>
  <c r="D5595" i="116"/>
  <c r="C5595" i="116"/>
  <c r="B5595" i="116"/>
  <c r="K5594" i="116"/>
  <c r="J5594" i="116"/>
  <c r="I5594" i="116"/>
  <c r="H5594" i="116"/>
  <c r="G5594" i="116"/>
  <c r="F5594" i="116"/>
  <c r="E5594" i="116"/>
  <c r="D5594" i="116"/>
  <c r="C5594" i="116"/>
  <c r="B5594" i="116"/>
  <c r="K5593" i="116"/>
  <c r="J5593" i="116"/>
  <c r="I5593" i="116"/>
  <c r="H5593" i="116"/>
  <c r="G5593" i="116"/>
  <c r="F5593" i="116"/>
  <c r="E5593" i="116"/>
  <c r="D5593" i="116"/>
  <c r="C5593" i="116"/>
  <c r="B5593" i="116"/>
  <c r="K5592" i="116"/>
  <c r="J5592" i="116"/>
  <c r="I5592" i="116"/>
  <c r="H5592" i="116"/>
  <c r="G5592" i="116"/>
  <c r="F5592" i="116"/>
  <c r="E5592" i="116"/>
  <c r="D5592" i="116"/>
  <c r="C5592" i="116"/>
  <c r="B5592" i="116"/>
  <c r="K5591" i="116"/>
  <c r="J5591" i="116"/>
  <c r="I5591" i="116"/>
  <c r="H5591" i="116"/>
  <c r="G5591" i="116"/>
  <c r="F5591" i="116"/>
  <c r="E5591" i="116"/>
  <c r="D5591" i="116"/>
  <c r="C5591" i="116"/>
  <c r="B5591" i="116"/>
  <c r="K5590" i="116"/>
  <c r="J5590" i="116"/>
  <c r="I5590" i="116"/>
  <c r="H5590" i="116"/>
  <c r="G5590" i="116"/>
  <c r="F5590" i="116"/>
  <c r="E5590" i="116"/>
  <c r="D5590" i="116"/>
  <c r="C5590" i="116"/>
  <c r="B5590" i="116"/>
  <c r="K5589" i="116"/>
  <c r="J5589" i="116"/>
  <c r="I5589" i="116"/>
  <c r="H5589" i="116"/>
  <c r="G5589" i="116"/>
  <c r="F5589" i="116"/>
  <c r="E5589" i="116"/>
  <c r="D5589" i="116"/>
  <c r="C5589" i="116"/>
  <c r="B5589" i="116"/>
  <c r="K5588" i="116"/>
  <c r="J5588" i="116"/>
  <c r="I5588" i="116"/>
  <c r="H5588" i="116"/>
  <c r="G5588" i="116"/>
  <c r="F5588" i="116"/>
  <c r="E5588" i="116"/>
  <c r="D5588" i="116"/>
  <c r="C5588" i="116"/>
  <c r="B5588" i="116"/>
  <c r="K5587" i="116"/>
  <c r="J5587" i="116"/>
  <c r="I5587" i="116"/>
  <c r="H5587" i="116"/>
  <c r="G5587" i="116"/>
  <c r="F5587" i="116"/>
  <c r="E5587" i="116"/>
  <c r="D5587" i="116"/>
  <c r="C5587" i="116"/>
  <c r="B5587" i="116"/>
  <c r="K5586" i="116"/>
  <c r="J5586" i="116"/>
  <c r="I5586" i="116"/>
  <c r="H5586" i="116"/>
  <c r="G5586" i="116"/>
  <c r="F5586" i="116"/>
  <c r="E5586" i="116"/>
  <c r="D5586" i="116"/>
  <c r="C5586" i="116"/>
  <c r="B5586" i="116"/>
  <c r="K5585" i="116"/>
  <c r="J5585" i="116"/>
  <c r="I5585" i="116"/>
  <c r="H5585" i="116"/>
  <c r="G5585" i="116"/>
  <c r="F5585" i="116"/>
  <c r="E5585" i="116"/>
  <c r="D5585" i="116"/>
  <c r="C5585" i="116"/>
  <c r="B5585" i="116"/>
  <c r="K5584" i="116"/>
  <c r="J5584" i="116"/>
  <c r="I5584" i="116"/>
  <c r="H5584" i="116"/>
  <c r="G5584" i="116"/>
  <c r="F5584" i="116"/>
  <c r="E5584" i="116"/>
  <c r="D5584" i="116"/>
  <c r="C5584" i="116"/>
  <c r="B5584" i="116"/>
  <c r="K5583" i="116"/>
  <c r="J5583" i="116"/>
  <c r="I5583" i="116"/>
  <c r="H5583" i="116"/>
  <c r="G5583" i="116"/>
  <c r="F5583" i="116"/>
  <c r="E5583" i="116"/>
  <c r="D5583" i="116"/>
  <c r="C5583" i="116"/>
  <c r="B5583" i="116"/>
  <c r="K5582" i="116"/>
  <c r="J5582" i="116"/>
  <c r="I5582" i="116"/>
  <c r="H5582" i="116"/>
  <c r="G5582" i="116"/>
  <c r="F5582" i="116"/>
  <c r="E5582" i="116"/>
  <c r="D5582" i="116"/>
  <c r="C5582" i="116"/>
  <c r="B5582" i="116"/>
  <c r="K5581" i="116"/>
  <c r="J5581" i="116"/>
  <c r="I5581" i="116"/>
  <c r="H5581" i="116"/>
  <c r="G5581" i="116"/>
  <c r="F5581" i="116"/>
  <c r="E5581" i="116"/>
  <c r="D5581" i="116"/>
  <c r="C5581" i="116"/>
  <c r="B5581" i="116"/>
  <c r="K5580" i="116"/>
  <c r="J5580" i="116"/>
  <c r="I5580" i="116"/>
  <c r="H5580" i="116"/>
  <c r="G5580" i="116"/>
  <c r="F5580" i="116"/>
  <c r="E5580" i="116"/>
  <c r="D5580" i="116"/>
  <c r="C5580" i="116"/>
  <c r="B5580" i="116"/>
  <c r="K5579" i="116"/>
  <c r="J5579" i="116"/>
  <c r="I5579" i="116"/>
  <c r="H5579" i="116"/>
  <c r="G5579" i="116"/>
  <c r="F5579" i="116"/>
  <c r="E5579" i="116"/>
  <c r="D5579" i="116"/>
  <c r="C5579" i="116"/>
  <c r="B5579" i="116"/>
  <c r="K5578" i="116"/>
  <c r="J5578" i="116"/>
  <c r="I5578" i="116"/>
  <c r="H5578" i="116"/>
  <c r="G5578" i="116"/>
  <c r="F5578" i="116"/>
  <c r="E5578" i="116"/>
  <c r="D5578" i="116"/>
  <c r="C5578" i="116"/>
  <c r="B5578" i="116"/>
  <c r="K5577" i="116"/>
  <c r="J5577" i="116"/>
  <c r="I5577" i="116"/>
  <c r="H5577" i="116"/>
  <c r="G5577" i="116"/>
  <c r="F5577" i="116"/>
  <c r="E5577" i="116"/>
  <c r="D5577" i="116"/>
  <c r="C5577" i="116"/>
  <c r="B5577" i="116"/>
  <c r="K5576" i="116"/>
  <c r="J5576" i="116"/>
  <c r="I5576" i="116"/>
  <c r="H5576" i="116"/>
  <c r="G5576" i="116"/>
  <c r="F5576" i="116"/>
  <c r="E5576" i="116"/>
  <c r="D5576" i="116"/>
  <c r="C5576" i="116"/>
  <c r="B5576" i="116"/>
  <c r="K5575" i="116"/>
  <c r="J5575" i="116"/>
  <c r="I5575" i="116"/>
  <c r="H5575" i="116"/>
  <c r="G5575" i="116"/>
  <c r="F5575" i="116"/>
  <c r="E5575" i="116"/>
  <c r="D5575" i="116"/>
  <c r="C5575" i="116"/>
  <c r="B5575" i="116"/>
  <c r="K5574" i="116"/>
  <c r="J5574" i="116"/>
  <c r="I5574" i="116"/>
  <c r="H5574" i="116"/>
  <c r="G5574" i="116"/>
  <c r="F5574" i="116"/>
  <c r="E5574" i="116"/>
  <c r="D5574" i="116"/>
  <c r="C5574" i="116"/>
  <c r="B5574" i="116"/>
  <c r="K5573" i="116"/>
  <c r="J5573" i="116"/>
  <c r="I5573" i="116"/>
  <c r="H5573" i="116"/>
  <c r="G5573" i="116"/>
  <c r="F5573" i="116"/>
  <c r="E5573" i="116"/>
  <c r="D5573" i="116"/>
  <c r="C5573" i="116"/>
  <c r="B5573" i="116"/>
  <c r="K5572" i="116"/>
  <c r="J5572" i="116"/>
  <c r="I5572" i="116"/>
  <c r="H5572" i="116"/>
  <c r="G5572" i="116"/>
  <c r="F5572" i="116"/>
  <c r="E5572" i="116"/>
  <c r="D5572" i="116"/>
  <c r="C5572" i="116"/>
  <c r="B5572" i="116"/>
  <c r="K5571" i="116"/>
  <c r="J5571" i="116"/>
  <c r="I5571" i="116"/>
  <c r="H5571" i="116"/>
  <c r="G5571" i="116"/>
  <c r="F5571" i="116"/>
  <c r="E5571" i="116"/>
  <c r="D5571" i="116"/>
  <c r="C5571" i="116"/>
  <c r="B5571" i="116"/>
  <c r="K5570" i="116"/>
  <c r="J5570" i="116"/>
  <c r="I5570" i="116"/>
  <c r="H5570" i="116"/>
  <c r="G5570" i="116"/>
  <c r="F5570" i="116"/>
  <c r="E5570" i="116"/>
  <c r="D5570" i="116"/>
  <c r="C5570" i="116"/>
  <c r="B5570" i="116"/>
  <c r="K5569" i="116"/>
  <c r="J5569" i="116"/>
  <c r="I5569" i="116"/>
  <c r="H5569" i="116"/>
  <c r="G5569" i="116"/>
  <c r="F5569" i="116"/>
  <c r="E5569" i="116"/>
  <c r="D5569" i="116"/>
  <c r="C5569" i="116"/>
  <c r="B5569" i="116"/>
  <c r="K5568" i="116"/>
  <c r="J5568" i="116"/>
  <c r="I5568" i="116"/>
  <c r="H5568" i="116"/>
  <c r="G5568" i="116"/>
  <c r="F5568" i="116"/>
  <c r="E5568" i="116"/>
  <c r="D5568" i="116"/>
  <c r="C5568" i="116"/>
  <c r="B5568" i="116"/>
  <c r="K5567" i="116"/>
  <c r="J5567" i="116"/>
  <c r="I5567" i="116"/>
  <c r="H5567" i="116"/>
  <c r="G5567" i="116"/>
  <c r="F5567" i="116"/>
  <c r="E5567" i="116"/>
  <c r="D5567" i="116"/>
  <c r="C5567" i="116"/>
  <c r="B5567" i="116"/>
  <c r="K5566" i="116"/>
  <c r="J5566" i="116"/>
  <c r="I5566" i="116"/>
  <c r="H5566" i="116"/>
  <c r="G5566" i="116"/>
  <c r="F5566" i="116"/>
  <c r="E5566" i="116"/>
  <c r="D5566" i="116"/>
  <c r="C5566" i="116"/>
  <c r="B5566" i="116"/>
  <c r="K5565" i="116"/>
  <c r="J5565" i="116"/>
  <c r="I5565" i="116"/>
  <c r="H5565" i="116"/>
  <c r="G5565" i="116"/>
  <c r="F5565" i="116"/>
  <c r="E5565" i="116"/>
  <c r="D5565" i="116"/>
  <c r="C5565" i="116"/>
  <c r="B5565" i="116"/>
  <c r="K5564" i="116"/>
  <c r="J5564" i="116"/>
  <c r="I5564" i="116"/>
  <c r="H5564" i="116"/>
  <c r="G5564" i="116"/>
  <c r="F5564" i="116"/>
  <c r="E5564" i="116"/>
  <c r="D5564" i="116"/>
  <c r="C5564" i="116"/>
  <c r="B5564" i="116"/>
  <c r="K5563" i="116"/>
  <c r="J5563" i="116"/>
  <c r="I5563" i="116"/>
  <c r="H5563" i="116"/>
  <c r="G5563" i="116"/>
  <c r="F5563" i="116"/>
  <c r="E5563" i="116"/>
  <c r="D5563" i="116"/>
  <c r="C5563" i="116"/>
  <c r="B5563" i="116"/>
  <c r="K5562" i="116"/>
  <c r="J5562" i="116"/>
  <c r="I5562" i="116"/>
  <c r="H5562" i="116"/>
  <c r="G5562" i="116"/>
  <c r="F5562" i="116"/>
  <c r="E5562" i="116"/>
  <c r="D5562" i="116"/>
  <c r="C5562" i="116"/>
  <c r="B5562" i="116"/>
  <c r="K5561" i="116"/>
  <c r="J5561" i="116"/>
  <c r="I5561" i="116"/>
  <c r="H5561" i="116"/>
  <c r="G5561" i="116"/>
  <c r="F5561" i="116"/>
  <c r="E5561" i="116"/>
  <c r="D5561" i="116"/>
  <c r="C5561" i="116"/>
  <c r="B5561" i="116"/>
  <c r="K5560" i="116"/>
  <c r="J5560" i="116"/>
  <c r="I5560" i="116"/>
  <c r="H5560" i="116"/>
  <c r="G5560" i="116"/>
  <c r="F5560" i="116"/>
  <c r="E5560" i="116"/>
  <c r="D5560" i="116"/>
  <c r="C5560" i="116"/>
  <c r="B5560" i="116"/>
  <c r="K5559" i="116"/>
  <c r="J5559" i="116"/>
  <c r="I5559" i="116"/>
  <c r="H5559" i="116"/>
  <c r="G5559" i="116"/>
  <c r="F5559" i="116"/>
  <c r="E5559" i="116"/>
  <c r="D5559" i="116"/>
  <c r="C5559" i="116"/>
  <c r="B5559" i="116"/>
  <c r="K5558" i="116"/>
  <c r="J5558" i="116"/>
  <c r="I5558" i="116"/>
  <c r="H5558" i="116"/>
  <c r="G5558" i="116"/>
  <c r="F5558" i="116"/>
  <c r="E5558" i="116"/>
  <c r="D5558" i="116"/>
  <c r="C5558" i="116"/>
  <c r="B5558" i="116"/>
  <c r="K5557" i="116"/>
  <c r="J5557" i="116"/>
  <c r="I5557" i="116"/>
  <c r="H5557" i="116"/>
  <c r="G5557" i="116"/>
  <c r="F5557" i="116"/>
  <c r="E5557" i="116"/>
  <c r="D5557" i="116"/>
  <c r="C5557" i="116"/>
  <c r="B5557" i="116"/>
  <c r="K5556" i="116"/>
  <c r="J5556" i="116"/>
  <c r="I5556" i="116"/>
  <c r="H5556" i="116"/>
  <c r="G5556" i="116"/>
  <c r="F5556" i="116"/>
  <c r="E5556" i="116"/>
  <c r="D5556" i="116"/>
  <c r="C5556" i="116"/>
  <c r="B5556" i="116"/>
  <c r="K5555" i="116"/>
  <c r="J5555" i="116"/>
  <c r="I5555" i="116"/>
  <c r="H5555" i="116"/>
  <c r="G5555" i="116"/>
  <c r="F5555" i="116"/>
  <c r="E5555" i="116"/>
  <c r="D5555" i="116"/>
  <c r="C5555" i="116"/>
  <c r="B5555" i="116"/>
  <c r="K5554" i="116"/>
  <c r="J5554" i="116"/>
  <c r="I5554" i="116"/>
  <c r="H5554" i="116"/>
  <c r="G5554" i="116"/>
  <c r="F5554" i="116"/>
  <c r="E5554" i="116"/>
  <c r="D5554" i="116"/>
  <c r="C5554" i="116"/>
  <c r="B5554" i="116"/>
  <c r="K5553" i="116"/>
  <c r="J5553" i="116"/>
  <c r="I5553" i="116"/>
  <c r="H5553" i="116"/>
  <c r="G5553" i="116"/>
  <c r="F5553" i="116"/>
  <c r="E5553" i="116"/>
  <c r="D5553" i="116"/>
  <c r="C5553" i="116"/>
  <c r="B5553" i="116"/>
  <c r="K5552" i="116"/>
  <c r="J5552" i="116"/>
  <c r="I5552" i="116"/>
  <c r="H5552" i="116"/>
  <c r="G5552" i="116"/>
  <c r="F5552" i="116"/>
  <c r="E5552" i="116"/>
  <c r="D5552" i="116"/>
  <c r="C5552" i="116"/>
  <c r="B5552" i="116"/>
  <c r="K5551" i="116"/>
  <c r="J5551" i="116"/>
  <c r="I5551" i="116"/>
  <c r="H5551" i="116"/>
  <c r="G5551" i="116"/>
  <c r="F5551" i="116"/>
  <c r="E5551" i="116"/>
  <c r="D5551" i="116"/>
  <c r="C5551" i="116"/>
  <c r="B5551" i="116"/>
  <c r="K5550" i="116"/>
  <c r="J5550" i="116"/>
  <c r="I5550" i="116"/>
  <c r="H5550" i="116"/>
  <c r="G5550" i="116"/>
  <c r="F5550" i="116"/>
  <c r="E5550" i="116"/>
  <c r="D5550" i="116"/>
  <c r="C5550" i="116"/>
  <c r="B5550" i="116"/>
  <c r="K5549" i="116"/>
  <c r="J5549" i="116"/>
  <c r="I5549" i="116"/>
  <c r="H5549" i="116"/>
  <c r="G5549" i="116"/>
  <c r="F5549" i="116"/>
  <c r="E5549" i="116"/>
  <c r="D5549" i="116"/>
  <c r="C5549" i="116"/>
  <c r="B5549" i="116"/>
  <c r="K5548" i="116"/>
  <c r="J5548" i="116"/>
  <c r="I5548" i="116"/>
  <c r="H5548" i="116"/>
  <c r="G5548" i="116"/>
  <c r="F5548" i="116"/>
  <c r="E5548" i="116"/>
  <c r="D5548" i="116"/>
  <c r="C5548" i="116"/>
  <c r="B5548" i="116"/>
  <c r="K5547" i="116"/>
  <c r="J5547" i="116"/>
  <c r="I5547" i="116"/>
  <c r="H5547" i="116"/>
  <c r="G5547" i="116"/>
  <c r="F5547" i="116"/>
  <c r="E5547" i="116"/>
  <c r="D5547" i="116"/>
  <c r="C5547" i="116"/>
  <c r="B5547" i="116"/>
  <c r="K5546" i="116"/>
  <c r="J5546" i="116"/>
  <c r="I5546" i="116"/>
  <c r="H5546" i="116"/>
  <c r="G5546" i="116"/>
  <c r="F5546" i="116"/>
  <c r="E5546" i="116"/>
  <c r="D5546" i="116"/>
  <c r="C5546" i="116"/>
  <c r="B5546" i="116"/>
  <c r="K5545" i="116"/>
  <c r="J5545" i="116"/>
  <c r="I5545" i="116"/>
  <c r="H5545" i="116"/>
  <c r="G5545" i="116"/>
  <c r="F5545" i="116"/>
  <c r="E5545" i="116"/>
  <c r="D5545" i="116"/>
  <c r="C5545" i="116"/>
  <c r="B5545" i="116"/>
  <c r="K5544" i="116"/>
  <c r="J5544" i="116"/>
  <c r="I5544" i="116"/>
  <c r="H5544" i="116"/>
  <c r="G5544" i="116"/>
  <c r="F5544" i="116"/>
  <c r="E5544" i="116"/>
  <c r="D5544" i="116"/>
  <c r="C5544" i="116"/>
  <c r="B5544" i="116"/>
  <c r="K5543" i="116"/>
  <c r="J5543" i="116"/>
  <c r="I5543" i="116"/>
  <c r="H5543" i="116"/>
  <c r="G5543" i="116"/>
  <c r="F5543" i="116"/>
  <c r="E5543" i="116"/>
  <c r="D5543" i="116"/>
  <c r="C5543" i="116"/>
  <c r="B5543" i="116"/>
  <c r="K5542" i="116"/>
  <c r="J5542" i="116"/>
  <c r="I5542" i="116"/>
  <c r="H5542" i="116"/>
  <c r="G5542" i="116"/>
  <c r="F5542" i="116"/>
  <c r="E5542" i="116"/>
  <c r="D5542" i="116"/>
  <c r="C5542" i="116"/>
  <c r="B5542" i="116"/>
  <c r="K5541" i="116"/>
  <c r="J5541" i="116"/>
  <c r="I5541" i="116"/>
  <c r="H5541" i="116"/>
  <c r="G5541" i="116"/>
  <c r="F5541" i="116"/>
  <c r="E5541" i="116"/>
  <c r="D5541" i="116"/>
  <c r="C5541" i="116"/>
  <c r="B5541" i="116"/>
  <c r="K5540" i="116"/>
  <c r="J5540" i="116"/>
  <c r="I5540" i="116"/>
  <c r="H5540" i="116"/>
  <c r="G5540" i="116"/>
  <c r="F5540" i="116"/>
  <c r="E5540" i="116"/>
  <c r="D5540" i="116"/>
  <c r="C5540" i="116"/>
  <c r="B5540" i="116"/>
  <c r="K5539" i="116"/>
  <c r="J5539" i="116"/>
  <c r="I5539" i="116"/>
  <c r="H5539" i="116"/>
  <c r="G5539" i="116"/>
  <c r="F5539" i="116"/>
  <c r="E5539" i="116"/>
  <c r="D5539" i="116"/>
  <c r="C5539" i="116"/>
  <c r="B5539" i="116"/>
  <c r="K5538" i="116"/>
  <c r="J5538" i="116"/>
  <c r="I5538" i="116"/>
  <c r="H5538" i="116"/>
  <c r="G5538" i="116"/>
  <c r="F5538" i="116"/>
  <c r="E5538" i="116"/>
  <c r="D5538" i="116"/>
  <c r="C5538" i="116"/>
  <c r="B5538" i="116"/>
  <c r="K5537" i="116"/>
  <c r="J5537" i="116"/>
  <c r="I5537" i="116"/>
  <c r="H5537" i="116"/>
  <c r="G5537" i="116"/>
  <c r="F5537" i="116"/>
  <c r="E5537" i="116"/>
  <c r="D5537" i="116"/>
  <c r="C5537" i="116"/>
  <c r="B5537" i="116"/>
  <c r="K5536" i="116"/>
  <c r="J5536" i="116"/>
  <c r="I5536" i="116"/>
  <c r="H5536" i="116"/>
  <c r="G5536" i="116"/>
  <c r="F5536" i="116"/>
  <c r="E5536" i="116"/>
  <c r="D5536" i="116"/>
  <c r="C5536" i="116"/>
  <c r="B5536" i="116"/>
  <c r="K5535" i="116"/>
  <c r="J5535" i="116"/>
  <c r="I5535" i="116"/>
  <c r="H5535" i="116"/>
  <c r="G5535" i="116"/>
  <c r="F5535" i="116"/>
  <c r="E5535" i="116"/>
  <c r="D5535" i="116"/>
  <c r="C5535" i="116"/>
  <c r="B5535" i="116"/>
  <c r="K5534" i="116"/>
  <c r="J5534" i="116"/>
  <c r="I5534" i="116"/>
  <c r="H5534" i="116"/>
  <c r="G5534" i="116"/>
  <c r="F5534" i="116"/>
  <c r="E5534" i="116"/>
  <c r="D5534" i="116"/>
  <c r="C5534" i="116"/>
  <c r="B5534" i="116"/>
  <c r="K5533" i="116"/>
  <c r="J5533" i="116"/>
  <c r="I5533" i="116"/>
  <c r="H5533" i="116"/>
  <c r="G5533" i="116"/>
  <c r="F5533" i="116"/>
  <c r="E5533" i="116"/>
  <c r="D5533" i="116"/>
  <c r="C5533" i="116"/>
  <c r="B5533" i="116"/>
  <c r="K5532" i="116"/>
  <c r="J5532" i="116"/>
  <c r="I5532" i="116"/>
  <c r="H5532" i="116"/>
  <c r="G5532" i="116"/>
  <c r="F5532" i="116"/>
  <c r="E5532" i="116"/>
  <c r="D5532" i="116"/>
  <c r="C5532" i="116"/>
  <c r="B5532" i="116"/>
  <c r="K5531" i="116"/>
  <c r="J5531" i="116"/>
  <c r="I5531" i="116"/>
  <c r="H5531" i="116"/>
  <c r="G5531" i="116"/>
  <c r="F5531" i="116"/>
  <c r="E5531" i="116"/>
  <c r="D5531" i="116"/>
  <c r="C5531" i="116"/>
  <c r="B5531" i="116"/>
  <c r="K5530" i="116"/>
  <c r="J5530" i="116"/>
  <c r="I5530" i="116"/>
  <c r="H5530" i="116"/>
  <c r="G5530" i="116"/>
  <c r="F5530" i="116"/>
  <c r="E5530" i="116"/>
  <c r="D5530" i="116"/>
  <c r="C5530" i="116"/>
  <c r="B5530" i="116"/>
  <c r="K5529" i="116"/>
  <c r="J5529" i="116"/>
  <c r="I5529" i="116"/>
  <c r="H5529" i="116"/>
  <c r="G5529" i="116"/>
  <c r="F5529" i="116"/>
  <c r="E5529" i="116"/>
  <c r="D5529" i="116"/>
  <c r="C5529" i="116"/>
  <c r="B5529" i="116"/>
  <c r="K5528" i="116"/>
  <c r="J5528" i="116"/>
  <c r="I5528" i="116"/>
  <c r="H5528" i="116"/>
  <c r="G5528" i="116"/>
  <c r="F5528" i="116"/>
  <c r="E5528" i="116"/>
  <c r="D5528" i="116"/>
  <c r="C5528" i="116"/>
  <c r="B5528" i="116"/>
  <c r="K5527" i="116"/>
  <c r="J5527" i="116"/>
  <c r="I5527" i="116"/>
  <c r="H5527" i="116"/>
  <c r="G5527" i="116"/>
  <c r="F5527" i="116"/>
  <c r="E5527" i="116"/>
  <c r="D5527" i="116"/>
  <c r="C5527" i="116"/>
  <c r="B5527" i="116"/>
  <c r="K5526" i="116"/>
  <c r="J5526" i="116"/>
  <c r="I5526" i="116"/>
  <c r="H5526" i="116"/>
  <c r="G5526" i="116"/>
  <c r="F5526" i="116"/>
  <c r="E5526" i="116"/>
  <c r="D5526" i="116"/>
  <c r="C5526" i="116"/>
  <c r="B5526" i="116"/>
  <c r="K5525" i="116"/>
  <c r="J5525" i="116"/>
  <c r="I5525" i="116"/>
  <c r="H5525" i="116"/>
  <c r="G5525" i="116"/>
  <c r="F5525" i="116"/>
  <c r="E5525" i="116"/>
  <c r="D5525" i="116"/>
  <c r="C5525" i="116"/>
  <c r="B5525" i="116"/>
  <c r="K5524" i="116"/>
  <c r="J5524" i="116"/>
  <c r="I5524" i="116"/>
  <c r="H5524" i="116"/>
  <c r="G5524" i="116"/>
  <c r="F5524" i="116"/>
  <c r="E5524" i="116"/>
  <c r="D5524" i="116"/>
  <c r="C5524" i="116"/>
  <c r="B5524" i="116"/>
  <c r="K5523" i="116"/>
  <c r="J5523" i="116"/>
  <c r="I5523" i="116"/>
  <c r="H5523" i="116"/>
  <c r="G5523" i="116"/>
  <c r="F5523" i="116"/>
  <c r="E5523" i="116"/>
  <c r="D5523" i="116"/>
  <c r="C5523" i="116"/>
  <c r="B5523" i="116"/>
  <c r="K5522" i="116"/>
  <c r="J5522" i="116"/>
  <c r="I5522" i="116"/>
  <c r="H5522" i="116"/>
  <c r="G5522" i="116"/>
  <c r="F5522" i="116"/>
  <c r="E5522" i="116"/>
  <c r="D5522" i="116"/>
  <c r="C5522" i="116"/>
  <c r="B5522" i="116"/>
  <c r="K5521" i="116"/>
  <c r="J5521" i="116"/>
  <c r="I5521" i="116"/>
  <c r="H5521" i="116"/>
  <c r="G5521" i="116"/>
  <c r="F5521" i="116"/>
  <c r="E5521" i="116"/>
  <c r="D5521" i="116"/>
  <c r="C5521" i="116"/>
  <c r="B5521" i="116"/>
  <c r="K5520" i="116"/>
  <c r="J5520" i="116"/>
  <c r="I5520" i="116"/>
  <c r="H5520" i="116"/>
  <c r="G5520" i="116"/>
  <c r="F5520" i="116"/>
  <c r="E5520" i="116"/>
  <c r="D5520" i="116"/>
  <c r="C5520" i="116"/>
  <c r="B5520" i="116"/>
  <c r="K5519" i="116"/>
  <c r="J5519" i="116"/>
  <c r="I5519" i="116"/>
  <c r="H5519" i="116"/>
  <c r="G5519" i="116"/>
  <c r="F5519" i="116"/>
  <c r="E5519" i="116"/>
  <c r="D5519" i="116"/>
  <c r="C5519" i="116"/>
  <c r="B5519" i="116"/>
  <c r="K5518" i="116"/>
  <c r="J5518" i="116"/>
  <c r="I5518" i="116"/>
  <c r="H5518" i="116"/>
  <c r="G5518" i="116"/>
  <c r="F5518" i="116"/>
  <c r="E5518" i="116"/>
  <c r="D5518" i="116"/>
  <c r="C5518" i="116"/>
  <c r="B5518" i="116"/>
  <c r="K5517" i="116"/>
  <c r="J5517" i="116"/>
  <c r="I5517" i="116"/>
  <c r="H5517" i="116"/>
  <c r="G5517" i="116"/>
  <c r="F5517" i="116"/>
  <c r="E5517" i="116"/>
  <c r="D5517" i="116"/>
  <c r="C5517" i="116"/>
  <c r="B5517" i="116"/>
  <c r="K5516" i="116"/>
  <c r="J5516" i="116"/>
  <c r="I5516" i="116"/>
  <c r="H5516" i="116"/>
  <c r="G5516" i="116"/>
  <c r="F5516" i="116"/>
  <c r="E5516" i="116"/>
  <c r="D5516" i="116"/>
  <c r="C5516" i="116"/>
  <c r="B5516" i="116"/>
  <c r="K5515" i="116"/>
  <c r="J5515" i="116"/>
  <c r="I5515" i="116"/>
  <c r="H5515" i="116"/>
  <c r="G5515" i="116"/>
  <c r="F5515" i="116"/>
  <c r="E5515" i="116"/>
  <c r="D5515" i="116"/>
  <c r="C5515" i="116"/>
  <c r="B5515" i="116"/>
  <c r="K5514" i="116"/>
  <c r="J5514" i="116"/>
  <c r="I5514" i="116"/>
  <c r="H5514" i="116"/>
  <c r="G5514" i="116"/>
  <c r="F5514" i="116"/>
  <c r="E5514" i="116"/>
  <c r="D5514" i="116"/>
  <c r="C5514" i="116"/>
  <c r="B5514" i="116"/>
  <c r="K5513" i="116"/>
  <c r="J5513" i="116"/>
  <c r="I5513" i="116"/>
  <c r="H5513" i="116"/>
  <c r="G5513" i="116"/>
  <c r="F5513" i="116"/>
  <c r="E5513" i="116"/>
  <c r="D5513" i="116"/>
  <c r="C5513" i="116"/>
  <c r="B5513" i="116"/>
  <c r="K5512" i="116"/>
  <c r="J5512" i="116"/>
  <c r="I5512" i="116"/>
  <c r="H5512" i="116"/>
  <c r="G5512" i="116"/>
  <c r="F5512" i="116"/>
  <c r="E5512" i="116"/>
  <c r="D5512" i="116"/>
  <c r="C5512" i="116"/>
  <c r="B5512" i="116"/>
  <c r="K5511" i="116"/>
  <c r="J5511" i="116"/>
  <c r="I5511" i="116"/>
  <c r="H5511" i="116"/>
  <c r="G5511" i="116"/>
  <c r="F5511" i="116"/>
  <c r="E5511" i="116"/>
  <c r="D5511" i="116"/>
  <c r="C5511" i="116"/>
  <c r="B5511" i="116"/>
  <c r="K5510" i="116"/>
  <c r="J5510" i="116"/>
  <c r="I5510" i="116"/>
  <c r="H5510" i="116"/>
  <c r="G5510" i="116"/>
  <c r="F5510" i="116"/>
  <c r="E5510" i="116"/>
  <c r="D5510" i="116"/>
  <c r="C5510" i="116"/>
  <c r="B5510" i="116"/>
  <c r="K5509" i="116"/>
  <c r="J5509" i="116"/>
  <c r="I5509" i="116"/>
  <c r="H5509" i="116"/>
  <c r="G5509" i="116"/>
  <c r="F5509" i="116"/>
  <c r="E5509" i="116"/>
  <c r="D5509" i="116"/>
  <c r="C5509" i="116"/>
  <c r="B5509" i="116"/>
  <c r="K5508" i="116"/>
  <c r="J5508" i="116"/>
  <c r="I5508" i="116"/>
  <c r="H5508" i="116"/>
  <c r="G5508" i="116"/>
  <c r="F5508" i="116"/>
  <c r="E5508" i="116"/>
  <c r="D5508" i="116"/>
  <c r="C5508" i="116"/>
  <c r="B5508" i="116"/>
  <c r="K5507" i="116"/>
  <c r="J5507" i="116"/>
  <c r="I5507" i="116"/>
  <c r="H5507" i="116"/>
  <c r="G5507" i="116"/>
  <c r="F5507" i="116"/>
  <c r="E5507" i="116"/>
  <c r="D5507" i="116"/>
  <c r="C5507" i="116"/>
  <c r="B5507" i="116"/>
  <c r="K5506" i="116"/>
  <c r="J5506" i="116"/>
  <c r="I5506" i="116"/>
  <c r="H5506" i="116"/>
  <c r="G5506" i="116"/>
  <c r="F5506" i="116"/>
  <c r="E5506" i="116"/>
  <c r="D5506" i="116"/>
  <c r="C5506" i="116"/>
  <c r="B5506" i="116"/>
  <c r="K5505" i="116"/>
  <c r="J5505" i="116"/>
  <c r="I5505" i="116"/>
  <c r="H5505" i="116"/>
  <c r="G5505" i="116"/>
  <c r="F5505" i="116"/>
  <c r="E5505" i="116"/>
  <c r="D5505" i="116"/>
  <c r="C5505" i="116"/>
  <c r="B5505" i="116"/>
  <c r="K5504" i="116"/>
  <c r="J5504" i="116"/>
  <c r="I5504" i="116"/>
  <c r="H5504" i="116"/>
  <c r="G5504" i="116"/>
  <c r="F5504" i="116"/>
  <c r="E5504" i="116"/>
  <c r="D5504" i="116"/>
  <c r="C5504" i="116"/>
  <c r="B5504" i="116"/>
  <c r="K5503" i="116"/>
  <c r="J5503" i="116"/>
  <c r="I5503" i="116"/>
  <c r="H5503" i="116"/>
  <c r="G5503" i="116"/>
  <c r="F5503" i="116"/>
  <c r="E5503" i="116"/>
  <c r="D5503" i="116"/>
  <c r="C5503" i="116"/>
  <c r="B5503" i="116"/>
  <c r="K5502" i="116"/>
  <c r="J5502" i="116"/>
  <c r="I5502" i="116"/>
  <c r="H5502" i="116"/>
  <c r="G5502" i="116"/>
  <c r="F5502" i="116"/>
  <c r="E5502" i="116"/>
  <c r="D5502" i="116"/>
  <c r="C5502" i="116"/>
  <c r="B5502" i="116"/>
  <c r="K5501" i="116"/>
  <c r="J5501" i="116"/>
  <c r="I5501" i="116"/>
  <c r="H5501" i="116"/>
  <c r="G5501" i="116"/>
  <c r="F5501" i="116"/>
  <c r="E5501" i="116"/>
  <c r="D5501" i="116"/>
  <c r="C5501" i="116"/>
  <c r="B5501" i="116"/>
  <c r="K5500" i="116"/>
  <c r="J5500" i="116"/>
  <c r="I5500" i="116"/>
  <c r="H5500" i="116"/>
  <c r="G5500" i="116"/>
  <c r="F5500" i="116"/>
  <c r="E5500" i="116"/>
  <c r="D5500" i="116"/>
  <c r="C5500" i="116"/>
  <c r="B5500" i="116"/>
  <c r="K5499" i="116"/>
  <c r="J5499" i="116"/>
  <c r="I5499" i="116"/>
  <c r="H5499" i="116"/>
  <c r="G5499" i="116"/>
  <c r="F5499" i="116"/>
  <c r="E5499" i="116"/>
  <c r="D5499" i="116"/>
  <c r="C5499" i="116"/>
  <c r="B5499" i="116"/>
  <c r="K5498" i="116"/>
  <c r="J5498" i="116"/>
  <c r="I5498" i="116"/>
  <c r="H5498" i="116"/>
  <c r="G5498" i="116"/>
  <c r="F5498" i="116"/>
  <c r="E5498" i="116"/>
  <c r="D5498" i="116"/>
  <c r="C5498" i="116"/>
  <c r="B5498" i="116"/>
  <c r="K5497" i="116"/>
  <c r="J5497" i="116"/>
  <c r="I5497" i="116"/>
  <c r="H5497" i="116"/>
  <c r="G5497" i="116"/>
  <c r="F5497" i="116"/>
  <c r="E5497" i="116"/>
  <c r="D5497" i="116"/>
  <c r="C5497" i="116"/>
  <c r="B5497" i="116"/>
  <c r="K5496" i="116"/>
  <c r="J5496" i="116"/>
  <c r="I5496" i="116"/>
  <c r="H5496" i="116"/>
  <c r="G5496" i="116"/>
  <c r="F5496" i="116"/>
  <c r="E5496" i="116"/>
  <c r="D5496" i="116"/>
  <c r="C5496" i="116"/>
  <c r="B5496" i="116"/>
  <c r="K5495" i="116"/>
  <c r="J5495" i="116"/>
  <c r="I5495" i="116"/>
  <c r="H5495" i="116"/>
  <c r="G5495" i="116"/>
  <c r="F5495" i="116"/>
  <c r="E5495" i="116"/>
  <c r="D5495" i="116"/>
  <c r="C5495" i="116"/>
  <c r="B5495" i="116"/>
  <c r="K5494" i="116"/>
  <c r="J5494" i="116"/>
  <c r="I5494" i="116"/>
  <c r="H5494" i="116"/>
  <c r="G5494" i="116"/>
  <c r="F5494" i="116"/>
  <c r="E5494" i="116"/>
  <c r="D5494" i="116"/>
  <c r="C5494" i="116"/>
  <c r="B5494" i="116"/>
  <c r="K5493" i="116"/>
  <c r="J5493" i="116"/>
  <c r="I5493" i="116"/>
  <c r="H5493" i="116"/>
  <c r="G5493" i="116"/>
  <c r="F5493" i="116"/>
  <c r="E5493" i="116"/>
  <c r="D5493" i="116"/>
  <c r="C5493" i="116"/>
  <c r="B5493" i="116"/>
  <c r="K5492" i="116"/>
  <c r="J5492" i="116"/>
  <c r="I5492" i="116"/>
  <c r="H5492" i="116"/>
  <c r="G5492" i="116"/>
  <c r="F5492" i="116"/>
  <c r="E5492" i="116"/>
  <c r="D5492" i="116"/>
  <c r="C5492" i="116"/>
  <c r="B5492" i="116"/>
  <c r="K5491" i="116"/>
  <c r="J5491" i="116"/>
  <c r="I5491" i="116"/>
  <c r="H5491" i="116"/>
  <c r="G5491" i="116"/>
  <c r="F5491" i="116"/>
  <c r="E5491" i="116"/>
  <c r="D5491" i="116"/>
  <c r="C5491" i="116"/>
  <c r="B5491" i="116"/>
  <c r="K5490" i="116"/>
  <c r="J5490" i="116"/>
  <c r="I5490" i="116"/>
  <c r="H5490" i="116"/>
  <c r="G5490" i="116"/>
  <c r="F5490" i="116"/>
  <c r="E5490" i="116"/>
  <c r="D5490" i="116"/>
  <c r="C5490" i="116"/>
  <c r="B5490" i="116"/>
  <c r="K5489" i="116"/>
  <c r="J5489" i="116"/>
  <c r="I5489" i="116"/>
  <c r="H5489" i="116"/>
  <c r="G5489" i="116"/>
  <c r="F5489" i="116"/>
  <c r="E5489" i="116"/>
  <c r="D5489" i="116"/>
  <c r="C5489" i="116"/>
  <c r="B5489" i="116"/>
  <c r="K5488" i="116"/>
  <c r="J5488" i="116"/>
  <c r="I5488" i="116"/>
  <c r="H5488" i="116"/>
  <c r="G5488" i="116"/>
  <c r="F5488" i="116"/>
  <c r="E5488" i="116"/>
  <c r="D5488" i="116"/>
  <c r="C5488" i="116"/>
  <c r="B5488" i="116"/>
  <c r="K5487" i="116"/>
  <c r="J5487" i="116"/>
  <c r="I5487" i="116"/>
  <c r="H5487" i="116"/>
  <c r="G5487" i="116"/>
  <c r="F5487" i="116"/>
  <c r="E5487" i="116"/>
  <c r="D5487" i="116"/>
  <c r="C5487" i="116"/>
  <c r="B5487" i="116"/>
  <c r="K5486" i="116"/>
  <c r="J5486" i="116"/>
  <c r="I5486" i="116"/>
  <c r="H5486" i="116"/>
  <c r="G5486" i="116"/>
  <c r="F5486" i="116"/>
  <c r="E5486" i="116"/>
  <c r="D5486" i="116"/>
  <c r="C5486" i="116"/>
  <c r="B5486" i="116"/>
  <c r="K5485" i="116"/>
  <c r="J5485" i="116"/>
  <c r="I5485" i="116"/>
  <c r="H5485" i="116"/>
  <c r="G5485" i="116"/>
  <c r="F5485" i="116"/>
  <c r="E5485" i="116"/>
  <c r="D5485" i="116"/>
  <c r="C5485" i="116"/>
  <c r="B5485" i="116"/>
  <c r="K5484" i="116"/>
  <c r="J5484" i="116"/>
  <c r="I5484" i="116"/>
  <c r="H5484" i="116"/>
  <c r="G5484" i="116"/>
  <c r="F5484" i="116"/>
  <c r="E5484" i="116"/>
  <c r="D5484" i="116"/>
  <c r="C5484" i="116"/>
  <c r="B5484" i="116"/>
  <c r="K5483" i="116"/>
  <c r="J5483" i="116"/>
  <c r="I5483" i="116"/>
  <c r="H5483" i="116"/>
  <c r="G5483" i="116"/>
  <c r="F5483" i="116"/>
  <c r="E5483" i="116"/>
  <c r="D5483" i="116"/>
  <c r="C5483" i="116"/>
  <c r="B5483" i="116"/>
  <c r="K5482" i="116"/>
  <c r="J5482" i="116"/>
  <c r="I5482" i="116"/>
  <c r="H5482" i="116"/>
  <c r="G5482" i="116"/>
  <c r="F5482" i="116"/>
  <c r="E5482" i="116"/>
  <c r="D5482" i="116"/>
  <c r="C5482" i="116"/>
  <c r="B5482" i="116"/>
  <c r="K5481" i="116"/>
  <c r="J5481" i="116"/>
  <c r="I5481" i="116"/>
  <c r="H5481" i="116"/>
  <c r="G5481" i="116"/>
  <c r="F5481" i="116"/>
  <c r="E5481" i="116"/>
  <c r="D5481" i="116"/>
  <c r="C5481" i="116"/>
  <c r="B5481" i="116"/>
  <c r="K5480" i="116"/>
  <c r="J5480" i="116"/>
  <c r="I5480" i="116"/>
  <c r="H5480" i="116"/>
  <c r="G5480" i="116"/>
  <c r="F5480" i="116"/>
  <c r="E5480" i="116"/>
  <c r="D5480" i="116"/>
  <c r="C5480" i="116"/>
  <c r="B5480" i="116"/>
  <c r="K5479" i="116"/>
  <c r="J5479" i="116"/>
  <c r="I5479" i="116"/>
  <c r="H5479" i="116"/>
  <c r="G5479" i="116"/>
  <c r="F5479" i="116"/>
  <c r="E5479" i="116"/>
  <c r="D5479" i="116"/>
  <c r="C5479" i="116"/>
  <c r="B5479" i="116"/>
  <c r="K5478" i="116"/>
  <c r="J5478" i="116"/>
  <c r="I5478" i="116"/>
  <c r="H5478" i="116"/>
  <c r="G5478" i="116"/>
  <c r="F5478" i="116"/>
  <c r="E5478" i="116"/>
  <c r="D5478" i="116"/>
  <c r="C5478" i="116"/>
  <c r="B5478" i="116"/>
  <c r="K5477" i="116"/>
  <c r="J5477" i="116"/>
  <c r="I5477" i="116"/>
  <c r="H5477" i="116"/>
  <c r="G5477" i="116"/>
  <c r="F5477" i="116"/>
  <c r="E5477" i="116"/>
  <c r="D5477" i="116"/>
  <c r="C5477" i="116"/>
  <c r="B5477" i="116"/>
  <c r="K5476" i="116"/>
  <c r="J5476" i="116"/>
  <c r="I5476" i="116"/>
  <c r="H5476" i="116"/>
  <c r="G5476" i="116"/>
  <c r="F5476" i="116"/>
  <c r="E5476" i="116"/>
  <c r="D5476" i="116"/>
  <c r="C5476" i="116"/>
  <c r="B5476" i="116"/>
  <c r="K5475" i="116"/>
  <c r="J5475" i="116"/>
  <c r="I5475" i="116"/>
  <c r="H5475" i="116"/>
  <c r="G5475" i="116"/>
  <c r="F5475" i="116"/>
  <c r="E5475" i="116"/>
  <c r="D5475" i="116"/>
  <c r="C5475" i="116"/>
  <c r="B5475" i="116"/>
  <c r="K5474" i="116"/>
  <c r="J5474" i="116"/>
  <c r="I5474" i="116"/>
  <c r="H5474" i="116"/>
  <c r="G5474" i="116"/>
  <c r="F5474" i="116"/>
  <c r="E5474" i="116"/>
  <c r="D5474" i="116"/>
  <c r="C5474" i="116"/>
  <c r="B5474" i="116"/>
  <c r="K5473" i="116"/>
  <c r="J5473" i="116"/>
  <c r="I5473" i="116"/>
  <c r="H5473" i="116"/>
  <c r="G5473" i="116"/>
  <c r="F5473" i="116"/>
  <c r="E5473" i="116"/>
  <c r="D5473" i="116"/>
  <c r="C5473" i="116"/>
  <c r="B5473" i="116"/>
  <c r="K5472" i="116"/>
  <c r="J5472" i="116"/>
  <c r="I5472" i="116"/>
  <c r="H5472" i="116"/>
  <c r="G5472" i="116"/>
  <c r="F5472" i="116"/>
  <c r="E5472" i="116"/>
  <c r="D5472" i="116"/>
  <c r="C5472" i="116"/>
  <c r="B5472" i="116"/>
  <c r="K5471" i="116"/>
  <c r="J5471" i="116"/>
  <c r="I5471" i="116"/>
  <c r="H5471" i="116"/>
  <c r="G5471" i="116"/>
  <c r="F5471" i="116"/>
  <c r="E5471" i="116"/>
  <c r="D5471" i="116"/>
  <c r="C5471" i="116"/>
  <c r="B5471" i="116"/>
  <c r="K5470" i="116"/>
  <c r="J5470" i="116"/>
  <c r="I5470" i="116"/>
  <c r="H5470" i="116"/>
  <c r="G5470" i="116"/>
  <c r="F5470" i="116"/>
  <c r="E5470" i="116"/>
  <c r="D5470" i="116"/>
  <c r="C5470" i="116"/>
  <c r="B5470" i="116"/>
  <c r="K5469" i="116"/>
  <c r="J5469" i="116"/>
  <c r="I5469" i="116"/>
  <c r="H5469" i="116"/>
  <c r="G5469" i="116"/>
  <c r="F5469" i="116"/>
  <c r="E5469" i="116"/>
  <c r="D5469" i="116"/>
  <c r="C5469" i="116"/>
  <c r="B5469" i="116"/>
  <c r="K5468" i="116"/>
  <c r="J5468" i="116"/>
  <c r="I5468" i="116"/>
  <c r="H5468" i="116"/>
  <c r="G5468" i="116"/>
  <c r="F5468" i="116"/>
  <c r="E5468" i="116"/>
  <c r="D5468" i="116"/>
  <c r="C5468" i="116"/>
  <c r="B5468" i="116"/>
  <c r="K5467" i="116"/>
  <c r="J5467" i="116"/>
  <c r="I5467" i="116"/>
  <c r="H5467" i="116"/>
  <c r="G5467" i="116"/>
  <c r="F5467" i="116"/>
  <c r="E5467" i="116"/>
  <c r="D5467" i="116"/>
  <c r="C5467" i="116"/>
  <c r="B5467" i="116"/>
  <c r="K5466" i="116"/>
  <c r="J5466" i="116"/>
  <c r="I5466" i="116"/>
  <c r="H5466" i="116"/>
  <c r="G5466" i="116"/>
  <c r="F5466" i="116"/>
  <c r="E5466" i="116"/>
  <c r="D5466" i="116"/>
  <c r="C5466" i="116"/>
  <c r="B5466" i="116"/>
  <c r="K5465" i="116"/>
  <c r="J5465" i="116"/>
  <c r="I5465" i="116"/>
  <c r="H5465" i="116"/>
  <c r="G5465" i="116"/>
  <c r="F5465" i="116"/>
  <c r="E5465" i="116"/>
  <c r="D5465" i="116"/>
  <c r="C5465" i="116"/>
  <c r="B5465" i="116"/>
  <c r="K5464" i="116"/>
  <c r="J5464" i="116"/>
  <c r="I5464" i="116"/>
  <c r="H5464" i="116"/>
  <c r="G5464" i="116"/>
  <c r="F5464" i="116"/>
  <c r="E5464" i="116"/>
  <c r="D5464" i="116"/>
  <c r="C5464" i="116"/>
  <c r="B5464" i="116"/>
  <c r="K5463" i="116"/>
  <c r="J5463" i="116"/>
  <c r="I5463" i="116"/>
  <c r="H5463" i="116"/>
  <c r="G5463" i="116"/>
  <c r="F5463" i="116"/>
  <c r="E5463" i="116"/>
  <c r="D5463" i="116"/>
  <c r="C5463" i="116"/>
  <c r="B5463" i="116"/>
  <c r="K5462" i="116"/>
  <c r="J5462" i="116"/>
  <c r="I5462" i="116"/>
  <c r="H5462" i="116"/>
  <c r="G5462" i="116"/>
  <c r="F5462" i="116"/>
  <c r="E5462" i="116"/>
  <c r="D5462" i="116"/>
  <c r="C5462" i="116"/>
  <c r="B5462" i="116"/>
  <c r="K5461" i="116"/>
  <c r="J5461" i="116"/>
  <c r="I5461" i="116"/>
  <c r="H5461" i="116"/>
  <c r="G5461" i="116"/>
  <c r="F5461" i="116"/>
  <c r="E5461" i="116"/>
  <c r="D5461" i="116"/>
  <c r="C5461" i="116"/>
  <c r="B5461" i="116"/>
  <c r="K5460" i="116"/>
  <c r="J5460" i="116"/>
  <c r="I5460" i="116"/>
  <c r="H5460" i="116"/>
  <c r="G5460" i="116"/>
  <c r="F5460" i="116"/>
  <c r="E5460" i="116"/>
  <c r="D5460" i="116"/>
  <c r="C5460" i="116"/>
  <c r="B5460" i="116"/>
  <c r="K5459" i="116"/>
  <c r="J5459" i="116"/>
  <c r="I5459" i="116"/>
  <c r="H5459" i="116"/>
  <c r="G5459" i="116"/>
  <c r="F5459" i="116"/>
  <c r="E5459" i="116"/>
  <c r="D5459" i="116"/>
  <c r="C5459" i="116"/>
  <c r="B5459" i="116"/>
  <c r="K5458" i="116"/>
  <c r="J5458" i="116"/>
  <c r="I5458" i="116"/>
  <c r="H5458" i="116"/>
  <c r="G5458" i="116"/>
  <c r="F5458" i="116"/>
  <c r="E5458" i="116"/>
  <c r="D5458" i="116"/>
  <c r="C5458" i="116"/>
  <c r="B5458" i="116"/>
  <c r="K5457" i="116"/>
  <c r="J5457" i="116"/>
  <c r="I5457" i="116"/>
  <c r="H5457" i="116"/>
  <c r="G5457" i="116"/>
  <c r="F5457" i="116"/>
  <c r="E5457" i="116"/>
  <c r="D5457" i="116"/>
  <c r="C5457" i="116"/>
  <c r="B5457" i="116"/>
  <c r="K5456" i="116"/>
  <c r="J5456" i="116"/>
  <c r="I5456" i="116"/>
  <c r="H5456" i="116"/>
  <c r="G5456" i="116"/>
  <c r="F5456" i="116"/>
  <c r="E5456" i="116"/>
  <c r="D5456" i="116"/>
  <c r="C5456" i="116"/>
  <c r="B5456" i="116"/>
  <c r="K5455" i="116"/>
  <c r="J5455" i="116"/>
  <c r="I5455" i="116"/>
  <c r="H5455" i="116"/>
  <c r="G5455" i="116"/>
  <c r="F5455" i="116"/>
  <c r="E5455" i="116"/>
  <c r="D5455" i="116"/>
  <c r="C5455" i="116"/>
  <c r="B5455" i="116"/>
  <c r="K5454" i="116"/>
  <c r="J5454" i="116"/>
  <c r="I5454" i="116"/>
  <c r="H5454" i="116"/>
  <c r="G5454" i="116"/>
  <c r="F5454" i="116"/>
  <c r="E5454" i="116"/>
  <c r="D5454" i="116"/>
  <c r="C5454" i="116"/>
  <c r="B5454" i="116"/>
  <c r="K5453" i="116"/>
  <c r="J5453" i="116"/>
  <c r="I5453" i="116"/>
  <c r="H5453" i="116"/>
  <c r="G5453" i="116"/>
  <c r="F5453" i="116"/>
  <c r="E5453" i="116"/>
  <c r="D5453" i="116"/>
  <c r="C5453" i="116"/>
  <c r="B5453" i="116"/>
  <c r="K5452" i="116"/>
  <c r="J5452" i="116"/>
  <c r="I5452" i="116"/>
  <c r="H5452" i="116"/>
  <c r="G5452" i="116"/>
  <c r="F5452" i="116"/>
  <c r="E5452" i="116"/>
  <c r="D5452" i="116"/>
  <c r="C5452" i="116"/>
  <c r="B5452" i="116"/>
  <c r="K5451" i="116"/>
  <c r="J5451" i="116"/>
  <c r="I5451" i="116"/>
  <c r="H5451" i="116"/>
  <c r="G5451" i="116"/>
  <c r="F5451" i="116"/>
  <c r="E5451" i="116"/>
  <c r="D5451" i="116"/>
  <c r="C5451" i="116"/>
  <c r="B5451" i="116"/>
  <c r="K5450" i="116"/>
  <c r="J5450" i="116"/>
  <c r="I5450" i="116"/>
  <c r="H5450" i="116"/>
  <c r="G5450" i="116"/>
  <c r="F5450" i="116"/>
  <c r="E5450" i="116"/>
  <c r="D5450" i="116"/>
  <c r="C5450" i="116"/>
  <c r="B5450" i="116"/>
  <c r="K5449" i="116"/>
  <c r="J5449" i="116"/>
  <c r="I5449" i="116"/>
  <c r="H5449" i="116"/>
  <c r="G5449" i="116"/>
  <c r="F5449" i="116"/>
  <c r="E5449" i="116"/>
  <c r="D5449" i="116"/>
  <c r="C5449" i="116"/>
  <c r="B5449" i="116"/>
  <c r="K5448" i="116"/>
  <c r="J5448" i="116"/>
  <c r="I5448" i="116"/>
  <c r="H5448" i="116"/>
  <c r="G5448" i="116"/>
  <c r="F5448" i="116"/>
  <c r="E5448" i="116"/>
  <c r="D5448" i="116"/>
  <c r="C5448" i="116"/>
  <c r="B5448" i="116"/>
  <c r="K5447" i="116"/>
  <c r="J5447" i="116"/>
  <c r="I5447" i="116"/>
  <c r="H5447" i="116"/>
  <c r="G5447" i="116"/>
  <c r="F5447" i="116"/>
  <c r="E5447" i="116"/>
  <c r="D5447" i="116"/>
  <c r="C5447" i="116"/>
  <c r="B5447" i="116"/>
  <c r="K5446" i="116"/>
  <c r="J5446" i="116"/>
  <c r="I5446" i="116"/>
  <c r="H5446" i="116"/>
  <c r="G5446" i="116"/>
  <c r="F5446" i="116"/>
  <c r="E5446" i="116"/>
  <c r="D5446" i="116"/>
  <c r="C5446" i="116"/>
  <c r="B5446" i="116"/>
  <c r="K5445" i="116"/>
  <c r="J5445" i="116"/>
  <c r="I5445" i="116"/>
  <c r="H5445" i="116"/>
  <c r="G5445" i="116"/>
  <c r="F5445" i="116"/>
  <c r="E5445" i="116"/>
  <c r="D5445" i="116"/>
  <c r="C5445" i="116"/>
  <c r="B5445" i="116"/>
  <c r="K5444" i="116"/>
  <c r="J5444" i="116"/>
  <c r="I5444" i="116"/>
  <c r="H5444" i="116"/>
  <c r="G5444" i="116"/>
  <c r="F5444" i="116"/>
  <c r="E5444" i="116"/>
  <c r="D5444" i="116"/>
  <c r="C5444" i="116"/>
  <c r="B5444" i="116"/>
  <c r="K5443" i="116"/>
  <c r="J5443" i="116"/>
  <c r="I5443" i="116"/>
  <c r="H5443" i="116"/>
  <c r="G5443" i="116"/>
  <c r="F5443" i="116"/>
  <c r="E5443" i="116"/>
  <c r="D5443" i="116"/>
  <c r="C5443" i="116"/>
  <c r="B5443" i="116"/>
  <c r="K5442" i="116"/>
  <c r="J5442" i="116"/>
  <c r="I5442" i="116"/>
  <c r="H5442" i="116"/>
  <c r="G5442" i="116"/>
  <c r="F5442" i="116"/>
  <c r="E5442" i="116"/>
  <c r="D5442" i="116"/>
  <c r="C5442" i="116"/>
  <c r="B5442" i="116"/>
  <c r="K5441" i="116"/>
  <c r="J5441" i="116"/>
  <c r="I5441" i="116"/>
  <c r="H5441" i="116"/>
  <c r="G5441" i="116"/>
  <c r="F5441" i="116"/>
  <c r="E5441" i="116"/>
  <c r="D5441" i="116"/>
  <c r="C5441" i="116"/>
  <c r="B5441" i="116"/>
  <c r="K5440" i="116"/>
  <c r="J5440" i="116"/>
  <c r="I5440" i="116"/>
  <c r="H5440" i="116"/>
  <c r="G5440" i="116"/>
  <c r="F5440" i="116"/>
  <c r="E5440" i="116"/>
  <c r="D5440" i="116"/>
  <c r="C5440" i="116"/>
  <c r="B5440" i="116"/>
  <c r="K5439" i="116"/>
  <c r="J5439" i="116"/>
  <c r="I5439" i="116"/>
  <c r="H5439" i="116"/>
  <c r="G5439" i="116"/>
  <c r="F5439" i="116"/>
  <c r="E5439" i="116"/>
  <c r="D5439" i="116"/>
  <c r="C5439" i="116"/>
  <c r="B5439" i="116"/>
  <c r="K5438" i="116"/>
  <c r="J5438" i="116"/>
  <c r="I5438" i="116"/>
  <c r="H5438" i="116"/>
  <c r="G5438" i="116"/>
  <c r="F5438" i="116"/>
  <c r="E5438" i="116"/>
  <c r="D5438" i="116"/>
  <c r="C5438" i="116"/>
  <c r="B5438" i="116"/>
  <c r="K5437" i="116"/>
  <c r="J5437" i="116"/>
  <c r="I5437" i="116"/>
  <c r="H5437" i="116"/>
  <c r="G5437" i="116"/>
  <c r="F5437" i="116"/>
  <c r="E5437" i="116"/>
  <c r="D5437" i="116"/>
  <c r="C5437" i="116"/>
  <c r="B5437" i="116"/>
  <c r="K5436" i="116"/>
  <c r="J5436" i="116"/>
  <c r="I5436" i="116"/>
  <c r="H5436" i="116"/>
  <c r="G5436" i="116"/>
  <c r="F5436" i="116"/>
  <c r="E5436" i="116"/>
  <c r="D5436" i="116"/>
  <c r="C5436" i="116"/>
  <c r="B5436" i="116"/>
  <c r="K5435" i="116"/>
  <c r="J5435" i="116"/>
  <c r="I5435" i="116"/>
  <c r="H5435" i="116"/>
  <c r="G5435" i="116"/>
  <c r="F5435" i="116"/>
  <c r="E5435" i="116"/>
  <c r="D5435" i="116"/>
  <c r="C5435" i="116"/>
  <c r="B5435" i="116"/>
  <c r="K5434" i="116"/>
  <c r="J5434" i="116"/>
  <c r="I5434" i="116"/>
  <c r="H5434" i="116"/>
  <c r="G5434" i="116"/>
  <c r="F5434" i="116"/>
  <c r="E5434" i="116"/>
  <c r="D5434" i="116"/>
  <c r="C5434" i="116"/>
  <c r="B5434" i="116"/>
  <c r="K5433" i="116"/>
  <c r="J5433" i="116"/>
  <c r="I5433" i="116"/>
  <c r="H5433" i="116"/>
  <c r="G5433" i="116"/>
  <c r="F5433" i="116"/>
  <c r="E5433" i="116"/>
  <c r="D5433" i="116"/>
  <c r="C5433" i="116"/>
  <c r="B5433" i="116"/>
  <c r="K5432" i="116"/>
  <c r="J5432" i="116"/>
  <c r="I5432" i="116"/>
  <c r="H5432" i="116"/>
  <c r="G5432" i="116"/>
  <c r="F5432" i="116"/>
  <c r="E5432" i="116"/>
  <c r="D5432" i="116"/>
  <c r="C5432" i="116"/>
  <c r="B5432" i="116"/>
  <c r="K5431" i="116"/>
  <c r="J5431" i="116"/>
  <c r="I5431" i="116"/>
  <c r="H5431" i="116"/>
  <c r="G5431" i="116"/>
  <c r="F5431" i="116"/>
  <c r="E5431" i="116"/>
  <c r="D5431" i="116"/>
  <c r="C5431" i="116"/>
  <c r="B5431" i="116"/>
  <c r="K5430" i="116"/>
  <c r="J5430" i="116"/>
  <c r="I5430" i="116"/>
  <c r="H5430" i="116"/>
  <c r="G5430" i="116"/>
  <c r="F5430" i="116"/>
  <c r="E5430" i="116"/>
  <c r="D5430" i="116"/>
  <c r="C5430" i="116"/>
  <c r="B5430" i="116"/>
  <c r="K5429" i="116"/>
  <c r="J5429" i="116"/>
  <c r="I5429" i="116"/>
  <c r="H5429" i="116"/>
  <c r="G5429" i="116"/>
  <c r="F5429" i="116"/>
  <c r="E5429" i="116"/>
  <c r="D5429" i="116"/>
  <c r="C5429" i="116"/>
  <c r="B5429" i="116"/>
  <c r="K5428" i="116"/>
  <c r="J5428" i="116"/>
  <c r="I5428" i="116"/>
  <c r="H5428" i="116"/>
  <c r="G5428" i="116"/>
  <c r="F5428" i="116"/>
  <c r="E5428" i="116"/>
  <c r="D5428" i="116"/>
  <c r="C5428" i="116"/>
  <c r="B5428" i="116"/>
  <c r="K5427" i="116"/>
  <c r="J5427" i="116"/>
  <c r="I5427" i="116"/>
  <c r="H5427" i="116"/>
  <c r="G5427" i="116"/>
  <c r="F5427" i="116"/>
  <c r="E5427" i="116"/>
  <c r="D5427" i="116"/>
  <c r="C5427" i="116"/>
  <c r="B5427" i="116"/>
  <c r="K5426" i="116"/>
  <c r="J5426" i="116"/>
  <c r="I5426" i="116"/>
  <c r="H5426" i="116"/>
  <c r="G5426" i="116"/>
  <c r="F5426" i="116"/>
  <c r="E5426" i="116"/>
  <c r="D5426" i="116"/>
  <c r="C5426" i="116"/>
  <c r="B5426" i="116"/>
  <c r="K5425" i="116"/>
  <c r="J5425" i="116"/>
  <c r="I5425" i="116"/>
  <c r="H5425" i="116"/>
  <c r="G5425" i="116"/>
  <c r="F5425" i="116"/>
  <c r="E5425" i="116"/>
  <c r="D5425" i="116"/>
  <c r="C5425" i="116"/>
  <c r="B5425" i="116"/>
  <c r="K5424" i="116"/>
  <c r="J5424" i="116"/>
  <c r="I5424" i="116"/>
  <c r="H5424" i="116"/>
  <c r="G5424" i="116"/>
  <c r="F5424" i="116"/>
  <c r="E5424" i="116"/>
  <c r="D5424" i="116"/>
  <c r="C5424" i="116"/>
  <c r="B5424" i="116"/>
  <c r="K5423" i="116"/>
  <c r="J5423" i="116"/>
  <c r="I5423" i="116"/>
  <c r="H5423" i="116"/>
  <c r="G5423" i="116"/>
  <c r="F5423" i="116"/>
  <c r="E5423" i="116"/>
  <c r="D5423" i="116"/>
  <c r="C5423" i="116"/>
  <c r="B5423" i="116"/>
  <c r="K5422" i="116"/>
  <c r="J5422" i="116"/>
  <c r="I5422" i="116"/>
  <c r="H5422" i="116"/>
  <c r="G5422" i="116"/>
  <c r="F5422" i="116"/>
  <c r="E5422" i="116"/>
  <c r="D5422" i="116"/>
  <c r="C5422" i="116"/>
  <c r="B5422" i="116"/>
  <c r="K5421" i="116"/>
  <c r="J5421" i="116"/>
  <c r="I5421" i="116"/>
  <c r="H5421" i="116"/>
  <c r="G5421" i="116"/>
  <c r="F5421" i="116"/>
  <c r="E5421" i="116"/>
  <c r="D5421" i="116"/>
  <c r="C5421" i="116"/>
  <c r="B5421" i="116"/>
  <c r="K5420" i="116"/>
  <c r="J5420" i="116"/>
  <c r="I5420" i="116"/>
  <c r="H5420" i="116"/>
  <c r="G5420" i="116"/>
  <c r="F5420" i="116"/>
  <c r="E5420" i="116"/>
  <c r="D5420" i="116"/>
  <c r="C5420" i="116"/>
  <c r="B5420" i="116"/>
  <c r="K5419" i="116"/>
  <c r="J5419" i="116"/>
  <c r="I5419" i="116"/>
  <c r="H5419" i="116"/>
  <c r="G5419" i="116"/>
  <c r="F5419" i="116"/>
  <c r="E5419" i="116"/>
  <c r="D5419" i="116"/>
  <c r="C5419" i="116"/>
  <c r="B5419" i="116"/>
  <c r="K5418" i="116"/>
  <c r="J5418" i="116"/>
  <c r="I5418" i="116"/>
  <c r="H5418" i="116"/>
  <c r="G5418" i="116"/>
  <c r="F5418" i="116"/>
  <c r="E5418" i="116"/>
  <c r="D5418" i="116"/>
  <c r="C5418" i="116"/>
  <c r="B5418" i="116"/>
  <c r="K5417" i="116"/>
  <c r="J5417" i="116"/>
  <c r="I5417" i="116"/>
  <c r="H5417" i="116"/>
  <c r="G5417" i="116"/>
  <c r="F5417" i="116"/>
  <c r="E5417" i="116"/>
  <c r="D5417" i="116"/>
  <c r="C5417" i="116"/>
  <c r="B5417" i="116"/>
  <c r="K5416" i="116"/>
  <c r="J5416" i="116"/>
  <c r="I5416" i="116"/>
  <c r="H5416" i="116"/>
  <c r="G5416" i="116"/>
  <c r="F5416" i="116"/>
  <c r="E5416" i="116"/>
  <c r="D5416" i="116"/>
  <c r="C5416" i="116"/>
  <c r="B5416" i="116"/>
  <c r="K5415" i="116"/>
  <c r="J5415" i="116"/>
  <c r="I5415" i="116"/>
  <c r="H5415" i="116"/>
  <c r="G5415" i="116"/>
  <c r="F5415" i="116"/>
  <c r="E5415" i="116"/>
  <c r="D5415" i="116"/>
  <c r="C5415" i="116"/>
  <c r="B5415" i="116"/>
  <c r="K5414" i="116"/>
  <c r="J5414" i="116"/>
  <c r="I5414" i="116"/>
  <c r="H5414" i="116"/>
  <c r="G5414" i="116"/>
  <c r="F5414" i="116"/>
  <c r="E5414" i="116"/>
  <c r="D5414" i="116"/>
  <c r="C5414" i="116"/>
  <c r="B5414" i="116"/>
  <c r="K5413" i="116"/>
  <c r="J5413" i="116"/>
  <c r="I5413" i="116"/>
  <c r="H5413" i="116"/>
  <c r="G5413" i="116"/>
  <c r="F5413" i="116"/>
  <c r="E5413" i="116"/>
  <c r="D5413" i="116"/>
  <c r="C5413" i="116"/>
  <c r="B5413" i="116"/>
  <c r="K5412" i="116"/>
  <c r="J5412" i="116"/>
  <c r="I5412" i="116"/>
  <c r="H5412" i="116"/>
  <c r="G5412" i="116"/>
  <c r="F5412" i="116"/>
  <c r="E5412" i="116"/>
  <c r="D5412" i="116"/>
  <c r="C5412" i="116"/>
  <c r="B5412" i="116"/>
  <c r="K5411" i="116"/>
  <c r="J5411" i="116"/>
  <c r="I5411" i="116"/>
  <c r="H5411" i="116"/>
  <c r="G5411" i="116"/>
  <c r="F5411" i="116"/>
  <c r="E5411" i="116"/>
  <c r="D5411" i="116"/>
  <c r="C5411" i="116"/>
  <c r="B5411" i="116"/>
  <c r="K5410" i="116"/>
  <c r="J5410" i="116"/>
  <c r="I5410" i="116"/>
  <c r="H5410" i="116"/>
  <c r="G5410" i="116"/>
  <c r="F5410" i="116"/>
  <c r="E5410" i="116"/>
  <c r="D5410" i="116"/>
  <c r="C5410" i="116"/>
  <c r="B5410" i="116"/>
  <c r="K5409" i="116"/>
  <c r="J5409" i="116"/>
  <c r="I5409" i="116"/>
  <c r="H5409" i="116"/>
  <c r="G5409" i="116"/>
  <c r="F5409" i="116"/>
  <c r="E5409" i="116"/>
  <c r="D5409" i="116"/>
  <c r="C5409" i="116"/>
  <c r="B5409" i="116"/>
  <c r="K5408" i="116"/>
  <c r="J5408" i="116"/>
  <c r="I5408" i="116"/>
  <c r="H5408" i="116"/>
  <c r="G5408" i="116"/>
  <c r="F5408" i="116"/>
  <c r="E5408" i="116"/>
  <c r="D5408" i="116"/>
  <c r="C5408" i="116"/>
  <c r="B5408" i="116"/>
  <c r="K5407" i="116"/>
  <c r="J5407" i="116"/>
  <c r="I5407" i="116"/>
  <c r="H5407" i="116"/>
  <c r="G5407" i="116"/>
  <c r="F5407" i="116"/>
  <c r="E5407" i="116"/>
  <c r="D5407" i="116"/>
  <c r="C5407" i="116"/>
  <c r="B5407" i="116"/>
  <c r="K5406" i="116"/>
  <c r="J5406" i="116"/>
  <c r="I5406" i="116"/>
  <c r="H5406" i="116"/>
  <c r="G5406" i="116"/>
  <c r="F5406" i="116"/>
  <c r="E5406" i="116"/>
  <c r="D5406" i="116"/>
  <c r="C5406" i="116"/>
  <c r="B5406" i="116"/>
  <c r="K5405" i="116"/>
  <c r="J5405" i="116"/>
  <c r="I5405" i="116"/>
  <c r="H5405" i="116"/>
  <c r="G5405" i="116"/>
  <c r="F5405" i="116"/>
  <c r="E5405" i="116"/>
  <c r="D5405" i="116"/>
  <c r="C5405" i="116"/>
  <c r="B5405" i="116"/>
  <c r="K5404" i="116"/>
  <c r="J5404" i="116"/>
  <c r="I5404" i="116"/>
  <c r="H5404" i="116"/>
  <c r="G5404" i="116"/>
  <c r="F5404" i="116"/>
  <c r="E5404" i="116"/>
  <c r="D5404" i="116"/>
  <c r="C5404" i="116"/>
  <c r="B5404" i="116"/>
  <c r="K5403" i="116"/>
  <c r="J5403" i="116"/>
  <c r="I5403" i="116"/>
  <c r="H5403" i="116"/>
  <c r="G5403" i="116"/>
  <c r="F5403" i="116"/>
  <c r="E5403" i="116"/>
  <c r="D5403" i="116"/>
  <c r="C5403" i="116"/>
  <c r="B5403" i="116"/>
  <c r="K5402" i="116"/>
  <c r="J5402" i="116"/>
  <c r="I5402" i="116"/>
  <c r="H5402" i="116"/>
  <c r="G5402" i="116"/>
  <c r="F5402" i="116"/>
  <c r="E5402" i="116"/>
  <c r="D5402" i="116"/>
  <c r="C5402" i="116"/>
  <c r="B5402" i="116"/>
  <c r="K5401" i="116"/>
  <c r="J5401" i="116"/>
  <c r="I5401" i="116"/>
  <c r="H5401" i="116"/>
  <c r="G5401" i="116"/>
  <c r="F5401" i="116"/>
  <c r="E5401" i="116"/>
  <c r="D5401" i="116"/>
  <c r="C5401" i="116"/>
  <c r="B5401" i="116"/>
  <c r="K5400" i="116"/>
  <c r="J5400" i="116"/>
  <c r="I5400" i="116"/>
  <c r="H5400" i="116"/>
  <c r="G5400" i="116"/>
  <c r="F5400" i="116"/>
  <c r="E5400" i="116"/>
  <c r="D5400" i="116"/>
  <c r="C5400" i="116"/>
  <c r="B5400" i="116"/>
  <c r="K5399" i="116"/>
  <c r="J5399" i="116"/>
  <c r="I5399" i="116"/>
  <c r="H5399" i="116"/>
  <c r="G5399" i="116"/>
  <c r="F5399" i="116"/>
  <c r="E5399" i="116"/>
  <c r="D5399" i="116"/>
  <c r="C5399" i="116"/>
  <c r="B5399" i="116"/>
  <c r="K5398" i="116"/>
  <c r="J5398" i="116"/>
  <c r="I5398" i="116"/>
  <c r="H5398" i="116"/>
  <c r="G5398" i="116"/>
  <c r="F5398" i="116"/>
  <c r="E5398" i="116"/>
  <c r="D5398" i="116"/>
  <c r="C5398" i="116"/>
  <c r="B5398" i="116"/>
  <c r="K5397" i="116"/>
  <c r="J5397" i="116"/>
  <c r="I5397" i="116"/>
  <c r="H5397" i="116"/>
  <c r="G5397" i="116"/>
  <c r="F5397" i="116"/>
  <c r="E5397" i="116"/>
  <c r="D5397" i="116"/>
  <c r="C5397" i="116"/>
  <c r="B5397" i="116"/>
  <c r="K5396" i="116"/>
  <c r="J5396" i="116"/>
  <c r="I5396" i="116"/>
  <c r="H5396" i="116"/>
  <c r="G5396" i="116"/>
  <c r="F5396" i="116"/>
  <c r="E5396" i="116"/>
  <c r="D5396" i="116"/>
  <c r="C5396" i="116"/>
  <c r="B5396" i="116"/>
  <c r="K5395" i="116"/>
  <c r="J5395" i="116"/>
  <c r="I5395" i="116"/>
  <c r="H5395" i="116"/>
  <c r="G5395" i="116"/>
  <c r="F5395" i="116"/>
  <c r="E5395" i="116"/>
  <c r="D5395" i="116"/>
  <c r="C5395" i="116"/>
  <c r="B5395" i="116"/>
  <c r="K5394" i="116"/>
  <c r="J5394" i="116"/>
  <c r="I5394" i="116"/>
  <c r="H5394" i="116"/>
  <c r="G5394" i="116"/>
  <c r="F5394" i="116"/>
  <c r="E5394" i="116"/>
  <c r="D5394" i="116"/>
  <c r="C5394" i="116"/>
  <c r="B5394" i="116"/>
  <c r="K5393" i="116"/>
  <c r="J5393" i="116"/>
  <c r="I5393" i="116"/>
  <c r="H5393" i="116"/>
  <c r="G5393" i="116"/>
  <c r="F5393" i="116"/>
  <c r="E5393" i="116"/>
  <c r="D5393" i="116"/>
  <c r="C5393" i="116"/>
  <c r="B5393" i="116"/>
  <c r="K5392" i="116"/>
  <c r="J5392" i="116"/>
  <c r="I5392" i="116"/>
  <c r="H5392" i="116"/>
  <c r="G5392" i="116"/>
  <c r="F5392" i="116"/>
  <c r="E5392" i="116"/>
  <c r="D5392" i="116"/>
  <c r="C5392" i="116"/>
  <c r="B5392" i="116"/>
  <c r="K5391" i="116"/>
  <c r="J5391" i="116"/>
  <c r="I5391" i="116"/>
  <c r="H5391" i="116"/>
  <c r="G5391" i="116"/>
  <c r="F5391" i="116"/>
  <c r="E5391" i="116"/>
  <c r="D5391" i="116"/>
  <c r="C5391" i="116"/>
  <c r="B5391" i="116"/>
  <c r="K5390" i="116"/>
  <c r="J5390" i="116"/>
  <c r="I5390" i="116"/>
  <c r="H5390" i="116"/>
  <c r="G5390" i="116"/>
  <c r="F5390" i="116"/>
  <c r="E5390" i="116"/>
  <c r="D5390" i="116"/>
  <c r="C5390" i="116"/>
  <c r="B5390" i="116"/>
  <c r="K5389" i="116"/>
  <c r="J5389" i="116"/>
  <c r="I5389" i="116"/>
  <c r="H5389" i="116"/>
  <c r="G5389" i="116"/>
  <c r="F5389" i="116"/>
  <c r="E5389" i="116"/>
  <c r="D5389" i="116"/>
  <c r="C5389" i="116"/>
  <c r="B5389" i="116"/>
  <c r="K5388" i="116"/>
  <c r="J5388" i="116"/>
  <c r="I5388" i="116"/>
  <c r="H5388" i="116"/>
  <c r="G5388" i="116"/>
  <c r="F5388" i="116"/>
  <c r="E5388" i="116"/>
  <c r="D5388" i="116"/>
  <c r="C5388" i="116"/>
  <c r="B5388" i="116"/>
  <c r="K5387" i="116"/>
  <c r="J5387" i="116"/>
  <c r="I5387" i="116"/>
  <c r="H5387" i="116"/>
  <c r="G5387" i="116"/>
  <c r="F5387" i="116"/>
  <c r="E5387" i="116"/>
  <c r="D5387" i="116"/>
  <c r="C5387" i="116"/>
  <c r="B5387" i="116"/>
  <c r="K5386" i="116"/>
  <c r="J5386" i="116"/>
  <c r="I5386" i="116"/>
  <c r="H5386" i="116"/>
  <c r="G5386" i="116"/>
  <c r="F5386" i="116"/>
  <c r="E5386" i="116"/>
  <c r="D5386" i="116"/>
  <c r="C5386" i="116"/>
  <c r="B5386" i="116"/>
  <c r="K5385" i="116"/>
  <c r="J5385" i="116"/>
  <c r="I5385" i="116"/>
  <c r="H5385" i="116"/>
  <c r="G5385" i="116"/>
  <c r="F5385" i="116"/>
  <c r="E5385" i="116"/>
  <c r="D5385" i="116"/>
  <c r="C5385" i="116"/>
  <c r="B5385" i="116"/>
  <c r="K5384" i="116"/>
  <c r="J5384" i="116"/>
  <c r="I5384" i="116"/>
  <c r="H5384" i="116"/>
  <c r="G5384" i="116"/>
  <c r="F5384" i="116"/>
  <c r="E5384" i="116"/>
  <c r="D5384" i="116"/>
  <c r="C5384" i="116"/>
  <c r="B5384" i="116"/>
  <c r="K5383" i="116"/>
  <c r="J5383" i="116"/>
  <c r="I5383" i="116"/>
  <c r="H5383" i="116"/>
  <c r="G5383" i="116"/>
  <c r="F5383" i="116"/>
  <c r="E5383" i="116"/>
  <c r="D5383" i="116"/>
  <c r="C5383" i="116"/>
  <c r="B5383" i="116"/>
  <c r="K5382" i="116"/>
  <c r="J5382" i="116"/>
  <c r="I5382" i="116"/>
  <c r="H5382" i="116"/>
  <c r="G5382" i="116"/>
  <c r="F5382" i="116"/>
  <c r="E5382" i="116"/>
  <c r="D5382" i="116"/>
  <c r="C5382" i="116"/>
  <c r="B5382" i="116"/>
  <c r="K5381" i="116"/>
  <c r="J5381" i="116"/>
  <c r="I5381" i="116"/>
  <c r="H5381" i="116"/>
  <c r="G5381" i="116"/>
  <c r="F5381" i="116"/>
  <c r="E5381" i="116"/>
  <c r="D5381" i="116"/>
  <c r="C5381" i="116"/>
  <c r="B5381" i="116"/>
  <c r="K5380" i="116"/>
  <c r="J5380" i="116"/>
  <c r="I5380" i="116"/>
  <c r="H5380" i="116"/>
  <c r="G5380" i="116"/>
  <c r="F5380" i="116"/>
  <c r="E5380" i="116"/>
  <c r="D5380" i="116"/>
  <c r="C5380" i="116"/>
  <c r="B5380" i="116"/>
  <c r="K5379" i="116"/>
  <c r="J5379" i="116"/>
  <c r="I5379" i="116"/>
  <c r="H5379" i="116"/>
  <c r="G5379" i="116"/>
  <c r="F5379" i="116"/>
  <c r="E5379" i="116"/>
  <c r="D5379" i="116"/>
  <c r="C5379" i="116"/>
  <c r="B5379" i="116"/>
  <c r="K5378" i="116"/>
  <c r="J5378" i="116"/>
  <c r="I5378" i="116"/>
  <c r="H5378" i="116"/>
  <c r="G5378" i="116"/>
  <c r="F5378" i="116"/>
  <c r="E5378" i="116"/>
  <c r="D5378" i="116"/>
  <c r="C5378" i="116"/>
  <c r="B5378" i="116"/>
  <c r="K5377" i="116"/>
  <c r="J5377" i="116"/>
  <c r="I5377" i="116"/>
  <c r="H5377" i="116"/>
  <c r="G5377" i="116"/>
  <c r="F5377" i="116"/>
  <c r="E5377" i="116"/>
  <c r="D5377" i="116"/>
  <c r="C5377" i="116"/>
  <c r="B5377" i="116"/>
  <c r="K5376" i="116"/>
  <c r="J5376" i="116"/>
  <c r="I5376" i="116"/>
  <c r="H5376" i="116"/>
  <c r="G5376" i="116"/>
  <c r="F5376" i="116"/>
  <c r="E5376" i="116"/>
  <c r="D5376" i="116"/>
  <c r="C5376" i="116"/>
  <c r="B5376" i="116"/>
  <c r="K5375" i="116"/>
  <c r="J5375" i="116"/>
  <c r="I5375" i="116"/>
  <c r="H5375" i="116"/>
  <c r="G5375" i="116"/>
  <c r="F5375" i="116"/>
  <c r="E5375" i="116"/>
  <c r="D5375" i="116"/>
  <c r="C5375" i="116"/>
  <c r="B5375" i="116"/>
  <c r="K5374" i="116"/>
  <c r="J5374" i="116"/>
  <c r="I5374" i="116"/>
  <c r="H5374" i="116"/>
  <c r="G5374" i="116"/>
  <c r="F5374" i="116"/>
  <c r="E5374" i="116"/>
  <c r="D5374" i="116"/>
  <c r="C5374" i="116"/>
  <c r="B5374" i="116"/>
  <c r="K5373" i="116"/>
  <c r="J5373" i="116"/>
  <c r="I5373" i="116"/>
  <c r="H5373" i="116"/>
  <c r="G5373" i="116"/>
  <c r="F5373" i="116"/>
  <c r="E5373" i="116"/>
  <c r="D5373" i="116"/>
  <c r="C5373" i="116"/>
  <c r="B5373" i="116"/>
  <c r="K5372" i="116"/>
  <c r="J5372" i="116"/>
  <c r="I5372" i="116"/>
  <c r="H5372" i="116"/>
  <c r="G5372" i="116"/>
  <c r="F5372" i="116"/>
  <c r="E5372" i="116"/>
  <c r="D5372" i="116"/>
  <c r="C5372" i="116"/>
  <c r="B5372" i="116"/>
  <c r="K5371" i="116"/>
  <c r="J5371" i="116"/>
  <c r="I5371" i="116"/>
  <c r="H5371" i="116"/>
  <c r="G5371" i="116"/>
  <c r="F5371" i="116"/>
  <c r="E5371" i="116"/>
  <c r="D5371" i="116"/>
  <c r="C5371" i="116"/>
  <c r="B5371" i="116"/>
  <c r="K5370" i="116"/>
  <c r="J5370" i="116"/>
  <c r="I5370" i="116"/>
  <c r="H5370" i="116"/>
  <c r="G5370" i="116"/>
  <c r="F5370" i="116"/>
  <c r="E5370" i="116"/>
  <c r="D5370" i="116"/>
  <c r="C5370" i="116"/>
  <c r="B5370" i="116"/>
  <c r="K5369" i="116"/>
  <c r="J5369" i="116"/>
  <c r="I5369" i="116"/>
  <c r="H5369" i="116"/>
  <c r="G5369" i="116"/>
  <c r="F5369" i="116"/>
  <c r="E5369" i="116"/>
  <c r="D5369" i="116"/>
  <c r="C5369" i="116"/>
  <c r="B5369" i="116"/>
  <c r="K5368" i="116"/>
  <c r="J5368" i="116"/>
  <c r="I5368" i="116"/>
  <c r="H5368" i="116"/>
  <c r="G5368" i="116"/>
  <c r="F5368" i="116"/>
  <c r="E5368" i="116"/>
  <c r="D5368" i="116"/>
  <c r="C5368" i="116"/>
  <c r="B5368" i="116"/>
  <c r="K5367" i="116"/>
  <c r="J5367" i="116"/>
  <c r="I5367" i="116"/>
  <c r="H5367" i="116"/>
  <c r="G5367" i="116"/>
  <c r="F5367" i="116"/>
  <c r="E5367" i="116"/>
  <c r="D5367" i="116"/>
  <c r="C5367" i="116"/>
  <c r="B5367" i="116"/>
  <c r="K5366" i="116"/>
  <c r="J5366" i="116"/>
  <c r="I5366" i="116"/>
  <c r="H5366" i="116"/>
  <c r="G5366" i="116"/>
  <c r="F5366" i="116"/>
  <c r="E5366" i="116"/>
  <c r="D5366" i="116"/>
  <c r="C5366" i="116"/>
  <c r="B5366" i="116"/>
  <c r="K5365" i="116"/>
  <c r="J5365" i="116"/>
  <c r="I5365" i="116"/>
  <c r="H5365" i="116"/>
  <c r="G5365" i="116"/>
  <c r="F5365" i="116"/>
  <c r="E5365" i="116"/>
  <c r="D5365" i="116"/>
  <c r="C5365" i="116"/>
  <c r="B5365" i="116"/>
  <c r="K5364" i="116"/>
  <c r="J5364" i="116"/>
  <c r="I5364" i="116"/>
  <c r="H5364" i="116"/>
  <c r="G5364" i="116"/>
  <c r="F5364" i="116"/>
  <c r="E5364" i="116"/>
  <c r="D5364" i="116"/>
  <c r="C5364" i="116"/>
  <c r="B5364" i="116"/>
  <c r="K5363" i="116"/>
  <c r="J5363" i="116"/>
  <c r="I5363" i="116"/>
  <c r="H5363" i="116"/>
  <c r="G5363" i="116"/>
  <c r="F5363" i="116"/>
  <c r="E5363" i="116"/>
  <c r="D5363" i="116"/>
  <c r="C5363" i="116"/>
  <c r="B5363" i="116"/>
  <c r="K5362" i="116"/>
  <c r="J5362" i="116"/>
  <c r="I5362" i="116"/>
  <c r="H5362" i="116"/>
  <c r="G5362" i="116"/>
  <c r="F5362" i="116"/>
  <c r="E5362" i="116"/>
  <c r="D5362" i="116"/>
  <c r="C5362" i="116"/>
  <c r="B5362" i="116"/>
  <c r="K5361" i="116"/>
  <c r="J5361" i="116"/>
  <c r="I5361" i="116"/>
  <c r="H5361" i="116"/>
  <c r="G5361" i="116"/>
  <c r="F5361" i="116"/>
  <c r="E5361" i="116"/>
  <c r="D5361" i="116"/>
  <c r="C5361" i="116"/>
  <c r="B5361" i="116"/>
  <c r="K5360" i="116"/>
  <c r="J5360" i="116"/>
  <c r="I5360" i="116"/>
  <c r="H5360" i="116"/>
  <c r="G5360" i="116"/>
  <c r="F5360" i="116"/>
  <c r="E5360" i="116"/>
  <c r="D5360" i="116"/>
  <c r="C5360" i="116"/>
  <c r="B5360" i="116"/>
  <c r="K5359" i="116"/>
  <c r="J5359" i="116"/>
  <c r="I5359" i="116"/>
  <c r="H5359" i="116"/>
  <c r="G5359" i="116"/>
  <c r="F5359" i="116"/>
  <c r="E5359" i="116"/>
  <c r="D5359" i="116"/>
  <c r="C5359" i="116"/>
  <c r="B5359" i="116"/>
  <c r="K5358" i="116"/>
  <c r="J5358" i="116"/>
  <c r="I5358" i="116"/>
  <c r="H5358" i="116"/>
  <c r="G5358" i="116"/>
  <c r="F5358" i="116"/>
  <c r="E5358" i="116"/>
  <c r="D5358" i="116"/>
  <c r="C5358" i="116"/>
  <c r="B5358" i="116"/>
  <c r="K5357" i="116"/>
  <c r="J5357" i="116"/>
  <c r="I5357" i="116"/>
  <c r="H5357" i="116"/>
  <c r="G5357" i="116"/>
  <c r="F5357" i="116"/>
  <c r="E5357" i="116"/>
  <c r="D5357" i="116"/>
  <c r="C5357" i="116"/>
  <c r="B5357" i="116"/>
  <c r="K5356" i="116"/>
  <c r="J5356" i="116"/>
  <c r="I5356" i="116"/>
  <c r="H5356" i="116"/>
  <c r="G5356" i="116"/>
  <c r="F5356" i="116"/>
  <c r="E5356" i="116"/>
  <c r="D5356" i="116"/>
  <c r="C5356" i="116"/>
  <c r="B5356" i="116"/>
  <c r="K5355" i="116"/>
  <c r="J5355" i="116"/>
  <c r="I5355" i="116"/>
  <c r="H5355" i="116"/>
  <c r="G5355" i="116"/>
  <c r="F5355" i="116"/>
  <c r="E5355" i="116"/>
  <c r="D5355" i="116"/>
  <c r="C5355" i="116"/>
  <c r="B5355" i="116"/>
  <c r="K5354" i="116"/>
  <c r="J5354" i="116"/>
  <c r="I5354" i="116"/>
  <c r="H5354" i="116"/>
  <c r="G5354" i="116"/>
  <c r="F5354" i="116"/>
  <c r="E5354" i="116"/>
  <c r="D5354" i="116"/>
  <c r="C5354" i="116"/>
  <c r="B5354" i="116"/>
  <c r="K5353" i="116"/>
  <c r="J5353" i="116"/>
  <c r="I5353" i="116"/>
  <c r="H5353" i="116"/>
  <c r="G5353" i="116"/>
  <c r="F5353" i="116"/>
  <c r="E5353" i="116"/>
  <c r="D5353" i="116"/>
  <c r="C5353" i="116"/>
  <c r="B5353" i="116"/>
  <c r="K5352" i="116"/>
  <c r="J5352" i="116"/>
  <c r="I5352" i="116"/>
  <c r="H5352" i="116"/>
  <c r="G5352" i="116"/>
  <c r="F5352" i="116"/>
  <c r="E5352" i="116"/>
  <c r="D5352" i="116"/>
  <c r="C5352" i="116"/>
  <c r="B5352" i="116"/>
  <c r="K5351" i="116"/>
  <c r="J5351" i="116"/>
  <c r="I5351" i="116"/>
  <c r="H5351" i="116"/>
  <c r="G5351" i="116"/>
  <c r="F5351" i="116"/>
  <c r="E5351" i="116"/>
  <c r="D5351" i="116"/>
  <c r="C5351" i="116"/>
  <c r="B5351" i="116"/>
  <c r="K5350" i="116"/>
  <c r="J5350" i="116"/>
  <c r="I5350" i="116"/>
  <c r="H5350" i="116"/>
  <c r="G5350" i="116"/>
  <c r="F5350" i="116"/>
  <c r="E5350" i="116"/>
  <c r="D5350" i="116"/>
  <c r="C5350" i="116"/>
  <c r="B5350" i="116"/>
  <c r="K5349" i="116"/>
  <c r="J5349" i="116"/>
  <c r="I5349" i="116"/>
  <c r="H5349" i="116"/>
  <c r="G5349" i="116"/>
  <c r="F5349" i="116"/>
  <c r="E5349" i="116"/>
  <c r="D5349" i="116"/>
  <c r="C5349" i="116"/>
  <c r="B5349" i="116"/>
  <c r="K5348" i="116"/>
  <c r="J5348" i="116"/>
  <c r="I5348" i="116"/>
  <c r="H5348" i="116"/>
  <c r="G5348" i="116"/>
  <c r="F5348" i="116"/>
  <c r="E5348" i="116"/>
  <c r="D5348" i="116"/>
  <c r="C5348" i="116"/>
  <c r="B5348" i="116"/>
  <c r="K5347" i="116"/>
  <c r="J5347" i="116"/>
  <c r="I5347" i="116"/>
  <c r="H5347" i="116"/>
  <c r="G5347" i="116"/>
  <c r="F5347" i="116"/>
  <c r="E5347" i="116"/>
  <c r="D5347" i="116"/>
  <c r="C5347" i="116"/>
  <c r="B5347" i="116"/>
  <c r="K5346" i="116"/>
  <c r="J5346" i="116"/>
  <c r="I5346" i="116"/>
  <c r="H5346" i="116"/>
  <c r="G5346" i="116"/>
  <c r="F5346" i="116"/>
  <c r="E5346" i="116"/>
  <c r="D5346" i="116"/>
  <c r="C5346" i="116"/>
  <c r="B5346" i="116"/>
  <c r="K5345" i="116"/>
  <c r="J5345" i="116"/>
  <c r="I5345" i="116"/>
  <c r="H5345" i="116"/>
  <c r="G5345" i="116"/>
  <c r="F5345" i="116"/>
  <c r="E5345" i="116"/>
  <c r="D5345" i="116"/>
  <c r="C5345" i="116"/>
  <c r="B5345" i="116"/>
  <c r="K5344" i="116"/>
  <c r="J5344" i="116"/>
  <c r="I5344" i="116"/>
  <c r="H5344" i="116"/>
  <c r="G5344" i="116"/>
  <c r="F5344" i="116"/>
  <c r="E5344" i="116"/>
  <c r="D5344" i="116"/>
  <c r="C5344" i="116"/>
  <c r="B5344" i="116"/>
  <c r="K5343" i="116"/>
  <c r="J5343" i="116"/>
  <c r="I5343" i="116"/>
  <c r="H5343" i="116"/>
  <c r="G5343" i="116"/>
  <c r="F5343" i="116"/>
  <c r="E5343" i="116"/>
  <c r="D5343" i="116"/>
  <c r="C5343" i="116"/>
  <c r="B5343" i="116"/>
  <c r="K5342" i="116"/>
  <c r="J5342" i="116"/>
  <c r="I5342" i="116"/>
  <c r="H5342" i="116"/>
  <c r="G5342" i="116"/>
  <c r="F5342" i="116"/>
  <c r="E5342" i="116"/>
  <c r="D5342" i="116"/>
  <c r="C5342" i="116"/>
  <c r="B5342" i="116"/>
  <c r="K5341" i="116"/>
  <c r="J5341" i="116"/>
  <c r="I5341" i="116"/>
  <c r="H5341" i="116"/>
  <c r="G5341" i="116"/>
  <c r="F5341" i="116"/>
  <c r="E5341" i="116"/>
  <c r="D5341" i="116"/>
  <c r="C5341" i="116"/>
  <c r="B5341" i="116"/>
  <c r="K5340" i="116"/>
  <c r="J5340" i="116"/>
  <c r="I5340" i="116"/>
  <c r="H5340" i="116"/>
  <c r="G5340" i="116"/>
  <c r="F5340" i="116"/>
  <c r="E5340" i="116"/>
  <c r="D5340" i="116"/>
  <c r="C5340" i="116"/>
  <c r="B5340" i="116"/>
  <c r="K5339" i="116"/>
  <c r="J5339" i="116"/>
  <c r="I5339" i="116"/>
  <c r="H5339" i="116"/>
  <c r="G5339" i="116"/>
  <c r="F5339" i="116"/>
  <c r="E5339" i="116"/>
  <c r="D5339" i="116"/>
  <c r="C5339" i="116"/>
  <c r="B5339" i="116"/>
  <c r="K5338" i="116"/>
  <c r="J5338" i="116"/>
  <c r="I5338" i="116"/>
  <c r="H5338" i="116"/>
  <c r="G5338" i="116"/>
  <c r="F5338" i="116"/>
  <c r="E5338" i="116"/>
  <c r="D5338" i="116"/>
  <c r="C5338" i="116"/>
  <c r="B5338" i="116"/>
  <c r="K5337" i="116"/>
  <c r="J5337" i="116"/>
  <c r="I5337" i="116"/>
  <c r="H5337" i="116"/>
  <c r="G5337" i="116"/>
  <c r="F5337" i="116"/>
  <c r="E5337" i="116"/>
  <c r="D5337" i="116"/>
  <c r="C5337" i="116"/>
  <c r="B5337" i="116"/>
  <c r="K5336" i="116"/>
  <c r="J5336" i="116"/>
  <c r="I5336" i="116"/>
  <c r="H5336" i="116"/>
  <c r="G5336" i="116"/>
  <c r="F5336" i="116"/>
  <c r="E5336" i="116"/>
  <c r="D5336" i="116"/>
  <c r="C5336" i="116"/>
  <c r="B5336" i="116"/>
  <c r="K5335" i="116"/>
  <c r="J5335" i="116"/>
  <c r="I5335" i="116"/>
  <c r="H5335" i="116"/>
  <c r="G5335" i="116"/>
  <c r="F5335" i="116"/>
  <c r="E5335" i="116"/>
  <c r="D5335" i="116"/>
  <c r="C5335" i="116"/>
  <c r="B5335" i="116"/>
  <c r="K5334" i="116"/>
  <c r="J5334" i="116"/>
  <c r="I5334" i="116"/>
  <c r="H5334" i="116"/>
  <c r="G5334" i="116"/>
  <c r="F5334" i="116"/>
  <c r="E5334" i="116"/>
  <c r="D5334" i="116"/>
  <c r="C5334" i="116"/>
  <c r="B5334" i="116"/>
  <c r="K5333" i="116"/>
  <c r="J5333" i="116"/>
  <c r="I5333" i="116"/>
  <c r="H5333" i="116"/>
  <c r="G5333" i="116"/>
  <c r="F5333" i="116"/>
  <c r="E5333" i="116"/>
  <c r="D5333" i="116"/>
  <c r="C5333" i="116"/>
  <c r="B5333" i="116"/>
  <c r="K5332" i="116"/>
  <c r="J5332" i="116"/>
  <c r="I5332" i="116"/>
  <c r="H5332" i="116"/>
  <c r="G5332" i="116"/>
  <c r="F5332" i="116"/>
  <c r="E5332" i="116"/>
  <c r="D5332" i="116"/>
  <c r="C5332" i="116"/>
  <c r="B5332" i="116"/>
  <c r="K5331" i="116"/>
  <c r="J5331" i="116"/>
  <c r="I5331" i="116"/>
  <c r="H5331" i="116"/>
  <c r="G5331" i="116"/>
  <c r="F5331" i="116"/>
  <c r="E5331" i="116"/>
  <c r="D5331" i="116"/>
  <c r="C5331" i="116"/>
  <c r="B5331" i="116"/>
  <c r="K5330" i="116"/>
  <c r="J5330" i="116"/>
  <c r="I5330" i="116"/>
  <c r="H5330" i="116"/>
  <c r="G5330" i="116"/>
  <c r="F5330" i="116"/>
  <c r="E5330" i="116"/>
  <c r="D5330" i="116"/>
  <c r="C5330" i="116"/>
  <c r="B5330" i="116"/>
  <c r="K5329" i="116"/>
  <c r="J5329" i="116"/>
  <c r="I5329" i="116"/>
  <c r="H5329" i="116"/>
  <c r="G5329" i="116"/>
  <c r="F5329" i="116"/>
  <c r="E5329" i="116"/>
  <c r="D5329" i="116"/>
  <c r="C5329" i="116"/>
  <c r="B5329" i="116"/>
  <c r="K5328" i="116"/>
  <c r="J5328" i="116"/>
  <c r="I5328" i="116"/>
  <c r="H5328" i="116"/>
  <c r="G5328" i="116"/>
  <c r="F5328" i="116"/>
  <c r="E5328" i="116"/>
  <c r="D5328" i="116"/>
  <c r="C5328" i="116"/>
  <c r="B5328" i="116"/>
  <c r="K5327" i="116"/>
  <c r="J5327" i="116"/>
  <c r="I5327" i="116"/>
  <c r="H5327" i="116"/>
  <c r="G5327" i="116"/>
  <c r="F5327" i="116"/>
  <c r="E5327" i="116"/>
  <c r="D5327" i="116"/>
  <c r="C5327" i="116"/>
  <c r="B5327" i="116"/>
  <c r="K5326" i="116"/>
  <c r="J5326" i="116"/>
  <c r="I5326" i="116"/>
  <c r="H5326" i="116"/>
  <c r="G5326" i="116"/>
  <c r="F5326" i="116"/>
  <c r="E5326" i="116"/>
  <c r="D5326" i="116"/>
  <c r="C5326" i="116"/>
  <c r="B5326" i="116"/>
  <c r="K5325" i="116"/>
  <c r="J5325" i="116"/>
  <c r="I5325" i="116"/>
  <c r="H5325" i="116"/>
  <c r="G5325" i="116"/>
  <c r="F5325" i="116"/>
  <c r="E5325" i="116"/>
  <c r="D5325" i="116"/>
  <c r="C5325" i="116"/>
  <c r="B5325" i="116"/>
  <c r="K5324" i="116"/>
  <c r="J5324" i="116"/>
  <c r="I5324" i="116"/>
  <c r="H5324" i="116"/>
  <c r="G5324" i="116"/>
  <c r="F5324" i="116"/>
  <c r="E5324" i="116"/>
  <c r="D5324" i="116"/>
  <c r="C5324" i="116"/>
  <c r="B5324" i="116"/>
  <c r="K5323" i="116"/>
  <c r="J5323" i="116"/>
  <c r="I5323" i="116"/>
  <c r="H5323" i="116"/>
  <c r="G5323" i="116"/>
  <c r="F5323" i="116"/>
  <c r="E5323" i="116"/>
  <c r="D5323" i="116"/>
  <c r="C5323" i="116"/>
  <c r="B5323" i="116"/>
  <c r="K5322" i="116"/>
  <c r="J5322" i="116"/>
  <c r="I5322" i="116"/>
  <c r="H5322" i="116"/>
  <c r="G5322" i="116"/>
  <c r="F5322" i="116"/>
  <c r="E5322" i="116"/>
  <c r="D5322" i="116"/>
  <c r="C5322" i="116"/>
  <c r="B5322" i="116"/>
  <c r="K5321" i="116"/>
  <c r="J5321" i="116"/>
  <c r="I5321" i="116"/>
  <c r="H5321" i="116"/>
  <c r="G5321" i="116"/>
  <c r="F5321" i="116"/>
  <c r="E5321" i="116"/>
  <c r="D5321" i="116"/>
  <c r="C5321" i="116"/>
  <c r="B5321" i="116"/>
  <c r="K5320" i="116"/>
  <c r="J5320" i="116"/>
  <c r="I5320" i="116"/>
  <c r="H5320" i="116"/>
  <c r="G5320" i="116"/>
  <c r="F5320" i="116"/>
  <c r="E5320" i="116"/>
  <c r="D5320" i="116"/>
  <c r="C5320" i="116"/>
  <c r="B5320" i="116"/>
  <c r="K5319" i="116"/>
  <c r="J5319" i="116"/>
  <c r="I5319" i="116"/>
  <c r="H5319" i="116"/>
  <c r="G5319" i="116"/>
  <c r="F5319" i="116"/>
  <c r="E5319" i="116"/>
  <c r="D5319" i="116"/>
  <c r="C5319" i="116"/>
  <c r="B5319" i="116"/>
  <c r="K5318" i="116"/>
  <c r="J5318" i="116"/>
  <c r="I5318" i="116"/>
  <c r="H5318" i="116"/>
  <c r="G5318" i="116"/>
  <c r="F5318" i="116"/>
  <c r="E5318" i="116"/>
  <c r="D5318" i="116"/>
  <c r="C5318" i="116"/>
  <c r="B5318" i="116"/>
  <c r="K5317" i="116"/>
  <c r="J5317" i="116"/>
  <c r="I5317" i="116"/>
  <c r="H5317" i="116"/>
  <c r="G5317" i="116"/>
  <c r="F5317" i="116"/>
  <c r="E5317" i="116"/>
  <c r="D5317" i="116"/>
  <c r="C5317" i="116"/>
  <c r="B5317" i="116"/>
  <c r="K5316" i="116"/>
  <c r="J5316" i="116"/>
  <c r="I5316" i="116"/>
  <c r="H5316" i="116"/>
  <c r="G5316" i="116"/>
  <c r="F5316" i="116"/>
  <c r="E5316" i="116"/>
  <c r="D5316" i="116"/>
  <c r="C5316" i="116"/>
  <c r="B5316" i="116"/>
  <c r="K5315" i="116"/>
  <c r="J5315" i="116"/>
  <c r="I5315" i="116"/>
  <c r="H5315" i="116"/>
  <c r="G5315" i="116"/>
  <c r="F5315" i="116"/>
  <c r="E5315" i="116"/>
  <c r="D5315" i="116"/>
  <c r="C5315" i="116"/>
  <c r="B5315" i="116"/>
  <c r="K5314" i="116"/>
  <c r="J5314" i="116"/>
  <c r="I5314" i="116"/>
  <c r="H5314" i="116"/>
  <c r="G5314" i="116"/>
  <c r="F5314" i="116"/>
  <c r="E5314" i="116"/>
  <c r="D5314" i="116"/>
  <c r="C5314" i="116"/>
  <c r="B5314" i="116"/>
  <c r="K5313" i="116"/>
  <c r="J5313" i="116"/>
  <c r="I5313" i="116"/>
  <c r="H5313" i="116"/>
  <c r="G5313" i="116"/>
  <c r="F5313" i="116"/>
  <c r="E5313" i="116"/>
  <c r="D5313" i="116"/>
  <c r="C5313" i="116"/>
  <c r="B5313" i="116"/>
  <c r="K5312" i="116"/>
  <c r="J5312" i="116"/>
  <c r="I5312" i="116"/>
  <c r="H5312" i="116"/>
  <c r="G5312" i="116"/>
  <c r="F5312" i="116"/>
  <c r="E5312" i="116"/>
  <c r="D5312" i="116"/>
  <c r="C5312" i="116"/>
  <c r="B5312" i="116"/>
  <c r="K5311" i="116"/>
  <c r="J5311" i="116"/>
  <c r="I5311" i="116"/>
  <c r="H5311" i="116"/>
  <c r="G5311" i="116"/>
  <c r="F5311" i="116"/>
  <c r="E5311" i="116"/>
  <c r="D5311" i="116"/>
  <c r="C5311" i="116"/>
  <c r="B5311" i="116"/>
  <c r="K5310" i="116"/>
  <c r="J5310" i="116"/>
  <c r="I5310" i="116"/>
  <c r="H5310" i="116"/>
  <c r="G5310" i="116"/>
  <c r="F5310" i="116"/>
  <c r="E5310" i="116"/>
  <c r="D5310" i="116"/>
  <c r="C5310" i="116"/>
  <c r="B5310" i="116"/>
  <c r="K5309" i="116"/>
  <c r="J5309" i="116"/>
  <c r="I5309" i="116"/>
  <c r="H5309" i="116"/>
  <c r="G5309" i="116"/>
  <c r="F5309" i="116"/>
  <c r="E5309" i="116"/>
  <c r="D5309" i="116"/>
  <c r="C5309" i="116"/>
  <c r="B5309" i="116"/>
  <c r="K5308" i="116"/>
  <c r="J5308" i="116"/>
  <c r="I5308" i="116"/>
  <c r="H5308" i="116"/>
  <c r="G5308" i="116"/>
  <c r="F5308" i="116"/>
  <c r="E5308" i="116"/>
  <c r="D5308" i="116"/>
  <c r="C5308" i="116"/>
  <c r="B5308" i="116"/>
  <c r="K5307" i="116"/>
  <c r="J5307" i="116"/>
  <c r="I5307" i="116"/>
  <c r="H5307" i="116"/>
  <c r="G5307" i="116"/>
  <c r="F5307" i="116"/>
  <c r="E5307" i="116"/>
  <c r="D5307" i="116"/>
  <c r="C5307" i="116"/>
  <c r="B5307" i="116"/>
  <c r="K5306" i="116"/>
  <c r="J5306" i="116"/>
  <c r="I5306" i="116"/>
  <c r="H5306" i="116"/>
  <c r="G5306" i="116"/>
  <c r="F5306" i="116"/>
  <c r="E5306" i="116"/>
  <c r="D5306" i="116"/>
  <c r="C5306" i="116"/>
  <c r="B5306" i="116"/>
  <c r="K5305" i="116"/>
  <c r="J5305" i="116"/>
  <c r="I5305" i="116"/>
  <c r="H5305" i="116"/>
  <c r="G5305" i="116"/>
  <c r="F5305" i="116"/>
  <c r="E5305" i="116"/>
  <c r="D5305" i="116"/>
  <c r="C5305" i="116"/>
  <c r="B5305" i="116"/>
  <c r="K5304" i="116"/>
  <c r="J5304" i="116"/>
  <c r="I5304" i="116"/>
  <c r="H5304" i="116"/>
  <c r="G5304" i="116"/>
  <c r="F5304" i="116"/>
  <c r="E5304" i="116"/>
  <c r="D5304" i="116"/>
  <c r="C5304" i="116"/>
  <c r="B5304" i="116"/>
  <c r="K5303" i="116"/>
  <c r="J5303" i="116"/>
  <c r="I5303" i="116"/>
  <c r="H5303" i="116"/>
  <c r="G5303" i="116"/>
  <c r="F5303" i="116"/>
  <c r="E5303" i="116"/>
  <c r="D5303" i="116"/>
  <c r="C5303" i="116"/>
  <c r="B5303" i="116"/>
  <c r="K5302" i="116"/>
  <c r="J5302" i="116"/>
  <c r="I5302" i="116"/>
  <c r="H5302" i="116"/>
  <c r="G5302" i="116"/>
  <c r="F5302" i="116"/>
  <c r="E5302" i="116"/>
  <c r="D5302" i="116"/>
  <c r="C5302" i="116"/>
  <c r="B5302" i="116"/>
  <c r="K5301" i="116"/>
  <c r="J5301" i="116"/>
  <c r="I5301" i="116"/>
  <c r="H5301" i="116"/>
  <c r="G5301" i="116"/>
  <c r="F5301" i="116"/>
  <c r="E5301" i="116"/>
  <c r="D5301" i="116"/>
  <c r="C5301" i="116"/>
  <c r="B5301" i="116"/>
  <c r="K5300" i="116"/>
  <c r="J5300" i="116"/>
  <c r="I5300" i="116"/>
  <c r="H5300" i="116"/>
  <c r="G5300" i="116"/>
  <c r="F5300" i="116"/>
  <c r="E5300" i="116"/>
  <c r="D5300" i="116"/>
  <c r="C5300" i="116"/>
  <c r="B5300" i="116"/>
  <c r="K5299" i="116"/>
  <c r="J5299" i="116"/>
  <c r="I5299" i="116"/>
  <c r="H5299" i="116"/>
  <c r="G5299" i="116"/>
  <c r="F5299" i="116"/>
  <c r="E5299" i="116"/>
  <c r="D5299" i="116"/>
  <c r="C5299" i="116"/>
  <c r="B5299" i="116"/>
  <c r="K5298" i="116"/>
  <c r="J5298" i="116"/>
  <c r="I5298" i="116"/>
  <c r="H5298" i="116"/>
  <c r="G5298" i="116"/>
  <c r="F5298" i="116"/>
  <c r="E5298" i="116"/>
  <c r="D5298" i="116"/>
  <c r="C5298" i="116"/>
  <c r="B5298" i="116"/>
  <c r="K5297" i="116"/>
  <c r="J5297" i="116"/>
  <c r="I5297" i="116"/>
  <c r="H5297" i="116"/>
  <c r="G5297" i="116"/>
  <c r="F5297" i="116"/>
  <c r="E5297" i="116"/>
  <c r="D5297" i="116"/>
  <c r="C5297" i="116"/>
  <c r="B5297" i="116"/>
  <c r="K5296" i="116"/>
  <c r="J5296" i="116"/>
  <c r="I5296" i="116"/>
  <c r="H5296" i="116"/>
  <c r="G5296" i="116"/>
  <c r="F5296" i="116"/>
  <c r="E5296" i="116"/>
  <c r="D5296" i="116"/>
  <c r="C5296" i="116"/>
  <c r="B5296" i="116"/>
  <c r="K5295" i="116"/>
  <c r="J5295" i="116"/>
  <c r="I5295" i="116"/>
  <c r="H5295" i="116"/>
  <c r="G5295" i="116"/>
  <c r="F5295" i="116"/>
  <c r="E5295" i="116"/>
  <c r="D5295" i="116"/>
  <c r="C5295" i="116"/>
  <c r="B5295" i="116"/>
  <c r="K5294" i="116"/>
  <c r="J5294" i="116"/>
  <c r="I5294" i="116"/>
  <c r="H5294" i="116"/>
  <c r="G5294" i="116"/>
  <c r="F5294" i="116"/>
  <c r="E5294" i="116"/>
  <c r="D5294" i="116"/>
  <c r="C5294" i="116"/>
  <c r="B5294" i="116"/>
  <c r="K5293" i="116"/>
  <c r="J5293" i="116"/>
  <c r="I5293" i="116"/>
  <c r="H5293" i="116"/>
  <c r="G5293" i="116"/>
  <c r="F5293" i="116"/>
  <c r="E5293" i="116"/>
  <c r="D5293" i="116"/>
  <c r="C5293" i="116"/>
  <c r="B5293" i="116"/>
  <c r="K5292" i="116"/>
  <c r="J5292" i="116"/>
  <c r="I5292" i="116"/>
  <c r="H5292" i="116"/>
  <c r="G5292" i="116"/>
  <c r="F5292" i="116"/>
  <c r="E5292" i="116"/>
  <c r="D5292" i="116"/>
  <c r="C5292" i="116"/>
  <c r="B5292" i="116"/>
  <c r="K5291" i="116"/>
  <c r="J5291" i="116"/>
  <c r="I5291" i="116"/>
  <c r="H5291" i="116"/>
  <c r="G5291" i="116"/>
  <c r="F5291" i="116"/>
  <c r="E5291" i="116"/>
  <c r="D5291" i="116"/>
  <c r="C5291" i="116"/>
  <c r="B5291" i="116"/>
  <c r="K5290" i="116"/>
  <c r="J5290" i="116"/>
  <c r="I5290" i="116"/>
  <c r="H5290" i="116"/>
  <c r="G5290" i="116"/>
  <c r="F5290" i="116"/>
  <c r="E5290" i="116"/>
  <c r="D5290" i="116"/>
  <c r="C5290" i="116"/>
  <c r="B5290" i="116"/>
  <c r="K5289" i="116"/>
  <c r="J5289" i="116"/>
  <c r="I5289" i="116"/>
  <c r="H5289" i="116"/>
  <c r="G5289" i="116"/>
  <c r="F5289" i="116"/>
  <c r="E5289" i="116"/>
  <c r="D5289" i="116"/>
  <c r="C5289" i="116"/>
  <c r="B5289" i="116"/>
  <c r="K5288" i="116"/>
  <c r="J5288" i="116"/>
  <c r="I5288" i="116"/>
  <c r="H5288" i="116"/>
  <c r="G5288" i="116"/>
  <c r="F5288" i="116"/>
  <c r="E5288" i="116"/>
  <c r="D5288" i="116"/>
  <c r="C5288" i="116"/>
  <c r="B5288" i="116"/>
  <c r="K5287" i="116"/>
  <c r="J5287" i="116"/>
  <c r="I5287" i="116"/>
  <c r="H5287" i="116"/>
  <c r="G5287" i="116"/>
  <c r="F5287" i="116"/>
  <c r="E5287" i="116"/>
  <c r="D5287" i="116"/>
  <c r="C5287" i="116"/>
  <c r="B5287" i="116"/>
  <c r="K5286" i="116"/>
  <c r="J5286" i="116"/>
  <c r="I5286" i="116"/>
  <c r="H5286" i="116"/>
  <c r="G5286" i="116"/>
  <c r="F5286" i="116"/>
  <c r="E5286" i="116"/>
  <c r="D5286" i="116"/>
  <c r="C5286" i="116"/>
  <c r="B5286" i="116"/>
  <c r="K5285" i="116"/>
  <c r="J5285" i="116"/>
  <c r="I5285" i="116"/>
  <c r="H5285" i="116"/>
  <c r="G5285" i="116"/>
  <c r="F5285" i="116"/>
  <c r="E5285" i="116"/>
  <c r="D5285" i="116"/>
  <c r="C5285" i="116"/>
  <c r="B5285" i="116"/>
  <c r="K5284" i="116"/>
  <c r="J5284" i="116"/>
  <c r="I5284" i="116"/>
  <c r="H5284" i="116"/>
  <c r="G5284" i="116"/>
  <c r="F5284" i="116"/>
  <c r="E5284" i="116"/>
  <c r="D5284" i="116"/>
  <c r="C5284" i="116"/>
  <c r="B5284" i="116"/>
  <c r="K5283" i="116"/>
  <c r="J5283" i="116"/>
  <c r="I5283" i="116"/>
  <c r="H5283" i="116"/>
  <c r="G5283" i="116"/>
  <c r="F5283" i="116"/>
  <c r="E5283" i="116"/>
  <c r="D5283" i="116"/>
  <c r="C5283" i="116"/>
  <c r="B5283" i="116"/>
  <c r="K5282" i="116"/>
  <c r="J5282" i="116"/>
  <c r="I5282" i="116"/>
  <c r="H5282" i="116"/>
  <c r="G5282" i="116"/>
  <c r="F5282" i="116"/>
  <c r="E5282" i="116"/>
  <c r="D5282" i="116"/>
  <c r="C5282" i="116"/>
  <c r="B5282" i="116"/>
  <c r="K5281" i="116"/>
  <c r="J5281" i="116"/>
  <c r="I5281" i="116"/>
  <c r="H5281" i="116"/>
  <c r="G5281" i="116"/>
  <c r="F5281" i="116"/>
  <c r="E5281" i="116"/>
  <c r="D5281" i="116"/>
  <c r="C5281" i="116"/>
  <c r="B5281" i="116"/>
  <c r="K5280" i="116"/>
  <c r="J5280" i="116"/>
  <c r="I5280" i="116"/>
  <c r="H5280" i="116"/>
  <c r="G5280" i="116"/>
  <c r="F5280" i="116"/>
  <c r="E5280" i="116"/>
  <c r="D5280" i="116"/>
  <c r="C5280" i="116"/>
  <c r="B5280" i="116"/>
  <c r="K5279" i="116"/>
  <c r="J5279" i="116"/>
  <c r="I5279" i="116"/>
  <c r="H5279" i="116"/>
  <c r="G5279" i="116"/>
  <c r="F5279" i="116"/>
  <c r="E5279" i="116"/>
  <c r="D5279" i="116"/>
  <c r="C5279" i="116"/>
  <c r="B5279" i="116"/>
  <c r="K5278" i="116"/>
  <c r="J5278" i="116"/>
  <c r="I5278" i="116"/>
  <c r="H5278" i="116"/>
  <c r="G5278" i="116"/>
  <c r="F5278" i="116"/>
  <c r="E5278" i="116"/>
  <c r="D5278" i="116"/>
  <c r="C5278" i="116"/>
  <c r="B5278" i="116"/>
  <c r="K5277" i="116"/>
  <c r="J5277" i="116"/>
  <c r="I5277" i="116"/>
  <c r="H5277" i="116"/>
  <c r="G5277" i="116"/>
  <c r="F5277" i="116"/>
  <c r="E5277" i="116"/>
  <c r="D5277" i="116"/>
  <c r="C5277" i="116"/>
  <c r="B5277" i="116"/>
  <c r="K5276" i="116"/>
  <c r="J5276" i="116"/>
  <c r="I5276" i="116"/>
  <c r="H5276" i="116"/>
  <c r="G5276" i="116"/>
  <c r="F5276" i="116"/>
  <c r="E5276" i="116"/>
  <c r="D5276" i="116"/>
  <c r="C5276" i="116"/>
  <c r="B5276" i="116"/>
  <c r="K5275" i="116"/>
  <c r="J5275" i="116"/>
  <c r="I5275" i="116"/>
  <c r="H5275" i="116"/>
  <c r="G5275" i="116"/>
  <c r="F5275" i="116"/>
  <c r="E5275" i="116"/>
  <c r="D5275" i="116"/>
  <c r="C5275" i="116"/>
  <c r="B5275" i="116"/>
  <c r="K5274" i="116"/>
  <c r="J5274" i="116"/>
  <c r="I5274" i="116"/>
  <c r="H5274" i="116"/>
  <c r="G5274" i="116"/>
  <c r="F5274" i="116"/>
  <c r="E5274" i="116"/>
  <c r="D5274" i="116"/>
  <c r="C5274" i="116"/>
  <c r="B5274" i="116"/>
  <c r="K5273" i="116"/>
  <c r="J5273" i="116"/>
  <c r="I5273" i="116"/>
  <c r="H5273" i="116"/>
  <c r="G5273" i="116"/>
  <c r="F5273" i="116"/>
  <c r="E5273" i="116"/>
  <c r="D5273" i="116"/>
  <c r="C5273" i="116"/>
  <c r="B5273" i="116"/>
  <c r="K5272" i="116"/>
  <c r="J5272" i="116"/>
  <c r="I5272" i="116"/>
  <c r="H5272" i="116"/>
  <c r="G5272" i="116"/>
  <c r="F5272" i="116"/>
  <c r="E5272" i="116"/>
  <c r="D5272" i="116"/>
  <c r="C5272" i="116"/>
  <c r="B5272" i="116"/>
  <c r="K5271" i="116"/>
  <c r="J5271" i="116"/>
  <c r="I5271" i="116"/>
  <c r="H5271" i="116"/>
  <c r="G5271" i="116"/>
  <c r="F5271" i="116"/>
  <c r="E5271" i="116"/>
  <c r="D5271" i="116"/>
  <c r="C5271" i="116"/>
  <c r="B5271" i="116"/>
  <c r="K5270" i="116"/>
  <c r="J5270" i="116"/>
  <c r="I5270" i="116"/>
  <c r="H5270" i="116"/>
  <c r="G5270" i="116"/>
  <c r="F5270" i="116"/>
  <c r="E5270" i="116"/>
  <c r="D5270" i="116"/>
  <c r="C5270" i="116"/>
  <c r="B5270" i="116"/>
  <c r="K5269" i="116"/>
  <c r="J5269" i="116"/>
  <c r="I5269" i="116"/>
  <c r="H5269" i="116"/>
  <c r="G5269" i="116"/>
  <c r="F5269" i="116"/>
  <c r="E5269" i="116"/>
  <c r="D5269" i="116"/>
  <c r="C5269" i="116"/>
  <c r="B5269" i="116"/>
  <c r="K5268" i="116"/>
  <c r="J5268" i="116"/>
  <c r="I5268" i="116"/>
  <c r="H5268" i="116"/>
  <c r="G5268" i="116"/>
  <c r="F5268" i="116"/>
  <c r="E5268" i="116"/>
  <c r="D5268" i="116"/>
  <c r="C5268" i="116"/>
  <c r="B5268" i="116"/>
  <c r="K5267" i="116"/>
  <c r="J5267" i="116"/>
  <c r="I5267" i="116"/>
  <c r="H5267" i="116"/>
  <c r="G5267" i="116"/>
  <c r="F5267" i="116"/>
  <c r="E5267" i="116"/>
  <c r="D5267" i="116"/>
  <c r="C5267" i="116"/>
  <c r="B5267" i="116"/>
  <c r="K5266" i="116"/>
  <c r="J5266" i="116"/>
  <c r="I5266" i="116"/>
  <c r="H5266" i="116"/>
  <c r="G5266" i="116"/>
  <c r="F5266" i="116"/>
  <c r="E5266" i="116"/>
  <c r="D5266" i="116"/>
  <c r="C5266" i="116"/>
  <c r="B5266" i="116"/>
  <c r="K5265" i="116"/>
  <c r="J5265" i="116"/>
  <c r="I5265" i="116"/>
  <c r="H5265" i="116"/>
  <c r="G5265" i="116"/>
  <c r="F5265" i="116"/>
  <c r="E5265" i="116"/>
  <c r="D5265" i="116"/>
  <c r="C5265" i="116"/>
  <c r="B5265" i="116"/>
  <c r="K5264" i="116"/>
  <c r="J5264" i="116"/>
  <c r="I5264" i="116"/>
  <c r="H5264" i="116"/>
  <c r="G5264" i="116"/>
  <c r="F5264" i="116"/>
  <c r="E5264" i="116"/>
  <c r="D5264" i="116"/>
  <c r="C5264" i="116"/>
  <c r="B5264" i="116"/>
  <c r="K5263" i="116"/>
  <c r="J5263" i="116"/>
  <c r="I5263" i="116"/>
  <c r="H5263" i="116"/>
  <c r="G5263" i="116"/>
  <c r="F5263" i="116"/>
  <c r="E5263" i="116"/>
  <c r="D5263" i="116"/>
  <c r="C5263" i="116"/>
  <c r="B5263" i="116"/>
  <c r="K5262" i="116"/>
  <c r="J5262" i="116"/>
  <c r="I5262" i="116"/>
  <c r="H5262" i="116"/>
  <c r="G5262" i="116"/>
  <c r="F5262" i="116"/>
  <c r="E5262" i="116"/>
  <c r="D5262" i="116"/>
  <c r="C5262" i="116"/>
  <c r="B5262" i="116"/>
  <c r="K5261" i="116"/>
  <c r="J5261" i="116"/>
  <c r="I5261" i="116"/>
  <c r="H5261" i="116"/>
  <c r="G5261" i="116"/>
  <c r="F5261" i="116"/>
  <c r="E5261" i="116"/>
  <c r="D5261" i="116"/>
  <c r="C5261" i="116"/>
  <c r="B5261" i="116"/>
  <c r="K5260" i="116"/>
  <c r="J5260" i="116"/>
  <c r="I5260" i="116"/>
  <c r="H5260" i="116"/>
  <c r="G5260" i="116"/>
  <c r="F5260" i="116"/>
  <c r="E5260" i="116"/>
  <c r="D5260" i="116"/>
  <c r="C5260" i="116"/>
  <c r="B5260" i="116"/>
  <c r="K5259" i="116"/>
  <c r="J5259" i="116"/>
  <c r="I5259" i="116"/>
  <c r="H5259" i="116"/>
  <c r="G5259" i="116"/>
  <c r="F5259" i="116"/>
  <c r="E5259" i="116"/>
  <c r="D5259" i="116"/>
  <c r="C5259" i="116"/>
  <c r="B5259" i="116"/>
  <c r="K5258" i="116"/>
  <c r="J5258" i="116"/>
  <c r="I5258" i="116"/>
  <c r="H5258" i="116"/>
  <c r="G5258" i="116"/>
  <c r="F5258" i="116"/>
  <c r="E5258" i="116"/>
  <c r="D5258" i="116"/>
  <c r="C5258" i="116"/>
  <c r="B5258" i="116"/>
  <c r="K5257" i="116"/>
  <c r="J5257" i="116"/>
  <c r="I5257" i="116"/>
  <c r="H5257" i="116"/>
  <c r="G5257" i="116"/>
  <c r="F5257" i="116"/>
  <c r="E5257" i="116"/>
  <c r="D5257" i="116"/>
  <c r="C5257" i="116"/>
  <c r="B5257" i="116"/>
  <c r="K5256" i="116"/>
  <c r="J5256" i="116"/>
  <c r="I5256" i="116"/>
  <c r="H5256" i="116"/>
  <c r="G5256" i="116"/>
  <c r="F5256" i="116"/>
  <c r="E5256" i="116"/>
  <c r="D5256" i="116"/>
  <c r="C5256" i="116"/>
  <c r="B5256" i="116"/>
  <c r="K5255" i="116"/>
  <c r="J5255" i="116"/>
  <c r="I5255" i="116"/>
  <c r="H5255" i="116"/>
  <c r="G5255" i="116"/>
  <c r="F5255" i="116"/>
  <c r="E5255" i="116"/>
  <c r="D5255" i="116"/>
  <c r="C5255" i="116"/>
  <c r="B5255" i="116"/>
  <c r="K5254" i="116"/>
  <c r="J5254" i="116"/>
  <c r="I5254" i="116"/>
  <c r="H5254" i="116"/>
  <c r="G5254" i="116"/>
  <c r="F5254" i="116"/>
  <c r="E5254" i="116"/>
  <c r="D5254" i="116"/>
  <c r="C5254" i="116"/>
  <c r="B5254" i="116"/>
  <c r="K5253" i="116"/>
  <c r="J5253" i="116"/>
  <c r="I5253" i="116"/>
  <c r="H5253" i="116"/>
  <c r="G5253" i="116"/>
  <c r="F5253" i="116"/>
  <c r="E5253" i="116"/>
  <c r="D5253" i="116"/>
  <c r="C5253" i="116"/>
  <c r="B5253" i="116"/>
  <c r="K5252" i="116"/>
  <c r="J5252" i="116"/>
  <c r="I5252" i="116"/>
  <c r="H5252" i="116"/>
  <c r="G5252" i="116"/>
  <c r="F5252" i="116"/>
  <c r="E5252" i="116"/>
  <c r="D5252" i="116"/>
  <c r="C5252" i="116"/>
  <c r="B5252" i="116"/>
  <c r="K5251" i="116"/>
  <c r="J5251" i="116"/>
  <c r="I5251" i="116"/>
  <c r="H5251" i="116"/>
  <c r="G5251" i="116"/>
  <c r="F5251" i="116"/>
  <c r="E5251" i="116"/>
  <c r="D5251" i="116"/>
  <c r="C5251" i="116"/>
  <c r="B5251" i="116"/>
  <c r="K5250" i="116"/>
  <c r="J5250" i="116"/>
  <c r="I5250" i="116"/>
  <c r="H5250" i="116"/>
  <c r="G5250" i="116"/>
  <c r="F5250" i="116"/>
  <c r="E5250" i="116"/>
  <c r="D5250" i="116"/>
  <c r="C5250" i="116"/>
  <c r="B5250" i="116"/>
  <c r="K5249" i="116"/>
  <c r="J5249" i="116"/>
  <c r="I5249" i="116"/>
  <c r="H5249" i="116"/>
  <c r="G5249" i="116"/>
  <c r="F5249" i="116"/>
  <c r="E5249" i="116"/>
  <c r="D5249" i="116"/>
  <c r="C5249" i="116"/>
  <c r="B5249" i="116"/>
  <c r="K5248" i="116"/>
  <c r="J5248" i="116"/>
  <c r="I5248" i="116"/>
  <c r="H5248" i="116"/>
  <c r="G5248" i="116"/>
  <c r="F5248" i="116"/>
  <c r="E5248" i="116"/>
  <c r="D5248" i="116"/>
  <c r="C5248" i="116"/>
  <c r="B5248" i="116"/>
  <c r="K5247" i="116"/>
  <c r="J5247" i="116"/>
  <c r="I5247" i="116"/>
  <c r="H5247" i="116"/>
  <c r="G5247" i="116"/>
  <c r="F5247" i="116"/>
  <c r="E5247" i="116"/>
  <c r="D5247" i="116"/>
  <c r="C5247" i="116"/>
  <c r="B5247" i="116"/>
  <c r="K5246" i="116"/>
  <c r="J5246" i="116"/>
  <c r="I5246" i="116"/>
  <c r="H5246" i="116"/>
  <c r="G5246" i="116"/>
  <c r="F5246" i="116"/>
  <c r="E5246" i="116"/>
  <c r="D5246" i="116"/>
  <c r="C5246" i="116"/>
  <c r="B5246" i="116"/>
  <c r="K5245" i="116"/>
  <c r="J5245" i="116"/>
  <c r="I5245" i="116"/>
  <c r="H5245" i="116"/>
  <c r="G5245" i="116"/>
  <c r="F5245" i="116"/>
  <c r="E5245" i="116"/>
  <c r="D5245" i="116"/>
  <c r="C5245" i="116"/>
  <c r="B5245" i="116"/>
  <c r="K5244" i="116"/>
  <c r="J5244" i="116"/>
  <c r="I5244" i="116"/>
  <c r="H5244" i="116"/>
  <c r="G5244" i="116"/>
  <c r="F5244" i="116"/>
  <c r="E5244" i="116"/>
  <c r="D5244" i="116"/>
  <c r="C5244" i="116"/>
  <c r="B5244" i="116"/>
  <c r="K5243" i="116"/>
  <c r="J5243" i="116"/>
  <c r="I5243" i="116"/>
  <c r="H5243" i="116"/>
  <c r="G5243" i="116"/>
  <c r="F5243" i="116"/>
  <c r="E5243" i="116"/>
  <c r="D5243" i="116"/>
  <c r="C5243" i="116"/>
  <c r="B5243" i="116"/>
  <c r="K5242" i="116"/>
  <c r="J5242" i="116"/>
  <c r="I5242" i="116"/>
  <c r="H5242" i="116"/>
  <c r="G5242" i="116"/>
  <c r="F5242" i="116"/>
  <c r="E5242" i="116"/>
  <c r="D5242" i="116"/>
  <c r="C5242" i="116"/>
  <c r="B5242" i="116"/>
  <c r="K5241" i="116"/>
  <c r="J5241" i="116"/>
  <c r="I5241" i="116"/>
  <c r="H5241" i="116"/>
  <c r="G5241" i="116"/>
  <c r="F5241" i="116"/>
  <c r="E5241" i="116"/>
  <c r="D5241" i="116"/>
  <c r="C5241" i="116"/>
  <c r="B5241" i="116"/>
  <c r="K5240" i="116"/>
  <c r="J5240" i="116"/>
  <c r="I5240" i="116"/>
  <c r="H5240" i="116"/>
  <c r="G5240" i="116"/>
  <c r="F5240" i="116"/>
  <c r="E5240" i="116"/>
  <c r="D5240" i="116"/>
  <c r="C5240" i="116"/>
  <c r="B5240" i="116"/>
  <c r="K5239" i="116"/>
  <c r="J5239" i="116"/>
  <c r="I5239" i="116"/>
  <c r="H5239" i="116"/>
  <c r="G5239" i="116"/>
  <c r="F5239" i="116"/>
  <c r="E5239" i="116"/>
  <c r="D5239" i="116"/>
  <c r="C5239" i="116"/>
  <c r="B5239" i="116"/>
  <c r="K5238" i="116"/>
  <c r="J5238" i="116"/>
  <c r="I5238" i="116"/>
  <c r="H5238" i="116"/>
  <c r="G5238" i="116"/>
  <c r="F5238" i="116"/>
  <c r="E5238" i="116"/>
  <c r="D5238" i="116"/>
  <c r="C5238" i="116"/>
  <c r="B5238" i="116"/>
  <c r="K5237" i="116"/>
  <c r="J5237" i="116"/>
  <c r="I5237" i="116"/>
  <c r="H5237" i="116"/>
  <c r="G5237" i="116"/>
  <c r="F5237" i="116"/>
  <c r="E5237" i="116"/>
  <c r="D5237" i="116"/>
  <c r="C5237" i="116"/>
  <c r="B5237" i="116"/>
  <c r="K5236" i="116"/>
  <c r="J5236" i="116"/>
  <c r="I5236" i="116"/>
  <c r="H5236" i="116"/>
  <c r="G5236" i="116"/>
  <c r="F5236" i="116"/>
  <c r="E5236" i="116"/>
  <c r="D5236" i="116"/>
  <c r="C5236" i="116"/>
  <c r="B5236" i="116"/>
  <c r="K5235" i="116"/>
  <c r="J5235" i="116"/>
  <c r="I5235" i="116"/>
  <c r="H5235" i="116"/>
  <c r="G5235" i="116"/>
  <c r="F5235" i="116"/>
  <c r="E5235" i="116"/>
  <c r="D5235" i="116"/>
  <c r="C5235" i="116"/>
  <c r="B5235" i="116"/>
  <c r="K5234" i="116"/>
  <c r="J5234" i="116"/>
  <c r="I5234" i="116"/>
  <c r="H5234" i="116"/>
  <c r="G5234" i="116"/>
  <c r="F5234" i="116"/>
  <c r="E5234" i="116"/>
  <c r="D5234" i="116"/>
  <c r="C5234" i="116"/>
  <c r="B5234" i="116"/>
  <c r="K5233" i="116"/>
  <c r="J5233" i="116"/>
  <c r="I5233" i="116"/>
  <c r="H5233" i="116"/>
  <c r="G5233" i="116"/>
  <c r="F5233" i="116"/>
  <c r="E5233" i="116"/>
  <c r="D5233" i="116"/>
  <c r="C5233" i="116"/>
  <c r="B5233" i="116"/>
  <c r="K5232" i="116"/>
  <c r="J5232" i="116"/>
  <c r="I5232" i="116"/>
  <c r="H5232" i="116"/>
  <c r="G5232" i="116"/>
  <c r="F5232" i="116"/>
  <c r="E5232" i="116"/>
  <c r="D5232" i="116"/>
  <c r="C5232" i="116"/>
  <c r="B5232" i="116"/>
  <c r="K5231" i="116"/>
  <c r="J5231" i="116"/>
  <c r="I5231" i="116"/>
  <c r="H5231" i="116"/>
  <c r="G5231" i="116"/>
  <c r="F5231" i="116"/>
  <c r="E5231" i="116"/>
  <c r="D5231" i="116"/>
  <c r="C5231" i="116"/>
  <c r="B5231" i="116"/>
  <c r="K5230" i="116"/>
  <c r="J5230" i="116"/>
  <c r="I5230" i="116"/>
  <c r="H5230" i="116"/>
  <c r="G5230" i="116"/>
  <c r="F5230" i="116"/>
  <c r="E5230" i="116"/>
  <c r="D5230" i="116"/>
  <c r="C5230" i="116"/>
  <c r="B5230" i="116"/>
  <c r="K5229" i="116"/>
  <c r="J5229" i="116"/>
  <c r="I5229" i="116"/>
  <c r="H5229" i="116"/>
  <c r="G5229" i="116"/>
  <c r="F5229" i="116"/>
  <c r="E5229" i="116"/>
  <c r="D5229" i="116"/>
  <c r="C5229" i="116"/>
  <c r="B5229" i="116"/>
  <c r="K5228" i="116"/>
  <c r="J5228" i="116"/>
  <c r="I5228" i="116"/>
  <c r="H5228" i="116"/>
  <c r="G5228" i="116"/>
  <c r="F5228" i="116"/>
  <c r="E5228" i="116"/>
  <c r="D5228" i="116"/>
  <c r="C5228" i="116"/>
  <c r="B5228" i="116"/>
  <c r="K5227" i="116"/>
  <c r="J5227" i="116"/>
  <c r="I5227" i="116"/>
  <c r="H5227" i="116"/>
  <c r="G5227" i="116"/>
  <c r="F5227" i="116"/>
  <c r="E5227" i="116"/>
  <c r="D5227" i="116"/>
  <c r="C5227" i="116"/>
  <c r="B5227" i="116"/>
  <c r="K5226" i="116"/>
  <c r="J5226" i="116"/>
  <c r="I5226" i="116"/>
  <c r="H5226" i="116"/>
  <c r="G5226" i="116"/>
  <c r="F5226" i="116"/>
  <c r="E5226" i="116"/>
  <c r="D5226" i="116"/>
  <c r="C5226" i="116"/>
  <c r="B5226" i="116"/>
  <c r="K5225" i="116"/>
  <c r="J5225" i="116"/>
  <c r="I5225" i="116"/>
  <c r="H5225" i="116"/>
  <c r="G5225" i="116"/>
  <c r="F5225" i="116"/>
  <c r="E5225" i="116"/>
  <c r="D5225" i="116"/>
  <c r="C5225" i="116"/>
  <c r="B5225" i="116"/>
  <c r="K5224" i="116"/>
  <c r="J5224" i="116"/>
  <c r="I5224" i="116"/>
  <c r="H5224" i="116"/>
  <c r="G5224" i="116"/>
  <c r="F5224" i="116"/>
  <c r="E5224" i="116"/>
  <c r="D5224" i="116"/>
  <c r="C5224" i="116"/>
  <c r="B5224" i="116"/>
  <c r="K5223" i="116"/>
  <c r="J5223" i="116"/>
  <c r="I5223" i="116"/>
  <c r="H5223" i="116"/>
  <c r="G5223" i="116"/>
  <c r="F5223" i="116"/>
  <c r="E5223" i="116"/>
  <c r="D5223" i="116"/>
  <c r="C5223" i="116"/>
  <c r="B5223" i="116"/>
  <c r="K5222" i="116"/>
  <c r="J5222" i="116"/>
  <c r="I5222" i="116"/>
  <c r="H5222" i="116"/>
  <c r="G5222" i="116"/>
  <c r="F5222" i="116"/>
  <c r="E5222" i="116"/>
  <c r="D5222" i="116"/>
  <c r="C5222" i="116"/>
  <c r="B5222" i="116"/>
  <c r="K5221" i="116"/>
  <c r="J5221" i="116"/>
  <c r="I5221" i="116"/>
  <c r="H5221" i="116"/>
  <c r="G5221" i="116"/>
  <c r="F5221" i="116"/>
  <c r="E5221" i="116"/>
  <c r="D5221" i="116"/>
  <c r="C5221" i="116"/>
  <c r="B5221" i="116"/>
  <c r="K5220" i="116"/>
  <c r="J5220" i="116"/>
  <c r="I5220" i="116"/>
  <c r="H5220" i="116"/>
  <c r="G5220" i="116"/>
  <c r="F5220" i="116"/>
  <c r="E5220" i="116"/>
  <c r="D5220" i="116"/>
  <c r="C5220" i="116"/>
  <c r="B5220" i="116"/>
  <c r="K5219" i="116"/>
  <c r="J5219" i="116"/>
  <c r="I5219" i="116"/>
  <c r="H5219" i="116"/>
  <c r="G5219" i="116"/>
  <c r="F5219" i="116"/>
  <c r="E5219" i="116"/>
  <c r="D5219" i="116"/>
  <c r="C5219" i="116"/>
  <c r="B5219" i="116"/>
  <c r="K5218" i="116"/>
  <c r="J5218" i="116"/>
  <c r="I5218" i="116"/>
  <c r="H5218" i="116"/>
  <c r="G5218" i="116"/>
  <c r="F5218" i="116"/>
  <c r="E5218" i="116"/>
  <c r="D5218" i="116"/>
  <c r="C5218" i="116"/>
  <c r="B5218" i="116"/>
  <c r="K5217" i="116"/>
  <c r="J5217" i="116"/>
  <c r="I5217" i="116"/>
  <c r="H5217" i="116"/>
  <c r="G5217" i="116"/>
  <c r="F5217" i="116"/>
  <c r="E5217" i="116"/>
  <c r="D5217" i="116"/>
  <c r="C5217" i="116"/>
  <c r="B5217" i="116"/>
  <c r="K5216" i="116"/>
  <c r="J5216" i="116"/>
  <c r="I5216" i="116"/>
  <c r="H5216" i="116"/>
  <c r="G5216" i="116"/>
  <c r="F5216" i="116"/>
  <c r="E5216" i="116"/>
  <c r="D5216" i="116"/>
  <c r="C5216" i="116"/>
  <c r="B5216" i="116"/>
  <c r="K5215" i="116"/>
  <c r="J5215" i="116"/>
  <c r="I5215" i="116"/>
  <c r="H5215" i="116"/>
  <c r="G5215" i="116"/>
  <c r="F5215" i="116"/>
  <c r="E5215" i="116"/>
  <c r="D5215" i="116"/>
  <c r="C5215" i="116"/>
  <c r="B5215" i="116"/>
  <c r="K5214" i="116"/>
  <c r="J5214" i="116"/>
  <c r="I5214" i="116"/>
  <c r="H5214" i="116"/>
  <c r="G5214" i="116"/>
  <c r="F5214" i="116"/>
  <c r="E5214" i="116"/>
  <c r="D5214" i="116"/>
  <c r="C5214" i="116"/>
  <c r="B5214" i="116"/>
  <c r="K5213" i="116"/>
  <c r="J5213" i="116"/>
  <c r="I5213" i="116"/>
  <c r="H5213" i="116"/>
  <c r="G5213" i="116"/>
  <c r="F5213" i="116"/>
  <c r="E5213" i="116"/>
  <c r="D5213" i="116"/>
  <c r="C5213" i="116"/>
  <c r="B5213" i="116"/>
  <c r="K5212" i="116"/>
  <c r="J5212" i="116"/>
  <c r="I5212" i="116"/>
  <c r="H5212" i="116"/>
  <c r="G5212" i="116"/>
  <c r="F5212" i="116"/>
  <c r="E5212" i="116"/>
  <c r="D5212" i="116"/>
  <c r="C5212" i="116"/>
  <c r="B5212" i="116"/>
  <c r="K5211" i="116"/>
  <c r="J5211" i="116"/>
  <c r="I5211" i="116"/>
  <c r="H5211" i="116"/>
  <c r="G5211" i="116"/>
  <c r="F5211" i="116"/>
  <c r="E5211" i="116"/>
  <c r="D5211" i="116"/>
  <c r="C5211" i="116"/>
  <c r="B5211" i="116"/>
  <c r="K5210" i="116"/>
  <c r="J5210" i="116"/>
  <c r="I5210" i="116"/>
  <c r="H5210" i="116"/>
  <c r="G5210" i="116"/>
  <c r="F5210" i="116"/>
  <c r="E5210" i="116"/>
  <c r="D5210" i="116"/>
  <c r="C5210" i="116"/>
  <c r="B5210" i="116"/>
  <c r="K5209" i="116"/>
  <c r="J5209" i="116"/>
  <c r="I5209" i="116"/>
  <c r="H5209" i="116"/>
  <c r="G5209" i="116"/>
  <c r="F5209" i="116"/>
  <c r="E5209" i="116"/>
  <c r="D5209" i="116"/>
  <c r="C5209" i="116"/>
  <c r="B5209" i="116"/>
  <c r="K5208" i="116"/>
  <c r="J5208" i="116"/>
  <c r="I5208" i="116"/>
  <c r="H5208" i="116"/>
  <c r="G5208" i="116"/>
  <c r="F5208" i="116"/>
  <c r="E5208" i="116"/>
  <c r="D5208" i="116"/>
  <c r="C5208" i="116"/>
  <c r="B5208" i="116"/>
  <c r="K5207" i="116"/>
  <c r="J5207" i="116"/>
  <c r="I5207" i="116"/>
  <c r="H5207" i="116"/>
  <c r="G5207" i="116"/>
  <c r="F5207" i="116"/>
  <c r="E5207" i="116"/>
  <c r="D5207" i="116"/>
  <c r="C5207" i="116"/>
  <c r="B5207" i="116"/>
  <c r="K5206" i="116"/>
  <c r="J5206" i="116"/>
  <c r="I5206" i="116"/>
  <c r="H5206" i="116"/>
  <c r="G5206" i="116"/>
  <c r="F5206" i="116"/>
  <c r="E5206" i="116"/>
  <c r="D5206" i="116"/>
  <c r="C5206" i="116"/>
  <c r="B5206" i="116"/>
  <c r="K5205" i="116"/>
  <c r="J5205" i="116"/>
  <c r="I5205" i="116"/>
  <c r="H5205" i="116"/>
  <c r="G5205" i="116"/>
  <c r="F5205" i="116"/>
  <c r="E5205" i="116"/>
  <c r="D5205" i="116"/>
  <c r="C5205" i="116"/>
  <c r="B5205" i="116"/>
  <c r="K5204" i="116"/>
  <c r="J5204" i="116"/>
  <c r="I5204" i="116"/>
  <c r="H5204" i="116"/>
  <c r="G5204" i="116"/>
  <c r="F5204" i="116"/>
  <c r="E5204" i="116"/>
  <c r="D5204" i="116"/>
  <c r="C5204" i="116"/>
  <c r="B5204" i="116"/>
  <c r="K5203" i="116"/>
  <c r="J5203" i="116"/>
  <c r="I5203" i="116"/>
  <c r="H5203" i="116"/>
  <c r="G5203" i="116"/>
  <c r="F5203" i="116"/>
  <c r="E5203" i="116"/>
  <c r="D5203" i="116"/>
  <c r="C5203" i="116"/>
  <c r="B5203" i="116"/>
  <c r="K5202" i="116"/>
  <c r="J5202" i="116"/>
  <c r="I5202" i="116"/>
  <c r="H5202" i="116"/>
  <c r="G5202" i="116"/>
  <c r="F5202" i="116"/>
  <c r="E5202" i="116"/>
  <c r="D5202" i="116"/>
  <c r="C5202" i="116"/>
  <c r="B5202" i="116"/>
  <c r="K5201" i="116"/>
  <c r="J5201" i="116"/>
  <c r="I5201" i="116"/>
  <c r="H5201" i="116"/>
  <c r="G5201" i="116"/>
  <c r="F5201" i="116"/>
  <c r="E5201" i="116"/>
  <c r="D5201" i="116"/>
  <c r="C5201" i="116"/>
  <c r="B5201" i="116"/>
  <c r="K5200" i="116"/>
  <c r="J5200" i="116"/>
  <c r="I5200" i="116"/>
  <c r="H5200" i="116"/>
  <c r="G5200" i="116"/>
  <c r="F5200" i="116"/>
  <c r="E5200" i="116"/>
  <c r="D5200" i="116"/>
  <c r="C5200" i="116"/>
  <c r="B5200" i="116"/>
  <c r="K5199" i="116"/>
  <c r="J5199" i="116"/>
  <c r="I5199" i="116"/>
  <c r="H5199" i="116"/>
  <c r="G5199" i="116"/>
  <c r="F5199" i="116"/>
  <c r="E5199" i="116"/>
  <c r="D5199" i="116"/>
  <c r="C5199" i="116"/>
  <c r="B5199" i="116"/>
  <c r="K5198" i="116"/>
  <c r="J5198" i="116"/>
  <c r="I5198" i="116"/>
  <c r="H5198" i="116"/>
  <c r="G5198" i="116"/>
  <c r="F5198" i="116"/>
  <c r="E5198" i="116"/>
  <c r="D5198" i="116"/>
  <c r="C5198" i="116"/>
  <c r="B5198" i="116"/>
  <c r="K5197" i="116"/>
  <c r="J5197" i="116"/>
  <c r="I5197" i="116"/>
  <c r="H5197" i="116"/>
  <c r="G5197" i="116"/>
  <c r="F5197" i="116"/>
  <c r="E5197" i="116"/>
  <c r="D5197" i="116"/>
  <c r="C5197" i="116"/>
  <c r="B5197" i="116"/>
  <c r="K5196" i="116"/>
  <c r="J5196" i="116"/>
  <c r="I5196" i="116"/>
  <c r="H5196" i="116"/>
  <c r="G5196" i="116"/>
  <c r="F5196" i="116"/>
  <c r="E5196" i="116"/>
  <c r="D5196" i="116"/>
  <c r="C5196" i="116"/>
  <c r="B5196" i="116"/>
  <c r="K5195" i="116"/>
  <c r="J5195" i="116"/>
  <c r="I5195" i="116"/>
  <c r="H5195" i="116"/>
  <c r="G5195" i="116"/>
  <c r="F5195" i="116"/>
  <c r="E5195" i="116"/>
  <c r="D5195" i="116"/>
  <c r="C5195" i="116"/>
  <c r="B5195" i="116"/>
  <c r="K5194" i="116"/>
  <c r="J5194" i="116"/>
  <c r="I5194" i="116"/>
  <c r="H5194" i="116"/>
  <c r="G5194" i="116"/>
  <c r="F5194" i="116"/>
  <c r="E5194" i="116"/>
  <c r="D5194" i="116"/>
  <c r="C5194" i="116"/>
  <c r="B5194" i="116"/>
  <c r="K5193" i="116"/>
  <c r="J5193" i="116"/>
  <c r="I5193" i="116"/>
  <c r="H5193" i="116"/>
  <c r="G5193" i="116"/>
  <c r="F5193" i="116"/>
  <c r="E5193" i="116"/>
  <c r="D5193" i="116"/>
  <c r="C5193" i="116"/>
  <c r="B5193" i="116"/>
  <c r="K5192" i="116"/>
  <c r="J5192" i="116"/>
  <c r="I5192" i="116"/>
  <c r="H5192" i="116"/>
  <c r="G5192" i="116"/>
  <c r="F5192" i="116"/>
  <c r="E5192" i="116"/>
  <c r="D5192" i="116"/>
  <c r="C5192" i="116"/>
  <c r="B5192" i="116"/>
  <c r="K5191" i="116"/>
  <c r="J5191" i="116"/>
  <c r="I5191" i="116"/>
  <c r="H5191" i="116"/>
  <c r="G5191" i="116"/>
  <c r="F5191" i="116"/>
  <c r="E5191" i="116"/>
  <c r="D5191" i="116"/>
  <c r="C5191" i="116"/>
  <c r="B5191" i="116"/>
  <c r="K5190" i="116"/>
  <c r="J5190" i="116"/>
  <c r="I5190" i="116"/>
  <c r="H5190" i="116"/>
  <c r="G5190" i="116"/>
  <c r="F5190" i="116"/>
  <c r="E5190" i="116"/>
  <c r="D5190" i="116"/>
  <c r="C5190" i="116"/>
  <c r="B5190" i="116"/>
  <c r="K5189" i="116"/>
  <c r="J5189" i="116"/>
  <c r="I5189" i="116"/>
  <c r="H5189" i="116"/>
  <c r="G5189" i="116"/>
  <c r="F5189" i="116"/>
  <c r="E5189" i="116"/>
  <c r="D5189" i="116"/>
  <c r="C5189" i="116"/>
  <c r="B5189" i="116"/>
  <c r="K5188" i="116"/>
  <c r="J5188" i="116"/>
  <c r="I5188" i="116"/>
  <c r="H5188" i="116"/>
  <c r="G5188" i="116"/>
  <c r="F5188" i="116"/>
  <c r="E5188" i="116"/>
  <c r="D5188" i="116"/>
  <c r="C5188" i="116"/>
  <c r="B5188" i="116"/>
  <c r="K5187" i="116"/>
  <c r="J5187" i="116"/>
  <c r="I5187" i="116"/>
  <c r="H5187" i="116"/>
  <c r="G5187" i="116"/>
  <c r="F5187" i="116"/>
  <c r="E5187" i="116"/>
  <c r="D5187" i="116"/>
  <c r="C5187" i="116"/>
  <c r="B5187" i="116"/>
  <c r="K5186" i="116"/>
  <c r="J5186" i="116"/>
  <c r="I5186" i="116"/>
  <c r="H5186" i="116"/>
  <c r="G5186" i="116"/>
  <c r="F5186" i="116"/>
  <c r="E5186" i="116"/>
  <c r="D5186" i="116"/>
  <c r="C5186" i="116"/>
  <c r="B5186" i="116"/>
  <c r="K5185" i="116"/>
  <c r="J5185" i="116"/>
  <c r="I5185" i="116"/>
  <c r="H5185" i="116"/>
  <c r="G5185" i="116"/>
  <c r="F5185" i="116"/>
  <c r="E5185" i="116"/>
  <c r="D5185" i="116"/>
  <c r="C5185" i="116"/>
  <c r="B5185" i="116"/>
  <c r="K5184" i="116"/>
  <c r="J5184" i="116"/>
  <c r="I5184" i="116"/>
  <c r="H5184" i="116"/>
  <c r="G5184" i="116"/>
  <c r="F5184" i="116"/>
  <c r="E5184" i="116"/>
  <c r="D5184" i="116"/>
  <c r="C5184" i="116"/>
  <c r="B5184" i="116"/>
  <c r="K5183" i="116"/>
  <c r="J5183" i="116"/>
  <c r="I5183" i="116"/>
  <c r="H5183" i="116"/>
  <c r="G5183" i="116"/>
  <c r="F5183" i="116"/>
  <c r="E5183" i="116"/>
  <c r="D5183" i="116"/>
  <c r="C5183" i="116"/>
  <c r="B5183" i="116"/>
  <c r="K5182" i="116"/>
  <c r="J5182" i="116"/>
  <c r="I5182" i="116"/>
  <c r="H5182" i="116"/>
  <c r="G5182" i="116"/>
  <c r="F5182" i="116"/>
  <c r="E5182" i="116"/>
  <c r="D5182" i="116"/>
  <c r="C5182" i="116"/>
  <c r="B5182" i="116"/>
  <c r="K5181" i="116"/>
  <c r="J5181" i="116"/>
  <c r="I5181" i="116"/>
  <c r="H5181" i="116"/>
  <c r="G5181" i="116"/>
  <c r="F5181" i="116"/>
  <c r="E5181" i="116"/>
  <c r="D5181" i="116"/>
  <c r="C5181" i="116"/>
  <c r="B5181" i="116"/>
  <c r="K5180" i="116"/>
  <c r="J5180" i="116"/>
  <c r="I5180" i="116"/>
  <c r="H5180" i="116"/>
  <c r="G5180" i="116"/>
  <c r="F5180" i="116"/>
  <c r="E5180" i="116"/>
  <c r="D5180" i="116"/>
  <c r="C5180" i="116"/>
  <c r="B5180" i="116"/>
  <c r="K5179" i="116"/>
  <c r="J5179" i="116"/>
  <c r="I5179" i="116"/>
  <c r="H5179" i="116"/>
  <c r="G5179" i="116"/>
  <c r="F5179" i="116"/>
  <c r="E5179" i="116"/>
  <c r="D5179" i="116"/>
  <c r="C5179" i="116"/>
  <c r="B5179" i="116"/>
  <c r="K5178" i="116"/>
  <c r="J5178" i="116"/>
  <c r="I5178" i="116"/>
  <c r="H5178" i="116"/>
  <c r="G5178" i="116"/>
  <c r="F5178" i="116"/>
  <c r="E5178" i="116"/>
  <c r="D5178" i="116"/>
  <c r="C5178" i="116"/>
  <c r="B5178" i="116"/>
  <c r="K5177" i="116"/>
  <c r="J5177" i="116"/>
  <c r="I5177" i="116"/>
  <c r="H5177" i="116"/>
  <c r="G5177" i="116"/>
  <c r="F5177" i="116"/>
  <c r="E5177" i="116"/>
  <c r="D5177" i="116"/>
  <c r="C5177" i="116"/>
  <c r="B5177" i="116"/>
  <c r="K5176" i="116"/>
  <c r="J5176" i="116"/>
  <c r="I5176" i="116"/>
  <c r="H5176" i="116"/>
  <c r="G5176" i="116"/>
  <c r="F5176" i="116"/>
  <c r="E5176" i="116"/>
  <c r="D5176" i="116"/>
  <c r="C5176" i="116"/>
  <c r="B5176" i="116"/>
  <c r="K5175" i="116"/>
  <c r="J5175" i="116"/>
  <c r="I5175" i="116"/>
  <c r="H5175" i="116"/>
  <c r="G5175" i="116"/>
  <c r="F5175" i="116"/>
  <c r="E5175" i="116"/>
  <c r="D5175" i="116"/>
  <c r="C5175" i="116"/>
  <c r="B5175" i="116"/>
  <c r="K5174" i="116"/>
  <c r="J5174" i="116"/>
  <c r="I5174" i="116"/>
  <c r="H5174" i="116"/>
  <c r="G5174" i="116"/>
  <c r="F5174" i="116"/>
  <c r="E5174" i="116"/>
  <c r="D5174" i="116"/>
  <c r="C5174" i="116"/>
  <c r="B5174" i="116"/>
  <c r="K5173" i="116"/>
  <c r="J5173" i="116"/>
  <c r="I5173" i="116"/>
  <c r="H5173" i="116"/>
  <c r="G5173" i="116"/>
  <c r="F5173" i="116"/>
  <c r="E5173" i="116"/>
  <c r="D5173" i="116"/>
  <c r="C5173" i="116"/>
  <c r="B5173" i="116"/>
  <c r="K5172" i="116"/>
  <c r="J5172" i="116"/>
  <c r="I5172" i="116"/>
  <c r="H5172" i="116"/>
  <c r="G5172" i="116"/>
  <c r="F5172" i="116"/>
  <c r="E5172" i="116"/>
  <c r="D5172" i="116"/>
  <c r="C5172" i="116"/>
  <c r="B5172" i="116"/>
  <c r="K5171" i="116"/>
  <c r="J5171" i="116"/>
  <c r="I5171" i="116"/>
  <c r="H5171" i="116"/>
  <c r="G5171" i="116"/>
  <c r="F5171" i="116"/>
  <c r="E5171" i="116"/>
  <c r="D5171" i="116"/>
  <c r="C5171" i="116"/>
  <c r="B5171" i="116"/>
  <c r="K5170" i="116"/>
  <c r="J5170" i="116"/>
  <c r="I5170" i="116"/>
  <c r="H5170" i="116"/>
  <c r="G5170" i="116"/>
  <c r="F5170" i="116"/>
  <c r="E5170" i="116"/>
  <c r="D5170" i="116"/>
  <c r="C5170" i="116"/>
  <c r="B5170" i="116"/>
  <c r="K5169" i="116"/>
  <c r="J5169" i="116"/>
  <c r="I5169" i="116"/>
  <c r="H5169" i="116"/>
  <c r="G5169" i="116"/>
  <c r="F5169" i="116"/>
  <c r="E5169" i="116"/>
  <c r="D5169" i="116"/>
  <c r="C5169" i="116"/>
  <c r="B5169" i="116"/>
  <c r="K5168" i="116"/>
  <c r="J5168" i="116"/>
  <c r="I5168" i="116"/>
  <c r="H5168" i="116"/>
  <c r="G5168" i="116"/>
  <c r="F5168" i="116"/>
  <c r="E5168" i="116"/>
  <c r="D5168" i="116"/>
  <c r="C5168" i="116"/>
  <c r="B5168" i="116"/>
  <c r="K5167" i="116"/>
  <c r="J5167" i="116"/>
  <c r="I5167" i="116"/>
  <c r="H5167" i="116"/>
  <c r="G5167" i="116"/>
  <c r="F5167" i="116"/>
  <c r="E5167" i="116"/>
  <c r="D5167" i="116"/>
  <c r="C5167" i="116"/>
  <c r="B5167" i="116"/>
  <c r="K5166" i="116"/>
  <c r="J5166" i="116"/>
  <c r="I5166" i="116"/>
  <c r="H5166" i="116"/>
  <c r="G5166" i="116"/>
  <c r="F5166" i="116"/>
  <c r="E5166" i="116"/>
  <c r="D5166" i="116"/>
  <c r="C5166" i="116"/>
  <c r="B5166" i="116"/>
  <c r="K5165" i="116"/>
  <c r="J5165" i="116"/>
  <c r="I5165" i="116"/>
  <c r="H5165" i="116"/>
  <c r="G5165" i="116"/>
  <c r="F5165" i="116"/>
  <c r="E5165" i="116"/>
  <c r="D5165" i="116"/>
  <c r="C5165" i="116"/>
  <c r="B5165" i="116"/>
  <c r="K5164" i="116"/>
  <c r="J5164" i="116"/>
  <c r="I5164" i="116"/>
  <c r="H5164" i="116"/>
  <c r="G5164" i="116"/>
  <c r="F5164" i="116"/>
  <c r="E5164" i="116"/>
  <c r="D5164" i="116"/>
  <c r="C5164" i="116"/>
  <c r="B5164" i="116"/>
  <c r="K5163" i="116"/>
  <c r="J5163" i="116"/>
  <c r="I5163" i="116"/>
  <c r="H5163" i="116"/>
  <c r="G5163" i="116"/>
  <c r="F5163" i="116"/>
  <c r="E5163" i="116"/>
  <c r="D5163" i="116"/>
  <c r="C5163" i="116"/>
  <c r="B5163" i="116"/>
  <c r="K5162" i="116"/>
  <c r="J5162" i="116"/>
  <c r="I5162" i="116"/>
  <c r="H5162" i="116"/>
  <c r="G5162" i="116"/>
  <c r="F5162" i="116"/>
  <c r="E5162" i="116"/>
  <c r="D5162" i="116"/>
  <c r="C5162" i="116"/>
  <c r="B5162" i="116"/>
  <c r="K5161" i="116"/>
  <c r="J5161" i="116"/>
  <c r="I5161" i="116"/>
  <c r="H5161" i="116"/>
  <c r="G5161" i="116"/>
  <c r="F5161" i="116"/>
  <c r="E5161" i="116"/>
  <c r="D5161" i="116"/>
  <c r="C5161" i="116"/>
  <c r="B5161" i="116"/>
  <c r="K5160" i="116"/>
  <c r="J5160" i="116"/>
  <c r="I5160" i="116"/>
  <c r="H5160" i="116"/>
  <c r="G5160" i="116"/>
  <c r="F5160" i="116"/>
  <c r="E5160" i="116"/>
  <c r="D5160" i="116"/>
  <c r="C5160" i="116"/>
  <c r="B5160" i="116"/>
  <c r="K5159" i="116"/>
  <c r="J5159" i="116"/>
  <c r="I5159" i="116"/>
  <c r="H5159" i="116"/>
  <c r="G5159" i="116"/>
  <c r="F5159" i="116"/>
  <c r="E5159" i="116"/>
  <c r="D5159" i="116"/>
  <c r="C5159" i="116"/>
  <c r="B5159" i="116"/>
  <c r="K5158" i="116"/>
  <c r="J5158" i="116"/>
  <c r="I5158" i="116"/>
  <c r="H5158" i="116"/>
  <c r="G5158" i="116"/>
  <c r="F5158" i="116"/>
  <c r="E5158" i="116"/>
  <c r="D5158" i="116"/>
  <c r="C5158" i="116"/>
  <c r="B5158" i="116"/>
  <c r="K5157" i="116"/>
  <c r="J5157" i="116"/>
  <c r="I5157" i="116"/>
  <c r="H5157" i="116"/>
  <c r="G5157" i="116"/>
  <c r="F5157" i="116"/>
  <c r="E5157" i="116"/>
  <c r="D5157" i="116"/>
  <c r="C5157" i="116"/>
  <c r="B5157" i="116"/>
  <c r="K5156" i="116"/>
  <c r="J5156" i="116"/>
  <c r="I5156" i="116"/>
  <c r="H5156" i="116"/>
  <c r="G5156" i="116"/>
  <c r="F5156" i="116"/>
  <c r="E5156" i="116"/>
  <c r="D5156" i="116"/>
  <c r="C5156" i="116"/>
  <c r="B5156" i="116"/>
  <c r="K5155" i="116"/>
  <c r="J5155" i="116"/>
  <c r="I5155" i="116"/>
  <c r="H5155" i="116"/>
  <c r="G5155" i="116"/>
  <c r="F5155" i="116"/>
  <c r="E5155" i="116"/>
  <c r="D5155" i="116"/>
  <c r="C5155" i="116"/>
  <c r="B5155" i="116"/>
  <c r="K5154" i="116"/>
  <c r="J5154" i="116"/>
  <c r="I5154" i="116"/>
  <c r="H5154" i="116"/>
  <c r="G5154" i="116"/>
  <c r="F5154" i="116"/>
  <c r="E5154" i="116"/>
  <c r="D5154" i="116"/>
  <c r="C5154" i="116"/>
  <c r="B5154" i="116"/>
  <c r="K5153" i="116"/>
  <c r="J5153" i="116"/>
  <c r="I5153" i="116"/>
  <c r="H5153" i="116"/>
  <c r="G5153" i="116"/>
  <c r="F5153" i="116"/>
  <c r="E5153" i="116"/>
  <c r="D5153" i="116"/>
  <c r="C5153" i="116"/>
  <c r="B5153" i="116"/>
  <c r="K5152" i="116"/>
  <c r="J5152" i="116"/>
  <c r="I5152" i="116"/>
  <c r="H5152" i="116"/>
  <c r="G5152" i="116"/>
  <c r="F5152" i="116"/>
  <c r="E5152" i="116"/>
  <c r="D5152" i="116"/>
  <c r="C5152" i="116"/>
  <c r="B5152" i="116"/>
  <c r="K5151" i="116"/>
  <c r="J5151" i="116"/>
  <c r="I5151" i="116"/>
  <c r="H5151" i="116"/>
  <c r="G5151" i="116"/>
  <c r="F5151" i="116"/>
  <c r="E5151" i="116"/>
  <c r="D5151" i="116"/>
  <c r="C5151" i="116"/>
  <c r="B5151" i="116"/>
  <c r="K5150" i="116"/>
  <c r="J5150" i="116"/>
  <c r="I5150" i="116"/>
  <c r="H5150" i="116"/>
  <c r="G5150" i="116"/>
  <c r="F5150" i="116"/>
  <c r="E5150" i="116"/>
  <c r="D5150" i="116"/>
  <c r="C5150" i="116"/>
  <c r="B5150" i="116"/>
  <c r="K5149" i="116"/>
  <c r="J5149" i="116"/>
  <c r="I5149" i="116"/>
  <c r="H5149" i="116"/>
  <c r="G5149" i="116"/>
  <c r="F5149" i="116"/>
  <c r="E5149" i="116"/>
  <c r="D5149" i="116"/>
  <c r="C5149" i="116"/>
  <c r="B5149" i="116"/>
  <c r="K5148" i="116"/>
  <c r="J5148" i="116"/>
  <c r="I5148" i="116"/>
  <c r="H5148" i="116"/>
  <c r="G5148" i="116"/>
  <c r="F5148" i="116"/>
  <c r="E5148" i="116"/>
  <c r="D5148" i="116"/>
  <c r="C5148" i="116"/>
  <c r="B5148" i="116"/>
  <c r="K5147" i="116"/>
  <c r="J5147" i="116"/>
  <c r="I5147" i="116"/>
  <c r="H5147" i="116"/>
  <c r="G5147" i="116"/>
  <c r="F5147" i="116"/>
  <c r="E5147" i="116"/>
  <c r="D5147" i="116"/>
  <c r="C5147" i="116"/>
  <c r="B5147" i="116"/>
  <c r="K5146" i="116"/>
  <c r="J5146" i="116"/>
  <c r="I5146" i="116"/>
  <c r="H5146" i="116"/>
  <c r="G5146" i="116"/>
  <c r="F5146" i="116"/>
  <c r="E5146" i="116"/>
  <c r="D5146" i="116"/>
  <c r="C5146" i="116"/>
  <c r="B5146" i="116"/>
  <c r="K5145" i="116"/>
  <c r="J5145" i="116"/>
  <c r="I5145" i="116"/>
  <c r="H5145" i="116"/>
  <c r="G5145" i="116"/>
  <c r="F5145" i="116"/>
  <c r="E5145" i="116"/>
  <c r="D5145" i="116"/>
  <c r="C5145" i="116"/>
  <c r="B5145" i="116"/>
  <c r="K5144" i="116"/>
  <c r="J5144" i="116"/>
  <c r="I5144" i="116"/>
  <c r="H5144" i="116"/>
  <c r="G5144" i="116"/>
  <c r="F5144" i="116"/>
  <c r="E5144" i="116"/>
  <c r="D5144" i="116"/>
  <c r="C5144" i="116"/>
  <c r="B5144" i="116"/>
  <c r="K5143" i="116"/>
  <c r="J5143" i="116"/>
  <c r="I5143" i="116"/>
  <c r="H5143" i="116"/>
  <c r="G5143" i="116"/>
  <c r="F5143" i="116"/>
  <c r="E5143" i="116"/>
  <c r="D5143" i="116"/>
  <c r="C5143" i="116"/>
  <c r="B5143" i="116"/>
  <c r="K5142" i="116"/>
  <c r="J5142" i="116"/>
  <c r="I5142" i="116"/>
  <c r="H5142" i="116"/>
  <c r="G5142" i="116"/>
  <c r="F5142" i="116"/>
  <c r="E5142" i="116"/>
  <c r="D5142" i="116"/>
  <c r="C5142" i="116"/>
  <c r="B5142" i="116"/>
  <c r="K5141" i="116"/>
  <c r="J5141" i="116"/>
  <c r="I5141" i="116"/>
  <c r="H5141" i="116"/>
  <c r="G5141" i="116"/>
  <c r="F5141" i="116"/>
  <c r="E5141" i="116"/>
  <c r="D5141" i="116"/>
  <c r="C5141" i="116"/>
  <c r="B5141" i="116"/>
  <c r="K5140" i="116"/>
  <c r="J5140" i="116"/>
  <c r="I5140" i="116"/>
  <c r="H5140" i="116"/>
  <c r="G5140" i="116"/>
  <c r="F5140" i="116"/>
  <c r="E5140" i="116"/>
  <c r="D5140" i="116"/>
  <c r="C5140" i="116"/>
  <c r="B5140" i="116"/>
  <c r="K5139" i="116"/>
  <c r="J5139" i="116"/>
  <c r="I5139" i="116"/>
  <c r="H5139" i="116"/>
  <c r="G5139" i="116"/>
  <c r="F5139" i="116"/>
  <c r="E5139" i="116"/>
  <c r="D5139" i="116"/>
  <c r="C5139" i="116"/>
  <c r="B5139" i="116"/>
  <c r="K5138" i="116"/>
  <c r="J5138" i="116"/>
  <c r="I5138" i="116"/>
  <c r="H5138" i="116"/>
  <c r="G5138" i="116"/>
  <c r="F5138" i="116"/>
  <c r="E5138" i="116"/>
  <c r="D5138" i="116"/>
  <c r="C5138" i="116"/>
  <c r="B5138" i="116"/>
  <c r="K5137" i="116"/>
  <c r="J5137" i="116"/>
  <c r="I5137" i="116"/>
  <c r="H5137" i="116"/>
  <c r="G5137" i="116"/>
  <c r="F5137" i="116"/>
  <c r="E5137" i="116"/>
  <c r="D5137" i="116"/>
  <c r="C5137" i="116"/>
  <c r="B5137" i="116"/>
  <c r="K5136" i="116"/>
  <c r="J5136" i="116"/>
  <c r="I5136" i="116"/>
  <c r="H5136" i="116"/>
  <c r="G5136" i="116"/>
  <c r="F5136" i="116"/>
  <c r="E5136" i="116"/>
  <c r="D5136" i="116"/>
  <c r="C5136" i="116"/>
  <c r="B5136" i="116"/>
  <c r="K5135" i="116"/>
  <c r="J5135" i="116"/>
  <c r="I5135" i="116"/>
  <c r="H5135" i="116"/>
  <c r="G5135" i="116"/>
  <c r="F5135" i="116"/>
  <c r="E5135" i="116"/>
  <c r="D5135" i="116"/>
  <c r="C5135" i="116"/>
  <c r="B5135" i="116"/>
  <c r="K5134" i="116"/>
  <c r="J5134" i="116"/>
  <c r="I5134" i="116"/>
  <c r="H5134" i="116"/>
  <c r="G5134" i="116"/>
  <c r="F5134" i="116"/>
  <c r="E5134" i="116"/>
  <c r="D5134" i="116"/>
  <c r="C5134" i="116"/>
  <c r="B5134" i="116"/>
  <c r="K5133" i="116"/>
  <c r="J5133" i="116"/>
  <c r="I5133" i="116"/>
  <c r="H5133" i="116"/>
  <c r="G5133" i="116"/>
  <c r="F5133" i="116"/>
  <c r="E5133" i="116"/>
  <c r="D5133" i="116"/>
  <c r="C5133" i="116"/>
  <c r="B5133" i="116"/>
  <c r="K5132" i="116"/>
  <c r="J5132" i="116"/>
  <c r="I5132" i="116"/>
  <c r="H5132" i="116"/>
  <c r="G5132" i="116"/>
  <c r="F5132" i="116"/>
  <c r="E5132" i="116"/>
  <c r="D5132" i="116"/>
  <c r="C5132" i="116"/>
  <c r="B5132" i="116"/>
  <c r="K5131" i="116"/>
  <c r="J5131" i="116"/>
  <c r="I5131" i="116"/>
  <c r="H5131" i="116"/>
  <c r="G5131" i="116"/>
  <c r="F5131" i="116"/>
  <c r="E5131" i="116"/>
  <c r="D5131" i="116"/>
  <c r="C5131" i="116"/>
  <c r="B5131" i="116"/>
  <c r="K5130" i="116"/>
  <c r="J5130" i="116"/>
  <c r="I5130" i="116"/>
  <c r="H5130" i="116"/>
  <c r="G5130" i="116"/>
  <c r="F5130" i="116"/>
  <c r="E5130" i="116"/>
  <c r="D5130" i="116"/>
  <c r="C5130" i="116"/>
  <c r="B5130" i="116"/>
  <c r="K5129" i="116"/>
  <c r="J5129" i="116"/>
  <c r="I5129" i="116"/>
  <c r="H5129" i="116"/>
  <c r="G5129" i="116"/>
  <c r="F5129" i="116"/>
  <c r="E5129" i="116"/>
  <c r="D5129" i="116"/>
  <c r="C5129" i="116"/>
  <c r="B5129" i="116"/>
  <c r="K5128" i="116"/>
  <c r="J5128" i="116"/>
  <c r="I5128" i="116"/>
  <c r="H5128" i="116"/>
  <c r="G5128" i="116"/>
  <c r="F5128" i="116"/>
  <c r="E5128" i="116"/>
  <c r="D5128" i="116"/>
  <c r="C5128" i="116"/>
  <c r="B5128" i="116"/>
  <c r="K5127" i="116"/>
  <c r="J5127" i="116"/>
  <c r="I5127" i="116"/>
  <c r="H5127" i="116"/>
  <c r="G5127" i="116"/>
  <c r="F5127" i="116"/>
  <c r="E5127" i="116"/>
  <c r="D5127" i="116"/>
  <c r="C5127" i="116"/>
  <c r="B5127" i="116"/>
  <c r="K5126" i="116"/>
  <c r="J5126" i="116"/>
  <c r="I5126" i="116"/>
  <c r="H5126" i="116"/>
  <c r="G5126" i="116"/>
  <c r="F5126" i="116"/>
  <c r="E5126" i="116"/>
  <c r="D5126" i="116"/>
  <c r="C5126" i="116"/>
  <c r="B5126" i="116"/>
  <c r="K5125" i="116"/>
  <c r="J5125" i="116"/>
  <c r="I5125" i="116"/>
  <c r="H5125" i="116"/>
  <c r="G5125" i="116"/>
  <c r="F5125" i="116"/>
  <c r="E5125" i="116"/>
  <c r="D5125" i="116"/>
  <c r="C5125" i="116"/>
  <c r="B5125" i="116"/>
  <c r="K5124" i="116"/>
  <c r="J5124" i="116"/>
  <c r="I5124" i="116"/>
  <c r="H5124" i="116"/>
  <c r="G5124" i="116"/>
  <c r="F5124" i="116"/>
  <c r="E5124" i="116"/>
  <c r="D5124" i="116"/>
  <c r="C5124" i="116"/>
  <c r="B5124" i="116"/>
  <c r="K5123" i="116"/>
  <c r="J5123" i="116"/>
  <c r="I5123" i="116"/>
  <c r="H5123" i="116"/>
  <c r="G5123" i="116"/>
  <c r="F5123" i="116"/>
  <c r="E5123" i="116"/>
  <c r="D5123" i="116"/>
  <c r="C5123" i="116"/>
  <c r="B5123" i="116"/>
  <c r="K5122" i="116"/>
  <c r="J5122" i="116"/>
  <c r="I5122" i="116"/>
  <c r="H5122" i="116"/>
  <c r="G5122" i="116"/>
  <c r="F5122" i="116"/>
  <c r="E5122" i="116"/>
  <c r="D5122" i="116"/>
  <c r="C5122" i="116"/>
  <c r="B5122" i="116"/>
  <c r="K5121" i="116"/>
  <c r="J5121" i="116"/>
  <c r="I5121" i="116"/>
  <c r="H5121" i="116"/>
  <c r="G5121" i="116"/>
  <c r="F5121" i="116"/>
  <c r="E5121" i="116"/>
  <c r="D5121" i="116"/>
  <c r="C5121" i="116"/>
  <c r="B5121" i="116"/>
  <c r="K5120" i="116"/>
  <c r="J5120" i="116"/>
  <c r="I5120" i="116"/>
  <c r="H5120" i="116"/>
  <c r="G5120" i="116"/>
  <c r="F5120" i="116"/>
  <c r="E5120" i="116"/>
  <c r="D5120" i="116"/>
  <c r="C5120" i="116"/>
  <c r="B5120" i="116"/>
  <c r="K5119" i="116"/>
  <c r="J5119" i="116"/>
  <c r="I5119" i="116"/>
  <c r="H5119" i="116"/>
  <c r="G5119" i="116"/>
  <c r="F5119" i="116"/>
  <c r="E5119" i="116"/>
  <c r="D5119" i="116"/>
  <c r="C5119" i="116"/>
  <c r="B5119" i="116"/>
  <c r="K5118" i="116"/>
  <c r="J5118" i="116"/>
  <c r="I5118" i="116"/>
  <c r="H5118" i="116"/>
  <c r="G5118" i="116"/>
  <c r="F5118" i="116"/>
  <c r="E5118" i="116"/>
  <c r="D5118" i="116"/>
  <c r="C5118" i="116"/>
  <c r="B5118" i="116"/>
  <c r="K5117" i="116"/>
  <c r="J5117" i="116"/>
  <c r="I5117" i="116"/>
  <c r="H5117" i="116"/>
  <c r="G5117" i="116"/>
  <c r="F5117" i="116"/>
  <c r="E5117" i="116"/>
  <c r="D5117" i="116"/>
  <c r="C5117" i="116"/>
  <c r="B5117" i="116"/>
  <c r="K5116" i="116"/>
  <c r="J5116" i="116"/>
  <c r="I5116" i="116"/>
  <c r="H5116" i="116"/>
  <c r="G5116" i="116"/>
  <c r="F5116" i="116"/>
  <c r="E5116" i="116"/>
  <c r="D5116" i="116"/>
  <c r="C5116" i="116"/>
  <c r="B5116" i="116"/>
  <c r="K5115" i="116"/>
  <c r="J5115" i="116"/>
  <c r="I5115" i="116"/>
  <c r="H5115" i="116"/>
  <c r="G5115" i="116"/>
  <c r="F5115" i="116"/>
  <c r="E5115" i="116"/>
  <c r="D5115" i="116"/>
  <c r="C5115" i="116"/>
  <c r="B5115" i="116"/>
  <c r="K5114" i="116"/>
  <c r="J5114" i="116"/>
  <c r="I5114" i="116"/>
  <c r="H5114" i="116"/>
  <c r="G5114" i="116"/>
  <c r="F5114" i="116"/>
  <c r="E5114" i="116"/>
  <c r="D5114" i="116"/>
  <c r="C5114" i="116"/>
  <c r="B5114" i="116"/>
  <c r="K5113" i="116"/>
  <c r="J5113" i="116"/>
  <c r="I5113" i="116"/>
  <c r="H5113" i="116"/>
  <c r="G5113" i="116"/>
  <c r="F5113" i="116"/>
  <c r="E5113" i="116"/>
  <c r="D5113" i="116"/>
  <c r="C5113" i="116"/>
  <c r="B5113" i="116"/>
  <c r="K5112" i="116"/>
  <c r="J5112" i="116"/>
  <c r="I5112" i="116"/>
  <c r="H5112" i="116"/>
  <c r="G5112" i="116"/>
  <c r="F5112" i="116"/>
  <c r="E5112" i="116"/>
  <c r="D5112" i="116"/>
  <c r="C5112" i="116"/>
  <c r="B5112" i="116"/>
  <c r="K5111" i="116"/>
  <c r="J5111" i="116"/>
  <c r="I5111" i="116"/>
  <c r="H5111" i="116"/>
  <c r="G5111" i="116"/>
  <c r="F5111" i="116"/>
  <c r="E5111" i="116"/>
  <c r="D5111" i="116"/>
  <c r="C5111" i="116"/>
  <c r="B5111" i="116"/>
  <c r="K5110" i="116"/>
  <c r="J5110" i="116"/>
  <c r="I5110" i="116"/>
  <c r="H5110" i="116"/>
  <c r="G5110" i="116"/>
  <c r="F5110" i="116"/>
  <c r="E5110" i="116"/>
  <c r="D5110" i="116"/>
  <c r="C5110" i="116"/>
  <c r="B5110" i="116"/>
  <c r="K5109" i="116"/>
  <c r="J5109" i="116"/>
  <c r="I5109" i="116"/>
  <c r="H5109" i="116"/>
  <c r="G5109" i="116"/>
  <c r="F5109" i="116"/>
  <c r="E5109" i="116"/>
  <c r="D5109" i="116"/>
  <c r="C5109" i="116"/>
  <c r="B5109" i="116"/>
  <c r="K5108" i="116"/>
  <c r="J5108" i="116"/>
  <c r="I5108" i="116"/>
  <c r="H5108" i="116"/>
  <c r="G5108" i="116"/>
  <c r="F5108" i="116"/>
  <c r="E5108" i="116"/>
  <c r="D5108" i="116"/>
  <c r="C5108" i="116"/>
  <c r="B5108" i="116"/>
  <c r="K5107" i="116"/>
  <c r="J5107" i="116"/>
  <c r="I5107" i="116"/>
  <c r="H5107" i="116"/>
  <c r="G5107" i="116"/>
  <c r="F5107" i="116"/>
  <c r="E5107" i="116"/>
  <c r="D5107" i="116"/>
  <c r="C5107" i="116"/>
  <c r="B5107" i="116"/>
  <c r="K5106" i="116"/>
  <c r="J5106" i="116"/>
  <c r="I5106" i="116"/>
  <c r="H5106" i="116"/>
  <c r="G5106" i="116"/>
  <c r="F5106" i="116"/>
  <c r="E5106" i="116"/>
  <c r="D5106" i="116"/>
  <c r="C5106" i="116"/>
  <c r="B5106" i="116"/>
  <c r="K5105" i="116"/>
  <c r="J5105" i="116"/>
  <c r="I5105" i="116"/>
  <c r="H5105" i="116"/>
  <c r="G5105" i="116"/>
  <c r="F5105" i="116"/>
  <c r="E5105" i="116"/>
  <c r="D5105" i="116"/>
  <c r="C5105" i="116"/>
  <c r="B5105" i="116"/>
  <c r="K5104" i="116"/>
  <c r="J5104" i="116"/>
  <c r="I5104" i="116"/>
  <c r="H5104" i="116"/>
  <c r="G5104" i="116"/>
  <c r="F5104" i="116"/>
  <c r="E5104" i="116"/>
  <c r="D5104" i="116"/>
  <c r="C5104" i="116"/>
  <c r="B5104" i="116"/>
  <c r="K5103" i="116"/>
  <c r="J5103" i="116"/>
  <c r="I5103" i="116"/>
  <c r="H5103" i="116"/>
  <c r="G5103" i="116"/>
  <c r="F5103" i="116"/>
  <c r="E5103" i="116"/>
  <c r="D5103" i="116"/>
  <c r="C5103" i="116"/>
  <c r="B5103" i="116"/>
  <c r="K5102" i="116"/>
  <c r="J5102" i="116"/>
  <c r="I5102" i="116"/>
  <c r="H5102" i="116"/>
  <c r="G5102" i="116"/>
  <c r="F5102" i="116"/>
  <c r="E5102" i="116"/>
  <c r="D5102" i="116"/>
  <c r="C5102" i="116"/>
  <c r="B5102" i="116"/>
  <c r="K5101" i="116"/>
  <c r="J5101" i="116"/>
  <c r="I5101" i="116"/>
  <c r="H5101" i="116"/>
  <c r="G5101" i="116"/>
  <c r="F5101" i="116"/>
  <c r="E5101" i="116"/>
  <c r="D5101" i="116"/>
  <c r="C5101" i="116"/>
  <c r="B5101" i="116"/>
  <c r="K5100" i="116"/>
  <c r="J5100" i="116"/>
  <c r="I5100" i="116"/>
  <c r="H5100" i="116"/>
  <c r="G5100" i="116"/>
  <c r="F5100" i="116"/>
  <c r="E5100" i="116"/>
  <c r="D5100" i="116"/>
  <c r="C5100" i="116"/>
  <c r="B5100" i="116"/>
  <c r="K5099" i="116"/>
  <c r="J5099" i="116"/>
  <c r="I5099" i="116"/>
  <c r="H5099" i="116"/>
  <c r="G5099" i="116"/>
  <c r="F5099" i="116"/>
  <c r="E5099" i="116"/>
  <c r="D5099" i="116"/>
  <c r="C5099" i="116"/>
  <c r="B5099" i="116"/>
  <c r="K5098" i="116"/>
  <c r="J5098" i="116"/>
  <c r="I5098" i="116"/>
  <c r="H5098" i="116"/>
  <c r="G5098" i="116"/>
  <c r="F5098" i="116"/>
  <c r="E5098" i="116"/>
  <c r="D5098" i="116"/>
  <c r="C5098" i="116"/>
  <c r="B5098" i="116"/>
  <c r="K5097" i="116"/>
  <c r="J5097" i="116"/>
  <c r="I5097" i="116"/>
  <c r="H5097" i="116"/>
  <c r="G5097" i="116"/>
  <c r="F5097" i="116"/>
  <c r="E5097" i="116"/>
  <c r="D5097" i="116"/>
  <c r="C5097" i="116"/>
  <c r="B5097" i="116"/>
  <c r="K5096" i="116"/>
  <c r="J5096" i="116"/>
  <c r="I5096" i="116"/>
  <c r="H5096" i="116"/>
  <c r="G5096" i="116"/>
  <c r="F5096" i="116"/>
  <c r="E5096" i="116"/>
  <c r="D5096" i="116"/>
  <c r="C5096" i="116"/>
  <c r="B5096" i="116"/>
  <c r="K5095" i="116"/>
  <c r="J5095" i="116"/>
  <c r="I5095" i="116"/>
  <c r="H5095" i="116"/>
  <c r="G5095" i="116"/>
  <c r="F5095" i="116"/>
  <c r="E5095" i="116"/>
  <c r="D5095" i="116"/>
  <c r="C5095" i="116"/>
  <c r="B5095" i="116"/>
  <c r="K5094" i="116"/>
  <c r="J5094" i="116"/>
  <c r="I5094" i="116"/>
  <c r="H5094" i="116"/>
  <c r="G5094" i="116"/>
  <c r="F5094" i="116"/>
  <c r="E5094" i="116"/>
  <c r="D5094" i="116"/>
  <c r="C5094" i="116"/>
  <c r="B5094" i="116"/>
  <c r="K5093" i="116"/>
  <c r="J5093" i="116"/>
  <c r="I5093" i="116"/>
  <c r="H5093" i="116"/>
  <c r="G5093" i="116"/>
  <c r="F5093" i="116"/>
  <c r="E5093" i="116"/>
  <c r="D5093" i="116"/>
  <c r="C5093" i="116"/>
  <c r="B5093" i="116"/>
  <c r="K5092" i="116"/>
  <c r="J5092" i="116"/>
  <c r="I5092" i="116"/>
  <c r="H5092" i="116"/>
  <c r="G5092" i="116"/>
  <c r="F5092" i="116"/>
  <c r="E5092" i="116"/>
  <c r="D5092" i="116"/>
  <c r="C5092" i="116"/>
  <c r="B5092" i="116"/>
  <c r="K5091" i="116"/>
  <c r="J5091" i="116"/>
  <c r="I5091" i="116"/>
  <c r="H5091" i="116"/>
  <c r="G5091" i="116"/>
  <c r="F5091" i="116"/>
  <c r="E5091" i="116"/>
  <c r="D5091" i="116"/>
  <c r="C5091" i="116"/>
  <c r="B5091" i="116"/>
  <c r="K5090" i="116"/>
  <c r="J5090" i="116"/>
  <c r="I5090" i="116"/>
  <c r="H5090" i="116"/>
  <c r="G5090" i="116"/>
  <c r="F5090" i="116"/>
  <c r="E5090" i="116"/>
  <c r="D5090" i="116"/>
  <c r="C5090" i="116"/>
  <c r="B5090" i="116"/>
  <c r="K5089" i="116"/>
  <c r="J5089" i="116"/>
  <c r="I5089" i="116"/>
  <c r="H5089" i="116"/>
  <c r="G5089" i="116"/>
  <c r="F5089" i="116"/>
  <c r="E5089" i="116"/>
  <c r="D5089" i="116"/>
  <c r="C5089" i="116"/>
  <c r="B5089" i="116"/>
  <c r="K5088" i="116"/>
  <c r="J5088" i="116"/>
  <c r="I5088" i="116"/>
  <c r="H5088" i="116"/>
  <c r="G5088" i="116"/>
  <c r="F5088" i="116"/>
  <c r="E5088" i="116"/>
  <c r="D5088" i="116"/>
  <c r="C5088" i="116"/>
  <c r="B5088" i="116"/>
  <c r="K5087" i="116"/>
  <c r="J5087" i="116"/>
  <c r="I5087" i="116"/>
  <c r="H5087" i="116"/>
  <c r="G5087" i="116"/>
  <c r="F5087" i="116"/>
  <c r="E5087" i="116"/>
  <c r="D5087" i="116"/>
  <c r="C5087" i="116"/>
  <c r="B5087" i="116"/>
  <c r="K5086" i="116"/>
  <c r="J5086" i="116"/>
  <c r="I5086" i="116"/>
  <c r="H5086" i="116"/>
  <c r="G5086" i="116"/>
  <c r="F5086" i="116"/>
  <c r="E5086" i="116"/>
  <c r="D5086" i="116"/>
  <c r="C5086" i="116"/>
  <c r="B5086" i="116"/>
  <c r="K5085" i="116"/>
  <c r="J5085" i="116"/>
  <c r="I5085" i="116"/>
  <c r="H5085" i="116"/>
  <c r="G5085" i="116"/>
  <c r="F5085" i="116"/>
  <c r="E5085" i="116"/>
  <c r="D5085" i="116"/>
  <c r="C5085" i="116"/>
  <c r="B5085" i="116"/>
  <c r="K5084" i="116"/>
  <c r="J5084" i="116"/>
  <c r="I5084" i="116"/>
  <c r="H5084" i="116"/>
  <c r="G5084" i="116"/>
  <c r="F5084" i="116"/>
  <c r="E5084" i="116"/>
  <c r="D5084" i="116"/>
  <c r="C5084" i="116"/>
  <c r="B5084" i="116"/>
  <c r="K5083" i="116"/>
  <c r="J5083" i="116"/>
  <c r="I5083" i="116"/>
  <c r="H5083" i="116"/>
  <c r="G5083" i="116"/>
  <c r="F5083" i="116"/>
  <c r="E5083" i="116"/>
  <c r="D5083" i="116"/>
  <c r="C5083" i="116"/>
  <c r="B5083" i="116"/>
  <c r="K5082" i="116"/>
  <c r="J5082" i="116"/>
  <c r="I5082" i="116"/>
  <c r="H5082" i="116"/>
  <c r="G5082" i="116"/>
  <c r="F5082" i="116"/>
  <c r="E5082" i="116"/>
  <c r="D5082" i="116"/>
  <c r="C5082" i="116"/>
  <c r="B5082" i="116"/>
  <c r="K5081" i="116"/>
  <c r="J5081" i="116"/>
  <c r="I5081" i="116"/>
  <c r="H5081" i="116"/>
  <c r="G5081" i="116"/>
  <c r="F5081" i="116"/>
  <c r="E5081" i="116"/>
  <c r="D5081" i="116"/>
  <c r="C5081" i="116"/>
  <c r="B5081" i="116"/>
  <c r="K5080" i="116"/>
  <c r="J5080" i="116"/>
  <c r="I5080" i="116"/>
  <c r="H5080" i="116"/>
  <c r="G5080" i="116"/>
  <c r="F5080" i="116"/>
  <c r="E5080" i="116"/>
  <c r="D5080" i="116"/>
  <c r="C5080" i="116"/>
  <c r="B5080" i="116"/>
  <c r="K5079" i="116"/>
  <c r="J5079" i="116"/>
  <c r="I5079" i="116"/>
  <c r="H5079" i="116"/>
  <c r="G5079" i="116"/>
  <c r="F5079" i="116"/>
  <c r="E5079" i="116"/>
  <c r="D5079" i="116"/>
  <c r="C5079" i="116"/>
  <c r="B5079" i="116"/>
  <c r="K5078" i="116"/>
  <c r="J5078" i="116"/>
  <c r="I5078" i="116"/>
  <c r="H5078" i="116"/>
  <c r="G5078" i="116"/>
  <c r="F5078" i="116"/>
  <c r="E5078" i="116"/>
  <c r="D5078" i="116"/>
  <c r="C5078" i="116"/>
  <c r="B5078" i="116"/>
  <c r="K5077" i="116"/>
  <c r="J5077" i="116"/>
  <c r="I5077" i="116"/>
  <c r="H5077" i="116"/>
  <c r="G5077" i="116"/>
  <c r="F5077" i="116"/>
  <c r="E5077" i="116"/>
  <c r="D5077" i="116"/>
  <c r="C5077" i="116"/>
  <c r="B5077" i="116"/>
  <c r="K5076" i="116"/>
  <c r="J5076" i="116"/>
  <c r="I5076" i="116"/>
  <c r="H5076" i="116"/>
  <c r="G5076" i="116"/>
  <c r="F5076" i="116"/>
  <c r="E5076" i="116"/>
  <c r="D5076" i="116"/>
  <c r="C5076" i="116"/>
  <c r="B5076" i="116"/>
  <c r="K5075" i="116"/>
  <c r="J5075" i="116"/>
  <c r="I5075" i="116"/>
  <c r="H5075" i="116"/>
  <c r="G5075" i="116"/>
  <c r="F5075" i="116"/>
  <c r="E5075" i="116"/>
  <c r="D5075" i="116"/>
  <c r="C5075" i="116"/>
  <c r="B5075" i="116"/>
  <c r="K5074" i="116"/>
  <c r="J5074" i="116"/>
  <c r="I5074" i="116"/>
  <c r="H5074" i="116"/>
  <c r="G5074" i="116"/>
  <c r="F5074" i="116"/>
  <c r="E5074" i="116"/>
  <c r="D5074" i="116"/>
  <c r="C5074" i="116"/>
  <c r="B5074" i="116"/>
  <c r="K5073" i="116"/>
  <c r="J5073" i="116"/>
  <c r="I5073" i="116"/>
  <c r="H5073" i="116"/>
  <c r="G5073" i="116"/>
  <c r="F5073" i="116"/>
  <c r="E5073" i="116"/>
  <c r="D5073" i="116"/>
  <c r="C5073" i="116"/>
  <c r="B5073" i="116"/>
  <c r="K5072" i="116"/>
  <c r="J5072" i="116"/>
  <c r="I5072" i="116"/>
  <c r="H5072" i="116"/>
  <c r="G5072" i="116"/>
  <c r="F5072" i="116"/>
  <c r="E5072" i="116"/>
  <c r="D5072" i="116"/>
  <c r="C5072" i="116"/>
  <c r="B5072" i="116"/>
  <c r="K5071" i="116"/>
  <c r="J5071" i="116"/>
  <c r="I5071" i="116"/>
  <c r="H5071" i="116"/>
  <c r="G5071" i="116"/>
  <c r="F5071" i="116"/>
  <c r="E5071" i="116"/>
  <c r="D5071" i="116"/>
  <c r="C5071" i="116"/>
  <c r="B5071" i="116"/>
  <c r="K5070" i="116"/>
  <c r="J5070" i="116"/>
  <c r="I5070" i="116"/>
  <c r="H5070" i="116"/>
  <c r="G5070" i="116"/>
  <c r="F5070" i="116"/>
  <c r="E5070" i="116"/>
  <c r="D5070" i="116"/>
  <c r="C5070" i="116"/>
  <c r="B5070" i="116"/>
  <c r="K5069" i="116"/>
  <c r="J5069" i="116"/>
  <c r="I5069" i="116"/>
  <c r="H5069" i="116"/>
  <c r="G5069" i="116"/>
  <c r="F5069" i="116"/>
  <c r="E5069" i="116"/>
  <c r="D5069" i="116"/>
  <c r="C5069" i="116"/>
  <c r="B5069" i="116"/>
  <c r="K5068" i="116"/>
  <c r="J5068" i="116"/>
  <c r="I5068" i="116"/>
  <c r="H5068" i="116"/>
  <c r="G5068" i="116"/>
  <c r="F5068" i="116"/>
  <c r="E5068" i="116"/>
  <c r="D5068" i="116"/>
  <c r="C5068" i="116"/>
  <c r="B5068" i="116"/>
  <c r="K5067" i="116"/>
  <c r="J5067" i="116"/>
  <c r="I5067" i="116"/>
  <c r="H5067" i="116"/>
  <c r="G5067" i="116"/>
  <c r="F5067" i="116"/>
  <c r="E5067" i="116"/>
  <c r="D5067" i="116"/>
  <c r="C5067" i="116"/>
  <c r="B5067" i="116"/>
  <c r="K5066" i="116"/>
  <c r="J5066" i="116"/>
  <c r="I5066" i="116"/>
  <c r="H5066" i="116"/>
  <c r="G5066" i="116"/>
  <c r="F5066" i="116"/>
  <c r="E5066" i="116"/>
  <c r="D5066" i="116"/>
  <c r="C5066" i="116"/>
  <c r="B5066" i="116"/>
  <c r="K5065" i="116"/>
  <c r="J5065" i="116"/>
  <c r="I5065" i="116"/>
  <c r="H5065" i="116"/>
  <c r="G5065" i="116"/>
  <c r="F5065" i="116"/>
  <c r="E5065" i="116"/>
  <c r="D5065" i="116"/>
  <c r="C5065" i="116"/>
  <c r="B5065" i="116"/>
  <c r="K5064" i="116"/>
  <c r="J5064" i="116"/>
  <c r="I5064" i="116"/>
  <c r="H5064" i="116"/>
  <c r="G5064" i="116"/>
  <c r="F5064" i="116"/>
  <c r="E5064" i="116"/>
  <c r="D5064" i="116"/>
  <c r="C5064" i="116"/>
  <c r="B5064" i="116"/>
  <c r="K5063" i="116"/>
  <c r="J5063" i="116"/>
  <c r="I5063" i="116"/>
  <c r="H5063" i="116"/>
  <c r="G5063" i="116"/>
  <c r="F5063" i="116"/>
  <c r="E5063" i="116"/>
  <c r="D5063" i="116"/>
  <c r="C5063" i="116"/>
  <c r="B5063" i="116"/>
  <c r="K5062" i="116"/>
  <c r="J5062" i="116"/>
  <c r="I5062" i="116"/>
  <c r="H5062" i="116"/>
  <c r="G5062" i="116"/>
  <c r="F5062" i="116"/>
  <c r="E5062" i="116"/>
  <c r="D5062" i="116"/>
  <c r="C5062" i="116"/>
  <c r="B5062" i="116"/>
  <c r="K5061" i="116"/>
  <c r="J5061" i="116"/>
  <c r="I5061" i="116"/>
  <c r="H5061" i="116"/>
  <c r="G5061" i="116"/>
  <c r="F5061" i="116"/>
  <c r="E5061" i="116"/>
  <c r="D5061" i="116"/>
  <c r="C5061" i="116"/>
  <c r="B5061" i="116"/>
  <c r="K5060" i="116"/>
  <c r="J5060" i="116"/>
  <c r="I5060" i="116"/>
  <c r="H5060" i="116"/>
  <c r="G5060" i="116"/>
  <c r="F5060" i="116"/>
  <c r="E5060" i="116"/>
  <c r="D5060" i="116"/>
  <c r="C5060" i="116"/>
  <c r="B5060" i="116"/>
  <c r="K5059" i="116"/>
  <c r="J5059" i="116"/>
  <c r="I5059" i="116"/>
  <c r="H5059" i="116"/>
  <c r="G5059" i="116"/>
  <c r="F5059" i="116"/>
  <c r="E5059" i="116"/>
  <c r="D5059" i="116"/>
  <c r="C5059" i="116"/>
  <c r="B5059" i="116"/>
  <c r="K5058" i="116"/>
  <c r="J5058" i="116"/>
  <c r="I5058" i="116"/>
  <c r="H5058" i="116"/>
  <c r="G5058" i="116"/>
  <c r="F5058" i="116"/>
  <c r="E5058" i="116"/>
  <c r="D5058" i="116"/>
  <c r="C5058" i="116"/>
  <c r="B5058" i="116"/>
  <c r="K5057" i="116"/>
  <c r="J5057" i="116"/>
  <c r="I5057" i="116"/>
  <c r="H5057" i="116"/>
  <c r="G5057" i="116"/>
  <c r="F5057" i="116"/>
  <c r="E5057" i="116"/>
  <c r="D5057" i="116"/>
  <c r="C5057" i="116"/>
  <c r="B5057" i="116"/>
  <c r="K5056" i="116"/>
  <c r="J5056" i="116"/>
  <c r="I5056" i="116"/>
  <c r="H5056" i="116"/>
  <c r="G5056" i="116"/>
  <c r="F5056" i="116"/>
  <c r="E5056" i="116"/>
  <c r="D5056" i="116"/>
  <c r="C5056" i="116"/>
  <c r="B5056" i="116"/>
  <c r="K5055" i="116"/>
  <c r="J5055" i="116"/>
  <c r="I5055" i="116"/>
  <c r="H5055" i="116"/>
  <c r="G5055" i="116"/>
  <c r="F5055" i="116"/>
  <c r="E5055" i="116"/>
  <c r="D5055" i="116"/>
  <c r="C5055" i="116"/>
  <c r="B5055" i="116"/>
  <c r="K5054" i="116"/>
  <c r="J5054" i="116"/>
  <c r="I5054" i="116"/>
  <c r="H5054" i="116"/>
  <c r="G5054" i="116"/>
  <c r="F5054" i="116"/>
  <c r="E5054" i="116"/>
  <c r="D5054" i="116"/>
  <c r="C5054" i="116"/>
  <c r="B5054" i="116"/>
  <c r="K5053" i="116"/>
  <c r="J5053" i="116"/>
  <c r="I5053" i="116"/>
  <c r="H5053" i="116"/>
  <c r="G5053" i="116"/>
  <c r="F5053" i="116"/>
  <c r="E5053" i="116"/>
  <c r="D5053" i="116"/>
  <c r="C5053" i="116"/>
  <c r="B5053" i="116"/>
  <c r="K5052" i="116"/>
  <c r="J5052" i="116"/>
  <c r="I5052" i="116"/>
  <c r="H5052" i="116"/>
  <c r="G5052" i="116"/>
  <c r="F5052" i="116"/>
  <c r="E5052" i="116"/>
  <c r="D5052" i="116"/>
  <c r="C5052" i="116"/>
  <c r="B5052" i="116"/>
  <c r="K5051" i="116"/>
  <c r="J5051" i="116"/>
  <c r="I5051" i="116"/>
  <c r="H5051" i="116"/>
  <c r="G5051" i="116"/>
  <c r="F5051" i="116"/>
  <c r="E5051" i="116"/>
  <c r="D5051" i="116"/>
  <c r="C5051" i="116"/>
  <c r="B5051" i="116"/>
  <c r="K5050" i="116"/>
  <c r="J5050" i="116"/>
  <c r="I5050" i="116"/>
  <c r="H5050" i="116"/>
  <c r="G5050" i="116"/>
  <c r="F5050" i="116"/>
  <c r="E5050" i="116"/>
  <c r="D5050" i="116"/>
  <c r="C5050" i="116"/>
  <c r="B5050" i="116"/>
  <c r="K5049" i="116"/>
  <c r="J5049" i="116"/>
  <c r="I5049" i="116"/>
  <c r="H5049" i="116"/>
  <c r="G5049" i="116"/>
  <c r="F5049" i="116"/>
  <c r="E5049" i="116"/>
  <c r="D5049" i="116"/>
  <c r="C5049" i="116"/>
  <c r="B5049" i="116"/>
  <c r="K5048" i="116"/>
  <c r="J5048" i="116"/>
  <c r="I5048" i="116"/>
  <c r="H5048" i="116"/>
  <c r="G5048" i="116"/>
  <c r="F5048" i="116"/>
  <c r="E5048" i="116"/>
  <c r="D5048" i="116"/>
  <c r="C5048" i="116"/>
  <c r="B5048" i="116"/>
  <c r="K5047" i="116"/>
  <c r="J5047" i="116"/>
  <c r="I5047" i="116"/>
  <c r="H5047" i="116"/>
  <c r="G5047" i="116"/>
  <c r="F5047" i="116"/>
  <c r="E5047" i="116"/>
  <c r="D5047" i="116"/>
  <c r="C5047" i="116"/>
  <c r="B5047" i="116"/>
  <c r="K5046" i="116"/>
  <c r="J5046" i="116"/>
  <c r="I5046" i="116"/>
  <c r="H5046" i="116"/>
  <c r="G5046" i="116"/>
  <c r="F5046" i="116"/>
  <c r="E5046" i="116"/>
  <c r="D5046" i="116"/>
  <c r="C5046" i="116"/>
  <c r="B5046" i="116"/>
  <c r="K5045" i="116"/>
  <c r="J5045" i="116"/>
  <c r="I5045" i="116"/>
  <c r="H5045" i="116"/>
  <c r="G5045" i="116"/>
  <c r="F5045" i="116"/>
  <c r="E5045" i="116"/>
  <c r="D5045" i="116"/>
  <c r="C5045" i="116"/>
  <c r="B5045" i="116"/>
  <c r="K5044" i="116"/>
  <c r="J5044" i="116"/>
  <c r="I5044" i="116"/>
  <c r="H5044" i="116"/>
  <c r="G5044" i="116"/>
  <c r="F5044" i="116"/>
  <c r="E5044" i="116"/>
  <c r="D5044" i="116"/>
  <c r="C5044" i="116"/>
  <c r="B5044" i="116"/>
  <c r="K5043" i="116"/>
  <c r="J5043" i="116"/>
  <c r="I5043" i="116"/>
  <c r="H5043" i="116"/>
  <c r="G5043" i="116"/>
  <c r="F5043" i="116"/>
  <c r="E5043" i="116"/>
  <c r="D5043" i="116"/>
  <c r="C5043" i="116"/>
  <c r="B5043" i="116"/>
  <c r="K5042" i="116"/>
  <c r="J5042" i="116"/>
  <c r="I5042" i="116"/>
  <c r="H5042" i="116"/>
  <c r="G5042" i="116"/>
  <c r="F5042" i="116"/>
  <c r="E5042" i="116"/>
  <c r="D5042" i="116"/>
  <c r="C5042" i="116"/>
  <c r="B5042" i="116"/>
  <c r="K5041" i="116"/>
  <c r="J5041" i="116"/>
  <c r="I5041" i="116"/>
  <c r="H5041" i="116"/>
  <c r="G5041" i="116"/>
  <c r="F5041" i="116"/>
  <c r="E5041" i="116"/>
  <c r="D5041" i="116"/>
  <c r="C5041" i="116"/>
  <c r="B5041" i="116"/>
  <c r="K5040" i="116"/>
  <c r="J5040" i="116"/>
  <c r="I5040" i="116"/>
  <c r="H5040" i="116"/>
  <c r="G5040" i="116"/>
  <c r="F5040" i="116"/>
  <c r="E5040" i="116"/>
  <c r="D5040" i="116"/>
  <c r="C5040" i="116"/>
  <c r="B5040" i="116"/>
  <c r="K5039" i="116"/>
  <c r="J5039" i="116"/>
  <c r="I5039" i="116"/>
  <c r="H5039" i="116"/>
  <c r="G5039" i="116"/>
  <c r="F5039" i="116"/>
  <c r="E5039" i="116"/>
  <c r="D5039" i="116"/>
  <c r="C5039" i="116"/>
  <c r="B5039" i="116"/>
  <c r="K5038" i="116"/>
  <c r="J5038" i="116"/>
  <c r="I5038" i="116"/>
  <c r="H5038" i="116"/>
  <c r="G5038" i="116"/>
  <c r="F5038" i="116"/>
  <c r="E5038" i="116"/>
  <c r="D5038" i="116"/>
  <c r="C5038" i="116"/>
  <c r="B5038" i="116"/>
  <c r="K5037" i="116"/>
  <c r="J5037" i="116"/>
  <c r="I5037" i="116"/>
  <c r="H5037" i="116"/>
  <c r="G5037" i="116"/>
  <c r="F5037" i="116"/>
  <c r="E5037" i="116"/>
  <c r="D5037" i="116"/>
  <c r="C5037" i="116"/>
  <c r="B5037" i="116"/>
  <c r="K5036" i="116"/>
  <c r="J5036" i="116"/>
  <c r="I5036" i="116"/>
  <c r="H5036" i="116"/>
  <c r="G5036" i="116"/>
  <c r="F5036" i="116"/>
  <c r="E5036" i="116"/>
  <c r="D5036" i="116"/>
  <c r="C5036" i="116"/>
  <c r="B5036" i="116"/>
  <c r="K5035" i="116"/>
  <c r="J5035" i="116"/>
  <c r="I5035" i="116"/>
  <c r="H5035" i="116"/>
  <c r="G5035" i="116"/>
  <c r="F5035" i="116"/>
  <c r="E5035" i="116"/>
  <c r="D5035" i="116"/>
  <c r="C5035" i="116"/>
  <c r="B5035" i="116"/>
  <c r="K5034" i="116"/>
  <c r="J5034" i="116"/>
  <c r="I5034" i="116"/>
  <c r="H5034" i="116"/>
  <c r="G5034" i="116"/>
  <c r="F5034" i="116"/>
  <c r="E5034" i="116"/>
  <c r="D5034" i="116"/>
  <c r="C5034" i="116"/>
  <c r="B5034" i="116"/>
  <c r="K5033" i="116"/>
  <c r="J5033" i="116"/>
  <c r="I5033" i="116"/>
  <c r="H5033" i="116"/>
  <c r="G5033" i="116"/>
  <c r="F5033" i="116"/>
  <c r="E5033" i="116"/>
  <c r="D5033" i="116"/>
  <c r="C5033" i="116"/>
  <c r="B5033" i="116"/>
  <c r="K5032" i="116"/>
  <c r="J5032" i="116"/>
  <c r="I5032" i="116"/>
  <c r="H5032" i="116"/>
  <c r="G5032" i="116"/>
  <c r="F5032" i="116"/>
  <c r="E5032" i="116"/>
  <c r="D5032" i="116"/>
  <c r="C5032" i="116"/>
  <c r="B5032" i="116"/>
  <c r="K5031" i="116"/>
  <c r="J5031" i="116"/>
  <c r="I5031" i="116"/>
  <c r="H5031" i="116"/>
  <c r="G5031" i="116"/>
  <c r="F5031" i="116"/>
  <c r="E5031" i="116"/>
  <c r="D5031" i="116"/>
  <c r="C5031" i="116"/>
  <c r="B5031" i="116"/>
  <c r="K5030" i="116"/>
  <c r="J5030" i="116"/>
  <c r="I5030" i="116"/>
  <c r="H5030" i="116"/>
  <c r="G5030" i="116"/>
  <c r="F5030" i="116"/>
  <c r="E5030" i="116"/>
  <c r="D5030" i="116"/>
  <c r="C5030" i="116"/>
  <c r="B5030" i="116"/>
  <c r="K5029" i="116"/>
  <c r="J5029" i="116"/>
  <c r="I5029" i="116"/>
  <c r="H5029" i="116"/>
  <c r="G5029" i="116"/>
  <c r="F5029" i="116"/>
  <c r="E5029" i="116"/>
  <c r="D5029" i="116"/>
  <c r="C5029" i="116"/>
  <c r="B5029" i="116"/>
  <c r="K5028" i="116"/>
  <c r="J5028" i="116"/>
  <c r="I5028" i="116"/>
  <c r="H5028" i="116"/>
  <c r="G5028" i="116"/>
  <c r="F5028" i="116"/>
  <c r="E5028" i="116"/>
  <c r="D5028" i="116"/>
  <c r="C5028" i="116"/>
  <c r="B5028" i="116"/>
  <c r="K5027" i="116"/>
  <c r="J5027" i="116"/>
  <c r="I5027" i="116"/>
  <c r="H5027" i="116"/>
  <c r="G5027" i="116"/>
  <c r="F5027" i="116"/>
  <c r="E5027" i="116"/>
  <c r="D5027" i="116"/>
  <c r="C5027" i="116"/>
  <c r="B5027" i="116"/>
  <c r="K5026" i="116"/>
  <c r="J5026" i="116"/>
  <c r="I5026" i="116"/>
  <c r="H5026" i="116"/>
  <c r="G5026" i="116"/>
  <c r="F5026" i="116"/>
  <c r="E5026" i="116"/>
  <c r="D5026" i="116"/>
  <c r="C5026" i="116"/>
  <c r="B5026" i="116"/>
  <c r="K5025" i="116"/>
  <c r="J5025" i="116"/>
  <c r="I5025" i="116"/>
  <c r="H5025" i="116"/>
  <c r="G5025" i="116"/>
  <c r="F5025" i="116"/>
  <c r="E5025" i="116"/>
  <c r="D5025" i="116"/>
  <c r="C5025" i="116"/>
  <c r="B5025" i="116"/>
  <c r="K5024" i="116"/>
  <c r="J5024" i="116"/>
  <c r="I5024" i="116"/>
  <c r="H5024" i="116"/>
  <c r="G5024" i="116"/>
  <c r="F5024" i="116"/>
  <c r="E5024" i="116"/>
  <c r="D5024" i="116"/>
  <c r="C5024" i="116"/>
  <c r="B5024" i="116"/>
  <c r="K5023" i="116"/>
  <c r="J5023" i="116"/>
  <c r="I5023" i="116"/>
  <c r="H5023" i="116"/>
  <c r="G5023" i="116"/>
  <c r="F5023" i="116"/>
  <c r="E5023" i="116"/>
  <c r="D5023" i="116"/>
  <c r="C5023" i="116"/>
  <c r="B5023" i="116"/>
  <c r="K5022" i="116"/>
  <c r="J5022" i="116"/>
  <c r="I5022" i="116"/>
  <c r="H5022" i="116"/>
  <c r="G5022" i="116"/>
  <c r="F5022" i="116"/>
  <c r="E5022" i="116"/>
  <c r="D5022" i="116"/>
  <c r="C5022" i="116"/>
  <c r="B5022" i="116"/>
  <c r="K5021" i="116"/>
  <c r="J5021" i="116"/>
  <c r="I5021" i="116"/>
  <c r="H5021" i="116"/>
  <c r="G5021" i="116"/>
  <c r="F5021" i="116"/>
  <c r="E5021" i="116"/>
  <c r="D5021" i="116"/>
  <c r="C5021" i="116"/>
  <c r="B5021" i="116"/>
  <c r="K5020" i="116"/>
  <c r="J5020" i="116"/>
  <c r="I5020" i="116"/>
  <c r="H5020" i="116"/>
  <c r="G5020" i="116"/>
  <c r="F5020" i="116"/>
  <c r="E5020" i="116"/>
  <c r="D5020" i="116"/>
  <c r="C5020" i="116"/>
  <c r="B5020" i="116"/>
  <c r="K5019" i="116"/>
  <c r="J5019" i="116"/>
  <c r="I5019" i="116"/>
  <c r="H5019" i="116"/>
  <c r="G5019" i="116"/>
  <c r="F5019" i="116"/>
  <c r="E5019" i="116"/>
  <c r="D5019" i="116"/>
  <c r="C5019" i="116"/>
  <c r="B5019" i="116"/>
  <c r="K5018" i="116"/>
  <c r="J5018" i="116"/>
  <c r="I5018" i="116"/>
  <c r="H5018" i="116"/>
  <c r="G5018" i="116"/>
  <c r="F5018" i="116"/>
  <c r="E5018" i="116"/>
  <c r="D5018" i="116"/>
  <c r="C5018" i="116"/>
  <c r="B5018" i="116"/>
  <c r="K5017" i="116"/>
  <c r="J5017" i="116"/>
  <c r="I5017" i="116"/>
  <c r="H5017" i="116"/>
  <c r="G5017" i="116"/>
  <c r="F5017" i="116"/>
  <c r="E5017" i="116"/>
  <c r="D5017" i="116"/>
  <c r="C5017" i="116"/>
  <c r="B5017" i="116"/>
  <c r="K5016" i="116"/>
  <c r="J5016" i="116"/>
  <c r="I5016" i="116"/>
  <c r="H5016" i="116"/>
  <c r="G5016" i="116"/>
  <c r="F5016" i="116"/>
  <c r="E5016" i="116"/>
  <c r="D5016" i="116"/>
  <c r="C5016" i="116"/>
  <c r="B5016" i="116"/>
  <c r="K5015" i="116"/>
  <c r="J5015" i="116"/>
  <c r="I5015" i="116"/>
  <c r="H5015" i="116"/>
  <c r="G5015" i="116"/>
  <c r="F5015" i="116"/>
  <c r="E5015" i="116"/>
  <c r="D5015" i="116"/>
  <c r="C5015" i="116"/>
  <c r="B5015" i="116"/>
  <c r="K5014" i="116"/>
  <c r="J5014" i="116"/>
  <c r="I5014" i="116"/>
  <c r="H5014" i="116"/>
  <c r="G5014" i="116"/>
  <c r="F5014" i="116"/>
  <c r="E5014" i="116"/>
  <c r="D5014" i="116"/>
  <c r="C5014" i="116"/>
  <c r="B5014" i="116"/>
  <c r="K5013" i="116"/>
  <c r="J5013" i="116"/>
  <c r="I5013" i="116"/>
  <c r="H5013" i="116"/>
  <c r="G5013" i="116"/>
  <c r="F5013" i="116"/>
  <c r="E5013" i="116"/>
  <c r="D5013" i="116"/>
  <c r="C5013" i="116"/>
  <c r="B5013" i="116"/>
  <c r="K5012" i="116"/>
  <c r="J5012" i="116"/>
  <c r="I5012" i="116"/>
  <c r="H5012" i="116"/>
  <c r="G5012" i="116"/>
  <c r="F5012" i="116"/>
  <c r="E5012" i="116"/>
  <c r="D5012" i="116"/>
  <c r="C5012" i="116"/>
  <c r="B5012" i="116"/>
  <c r="K5011" i="116"/>
  <c r="J5011" i="116"/>
  <c r="I5011" i="116"/>
  <c r="H5011" i="116"/>
  <c r="G5011" i="116"/>
  <c r="F5011" i="116"/>
  <c r="E5011" i="116"/>
  <c r="D5011" i="116"/>
  <c r="C5011" i="116"/>
  <c r="B5011" i="116"/>
  <c r="K5010" i="116"/>
  <c r="J5010" i="116"/>
  <c r="I5010" i="116"/>
  <c r="H5010" i="116"/>
  <c r="G5010" i="116"/>
  <c r="F5010" i="116"/>
  <c r="E5010" i="116"/>
  <c r="D5010" i="116"/>
  <c r="C5010" i="116"/>
  <c r="B5010" i="116"/>
  <c r="K5009" i="116"/>
  <c r="J5009" i="116"/>
  <c r="I5009" i="116"/>
  <c r="H5009" i="116"/>
  <c r="G5009" i="116"/>
  <c r="F5009" i="116"/>
  <c r="E5009" i="116"/>
  <c r="D5009" i="116"/>
  <c r="C5009" i="116"/>
  <c r="B5009" i="116"/>
  <c r="K5008" i="116"/>
  <c r="J5008" i="116"/>
  <c r="I5008" i="116"/>
  <c r="H5008" i="116"/>
  <c r="G5008" i="116"/>
  <c r="F5008" i="116"/>
  <c r="E5008" i="116"/>
  <c r="D5008" i="116"/>
  <c r="C5008" i="116"/>
  <c r="B5008" i="116"/>
  <c r="K5007" i="116"/>
  <c r="J5007" i="116"/>
  <c r="I5007" i="116"/>
  <c r="H5007" i="116"/>
  <c r="G5007" i="116"/>
  <c r="F5007" i="116"/>
  <c r="E5007" i="116"/>
  <c r="D5007" i="116"/>
  <c r="C5007" i="116"/>
  <c r="B5007" i="116"/>
  <c r="K5006" i="116"/>
  <c r="J5006" i="116"/>
  <c r="I5006" i="116"/>
  <c r="H5006" i="116"/>
  <c r="G5006" i="116"/>
  <c r="F5006" i="116"/>
  <c r="E5006" i="116"/>
  <c r="D5006" i="116"/>
  <c r="C5006" i="116"/>
  <c r="B5006" i="116"/>
  <c r="K5005" i="116"/>
  <c r="J5005" i="116"/>
  <c r="I5005" i="116"/>
  <c r="H5005" i="116"/>
  <c r="G5005" i="116"/>
  <c r="F5005" i="116"/>
  <c r="E5005" i="116"/>
  <c r="D5005" i="116"/>
  <c r="C5005" i="116"/>
  <c r="B5005" i="116"/>
  <c r="K5004" i="116"/>
  <c r="J5004" i="116"/>
  <c r="I5004" i="116"/>
  <c r="H5004" i="116"/>
  <c r="G5004" i="116"/>
  <c r="F5004" i="116"/>
  <c r="E5004" i="116"/>
  <c r="D5004" i="116"/>
  <c r="C5004" i="116"/>
  <c r="B5004" i="116"/>
  <c r="K5003" i="116"/>
  <c r="J5003" i="116"/>
  <c r="I5003" i="116"/>
  <c r="H5003" i="116"/>
  <c r="G5003" i="116"/>
  <c r="F5003" i="116"/>
  <c r="E5003" i="116"/>
  <c r="D5003" i="116"/>
  <c r="C5003" i="116"/>
  <c r="B5003" i="116"/>
  <c r="K5002" i="116"/>
  <c r="J5002" i="116"/>
  <c r="I5002" i="116"/>
  <c r="H5002" i="116"/>
  <c r="G5002" i="116"/>
  <c r="F5002" i="116"/>
  <c r="E5002" i="116"/>
  <c r="D5002" i="116"/>
  <c r="C5002" i="116"/>
  <c r="B5002" i="116"/>
  <c r="K5001" i="116"/>
  <c r="J5001" i="116"/>
  <c r="I5001" i="116"/>
  <c r="H5001" i="116"/>
  <c r="G5001" i="116"/>
  <c r="F5001" i="116"/>
  <c r="E5001" i="116"/>
  <c r="D5001" i="116"/>
  <c r="C5001" i="116"/>
  <c r="B5001" i="116"/>
  <c r="K5000" i="116"/>
  <c r="J5000" i="116"/>
  <c r="I5000" i="116"/>
  <c r="H5000" i="116"/>
  <c r="G5000" i="116"/>
  <c r="F5000" i="116"/>
  <c r="E5000" i="116"/>
  <c r="D5000" i="116"/>
  <c r="C5000" i="116"/>
  <c r="B5000" i="116"/>
  <c r="K4999" i="116"/>
  <c r="J4999" i="116"/>
  <c r="I4999" i="116"/>
  <c r="H4999" i="116"/>
  <c r="G4999" i="116"/>
  <c r="F4999" i="116"/>
  <c r="E4999" i="116"/>
  <c r="D4999" i="116"/>
  <c r="C4999" i="116"/>
  <c r="B4999" i="116"/>
  <c r="K4998" i="116"/>
  <c r="J4998" i="116"/>
  <c r="I4998" i="116"/>
  <c r="H4998" i="116"/>
  <c r="G4998" i="116"/>
  <c r="F4998" i="116"/>
  <c r="E4998" i="116"/>
  <c r="D4998" i="116"/>
  <c r="C4998" i="116"/>
  <c r="B4998" i="116"/>
  <c r="K4997" i="116"/>
  <c r="J4997" i="116"/>
  <c r="I4997" i="116"/>
  <c r="H4997" i="116"/>
  <c r="G4997" i="116"/>
  <c r="F4997" i="116"/>
  <c r="E4997" i="116"/>
  <c r="D4997" i="116"/>
  <c r="C4997" i="116"/>
  <c r="B4997" i="116"/>
  <c r="K4996" i="116"/>
  <c r="J4996" i="116"/>
  <c r="I4996" i="116"/>
  <c r="H4996" i="116"/>
  <c r="G4996" i="116"/>
  <c r="F4996" i="116"/>
  <c r="E4996" i="116"/>
  <c r="D4996" i="116"/>
  <c r="C4996" i="116"/>
  <c r="B4996" i="116"/>
  <c r="K4995" i="116"/>
  <c r="J4995" i="116"/>
  <c r="I4995" i="116"/>
  <c r="H4995" i="116"/>
  <c r="G4995" i="116"/>
  <c r="F4995" i="116"/>
  <c r="E4995" i="116"/>
  <c r="D4995" i="116"/>
  <c r="C4995" i="116"/>
  <c r="B4995" i="116"/>
  <c r="K4994" i="116"/>
  <c r="J4994" i="116"/>
  <c r="I4994" i="116"/>
  <c r="H4994" i="116"/>
  <c r="G4994" i="116"/>
  <c r="F4994" i="116"/>
  <c r="E4994" i="116"/>
  <c r="D4994" i="116"/>
  <c r="C4994" i="116"/>
  <c r="B4994" i="116"/>
  <c r="K4993" i="116"/>
  <c r="J4993" i="116"/>
  <c r="I4993" i="116"/>
  <c r="H4993" i="116"/>
  <c r="G4993" i="116"/>
  <c r="F4993" i="116"/>
  <c r="E4993" i="116"/>
  <c r="D4993" i="116"/>
  <c r="C4993" i="116"/>
  <c r="B4993" i="116"/>
  <c r="K4992" i="116"/>
  <c r="J4992" i="116"/>
  <c r="I4992" i="116"/>
  <c r="H4992" i="116"/>
  <c r="G4992" i="116"/>
  <c r="F4992" i="116"/>
  <c r="E4992" i="116"/>
  <c r="D4992" i="116"/>
  <c r="C4992" i="116"/>
  <c r="B4992" i="116"/>
  <c r="K4991" i="116"/>
  <c r="J4991" i="116"/>
  <c r="I4991" i="116"/>
  <c r="H4991" i="116"/>
  <c r="G4991" i="116"/>
  <c r="F4991" i="116"/>
  <c r="E4991" i="116"/>
  <c r="D4991" i="116"/>
  <c r="C4991" i="116"/>
  <c r="B4991" i="116"/>
  <c r="K4990" i="116"/>
  <c r="J4990" i="116"/>
  <c r="I4990" i="116"/>
  <c r="H4990" i="116"/>
  <c r="G4990" i="116"/>
  <c r="F4990" i="116"/>
  <c r="E4990" i="116"/>
  <c r="D4990" i="116"/>
  <c r="C4990" i="116"/>
  <c r="B4990" i="116"/>
  <c r="K4989" i="116"/>
  <c r="J4989" i="116"/>
  <c r="I4989" i="116"/>
  <c r="H4989" i="116"/>
  <c r="G4989" i="116"/>
  <c r="F4989" i="116"/>
  <c r="E4989" i="116"/>
  <c r="D4989" i="116"/>
  <c r="C4989" i="116"/>
  <c r="B4989" i="116"/>
  <c r="K4988" i="116"/>
  <c r="J4988" i="116"/>
  <c r="I4988" i="116"/>
  <c r="H4988" i="116"/>
  <c r="G4988" i="116"/>
  <c r="F4988" i="116"/>
  <c r="E4988" i="116"/>
  <c r="D4988" i="116"/>
  <c r="C4988" i="116"/>
  <c r="B4988" i="116"/>
  <c r="K4987" i="116"/>
  <c r="J4987" i="116"/>
  <c r="I4987" i="116"/>
  <c r="H4987" i="116"/>
  <c r="G4987" i="116"/>
  <c r="F4987" i="116"/>
  <c r="E4987" i="116"/>
  <c r="D4987" i="116"/>
  <c r="C4987" i="116"/>
  <c r="B4987" i="116"/>
  <c r="K4986" i="116"/>
  <c r="J4986" i="116"/>
  <c r="I4986" i="116"/>
  <c r="H4986" i="116"/>
  <c r="G4986" i="116"/>
  <c r="F4986" i="116"/>
  <c r="E4986" i="116"/>
  <c r="D4986" i="116"/>
  <c r="C4986" i="116"/>
  <c r="B4986" i="116"/>
  <c r="K4985" i="116"/>
  <c r="J4985" i="116"/>
  <c r="I4985" i="116"/>
  <c r="H4985" i="116"/>
  <c r="G4985" i="116"/>
  <c r="F4985" i="116"/>
  <c r="E4985" i="116"/>
  <c r="D4985" i="116"/>
  <c r="C4985" i="116"/>
  <c r="B4985" i="116"/>
  <c r="K4984" i="116"/>
  <c r="J4984" i="116"/>
  <c r="I4984" i="116"/>
  <c r="H4984" i="116"/>
  <c r="G4984" i="116"/>
  <c r="F4984" i="116"/>
  <c r="E4984" i="116"/>
  <c r="D4984" i="116"/>
  <c r="C4984" i="116"/>
  <c r="B4984" i="116"/>
  <c r="K4983" i="116"/>
  <c r="J4983" i="116"/>
  <c r="I4983" i="116"/>
  <c r="H4983" i="116"/>
  <c r="G4983" i="116"/>
  <c r="F4983" i="116"/>
  <c r="E4983" i="116"/>
  <c r="D4983" i="116"/>
  <c r="C4983" i="116"/>
  <c r="B4983" i="116"/>
  <c r="K4982" i="116"/>
  <c r="J4982" i="116"/>
  <c r="I4982" i="116"/>
  <c r="H4982" i="116"/>
  <c r="G4982" i="116"/>
  <c r="F4982" i="116"/>
  <c r="E4982" i="116"/>
  <c r="D4982" i="116"/>
  <c r="C4982" i="116"/>
  <c r="B4982" i="116"/>
  <c r="K4981" i="116"/>
  <c r="J4981" i="116"/>
  <c r="I4981" i="116"/>
  <c r="H4981" i="116"/>
  <c r="G4981" i="116"/>
  <c r="F4981" i="116"/>
  <c r="E4981" i="116"/>
  <c r="D4981" i="116"/>
  <c r="C4981" i="116"/>
  <c r="B4981" i="116"/>
  <c r="K4980" i="116"/>
  <c r="J4980" i="116"/>
  <c r="I4980" i="116"/>
  <c r="H4980" i="116"/>
  <c r="G4980" i="116"/>
  <c r="F4980" i="116"/>
  <c r="E4980" i="116"/>
  <c r="D4980" i="116"/>
  <c r="C4980" i="116"/>
  <c r="B4980" i="116"/>
  <c r="K4979" i="116"/>
  <c r="J4979" i="116"/>
  <c r="I4979" i="116"/>
  <c r="H4979" i="116"/>
  <c r="G4979" i="116"/>
  <c r="F4979" i="116"/>
  <c r="E4979" i="116"/>
  <c r="D4979" i="116"/>
  <c r="C4979" i="116"/>
  <c r="B4979" i="116"/>
  <c r="K4978" i="116"/>
  <c r="J4978" i="116"/>
  <c r="I4978" i="116"/>
  <c r="H4978" i="116"/>
  <c r="G4978" i="116"/>
  <c r="F4978" i="116"/>
  <c r="E4978" i="116"/>
  <c r="D4978" i="116"/>
  <c r="C4978" i="116"/>
  <c r="B4978" i="116"/>
  <c r="K4977" i="116"/>
  <c r="J4977" i="116"/>
  <c r="I4977" i="116"/>
  <c r="H4977" i="116"/>
  <c r="G4977" i="116"/>
  <c r="F4977" i="116"/>
  <c r="E4977" i="116"/>
  <c r="D4977" i="116"/>
  <c r="C4977" i="116"/>
  <c r="B4977" i="116"/>
  <c r="K4976" i="116"/>
  <c r="J4976" i="116"/>
  <c r="I4976" i="116"/>
  <c r="H4976" i="116"/>
  <c r="G4976" i="116"/>
  <c r="F4976" i="116"/>
  <c r="E4976" i="116"/>
  <c r="D4976" i="116"/>
  <c r="C4976" i="116"/>
  <c r="B4976" i="116"/>
  <c r="K4975" i="116"/>
  <c r="J4975" i="116"/>
  <c r="I4975" i="116"/>
  <c r="H4975" i="116"/>
  <c r="G4975" i="116"/>
  <c r="F4975" i="116"/>
  <c r="E4975" i="116"/>
  <c r="D4975" i="116"/>
  <c r="C4975" i="116"/>
  <c r="B4975" i="116"/>
  <c r="K4974" i="116"/>
  <c r="J4974" i="116"/>
  <c r="I4974" i="116"/>
  <c r="H4974" i="116"/>
  <c r="G4974" i="116"/>
  <c r="F4974" i="116"/>
  <c r="E4974" i="116"/>
  <c r="D4974" i="116"/>
  <c r="C4974" i="116"/>
  <c r="B4974" i="116"/>
  <c r="K4973" i="116"/>
  <c r="J4973" i="116"/>
  <c r="I4973" i="116"/>
  <c r="H4973" i="116"/>
  <c r="G4973" i="116"/>
  <c r="F4973" i="116"/>
  <c r="E4973" i="116"/>
  <c r="D4973" i="116"/>
  <c r="C4973" i="116"/>
  <c r="B4973" i="116"/>
  <c r="K4972" i="116"/>
  <c r="J4972" i="116"/>
  <c r="I4972" i="116"/>
  <c r="H4972" i="116"/>
  <c r="G4972" i="116"/>
  <c r="F4972" i="116"/>
  <c r="E4972" i="116"/>
  <c r="D4972" i="116"/>
  <c r="C4972" i="116"/>
  <c r="B4972" i="116"/>
  <c r="K4971" i="116"/>
  <c r="J4971" i="116"/>
  <c r="I4971" i="116"/>
  <c r="H4971" i="116"/>
  <c r="G4971" i="116"/>
  <c r="F4971" i="116"/>
  <c r="E4971" i="116"/>
  <c r="D4971" i="116"/>
  <c r="C4971" i="116"/>
  <c r="B4971" i="116"/>
  <c r="K4970" i="116"/>
  <c r="J4970" i="116"/>
  <c r="I4970" i="116"/>
  <c r="H4970" i="116"/>
  <c r="G4970" i="116"/>
  <c r="F4970" i="116"/>
  <c r="E4970" i="116"/>
  <c r="D4970" i="116"/>
  <c r="C4970" i="116"/>
  <c r="B4970" i="116"/>
  <c r="K4969" i="116"/>
  <c r="J4969" i="116"/>
  <c r="I4969" i="116"/>
  <c r="H4969" i="116"/>
  <c r="G4969" i="116"/>
  <c r="F4969" i="116"/>
  <c r="E4969" i="116"/>
  <c r="D4969" i="116"/>
  <c r="C4969" i="116"/>
  <c r="B4969" i="116"/>
  <c r="K4968" i="116"/>
  <c r="J4968" i="116"/>
  <c r="I4968" i="116"/>
  <c r="H4968" i="116"/>
  <c r="G4968" i="116"/>
  <c r="F4968" i="116"/>
  <c r="E4968" i="116"/>
  <c r="D4968" i="116"/>
  <c r="C4968" i="116"/>
  <c r="B4968" i="116"/>
  <c r="K4967" i="116"/>
  <c r="J4967" i="116"/>
  <c r="I4967" i="116"/>
  <c r="H4967" i="116"/>
  <c r="G4967" i="116"/>
  <c r="F4967" i="116"/>
  <c r="E4967" i="116"/>
  <c r="D4967" i="116"/>
  <c r="C4967" i="116"/>
  <c r="B4967" i="116"/>
  <c r="K4966" i="116"/>
  <c r="J4966" i="116"/>
  <c r="I4966" i="116"/>
  <c r="H4966" i="116"/>
  <c r="G4966" i="116"/>
  <c r="F4966" i="116"/>
  <c r="E4966" i="116"/>
  <c r="D4966" i="116"/>
  <c r="C4966" i="116"/>
  <c r="B4966" i="116"/>
  <c r="K4965" i="116"/>
  <c r="J4965" i="116"/>
  <c r="I4965" i="116"/>
  <c r="H4965" i="116"/>
  <c r="G4965" i="116"/>
  <c r="F4965" i="116"/>
  <c r="E4965" i="116"/>
  <c r="D4965" i="116"/>
  <c r="C4965" i="116"/>
  <c r="B4965" i="116"/>
  <c r="K4964" i="116"/>
  <c r="J4964" i="116"/>
  <c r="I4964" i="116"/>
  <c r="H4964" i="116"/>
  <c r="G4964" i="116"/>
  <c r="F4964" i="116"/>
  <c r="E4964" i="116"/>
  <c r="D4964" i="116"/>
  <c r="C4964" i="116"/>
  <c r="B4964" i="116"/>
  <c r="K4963" i="116"/>
  <c r="J4963" i="116"/>
  <c r="I4963" i="116"/>
  <c r="H4963" i="116"/>
  <c r="G4963" i="116"/>
  <c r="F4963" i="116"/>
  <c r="E4963" i="116"/>
  <c r="D4963" i="116"/>
  <c r="C4963" i="116"/>
  <c r="B4963" i="116"/>
  <c r="K4962" i="116"/>
  <c r="J4962" i="116"/>
  <c r="I4962" i="116"/>
  <c r="H4962" i="116"/>
  <c r="G4962" i="116"/>
  <c r="F4962" i="116"/>
  <c r="E4962" i="116"/>
  <c r="D4962" i="116"/>
  <c r="C4962" i="116"/>
  <c r="B4962" i="116"/>
  <c r="K4961" i="116"/>
  <c r="J4961" i="116"/>
  <c r="I4961" i="116"/>
  <c r="H4961" i="116"/>
  <c r="G4961" i="116"/>
  <c r="F4961" i="116"/>
  <c r="E4961" i="116"/>
  <c r="D4961" i="116"/>
  <c r="C4961" i="116"/>
  <c r="B4961" i="116"/>
  <c r="K4960" i="116"/>
  <c r="J4960" i="116"/>
  <c r="I4960" i="116"/>
  <c r="H4960" i="116"/>
  <c r="G4960" i="116"/>
  <c r="F4960" i="116"/>
  <c r="E4960" i="116"/>
  <c r="D4960" i="116"/>
  <c r="C4960" i="116"/>
  <c r="B4960" i="116"/>
  <c r="K4959" i="116"/>
  <c r="J4959" i="116"/>
  <c r="I4959" i="116"/>
  <c r="H4959" i="116"/>
  <c r="G4959" i="116"/>
  <c r="F4959" i="116"/>
  <c r="E4959" i="116"/>
  <c r="D4959" i="116"/>
  <c r="C4959" i="116"/>
  <c r="B4959" i="116"/>
  <c r="K4958" i="116"/>
  <c r="J4958" i="116"/>
  <c r="I4958" i="116"/>
  <c r="H4958" i="116"/>
  <c r="G4958" i="116"/>
  <c r="F4958" i="116"/>
  <c r="E4958" i="116"/>
  <c r="D4958" i="116"/>
  <c r="C4958" i="116"/>
  <c r="B4958" i="116"/>
  <c r="K4957" i="116"/>
  <c r="J4957" i="116"/>
  <c r="I4957" i="116"/>
  <c r="H4957" i="116"/>
  <c r="G4957" i="116"/>
  <c r="F4957" i="116"/>
  <c r="E4957" i="116"/>
  <c r="D4957" i="116"/>
  <c r="C4957" i="116"/>
  <c r="B4957" i="116"/>
  <c r="K4956" i="116"/>
  <c r="J4956" i="116"/>
  <c r="I4956" i="116"/>
  <c r="H4956" i="116"/>
  <c r="G4956" i="116"/>
  <c r="F4956" i="116"/>
  <c r="E4956" i="116"/>
  <c r="D4956" i="116"/>
  <c r="C4956" i="116"/>
  <c r="B4956" i="116"/>
  <c r="K4955" i="116"/>
  <c r="J4955" i="116"/>
  <c r="I4955" i="116"/>
  <c r="H4955" i="116"/>
  <c r="G4955" i="116"/>
  <c r="F4955" i="116"/>
  <c r="E4955" i="116"/>
  <c r="D4955" i="116"/>
  <c r="C4955" i="116"/>
  <c r="B4955" i="116"/>
  <c r="K4954" i="116"/>
  <c r="J4954" i="116"/>
  <c r="I4954" i="116"/>
  <c r="H4954" i="116"/>
  <c r="G4954" i="116"/>
  <c r="F4954" i="116"/>
  <c r="E4954" i="116"/>
  <c r="D4954" i="116"/>
  <c r="C4954" i="116"/>
  <c r="B4954" i="116"/>
  <c r="K4953" i="116"/>
  <c r="J4953" i="116"/>
  <c r="I4953" i="116"/>
  <c r="H4953" i="116"/>
  <c r="G4953" i="116"/>
  <c r="F4953" i="116"/>
  <c r="E4953" i="116"/>
  <c r="D4953" i="116"/>
  <c r="C4953" i="116"/>
  <c r="B4953" i="116"/>
  <c r="K4952" i="116"/>
  <c r="J4952" i="116"/>
  <c r="I4952" i="116"/>
  <c r="H4952" i="116"/>
  <c r="G4952" i="116"/>
  <c r="F4952" i="116"/>
  <c r="E4952" i="116"/>
  <c r="D4952" i="116"/>
  <c r="C4952" i="116"/>
  <c r="B4952" i="116"/>
  <c r="K4951" i="116"/>
  <c r="J4951" i="116"/>
  <c r="I4951" i="116"/>
  <c r="H4951" i="116"/>
  <c r="G4951" i="116"/>
  <c r="F4951" i="116"/>
  <c r="E4951" i="116"/>
  <c r="D4951" i="116"/>
  <c r="C4951" i="116"/>
  <c r="B4951" i="116"/>
  <c r="K4950" i="116"/>
  <c r="J4950" i="116"/>
  <c r="I4950" i="116"/>
  <c r="H4950" i="116"/>
  <c r="G4950" i="116"/>
  <c r="F4950" i="116"/>
  <c r="E4950" i="116"/>
  <c r="D4950" i="116"/>
  <c r="C4950" i="116"/>
  <c r="B4950" i="116"/>
  <c r="K4949" i="116"/>
  <c r="J4949" i="116"/>
  <c r="I4949" i="116"/>
  <c r="H4949" i="116"/>
  <c r="G4949" i="116"/>
  <c r="F4949" i="116"/>
  <c r="E4949" i="116"/>
  <c r="D4949" i="116"/>
  <c r="C4949" i="116"/>
  <c r="B4949" i="116"/>
  <c r="K4948" i="116"/>
  <c r="J4948" i="116"/>
  <c r="I4948" i="116"/>
  <c r="H4948" i="116"/>
  <c r="G4948" i="116"/>
  <c r="F4948" i="116"/>
  <c r="E4948" i="116"/>
  <c r="D4948" i="116"/>
  <c r="C4948" i="116"/>
  <c r="B4948" i="116"/>
  <c r="K4947" i="116"/>
  <c r="J4947" i="116"/>
  <c r="I4947" i="116"/>
  <c r="H4947" i="116"/>
  <c r="G4947" i="116"/>
  <c r="F4947" i="116"/>
  <c r="E4947" i="116"/>
  <c r="D4947" i="116"/>
  <c r="C4947" i="116"/>
  <c r="B4947" i="116"/>
  <c r="K4946" i="116"/>
  <c r="J4946" i="116"/>
  <c r="I4946" i="116"/>
  <c r="H4946" i="116"/>
  <c r="G4946" i="116"/>
  <c r="F4946" i="116"/>
  <c r="E4946" i="116"/>
  <c r="D4946" i="116"/>
  <c r="C4946" i="116"/>
  <c r="B4946" i="116"/>
  <c r="K4945" i="116"/>
  <c r="J4945" i="116"/>
  <c r="I4945" i="116"/>
  <c r="H4945" i="116"/>
  <c r="G4945" i="116"/>
  <c r="F4945" i="116"/>
  <c r="E4945" i="116"/>
  <c r="D4945" i="116"/>
  <c r="C4945" i="116"/>
  <c r="B4945" i="116"/>
  <c r="K4944" i="116"/>
  <c r="J4944" i="116"/>
  <c r="I4944" i="116"/>
  <c r="H4944" i="116"/>
  <c r="G4944" i="116"/>
  <c r="F4944" i="116"/>
  <c r="E4944" i="116"/>
  <c r="D4944" i="116"/>
  <c r="C4944" i="116"/>
  <c r="B4944" i="116"/>
  <c r="K4943" i="116"/>
  <c r="J4943" i="116"/>
  <c r="I4943" i="116"/>
  <c r="H4943" i="116"/>
  <c r="G4943" i="116"/>
  <c r="F4943" i="116"/>
  <c r="E4943" i="116"/>
  <c r="D4943" i="116"/>
  <c r="C4943" i="116"/>
  <c r="B4943" i="116"/>
  <c r="K4942" i="116"/>
  <c r="J4942" i="116"/>
  <c r="I4942" i="116"/>
  <c r="H4942" i="116"/>
  <c r="G4942" i="116"/>
  <c r="F4942" i="116"/>
  <c r="E4942" i="116"/>
  <c r="D4942" i="116"/>
  <c r="C4942" i="116"/>
  <c r="B4942" i="116"/>
  <c r="K4941" i="116"/>
  <c r="J4941" i="116"/>
  <c r="I4941" i="116"/>
  <c r="H4941" i="116"/>
  <c r="G4941" i="116"/>
  <c r="F4941" i="116"/>
  <c r="E4941" i="116"/>
  <c r="D4941" i="116"/>
  <c r="C4941" i="116"/>
  <c r="B4941" i="116"/>
  <c r="K4940" i="116"/>
  <c r="J4940" i="116"/>
  <c r="I4940" i="116"/>
  <c r="H4940" i="116"/>
  <c r="G4940" i="116"/>
  <c r="F4940" i="116"/>
  <c r="E4940" i="116"/>
  <c r="D4940" i="116"/>
  <c r="C4940" i="116"/>
  <c r="B4940" i="116"/>
  <c r="K4939" i="116"/>
  <c r="J4939" i="116"/>
  <c r="I4939" i="116"/>
  <c r="H4939" i="116"/>
  <c r="G4939" i="116"/>
  <c r="F4939" i="116"/>
  <c r="E4939" i="116"/>
  <c r="D4939" i="116"/>
  <c r="C4939" i="116"/>
  <c r="B4939" i="116"/>
  <c r="K4938" i="116"/>
  <c r="J4938" i="116"/>
  <c r="I4938" i="116"/>
  <c r="H4938" i="116"/>
  <c r="G4938" i="116"/>
  <c r="F4938" i="116"/>
  <c r="E4938" i="116"/>
  <c r="D4938" i="116"/>
  <c r="C4938" i="116"/>
  <c r="B4938" i="116"/>
  <c r="K4937" i="116"/>
  <c r="J4937" i="116"/>
  <c r="I4937" i="116"/>
  <c r="H4937" i="116"/>
  <c r="G4937" i="116"/>
  <c r="F4937" i="116"/>
  <c r="E4937" i="116"/>
  <c r="D4937" i="116"/>
  <c r="C4937" i="116"/>
  <c r="B4937" i="116"/>
  <c r="K4936" i="116"/>
  <c r="J4936" i="116"/>
  <c r="I4936" i="116"/>
  <c r="H4936" i="116"/>
  <c r="G4936" i="116"/>
  <c r="F4936" i="116"/>
  <c r="E4936" i="116"/>
  <c r="D4936" i="116"/>
  <c r="C4936" i="116"/>
  <c r="B4936" i="116"/>
  <c r="K4935" i="116"/>
  <c r="J4935" i="116"/>
  <c r="I4935" i="116"/>
  <c r="H4935" i="116"/>
  <c r="G4935" i="116"/>
  <c r="F4935" i="116"/>
  <c r="E4935" i="116"/>
  <c r="D4935" i="116"/>
  <c r="C4935" i="116"/>
  <c r="B4935" i="116"/>
  <c r="K4934" i="116"/>
  <c r="J4934" i="116"/>
  <c r="I4934" i="116"/>
  <c r="H4934" i="116"/>
  <c r="G4934" i="116"/>
  <c r="F4934" i="116"/>
  <c r="E4934" i="116"/>
  <c r="D4934" i="116"/>
  <c r="C4934" i="116"/>
  <c r="B4934" i="116"/>
  <c r="K4933" i="116"/>
  <c r="J4933" i="116"/>
  <c r="I4933" i="116"/>
  <c r="H4933" i="116"/>
  <c r="G4933" i="116"/>
  <c r="F4933" i="116"/>
  <c r="E4933" i="116"/>
  <c r="D4933" i="116"/>
  <c r="C4933" i="116"/>
  <c r="B4933" i="116"/>
  <c r="K4932" i="116"/>
  <c r="J4932" i="116"/>
  <c r="I4932" i="116"/>
  <c r="H4932" i="116"/>
  <c r="G4932" i="116"/>
  <c r="F4932" i="116"/>
  <c r="E4932" i="116"/>
  <c r="D4932" i="116"/>
  <c r="C4932" i="116"/>
  <c r="B4932" i="116"/>
  <c r="K4931" i="116"/>
  <c r="J4931" i="116"/>
  <c r="I4931" i="116"/>
  <c r="H4931" i="116"/>
  <c r="G4931" i="116"/>
  <c r="F4931" i="116"/>
  <c r="E4931" i="116"/>
  <c r="D4931" i="116"/>
  <c r="C4931" i="116"/>
  <c r="B4931" i="116"/>
  <c r="K4930" i="116"/>
  <c r="J4930" i="116"/>
  <c r="I4930" i="116"/>
  <c r="H4930" i="116"/>
  <c r="G4930" i="116"/>
  <c r="F4930" i="116"/>
  <c r="E4930" i="116"/>
  <c r="D4930" i="116"/>
  <c r="C4930" i="116"/>
  <c r="B4930" i="116"/>
  <c r="K4929" i="116"/>
  <c r="J4929" i="116"/>
  <c r="I4929" i="116"/>
  <c r="H4929" i="116"/>
  <c r="G4929" i="116"/>
  <c r="F4929" i="116"/>
  <c r="E4929" i="116"/>
  <c r="D4929" i="116"/>
  <c r="C4929" i="116"/>
  <c r="B4929" i="116"/>
  <c r="K4928" i="116"/>
  <c r="J4928" i="116"/>
  <c r="I4928" i="116"/>
  <c r="H4928" i="116"/>
  <c r="G4928" i="116"/>
  <c r="F4928" i="116"/>
  <c r="E4928" i="116"/>
  <c r="D4928" i="116"/>
  <c r="C4928" i="116"/>
  <c r="B4928" i="116"/>
  <c r="K4927" i="116"/>
  <c r="J4927" i="116"/>
  <c r="I4927" i="116"/>
  <c r="H4927" i="116"/>
  <c r="G4927" i="116"/>
  <c r="F4927" i="116"/>
  <c r="E4927" i="116"/>
  <c r="D4927" i="116"/>
  <c r="C4927" i="116"/>
  <c r="B4927" i="116"/>
  <c r="K4926" i="116"/>
  <c r="J4926" i="116"/>
  <c r="I4926" i="116"/>
  <c r="H4926" i="116"/>
  <c r="G4926" i="116"/>
  <c r="F4926" i="116"/>
  <c r="E4926" i="116"/>
  <c r="D4926" i="116"/>
  <c r="C4926" i="116"/>
  <c r="B4926" i="116"/>
  <c r="K4925" i="116"/>
  <c r="J4925" i="116"/>
  <c r="I4925" i="116"/>
  <c r="H4925" i="116"/>
  <c r="G4925" i="116"/>
  <c r="F4925" i="116"/>
  <c r="E4925" i="116"/>
  <c r="D4925" i="116"/>
  <c r="C4925" i="116"/>
  <c r="B4925" i="116"/>
  <c r="K4924" i="116"/>
  <c r="J4924" i="116"/>
  <c r="I4924" i="116"/>
  <c r="H4924" i="116"/>
  <c r="G4924" i="116"/>
  <c r="F4924" i="116"/>
  <c r="E4924" i="116"/>
  <c r="D4924" i="116"/>
  <c r="C4924" i="116"/>
  <c r="B4924" i="116"/>
  <c r="K4923" i="116"/>
  <c r="J4923" i="116"/>
  <c r="I4923" i="116"/>
  <c r="H4923" i="116"/>
  <c r="G4923" i="116"/>
  <c r="F4923" i="116"/>
  <c r="E4923" i="116"/>
  <c r="D4923" i="116"/>
  <c r="C4923" i="116"/>
  <c r="B4923" i="116"/>
  <c r="K4922" i="116"/>
  <c r="J4922" i="116"/>
  <c r="I4922" i="116"/>
  <c r="H4922" i="116"/>
  <c r="G4922" i="116"/>
  <c r="F4922" i="116"/>
  <c r="E4922" i="116"/>
  <c r="D4922" i="116"/>
  <c r="C4922" i="116"/>
  <c r="B4922" i="116"/>
  <c r="K4921" i="116"/>
  <c r="J4921" i="116"/>
  <c r="I4921" i="116"/>
  <c r="H4921" i="116"/>
  <c r="G4921" i="116"/>
  <c r="F4921" i="116"/>
  <c r="E4921" i="116"/>
  <c r="D4921" i="116"/>
  <c r="C4921" i="116"/>
  <c r="B4921" i="116"/>
  <c r="K4920" i="116"/>
  <c r="J4920" i="116"/>
  <c r="I4920" i="116"/>
  <c r="H4920" i="116"/>
  <c r="G4920" i="116"/>
  <c r="F4920" i="116"/>
  <c r="E4920" i="116"/>
  <c r="D4920" i="116"/>
  <c r="C4920" i="116"/>
  <c r="B4920" i="116"/>
  <c r="K4919" i="116"/>
  <c r="J4919" i="116"/>
  <c r="I4919" i="116"/>
  <c r="H4919" i="116"/>
  <c r="G4919" i="116"/>
  <c r="F4919" i="116"/>
  <c r="E4919" i="116"/>
  <c r="D4919" i="116"/>
  <c r="C4919" i="116"/>
  <c r="B4919" i="116"/>
  <c r="K4918" i="116"/>
  <c r="J4918" i="116"/>
  <c r="I4918" i="116"/>
  <c r="H4918" i="116"/>
  <c r="G4918" i="116"/>
  <c r="F4918" i="116"/>
  <c r="E4918" i="116"/>
  <c r="D4918" i="116"/>
  <c r="C4918" i="116"/>
  <c r="B4918" i="116"/>
  <c r="K4917" i="116"/>
  <c r="J4917" i="116"/>
  <c r="I4917" i="116"/>
  <c r="H4917" i="116"/>
  <c r="G4917" i="116"/>
  <c r="F4917" i="116"/>
  <c r="E4917" i="116"/>
  <c r="D4917" i="116"/>
  <c r="C4917" i="116"/>
  <c r="B4917" i="116"/>
  <c r="K4916" i="116"/>
  <c r="J4916" i="116"/>
  <c r="I4916" i="116"/>
  <c r="H4916" i="116"/>
  <c r="G4916" i="116"/>
  <c r="F4916" i="116"/>
  <c r="E4916" i="116"/>
  <c r="D4916" i="116"/>
  <c r="C4916" i="116"/>
  <c r="B4916" i="116"/>
  <c r="K4915" i="116"/>
  <c r="J4915" i="116"/>
  <c r="I4915" i="116"/>
  <c r="H4915" i="116"/>
  <c r="G4915" i="116"/>
  <c r="F4915" i="116"/>
  <c r="E4915" i="116"/>
  <c r="D4915" i="116"/>
  <c r="C4915" i="116"/>
  <c r="B4915" i="116"/>
  <c r="K4914" i="116"/>
  <c r="J4914" i="116"/>
  <c r="I4914" i="116"/>
  <c r="H4914" i="116"/>
  <c r="G4914" i="116"/>
  <c r="F4914" i="116"/>
  <c r="E4914" i="116"/>
  <c r="D4914" i="116"/>
  <c r="C4914" i="116"/>
  <c r="B4914" i="116"/>
  <c r="K4913" i="116"/>
  <c r="J4913" i="116"/>
  <c r="I4913" i="116"/>
  <c r="H4913" i="116"/>
  <c r="G4913" i="116"/>
  <c r="F4913" i="116"/>
  <c r="E4913" i="116"/>
  <c r="D4913" i="116"/>
  <c r="C4913" i="116"/>
  <c r="B4913" i="116"/>
  <c r="K4912" i="116"/>
  <c r="J4912" i="116"/>
  <c r="I4912" i="116"/>
  <c r="H4912" i="116"/>
  <c r="G4912" i="116"/>
  <c r="F4912" i="116"/>
  <c r="E4912" i="116"/>
  <c r="D4912" i="116"/>
  <c r="C4912" i="116"/>
  <c r="B4912" i="116"/>
  <c r="K4911" i="116"/>
  <c r="J4911" i="116"/>
  <c r="I4911" i="116"/>
  <c r="H4911" i="116"/>
  <c r="G4911" i="116"/>
  <c r="F4911" i="116"/>
  <c r="E4911" i="116"/>
  <c r="D4911" i="116"/>
  <c r="C4911" i="116"/>
  <c r="B4911" i="116"/>
  <c r="K4910" i="116"/>
  <c r="J4910" i="116"/>
  <c r="I4910" i="116"/>
  <c r="H4910" i="116"/>
  <c r="G4910" i="116"/>
  <c r="F4910" i="116"/>
  <c r="E4910" i="116"/>
  <c r="D4910" i="116"/>
  <c r="C4910" i="116"/>
  <c r="B4910" i="116"/>
  <c r="K4909" i="116"/>
  <c r="J4909" i="116"/>
  <c r="I4909" i="116"/>
  <c r="H4909" i="116"/>
  <c r="G4909" i="116"/>
  <c r="F4909" i="116"/>
  <c r="E4909" i="116"/>
  <c r="D4909" i="116"/>
  <c r="C4909" i="116"/>
  <c r="B4909" i="116"/>
  <c r="K4908" i="116"/>
  <c r="J4908" i="116"/>
  <c r="I4908" i="116"/>
  <c r="H4908" i="116"/>
  <c r="G4908" i="116"/>
  <c r="F4908" i="116"/>
  <c r="E4908" i="116"/>
  <c r="D4908" i="116"/>
  <c r="C4908" i="116"/>
  <c r="B4908" i="116"/>
  <c r="K4907" i="116"/>
  <c r="J4907" i="116"/>
  <c r="I4907" i="116"/>
  <c r="H4907" i="116"/>
  <c r="G4907" i="116"/>
  <c r="F4907" i="116"/>
  <c r="E4907" i="116"/>
  <c r="D4907" i="116"/>
  <c r="C4907" i="116"/>
  <c r="B4907" i="116"/>
  <c r="K4906" i="116"/>
  <c r="J4906" i="116"/>
  <c r="I4906" i="116"/>
  <c r="H4906" i="116"/>
  <c r="G4906" i="116"/>
  <c r="F4906" i="116"/>
  <c r="E4906" i="116"/>
  <c r="D4906" i="116"/>
  <c r="C4906" i="116"/>
  <c r="B4906" i="116"/>
  <c r="K4905" i="116"/>
  <c r="J4905" i="116"/>
  <c r="I4905" i="116"/>
  <c r="H4905" i="116"/>
  <c r="G4905" i="116"/>
  <c r="F4905" i="116"/>
  <c r="E4905" i="116"/>
  <c r="D4905" i="116"/>
  <c r="C4905" i="116"/>
  <c r="B4905" i="116"/>
  <c r="K4904" i="116"/>
  <c r="J4904" i="116"/>
  <c r="I4904" i="116"/>
  <c r="H4904" i="116"/>
  <c r="G4904" i="116"/>
  <c r="F4904" i="116"/>
  <c r="E4904" i="116"/>
  <c r="D4904" i="116"/>
  <c r="C4904" i="116"/>
  <c r="B4904" i="116"/>
  <c r="K4903" i="116"/>
  <c r="J4903" i="116"/>
  <c r="I4903" i="116"/>
  <c r="H4903" i="116"/>
  <c r="G4903" i="116"/>
  <c r="F4903" i="116"/>
  <c r="E4903" i="116"/>
  <c r="D4903" i="116"/>
  <c r="C4903" i="116"/>
  <c r="B4903" i="116"/>
  <c r="K4902" i="116"/>
  <c r="J4902" i="116"/>
  <c r="I4902" i="116"/>
  <c r="H4902" i="116"/>
  <c r="G4902" i="116"/>
  <c r="F4902" i="116"/>
  <c r="E4902" i="116"/>
  <c r="D4902" i="116"/>
  <c r="C4902" i="116"/>
  <c r="B4902" i="116"/>
  <c r="K4901" i="116"/>
  <c r="J4901" i="116"/>
  <c r="I4901" i="116"/>
  <c r="H4901" i="116"/>
  <c r="G4901" i="116"/>
  <c r="F4901" i="116"/>
  <c r="E4901" i="116"/>
  <c r="D4901" i="116"/>
  <c r="C4901" i="116"/>
  <c r="B4901" i="116"/>
  <c r="K4900" i="116"/>
  <c r="J4900" i="116"/>
  <c r="I4900" i="116"/>
  <c r="H4900" i="116"/>
  <c r="G4900" i="116"/>
  <c r="F4900" i="116"/>
  <c r="E4900" i="116"/>
  <c r="D4900" i="116"/>
  <c r="C4900" i="116"/>
  <c r="B4900" i="116"/>
  <c r="K4899" i="116"/>
  <c r="J4899" i="116"/>
  <c r="I4899" i="116"/>
  <c r="H4899" i="116"/>
  <c r="G4899" i="116"/>
  <c r="F4899" i="116"/>
  <c r="E4899" i="116"/>
  <c r="D4899" i="116"/>
  <c r="C4899" i="116"/>
  <c r="B4899" i="116"/>
  <c r="K4898" i="116"/>
  <c r="J4898" i="116"/>
  <c r="I4898" i="116"/>
  <c r="H4898" i="116"/>
  <c r="G4898" i="116"/>
  <c r="F4898" i="116"/>
  <c r="E4898" i="116"/>
  <c r="D4898" i="116"/>
  <c r="C4898" i="116"/>
  <c r="B4898" i="116"/>
  <c r="K4897" i="116"/>
  <c r="J4897" i="116"/>
  <c r="I4897" i="116"/>
  <c r="H4897" i="116"/>
  <c r="G4897" i="116"/>
  <c r="F4897" i="116"/>
  <c r="E4897" i="116"/>
  <c r="D4897" i="116"/>
  <c r="C4897" i="116"/>
  <c r="B4897" i="116"/>
  <c r="K4896" i="116"/>
  <c r="J4896" i="116"/>
  <c r="I4896" i="116"/>
  <c r="H4896" i="116"/>
  <c r="G4896" i="116"/>
  <c r="F4896" i="116"/>
  <c r="E4896" i="116"/>
  <c r="D4896" i="116"/>
  <c r="C4896" i="116"/>
  <c r="B4896" i="116"/>
  <c r="K4895" i="116"/>
  <c r="J4895" i="116"/>
  <c r="I4895" i="116"/>
  <c r="H4895" i="116"/>
  <c r="G4895" i="116"/>
  <c r="F4895" i="116"/>
  <c r="E4895" i="116"/>
  <c r="D4895" i="116"/>
  <c r="C4895" i="116"/>
  <c r="B4895" i="116"/>
  <c r="K4894" i="116"/>
  <c r="J4894" i="116"/>
  <c r="I4894" i="116"/>
  <c r="H4894" i="116"/>
  <c r="G4894" i="116"/>
  <c r="F4894" i="116"/>
  <c r="E4894" i="116"/>
  <c r="D4894" i="116"/>
  <c r="C4894" i="116"/>
  <c r="B4894" i="116"/>
  <c r="K4893" i="116"/>
  <c r="J4893" i="116"/>
  <c r="I4893" i="116"/>
  <c r="H4893" i="116"/>
  <c r="G4893" i="116"/>
  <c r="F4893" i="116"/>
  <c r="E4893" i="116"/>
  <c r="D4893" i="116"/>
  <c r="C4893" i="116"/>
  <c r="B4893" i="116"/>
  <c r="K4892" i="116"/>
  <c r="J4892" i="116"/>
  <c r="I4892" i="116"/>
  <c r="H4892" i="116"/>
  <c r="G4892" i="116"/>
  <c r="F4892" i="116"/>
  <c r="E4892" i="116"/>
  <c r="D4892" i="116"/>
  <c r="C4892" i="116"/>
  <c r="B4892" i="116"/>
  <c r="K4891" i="116"/>
  <c r="J4891" i="116"/>
  <c r="I4891" i="116"/>
  <c r="H4891" i="116"/>
  <c r="G4891" i="116"/>
  <c r="F4891" i="116"/>
  <c r="E4891" i="116"/>
  <c r="D4891" i="116"/>
  <c r="C4891" i="116"/>
  <c r="B4891" i="116"/>
  <c r="K4890" i="116"/>
  <c r="J4890" i="116"/>
  <c r="I4890" i="116"/>
  <c r="H4890" i="116"/>
  <c r="G4890" i="116"/>
  <c r="F4890" i="116"/>
  <c r="E4890" i="116"/>
  <c r="D4890" i="116"/>
  <c r="C4890" i="116"/>
  <c r="B4890" i="116"/>
  <c r="K4889" i="116"/>
  <c r="J4889" i="116"/>
  <c r="I4889" i="116"/>
  <c r="H4889" i="116"/>
  <c r="G4889" i="116"/>
  <c r="F4889" i="116"/>
  <c r="E4889" i="116"/>
  <c r="D4889" i="116"/>
  <c r="C4889" i="116"/>
  <c r="B4889" i="116"/>
  <c r="K4888" i="116"/>
  <c r="J4888" i="116"/>
  <c r="I4888" i="116"/>
  <c r="H4888" i="116"/>
  <c r="G4888" i="116"/>
  <c r="F4888" i="116"/>
  <c r="E4888" i="116"/>
  <c r="D4888" i="116"/>
  <c r="C4888" i="116"/>
  <c r="B4888" i="116"/>
  <c r="K4887" i="116"/>
  <c r="J4887" i="116"/>
  <c r="I4887" i="116"/>
  <c r="H4887" i="116"/>
  <c r="G4887" i="116"/>
  <c r="F4887" i="116"/>
  <c r="E4887" i="116"/>
  <c r="D4887" i="116"/>
  <c r="C4887" i="116"/>
  <c r="B4887" i="116"/>
  <c r="K4886" i="116"/>
  <c r="J4886" i="116"/>
  <c r="I4886" i="116"/>
  <c r="H4886" i="116"/>
  <c r="G4886" i="116"/>
  <c r="F4886" i="116"/>
  <c r="E4886" i="116"/>
  <c r="D4886" i="116"/>
  <c r="C4886" i="116"/>
  <c r="B4886" i="116"/>
  <c r="K4885" i="116"/>
  <c r="J4885" i="116"/>
  <c r="I4885" i="116"/>
  <c r="H4885" i="116"/>
  <c r="G4885" i="116"/>
  <c r="F4885" i="116"/>
  <c r="E4885" i="116"/>
  <c r="D4885" i="116"/>
  <c r="C4885" i="116"/>
  <c r="B4885" i="116"/>
  <c r="K4884" i="116"/>
  <c r="J4884" i="116"/>
  <c r="I4884" i="116"/>
  <c r="H4884" i="116"/>
  <c r="G4884" i="116"/>
  <c r="F4884" i="116"/>
  <c r="E4884" i="116"/>
  <c r="D4884" i="116"/>
  <c r="C4884" i="116"/>
  <c r="B4884" i="116"/>
  <c r="K4883" i="116"/>
  <c r="J4883" i="116"/>
  <c r="I4883" i="116"/>
  <c r="H4883" i="116"/>
  <c r="G4883" i="116"/>
  <c r="F4883" i="116"/>
  <c r="E4883" i="116"/>
  <c r="D4883" i="116"/>
  <c r="C4883" i="116"/>
  <c r="B4883" i="116"/>
  <c r="K4882" i="116"/>
  <c r="J4882" i="116"/>
  <c r="I4882" i="116"/>
  <c r="H4882" i="116"/>
  <c r="G4882" i="116"/>
  <c r="F4882" i="116"/>
  <c r="E4882" i="116"/>
  <c r="D4882" i="116"/>
  <c r="C4882" i="116"/>
  <c r="B4882" i="116"/>
  <c r="K4881" i="116"/>
  <c r="J4881" i="116"/>
  <c r="I4881" i="116"/>
  <c r="H4881" i="116"/>
  <c r="G4881" i="116"/>
  <c r="F4881" i="116"/>
  <c r="E4881" i="116"/>
  <c r="D4881" i="116"/>
  <c r="C4881" i="116"/>
  <c r="B4881" i="116"/>
  <c r="K4880" i="116"/>
  <c r="J4880" i="116"/>
  <c r="I4880" i="116"/>
  <c r="H4880" i="116"/>
  <c r="G4880" i="116"/>
  <c r="F4880" i="116"/>
  <c r="E4880" i="116"/>
  <c r="D4880" i="116"/>
  <c r="C4880" i="116"/>
  <c r="B4880" i="116"/>
  <c r="K4879" i="116"/>
  <c r="J4879" i="116"/>
  <c r="I4879" i="116"/>
  <c r="H4879" i="116"/>
  <c r="G4879" i="116"/>
  <c r="F4879" i="116"/>
  <c r="E4879" i="116"/>
  <c r="D4879" i="116"/>
  <c r="C4879" i="116"/>
  <c r="B4879" i="116"/>
  <c r="K4878" i="116"/>
  <c r="J4878" i="116"/>
  <c r="I4878" i="116"/>
  <c r="H4878" i="116"/>
  <c r="G4878" i="116"/>
  <c r="F4878" i="116"/>
  <c r="E4878" i="116"/>
  <c r="D4878" i="116"/>
  <c r="C4878" i="116"/>
  <c r="B4878" i="116"/>
  <c r="K4877" i="116"/>
  <c r="J4877" i="116"/>
  <c r="I4877" i="116"/>
  <c r="H4877" i="116"/>
  <c r="G4877" i="116"/>
  <c r="F4877" i="116"/>
  <c r="E4877" i="116"/>
  <c r="D4877" i="116"/>
  <c r="C4877" i="116"/>
  <c r="B4877" i="116"/>
  <c r="K4876" i="116"/>
  <c r="J4876" i="116"/>
  <c r="I4876" i="116"/>
  <c r="H4876" i="116"/>
  <c r="G4876" i="116"/>
  <c r="F4876" i="116"/>
  <c r="E4876" i="116"/>
  <c r="D4876" i="116"/>
  <c r="C4876" i="116"/>
  <c r="B4876" i="116"/>
  <c r="K4875" i="116"/>
  <c r="J4875" i="116"/>
  <c r="I4875" i="116"/>
  <c r="H4875" i="116"/>
  <c r="G4875" i="116"/>
  <c r="F4875" i="116"/>
  <c r="E4875" i="116"/>
  <c r="D4875" i="116"/>
  <c r="C4875" i="116"/>
  <c r="B4875" i="116"/>
  <c r="K4874" i="116"/>
  <c r="J4874" i="116"/>
  <c r="I4874" i="116"/>
  <c r="H4874" i="116"/>
  <c r="G4874" i="116"/>
  <c r="F4874" i="116"/>
  <c r="E4874" i="116"/>
  <c r="D4874" i="116"/>
  <c r="C4874" i="116"/>
  <c r="B4874" i="116"/>
  <c r="K4873" i="116"/>
  <c r="J4873" i="116"/>
  <c r="I4873" i="116"/>
  <c r="H4873" i="116"/>
  <c r="G4873" i="116"/>
  <c r="F4873" i="116"/>
  <c r="E4873" i="116"/>
  <c r="D4873" i="116"/>
  <c r="C4873" i="116"/>
  <c r="B4873" i="116"/>
  <c r="K4872" i="116"/>
  <c r="J4872" i="116"/>
  <c r="I4872" i="116"/>
  <c r="H4872" i="116"/>
  <c r="G4872" i="116"/>
  <c r="F4872" i="116"/>
  <c r="E4872" i="116"/>
  <c r="D4872" i="116"/>
  <c r="C4872" i="116"/>
  <c r="B4872" i="116"/>
  <c r="K4871" i="116"/>
  <c r="J4871" i="116"/>
  <c r="I4871" i="116"/>
  <c r="H4871" i="116"/>
  <c r="G4871" i="116"/>
  <c r="F4871" i="116"/>
  <c r="E4871" i="116"/>
  <c r="D4871" i="116"/>
  <c r="C4871" i="116"/>
  <c r="B4871" i="116"/>
  <c r="K4870" i="116"/>
  <c r="J4870" i="116"/>
  <c r="I4870" i="116"/>
  <c r="H4870" i="116"/>
  <c r="G4870" i="116"/>
  <c r="F4870" i="116"/>
  <c r="E4870" i="116"/>
  <c r="D4870" i="116"/>
  <c r="C4870" i="116"/>
  <c r="B4870" i="116"/>
  <c r="K4869" i="116"/>
  <c r="J4869" i="116"/>
  <c r="I4869" i="116"/>
  <c r="H4869" i="116"/>
  <c r="G4869" i="116"/>
  <c r="F4869" i="116"/>
  <c r="E4869" i="116"/>
  <c r="D4869" i="116"/>
  <c r="C4869" i="116"/>
  <c r="B4869" i="116"/>
  <c r="K4868" i="116"/>
  <c r="J4868" i="116"/>
  <c r="I4868" i="116"/>
  <c r="H4868" i="116"/>
  <c r="G4868" i="116"/>
  <c r="F4868" i="116"/>
  <c r="E4868" i="116"/>
  <c r="D4868" i="116"/>
  <c r="C4868" i="116"/>
  <c r="B4868" i="116"/>
  <c r="K4867" i="116"/>
  <c r="J4867" i="116"/>
  <c r="I4867" i="116"/>
  <c r="H4867" i="116"/>
  <c r="G4867" i="116"/>
  <c r="F4867" i="116"/>
  <c r="E4867" i="116"/>
  <c r="D4867" i="116"/>
  <c r="C4867" i="116"/>
  <c r="B4867" i="116"/>
  <c r="K4866" i="116"/>
  <c r="J4866" i="116"/>
  <c r="I4866" i="116"/>
  <c r="H4866" i="116"/>
  <c r="G4866" i="116"/>
  <c r="F4866" i="116"/>
  <c r="E4866" i="116"/>
  <c r="D4866" i="116"/>
  <c r="C4866" i="116"/>
  <c r="B4866" i="116"/>
  <c r="K4865" i="116"/>
  <c r="J4865" i="116"/>
  <c r="I4865" i="116"/>
  <c r="H4865" i="116"/>
  <c r="G4865" i="116"/>
  <c r="F4865" i="116"/>
  <c r="E4865" i="116"/>
  <c r="D4865" i="116"/>
  <c r="C4865" i="116"/>
  <c r="B4865" i="116"/>
  <c r="K4864" i="116"/>
  <c r="J4864" i="116"/>
  <c r="I4864" i="116"/>
  <c r="H4864" i="116"/>
  <c r="G4864" i="116"/>
  <c r="F4864" i="116"/>
  <c r="E4864" i="116"/>
  <c r="D4864" i="116"/>
  <c r="C4864" i="116"/>
  <c r="B4864" i="116"/>
  <c r="K4863" i="116"/>
  <c r="J4863" i="116"/>
  <c r="I4863" i="116"/>
  <c r="H4863" i="116"/>
  <c r="G4863" i="116"/>
  <c r="F4863" i="116"/>
  <c r="E4863" i="116"/>
  <c r="D4863" i="116"/>
  <c r="C4863" i="116"/>
  <c r="B4863" i="116"/>
  <c r="K4862" i="116"/>
  <c r="J4862" i="116"/>
  <c r="I4862" i="116"/>
  <c r="H4862" i="116"/>
  <c r="G4862" i="116"/>
  <c r="F4862" i="116"/>
  <c r="E4862" i="116"/>
  <c r="D4862" i="116"/>
  <c r="C4862" i="116"/>
  <c r="B4862" i="116"/>
  <c r="K4861" i="116"/>
  <c r="J4861" i="116"/>
  <c r="I4861" i="116"/>
  <c r="H4861" i="116"/>
  <c r="G4861" i="116"/>
  <c r="F4861" i="116"/>
  <c r="E4861" i="116"/>
  <c r="D4861" i="116"/>
  <c r="C4861" i="116"/>
  <c r="B4861" i="116"/>
  <c r="K4860" i="116"/>
  <c r="J4860" i="116"/>
  <c r="I4860" i="116"/>
  <c r="H4860" i="116"/>
  <c r="G4860" i="116"/>
  <c r="F4860" i="116"/>
  <c r="E4860" i="116"/>
  <c r="D4860" i="116"/>
  <c r="C4860" i="116"/>
  <c r="B4860" i="116"/>
  <c r="K4859" i="116"/>
  <c r="J4859" i="116"/>
  <c r="I4859" i="116"/>
  <c r="H4859" i="116"/>
  <c r="G4859" i="116"/>
  <c r="F4859" i="116"/>
  <c r="E4859" i="116"/>
  <c r="D4859" i="116"/>
  <c r="C4859" i="116"/>
  <c r="B4859" i="116"/>
  <c r="K4858" i="116"/>
  <c r="J4858" i="116"/>
  <c r="I4858" i="116"/>
  <c r="H4858" i="116"/>
  <c r="G4858" i="116"/>
  <c r="F4858" i="116"/>
  <c r="E4858" i="116"/>
  <c r="D4858" i="116"/>
  <c r="C4858" i="116"/>
  <c r="B4858" i="116"/>
  <c r="K4857" i="116"/>
  <c r="J4857" i="116"/>
  <c r="I4857" i="116"/>
  <c r="H4857" i="116"/>
  <c r="G4857" i="116"/>
  <c r="F4857" i="116"/>
  <c r="E4857" i="116"/>
  <c r="D4857" i="116"/>
  <c r="C4857" i="116"/>
  <c r="B4857" i="116"/>
  <c r="K4856" i="116"/>
  <c r="J4856" i="116"/>
  <c r="I4856" i="116"/>
  <c r="H4856" i="116"/>
  <c r="G4856" i="116"/>
  <c r="F4856" i="116"/>
  <c r="E4856" i="116"/>
  <c r="D4856" i="116"/>
  <c r="C4856" i="116"/>
  <c r="B4856" i="116"/>
  <c r="K4855" i="116"/>
  <c r="J4855" i="116"/>
  <c r="I4855" i="116"/>
  <c r="H4855" i="116"/>
  <c r="G4855" i="116"/>
  <c r="F4855" i="116"/>
  <c r="E4855" i="116"/>
  <c r="D4855" i="116"/>
  <c r="C4855" i="116"/>
  <c r="B4855" i="116"/>
  <c r="K4854" i="116"/>
  <c r="J4854" i="116"/>
  <c r="I4854" i="116"/>
  <c r="H4854" i="116"/>
  <c r="G4854" i="116"/>
  <c r="F4854" i="116"/>
  <c r="E4854" i="116"/>
  <c r="D4854" i="116"/>
  <c r="C4854" i="116"/>
  <c r="B4854" i="116"/>
  <c r="K4853" i="116"/>
  <c r="J4853" i="116"/>
  <c r="I4853" i="116"/>
  <c r="H4853" i="116"/>
  <c r="G4853" i="116"/>
  <c r="F4853" i="116"/>
  <c r="E4853" i="116"/>
  <c r="D4853" i="116"/>
  <c r="C4853" i="116"/>
  <c r="B4853" i="116"/>
  <c r="K4852" i="116"/>
  <c r="J4852" i="116"/>
  <c r="I4852" i="116"/>
  <c r="H4852" i="116"/>
  <c r="G4852" i="116"/>
  <c r="F4852" i="116"/>
  <c r="E4852" i="116"/>
  <c r="D4852" i="116"/>
  <c r="C4852" i="116"/>
  <c r="B4852" i="116"/>
  <c r="K4851" i="116"/>
  <c r="J4851" i="116"/>
  <c r="I4851" i="116"/>
  <c r="H4851" i="116"/>
  <c r="G4851" i="116"/>
  <c r="F4851" i="116"/>
  <c r="E4851" i="116"/>
  <c r="D4851" i="116"/>
  <c r="C4851" i="116"/>
  <c r="B4851" i="116"/>
  <c r="K4850" i="116"/>
  <c r="J4850" i="116"/>
  <c r="I4850" i="116"/>
  <c r="H4850" i="116"/>
  <c r="G4850" i="116"/>
  <c r="F4850" i="116"/>
  <c r="E4850" i="116"/>
  <c r="D4850" i="116"/>
  <c r="C4850" i="116"/>
  <c r="B4850" i="116"/>
  <c r="K4849" i="116"/>
  <c r="J4849" i="116"/>
  <c r="I4849" i="116"/>
  <c r="H4849" i="116"/>
  <c r="G4849" i="116"/>
  <c r="F4849" i="116"/>
  <c r="E4849" i="116"/>
  <c r="D4849" i="116"/>
  <c r="C4849" i="116"/>
  <c r="B4849" i="116"/>
  <c r="K4848" i="116"/>
  <c r="J4848" i="116"/>
  <c r="I4848" i="116"/>
  <c r="H4848" i="116"/>
  <c r="G4848" i="116"/>
  <c r="F4848" i="116"/>
  <c r="E4848" i="116"/>
  <c r="D4848" i="116"/>
  <c r="C4848" i="116"/>
  <c r="B4848" i="116"/>
  <c r="K4847" i="116"/>
  <c r="J4847" i="116"/>
  <c r="I4847" i="116"/>
  <c r="H4847" i="116"/>
  <c r="G4847" i="116"/>
  <c r="F4847" i="116"/>
  <c r="E4847" i="116"/>
  <c r="D4847" i="116"/>
  <c r="C4847" i="116"/>
  <c r="B4847" i="116"/>
  <c r="K4846" i="116"/>
  <c r="J4846" i="116"/>
  <c r="I4846" i="116"/>
  <c r="H4846" i="116"/>
  <c r="G4846" i="116"/>
  <c r="F4846" i="116"/>
  <c r="E4846" i="116"/>
  <c r="D4846" i="116"/>
  <c r="C4846" i="116"/>
  <c r="B4846" i="116"/>
  <c r="K4845" i="116"/>
  <c r="J4845" i="116"/>
  <c r="I4845" i="116"/>
  <c r="H4845" i="116"/>
  <c r="G4845" i="116"/>
  <c r="F4845" i="116"/>
  <c r="E4845" i="116"/>
  <c r="D4845" i="116"/>
  <c r="C4845" i="116"/>
  <c r="B4845" i="116"/>
  <c r="K4844" i="116"/>
  <c r="J4844" i="116"/>
  <c r="I4844" i="116"/>
  <c r="H4844" i="116"/>
  <c r="G4844" i="116"/>
  <c r="F4844" i="116"/>
  <c r="E4844" i="116"/>
  <c r="D4844" i="116"/>
  <c r="C4844" i="116"/>
  <c r="B4844" i="116"/>
  <c r="K4843" i="116"/>
  <c r="J4843" i="116"/>
  <c r="I4843" i="116"/>
  <c r="H4843" i="116"/>
  <c r="G4843" i="116"/>
  <c r="F4843" i="116"/>
  <c r="E4843" i="116"/>
  <c r="D4843" i="116"/>
  <c r="C4843" i="116"/>
  <c r="B4843" i="116"/>
  <c r="K4842" i="116"/>
  <c r="J4842" i="116"/>
  <c r="I4842" i="116"/>
  <c r="H4842" i="116"/>
  <c r="G4842" i="116"/>
  <c r="F4842" i="116"/>
  <c r="E4842" i="116"/>
  <c r="D4842" i="116"/>
  <c r="C4842" i="116"/>
  <c r="B4842" i="116"/>
  <c r="K4841" i="116"/>
  <c r="J4841" i="116"/>
  <c r="I4841" i="116"/>
  <c r="H4841" i="116"/>
  <c r="G4841" i="116"/>
  <c r="F4841" i="116"/>
  <c r="E4841" i="116"/>
  <c r="D4841" i="116"/>
  <c r="C4841" i="116"/>
  <c r="B4841" i="116"/>
  <c r="K4840" i="116"/>
  <c r="J4840" i="116"/>
  <c r="I4840" i="116"/>
  <c r="H4840" i="116"/>
  <c r="G4840" i="116"/>
  <c r="F4840" i="116"/>
  <c r="E4840" i="116"/>
  <c r="D4840" i="116"/>
  <c r="C4840" i="116"/>
  <c r="B4840" i="116"/>
  <c r="K4839" i="116"/>
  <c r="J4839" i="116"/>
  <c r="I4839" i="116"/>
  <c r="H4839" i="116"/>
  <c r="G4839" i="116"/>
  <c r="F4839" i="116"/>
  <c r="E4839" i="116"/>
  <c r="D4839" i="116"/>
  <c r="C4839" i="116"/>
  <c r="B4839" i="116"/>
  <c r="K4838" i="116"/>
  <c r="J4838" i="116"/>
  <c r="I4838" i="116"/>
  <c r="H4838" i="116"/>
  <c r="G4838" i="116"/>
  <c r="F4838" i="116"/>
  <c r="E4838" i="116"/>
  <c r="D4838" i="116"/>
  <c r="C4838" i="116"/>
  <c r="B4838" i="116"/>
  <c r="K4837" i="116"/>
  <c r="J4837" i="116"/>
  <c r="I4837" i="116"/>
  <c r="H4837" i="116"/>
  <c r="G4837" i="116"/>
  <c r="F4837" i="116"/>
  <c r="E4837" i="116"/>
  <c r="D4837" i="116"/>
  <c r="C4837" i="116"/>
  <c r="B4837" i="116"/>
  <c r="K4836" i="116"/>
  <c r="J4836" i="116"/>
  <c r="I4836" i="116"/>
  <c r="H4836" i="116"/>
  <c r="G4836" i="116"/>
  <c r="F4836" i="116"/>
  <c r="E4836" i="116"/>
  <c r="D4836" i="116"/>
  <c r="C4836" i="116"/>
  <c r="B4836" i="116"/>
  <c r="K4835" i="116"/>
  <c r="J4835" i="116"/>
  <c r="I4835" i="116"/>
  <c r="H4835" i="116"/>
  <c r="G4835" i="116"/>
  <c r="F4835" i="116"/>
  <c r="E4835" i="116"/>
  <c r="D4835" i="116"/>
  <c r="C4835" i="116"/>
  <c r="B4835" i="116"/>
  <c r="K4834" i="116"/>
  <c r="J4834" i="116"/>
  <c r="I4834" i="116"/>
  <c r="H4834" i="116"/>
  <c r="G4834" i="116"/>
  <c r="F4834" i="116"/>
  <c r="E4834" i="116"/>
  <c r="D4834" i="116"/>
  <c r="C4834" i="116"/>
  <c r="B4834" i="116"/>
  <c r="K4833" i="116"/>
  <c r="J4833" i="116"/>
  <c r="I4833" i="116"/>
  <c r="H4833" i="116"/>
  <c r="G4833" i="116"/>
  <c r="F4833" i="116"/>
  <c r="E4833" i="116"/>
  <c r="D4833" i="116"/>
  <c r="C4833" i="116"/>
  <c r="B4833" i="116"/>
  <c r="K4832" i="116"/>
  <c r="J4832" i="116"/>
  <c r="I4832" i="116"/>
  <c r="H4832" i="116"/>
  <c r="G4832" i="116"/>
  <c r="F4832" i="116"/>
  <c r="E4832" i="116"/>
  <c r="D4832" i="116"/>
  <c r="C4832" i="116"/>
  <c r="B4832" i="116"/>
  <c r="K4831" i="116"/>
  <c r="J4831" i="116"/>
  <c r="I4831" i="116"/>
  <c r="H4831" i="116"/>
  <c r="G4831" i="116"/>
  <c r="F4831" i="116"/>
  <c r="E4831" i="116"/>
  <c r="D4831" i="116"/>
  <c r="C4831" i="116"/>
  <c r="B4831" i="116"/>
  <c r="K4830" i="116"/>
  <c r="J4830" i="116"/>
  <c r="I4830" i="116"/>
  <c r="H4830" i="116"/>
  <c r="G4830" i="116"/>
  <c r="F4830" i="116"/>
  <c r="E4830" i="116"/>
  <c r="D4830" i="116"/>
  <c r="C4830" i="116"/>
  <c r="B4830" i="116"/>
  <c r="K4829" i="116"/>
  <c r="J4829" i="116"/>
  <c r="I4829" i="116"/>
  <c r="H4829" i="116"/>
  <c r="G4829" i="116"/>
  <c r="F4829" i="116"/>
  <c r="E4829" i="116"/>
  <c r="D4829" i="116"/>
  <c r="C4829" i="116"/>
  <c r="B4829" i="116"/>
  <c r="K4828" i="116"/>
  <c r="J4828" i="116"/>
  <c r="I4828" i="116"/>
  <c r="H4828" i="116"/>
  <c r="G4828" i="116"/>
  <c r="F4828" i="116"/>
  <c r="E4828" i="116"/>
  <c r="D4828" i="116"/>
  <c r="C4828" i="116"/>
  <c r="B4828" i="116"/>
  <c r="K4827" i="116"/>
  <c r="J4827" i="116"/>
  <c r="I4827" i="116"/>
  <c r="H4827" i="116"/>
  <c r="G4827" i="116"/>
  <c r="F4827" i="116"/>
  <c r="E4827" i="116"/>
  <c r="D4827" i="116"/>
  <c r="C4827" i="116"/>
  <c r="B4827" i="116"/>
  <c r="K4826" i="116"/>
  <c r="J4826" i="116"/>
  <c r="I4826" i="116"/>
  <c r="H4826" i="116"/>
  <c r="G4826" i="116"/>
  <c r="F4826" i="116"/>
  <c r="E4826" i="116"/>
  <c r="D4826" i="116"/>
  <c r="C4826" i="116"/>
  <c r="B4826" i="116"/>
  <c r="K4825" i="116"/>
  <c r="J4825" i="116"/>
  <c r="I4825" i="116"/>
  <c r="H4825" i="116"/>
  <c r="G4825" i="116"/>
  <c r="F4825" i="116"/>
  <c r="E4825" i="116"/>
  <c r="D4825" i="116"/>
  <c r="C4825" i="116"/>
  <c r="B4825" i="116"/>
  <c r="K4824" i="116"/>
  <c r="J4824" i="116"/>
  <c r="I4824" i="116"/>
  <c r="H4824" i="116"/>
  <c r="G4824" i="116"/>
  <c r="F4824" i="116"/>
  <c r="E4824" i="116"/>
  <c r="D4824" i="116"/>
  <c r="C4824" i="116"/>
  <c r="B4824" i="116"/>
  <c r="K4823" i="116"/>
  <c r="J4823" i="116"/>
  <c r="I4823" i="116"/>
  <c r="H4823" i="116"/>
  <c r="G4823" i="116"/>
  <c r="F4823" i="116"/>
  <c r="E4823" i="116"/>
  <c r="D4823" i="116"/>
  <c r="C4823" i="116"/>
  <c r="B4823" i="116"/>
  <c r="K4822" i="116"/>
  <c r="J4822" i="116"/>
  <c r="I4822" i="116"/>
  <c r="H4822" i="116"/>
  <c r="G4822" i="116"/>
  <c r="F4822" i="116"/>
  <c r="E4822" i="116"/>
  <c r="D4822" i="116"/>
  <c r="C4822" i="116"/>
  <c r="B4822" i="116"/>
  <c r="K4821" i="116"/>
  <c r="J4821" i="116"/>
  <c r="I4821" i="116"/>
  <c r="H4821" i="116"/>
  <c r="G4821" i="116"/>
  <c r="F4821" i="116"/>
  <c r="E4821" i="116"/>
  <c r="D4821" i="116"/>
  <c r="C4821" i="116"/>
  <c r="B4821" i="116"/>
  <c r="K4820" i="116"/>
  <c r="J4820" i="116"/>
  <c r="I4820" i="116"/>
  <c r="H4820" i="116"/>
  <c r="G4820" i="116"/>
  <c r="F4820" i="116"/>
  <c r="E4820" i="116"/>
  <c r="D4820" i="116"/>
  <c r="C4820" i="116"/>
  <c r="B4820" i="116"/>
  <c r="K4819" i="116"/>
  <c r="J4819" i="116"/>
  <c r="I4819" i="116"/>
  <c r="H4819" i="116"/>
  <c r="G4819" i="116"/>
  <c r="F4819" i="116"/>
  <c r="E4819" i="116"/>
  <c r="D4819" i="116"/>
  <c r="C4819" i="116"/>
  <c r="B4819" i="116"/>
  <c r="K4818" i="116"/>
  <c r="J4818" i="116"/>
  <c r="I4818" i="116"/>
  <c r="H4818" i="116"/>
  <c r="G4818" i="116"/>
  <c r="F4818" i="116"/>
  <c r="E4818" i="116"/>
  <c r="D4818" i="116"/>
  <c r="C4818" i="116"/>
  <c r="B4818" i="116"/>
  <c r="K4817" i="116"/>
  <c r="J4817" i="116"/>
  <c r="I4817" i="116"/>
  <c r="H4817" i="116"/>
  <c r="G4817" i="116"/>
  <c r="F4817" i="116"/>
  <c r="E4817" i="116"/>
  <c r="D4817" i="116"/>
  <c r="C4817" i="116"/>
  <c r="B4817" i="116"/>
  <c r="K4816" i="116"/>
  <c r="J4816" i="116"/>
  <c r="I4816" i="116"/>
  <c r="H4816" i="116"/>
  <c r="G4816" i="116"/>
  <c r="F4816" i="116"/>
  <c r="E4816" i="116"/>
  <c r="D4816" i="116"/>
  <c r="C4816" i="116"/>
  <c r="B4816" i="116"/>
  <c r="K4815" i="116"/>
  <c r="J4815" i="116"/>
  <c r="I4815" i="116"/>
  <c r="H4815" i="116"/>
  <c r="G4815" i="116"/>
  <c r="F4815" i="116"/>
  <c r="E4815" i="116"/>
  <c r="D4815" i="116"/>
  <c r="C4815" i="116"/>
  <c r="B4815" i="116"/>
  <c r="K4814" i="116"/>
  <c r="J4814" i="116"/>
  <c r="I4814" i="116"/>
  <c r="H4814" i="116"/>
  <c r="G4814" i="116"/>
  <c r="F4814" i="116"/>
  <c r="E4814" i="116"/>
  <c r="D4814" i="116"/>
  <c r="C4814" i="116"/>
  <c r="B4814" i="116"/>
  <c r="K4813" i="116"/>
  <c r="J4813" i="116"/>
  <c r="I4813" i="116"/>
  <c r="H4813" i="116"/>
  <c r="G4813" i="116"/>
  <c r="F4813" i="116"/>
  <c r="E4813" i="116"/>
  <c r="D4813" i="116"/>
  <c r="C4813" i="116"/>
  <c r="B4813" i="116"/>
  <c r="K4812" i="116"/>
  <c r="J4812" i="116"/>
  <c r="I4812" i="116"/>
  <c r="H4812" i="116"/>
  <c r="G4812" i="116"/>
  <c r="F4812" i="116"/>
  <c r="E4812" i="116"/>
  <c r="D4812" i="116"/>
  <c r="C4812" i="116"/>
  <c r="B4812" i="116"/>
  <c r="K4811" i="116"/>
  <c r="J4811" i="116"/>
  <c r="I4811" i="116"/>
  <c r="H4811" i="116"/>
  <c r="G4811" i="116"/>
  <c r="F4811" i="116"/>
  <c r="E4811" i="116"/>
  <c r="D4811" i="116"/>
  <c r="C4811" i="116"/>
  <c r="B4811" i="116"/>
  <c r="K4810" i="116"/>
  <c r="J4810" i="116"/>
  <c r="I4810" i="116"/>
  <c r="H4810" i="116"/>
  <c r="G4810" i="116"/>
  <c r="F4810" i="116"/>
  <c r="E4810" i="116"/>
  <c r="D4810" i="116"/>
  <c r="C4810" i="116"/>
  <c r="B4810" i="116"/>
  <c r="K4809" i="116"/>
  <c r="J4809" i="116"/>
  <c r="I4809" i="116"/>
  <c r="H4809" i="116"/>
  <c r="G4809" i="116"/>
  <c r="F4809" i="116"/>
  <c r="E4809" i="116"/>
  <c r="D4809" i="116"/>
  <c r="C4809" i="116"/>
  <c r="B4809" i="116"/>
  <c r="K4808" i="116"/>
  <c r="J4808" i="116"/>
  <c r="I4808" i="116"/>
  <c r="H4808" i="116"/>
  <c r="G4808" i="116"/>
  <c r="F4808" i="116"/>
  <c r="E4808" i="116"/>
  <c r="D4808" i="116"/>
  <c r="C4808" i="116"/>
  <c r="B4808" i="116"/>
  <c r="K4807" i="116"/>
  <c r="J4807" i="116"/>
  <c r="I4807" i="116"/>
  <c r="H4807" i="116"/>
  <c r="G4807" i="116"/>
  <c r="F4807" i="116"/>
  <c r="E4807" i="116"/>
  <c r="D4807" i="116"/>
  <c r="C4807" i="116"/>
  <c r="B4807" i="116"/>
  <c r="K4806" i="116"/>
  <c r="J4806" i="116"/>
  <c r="I4806" i="116"/>
  <c r="H4806" i="116"/>
  <c r="G4806" i="116"/>
  <c r="F4806" i="116"/>
  <c r="E4806" i="116"/>
  <c r="D4806" i="116"/>
  <c r="C4806" i="116"/>
  <c r="B4806" i="116"/>
  <c r="K4805" i="116"/>
  <c r="J4805" i="116"/>
  <c r="I4805" i="116"/>
  <c r="H4805" i="116"/>
  <c r="G4805" i="116"/>
  <c r="F4805" i="116"/>
  <c r="E4805" i="116"/>
  <c r="D4805" i="116"/>
  <c r="C4805" i="116"/>
  <c r="B4805" i="116"/>
  <c r="K4804" i="116"/>
  <c r="J4804" i="116"/>
  <c r="I4804" i="116"/>
  <c r="H4804" i="116"/>
  <c r="G4804" i="116"/>
  <c r="F4804" i="116"/>
  <c r="E4804" i="116"/>
  <c r="D4804" i="116"/>
  <c r="C4804" i="116"/>
  <c r="B4804" i="116"/>
  <c r="K4803" i="116"/>
  <c r="J4803" i="116"/>
  <c r="I4803" i="116"/>
  <c r="H4803" i="116"/>
  <c r="G4803" i="116"/>
  <c r="F4803" i="116"/>
  <c r="E4803" i="116"/>
  <c r="D4803" i="116"/>
  <c r="C4803" i="116"/>
  <c r="B4803" i="116"/>
  <c r="K4802" i="116"/>
  <c r="J4802" i="116"/>
  <c r="I4802" i="116"/>
  <c r="H4802" i="116"/>
  <c r="G4802" i="116"/>
  <c r="F4802" i="116"/>
  <c r="E4802" i="116"/>
  <c r="D4802" i="116"/>
  <c r="C4802" i="116"/>
  <c r="B4802" i="116"/>
  <c r="K4801" i="116"/>
  <c r="J4801" i="116"/>
  <c r="I4801" i="116"/>
  <c r="H4801" i="116"/>
  <c r="G4801" i="116"/>
  <c r="F4801" i="116"/>
  <c r="E4801" i="116"/>
  <c r="D4801" i="116"/>
  <c r="C4801" i="116"/>
  <c r="B4801" i="116"/>
  <c r="K4800" i="116"/>
  <c r="J4800" i="116"/>
  <c r="I4800" i="116"/>
  <c r="H4800" i="116"/>
  <c r="G4800" i="116"/>
  <c r="F4800" i="116"/>
  <c r="E4800" i="116"/>
  <c r="D4800" i="116"/>
  <c r="C4800" i="116"/>
  <c r="B4800" i="116"/>
  <c r="K4799" i="116"/>
  <c r="J4799" i="116"/>
  <c r="I4799" i="116"/>
  <c r="H4799" i="116"/>
  <c r="G4799" i="116"/>
  <c r="F4799" i="116"/>
  <c r="E4799" i="116"/>
  <c r="D4799" i="116"/>
  <c r="C4799" i="116"/>
  <c r="B4799" i="116"/>
  <c r="K4798" i="116"/>
  <c r="J4798" i="116"/>
  <c r="I4798" i="116"/>
  <c r="H4798" i="116"/>
  <c r="G4798" i="116"/>
  <c r="F4798" i="116"/>
  <c r="E4798" i="116"/>
  <c r="D4798" i="116"/>
  <c r="C4798" i="116"/>
  <c r="B4798" i="116"/>
  <c r="K4797" i="116"/>
  <c r="J4797" i="116"/>
  <c r="I4797" i="116"/>
  <c r="H4797" i="116"/>
  <c r="G4797" i="116"/>
  <c r="F4797" i="116"/>
  <c r="E4797" i="116"/>
  <c r="D4797" i="116"/>
  <c r="C4797" i="116"/>
  <c r="B4797" i="116"/>
  <c r="K4796" i="116"/>
  <c r="J4796" i="116"/>
  <c r="I4796" i="116"/>
  <c r="H4796" i="116"/>
  <c r="G4796" i="116"/>
  <c r="F4796" i="116"/>
  <c r="E4796" i="116"/>
  <c r="D4796" i="116"/>
  <c r="C4796" i="116"/>
  <c r="B4796" i="116"/>
  <c r="K4795" i="116"/>
  <c r="J4795" i="116"/>
  <c r="I4795" i="116"/>
  <c r="H4795" i="116"/>
  <c r="G4795" i="116"/>
  <c r="F4795" i="116"/>
  <c r="E4795" i="116"/>
  <c r="D4795" i="116"/>
  <c r="C4795" i="116"/>
  <c r="B4795" i="116"/>
  <c r="K4794" i="116"/>
  <c r="J4794" i="116"/>
  <c r="I4794" i="116"/>
  <c r="H4794" i="116"/>
  <c r="G4794" i="116"/>
  <c r="F4794" i="116"/>
  <c r="E4794" i="116"/>
  <c r="D4794" i="116"/>
  <c r="C4794" i="116"/>
  <c r="B4794" i="116"/>
  <c r="K4793" i="116"/>
  <c r="J4793" i="116"/>
  <c r="I4793" i="116"/>
  <c r="H4793" i="116"/>
  <c r="G4793" i="116"/>
  <c r="F4793" i="116"/>
  <c r="E4793" i="116"/>
  <c r="D4793" i="116"/>
  <c r="C4793" i="116"/>
  <c r="B4793" i="116"/>
  <c r="K4792" i="116"/>
  <c r="J4792" i="116"/>
  <c r="I4792" i="116"/>
  <c r="H4792" i="116"/>
  <c r="G4792" i="116"/>
  <c r="F4792" i="116"/>
  <c r="E4792" i="116"/>
  <c r="D4792" i="116"/>
  <c r="C4792" i="116"/>
  <c r="B4792" i="116"/>
  <c r="K4791" i="116"/>
  <c r="J4791" i="116"/>
  <c r="I4791" i="116"/>
  <c r="H4791" i="116"/>
  <c r="G4791" i="116"/>
  <c r="F4791" i="116"/>
  <c r="E4791" i="116"/>
  <c r="D4791" i="116"/>
  <c r="C4791" i="116"/>
  <c r="B4791" i="116"/>
  <c r="K4790" i="116"/>
  <c r="J4790" i="116"/>
  <c r="I4790" i="116"/>
  <c r="H4790" i="116"/>
  <c r="G4790" i="116"/>
  <c r="F4790" i="116"/>
  <c r="E4790" i="116"/>
  <c r="D4790" i="116"/>
  <c r="C4790" i="116"/>
  <c r="B4790" i="116"/>
  <c r="K4789" i="116"/>
  <c r="J4789" i="116"/>
  <c r="I4789" i="116"/>
  <c r="H4789" i="116"/>
  <c r="G4789" i="116"/>
  <c r="F4789" i="116"/>
  <c r="E4789" i="116"/>
  <c r="D4789" i="116"/>
  <c r="C4789" i="116"/>
  <c r="B4789" i="116"/>
  <c r="K4788" i="116"/>
  <c r="J4788" i="116"/>
  <c r="I4788" i="116"/>
  <c r="H4788" i="116"/>
  <c r="G4788" i="116"/>
  <c r="F4788" i="116"/>
  <c r="E4788" i="116"/>
  <c r="D4788" i="116"/>
  <c r="C4788" i="116"/>
  <c r="B4788" i="116"/>
  <c r="K4787" i="116"/>
  <c r="J4787" i="116"/>
  <c r="I4787" i="116"/>
  <c r="H4787" i="116"/>
  <c r="G4787" i="116"/>
  <c r="F4787" i="116"/>
  <c r="E4787" i="116"/>
  <c r="D4787" i="116"/>
  <c r="C4787" i="116"/>
  <c r="B4787" i="116"/>
  <c r="K4786" i="116"/>
  <c r="J4786" i="116"/>
  <c r="I4786" i="116"/>
  <c r="H4786" i="116"/>
  <c r="G4786" i="116"/>
  <c r="F4786" i="116"/>
  <c r="E4786" i="116"/>
  <c r="D4786" i="116"/>
  <c r="C4786" i="116"/>
  <c r="B4786" i="116"/>
  <c r="K4785" i="116"/>
  <c r="J4785" i="116"/>
  <c r="I4785" i="116"/>
  <c r="H4785" i="116"/>
  <c r="G4785" i="116"/>
  <c r="F4785" i="116"/>
  <c r="E4785" i="116"/>
  <c r="D4785" i="116"/>
  <c r="C4785" i="116"/>
  <c r="B4785" i="116"/>
  <c r="K4784" i="116"/>
  <c r="J4784" i="116"/>
  <c r="I4784" i="116"/>
  <c r="H4784" i="116"/>
  <c r="G4784" i="116"/>
  <c r="F4784" i="116"/>
  <c r="E4784" i="116"/>
  <c r="D4784" i="116"/>
  <c r="C4784" i="116"/>
  <c r="B4784" i="116"/>
  <c r="K4783" i="116"/>
  <c r="J4783" i="116"/>
  <c r="I4783" i="116"/>
  <c r="H4783" i="116"/>
  <c r="G4783" i="116"/>
  <c r="F4783" i="116"/>
  <c r="E4783" i="116"/>
  <c r="D4783" i="116"/>
  <c r="C4783" i="116"/>
  <c r="B4783" i="116"/>
  <c r="K4782" i="116"/>
  <c r="J4782" i="116"/>
  <c r="I4782" i="116"/>
  <c r="H4782" i="116"/>
  <c r="G4782" i="116"/>
  <c r="F4782" i="116"/>
  <c r="E4782" i="116"/>
  <c r="D4782" i="116"/>
  <c r="C4782" i="116"/>
  <c r="B4782" i="116"/>
  <c r="K4781" i="116"/>
  <c r="J4781" i="116"/>
  <c r="I4781" i="116"/>
  <c r="H4781" i="116"/>
  <c r="G4781" i="116"/>
  <c r="F4781" i="116"/>
  <c r="E4781" i="116"/>
  <c r="D4781" i="116"/>
  <c r="C4781" i="116"/>
  <c r="B4781" i="116"/>
  <c r="K4780" i="116"/>
  <c r="J4780" i="116"/>
  <c r="I4780" i="116"/>
  <c r="H4780" i="116"/>
  <c r="G4780" i="116"/>
  <c r="F4780" i="116"/>
  <c r="E4780" i="116"/>
  <c r="D4780" i="116"/>
  <c r="C4780" i="116"/>
  <c r="B4780" i="116"/>
  <c r="K4779" i="116"/>
  <c r="J4779" i="116"/>
  <c r="I4779" i="116"/>
  <c r="H4779" i="116"/>
  <c r="G4779" i="116"/>
  <c r="F4779" i="116"/>
  <c r="E4779" i="116"/>
  <c r="D4779" i="116"/>
  <c r="C4779" i="116"/>
  <c r="B4779" i="116"/>
  <c r="K4778" i="116"/>
  <c r="J4778" i="116"/>
  <c r="I4778" i="116"/>
  <c r="H4778" i="116"/>
  <c r="G4778" i="116"/>
  <c r="F4778" i="116"/>
  <c r="E4778" i="116"/>
  <c r="D4778" i="116"/>
  <c r="C4778" i="116"/>
  <c r="B4778" i="116"/>
  <c r="K4777" i="116"/>
  <c r="J4777" i="116"/>
  <c r="I4777" i="116"/>
  <c r="H4777" i="116"/>
  <c r="G4777" i="116"/>
  <c r="F4777" i="116"/>
  <c r="E4777" i="116"/>
  <c r="D4777" i="116"/>
  <c r="C4777" i="116"/>
  <c r="B4777" i="116"/>
  <c r="K4776" i="116"/>
  <c r="J4776" i="116"/>
  <c r="I4776" i="116"/>
  <c r="H4776" i="116"/>
  <c r="G4776" i="116"/>
  <c r="F4776" i="116"/>
  <c r="E4776" i="116"/>
  <c r="D4776" i="116"/>
  <c r="C4776" i="116"/>
  <c r="B4776" i="116"/>
  <c r="K4775" i="116"/>
  <c r="J4775" i="116"/>
  <c r="I4775" i="116"/>
  <c r="H4775" i="116"/>
  <c r="G4775" i="116"/>
  <c r="F4775" i="116"/>
  <c r="E4775" i="116"/>
  <c r="D4775" i="116"/>
  <c r="C4775" i="116"/>
  <c r="B4775" i="116"/>
  <c r="K4774" i="116"/>
  <c r="J4774" i="116"/>
  <c r="I4774" i="116"/>
  <c r="H4774" i="116"/>
  <c r="G4774" i="116"/>
  <c r="F4774" i="116"/>
  <c r="E4774" i="116"/>
  <c r="D4774" i="116"/>
  <c r="C4774" i="116"/>
  <c r="B4774" i="116"/>
  <c r="K4773" i="116"/>
  <c r="J4773" i="116"/>
  <c r="I4773" i="116"/>
  <c r="H4773" i="116"/>
  <c r="G4773" i="116"/>
  <c r="F4773" i="116"/>
  <c r="E4773" i="116"/>
  <c r="D4773" i="116"/>
  <c r="C4773" i="116"/>
  <c r="B4773" i="116"/>
  <c r="K4772" i="116"/>
  <c r="J4772" i="116"/>
  <c r="I4772" i="116"/>
  <c r="H4772" i="116"/>
  <c r="G4772" i="116"/>
  <c r="F4772" i="116"/>
  <c r="E4772" i="116"/>
  <c r="D4772" i="116"/>
  <c r="C4772" i="116"/>
  <c r="B4772" i="116"/>
  <c r="K4771" i="116"/>
  <c r="J4771" i="116"/>
  <c r="I4771" i="116"/>
  <c r="H4771" i="116"/>
  <c r="G4771" i="116"/>
  <c r="F4771" i="116"/>
  <c r="E4771" i="116"/>
  <c r="D4771" i="116"/>
  <c r="C4771" i="116"/>
  <c r="B4771" i="116"/>
  <c r="K4770" i="116"/>
  <c r="J4770" i="116"/>
  <c r="I4770" i="116"/>
  <c r="H4770" i="116"/>
  <c r="G4770" i="116"/>
  <c r="F4770" i="116"/>
  <c r="E4770" i="116"/>
  <c r="D4770" i="116"/>
  <c r="C4770" i="116"/>
  <c r="B4770" i="116"/>
  <c r="K4769" i="116"/>
  <c r="J4769" i="116"/>
  <c r="I4769" i="116"/>
  <c r="H4769" i="116"/>
  <c r="G4769" i="116"/>
  <c r="F4769" i="116"/>
  <c r="E4769" i="116"/>
  <c r="D4769" i="116"/>
  <c r="C4769" i="116"/>
  <c r="B4769" i="116"/>
  <c r="K4768" i="116"/>
  <c r="J4768" i="116"/>
  <c r="I4768" i="116"/>
  <c r="H4768" i="116"/>
  <c r="G4768" i="116"/>
  <c r="F4768" i="116"/>
  <c r="E4768" i="116"/>
  <c r="D4768" i="116"/>
  <c r="C4768" i="116"/>
  <c r="B4768" i="116"/>
  <c r="K4767" i="116"/>
  <c r="J4767" i="116"/>
  <c r="I4767" i="116"/>
  <c r="H4767" i="116"/>
  <c r="G4767" i="116"/>
  <c r="F4767" i="116"/>
  <c r="E4767" i="116"/>
  <c r="D4767" i="116"/>
  <c r="C4767" i="116"/>
  <c r="B4767" i="116"/>
  <c r="K4766" i="116"/>
  <c r="J4766" i="116"/>
  <c r="I4766" i="116"/>
  <c r="H4766" i="116"/>
  <c r="G4766" i="116"/>
  <c r="F4766" i="116"/>
  <c r="E4766" i="116"/>
  <c r="D4766" i="116"/>
  <c r="C4766" i="116"/>
  <c r="B4766" i="116"/>
  <c r="K4765" i="116"/>
  <c r="J4765" i="116"/>
  <c r="I4765" i="116"/>
  <c r="H4765" i="116"/>
  <c r="G4765" i="116"/>
  <c r="F4765" i="116"/>
  <c r="E4765" i="116"/>
  <c r="D4765" i="116"/>
  <c r="C4765" i="116"/>
  <c r="B4765" i="116"/>
  <c r="K4764" i="116"/>
  <c r="J4764" i="116"/>
  <c r="I4764" i="116"/>
  <c r="H4764" i="116"/>
  <c r="G4764" i="116"/>
  <c r="F4764" i="116"/>
  <c r="E4764" i="116"/>
  <c r="D4764" i="116"/>
  <c r="C4764" i="116"/>
  <c r="B4764" i="116"/>
  <c r="K4763" i="116"/>
  <c r="J4763" i="116"/>
  <c r="I4763" i="116"/>
  <c r="H4763" i="116"/>
  <c r="G4763" i="116"/>
  <c r="F4763" i="116"/>
  <c r="E4763" i="116"/>
  <c r="D4763" i="116"/>
  <c r="C4763" i="116"/>
  <c r="B4763" i="116"/>
  <c r="K4762" i="116"/>
  <c r="J4762" i="116"/>
  <c r="I4762" i="116"/>
  <c r="H4762" i="116"/>
  <c r="G4762" i="116"/>
  <c r="F4762" i="116"/>
  <c r="E4762" i="116"/>
  <c r="D4762" i="116"/>
  <c r="C4762" i="116"/>
  <c r="B4762" i="116"/>
  <c r="K4761" i="116"/>
  <c r="J4761" i="116"/>
  <c r="I4761" i="116"/>
  <c r="H4761" i="116"/>
  <c r="G4761" i="116"/>
  <c r="F4761" i="116"/>
  <c r="E4761" i="116"/>
  <c r="D4761" i="116"/>
  <c r="C4761" i="116"/>
  <c r="B4761" i="116"/>
  <c r="K4760" i="116"/>
  <c r="J4760" i="116"/>
  <c r="I4760" i="116"/>
  <c r="H4760" i="116"/>
  <c r="G4760" i="116"/>
  <c r="F4760" i="116"/>
  <c r="E4760" i="116"/>
  <c r="D4760" i="116"/>
  <c r="C4760" i="116"/>
  <c r="B4760" i="116"/>
  <c r="K4759" i="116"/>
  <c r="J4759" i="116"/>
  <c r="I4759" i="116"/>
  <c r="H4759" i="116"/>
  <c r="G4759" i="116"/>
  <c r="F4759" i="116"/>
  <c r="E4759" i="116"/>
  <c r="D4759" i="116"/>
  <c r="C4759" i="116"/>
  <c r="B4759" i="116"/>
  <c r="K4758" i="116"/>
  <c r="J4758" i="116"/>
  <c r="I4758" i="116"/>
  <c r="H4758" i="116"/>
  <c r="G4758" i="116"/>
  <c r="F4758" i="116"/>
  <c r="E4758" i="116"/>
  <c r="D4758" i="116"/>
  <c r="C4758" i="116"/>
  <c r="B4758" i="116"/>
  <c r="K4757" i="116"/>
  <c r="J4757" i="116"/>
  <c r="I4757" i="116"/>
  <c r="H4757" i="116"/>
  <c r="G4757" i="116"/>
  <c r="F4757" i="116"/>
  <c r="E4757" i="116"/>
  <c r="D4757" i="116"/>
  <c r="C4757" i="116"/>
  <c r="B4757" i="116"/>
  <c r="K4756" i="116"/>
  <c r="J4756" i="116"/>
  <c r="I4756" i="116"/>
  <c r="H4756" i="116"/>
  <c r="G4756" i="116"/>
  <c r="F4756" i="116"/>
  <c r="E4756" i="116"/>
  <c r="D4756" i="116"/>
  <c r="C4756" i="116"/>
  <c r="B4756" i="116"/>
  <c r="K4755" i="116"/>
  <c r="J4755" i="116"/>
  <c r="I4755" i="116"/>
  <c r="H4755" i="116"/>
  <c r="G4755" i="116"/>
  <c r="F4755" i="116"/>
  <c r="E4755" i="116"/>
  <c r="D4755" i="116"/>
  <c r="C4755" i="116"/>
  <c r="B4755" i="116"/>
  <c r="K4754" i="116"/>
  <c r="J4754" i="116"/>
  <c r="I4754" i="116"/>
  <c r="H4754" i="116"/>
  <c r="G4754" i="116"/>
  <c r="F4754" i="116"/>
  <c r="E4754" i="116"/>
  <c r="D4754" i="116"/>
  <c r="C4754" i="116"/>
  <c r="B4754" i="116"/>
  <c r="K4753" i="116"/>
  <c r="J4753" i="116"/>
  <c r="I4753" i="116"/>
  <c r="H4753" i="116"/>
  <c r="G4753" i="116"/>
  <c r="F4753" i="116"/>
  <c r="E4753" i="116"/>
  <c r="D4753" i="116"/>
  <c r="C4753" i="116"/>
  <c r="B4753" i="116"/>
  <c r="K4752" i="116"/>
  <c r="J4752" i="116"/>
  <c r="I4752" i="116"/>
  <c r="H4752" i="116"/>
  <c r="G4752" i="116"/>
  <c r="F4752" i="116"/>
  <c r="E4752" i="116"/>
  <c r="D4752" i="116"/>
  <c r="C4752" i="116"/>
  <c r="B4752" i="116"/>
  <c r="K4751" i="116"/>
  <c r="J4751" i="116"/>
  <c r="I4751" i="116"/>
  <c r="H4751" i="116"/>
  <c r="G4751" i="116"/>
  <c r="F4751" i="116"/>
  <c r="E4751" i="116"/>
  <c r="D4751" i="116"/>
  <c r="C4751" i="116"/>
  <c r="B4751" i="116"/>
  <c r="K4750" i="116"/>
  <c r="J4750" i="116"/>
  <c r="I4750" i="116"/>
  <c r="H4750" i="116"/>
  <c r="G4750" i="116"/>
  <c r="F4750" i="116"/>
  <c r="E4750" i="116"/>
  <c r="D4750" i="116"/>
  <c r="C4750" i="116"/>
  <c r="B4750" i="116"/>
  <c r="K4749" i="116"/>
  <c r="J4749" i="116"/>
  <c r="I4749" i="116"/>
  <c r="H4749" i="116"/>
  <c r="G4749" i="116"/>
  <c r="F4749" i="116"/>
  <c r="E4749" i="116"/>
  <c r="D4749" i="116"/>
  <c r="C4749" i="116"/>
  <c r="B4749" i="116"/>
  <c r="K4748" i="116"/>
  <c r="J4748" i="116"/>
  <c r="I4748" i="116"/>
  <c r="H4748" i="116"/>
  <c r="G4748" i="116"/>
  <c r="F4748" i="116"/>
  <c r="E4748" i="116"/>
  <c r="D4748" i="116"/>
  <c r="C4748" i="116"/>
  <c r="B4748" i="116"/>
  <c r="K4747" i="116"/>
  <c r="J4747" i="116"/>
  <c r="I4747" i="116"/>
  <c r="H4747" i="116"/>
  <c r="G4747" i="116"/>
  <c r="F4747" i="116"/>
  <c r="E4747" i="116"/>
  <c r="D4747" i="116"/>
  <c r="C4747" i="116"/>
  <c r="B4747" i="116"/>
  <c r="K4746" i="116"/>
  <c r="J4746" i="116"/>
  <c r="I4746" i="116"/>
  <c r="H4746" i="116"/>
  <c r="G4746" i="116"/>
  <c r="F4746" i="116"/>
  <c r="E4746" i="116"/>
  <c r="D4746" i="116"/>
  <c r="C4746" i="116"/>
  <c r="B4746" i="116"/>
  <c r="K4745" i="116"/>
  <c r="J4745" i="116"/>
  <c r="I4745" i="116"/>
  <c r="H4745" i="116"/>
  <c r="G4745" i="116"/>
  <c r="F4745" i="116"/>
  <c r="E4745" i="116"/>
  <c r="D4745" i="116"/>
  <c r="C4745" i="116"/>
  <c r="B4745" i="116"/>
  <c r="K4744" i="116"/>
  <c r="J4744" i="116"/>
  <c r="I4744" i="116"/>
  <c r="H4744" i="116"/>
  <c r="G4744" i="116"/>
  <c r="F4744" i="116"/>
  <c r="E4744" i="116"/>
  <c r="D4744" i="116"/>
  <c r="C4744" i="116"/>
  <c r="B4744" i="116"/>
  <c r="K4743" i="116"/>
  <c r="J4743" i="116"/>
  <c r="I4743" i="116"/>
  <c r="H4743" i="116"/>
  <c r="G4743" i="116"/>
  <c r="F4743" i="116"/>
  <c r="E4743" i="116"/>
  <c r="D4743" i="116"/>
  <c r="C4743" i="116"/>
  <c r="B4743" i="116"/>
  <c r="K4742" i="116"/>
  <c r="J4742" i="116"/>
  <c r="I4742" i="116"/>
  <c r="H4742" i="116"/>
  <c r="G4742" i="116"/>
  <c r="F4742" i="116"/>
  <c r="E4742" i="116"/>
  <c r="D4742" i="116"/>
  <c r="C4742" i="116"/>
  <c r="B4742" i="116"/>
  <c r="K4741" i="116"/>
  <c r="J4741" i="116"/>
  <c r="I4741" i="116"/>
  <c r="H4741" i="116"/>
  <c r="G4741" i="116"/>
  <c r="F4741" i="116"/>
  <c r="E4741" i="116"/>
  <c r="D4741" i="116"/>
  <c r="C4741" i="116"/>
  <c r="B4741" i="116"/>
  <c r="K4740" i="116"/>
  <c r="J4740" i="116"/>
  <c r="I4740" i="116"/>
  <c r="H4740" i="116"/>
  <c r="G4740" i="116"/>
  <c r="F4740" i="116"/>
  <c r="E4740" i="116"/>
  <c r="D4740" i="116"/>
  <c r="C4740" i="116"/>
  <c r="B4740" i="116"/>
  <c r="K4739" i="116"/>
  <c r="J4739" i="116"/>
  <c r="I4739" i="116"/>
  <c r="H4739" i="116"/>
  <c r="G4739" i="116"/>
  <c r="F4739" i="116"/>
  <c r="E4739" i="116"/>
  <c r="D4739" i="116"/>
  <c r="C4739" i="116"/>
  <c r="B4739" i="116"/>
  <c r="K4738" i="116"/>
  <c r="J4738" i="116"/>
  <c r="I4738" i="116"/>
  <c r="H4738" i="116"/>
  <c r="G4738" i="116"/>
  <c r="F4738" i="116"/>
  <c r="E4738" i="116"/>
  <c r="D4738" i="116"/>
  <c r="C4738" i="116"/>
  <c r="B4738" i="116"/>
  <c r="K4737" i="116"/>
  <c r="J4737" i="116"/>
  <c r="I4737" i="116"/>
  <c r="H4737" i="116"/>
  <c r="G4737" i="116"/>
  <c r="F4737" i="116"/>
  <c r="E4737" i="116"/>
  <c r="D4737" i="116"/>
  <c r="C4737" i="116"/>
  <c r="B4737" i="116"/>
  <c r="K4736" i="116"/>
  <c r="J4736" i="116"/>
  <c r="I4736" i="116"/>
  <c r="H4736" i="116"/>
  <c r="G4736" i="116"/>
  <c r="F4736" i="116"/>
  <c r="E4736" i="116"/>
  <c r="D4736" i="116"/>
  <c r="C4736" i="116"/>
  <c r="B4736" i="116"/>
  <c r="K4735" i="116"/>
  <c r="J4735" i="116"/>
  <c r="I4735" i="116"/>
  <c r="H4735" i="116"/>
  <c r="G4735" i="116"/>
  <c r="F4735" i="116"/>
  <c r="E4735" i="116"/>
  <c r="D4735" i="116"/>
  <c r="C4735" i="116"/>
  <c r="B4735" i="116"/>
  <c r="K4734" i="116"/>
  <c r="J4734" i="116"/>
  <c r="I4734" i="116"/>
  <c r="H4734" i="116"/>
  <c r="G4734" i="116"/>
  <c r="F4734" i="116"/>
  <c r="E4734" i="116"/>
  <c r="D4734" i="116"/>
  <c r="C4734" i="116"/>
  <c r="B4734" i="116"/>
  <c r="K4733" i="116"/>
  <c r="J4733" i="116"/>
  <c r="I4733" i="116"/>
  <c r="H4733" i="116"/>
  <c r="G4733" i="116"/>
  <c r="F4733" i="116"/>
  <c r="E4733" i="116"/>
  <c r="D4733" i="116"/>
  <c r="C4733" i="116"/>
  <c r="B4733" i="116"/>
  <c r="K4732" i="116"/>
  <c r="J4732" i="116"/>
  <c r="I4732" i="116"/>
  <c r="H4732" i="116"/>
  <c r="G4732" i="116"/>
  <c r="F4732" i="116"/>
  <c r="E4732" i="116"/>
  <c r="D4732" i="116"/>
  <c r="C4732" i="116"/>
  <c r="B4732" i="116"/>
  <c r="K4731" i="116"/>
  <c r="J4731" i="116"/>
  <c r="I4731" i="116"/>
  <c r="H4731" i="116"/>
  <c r="G4731" i="116"/>
  <c r="F4731" i="116"/>
  <c r="E4731" i="116"/>
  <c r="D4731" i="116"/>
  <c r="C4731" i="116"/>
  <c r="B4731" i="116"/>
  <c r="K4730" i="116"/>
  <c r="J4730" i="116"/>
  <c r="I4730" i="116"/>
  <c r="H4730" i="116"/>
  <c r="G4730" i="116"/>
  <c r="F4730" i="116"/>
  <c r="E4730" i="116"/>
  <c r="D4730" i="116"/>
  <c r="C4730" i="116"/>
  <c r="B4730" i="116"/>
  <c r="K4729" i="116"/>
  <c r="J4729" i="116"/>
  <c r="I4729" i="116"/>
  <c r="H4729" i="116"/>
  <c r="G4729" i="116"/>
  <c r="F4729" i="116"/>
  <c r="E4729" i="116"/>
  <c r="D4729" i="116"/>
  <c r="C4729" i="116"/>
  <c r="B4729" i="116"/>
  <c r="K4728" i="116"/>
  <c r="J4728" i="116"/>
  <c r="I4728" i="116"/>
  <c r="H4728" i="116"/>
  <c r="G4728" i="116"/>
  <c r="F4728" i="116"/>
  <c r="E4728" i="116"/>
  <c r="D4728" i="116"/>
  <c r="C4728" i="116"/>
  <c r="B4728" i="116"/>
  <c r="K4727" i="116"/>
  <c r="J4727" i="116"/>
  <c r="I4727" i="116"/>
  <c r="H4727" i="116"/>
  <c r="G4727" i="116"/>
  <c r="F4727" i="116"/>
  <c r="E4727" i="116"/>
  <c r="D4727" i="116"/>
  <c r="C4727" i="116"/>
  <c r="B4727" i="116"/>
  <c r="K4726" i="116"/>
  <c r="J4726" i="116"/>
  <c r="I4726" i="116"/>
  <c r="H4726" i="116"/>
  <c r="G4726" i="116"/>
  <c r="F4726" i="116"/>
  <c r="E4726" i="116"/>
  <c r="D4726" i="116"/>
  <c r="C4726" i="116"/>
  <c r="B4726" i="116"/>
  <c r="K4725" i="116"/>
  <c r="J4725" i="116"/>
  <c r="I4725" i="116"/>
  <c r="H4725" i="116"/>
  <c r="G4725" i="116"/>
  <c r="F4725" i="116"/>
  <c r="E4725" i="116"/>
  <c r="D4725" i="116"/>
  <c r="C4725" i="116"/>
  <c r="B4725" i="116"/>
  <c r="K4724" i="116"/>
  <c r="J4724" i="116"/>
  <c r="I4724" i="116"/>
  <c r="H4724" i="116"/>
  <c r="G4724" i="116"/>
  <c r="F4724" i="116"/>
  <c r="E4724" i="116"/>
  <c r="D4724" i="116"/>
  <c r="C4724" i="116"/>
  <c r="B4724" i="116"/>
  <c r="K4723" i="116"/>
  <c r="J4723" i="116"/>
  <c r="I4723" i="116"/>
  <c r="H4723" i="116"/>
  <c r="G4723" i="116"/>
  <c r="F4723" i="116"/>
  <c r="E4723" i="116"/>
  <c r="D4723" i="116"/>
  <c r="C4723" i="116"/>
  <c r="B4723" i="116"/>
  <c r="K4722" i="116"/>
  <c r="J4722" i="116"/>
  <c r="I4722" i="116"/>
  <c r="H4722" i="116"/>
  <c r="G4722" i="116"/>
  <c r="F4722" i="116"/>
  <c r="E4722" i="116"/>
  <c r="D4722" i="116"/>
  <c r="C4722" i="116"/>
  <c r="B4722" i="116"/>
  <c r="K4721" i="116"/>
  <c r="J4721" i="116"/>
  <c r="I4721" i="116"/>
  <c r="H4721" i="116"/>
  <c r="G4721" i="116"/>
  <c r="F4721" i="116"/>
  <c r="E4721" i="116"/>
  <c r="D4721" i="116"/>
  <c r="C4721" i="116"/>
  <c r="B4721" i="116"/>
  <c r="K4720" i="116"/>
  <c r="J4720" i="116"/>
  <c r="I4720" i="116"/>
  <c r="H4720" i="116"/>
  <c r="G4720" i="116"/>
  <c r="F4720" i="116"/>
  <c r="E4720" i="116"/>
  <c r="D4720" i="116"/>
  <c r="C4720" i="116"/>
  <c r="B4720" i="116"/>
  <c r="K4719" i="116"/>
  <c r="J4719" i="116"/>
  <c r="I4719" i="116"/>
  <c r="H4719" i="116"/>
  <c r="G4719" i="116"/>
  <c r="F4719" i="116"/>
  <c r="E4719" i="116"/>
  <c r="D4719" i="116"/>
  <c r="C4719" i="116"/>
  <c r="B4719" i="116"/>
  <c r="K4718" i="116"/>
  <c r="J4718" i="116"/>
  <c r="I4718" i="116"/>
  <c r="H4718" i="116"/>
  <c r="G4718" i="116"/>
  <c r="F4718" i="116"/>
  <c r="E4718" i="116"/>
  <c r="D4718" i="116"/>
  <c r="C4718" i="116"/>
  <c r="B4718" i="116"/>
  <c r="K4717" i="116"/>
  <c r="J4717" i="116"/>
  <c r="I4717" i="116"/>
  <c r="H4717" i="116"/>
  <c r="G4717" i="116"/>
  <c r="F4717" i="116"/>
  <c r="E4717" i="116"/>
  <c r="D4717" i="116"/>
  <c r="C4717" i="116"/>
  <c r="B4717" i="116"/>
  <c r="K4716" i="116"/>
  <c r="J4716" i="116"/>
  <c r="I4716" i="116"/>
  <c r="H4716" i="116"/>
  <c r="G4716" i="116"/>
  <c r="F4716" i="116"/>
  <c r="E4716" i="116"/>
  <c r="D4716" i="116"/>
  <c r="C4716" i="116"/>
  <c r="B4716" i="116"/>
  <c r="K4715" i="116"/>
  <c r="J4715" i="116"/>
  <c r="I4715" i="116"/>
  <c r="H4715" i="116"/>
  <c r="G4715" i="116"/>
  <c r="F4715" i="116"/>
  <c r="E4715" i="116"/>
  <c r="D4715" i="116"/>
  <c r="C4715" i="116"/>
  <c r="B4715" i="116"/>
  <c r="K4714" i="116"/>
  <c r="J4714" i="116"/>
  <c r="I4714" i="116"/>
  <c r="H4714" i="116"/>
  <c r="G4714" i="116"/>
  <c r="F4714" i="116"/>
  <c r="E4714" i="116"/>
  <c r="D4714" i="116"/>
  <c r="C4714" i="116"/>
  <c r="B4714" i="116"/>
  <c r="K4713" i="116"/>
  <c r="J4713" i="116"/>
  <c r="I4713" i="116"/>
  <c r="H4713" i="116"/>
  <c r="G4713" i="116"/>
  <c r="F4713" i="116"/>
  <c r="E4713" i="116"/>
  <c r="D4713" i="116"/>
  <c r="C4713" i="116"/>
  <c r="B4713" i="116"/>
  <c r="K4712" i="116"/>
  <c r="J4712" i="116"/>
  <c r="I4712" i="116"/>
  <c r="H4712" i="116"/>
  <c r="G4712" i="116"/>
  <c r="F4712" i="116"/>
  <c r="E4712" i="116"/>
  <c r="D4712" i="116"/>
  <c r="C4712" i="116"/>
  <c r="B4712" i="116"/>
  <c r="K4711" i="116"/>
  <c r="J4711" i="116"/>
  <c r="I4711" i="116"/>
  <c r="H4711" i="116"/>
  <c r="G4711" i="116"/>
  <c r="F4711" i="116"/>
  <c r="E4711" i="116"/>
  <c r="D4711" i="116"/>
  <c r="C4711" i="116"/>
  <c r="B4711" i="116"/>
  <c r="K4710" i="116"/>
  <c r="J4710" i="116"/>
  <c r="I4710" i="116"/>
  <c r="H4710" i="116"/>
  <c r="G4710" i="116"/>
  <c r="F4710" i="116"/>
  <c r="E4710" i="116"/>
  <c r="D4710" i="116"/>
  <c r="C4710" i="116"/>
  <c r="B4710" i="116"/>
  <c r="K4709" i="116"/>
  <c r="J4709" i="116"/>
  <c r="I4709" i="116"/>
  <c r="H4709" i="116"/>
  <c r="G4709" i="116"/>
  <c r="F4709" i="116"/>
  <c r="E4709" i="116"/>
  <c r="D4709" i="116"/>
  <c r="C4709" i="116"/>
  <c r="B4709" i="116"/>
  <c r="K4708" i="116"/>
  <c r="J4708" i="116"/>
  <c r="I4708" i="116"/>
  <c r="H4708" i="116"/>
  <c r="G4708" i="116"/>
  <c r="F4708" i="116"/>
  <c r="E4708" i="116"/>
  <c r="D4708" i="116"/>
  <c r="C4708" i="116"/>
  <c r="B4708" i="116"/>
  <c r="K4707" i="116"/>
  <c r="J4707" i="116"/>
  <c r="I4707" i="116"/>
  <c r="H4707" i="116"/>
  <c r="G4707" i="116"/>
  <c r="F4707" i="116"/>
  <c r="E4707" i="116"/>
  <c r="D4707" i="116"/>
  <c r="C4707" i="116"/>
  <c r="B4707" i="116"/>
  <c r="K4706" i="116"/>
  <c r="J4706" i="116"/>
  <c r="I4706" i="116"/>
  <c r="H4706" i="116"/>
  <c r="G4706" i="116"/>
  <c r="F4706" i="116"/>
  <c r="E4706" i="116"/>
  <c r="D4706" i="116"/>
  <c r="C4706" i="116"/>
  <c r="B4706" i="116"/>
  <c r="K4705" i="116"/>
  <c r="J4705" i="116"/>
  <c r="I4705" i="116"/>
  <c r="H4705" i="116"/>
  <c r="G4705" i="116"/>
  <c r="F4705" i="116"/>
  <c r="E4705" i="116"/>
  <c r="D4705" i="116"/>
  <c r="C4705" i="116"/>
  <c r="B4705" i="116"/>
  <c r="K4704" i="116"/>
  <c r="J4704" i="116"/>
  <c r="I4704" i="116"/>
  <c r="H4704" i="116"/>
  <c r="G4704" i="116"/>
  <c r="F4704" i="116"/>
  <c r="E4704" i="116"/>
  <c r="D4704" i="116"/>
  <c r="C4704" i="116"/>
  <c r="B4704" i="116"/>
  <c r="K4703" i="116"/>
  <c r="J4703" i="116"/>
  <c r="I4703" i="116"/>
  <c r="H4703" i="116"/>
  <c r="G4703" i="116"/>
  <c r="F4703" i="116"/>
  <c r="E4703" i="116"/>
  <c r="D4703" i="116"/>
  <c r="C4703" i="116"/>
  <c r="B4703" i="116"/>
  <c r="K4702" i="116"/>
  <c r="J4702" i="116"/>
  <c r="I4702" i="116"/>
  <c r="H4702" i="116"/>
  <c r="G4702" i="116"/>
  <c r="F4702" i="116"/>
  <c r="E4702" i="116"/>
  <c r="D4702" i="116"/>
  <c r="C4702" i="116"/>
  <c r="B4702" i="116"/>
  <c r="K4701" i="116"/>
  <c r="J4701" i="116"/>
  <c r="I4701" i="116"/>
  <c r="H4701" i="116"/>
  <c r="G4701" i="116"/>
  <c r="F4701" i="116"/>
  <c r="E4701" i="116"/>
  <c r="D4701" i="116"/>
  <c r="C4701" i="116"/>
  <c r="B4701" i="116"/>
  <c r="K4700" i="116"/>
  <c r="J4700" i="116"/>
  <c r="I4700" i="116"/>
  <c r="H4700" i="116"/>
  <c r="G4700" i="116"/>
  <c r="F4700" i="116"/>
  <c r="E4700" i="116"/>
  <c r="D4700" i="116"/>
  <c r="C4700" i="116"/>
  <c r="B4700" i="116"/>
  <c r="K4699" i="116"/>
  <c r="J4699" i="116"/>
  <c r="I4699" i="116"/>
  <c r="H4699" i="116"/>
  <c r="G4699" i="116"/>
  <c r="F4699" i="116"/>
  <c r="E4699" i="116"/>
  <c r="D4699" i="116"/>
  <c r="C4699" i="116"/>
  <c r="B4699" i="116"/>
  <c r="K4698" i="116"/>
  <c r="J4698" i="116"/>
  <c r="I4698" i="116"/>
  <c r="H4698" i="116"/>
  <c r="G4698" i="116"/>
  <c r="F4698" i="116"/>
  <c r="E4698" i="116"/>
  <c r="D4698" i="116"/>
  <c r="C4698" i="116"/>
  <c r="B4698" i="116"/>
  <c r="K4697" i="116"/>
  <c r="J4697" i="116"/>
  <c r="I4697" i="116"/>
  <c r="H4697" i="116"/>
  <c r="G4697" i="116"/>
  <c r="F4697" i="116"/>
  <c r="E4697" i="116"/>
  <c r="D4697" i="116"/>
  <c r="C4697" i="116"/>
  <c r="B4697" i="116"/>
  <c r="K4696" i="116"/>
  <c r="J4696" i="116"/>
  <c r="I4696" i="116"/>
  <c r="H4696" i="116"/>
  <c r="G4696" i="116"/>
  <c r="F4696" i="116"/>
  <c r="E4696" i="116"/>
  <c r="D4696" i="116"/>
  <c r="C4696" i="116"/>
  <c r="B4696" i="116"/>
  <c r="K4695" i="116"/>
  <c r="J4695" i="116"/>
  <c r="I4695" i="116"/>
  <c r="H4695" i="116"/>
  <c r="G4695" i="116"/>
  <c r="F4695" i="116"/>
  <c r="E4695" i="116"/>
  <c r="D4695" i="116"/>
  <c r="C4695" i="116"/>
  <c r="B4695" i="116"/>
  <c r="K4694" i="116"/>
  <c r="J4694" i="116"/>
  <c r="I4694" i="116"/>
  <c r="H4694" i="116"/>
  <c r="G4694" i="116"/>
  <c r="F4694" i="116"/>
  <c r="E4694" i="116"/>
  <c r="D4694" i="116"/>
  <c r="C4694" i="116"/>
  <c r="B4694" i="116"/>
  <c r="K4693" i="116"/>
  <c r="J4693" i="116"/>
  <c r="I4693" i="116"/>
  <c r="H4693" i="116"/>
  <c r="G4693" i="116"/>
  <c r="F4693" i="116"/>
  <c r="E4693" i="116"/>
  <c r="D4693" i="116"/>
  <c r="C4693" i="116"/>
  <c r="B4693" i="116"/>
  <c r="K4692" i="116"/>
  <c r="J4692" i="116"/>
  <c r="I4692" i="116"/>
  <c r="H4692" i="116"/>
  <c r="G4692" i="116"/>
  <c r="F4692" i="116"/>
  <c r="E4692" i="116"/>
  <c r="D4692" i="116"/>
  <c r="C4692" i="116"/>
  <c r="B4692" i="116"/>
  <c r="K4691" i="116"/>
  <c r="J4691" i="116"/>
  <c r="I4691" i="116"/>
  <c r="H4691" i="116"/>
  <c r="G4691" i="116"/>
  <c r="F4691" i="116"/>
  <c r="E4691" i="116"/>
  <c r="D4691" i="116"/>
  <c r="C4691" i="116"/>
  <c r="B4691" i="116"/>
  <c r="K4690" i="116"/>
  <c r="J4690" i="116"/>
  <c r="I4690" i="116"/>
  <c r="H4690" i="116"/>
  <c r="G4690" i="116"/>
  <c r="F4690" i="116"/>
  <c r="E4690" i="116"/>
  <c r="D4690" i="116"/>
  <c r="C4690" i="116"/>
  <c r="B4690" i="116"/>
  <c r="K4689" i="116"/>
  <c r="J4689" i="116"/>
  <c r="I4689" i="116"/>
  <c r="H4689" i="116"/>
  <c r="G4689" i="116"/>
  <c r="F4689" i="116"/>
  <c r="E4689" i="116"/>
  <c r="D4689" i="116"/>
  <c r="C4689" i="116"/>
  <c r="B4689" i="116"/>
  <c r="K4688" i="116"/>
  <c r="J4688" i="116"/>
  <c r="I4688" i="116"/>
  <c r="H4688" i="116"/>
  <c r="G4688" i="116"/>
  <c r="F4688" i="116"/>
  <c r="E4688" i="116"/>
  <c r="D4688" i="116"/>
  <c r="C4688" i="116"/>
  <c r="B4688" i="116"/>
  <c r="K4687" i="116"/>
  <c r="J4687" i="116"/>
  <c r="I4687" i="116"/>
  <c r="H4687" i="116"/>
  <c r="G4687" i="116"/>
  <c r="F4687" i="116"/>
  <c r="E4687" i="116"/>
  <c r="D4687" i="116"/>
  <c r="C4687" i="116"/>
  <c r="B4687" i="116"/>
  <c r="K4686" i="116"/>
  <c r="J4686" i="116"/>
  <c r="I4686" i="116"/>
  <c r="H4686" i="116"/>
  <c r="G4686" i="116"/>
  <c r="F4686" i="116"/>
  <c r="E4686" i="116"/>
  <c r="D4686" i="116"/>
  <c r="C4686" i="116"/>
  <c r="B4686" i="116"/>
  <c r="K4685" i="116"/>
  <c r="J4685" i="116"/>
  <c r="I4685" i="116"/>
  <c r="H4685" i="116"/>
  <c r="G4685" i="116"/>
  <c r="F4685" i="116"/>
  <c r="E4685" i="116"/>
  <c r="D4685" i="116"/>
  <c r="C4685" i="116"/>
  <c r="B4685" i="116"/>
  <c r="K4684" i="116"/>
  <c r="J4684" i="116"/>
  <c r="I4684" i="116"/>
  <c r="H4684" i="116"/>
  <c r="G4684" i="116"/>
  <c r="F4684" i="116"/>
  <c r="E4684" i="116"/>
  <c r="D4684" i="116"/>
  <c r="C4684" i="116"/>
  <c r="B4684" i="116"/>
  <c r="K4683" i="116"/>
  <c r="J4683" i="116"/>
  <c r="I4683" i="116"/>
  <c r="H4683" i="116"/>
  <c r="G4683" i="116"/>
  <c r="F4683" i="116"/>
  <c r="E4683" i="116"/>
  <c r="D4683" i="116"/>
  <c r="C4683" i="116"/>
  <c r="B4683" i="116"/>
  <c r="K4682" i="116"/>
  <c r="J4682" i="116"/>
  <c r="I4682" i="116"/>
  <c r="H4682" i="116"/>
  <c r="G4682" i="116"/>
  <c r="F4682" i="116"/>
  <c r="E4682" i="116"/>
  <c r="D4682" i="116"/>
  <c r="C4682" i="116"/>
  <c r="B4682" i="116"/>
  <c r="K4681" i="116"/>
  <c r="J4681" i="116"/>
  <c r="I4681" i="116"/>
  <c r="H4681" i="116"/>
  <c r="G4681" i="116"/>
  <c r="F4681" i="116"/>
  <c r="E4681" i="116"/>
  <c r="D4681" i="116"/>
  <c r="C4681" i="116"/>
  <c r="B4681" i="116"/>
  <c r="K4680" i="116"/>
  <c r="J4680" i="116"/>
  <c r="I4680" i="116"/>
  <c r="H4680" i="116"/>
  <c r="G4680" i="116"/>
  <c r="F4680" i="116"/>
  <c r="E4680" i="116"/>
  <c r="D4680" i="116"/>
  <c r="C4680" i="116"/>
  <c r="B4680" i="116"/>
  <c r="K4679" i="116"/>
  <c r="J4679" i="116"/>
  <c r="I4679" i="116"/>
  <c r="H4679" i="116"/>
  <c r="G4679" i="116"/>
  <c r="F4679" i="116"/>
  <c r="E4679" i="116"/>
  <c r="D4679" i="116"/>
  <c r="C4679" i="116"/>
  <c r="B4679" i="116"/>
  <c r="K4678" i="116"/>
  <c r="J4678" i="116"/>
  <c r="I4678" i="116"/>
  <c r="H4678" i="116"/>
  <c r="G4678" i="116"/>
  <c r="F4678" i="116"/>
  <c r="E4678" i="116"/>
  <c r="D4678" i="116"/>
  <c r="C4678" i="116"/>
  <c r="B4678" i="116"/>
  <c r="K4677" i="116"/>
  <c r="J4677" i="116"/>
  <c r="I4677" i="116"/>
  <c r="H4677" i="116"/>
  <c r="G4677" i="116"/>
  <c r="F4677" i="116"/>
  <c r="E4677" i="116"/>
  <c r="D4677" i="116"/>
  <c r="C4677" i="116"/>
  <c r="B4677" i="116"/>
  <c r="K4676" i="116"/>
  <c r="J4676" i="116"/>
  <c r="I4676" i="116"/>
  <c r="H4676" i="116"/>
  <c r="G4676" i="116"/>
  <c r="F4676" i="116"/>
  <c r="E4676" i="116"/>
  <c r="D4676" i="116"/>
  <c r="C4676" i="116"/>
  <c r="B4676" i="116"/>
  <c r="K4675" i="116"/>
  <c r="J4675" i="116"/>
  <c r="I4675" i="116"/>
  <c r="H4675" i="116"/>
  <c r="G4675" i="116"/>
  <c r="F4675" i="116"/>
  <c r="E4675" i="116"/>
  <c r="D4675" i="116"/>
  <c r="C4675" i="116"/>
  <c r="B4675" i="116"/>
  <c r="K4674" i="116"/>
  <c r="J4674" i="116"/>
  <c r="I4674" i="116"/>
  <c r="H4674" i="116"/>
  <c r="G4674" i="116"/>
  <c r="F4674" i="116"/>
  <c r="E4674" i="116"/>
  <c r="D4674" i="116"/>
  <c r="C4674" i="116"/>
  <c r="B4674" i="116"/>
  <c r="K4673" i="116"/>
  <c r="J4673" i="116"/>
  <c r="I4673" i="116"/>
  <c r="H4673" i="116"/>
  <c r="G4673" i="116"/>
  <c r="F4673" i="116"/>
  <c r="E4673" i="116"/>
  <c r="D4673" i="116"/>
  <c r="C4673" i="116"/>
  <c r="B4673" i="116"/>
  <c r="K4672" i="116"/>
  <c r="J4672" i="116"/>
  <c r="I4672" i="116"/>
  <c r="H4672" i="116"/>
  <c r="G4672" i="116"/>
  <c r="F4672" i="116"/>
  <c r="E4672" i="116"/>
  <c r="D4672" i="116"/>
  <c r="C4672" i="116"/>
  <c r="B4672" i="116"/>
  <c r="K4671" i="116"/>
  <c r="J4671" i="116"/>
  <c r="I4671" i="116"/>
  <c r="H4671" i="116"/>
  <c r="G4671" i="116"/>
  <c r="F4671" i="116"/>
  <c r="E4671" i="116"/>
  <c r="D4671" i="116"/>
  <c r="C4671" i="116"/>
  <c r="B4671" i="116"/>
  <c r="K4670" i="116"/>
  <c r="J4670" i="116"/>
  <c r="I4670" i="116"/>
  <c r="H4670" i="116"/>
  <c r="G4670" i="116"/>
  <c r="F4670" i="116"/>
  <c r="E4670" i="116"/>
  <c r="D4670" i="116"/>
  <c r="C4670" i="116"/>
  <c r="B4670" i="116"/>
  <c r="K4669" i="116"/>
  <c r="J4669" i="116"/>
  <c r="I4669" i="116"/>
  <c r="H4669" i="116"/>
  <c r="G4669" i="116"/>
  <c r="F4669" i="116"/>
  <c r="E4669" i="116"/>
  <c r="D4669" i="116"/>
  <c r="C4669" i="116"/>
  <c r="B4669" i="116"/>
  <c r="K4668" i="116"/>
  <c r="J4668" i="116"/>
  <c r="I4668" i="116"/>
  <c r="H4668" i="116"/>
  <c r="G4668" i="116"/>
  <c r="F4668" i="116"/>
  <c r="E4668" i="116"/>
  <c r="D4668" i="116"/>
  <c r="C4668" i="116"/>
  <c r="B4668" i="116"/>
  <c r="K4667" i="116"/>
  <c r="J4667" i="116"/>
  <c r="I4667" i="116"/>
  <c r="H4667" i="116"/>
  <c r="G4667" i="116"/>
  <c r="F4667" i="116"/>
  <c r="E4667" i="116"/>
  <c r="D4667" i="116"/>
  <c r="C4667" i="116"/>
  <c r="B4667" i="116"/>
  <c r="K4666" i="116"/>
  <c r="J4666" i="116"/>
  <c r="I4666" i="116"/>
  <c r="H4666" i="116"/>
  <c r="G4666" i="116"/>
  <c r="F4666" i="116"/>
  <c r="E4666" i="116"/>
  <c r="D4666" i="116"/>
  <c r="C4666" i="116"/>
  <c r="B4666" i="116"/>
  <c r="K4665" i="116"/>
  <c r="J4665" i="116"/>
  <c r="I4665" i="116"/>
  <c r="H4665" i="116"/>
  <c r="G4665" i="116"/>
  <c r="F4665" i="116"/>
  <c r="E4665" i="116"/>
  <c r="D4665" i="116"/>
  <c r="C4665" i="116"/>
  <c r="B4665" i="116"/>
  <c r="K4664" i="116"/>
  <c r="J4664" i="116"/>
  <c r="I4664" i="116"/>
  <c r="H4664" i="116"/>
  <c r="G4664" i="116"/>
  <c r="F4664" i="116"/>
  <c r="E4664" i="116"/>
  <c r="D4664" i="116"/>
  <c r="C4664" i="116"/>
  <c r="B4664" i="116"/>
  <c r="K4663" i="116"/>
  <c r="J4663" i="116"/>
  <c r="I4663" i="116"/>
  <c r="H4663" i="116"/>
  <c r="G4663" i="116"/>
  <c r="F4663" i="116"/>
  <c r="E4663" i="116"/>
  <c r="D4663" i="116"/>
  <c r="C4663" i="116"/>
  <c r="B4663" i="116"/>
  <c r="K4662" i="116"/>
  <c r="J4662" i="116"/>
  <c r="I4662" i="116"/>
  <c r="H4662" i="116"/>
  <c r="G4662" i="116"/>
  <c r="F4662" i="116"/>
  <c r="E4662" i="116"/>
  <c r="D4662" i="116"/>
  <c r="C4662" i="116"/>
  <c r="B4662" i="116"/>
  <c r="K4661" i="116"/>
  <c r="J4661" i="116"/>
  <c r="I4661" i="116"/>
  <c r="H4661" i="116"/>
  <c r="G4661" i="116"/>
  <c r="F4661" i="116"/>
  <c r="E4661" i="116"/>
  <c r="D4661" i="116"/>
  <c r="C4661" i="116"/>
  <c r="B4661" i="116"/>
  <c r="K4660" i="116"/>
  <c r="J4660" i="116"/>
  <c r="I4660" i="116"/>
  <c r="H4660" i="116"/>
  <c r="G4660" i="116"/>
  <c r="F4660" i="116"/>
  <c r="E4660" i="116"/>
  <c r="D4660" i="116"/>
  <c r="C4660" i="116"/>
  <c r="B4660" i="116"/>
  <c r="K4659" i="116"/>
  <c r="J4659" i="116"/>
  <c r="I4659" i="116"/>
  <c r="H4659" i="116"/>
  <c r="G4659" i="116"/>
  <c r="F4659" i="116"/>
  <c r="E4659" i="116"/>
  <c r="D4659" i="116"/>
  <c r="C4659" i="116"/>
  <c r="B4659" i="116"/>
  <c r="K4658" i="116"/>
  <c r="J4658" i="116"/>
  <c r="I4658" i="116"/>
  <c r="H4658" i="116"/>
  <c r="G4658" i="116"/>
  <c r="F4658" i="116"/>
  <c r="E4658" i="116"/>
  <c r="D4658" i="116"/>
  <c r="C4658" i="116"/>
  <c r="B4658" i="116"/>
  <c r="K4657" i="116"/>
  <c r="J4657" i="116"/>
  <c r="I4657" i="116"/>
  <c r="H4657" i="116"/>
  <c r="G4657" i="116"/>
  <c r="F4657" i="116"/>
  <c r="E4657" i="116"/>
  <c r="D4657" i="116"/>
  <c r="C4657" i="116"/>
  <c r="B4657" i="116"/>
  <c r="K4656" i="116"/>
  <c r="J4656" i="116"/>
  <c r="I4656" i="116"/>
  <c r="H4656" i="116"/>
  <c r="G4656" i="116"/>
  <c r="F4656" i="116"/>
  <c r="E4656" i="116"/>
  <c r="D4656" i="116"/>
  <c r="C4656" i="116"/>
  <c r="B4656" i="116"/>
  <c r="K4655" i="116"/>
  <c r="J4655" i="116"/>
  <c r="I4655" i="116"/>
  <c r="H4655" i="116"/>
  <c r="G4655" i="116"/>
  <c r="F4655" i="116"/>
  <c r="E4655" i="116"/>
  <c r="D4655" i="116"/>
  <c r="C4655" i="116"/>
  <c r="B4655" i="116"/>
  <c r="K4654" i="116"/>
  <c r="J4654" i="116"/>
  <c r="I4654" i="116"/>
  <c r="H4654" i="116"/>
  <c r="G4654" i="116"/>
  <c r="F4654" i="116"/>
  <c r="E4654" i="116"/>
  <c r="D4654" i="116"/>
  <c r="C4654" i="116"/>
  <c r="B4654" i="116"/>
  <c r="K4653" i="116"/>
  <c r="J4653" i="116"/>
  <c r="I4653" i="116"/>
  <c r="H4653" i="116"/>
  <c r="G4653" i="116"/>
  <c r="F4653" i="116"/>
  <c r="E4653" i="116"/>
  <c r="D4653" i="116"/>
  <c r="C4653" i="116"/>
  <c r="B4653" i="116"/>
  <c r="K4652" i="116"/>
  <c r="J4652" i="116"/>
  <c r="I4652" i="116"/>
  <c r="H4652" i="116"/>
  <c r="G4652" i="116"/>
  <c r="F4652" i="116"/>
  <c r="E4652" i="116"/>
  <c r="D4652" i="116"/>
  <c r="C4652" i="116"/>
  <c r="B4652" i="116"/>
  <c r="K4651" i="116"/>
  <c r="J4651" i="116"/>
  <c r="I4651" i="116"/>
  <c r="H4651" i="116"/>
  <c r="G4651" i="116"/>
  <c r="F4651" i="116"/>
  <c r="E4651" i="116"/>
  <c r="D4651" i="116"/>
  <c r="C4651" i="116"/>
  <c r="B4651" i="116"/>
  <c r="K4650" i="116"/>
  <c r="J4650" i="116"/>
  <c r="I4650" i="116"/>
  <c r="H4650" i="116"/>
  <c r="G4650" i="116"/>
  <c r="F4650" i="116"/>
  <c r="E4650" i="116"/>
  <c r="D4650" i="116"/>
  <c r="C4650" i="116"/>
  <c r="B4650" i="116"/>
  <c r="K4649" i="116"/>
  <c r="J4649" i="116"/>
  <c r="I4649" i="116"/>
  <c r="H4649" i="116"/>
  <c r="G4649" i="116"/>
  <c r="F4649" i="116"/>
  <c r="E4649" i="116"/>
  <c r="D4649" i="116"/>
  <c r="C4649" i="116"/>
  <c r="B4649" i="116"/>
  <c r="K4648" i="116"/>
  <c r="J4648" i="116"/>
  <c r="I4648" i="116"/>
  <c r="H4648" i="116"/>
  <c r="G4648" i="116"/>
  <c r="F4648" i="116"/>
  <c r="E4648" i="116"/>
  <c r="D4648" i="116"/>
  <c r="C4648" i="116"/>
  <c r="B4648" i="116"/>
  <c r="K4647" i="116"/>
  <c r="J4647" i="116"/>
  <c r="I4647" i="116"/>
  <c r="H4647" i="116"/>
  <c r="G4647" i="116"/>
  <c r="F4647" i="116"/>
  <c r="E4647" i="116"/>
  <c r="D4647" i="116"/>
  <c r="C4647" i="116"/>
  <c r="B4647" i="116"/>
  <c r="K4646" i="116"/>
  <c r="J4646" i="116"/>
  <c r="I4646" i="116"/>
  <c r="H4646" i="116"/>
  <c r="G4646" i="116"/>
  <c r="F4646" i="116"/>
  <c r="E4646" i="116"/>
  <c r="D4646" i="116"/>
  <c r="C4646" i="116"/>
  <c r="B4646" i="116"/>
  <c r="K4645" i="116"/>
  <c r="J4645" i="116"/>
  <c r="I4645" i="116"/>
  <c r="H4645" i="116"/>
  <c r="G4645" i="116"/>
  <c r="F4645" i="116"/>
  <c r="E4645" i="116"/>
  <c r="D4645" i="116"/>
  <c r="C4645" i="116"/>
  <c r="B4645" i="116"/>
  <c r="K4644" i="116"/>
  <c r="J4644" i="116"/>
  <c r="I4644" i="116"/>
  <c r="H4644" i="116"/>
  <c r="G4644" i="116"/>
  <c r="F4644" i="116"/>
  <c r="E4644" i="116"/>
  <c r="D4644" i="116"/>
  <c r="C4644" i="116"/>
  <c r="B4644" i="116"/>
  <c r="K4643" i="116"/>
  <c r="J4643" i="116"/>
  <c r="I4643" i="116"/>
  <c r="H4643" i="116"/>
  <c r="G4643" i="116"/>
  <c r="F4643" i="116"/>
  <c r="E4643" i="116"/>
  <c r="D4643" i="116"/>
  <c r="C4643" i="116"/>
  <c r="B4643" i="116"/>
  <c r="K4642" i="116"/>
  <c r="J4642" i="116"/>
  <c r="I4642" i="116"/>
  <c r="H4642" i="116"/>
  <c r="G4642" i="116"/>
  <c r="F4642" i="116"/>
  <c r="E4642" i="116"/>
  <c r="D4642" i="116"/>
  <c r="C4642" i="116"/>
  <c r="B4642" i="116"/>
  <c r="K4641" i="116"/>
  <c r="J4641" i="116"/>
  <c r="I4641" i="116"/>
  <c r="H4641" i="116"/>
  <c r="G4641" i="116"/>
  <c r="F4641" i="116"/>
  <c r="E4641" i="116"/>
  <c r="D4641" i="116"/>
  <c r="C4641" i="116"/>
  <c r="B4641" i="116"/>
  <c r="K4640" i="116"/>
  <c r="J4640" i="116"/>
  <c r="I4640" i="116"/>
  <c r="H4640" i="116"/>
  <c r="G4640" i="116"/>
  <c r="F4640" i="116"/>
  <c r="E4640" i="116"/>
  <c r="D4640" i="116"/>
  <c r="C4640" i="116"/>
  <c r="B4640" i="116"/>
  <c r="K4639" i="116"/>
  <c r="J4639" i="116"/>
  <c r="I4639" i="116"/>
  <c r="H4639" i="116"/>
  <c r="G4639" i="116"/>
  <c r="F4639" i="116"/>
  <c r="E4639" i="116"/>
  <c r="D4639" i="116"/>
  <c r="C4639" i="116"/>
  <c r="B4639" i="116"/>
  <c r="K4638" i="116"/>
  <c r="J4638" i="116"/>
  <c r="I4638" i="116"/>
  <c r="H4638" i="116"/>
  <c r="G4638" i="116"/>
  <c r="F4638" i="116"/>
  <c r="E4638" i="116"/>
  <c r="D4638" i="116"/>
  <c r="C4638" i="116"/>
  <c r="B4638" i="116"/>
  <c r="K4637" i="116"/>
  <c r="J4637" i="116"/>
  <c r="I4637" i="116"/>
  <c r="H4637" i="116"/>
  <c r="G4637" i="116"/>
  <c r="F4637" i="116"/>
  <c r="E4637" i="116"/>
  <c r="D4637" i="116"/>
  <c r="C4637" i="116"/>
  <c r="B4637" i="116"/>
  <c r="K4636" i="116"/>
  <c r="J4636" i="116"/>
  <c r="I4636" i="116"/>
  <c r="H4636" i="116"/>
  <c r="G4636" i="116"/>
  <c r="F4636" i="116"/>
  <c r="E4636" i="116"/>
  <c r="D4636" i="116"/>
  <c r="C4636" i="116"/>
  <c r="B4636" i="116"/>
  <c r="K4635" i="116"/>
  <c r="J4635" i="116"/>
  <c r="I4635" i="116"/>
  <c r="H4635" i="116"/>
  <c r="G4635" i="116"/>
  <c r="F4635" i="116"/>
  <c r="E4635" i="116"/>
  <c r="D4635" i="116"/>
  <c r="C4635" i="116"/>
  <c r="B4635" i="116"/>
  <c r="K4634" i="116"/>
  <c r="J4634" i="116"/>
  <c r="I4634" i="116"/>
  <c r="H4634" i="116"/>
  <c r="G4634" i="116"/>
  <c r="F4634" i="116"/>
  <c r="E4634" i="116"/>
  <c r="D4634" i="116"/>
  <c r="C4634" i="116"/>
  <c r="B4634" i="116"/>
  <c r="K4633" i="116"/>
  <c r="J4633" i="116"/>
  <c r="I4633" i="116"/>
  <c r="H4633" i="116"/>
  <c r="G4633" i="116"/>
  <c r="F4633" i="116"/>
  <c r="E4633" i="116"/>
  <c r="D4633" i="116"/>
  <c r="C4633" i="116"/>
  <c r="B4633" i="116"/>
  <c r="K4632" i="116"/>
  <c r="J4632" i="116"/>
  <c r="I4632" i="116"/>
  <c r="H4632" i="116"/>
  <c r="G4632" i="116"/>
  <c r="F4632" i="116"/>
  <c r="E4632" i="116"/>
  <c r="D4632" i="116"/>
  <c r="C4632" i="116"/>
  <c r="B4632" i="116"/>
  <c r="K4631" i="116"/>
  <c r="J4631" i="116"/>
  <c r="I4631" i="116"/>
  <c r="H4631" i="116"/>
  <c r="G4631" i="116"/>
  <c r="F4631" i="116"/>
  <c r="E4631" i="116"/>
  <c r="D4631" i="116"/>
  <c r="C4631" i="116"/>
  <c r="B4631" i="116"/>
  <c r="K4630" i="116"/>
  <c r="J4630" i="116"/>
  <c r="I4630" i="116"/>
  <c r="H4630" i="116"/>
  <c r="G4630" i="116"/>
  <c r="F4630" i="116"/>
  <c r="E4630" i="116"/>
  <c r="D4630" i="116"/>
  <c r="C4630" i="116"/>
  <c r="B4630" i="116"/>
  <c r="K4629" i="116"/>
  <c r="J4629" i="116"/>
  <c r="I4629" i="116"/>
  <c r="H4629" i="116"/>
  <c r="G4629" i="116"/>
  <c r="F4629" i="116"/>
  <c r="E4629" i="116"/>
  <c r="D4629" i="116"/>
  <c r="C4629" i="116"/>
  <c r="B4629" i="116"/>
  <c r="K4628" i="116"/>
  <c r="J4628" i="116"/>
  <c r="I4628" i="116"/>
  <c r="H4628" i="116"/>
  <c r="G4628" i="116"/>
  <c r="F4628" i="116"/>
  <c r="E4628" i="116"/>
  <c r="D4628" i="116"/>
  <c r="C4628" i="116"/>
  <c r="B4628" i="116"/>
  <c r="K4627" i="116"/>
  <c r="J4627" i="116"/>
  <c r="I4627" i="116"/>
  <c r="H4627" i="116"/>
  <c r="G4627" i="116"/>
  <c r="F4627" i="116"/>
  <c r="E4627" i="116"/>
  <c r="D4627" i="116"/>
  <c r="C4627" i="116"/>
  <c r="B4627" i="116"/>
  <c r="K4626" i="116"/>
  <c r="J4626" i="116"/>
  <c r="I4626" i="116"/>
  <c r="H4626" i="116"/>
  <c r="G4626" i="116"/>
  <c r="F4626" i="116"/>
  <c r="E4626" i="116"/>
  <c r="D4626" i="116"/>
  <c r="C4626" i="116"/>
  <c r="B4626" i="116"/>
  <c r="K4625" i="116"/>
  <c r="J4625" i="116"/>
  <c r="I4625" i="116"/>
  <c r="H4625" i="116"/>
  <c r="G4625" i="116"/>
  <c r="F4625" i="116"/>
  <c r="E4625" i="116"/>
  <c r="D4625" i="116"/>
  <c r="C4625" i="116"/>
  <c r="B4625" i="116"/>
  <c r="K4624" i="116"/>
  <c r="J4624" i="116"/>
  <c r="I4624" i="116"/>
  <c r="H4624" i="116"/>
  <c r="G4624" i="116"/>
  <c r="F4624" i="116"/>
  <c r="E4624" i="116"/>
  <c r="D4624" i="116"/>
  <c r="C4624" i="116"/>
  <c r="B4624" i="116"/>
  <c r="K4623" i="116"/>
  <c r="J4623" i="116"/>
  <c r="I4623" i="116"/>
  <c r="H4623" i="116"/>
  <c r="G4623" i="116"/>
  <c r="F4623" i="116"/>
  <c r="E4623" i="116"/>
  <c r="D4623" i="116"/>
  <c r="C4623" i="116"/>
  <c r="B4623" i="116"/>
  <c r="K4622" i="116"/>
  <c r="J4622" i="116"/>
  <c r="I4622" i="116"/>
  <c r="H4622" i="116"/>
  <c r="G4622" i="116"/>
  <c r="F4622" i="116"/>
  <c r="E4622" i="116"/>
  <c r="D4622" i="116"/>
  <c r="C4622" i="116"/>
  <c r="B4622" i="116"/>
  <c r="K4621" i="116"/>
  <c r="J4621" i="116"/>
  <c r="I4621" i="116"/>
  <c r="H4621" i="116"/>
  <c r="G4621" i="116"/>
  <c r="F4621" i="116"/>
  <c r="E4621" i="116"/>
  <c r="D4621" i="116"/>
  <c r="C4621" i="116"/>
  <c r="B4621" i="116"/>
  <c r="K4620" i="116"/>
  <c r="J4620" i="116"/>
  <c r="I4620" i="116"/>
  <c r="H4620" i="116"/>
  <c r="G4620" i="116"/>
  <c r="F4620" i="116"/>
  <c r="E4620" i="116"/>
  <c r="D4620" i="116"/>
  <c r="C4620" i="116"/>
  <c r="B4620" i="116"/>
  <c r="K4619" i="116"/>
  <c r="J4619" i="116"/>
  <c r="I4619" i="116"/>
  <c r="H4619" i="116"/>
  <c r="G4619" i="116"/>
  <c r="F4619" i="116"/>
  <c r="E4619" i="116"/>
  <c r="D4619" i="116"/>
  <c r="C4619" i="116"/>
  <c r="B4619" i="116"/>
  <c r="K4618" i="116"/>
  <c r="J4618" i="116"/>
  <c r="I4618" i="116"/>
  <c r="H4618" i="116"/>
  <c r="G4618" i="116"/>
  <c r="F4618" i="116"/>
  <c r="E4618" i="116"/>
  <c r="D4618" i="116"/>
  <c r="C4618" i="116"/>
  <c r="B4618" i="116"/>
  <c r="K4617" i="116"/>
  <c r="J4617" i="116"/>
  <c r="I4617" i="116"/>
  <c r="H4617" i="116"/>
  <c r="G4617" i="116"/>
  <c r="F4617" i="116"/>
  <c r="E4617" i="116"/>
  <c r="D4617" i="116"/>
  <c r="C4617" i="116"/>
  <c r="B4617" i="116"/>
  <c r="K4616" i="116"/>
  <c r="J4616" i="116"/>
  <c r="I4616" i="116"/>
  <c r="H4616" i="116"/>
  <c r="G4616" i="116"/>
  <c r="F4616" i="116"/>
  <c r="E4616" i="116"/>
  <c r="D4616" i="116"/>
  <c r="C4616" i="116"/>
  <c r="B4616" i="116"/>
  <c r="K4615" i="116"/>
  <c r="J4615" i="116"/>
  <c r="I4615" i="116"/>
  <c r="H4615" i="116"/>
  <c r="G4615" i="116"/>
  <c r="F4615" i="116"/>
  <c r="E4615" i="116"/>
  <c r="D4615" i="116"/>
  <c r="C4615" i="116"/>
  <c r="B4615" i="116"/>
  <c r="K4614" i="116"/>
  <c r="J4614" i="116"/>
  <c r="I4614" i="116"/>
  <c r="H4614" i="116"/>
  <c r="G4614" i="116"/>
  <c r="F4614" i="116"/>
  <c r="E4614" i="116"/>
  <c r="D4614" i="116"/>
  <c r="C4614" i="116"/>
  <c r="B4614" i="116"/>
  <c r="K4613" i="116"/>
  <c r="J4613" i="116"/>
  <c r="I4613" i="116"/>
  <c r="H4613" i="116"/>
  <c r="G4613" i="116"/>
  <c r="F4613" i="116"/>
  <c r="E4613" i="116"/>
  <c r="D4613" i="116"/>
  <c r="C4613" i="116"/>
  <c r="B4613" i="116"/>
  <c r="K4612" i="116"/>
  <c r="J4612" i="116"/>
  <c r="I4612" i="116"/>
  <c r="H4612" i="116"/>
  <c r="G4612" i="116"/>
  <c r="F4612" i="116"/>
  <c r="E4612" i="116"/>
  <c r="D4612" i="116"/>
  <c r="C4612" i="116"/>
  <c r="B4612" i="116"/>
  <c r="K4611" i="116"/>
  <c r="J4611" i="116"/>
  <c r="I4611" i="116"/>
  <c r="H4611" i="116"/>
  <c r="G4611" i="116"/>
  <c r="F4611" i="116"/>
  <c r="E4611" i="116"/>
  <c r="D4611" i="116"/>
  <c r="C4611" i="116"/>
  <c r="B4611" i="116"/>
  <c r="K4610" i="116"/>
  <c r="J4610" i="116"/>
  <c r="I4610" i="116"/>
  <c r="H4610" i="116"/>
  <c r="G4610" i="116"/>
  <c r="F4610" i="116"/>
  <c r="E4610" i="116"/>
  <c r="D4610" i="116"/>
  <c r="C4610" i="116"/>
  <c r="B4610" i="116"/>
  <c r="K4609" i="116"/>
  <c r="J4609" i="116"/>
  <c r="I4609" i="116"/>
  <c r="H4609" i="116"/>
  <c r="G4609" i="116"/>
  <c r="F4609" i="116"/>
  <c r="E4609" i="116"/>
  <c r="D4609" i="116"/>
  <c r="C4609" i="116"/>
  <c r="B4609" i="116"/>
  <c r="K4608" i="116"/>
  <c r="J4608" i="116"/>
  <c r="I4608" i="116"/>
  <c r="H4608" i="116"/>
  <c r="G4608" i="116"/>
  <c r="F4608" i="116"/>
  <c r="E4608" i="116"/>
  <c r="D4608" i="116"/>
  <c r="C4608" i="116"/>
  <c r="B4608" i="116"/>
  <c r="K4607" i="116"/>
  <c r="J4607" i="116"/>
  <c r="I4607" i="116"/>
  <c r="H4607" i="116"/>
  <c r="G4607" i="116"/>
  <c r="F4607" i="116"/>
  <c r="E4607" i="116"/>
  <c r="D4607" i="116"/>
  <c r="C4607" i="116"/>
  <c r="B4607" i="116"/>
  <c r="K4606" i="116"/>
  <c r="J4606" i="116"/>
  <c r="I4606" i="116"/>
  <c r="H4606" i="116"/>
  <c r="G4606" i="116"/>
  <c r="F4606" i="116"/>
  <c r="E4606" i="116"/>
  <c r="D4606" i="116"/>
  <c r="C4606" i="116"/>
  <c r="B4606" i="116"/>
  <c r="K4605" i="116"/>
  <c r="J4605" i="116"/>
  <c r="I4605" i="116"/>
  <c r="H4605" i="116"/>
  <c r="G4605" i="116"/>
  <c r="F4605" i="116"/>
  <c r="E4605" i="116"/>
  <c r="D4605" i="116"/>
  <c r="C4605" i="116"/>
  <c r="B4605" i="116"/>
  <c r="K4604" i="116"/>
  <c r="J4604" i="116"/>
  <c r="I4604" i="116"/>
  <c r="H4604" i="116"/>
  <c r="G4604" i="116"/>
  <c r="F4604" i="116"/>
  <c r="E4604" i="116"/>
  <c r="D4604" i="116"/>
  <c r="C4604" i="116"/>
  <c r="B4604" i="116"/>
  <c r="K4603" i="116"/>
  <c r="J4603" i="116"/>
  <c r="I4603" i="116"/>
  <c r="H4603" i="116"/>
  <c r="G4603" i="116"/>
  <c r="F4603" i="116"/>
  <c r="E4603" i="116"/>
  <c r="D4603" i="116"/>
  <c r="C4603" i="116"/>
  <c r="B4603" i="116"/>
  <c r="K4602" i="116"/>
  <c r="J4602" i="116"/>
  <c r="I4602" i="116"/>
  <c r="H4602" i="116"/>
  <c r="G4602" i="116"/>
  <c r="F4602" i="116"/>
  <c r="E4602" i="116"/>
  <c r="D4602" i="116"/>
  <c r="C4602" i="116"/>
  <c r="B4602" i="116"/>
  <c r="K4601" i="116"/>
  <c r="J4601" i="116"/>
  <c r="I4601" i="116"/>
  <c r="H4601" i="116"/>
  <c r="G4601" i="116"/>
  <c r="F4601" i="116"/>
  <c r="E4601" i="116"/>
  <c r="D4601" i="116"/>
  <c r="C4601" i="116"/>
  <c r="B4601" i="116"/>
  <c r="K4600" i="116"/>
  <c r="J4600" i="116"/>
  <c r="I4600" i="116"/>
  <c r="H4600" i="116"/>
  <c r="G4600" i="116"/>
  <c r="F4600" i="116"/>
  <c r="E4600" i="116"/>
  <c r="D4600" i="116"/>
  <c r="C4600" i="116"/>
  <c r="B4600" i="116"/>
  <c r="K4599" i="116"/>
  <c r="J4599" i="116"/>
  <c r="I4599" i="116"/>
  <c r="H4599" i="116"/>
  <c r="G4599" i="116"/>
  <c r="F4599" i="116"/>
  <c r="E4599" i="116"/>
  <c r="D4599" i="116"/>
  <c r="C4599" i="116"/>
  <c r="B4599" i="116"/>
  <c r="K4598" i="116"/>
  <c r="J4598" i="116"/>
  <c r="I4598" i="116"/>
  <c r="H4598" i="116"/>
  <c r="G4598" i="116"/>
  <c r="F4598" i="116"/>
  <c r="E4598" i="116"/>
  <c r="D4598" i="116"/>
  <c r="C4598" i="116"/>
  <c r="B4598" i="116"/>
  <c r="K4597" i="116"/>
  <c r="J4597" i="116"/>
  <c r="I4597" i="116"/>
  <c r="H4597" i="116"/>
  <c r="G4597" i="116"/>
  <c r="F4597" i="116"/>
  <c r="E4597" i="116"/>
  <c r="D4597" i="116"/>
  <c r="C4597" i="116"/>
  <c r="B4597" i="116"/>
  <c r="K4596" i="116"/>
  <c r="J4596" i="116"/>
  <c r="I4596" i="116"/>
  <c r="H4596" i="116"/>
  <c r="G4596" i="116"/>
  <c r="F4596" i="116"/>
  <c r="E4596" i="116"/>
  <c r="D4596" i="116"/>
  <c r="C4596" i="116"/>
  <c r="B4596" i="116"/>
  <c r="K4595" i="116"/>
  <c r="J4595" i="116"/>
  <c r="I4595" i="116"/>
  <c r="H4595" i="116"/>
  <c r="G4595" i="116"/>
  <c r="F4595" i="116"/>
  <c r="E4595" i="116"/>
  <c r="D4595" i="116"/>
  <c r="C4595" i="116"/>
  <c r="B4595" i="116"/>
  <c r="K4594" i="116"/>
  <c r="J4594" i="116"/>
  <c r="I4594" i="116"/>
  <c r="H4594" i="116"/>
  <c r="G4594" i="116"/>
  <c r="F4594" i="116"/>
  <c r="E4594" i="116"/>
  <c r="D4594" i="116"/>
  <c r="C4594" i="116"/>
  <c r="B4594" i="116"/>
  <c r="K4593" i="116"/>
  <c r="J4593" i="116"/>
  <c r="I4593" i="116"/>
  <c r="H4593" i="116"/>
  <c r="G4593" i="116"/>
  <c r="F4593" i="116"/>
  <c r="E4593" i="116"/>
  <c r="D4593" i="116"/>
  <c r="C4593" i="116"/>
  <c r="B4593" i="116"/>
  <c r="K4592" i="116"/>
  <c r="J4592" i="116"/>
  <c r="I4592" i="116"/>
  <c r="H4592" i="116"/>
  <c r="G4592" i="116"/>
  <c r="F4592" i="116"/>
  <c r="E4592" i="116"/>
  <c r="D4592" i="116"/>
  <c r="C4592" i="116"/>
  <c r="B4592" i="116"/>
  <c r="K4591" i="116"/>
  <c r="J4591" i="116"/>
  <c r="I4591" i="116"/>
  <c r="H4591" i="116"/>
  <c r="G4591" i="116"/>
  <c r="F4591" i="116"/>
  <c r="E4591" i="116"/>
  <c r="D4591" i="116"/>
  <c r="C4591" i="116"/>
  <c r="B4591" i="116"/>
  <c r="K4590" i="116"/>
  <c r="J4590" i="116"/>
  <c r="I4590" i="116"/>
  <c r="H4590" i="116"/>
  <c r="G4590" i="116"/>
  <c r="F4590" i="116"/>
  <c r="E4590" i="116"/>
  <c r="D4590" i="116"/>
  <c r="C4590" i="116"/>
  <c r="B4590" i="116"/>
  <c r="K4589" i="116"/>
  <c r="J4589" i="116"/>
  <c r="I4589" i="116"/>
  <c r="H4589" i="116"/>
  <c r="G4589" i="116"/>
  <c r="F4589" i="116"/>
  <c r="E4589" i="116"/>
  <c r="D4589" i="116"/>
  <c r="C4589" i="116"/>
  <c r="B4589" i="116"/>
  <c r="K4588" i="116"/>
  <c r="J4588" i="116"/>
  <c r="I4588" i="116"/>
  <c r="H4588" i="116"/>
  <c r="G4588" i="116"/>
  <c r="F4588" i="116"/>
  <c r="E4588" i="116"/>
  <c r="D4588" i="116"/>
  <c r="C4588" i="116"/>
  <c r="B4588" i="116"/>
  <c r="K4587" i="116"/>
  <c r="J4587" i="116"/>
  <c r="I4587" i="116"/>
  <c r="H4587" i="116"/>
  <c r="G4587" i="116"/>
  <c r="F4587" i="116"/>
  <c r="E4587" i="116"/>
  <c r="D4587" i="116"/>
  <c r="C4587" i="116"/>
  <c r="B4587" i="116"/>
  <c r="K4586" i="116"/>
  <c r="J4586" i="116"/>
  <c r="I4586" i="116"/>
  <c r="H4586" i="116"/>
  <c r="G4586" i="116"/>
  <c r="F4586" i="116"/>
  <c r="E4586" i="116"/>
  <c r="D4586" i="116"/>
  <c r="C4586" i="116"/>
  <c r="B4586" i="116"/>
  <c r="K4585" i="116"/>
  <c r="J4585" i="116"/>
  <c r="I4585" i="116"/>
  <c r="H4585" i="116"/>
  <c r="G4585" i="116"/>
  <c r="F4585" i="116"/>
  <c r="E4585" i="116"/>
  <c r="D4585" i="116"/>
  <c r="C4585" i="116"/>
  <c r="B4585" i="116"/>
  <c r="K4584" i="116"/>
  <c r="J4584" i="116"/>
  <c r="I4584" i="116"/>
  <c r="H4584" i="116"/>
  <c r="G4584" i="116"/>
  <c r="F4584" i="116"/>
  <c r="E4584" i="116"/>
  <c r="D4584" i="116"/>
  <c r="C4584" i="116"/>
  <c r="B4584" i="116"/>
  <c r="K4583" i="116"/>
  <c r="J4583" i="116"/>
  <c r="I4583" i="116"/>
  <c r="H4583" i="116"/>
  <c r="G4583" i="116"/>
  <c r="F4583" i="116"/>
  <c r="E4583" i="116"/>
  <c r="D4583" i="116"/>
  <c r="C4583" i="116"/>
  <c r="B4583" i="116"/>
  <c r="K4582" i="116"/>
  <c r="J4582" i="116"/>
  <c r="I4582" i="116"/>
  <c r="H4582" i="116"/>
  <c r="G4582" i="116"/>
  <c r="F4582" i="116"/>
  <c r="E4582" i="116"/>
  <c r="D4582" i="116"/>
  <c r="C4582" i="116"/>
  <c r="B4582" i="116"/>
  <c r="K4581" i="116"/>
  <c r="J4581" i="116"/>
  <c r="I4581" i="116"/>
  <c r="H4581" i="116"/>
  <c r="G4581" i="116"/>
  <c r="F4581" i="116"/>
  <c r="E4581" i="116"/>
  <c r="D4581" i="116"/>
  <c r="C4581" i="116"/>
  <c r="B4581" i="116"/>
  <c r="K4580" i="116"/>
  <c r="J4580" i="116"/>
  <c r="I4580" i="116"/>
  <c r="H4580" i="116"/>
  <c r="G4580" i="116"/>
  <c r="F4580" i="116"/>
  <c r="E4580" i="116"/>
  <c r="D4580" i="116"/>
  <c r="C4580" i="116"/>
  <c r="B4580" i="116"/>
  <c r="K4579" i="116"/>
  <c r="J4579" i="116"/>
  <c r="I4579" i="116"/>
  <c r="H4579" i="116"/>
  <c r="G4579" i="116"/>
  <c r="F4579" i="116"/>
  <c r="E4579" i="116"/>
  <c r="D4579" i="116"/>
  <c r="C4579" i="116"/>
  <c r="B4579" i="116"/>
  <c r="K4578" i="116"/>
  <c r="J4578" i="116"/>
  <c r="I4578" i="116"/>
  <c r="H4578" i="116"/>
  <c r="G4578" i="116"/>
  <c r="F4578" i="116"/>
  <c r="E4578" i="116"/>
  <c r="D4578" i="116"/>
  <c r="C4578" i="116"/>
  <c r="B4578" i="116"/>
  <c r="K4577" i="116"/>
  <c r="J4577" i="116"/>
  <c r="I4577" i="116"/>
  <c r="H4577" i="116"/>
  <c r="G4577" i="116"/>
  <c r="F4577" i="116"/>
  <c r="E4577" i="116"/>
  <c r="D4577" i="116"/>
  <c r="C4577" i="116"/>
  <c r="B4577" i="116"/>
  <c r="K4576" i="116"/>
  <c r="J4576" i="116"/>
  <c r="I4576" i="116"/>
  <c r="H4576" i="116"/>
  <c r="G4576" i="116"/>
  <c r="F4576" i="116"/>
  <c r="E4576" i="116"/>
  <c r="D4576" i="116"/>
  <c r="C4576" i="116"/>
  <c r="B4576" i="116"/>
  <c r="K4575" i="116"/>
  <c r="J4575" i="116"/>
  <c r="I4575" i="116"/>
  <c r="H4575" i="116"/>
  <c r="G4575" i="116"/>
  <c r="F4575" i="116"/>
  <c r="E4575" i="116"/>
  <c r="D4575" i="116"/>
  <c r="C4575" i="116"/>
  <c r="B4575" i="116"/>
  <c r="K4574" i="116"/>
  <c r="J4574" i="116"/>
  <c r="I4574" i="116"/>
  <c r="H4574" i="116"/>
  <c r="G4574" i="116"/>
  <c r="F4574" i="116"/>
  <c r="E4574" i="116"/>
  <c r="D4574" i="116"/>
  <c r="C4574" i="116"/>
  <c r="B4574" i="116"/>
  <c r="K4573" i="116"/>
  <c r="J4573" i="116"/>
  <c r="I4573" i="116"/>
  <c r="H4573" i="116"/>
  <c r="G4573" i="116"/>
  <c r="F4573" i="116"/>
  <c r="E4573" i="116"/>
  <c r="D4573" i="116"/>
  <c r="C4573" i="116"/>
  <c r="B4573" i="116"/>
  <c r="K4572" i="116"/>
  <c r="J4572" i="116"/>
  <c r="I4572" i="116"/>
  <c r="H4572" i="116"/>
  <c r="G4572" i="116"/>
  <c r="F4572" i="116"/>
  <c r="E4572" i="116"/>
  <c r="D4572" i="116"/>
  <c r="C4572" i="116"/>
  <c r="B4572" i="116"/>
  <c r="K4571" i="116"/>
  <c r="J4571" i="116"/>
  <c r="I4571" i="116"/>
  <c r="H4571" i="116"/>
  <c r="G4571" i="116"/>
  <c r="F4571" i="116"/>
  <c r="E4571" i="116"/>
  <c r="D4571" i="116"/>
  <c r="C4571" i="116"/>
  <c r="B4571" i="116"/>
  <c r="K4570" i="116"/>
  <c r="J4570" i="116"/>
  <c r="I4570" i="116"/>
  <c r="H4570" i="116"/>
  <c r="G4570" i="116"/>
  <c r="F4570" i="116"/>
  <c r="E4570" i="116"/>
  <c r="D4570" i="116"/>
  <c r="C4570" i="116"/>
  <c r="B4570" i="116"/>
  <c r="K4569" i="116"/>
  <c r="J4569" i="116"/>
  <c r="I4569" i="116"/>
  <c r="H4569" i="116"/>
  <c r="G4569" i="116"/>
  <c r="F4569" i="116"/>
  <c r="E4569" i="116"/>
  <c r="D4569" i="116"/>
  <c r="C4569" i="116"/>
  <c r="B4569" i="116"/>
  <c r="K4568" i="116"/>
  <c r="J4568" i="116"/>
  <c r="I4568" i="116"/>
  <c r="H4568" i="116"/>
  <c r="G4568" i="116"/>
  <c r="F4568" i="116"/>
  <c r="E4568" i="116"/>
  <c r="D4568" i="116"/>
  <c r="C4568" i="116"/>
  <c r="B4568" i="116"/>
  <c r="K4567" i="116"/>
  <c r="J4567" i="116"/>
  <c r="I4567" i="116"/>
  <c r="H4567" i="116"/>
  <c r="G4567" i="116"/>
  <c r="F4567" i="116"/>
  <c r="E4567" i="116"/>
  <c r="D4567" i="116"/>
  <c r="C4567" i="116"/>
  <c r="B4567" i="116"/>
  <c r="K4566" i="116"/>
  <c r="J4566" i="116"/>
  <c r="I4566" i="116"/>
  <c r="H4566" i="116"/>
  <c r="G4566" i="116"/>
  <c r="F4566" i="116"/>
  <c r="E4566" i="116"/>
  <c r="D4566" i="116"/>
  <c r="C4566" i="116"/>
  <c r="B4566" i="116"/>
  <c r="K4565" i="116"/>
  <c r="J4565" i="116"/>
  <c r="I4565" i="116"/>
  <c r="H4565" i="116"/>
  <c r="G4565" i="116"/>
  <c r="F4565" i="116"/>
  <c r="E4565" i="116"/>
  <c r="D4565" i="116"/>
  <c r="C4565" i="116"/>
  <c r="B4565" i="116"/>
  <c r="K4564" i="116"/>
  <c r="J4564" i="116"/>
  <c r="I4564" i="116"/>
  <c r="H4564" i="116"/>
  <c r="G4564" i="116"/>
  <c r="F4564" i="116"/>
  <c r="E4564" i="116"/>
  <c r="D4564" i="116"/>
  <c r="C4564" i="116"/>
  <c r="B4564" i="116"/>
  <c r="K4563" i="116"/>
  <c r="J4563" i="116"/>
  <c r="I4563" i="116"/>
  <c r="H4563" i="116"/>
  <c r="G4563" i="116"/>
  <c r="F4563" i="116"/>
  <c r="E4563" i="116"/>
  <c r="D4563" i="116"/>
  <c r="C4563" i="116"/>
  <c r="B4563" i="116"/>
  <c r="K4562" i="116"/>
  <c r="J4562" i="116"/>
  <c r="I4562" i="116"/>
  <c r="H4562" i="116"/>
  <c r="G4562" i="116"/>
  <c r="F4562" i="116"/>
  <c r="E4562" i="116"/>
  <c r="D4562" i="116"/>
  <c r="C4562" i="116"/>
  <c r="B4562" i="116"/>
  <c r="K4561" i="116"/>
  <c r="J4561" i="116"/>
  <c r="I4561" i="116"/>
  <c r="H4561" i="116"/>
  <c r="G4561" i="116"/>
  <c r="F4561" i="116"/>
  <c r="E4561" i="116"/>
  <c r="D4561" i="116"/>
  <c r="C4561" i="116"/>
  <c r="B4561" i="116"/>
  <c r="K4560" i="116"/>
  <c r="J4560" i="116"/>
  <c r="I4560" i="116"/>
  <c r="H4560" i="116"/>
  <c r="G4560" i="116"/>
  <c r="F4560" i="116"/>
  <c r="E4560" i="116"/>
  <c r="D4560" i="116"/>
  <c r="C4560" i="116"/>
  <c r="B4560" i="116"/>
  <c r="K4559" i="116"/>
  <c r="J4559" i="116"/>
  <c r="I4559" i="116"/>
  <c r="H4559" i="116"/>
  <c r="G4559" i="116"/>
  <c r="F4559" i="116"/>
  <c r="E4559" i="116"/>
  <c r="D4559" i="116"/>
  <c r="C4559" i="116"/>
  <c r="B4559" i="116"/>
  <c r="K4558" i="116"/>
  <c r="J4558" i="116"/>
  <c r="I4558" i="116"/>
  <c r="H4558" i="116"/>
  <c r="G4558" i="116"/>
  <c r="F4558" i="116"/>
  <c r="E4558" i="116"/>
  <c r="D4558" i="116"/>
  <c r="C4558" i="116"/>
  <c r="B4558" i="116"/>
  <c r="K4557" i="116"/>
  <c r="J4557" i="116"/>
  <c r="I4557" i="116"/>
  <c r="H4557" i="116"/>
  <c r="G4557" i="116"/>
  <c r="F4557" i="116"/>
  <c r="E4557" i="116"/>
  <c r="D4557" i="116"/>
  <c r="C4557" i="116"/>
  <c r="B4557" i="116"/>
  <c r="K4556" i="116"/>
  <c r="J4556" i="116"/>
  <c r="I4556" i="116"/>
  <c r="H4556" i="116"/>
  <c r="G4556" i="116"/>
  <c r="F4556" i="116"/>
  <c r="E4556" i="116"/>
  <c r="D4556" i="116"/>
  <c r="C4556" i="116"/>
  <c r="B4556" i="116"/>
  <c r="K4555" i="116"/>
  <c r="J4555" i="116"/>
  <c r="I4555" i="116"/>
  <c r="H4555" i="116"/>
  <c r="G4555" i="116"/>
  <c r="F4555" i="116"/>
  <c r="E4555" i="116"/>
  <c r="D4555" i="116"/>
  <c r="C4555" i="116"/>
  <c r="B4555" i="116"/>
  <c r="K4554" i="116"/>
  <c r="J4554" i="116"/>
  <c r="I4554" i="116"/>
  <c r="H4554" i="116"/>
  <c r="G4554" i="116"/>
  <c r="F4554" i="116"/>
  <c r="E4554" i="116"/>
  <c r="D4554" i="116"/>
  <c r="C4554" i="116"/>
  <c r="B4554" i="116"/>
  <c r="K4553" i="116"/>
  <c r="J4553" i="116"/>
  <c r="I4553" i="116"/>
  <c r="H4553" i="116"/>
  <c r="G4553" i="116"/>
  <c r="F4553" i="116"/>
  <c r="E4553" i="116"/>
  <c r="D4553" i="116"/>
  <c r="C4553" i="116"/>
  <c r="B4553" i="116"/>
  <c r="K4552" i="116"/>
  <c r="J4552" i="116"/>
  <c r="I4552" i="116"/>
  <c r="H4552" i="116"/>
  <c r="G4552" i="116"/>
  <c r="F4552" i="116"/>
  <c r="E4552" i="116"/>
  <c r="D4552" i="116"/>
  <c r="C4552" i="116"/>
  <c r="B4552" i="116"/>
  <c r="K4551" i="116"/>
  <c r="J4551" i="116"/>
  <c r="I4551" i="116"/>
  <c r="H4551" i="116"/>
  <c r="G4551" i="116"/>
  <c r="F4551" i="116"/>
  <c r="E4551" i="116"/>
  <c r="D4551" i="116"/>
  <c r="C4551" i="116"/>
  <c r="B4551" i="116"/>
  <c r="K4550" i="116"/>
  <c r="J4550" i="116"/>
  <c r="I4550" i="116"/>
  <c r="H4550" i="116"/>
  <c r="G4550" i="116"/>
  <c r="F4550" i="116"/>
  <c r="E4550" i="116"/>
  <c r="D4550" i="116"/>
  <c r="C4550" i="116"/>
  <c r="B4550" i="116"/>
  <c r="K4549" i="116"/>
  <c r="J4549" i="116"/>
  <c r="I4549" i="116"/>
  <c r="H4549" i="116"/>
  <c r="G4549" i="116"/>
  <c r="F4549" i="116"/>
  <c r="E4549" i="116"/>
  <c r="D4549" i="116"/>
  <c r="C4549" i="116"/>
  <c r="B4549" i="116"/>
  <c r="K4548" i="116"/>
  <c r="J4548" i="116"/>
  <c r="I4548" i="116"/>
  <c r="H4548" i="116"/>
  <c r="G4548" i="116"/>
  <c r="F4548" i="116"/>
  <c r="E4548" i="116"/>
  <c r="D4548" i="116"/>
  <c r="C4548" i="116"/>
  <c r="B4548" i="116"/>
  <c r="K4547" i="116"/>
  <c r="J4547" i="116"/>
  <c r="I4547" i="116"/>
  <c r="H4547" i="116"/>
  <c r="G4547" i="116"/>
  <c r="F4547" i="116"/>
  <c r="E4547" i="116"/>
  <c r="D4547" i="116"/>
  <c r="C4547" i="116"/>
  <c r="B4547" i="116"/>
  <c r="K4546" i="116"/>
  <c r="J4546" i="116"/>
  <c r="I4546" i="116"/>
  <c r="H4546" i="116"/>
  <c r="G4546" i="116"/>
  <c r="F4546" i="116"/>
  <c r="E4546" i="116"/>
  <c r="D4546" i="116"/>
  <c r="C4546" i="116"/>
  <c r="B4546" i="116"/>
  <c r="K4545" i="116"/>
  <c r="J4545" i="116"/>
  <c r="I4545" i="116"/>
  <c r="H4545" i="116"/>
  <c r="G4545" i="116"/>
  <c r="F4545" i="116"/>
  <c r="E4545" i="116"/>
  <c r="D4545" i="116"/>
  <c r="C4545" i="116"/>
  <c r="B4545" i="116"/>
  <c r="K4544" i="116"/>
  <c r="J4544" i="116"/>
  <c r="I4544" i="116"/>
  <c r="H4544" i="116"/>
  <c r="G4544" i="116"/>
  <c r="F4544" i="116"/>
  <c r="E4544" i="116"/>
  <c r="D4544" i="116"/>
  <c r="C4544" i="116"/>
  <c r="B4544" i="116"/>
  <c r="K4543" i="116"/>
  <c r="J4543" i="116"/>
  <c r="I4543" i="116"/>
  <c r="H4543" i="116"/>
  <c r="G4543" i="116"/>
  <c r="F4543" i="116"/>
  <c r="E4543" i="116"/>
  <c r="D4543" i="116"/>
  <c r="C4543" i="116"/>
  <c r="B4543" i="116"/>
  <c r="K4542" i="116"/>
  <c r="J4542" i="116"/>
  <c r="I4542" i="116"/>
  <c r="H4542" i="116"/>
  <c r="G4542" i="116"/>
  <c r="F4542" i="116"/>
  <c r="E4542" i="116"/>
  <c r="D4542" i="116"/>
  <c r="C4542" i="116"/>
  <c r="B4542" i="116"/>
  <c r="K4541" i="116"/>
  <c r="J4541" i="116"/>
  <c r="I4541" i="116"/>
  <c r="H4541" i="116"/>
  <c r="G4541" i="116"/>
  <c r="F4541" i="116"/>
  <c r="E4541" i="116"/>
  <c r="D4541" i="116"/>
  <c r="C4541" i="116"/>
  <c r="B4541" i="116"/>
  <c r="K4540" i="116"/>
  <c r="J4540" i="116"/>
  <c r="I4540" i="116"/>
  <c r="H4540" i="116"/>
  <c r="G4540" i="116"/>
  <c r="F4540" i="116"/>
  <c r="E4540" i="116"/>
  <c r="D4540" i="116"/>
  <c r="C4540" i="116"/>
  <c r="B4540" i="116"/>
  <c r="K4539" i="116"/>
  <c r="J4539" i="116"/>
  <c r="I4539" i="116"/>
  <c r="H4539" i="116"/>
  <c r="G4539" i="116"/>
  <c r="F4539" i="116"/>
  <c r="E4539" i="116"/>
  <c r="D4539" i="116"/>
  <c r="C4539" i="116"/>
  <c r="B4539" i="116"/>
  <c r="K4538" i="116"/>
  <c r="J4538" i="116"/>
  <c r="I4538" i="116"/>
  <c r="H4538" i="116"/>
  <c r="G4538" i="116"/>
  <c r="F4538" i="116"/>
  <c r="E4538" i="116"/>
  <c r="D4538" i="116"/>
  <c r="C4538" i="116"/>
  <c r="B4538" i="116"/>
  <c r="K4537" i="116"/>
  <c r="J4537" i="116"/>
  <c r="I4537" i="116"/>
  <c r="H4537" i="116"/>
  <c r="G4537" i="116"/>
  <c r="F4537" i="116"/>
  <c r="E4537" i="116"/>
  <c r="D4537" i="116"/>
  <c r="C4537" i="116"/>
  <c r="B4537" i="116"/>
  <c r="K4536" i="116"/>
  <c r="J4536" i="116"/>
  <c r="I4536" i="116"/>
  <c r="H4536" i="116"/>
  <c r="G4536" i="116"/>
  <c r="F4536" i="116"/>
  <c r="E4536" i="116"/>
  <c r="D4536" i="116"/>
  <c r="C4536" i="116"/>
  <c r="B4536" i="116"/>
  <c r="K4535" i="116"/>
  <c r="J4535" i="116"/>
  <c r="I4535" i="116"/>
  <c r="H4535" i="116"/>
  <c r="G4535" i="116"/>
  <c r="F4535" i="116"/>
  <c r="E4535" i="116"/>
  <c r="D4535" i="116"/>
  <c r="C4535" i="116"/>
  <c r="B4535" i="116"/>
  <c r="K4534" i="116"/>
  <c r="J4534" i="116"/>
  <c r="I4534" i="116"/>
  <c r="H4534" i="116"/>
  <c r="G4534" i="116"/>
  <c r="F4534" i="116"/>
  <c r="E4534" i="116"/>
  <c r="D4534" i="116"/>
  <c r="C4534" i="116"/>
  <c r="B4534" i="116"/>
  <c r="K4533" i="116"/>
  <c r="J4533" i="116"/>
  <c r="I4533" i="116"/>
  <c r="H4533" i="116"/>
  <c r="G4533" i="116"/>
  <c r="F4533" i="116"/>
  <c r="E4533" i="116"/>
  <c r="D4533" i="116"/>
  <c r="C4533" i="116"/>
  <c r="B4533" i="116"/>
  <c r="K4532" i="116"/>
  <c r="J4532" i="116"/>
  <c r="I4532" i="116"/>
  <c r="H4532" i="116"/>
  <c r="G4532" i="116"/>
  <c r="F4532" i="116"/>
  <c r="E4532" i="116"/>
  <c r="D4532" i="116"/>
  <c r="C4532" i="116"/>
  <c r="B4532" i="116"/>
  <c r="K4531" i="116"/>
  <c r="J4531" i="116"/>
  <c r="I4531" i="116"/>
  <c r="H4531" i="116"/>
  <c r="G4531" i="116"/>
  <c r="F4531" i="116"/>
  <c r="E4531" i="116"/>
  <c r="D4531" i="116"/>
  <c r="C4531" i="116"/>
  <c r="B4531" i="116"/>
  <c r="K4530" i="116"/>
  <c r="J4530" i="116"/>
  <c r="I4530" i="116"/>
  <c r="H4530" i="116"/>
  <c r="G4530" i="116"/>
  <c r="F4530" i="116"/>
  <c r="E4530" i="116"/>
  <c r="D4530" i="116"/>
  <c r="C4530" i="116"/>
  <c r="B4530" i="116"/>
  <c r="K4529" i="116"/>
  <c r="J4529" i="116"/>
  <c r="I4529" i="116"/>
  <c r="H4529" i="116"/>
  <c r="G4529" i="116"/>
  <c r="F4529" i="116"/>
  <c r="E4529" i="116"/>
  <c r="D4529" i="116"/>
  <c r="C4529" i="116"/>
  <c r="B4529" i="116"/>
  <c r="K4528" i="116"/>
  <c r="J4528" i="116"/>
  <c r="I4528" i="116"/>
  <c r="H4528" i="116"/>
  <c r="G4528" i="116"/>
  <c r="F4528" i="116"/>
  <c r="E4528" i="116"/>
  <c r="D4528" i="116"/>
  <c r="C4528" i="116"/>
  <c r="B4528" i="116"/>
  <c r="K4527" i="116"/>
  <c r="J4527" i="116"/>
  <c r="I4527" i="116"/>
  <c r="H4527" i="116"/>
  <c r="G4527" i="116"/>
  <c r="F4527" i="116"/>
  <c r="E4527" i="116"/>
  <c r="D4527" i="116"/>
  <c r="C4527" i="116"/>
  <c r="B4527" i="116"/>
  <c r="K4526" i="116"/>
  <c r="J4526" i="116"/>
  <c r="I4526" i="116"/>
  <c r="H4526" i="116"/>
  <c r="G4526" i="116"/>
  <c r="F4526" i="116"/>
  <c r="E4526" i="116"/>
  <c r="D4526" i="116"/>
  <c r="C4526" i="116"/>
  <c r="B4526" i="116"/>
  <c r="K4525" i="116"/>
  <c r="J4525" i="116"/>
  <c r="I4525" i="116"/>
  <c r="H4525" i="116"/>
  <c r="G4525" i="116"/>
  <c r="F4525" i="116"/>
  <c r="E4525" i="116"/>
  <c r="D4525" i="116"/>
  <c r="C4525" i="116"/>
  <c r="B4525" i="116"/>
  <c r="K4524" i="116"/>
  <c r="J4524" i="116"/>
  <c r="I4524" i="116"/>
  <c r="H4524" i="116"/>
  <c r="G4524" i="116"/>
  <c r="F4524" i="116"/>
  <c r="E4524" i="116"/>
  <c r="D4524" i="116"/>
  <c r="C4524" i="116"/>
  <c r="B4524" i="116"/>
  <c r="K4523" i="116"/>
  <c r="J4523" i="116"/>
  <c r="I4523" i="116"/>
  <c r="H4523" i="116"/>
  <c r="G4523" i="116"/>
  <c r="F4523" i="116"/>
  <c r="E4523" i="116"/>
  <c r="D4523" i="116"/>
  <c r="C4523" i="116"/>
  <c r="B4523" i="116"/>
  <c r="K4522" i="116"/>
  <c r="J4522" i="116"/>
  <c r="I4522" i="116"/>
  <c r="H4522" i="116"/>
  <c r="G4522" i="116"/>
  <c r="F4522" i="116"/>
  <c r="E4522" i="116"/>
  <c r="D4522" i="116"/>
  <c r="C4522" i="116"/>
  <c r="B4522" i="116"/>
  <c r="K4521" i="116"/>
  <c r="J4521" i="116"/>
  <c r="I4521" i="116"/>
  <c r="H4521" i="116"/>
  <c r="G4521" i="116"/>
  <c r="F4521" i="116"/>
  <c r="E4521" i="116"/>
  <c r="D4521" i="116"/>
  <c r="C4521" i="116"/>
  <c r="B4521" i="116"/>
  <c r="K4520" i="116"/>
  <c r="J4520" i="116"/>
  <c r="I4520" i="116"/>
  <c r="H4520" i="116"/>
  <c r="G4520" i="116"/>
  <c r="F4520" i="116"/>
  <c r="E4520" i="116"/>
  <c r="D4520" i="116"/>
  <c r="C4520" i="116"/>
  <c r="B4520" i="116"/>
  <c r="K4519" i="116"/>
  <c r="J4519" i="116"/>
  <c r="I4519" i="116"/>
  <c r="H4519" i="116"/>
  <c r="G4519" i="116"/>
  <c r="F4519" i="116"/>
  <c r="E4519" i="116"/>
  <c r="D4519" i="116"/>
  <c r="C4519" i="116"/>
  <c r="B4519" i="116"/>
  <c r="K4518" i="116"/>
  <c r="J4518" i="116"/>
  <c r="I4518" i="116"/>
  <c r="H4518" i="116"/>
  <c r="G4518" i="116"/>
  <c r="F4518" i="116"/>
  <c r="E4518" i="116"/>
  <c r="D4518" i="116"/>
  <c r="C4518" i="116"/>
  <c r="B4518" i="116"/>
  <c r="K4517" i="116"/>
  <c r="J4517" i="116"/>
  <c r="I4517" i="116"/>
  <c r="H4517" i="116"/>
  <c r="G4517" i="116"/>
  <c r="F4517" i="116"/>
  <c r="E4517" i="116"/>
  <c r="D4517" i="116"/>
  <c r="C4517" i="116"/>
  <c r="B4517" i="116"/>
  <c r="K4516" i="116"/>
  <c r="J4516" i="116"/>
  <c r="I4516" i="116"/>
  <c r="H4516" i="116"/>
  <c r="G4516" i="116"/>
  <c r="F4516" i="116"/>
  <c r="E4516" i="116"/>
  <c r="D4516" i="116"/>
  <c r="C4516" i="116"/>
  <c r="B4516" i="116"/>
  <c r="K4515" i="116"/>
  <c r="J4515" i="116"/>
  <c r="I4515" i="116"/>
  <c r="H4515" i="116"/>
  <c r="G4515" i="116"/>
  <c r="F4515" i="116"/>
  <c r="E4515" i="116"/>
  <c r="D4515" i="116"/>
  <c r="C4515" i="116"/>
  <c r="B4515" i="116"/>
  <c r="K4514" i="116"/>
  <c r="J4514" i="116"/>
  <c r="I4514" i="116"/>
  <c r="H4514" i="116"/>
  <c r="G4514" i="116"/>
  <c r="F4514" i="116"/>
  <c r="E4514" i="116"/>
  <c r="D4514" i="116"/>
  <c r="C4514" i="116"/>
  <c r="B4514" i="116"/>
  <c r="K4513" i="116"/>
  <c r="J4513" i="116"/>
  <c r="I4513" i="116"/>
  <c r="H4513" i="116"/>
  <c r="G4513" i="116"/>
  <c r="F4513" i="116"/>
  <c r="E4513" i="116"/>
  <c r="D4513" i="116"/>
  <c r="C4513" i="116"/>
  <c r="B4513" i="116"/>
  <c r="K4512" i="116"/>
  <c r="J4512" i="116"/>
  <c r="I4512" i="116"/>
  <c r="H4512" i="116"/>
  <c r="G4512" i="116"/>
  <c r="F4512" i="116"/>
  <c r="E4512" i="116"/>
  <c r="D4512" i="116"/>
  <c r="C4512" i="116"/>
  <c r="B4512" i="116"/>
  <c r="K4511" i="116"/>
  <c r="J4511" i="116"/>
  <c r="I4511" i="116"/>
  <c r="H4511" i="116"/>
  <c r="G4511" i="116"/>
  <c r="F4511" i="116"/>
  <c r="E4511" i="116"/>
  <c r="D4511" i="116"/>
  <c r="C4511" i="116"/>
  <c r="B4511" i="116"/>
  <c r="K4510" i="116"/>
  <c r="J4510" i="116"/>
  <c r="I4510" i="116"/>
  <c r="H4510" i="116"/>
  <c r="G4510" i="116"/>
  <c r="F4510" i="116"/>
  <c r="E4510" i="116"/>
  <c r="D4510" i="116"/>
  <c r="C4510" i="116"/>
  <c r="B4510" i="116"/>
  <c r="K4509" i="116"/>
  <c r="J4509" i="116"/>
  <c r="I4509" i="116"/>
  <c r="H4509" i="116"/>
  <c r="G4509" i="116"/>
  <c r="F4509" i="116"/>
  <c r="E4509" i="116"/>
  <c r="D4509" i="116"/>
  <c r="C4509" i="116"/>
  <c r="B4509" i="116"/>
  <c r="K4508" i="116"/>
  <c r="J4508" i="116"/>
  <c r="I4508" i="116"/>
  <c r="H4508" i="116"/>
  <c r="G4508" i="116"/>
  <c r="F4508" i="116"/>
  <c r="E4508" i="116"/>
  <c r="D4508" i="116"/>
  <c r="C4508" i="116"/>
  <c r="B4508" i="116"/>
  <c r="K4507" i="116"/>
  <c r="J4507" i="116"/>
  <c r="I4507" i="116"/>
  <c r="H4507" i="116"/>
  <c r="G4507" i="116"/>
  <c r="F4507" i="116"/>
  <c r="E4507" i="116"/>
  <c r="D4507" i="116"/>
  <c r="C4507" i="116"/>
  <c r="B4507" i="116"/>
  <c r="K4506" i="116"/>
  <c r="J4506" i="116"/>
  <c r="I4506" i="116"/>
  <c r="H4506" i="116"/>
  <c r="G4506" i="116"/>
  <c r="F4506" i="116"/>
  <c r="E4506" i="116"/>
  <c r="D4506" i="116"/>
  <c r="C4506" i="116"/>
  <c r="B4506" i="116"/>
  <c r="K4505" i="116"/>
  <c r="J4505" i="116"/>
  <c r="I4505" i="116"/>
  <c r="H4505" i="116"/>
  <c r="G4505" i="116"/>
  <c r="F4505" i="116"/>
  <c r="E4505" i="116"/>
  <c r="D4505" i="116"/>
  <c r="C4505" i="116"/>
  <c r="B4505" i="116"/>
  <c r="K4504" i="116"/>
  <c r="J4504" i="116"/>
  <c r="I4504" i="116"/>
  <c r="H4504" i="116"/>
  <c r="G4504" i="116"/>
  <c r="F4504" i="116"/>
  <c r="E4504" i="116"/>
  <c r="D4504" i="116"/>
  <c r="C4504" i="116"/>
  <c r="B4504" i="116"/>
  <c r="K4503" i="116"/>
  <c r="J4503" i="116"/>
  <c r="I4503" i="116"/>
  <c r="H4503" i="116"/>
  <c r="G4503" i="116"/>
  <c r="F4503" i="116"/>
  <c r="E4503" i="116"/>
  <c r="D4503" i="116"/>
  <c r="C4503" i="116"/>
  <c r="B4503" i="116"/>
  <c r="K4502" i="116"/>
  <c r="J4502" i="116"/>
  <c r="I4502" i="116"/>
  <c r="H4502" i="116"/>
  <c r="G4502" i="116"/>
  <c r="F4502" i="116"/>
  <c r="E4502" i="116"/>
  <c r="D4502" i="116"/>
  <c r="C4502" i="116"/>
  <c r="B4502" i="116"/>
  <c r="K4501" i="116"/>
  <c r="J4501" i="116"/>
  <c r="I4501" i="116"/>
  <c r="H4501" i="116"/>
  <c r="G4501" i="116"/>
  <c r="F4501" i="116"/>
  <c r="E4501" i="116"/>
  <c r="D4501" i="116"/>
  <c r="C4501" i="116"/>
  <c r="B4501" i="116"/>
  <c r="K4500" i="116"/>
  <c r="J4500" i="116"/>
  <c r="I4500" i="116"/>
  <c r="H4500" i="116"/>
  <c r="G4500" i="116"/>
  <c r="F4500" i="116"/>
  <c r="E4500" i="116"/>
  <c r="D4500" i="116"/>
  <c r="C4500" i="116"/>
  <c r="B4500" i="116"/>
  <c r="K4499" i="116"/>
  <c r="J4499" i="116"/>
  <c r="I4499" i="116"/>
  <c r="H4499" i="116"/>
  <c r="G4499" i="116"/>
  <c r="F4499" i="116"/>
  <c r="E4499" i="116"/>
  <c r="D4499" i="116"/>
  <c r="C4499" i="116"/>
  <c r="B4499" i="116"/>
  <c r="K4498" i="116"/>
  <c r="J4498" i="116"/>
  <c r="I4498" i="116"/>
  <c r="H4498" i="116"/>
  <c r="G4498" i="116"/>
  <c r="F4498" i="116"/>
  <c r="E4498" i="116"/>
  <c r="D4498" i="116"/>
  <c r="C4498" i="116"/>
  <c r="B4498" i="116"/>
  <c r="K4497" i="116"/>
  <c r="J4497" i="116"/>
  <c r="I4497" i="116"/>
  <c r="H4497" i="116"/>
  <c r="G4497" i="116"/>
  <c r="F4497" i="116"/>
  <c r="E4497" i="116"/>
  <c r="D4497" i="116"/>
  <c r="C4497" i="116"/>
  <c r="B4497" i="116"/>
  <c r="K4496" i="116"/>
  <c r="J4496" i="116"/>
  <c r="I4496" i="116"/>
  <c r="H4496" i="116"/>
  <c r="G4496" i="116"/>
  <c r="F4496" i="116"/>
  <c r="E4496" i="116"/>
  <c r="D4496" i="116"/>
  <c r="C4496" i="116"/>
  <c r="B4496" i="116"/>
  <c r="K4495" i="116"/>
  <c r="J4495" i="116"/>
  <c r="I4495" i="116"/>
  <c r="H4495" i="116"/>
  <c r="G4495" i="116"/>
  <c r="F4495" i="116"/>
  <c r="E4495" i="116"/>
  <c r="D4495" i="116"/>
  <c r="C4495" i="116"/>
  <c r="B4495" i="116"/>
  <c r="K4494" i="116"/>
  <c r="J4494" i="116"/>
  <c r="I4494" i="116"/>
  <c r="H4494" i="116"/>
  <c r="G4494" i="116"/>
  <c r="F4494" i="116"/>
  <c r="E4494" i="116"/>
  <c r="D4494" i="116"/>
  <c r="C4494" i="116"/>
  <c r="B4494" i="116"/>
  <c r="K4493" i="116"/>
  <c r="J4493" i="116"/>
  <c r="I4493" i="116"/>
  <c r="H4493" i="116"/>
  <c r="G4493" i="116"/>
  <c r="F4493" i="116"/>
  <c r="E4493" i="116"/>
  <c r="D4493" i="116"/>
  <c r="C4493" i="116"/>
  <c r="B4493" i="116"/>
  <c r="K4492" i="116"/>
  <c r="J4492" i="116"/>
  <c r="I4492" i="116"/>
  <c r="H4492" i="116"/>
  <c r="G4492" i="116"/>
  <c r="F4492" i="116"/>
  <c r="E4492" i="116"/>
  <c r="D4492" i="116"/>
  <c r="C4492" i="116"/>
  <c r="B4492" i="116"/>
  <c r="K4491" i="116"/>
  <c r="J4491" i="116"/>
  <c r="I4491" i="116"/>
  <c r="H4491" i="116"/>
  <c r="G4491" i="116"/>
  <c r="F4491" i="116"/>
  <c r="E4491" i="116"/>
  <c r="D4491" i="116"/>
  <c r="C4491" i="116"/>
  <c r="B4491" i="116"/>
  <c r="K4490" i="116"/>
  <c r="J4490" i="116"/>
  <c r="I4490" i="116"/>
  <c r="H4490" i="116"/>
  <c r="G4490" i="116"/>
  <c r="F4490" i="116"/>
  <c r="E4490" i="116"/>
  <c r="D4490" i="116"/>
  <c r="C4490" i="116"/>
  <c r="B4490" i="116"/>
  <c r="K4489" i="116"/>
  <c r="J4489" i="116"/>
  <c r="I4489" i="116"/>
  <c r="H4489" i="116"/>
  <c r="G4489" i="116"/>
  <c r="F4489" i="116"/>
  <c r="E4489" i="116"/>
  <c r="D4489" i="116"/>
  <c r="C4489" i="116"/>
  <c r="B4489" i="116"/>
  <c r="K4488" i="116"/>
  <c r="J4488" i="116"/>
  <c r="I4488" i="116"/>
  <c r="H4488" i="116"/>
  <c r="G4488" i="116"/>
  <c r="F4488" i="116"/>
  <c r="E4488" i="116"/>
  <c r="D4488" i="116"/>
  <c r="C4488" i="116"/>
  <c r="B4488" i="116"/>
  <c r="K4487" i="116"/>
  <c r="J4487" i="116"/>
  <c r="I4487" i="116"/>
  <c r="H4487" i="116"/>
  <c r="G4487" i="116"/>
  <c r="F4487" i="116"/>
  <c r="E4487" i="116"/>
  <c r="D4487" i="116"/>
  <c r="C4487" i="116"/>
  <c r="B4487" i="116"/>
  <c r="K4486" i="116"/>
  <c r="J4486" i="116"/>
  <c r="I4486" i="116"/>
  <c r="H4486" i="116"/>
  <c r="G4486" i="116"/>
  <c r="F4486" i="116"/>
  <c r="E4486" i="116"/>
  <c r="D4486" i="116"/>
  <c r="C4486" i="116"/>
  <c r="B4486" i="116"/>
  <c r="K4485" i="116"/>
  <c r="J4485" i="116"/>
  <c r="I4485" i="116"/>
  <c r="H4485" i="116"/>
  <c r="G4485" i="116"/>
  <c r="F4485" i="116"/>
  <c r="E4485" i="116"/>
  <c r="D4485" i="116"/>
  <c r="C4485" i="116"/>
  <c r="B4485" i="116"/>
  <c r="K4484" i="116"/>
  <c r="J4484" i="116"/>
  <c r="I4484" i="116"/>
  <c r="H4484" i="116"/>
  <c r="G4484" i="116"/>
  <c r="F4484" i="116"/>
  <c r="E4484" i="116"/>
  <c r="D4484" i="116"/>
  <c r="C4484" i="116"/>
  <c r="B4484" i="116"/>
  <c r="K4483" i="116"/>
  <c r="J4483" i="116"/>
  <c r="I4483" i="116"/>
  <c r="H4483" i="116"/>
  <c r="G4483" i="116"/>
  <c r="F4483" i="116"/>
  <c r="E4483" i="116"/>
  <c r="D4483" i="116"/>
  <c r="C4483" i="116"/>
  <c r="B4483" i="116"/>
  <c r="K4482" i="116"/>
  <c r="J4482" i="116"/>
  <c r="I4482" i="116"/>
  <c r="H4482" i="116"/>
  <c r="G4482" i="116"/>
  <c r="F4482" i="116"/>
  <c r="E4482" i="116"/>
  <c r="D4482" i="116"/>
  <c r="C4482" i="116"/>
  <c r="B4482" i="116"/>
  <c r="K4481" i="116"/>
  <c r="J4481" i="116"/>
  <c r="I4481" i="116"/>
  <c r="H4481" i="116"/>
  <c r="G4481" i="116"/>
  <c r="F4481" i="116"/>
  <c r="E4481" i="116"/>
  <c r="D4481" i="116"/>
  <c r="C4481" i="116"/>
  <c r="B4481" i="116"/>
  <c r="K4480" i="116"/>
  <c r="J4480" i="116"/>
  <c r="I4480" i="116"/>
  <c r="H4480" i="116"/>
  <c r="G4480" i="116"/>
  <c r="F4480" i="116"/>
  <c r="E4480" i="116"/>
  <c r="D4480" i="116"/>
  <c r="C4480" i="116"/>
  <c r="B4480" i="116"/>
  <c r="K4479" i="116"/>
  <c r="J4479" i="116"/>
  <c r="I4479" i="116"/>
  <c r="H4479" i="116"/>
  <c r="G4479" i="116"/>
  <c r="F4479" i="116"/>
  <c r="E4479" i="116"/>
  <c r="D4479" i="116"/>
  <c r="C4479" i="116"/>
  <c r="B4479" i="116"/>
  <c r="K4478" i="116"/>
  <c r="J4478" i="116"/>
  <c r="I4478" i="116"/>
  <c r="H4478" i="116"/>
  <c r="G4478" i="116"/>
  <c r="F4478" i="116"/>
  <c r="E4478" i="116"/>
  <c r="D4478" i="116"/>
  <c r="C4478" i="116"/>
  <c r="B4478" i="116"/>
  <c r="K4477" i="116"/>
  <c r="J4477" i="116"/>
  <c r="I4477" i="116"/>
  <c r="H4477" i="116"/>
  <c r="G4477" i="116"/>
  <c r="F4477" i="116"/>
  <c r="E4477" i="116"/>
  <c r="D4477" i="116"/>
  <c r="C4477" i="116"/>
  <c r="B4477" i="116"/>
  <c r="K4476" i="116"/>
  <c r="J4476" i="116"/>
  <c r="I4476" i="116"/>
  <c r="H4476" i="116"/>
  <c r="G4476" i="116"/>
  <c r="F4476" i="116"/>
  <c r="E4476" i="116"/>
  <c r="D4476" i="116"/>
  <c r="C4476" i="116"/>
  <c r="B4476" i="116"/>
  <c r="K4475" i="116"/>
  <c r="J4475" i="116"/>
  <c r="I4475" i="116"/>
  <c r="H4475" i="116"/>
  <c r="G4475" i="116"/>
  <c r="F4475" i="116"/>
  <c r="E4475" i="116"/>
  <c r="D4475" i="116"/>
  <c r="C4475" i="116"/>
  <c r="B4475" i="116"/>
  <c r="K4474" i="116"/>
  <c r="J4474" i="116"/>
  <c r="I4474" i="116"/>
  <c r="H4474" i="116"/>
  <c r="G4474" i="116"/>
  <c r="F4474" i="116"/>
  <c r="E4474" i="116"/>
  <c r="D4474" i="116"/>
  <c r="C4474" i="116"/>
  <c r="B4474" i="116"/>
  <c r="K4473" i="116"/>
  <c r="J4473" i="116"/>
  <c r="I4473" i="116"/>
  <c r="H4473" i="116"/>
  <c r="G4473" i="116"/>
  <c r="F4473" i="116"/>
  <c r="E4473" i="116"/>
  <c r="D4473" i="116"/>
  <c r="C4473" i="116"/>
  <c r="B4473" i="116"/>
  <c r="K4472" i="116"/>
  <c r="J4472" i="116"/>
  <c r="I4472" i="116"/>
  <c r="H4472" i="116"/>
  <c r="G4472" i="116"/>
  <c r="F4472" i="116"/>
  <c r="E4472" i="116"/>
  <c r="D4472" i="116"/>
  <c r="C4472" i="116"/>
  <c r="B4472" i="116"/>
  <c r="K4471" i="116"/>
  <c r="J4471" i="116"/>
  <c r="I4471" i="116"/>
  <c r="H4471" i="116"/>
  <c r="G4471" i="116"/>
  <c r="F4471" i="116"/>
  <c r="E4471" i="116"/>
  <c r="D4471" i="116"/>
  <c r="C4471" i="116"/>
  <c r="B4471" i="116"/>
  <c r="K4470" i="116"/>
  <c r="J4470" i="116"/>
  <c r="I4470" i="116"/>
  <c r="H4470" i="116"/>
  <c r="G4470" i="116"/>
  <c r="F4470" i="116"/>
  <c r="E4470" i="116"/>
  <c r="D4470" i="116"/>
  <c r="C4470" i="116"/>
  <c r="B4470" i="116"/>
  <c r="K4469" i="116"/>
  <c r="J4469" i="116"/>
  <c r="I4469" i="116"/>
  <c r="H4469" i="116"/>
  <c r="G4469" i="116"/>
  <c r="F4469" i="116"/>
  <c r="E4469" i="116"/>
  <c r="D4469" i="116"/>
  <c r="C4469" i="116"/>
  <c r="B4469" i="116"/>
  <c r="K4468" i="116"/>
  <c r="J4468" i="116"/>
  <c r="I4468" i="116"/>
  <c r="H4468" i="116"/>
  <c r="G4468" i="116"/>
  <c r="F4468" i="116"/>
  <c r="E4468" i="116"/>
  <c r="D4468" i="116"/>
  <c r="C4468" i="116"/>
  <c r="B4468" i="116"/>
  <c r="K4467" i="116"/>
  <c r="J4467" i="116"/>
  <c r="I4467" i="116"/>
  <c r="H4467" i="116"/>
  <c r="G4467" i="116"/>
  <c r="F4467" i="116"/>
  <c r="E4467" i="116"/>
  <c r="D4467" i="116"/>
  <c r="C4467" i="116"/>
  <c r="B4467" i="116"/>
  <c r="K4466" i="116"/>
  <c r="J4466" i="116"/>
  <c r="I4466" i="116"/>
  <c r="H4466" i="116"/>
  <c r="G4466" i="116"/>
  <c r="F4466" i="116"/>
  <c r="E4466" i="116"/>
  <c r="D4466" i="116"/>
  <c r="C4466" i="116"/>
  <c r="B4466" i="116"/>
  <c r="K4465" i="116"/>
  <c r="J4465" i="116"/>
  <c r="I4465" i="116"/>
  <c r="H4465" i="116"/>
  <c r="G4465" i="116"/>
  <c r="F4465" i="116"/>
  <c r="E4465" i="116"/>
  <c r="D4465" i="116"/>
  <c r="C4465" i="116"/>
  <c r="B4465" i="116"/>
  <c r="K4464" i="116"/>
  <c r="J4464" i="116"/>
  <c r="I4464" i="116"/>
  <c r="H4464" i="116"/>
  <c r="G4464" i="116"/>
  <c r="F4464" i="116"/>
  <c r="E4464" i="116"/>
  <c r="D4464" i="116"/>
  <c r="C4464" i="116"/>
  <c r="B4464" i="116"/>
  <c r="K4463" i="116"/>
  <c r="J4463" i="116"/>
  <c r="I4463" i="116"/>
  <c r="H4463" i="116"/>
  <c r="G4463" i="116"/>
  <c r="F4463" i="116"/>
  <c r="E4463" i="116"/>
  <c r="D4463" i="116"/>
  <c r="C4463" i="116"/>
  <c r="B4463" i="116"/>
  <c r="K4462" i="116"/>
  <c r="J4462" i="116"/>
  <c r="I4462" i="116"/>
  <c r="H4462" i="116"/>
  <c r="G4462" i="116"/>
  <c r="F4462" i="116"/>
  <c r="E4462" i="116"/>
  <c r="D4462" i="116"/>
  <c r="C4462" i="116"/>
  <c r="B4462" i="116"/>
  <c r="K4461" i="116"/>
  <c r="J4461" i="116"/>
  <c r="I4461" i="116"/>
  <c r="H4461" i="116"/>
  <c r="G4461" i="116"/>
  <c r="F4461" i="116"/>
  <c r="E4461" i="116"/>
  <c r="D4461" i="116"/>
  <c r="C4461" i="116"/>
  <c r="B4461" i="116"/>
  <c r="K4460" i="116"/>
  <c r="J4460" i="116"/>
  <c r="I4460" i="116"/>
  <c r="H4460" i="116"/>
  <c r="G4460" i="116"/>
  <c r="F4460" i="116"/>
  <c r="E4460" i="116"/>
  <c r="D4460" i="116"/>
  <c r="C4460" i="116"/>
  <c r="B4460" i="116"/>
  <c r="K4459" i="116"/>
  <c r="J4459" i="116"/>
  <c r="I4459" i="116"/>
  <c r="H4459" i="116"/>
  <c r="G4459" i="116"/>
  <c r="F4459" i="116"/>
  <c r="E4459" i="116"/>
  <c r="D4459" i="116"/>
  <c r="C4459" i="116"/>
  <c r="B4459" i="116"/>
  <c r="K4458" i="116"/>
  <c r="J4458" i="116"/>
  <c r="I4458" i="116"/>
  <c r="H4458" i="116"/>
  <c r="G4458" i="116"/>
  <c r="F4458" i="116"/>
  <c r="E4458" i="116"/>
  <c r="D4458" i="116"/>
  <c r="C4458" i="116"/>
  <c r="B4458" i="116"/>
  <c r="K4457" i="116"/>
  <c r="J4457" i="116"/>
  <c r="I4457" i="116"/>
  <c r="H4457" i="116"/>
  <c r="G4457" i="116"/>
  <c r="F4457" i="116"/>
  <c r="E4457" i="116"/>
  <c r="D4457" i="116"/>
  <c r="C4457" i="116"/>
  <c r="B4457" i="116"/>
  <c r="K4456" i="116"/>
  <c r="J4456" i="116"/>
  <c r="I4456" i="116"/>
  <c r="H4456" i="116"/>
  <c r="G4456" i="116"/>
  <c r="F4456" i="116"/>
  <c r="E4456" i="116"/>
  <c r="D4456" i="116"/>
  <c r="C4456" i="116"/>
  <c r="B4456" i="116"/>
  <c r="K4455" i="116"/>
  <c r="J4455" i="116"/>
  <c r="I4455" i="116"/>
  <c r="H4455" i="116"/>
  <c r="G4455" i="116"/>
  <c r="F4455" i="116"/>
  <c r="E4455" i="116"/>
  <c r="D4455" i="116"/>
  <c r="C4455" i="116"/>
  <c r="B4455" i="116"/>
  <c r="K4454" i="116"/>
  <c r="J4454" i="116"/>
  <c r="I4454" i="116"/>
  <c r="H4454" i="116"/>
  <c r="G4454" i="116"/>
  <c r="F4454" i="116"/>
  <c r="E4454" i="116"/>
  <c r="D4454" i="116"/>
  <c r="C4454" i="116"/>
  <c r="B4454" i="116"/>
  <c r="K4453" i="116"/>
  <c r="J4453" i="116"/>
  <c r="I4453" i="116"/>
  <c r="H4453" i="116"/>
  <c r="G4453" i="116"/>
  <c r="F4453" i="116"/>
  <c r="E4453" i="116"/>
  <c r="D4453" i="116"/>
  <c r="C4453" i="116"/>
  <c r="B4453" i="116"/>
  <c r="K4452" i="116"/>
  <c r="J4452" i="116"/>
  <c r="I4452" i="116"/>
  <c r="H4452" i="116"/>
  <c r="G4452" i="116"/>
  <c r="F4452" i="116"/>
  <c r="E4452" i="116"/>
  <c r="D4452" i="116"/>
  <c r="C4452" i="116"/>
  <c r="B4452" i="116"/>
  <c r="K4451" i="116"/>
  <c r="J4451" i="116"/>
  <c r="I4451" i="116"/>
  <c r="H4451" i="116"/>
  <c r="G4451" i="116"/>
  <c r="F4451" i="116"/>
  <c r="E4451" i="116"/>
  <c r="D4451" i="116"/>
  <c r="C4451" i="116"/>
  <c r="B4451" i="116"/>
  <c r="K4450" i="116"/>
  <c r="J4450" i="116"/>
  <c r="I4450" i="116"/>
  <c r="H4450" i="116"/>
  <c r="G4450" i="116"/>
  <c r="F4450" i="116"/>
  <c r="E4450" i="116"/>
  <c r="D4450" i="116"/>
  <c r="C4450" i="116"/>
  <c r="B4450" i="116"/>
  <c r="K4449" i="116"/>
  <c r="J4449" i="116"/>
  <c r="I4449" i="116"/>
  <c r="H4449" i="116"/>
  <c r="G4449" i="116"/>
  <c r="F4449" i="116"/>
  <c r="E4449" i="116"/>
  <c r="D4449" i="116"/>
  <c r="C4449" i="116"/>
  <c r="B4449" i="116"/>
  <c r="K4448" i="116"/>
  <c r="J4448" i="116"/>
  <c r="I4448" i="116"/>
  <c r="H4448" i="116"/>
  <c r="G4448" i="116"/>
  <c r="F4448" i="116"/>
  <c r="E4448" i="116"/>
  <c r="D4448" i="116"/>
  <c r="C4448" i="116"/>
  <c r="B4448" i="116"/>
  <c r="K4447" i="116"/>
  <c r="J4447" i="116"/>
  <c r="I4447" i="116"/>
  <c r="H4447" i="116"/>
  <c r="G4447" i="116"/>
  <c r="F4447" i="116"/>
  <c r="E4447" i="116"/>
  <c r="D4447" i="116"/>
  <c r="C4447" i="116"/>
  <c r="B4447" i="116"/>
  <c r="K4446" i="116"/>
  <c r="J4446" i="116"/>
  <c r="I4446" i="116"/>
  <c r="H4446" i="116"/>
  <c r="G4446" i="116"/>
  <c r="F4446" i="116"/>
  <c r="E4446" i="116"/>
  <c r="D4446" i="116"/>
  <c r="C4446" i="116"/>
  <c r="B4446" i="116"/>
  <c r="K4445" i="116"/>
  <c r="J4445" i="116"/>
  <c r="I4445" i="116"/>
  <c r="H4445" i="116"/>
  <c r="G4445" i="116"/>
  <c r="F4445" i="116"/>
  <c r="E4445" i="116"/>
  <c r="D4445" i="116"/>
  <c r="C4445" i="116"/>
  <c r="B4445" i="116"/>
  <c r="K4444" i="116"/>
  <c r="J4444" i="116"/>
  <c r="I4444" i="116"/>
  <c r="H4444" i="116"/>
  <c r="G4444" i="116"/>
  <c r="F4444" i="116"/>
  <c r="E4444" i="116"/>
  <c r="D4444" i="116"/>
  <c r="C4444" i="116"/>
  <c r="B4444" i="116"/>
  <c r="K4443" i="116"/>
  <c r="J4443" i="116"/>
  <c r="I4443" i="116"/>
  <c r="H4443" i="116"/>
  <c r="G4443" i="116"/>
  <c r="F4443" i="116"/>
  <c r="E4443" i="116"/>
  <c r="D4443" i="116"/>
  <c r="C4443" i="116"/>
  <c r="B4443" i="116"/>
  <c r="K4442" i="116"/>
  <c r="J4442" i="116"/>
  <c r="I4442" i="116"/>
  <c r="H4442" i="116"/>
  <c r="G4442" i="116"/>
  <c r="F4442" i="116"/>
  <c r="E4442" i="116"/>
  <c r="D4442" i="116"/>
  <c r="C4442" i="116"/>
  <c r="B4442" i="116"/>
  <c r="K4441" i="116"/>
  <c r="J4441" i="116"/>
  <c r="I4441" i="116"/>
  <c r="H4441" i="116"/>
  <c r="G4441" i="116"/>
  <c r="F4441" i="116"/>
  <c r="E4441" i="116"/>
  <c r="D4441" i="116"/>
  <c r="C4441" i="116"/>
  <c r="B4441" i="116"/>
  <c r="K4440" i="116"/>
  <c r="J4440" i="116"/>
  <c r="I4440" i="116"/>
  <c r="H4440" i="116"/>
  <c r="G4440" i="116"/>
  <c r="F4440" i="116"/>
  <c r="E4440" i="116"/>
  <c r="D4440" i="116"/>
  <c r="C4440" i="116"/>
  <c r="B4440" i="116"/>
  <c r="K4439" i="116"/>
  <c r="J4439" i="116"/>
  <c r="I4439" i="116"/>
  <c r="H4439" i="116"/>
  <c r="G4439" i="116"/>
  <c r="F4439" i="116"/>
  <c r="E4439" i="116"/>
  <c r="D4439" i="116"/>
  <c r="C4439" i="116"/>
  <c r="B4439" i="116"/>
  <c r="K4438" i="116"/>
  <c r="J4438" i="116"/>
  <c r="I4438" i="116"/>
  <c r="H4438" i="116"/>
  <c r="G4438" i="116"/>
  <c r="F4438" i="116"/>
  <c r="E4438" i="116"/>
  <c r="D4438" i="116"/>
  <c r="C4438" i="116"/>
  <c r="B4438" i="116"/>
  <c r="K4437" i="116"/>
  <c r="J4437" i="116"/>
  <c r="I4437" i="116"/>
  <c r="H4437" i="116"/>
  <c r="G4437" i="116"/>
  <c r="F4437" i="116"/>
  <c r="E4437" i="116"/>
  <c r="D4437" i="116"/>
  <c r="C4437" i="116"/>
  <c r="B4437" i="116"/>
  <c r="K4436" i="116"/>
  <c r="J4436" i="116"/>
  <c r="I4436" i="116"/>
  <c r="H4436" i="116"/>
  <c r="G4436" i="116"/>
  <c r="F4436" i="116"/>
  <c r="E4436" i="116"/>
  <c r="D4436" i="116"/>
  <c r="C4436" i="116"/>
  <c r="B4436" i="116"/>
  <c r="K4435" i="116"/>
  <c r="J4435" i="116"/>
  <c r="I4435" i="116"/>
  <c r="H4435" i="116"/>
  <c r="G4435" i="116"/>
  <c r="F4435" i="116"/>
  <c r="E4435" i="116"/>
  <c r="D4435" i="116"/>
  <c r="C4435" i="116"/>
  <c r="B4435" i="116"/>
  <c r="K4434" i="116"/>
  <c r="J4434" i="116"/>
  <c r="I4434" i="116"/>
  <c r="H4434" i="116"/>
  <c r="G4434" i="116"/>
  <c r="F4434" i="116"/>
  <c r="E4434" i="116"/>
  <c r="D4434" i="116"/>
  <c r="C4434" i="116"/>
  <c r="B4434" i="116"/>
  <c r="K4433" i="116"/>
  <c r="J4433" i="116"/>
  <c r="I4433" i="116"/>
  <c r="H4433" i="116"/>
  <c r="G4433" i="116"/>
  <c r="F4433" i="116"/>
  <c r="E4433" i="116"/>
  <c r="D4433" i="116"/>
  <c r="C4433" i="116"/>
  <c r="B4433" i="116"/>
  <c r="K4432" i="116"/>
  <c r="J4432" i="116"/>
  <c r="I4432" i="116"/>
  <c r="H4432" i="116"/>
  <c r="G4432" i="116"/>
  <c r="F4432" i="116"/>
  <c r="E4432" i="116"/>
  <c r="D4432" i="116"/>
  <c r="C4432" i="116"/>
  <c r="B4432" i="116"/>
  <c r="K4431" i="116"/>
  <c r="J4431" i="116"/>
  <c r="I4431" i="116"/>
  <c r="H4431" i="116"/>
  <c r="G4431" i="116"/>
  <c r="F4431" i="116"/>
  <c r="E4431" i="116"/>
  <c r="D4431" i="116"/>
  <c r="C4431" i="116"/>
  <c r="B4431" i="116"/>
  <c r="K4430" i="116"/>
  <c r="J4430" i="116"/>
  <c r="I4430" i="116"/>
  <c r="H4430" i="116"/>
  <c r="G4430" i="116"/>
  <c r="F4430" i="116"/>
  <c r="E4430" i="116"/>
  <c r="D4430" i="116"/>
  <c r="C4430" i="116"/>
  <c r="B4430" i="116"/>
  <c r="K4429" i="116"/>
  <c r="J4429" i="116"/>
  <c r="I4429" i="116"/>
  <c r="H4429" i="116"/>
  <c r="G4429" i="116"/>
  <c r="F4429" i="116"/>
  <c r="E4429" i="116"/>
  <c r="D4429" i="116"/>
  <c r="C4429" i="116"/>
  <c r="B4429" i="116"/>
  <c r="K4428" i="116"/>
  <c r="J4428" i="116"/>
  <c r="I4428" i="116"/>
  <c r="H4428" i="116"/>
  <c r="G4428" i="116"/>
  <c r="F4428" i="116"/>
  <c r="E4428" i="116"/>
  <c r="D4428" i="116"/>
  <c r="C4428" i="116"/>
  <c r="B4428" i="116"/>
  <c r="K4427" i="116"/>
  <c r="J4427" i="116"/>
  <c r="I4427" i="116"/>
  <c r="H4427" i="116"/>
  <c r="G4427" i="116"/>
  <c r="F4427" i="116"/>
  <c r="E4427" i="116"/>
  <c r="D4427" i="116"/>
  <c r="C4427" i="116"/>
  <c r="B4427" i="116"/>
  <c r="K4426" i="116"/>
  <c r="J4426" i="116"/>
  <c r="I4426" i="116"/>
  <c r="H4426" i="116"/>
  <c r="G4426" i="116"/>
  <c r="F4426" i="116"/>
  <c r="E4426" i="116"/>
  <c r="D4426" i="116"/>
  <c r="C4426" i="116"/>
  <c r="B4426" i="116"/>
  <c r="K4425" i="116"/>
  <c r="J4425" i="116"/>
  <c r="I4425" i="116"/>
  <c r="H4425" i="116"/>
  <c r="G4425" i="116"/>
  <c r="F4425" i="116"/>
  <c r="E4425" i="116"/>
  <c r="D4425" i="116"/>
  <c r="C4425" i="116"/>
  <c r="B4425" i="116"/>
  <c r="K4424" i="116"/>
  <c r="J4424" i="116"/>
  <c r="I4424" i="116"/>
  <c r="H4424" i="116"/>
  <c r="G4424" i="116"/>
  <c r="F4424" i="116"/>
  <c r="E4424" i="116"/>
  <c r="D4424" i="116"/>
  <c r="C4424" i="116"/>
  <c r="B4424" i="116"/>
  <c r="K4423" i="116"/>
  <c r="J4423" i="116"/>
  <c r="I4423" i="116"/>
  <c r="H4423" i="116"/>
  <c r="G4423" i="116"/>
  <c r="F4423" i="116"/>
  <c r="E4423" i="116"/>
  <c r="D4423" i="116"/>
  <c r="C4423" i="116"/>
  <c r="B4423" i="116"/>
  <c r="K4422" i="116"/>
  <c r="J4422" i="116"/>
  <c r="I4422" i="116"/>
  <c r="H4422" i="116"/>
  <c r="G4422" i="116"/>
  <c r="F4422" i="116"/>
  <c r="E4422" i="116"/>
  <c r="D4422" i="116"/>
  <c r="C4422" i="116"/>
  <c r="B4422" i="116"/>
  <c r="K4421" i="116"/>
  <c r="J4421" i="116"/>
  <c r="I4421" i="116"/>
  <c r="H4421" i="116"/>
  <c r="G4421" i="116"/>
  <c r="F4421" i="116"/>
  <c r="E4421" i="116"/>
  <c r="D4421" i="116"/>
  <c r="C4421" i="116"/>
  <c r="B4421" i="116"/>
  <c r="K4420" i="116"/>
  <c r="J4420" i="116"/>
  <c r="I4420" i="116"/>
  <c r="H4420" i="116"/>
  <c r="G4420" i="116"/>
  <c r="F4420" i="116"/>
  <c r="E4420" i="116"/>
  <c r="D4420" i="116"/>
  <c r="C4420" i="116"/>
  <c r="B4420" i="116"/>
  <c r="K4419" i="116"/>
  <c r="J4419" i="116"/>
  <c r="I4419" i="116"/>
  <c r="H4419" i="116"/>
  <c r="G4419" i="116"/>
  <c r="F4419" i="116"/>
  <c r="E4419" i="116"/>
  <c r="D4419" i="116"/>
  <c r="C4419" i="116"/>
  <c r="B4419" i="116"/>
  <c r="K4418" i="116"/>
  <c r="J4418" i="116"/>
  <c r="I4418" i="116"/>
  <c r="H4418" i="116"/>
  <c r="G4418" i="116"/>
  <c r="F4418" i="116"/>
  <c r="E4418" i="116"/>
  <c r="D4418" i="116"/>
  <c r="C4418" i="116"/>
  <c r="B4418" i="116"/>
  <c r="K4417" i="116"/>
  <c r="J4417" i="116"/>
  <c r="I4417" i="116"/>
  <c r="H4417" i="116"/>
  <c r="G4417" i="116"/>
  <c r="F4417" i="116"/>
  <c r="E4417" i="116"/>
  <c r="D4417" i="116"/>
  <c r="C4417" i="116"/>
  <c r="B4417" i="116"/>
  <c r="K4416" i="116"/>
  <c r="J4416" i="116"/>
  <c r="I4416" i="116"/>
  <c r="H4416" i="116"/>
  <c r="G4416" i="116"/>
  <c r="F4416" i="116"/>
  <c r="E4416" i="116"/>
  <c r="D4416" i="116"/>
  <c r="C4416" i="116"/>
  <c r="B4416" i="116"/>
  <c r="K4415" i="116"/>
  <c r="J4415" i="116"/>
  <c r="I4415" i="116"/>
  <c r="H4415" i="116"/>
  <c r="G4415" i="116"/>
  <c r="F4415" i="116"/>
  <c r="E4415" i="116"/>
  <c r="D4415" i="116"/>
  <c r="C4415" i="116"/>
  <c r="B4415" i="116"/>
  <c r="K4414" i="116"/>
  <c r="J4414" i="116"/>
  <c r="I4414" i="116"/>
  <c r="H4414" i="116"/>
  <c r="G4414" i="116"/>
  <c r="F4414" i="116"/>
  <c r="E4414" i="116"/>
  <c r="D4414" i="116"/>
  <c r="C4414" i="116"/>
  <c r="B4414" i="116"/>
  <c r="K4413" i="116"/>
  <c r="J4413" i="116"/>
  <c r="I4413" i="116"/>
  <c r="H4413" i="116"/>
  <c r="G4413" i="116"/>
  <c r="F4413" i="116"/>
  <c r="E4413" i="116"/>
  <c r="D4413" i="116"/>
  <c r="C4413" i="116"/>
  <c r="B4413" i="116"/>
  <c r="K4412" i="116"/>
  <c r="J4412" i="116"/>
  <c r="I4412" i="116"/>
  <c r="H4412" i="116"/>
  <c r="G4412" i="116"/>
  <c r="F4412" i="116"/>
  <c r="E4412" i="116"/>
  <c r="D4412" i="116"/>
  <c r="C4412" i="116"/>
  <c r="B4412" i="116"/>
  <c r="K4411" i="116"/>
  <c r="J4411" i="116"/>
  <c r="I4411" i="116"/>
  <c r="H4411" i="116"/>
  <c r="G4411" i="116"/>
  <c r="F4411" i="116"/>
  <c r="E4411" i="116"/>
  <c r="D4411" i="116"/>
  <c r="C4411" i="116"/>
  <c r="B4411" i="116"/>
  <c r="K4410" i="116"/>
  <c r="J4410" i="116"/>
  <c r="I4410" i="116"/>
  <c r="H4410" i="116"/>
  <c r="G4410" i="116"/>
  <c r="F4410" i="116"/>
  <c r="E4410" i="116"/>
  <c r="D4410" i="116"/>
  <c r="C4410" i="116"/>
  <c r="B4410" i="116"/>
  <c r="K4409" i="116"/>
  <c r="J4409" i="116"/>
  <c r="I4409" i="116"/>
  <c r="H4409" i="116"/>
  <c r="G4409" i="116"/>
  <c r="F4409" i="116"/>
  <c r="E4409" i="116"/>
  <c r="D4409" i="116"/>
  <c r="C4409" i="116"/>
  <c r="B4409" i="116"/>
  <c r="K4408" i="116"/>
  <c r="J4408" i="116"/>
  <c r="I4408" i="116"/>
  <c r="H4408" i="116"/>
  <c r="G4408" i="116"/>
  <c r="F4408" i="116"/>
  <c r="E4408" i="116"/>
  <c r="D4408" i="116"/>
  <c r="C4408" i="116"/>
  <c r="B4408" i="116"/>
  <c r="K4407" i="116"/>
  <c r="J4407" i="116"/>
  <c r="I4407" i="116"/>
  <c r="H4407" i="116"/>
  <c r="G4407" i="116"/>
  <c r="F4407" i="116"/>
  <c r="E4407" i="116"/>
  <c r="D4407" i="116"/>
  <c r="C4407" i="116"/>
  <c r="B4407" i="116"/>
  <c r="K4406" i="116"/>
  <c r="J4406" i="116"/>
  <c r="I4406" i="116"/>
  <c r="H4406" i="116"/>
  <c r="G4406" i="116"/>
  <c r="F4406" i="116"/>
  <c r="E4406" i="116"/>
  <c r="D4406" i="116"/>
  <c r="C4406" i="116"/>
  <c r="B4406" i="116"/>
  <c r="K4405" i="116"/>
  <c r="J4405" i="116"/>
  <c r="I4405" i="116"/>
  <c r="H4405" i="116"/>
  <c r="G4405" i="116"/>
  <c r="F4405" i="116"/>
  <c r="E4405" i="116"/>
  <c r="D4405" i="116"/>
  <c r="C4405" i="116"/>
  <c r="B4405" i="116"/>
  <c r="K4404" i="116"/>
  <c r="J4404" i="116"/>
  <c r="I4404" i="116"/>
  <c r="H4404" i="116"/>
  <c r="G4404" i="116"/>
  <c r="F4404" i="116"/>
  <c r="E4404" i="116"/>
  <c r="D4404" i="116"/>
  <c r="C4404" i="116"/>
  <c r="B4404" i="116"/>
  <c r="K4403" i="116"/>
  <c r="J4403" i="116"/>
  <c r="I4403" i="116"/>
  <c r="H4403" i="116"/>
  <c r="G4403" i="116"/>
  <c r="F4403" i="116"/>
  <c r="E4403" i="116"/>
  <c r="D4403" i="116"/>
  <c r="C4403" i="116"/>
  <c r="B4403" i="116"/>
  <c r="K4402" i="116"/>
  <c r="J4402" i="116"/>
  <c r="I4402" i="116"/>
  <c r="H4402" i="116"/>
  <c r="G4402" i="116"/>
  <c r="F4402" i="116"/>
  <c r="E4402" i="116"/>
  <c r="D4402" i="116"/>
  <c r="C4402" i="116"/>
  <c r="B4402" i="116"/>
  <c r="K4401" i="116"/>
  <c r="J4401" i="116"/>
  <c r="I4401" i="116"/>
  <c r="H4401" i="116"/>
  <c r="G4401" i="116"/>
  <c r="F4401" i="116"/>
  <c r="E4401" i="116"/>
  <c r="D4401" i="116"/>
  <c r="C4401" i="116"/>
  <c r="B4401" i="116"/>
  <c r="K4400" i="116"/>
  <c r="J4400" i="116"/>
  <c r="I4400" i="116"/>
  <c r="H4400" i="116"/>
  <c r="G4400" i="116"/>
  <c r="F4400" i="116"/>
  <c r="E4400" i="116"/>
  <c r="D4400" i="116"/>
  <c r="C4400" i="116"/>
  <c r="B4400" i="116"/>
  <c r="K4399" i="116"/>
  <c r="J4399" i="116"/>
  <c r="I4399" i="116"/>
  <c r="H4399" i="116"/>
  <c r="G4399" i="116"/>
  <c r="F4399" i="116"/>
  <c r="E4399" i="116"/>
  <c r="D4399" i="116"/>
  <c r="C4399" i="116"/>
  <c r="B4399" i="116"/>
  <c r="K4398" i="116"/>
  <c r="J4398" i="116"/>
  <c r="I4398" i="116"/>
  <c r="H4398" i="116"/>
  <c r="G4398" i="116"/>
  <c r="F4398" i="116"/>
  <c r="E4398" i="116"/>
  <c r="D4398" i="116"/>
  <c r="C4398" i="116"/>
  <c r="B4398" i="116"/>
  <c r="K4397" i="116"/>
  <c r="J4397" i="116"/>
  <c r="I4397" i="116"/>
  <c r="H4397" i="116"/>
  <c r="G4397" i="116"/>
  <c r="F4397" i="116"/>
  <c r="E4397" i="116"/>
  <c r="D4397" i="116"/>
  <c r="C4397" i="116"/>
  <c r="B4397" i="116"/>
  <c r="K4396" i="116"/>
  <c r="J4396" i="116"/>
  <c r="I4396" i="116"/>
  <c r="H4396" i="116"/>
  <c r="G4396" i="116"/>
  <c r="F4396" i="116"/>
  <c r="E4396" i="116"/>
  <c r="D4396" i="116"/>
  <c r="C4396" i="116"/>
  <c r="B4396" i="116"/>
  <c r="K4395" i="116"/>
  <c r="J4395" i="116"/>
  <c r="I4395" i="116"/>
  <c r="H4395" i="116"/>
  <c r="G4395" i="116"/>
  <c r="F4395" i="116"/>
  <c r="E4395" i="116"/>
  <c r="D4395" i="116"/>
  <c r="C4395" i="116"/>
  <c r="B4395" i="116"/>
  <c r="K4394" i="116"/>
  <c r="J4394" i="116"/>
  <c r="I4394" i="116"/>
  <c r="H4394" i="116"/>
  <c r="G4394" i="116"/>
  <c r="F4394" i="116"/>
  <c r="E4394" i="116"/>
  <c r="D4394" i="116"/>
  <c r="C4394" i="116"/>
  <c r="B4394" i="116"/>
  <c r="K4393" i="116"/>
  <c r="J4393" i="116"/>
  <c r="I4393" i="116"/>
  <c r="H4393" i="116"/>
  <c r="G4393" i="116"/>
  <c r="F4393" i="116"/>
  <c r="E4393" i="116"/>
  <c r="D4393" i="116"/>
  <c r="C4393" i="116"/>
  <c r="B4393" i="116"/>
  <c r="K4392" i="116"/>
  <c r="J4392" i="116"/>
  <c r="I4392" i="116"/>
  <c r="H4392" i="116"/>
  <c r="G4392" i="116"/>
  <c r="F4392" i="116"/>
  <c r="E4392" i="116"/>
  <c r="D4392" i="116"/>
  <c r="C4392" i="116"/>
  <c r="B4392" i="116"/>
  <c r="K4391" i="116"/>
  <c r="J4391" i="116"/>
  <c r="I4391" i="116"/>
  <c r="H4391" i="116"/>
  <c r="G4391" i="116"/>
  <c r="F4391" i="116"/>
  <c r="E4391" i="116"/>
  <c r="D4391" i="116"/>
  <c r="C4391" i="116"/>
  <c r="B4391" i="116"/>
  <c r="K4390" i="116"/>
  <c r="J4390" i="116"/>
  <c r="I4390" i="116"/>
  <c r="H4390" i="116"/>
  <c r="G4390" i="116"/>
  <c r="F4390" i="116"/>
  <c r="E4390" i="116"/>
  <c r="D4390" i="116"/>
  <c r="C4390" i="116"/>
  <c r="B4390" i="116"/>
  <c r="K4389" i="116"/>
  <c r="J4389" i="116"/>
  <c r="I4389" i="116"/>
  <c r="H4389" i="116"/>
  <c r="G4389" i="116"/>
  <c r="F4389" i="116"/>
  <c r="E4389" i="116"/>
  <c r="D4389" i="116"/>
  <c r="C4389" i="116"/>
  <c r="B4389" i="116"/>
  <c r="K4388" i="116"/>
  <c r="J4388" i="116"/>
  <c r="I4388" i="116"/>
  <c r="H4388" i="116"/>
  <c r="G4388" i="116"/>
  <c r="F4388" i="116"/>
  <c r="E4388" i="116"/>
  <c r="D4388" i="116"/>
  <c r="C4388" i="116"/>
  <c r="B4388" i="116"/>
  <c r="K4387" i="116"/>
  <c r="J4387" i="116"/>
  <c r="I4387" i="116"/>
  <c r="H4387" i="116"/>
  <c r="G4387" i="116"/>
  <c r="F4387" i="116"/>
  <c r="E4387" i="116"/>
  <c r="D4387" i="116"/>
  <c r="C4387" i="116"/>
  <c r="B4387" i="116"/>
  <c r="K4386" i="116"/>
  <c r="J4386" i="116"/>
  <c r="I4386" i="116"/>
  <c r="H4386" i="116"/>
  <c r="G4386" i="116"/>
  <c r="F4386" i="116"/>
  <c r="E4386" i="116"/>
  <c r="D4386" i="116"/>
  <c r="C4386" i="116"/>
  <c r="B4386" i="116"/>
  <c r="K4385" i="116"/>
  <c r="J4385" i="116"/>
  <c r="I4385" i="116"/>
  <c r="H4385" i="116"/>
  <c r="G4385" i="116"/>
  <c r="F4385" i="116"/>
  <c r="E4385" i="116"/>
  <c r="D4385" i="116"/>
  <c r="C4385" i="116"/>
  <c r="B4385" i="116"/>
  <c r="K4384" i="116"/>
  <c r="J4384" i="116"/>
  <c r="I4384" i="116"/>
  <c r="H4384" i="116"/>
  <c r="G4384" i="116"/>
  <c r="F4384" i="116"/>
  <c r="E4384" i="116"/>
  <c r="D4384" i="116"/>
  <c r="C4384" i="116"/>
  <c r="B4384" i="116"/>
  <c r="K4383" i="116"/>
  <c r="J4383" i="116"/>
  <c r="I4383" i="116"/>
  <c r="H4383" i="116"/>
  <c r="G4383" i="116"/>
  <c r="F4383" i="116"/>
  <c r="E4383" i="116"/>
  <c r="D4383" i="116"/>
  <c r="C4383" i="116"/>
  <c r="B4383" i="116"/>
  <c r="K4382" i="116"/>
  <c r="J4382" i="116"/>
  <c r="I4382" i="116"/>
  <c r="H4382" i="116"/>
  <c r="G4382" i="116"/>
  <c r="F4382" i="116"/>
  <c r="E4382" i="116"/>
  <c r="D4382" i="116"/>
  <c r="C4382" i="116"/>
  <c r="B4382" i="116"/>
  <c r="K4381" i="116"/>
  <c r="J4381" i="116"/>
  <c r="I4381" i="116"/>
  <c r="H4381" i="116"/>
  <c r="G4381" i="116"/>
  <c r="F4381" i="116"/>
  <c r="E4381" i="116"/>
  <c r="D4381" i="116"/>
  <c r="C4381" i="116"/>
  <c r="B4381" i="116"/>
  <c r="K4380" i="116"/>
  <c r="J4380" i="116"/>
  <c r="I4380" i="116"/>
  <c r="H4380" i="116"/>
  <c r="G4380" i="116"/>
  <c r="F4380" i="116"/>
  <c r="E4380" i="116"/>
  <c r="D4380" i="116"/>
  <c r="C4380" i="116"/>
  <c r="B4380" i="116"/>
  <c r="K4379" i="116"/>
  <c r="J4379" i="116"/>
  <c r="I4379" i="116"/>
  <c r="H4379" i="116"/>
  <c r="G4379" i="116"/>
  <c r="F4379" i="116"/>
  <c r="E4379" i="116"/>
  <c r="D4379" i="116"/>
  <c r="C4379" i="116"/>
  <c r="B4379" i="116"/>
  <c r="K4378" i="116"/>
  <c r="J4378" i="116"/>
  <c r="I4378" i="116"/>
  <c r="H4378" i="116"/>
  <c r="G4378" i="116"/>
  <c r="F4378" i="116"/>
  <c r="E4378" i="116"/>
  <c r="D4378" i="116"/>
  <c r="C4378" i="116"/>
  <c r="B4378" i="116"/>
  <c r="K4377" i="116"/>
  <c r="J4377" i="116"/>
  <c r="I4377" i="116"/>
  <c r="H4377" i="116"/>
  <c r="G4377" i="116"/>
  <c r="F4377" i="116"/>
  <c r="E4377" i="116"/>
  <c r="D4377" i="116"/>
  <c r="C4377" i="116"/>
  <c r="B4377" i="116"/>
  <c r="K4376" i="116"/>
  <c r="J4376" i="116"/>
  <c r="I4376" i="116"/>
  <c r="H4376" i="116"/>
  <c r="G4376" i="116"/>
  <c r="F4376" i="116"/>
  <c r="E4376" i="116"/>
  <c r="D4376" i="116"/>
  <c r="C4376" i="116"/>
  <c r="B4376" i="116"/>
  <c r="K4375" i="116"/>
  <c r="J4375" i="116"/>
  <c r="I4375" i="116"/>
  <c r="H4375" i="116"/>
  <c r="G4375" i="116"/>
  <c r="F4375" i="116"/>
  <c r="E4375" i="116"/>
  <c r="D4375" i="116"/>
  <c r="C4375" i="116"/>
  <c r="B4375" i="116"/>
  <c r="K4374" i="116"/>
  <c r="J4374" i="116"/>
  <c r="I4374" i="116"/>
  <c r="H4374" i="116"/>
  <c r="G4374" i="116"/>
  <c r="F4374" i="116"/>
  <c r="E4374" i="116"/>
  <c r="D4374" i="116"/>
  <c r="C4374" i="116"/>
  <c r="B4374" i="116"/>
  <c r="K4373" i="116"/>
  <c r="J4373" i="116"/>
  <c r="I4373" i="116"/>
  <c r="H4373" i="116"/>
  <c r="G4373" i="116"/>
  <c r="F4373" i="116"/>
  <c r="E4373" i="116"/>
  <c r="D4373" i="116"/>
  <c r="C4373" i="116"/>
  <c r="B4373" i="116"/>
  <c r="K4372" i="116"/>
  <c r="J4372" i="116"/>
  <c r="I4372" i="116"/>
  <c r="H4372" i="116"/>
  <c r="G4372" i="116"/>
  <c r="F4372" i="116"/>
  <c r="E4372" i="116"/>
  <c r="D4372" i="116"/>
  <c r="C4372" i="116"/>
  <c r="B4372" i="116"/>
  <c r="K4371" i="116"/>
  <c r="J4371" i="116"/>
  <c r="I4371" i="116"/>
  <c r="H4371" i="116"/>
  <c r="G4371" i="116"/>
  <c r="F4371" i="116"/>
  <c r="E4371" i="116"/>
  <c r="D4371" i="116"/>
  <c r="C4371" i="116"/>
  <c r="B4371" i="116"/>
  <c r="K4370" i="116"/>
  <c r="J4370" i="116"/>
  <c r="I4370" i="116"/>
  <c r="H4370" i="116"/>
  <c r="G4370" i="116"/>
  <c r="F4370" i="116"/>
  <c r="E4370" i="116"/>
  <c r="D4370" i="116"/>
  <c r="C4370" i="116"/>
  <c r="B4370" i="116"/>
  <c r="K4369" i="116"/>
  <c r="J4369" i="116"/>
  <c r="I4369" i="116"/>
  <c r="H4369" i="116"/>
  <c r="G4369" i="116"/>
  <c r="F4369" i="116"/>
  <c r="E4369" i="116"/>
  <c r="D4369" i="116"/>
  <c r="C4369" i="116"/>
  <c r="B4369" i="116"/>
  <c r="K4368" i="116"/>
  <c r="J4368" i="116"/>
  <c r="I4368" i="116"/>
  <c r="H4368" i="116"/>
  <c r="G4368" i="116"/>
  <c r="F4368" i="116"/>
  <c r="E4368" i="116"/>
  <c r="D4368" i="116"/>
  <c r="C4368" i="116"/>
  <c r="B4368" i="116"/>
  <c r="K4367" i="116"/>
  <c r="J4367" i="116"/>
  <c r="I4367" i="116"/>
  <c r="H4367" i="116"/>
  <c r="G4367" i="116"/>
  <c r="F4367" i="116"/>
  <c r="E4367" i="116"/>
  <c r="D4367" i="116"/>
  <c r="C4367" i="116"/>
  <c r="B4367" i="116"/>
  <c r="K4366" i="116"/>
  <c r="J4366" i="116"/>
  <c r="I4366" i="116"/>
  <c r="H4366" i="116"/>
  <c r="G4366" i="116"/>
  <c r="F4366" i="116"/>
  <c r="E4366" i="116"/>
  <c r="D4366" i="116"/>
  <c r="C4366" i="116"/>
  <c r="B4366" i="116"/>
  <c r="K4365" i="116"/>
  <c r="J4365" i="116"/>
  <c r="I4365" i="116"/>
  <c r="H4365" i="116"/>
  <c r="G4365" i="116"/>
  <c r="F4365" i="116"/>
  <c r="E4365" i="116"/>
  <c r="D4365" i="116"/>
  <c r="C4365" i="116"/>
  <c r="B4365" i="116"/>
  <c r="K4364" i="116"/>
  <c r="J4364" i="116"/>
  <c r="I4364" i="116"/>
  <c r="H4364" i="116"/>
  <c r="G4364" i="116"/>
  <c r="F4364" i="116"/>
  <c r="E4364" i="116"/>
  <c r="D4364" i="116"/>
  <c r="C4364" i="116"/>
  <c r="B4364" i="116"/>
  <c r="K4363" i="116"/>
  <c r="J4363" i="116"/>
  <c r="I4363" i="116"/>
  <c r="H4363" i="116"/>
  <c r="G4363" i="116"/>
  <c r="F4363" i="116"/>
  <c r="E4363" i="116"/>
  <c r="D4363" i="116"/>
  <c r="C4363" i="116"/>
  <c r="B4363" i="116"/>
  <c r="K4362" i="116"/>
  <c r="J4362" i="116"/>
  <c r="I4362" i="116"/>
  <c r="H4362" i="116"/>
  <c r="G4362" i="116"/>
  <c r="F4362" i="116"/>
  <c r="E4362" i="116"/>
  <c r="D4362" i="116"/>
  <c r="C4362" i="116"/>
  <c r="B4362" i="116"/>
  <c r="K4361" i="116"/>
  <c r="J4361" i="116"/>
  <c r="I4361" i="116"/>
  <c r="H4361" i="116"/>
  <c r="G4361" i="116"/>
  <c r="F4361" i="116"/>
  <c r="E4361" i="116"/>
  <c r="D4361" i="116"/>
  <c r="C4361" i="116"/>
  <c r="B4361" i="116"/>
  <c r="K4360" i="116"/>
  <c r="J4360" i="116"/>
  <c r="I4360" i="116"/>
  <c r="H4360" i="116"/>
  <c r="G4360" i="116"/>
  <c r="F4360" i="116"/>
  <c r="E4360" i="116"/>
  <c r="D4360" i="116"/>
  <c r="C4360" i="116"/>
  <c r="B4360" i="116"/>
  <c r="K4359" i="116"/>
  <c r="J4359" i="116"/>
  <c r="I4359" i="116"/>
  <c r="H4359" i="116"/>
  <c r="G4359" i="116"/>
  <c r="F4359" i="116"/>
  <c r="E4359" i="116"/>
  <c r="D4359" i="116"/>
  <c r="C4359" i="116"/>
  <c r="B4359" i="116"/>
  <c r="K4358" i="116"/>
  <c r="J4358" i="116"/>
  <c r="I4358" i="116"/>
  <c r="H4358" i="116"/>
  <c r="G4358" i="116"/>
  <c r="F4358" i="116"/>
  <c r="E4358" i="116"/>
  <c r="D4358" i="116"/>
  <c r="C4358" i="116"/>
  <c r="B4358" i="116"/>
  <c r="K4357" i="116"/>
  <c r="J4357" i="116"/>
  <c r="I4357" i="116"/>
  <c r="H4357" i="116"/>
  <c r="G4357" i="116"/>
  <c r="F4357" i="116"/>
  <c r="E4357" i="116"/>
  <c r="D4357" i="116"/>
  <c r="C4357" i="116"/>
  <c r="B4357" i="116"/>
  <c r="K4356" i="116"/>
  <c r="J4356" i="116"/>
  <c r="I4356" i="116"/>
  <c r="H4356" i="116"/>
  <c r="G4356" i="116"/>
  <c r="F4356" i="116"/>
  <c r="E4356" i="116"/>
  <c r="D4356" i="116"/>
  <c r="C4356" i="116"/>
  <c r="B4356" i="116"/>
  <c r="K4355" i="116"/>
  <c r="J4355" i="116"/>
  <c r="I4355" i="116"/>
  <c r="H4355" i="116"/>
  <c r="G4355" i="116"/>
  <c r="F4355" i="116"/>
  <c r="E4355" i="116"/>
  <c r="D4355" i="116"/>
  <c r="C4355" i="116"/>
  <c r="B4355" i="116"/>
  <c r="K4354" i="116"/>
  <c r="J4354" i="116"/>
  <c r="I4354" i="116"/>
  <c r="H4354" i="116"/>
  <c r="G4354" i="116"/>
  <c r="F4354" i="116"/>
  <c r="E4354" i="116"/>
  <c r="D4354" i="116"/>
  <c r="C4354" i="116"/>
  <c r="B4354" i="116"/>
  <c r="K4353" i="116"/>
  <c r="J4353" i="116"/>
  <c r="I4353" i="116"/>
  <c r="H4353" i="116"/>
  <c r="G4353" i="116"/>
  <c r="F4353" i="116"/>
  <c r="E4353" i="116"/>
  <c r="D4353" i="116"/>
  <c r="C4353" i="116"/>
  <c r="B4353" i="116"/>
  <c r="K4352" i="116"/>
  <c r="J4352" i="116"/>
  <c r="I4352" i="116"/>
  <c r="H4352" i="116"/>
  <c r="G4352" i="116"/>
  <c r="F4352" i="116"/>
  <c r="E4352" i="116"/>
  <c r="D4352" i="116"/>
  <c r="C4352" i="116"/>
  <c r="B4352" i="116"/>
  <c r="K4351" i="116"/>
  <c r="J4351" i="116"/>
  <c r="I4351" i="116"/>
  <c r="H4351" i="116"/>
  <c r="G4351" i="116"/>
  <c r="F4351" i="116"/>
  <c r="E4351" i="116"/>
  <c r="D4351" i="116"/>
  <c r="C4351" i="116"/>
  <c r="B4351" i="116"/>
  <c r="K4350" i="116"/>
  <c r="J4350" i="116"/>
  <c r="I4350" i="116"/>
  <c r="H4350" i="116"/>
  <c r="G4350" i="116"/>
  <c r="F4350" i="116"/>
  <c r="E4350" i="116"/>
  <c r="D4350" i="116"/>
  <c r="C4350" i="116"/>
  <c r="B4350" i="116"/>
  <c r="K4349" i="116"/>
  <c r="J4349" i="116"/>
  <c r="I4349" i="116"/>
  <c r="H4349" i="116"/>
  <c r="G4349" i="116"/>
  <c r="F4349" i="116"/>
  <c r="E4349" i="116"/>
  <c r="D4349" i="116"/>
  <c r="C4349" i="116"/>
  <c r="B4349" i="116"/>
  <c r="K4348" i="116"/>
  <c r="J4348" i="116"/>
  <c r="I4348" i="116"/>
  <c r="H4348" i="116"/>
  <c r="G4348" i="116"/>
  <c r="F4348" i="116"/>
  <c r="E4348" i="116"/>
  <c r="D4348" i="116"/>
  <c r="C4348" i="116"/>
  <c r="B4348" i="116"/>
  <c r="K4347" i="116"/>
  <c r="J4347" i="116"/>
  <c r="I4347" i="116"/>
  <c r="H4347" i="116"/>
  <c r="G4347" i="116"/>
  <c r="F4347" i="116"/>
  <c r="E4347" i="116"/>
  <c r="D4347" i="116"/>
  <c r="C4347" i="116"/>
  <c r="B4347" i="116"/>
  <c r="K4346" i="116"/>
  <c r="J4346" i="116"/>
  <c r="I4346" i="116"/>
  <c r="H4346" i="116"/>
  <c r="G4346" i="116"/>
  <c r="F4346" i="116"/>
  <c r="E4346" i="116"/>
  <c r="D4346" i="116"/>
  <c r="C4346" i="116"/>
  <c r="B4346" i="116"/>
  <c r="K4345" i="116"/>
  <c r="J4345" i="116"/>
  <c r="I4345" i="116"/>
  <c r="H4345" i="116"/>
  <c r="G4345" i="116"/>
  <c r="F4345" i="116"/>
  <c r="E4345" i="116"/>
  <c r="D4345" i="116"/>
  <c r="C4345" i="116"/>
  <c r="B4345" i="116"/>
  <c r="K4344" i="116"/>
  <c r="J4344" i="116"/>
  <c r="I4344" i="116"/>
  <c r="H4344" i="116"/>
  <c r="G4344" i="116"/>
  <c r="F4344" i="116"/>
  <c r="E4344" i="116"/>
  <c r="D4344" i="116"/>
  <c r="C4344" i="116"/>
  <c r="B4344" i="116"/>
  <c r="K4343" i="116"/>
  <c r="J4343" i="116"/>
  <c r="I4343" i="116"/>
  <c r="H4343" i="116"/>
  <c r="G4343" i="116"/>
  <c r="F4343" i="116"/>
  <c r="E4343" i="116"/>
  <c r="D4343" i="116"/>
  <c r="C4343" i="116"/>
  <c r="B4343" i="116"/>
  <c r="K4342" i="116"/>
  <c r="J4342" i="116"/>
  <c r="I4342" i="116"/>
  <c r="H4342" i="116"/>
  <c r="G4342" i="116"/>
  <c r="F4342" i="116"/>
  <c r="E4342" i="116"/>
  <c r="D4342" i="116"/>
  <c r="C4342" i="116"/>
  <c r="B4342" i="116"/>
  <c r="K4341" i="116"/>
  <c r="J4341" i="116"/>
  <c r="I4341" i="116"/>
  <c r="H4341" i="116"/>
  <c r="G4341" i="116"/>
  <c r="F4341" i="116"/>
  <c r="E4341" i="116"/>
  <c r="D4341" i="116"/>
  <c r="C4341" i="116"/>
  <c r="B4341" i="116"/>
  <c r="K4340" i="116"/>
  <c r="J4340" i="116"/>
  <c r="I4340" i="116"/>
  <c r="H4340" i="116"/>
  <c r="G4340" i="116"/>
  <c r="F4340" i="116"/>
  <c r="E4340" i="116"/>
  <c r="D4340" i="116"/>
  <c r="C4340" i="116"/>
  <c r="B4340" i="116"/>
  <c r="K4339" i="116"/>
  <c r="J4339" i="116"/>
  <c r="I4339" i="116"/>
  <c r="H4339" i="116"/>
  <c r="G4339" i="116"/>
  <c r="F4339" i="116"/>
  <c r="E4339" i="116"/>
  <c r="D4339" i="116"/>
  <c r="C4339" i="116"/>
  <c r="B4339" i="116"/>
  <c r="K4338" i="116"/>
  <c r="J4338" i="116"/>
  <c r="I4338" i="116"/>
  <c r="H4338" i="116"/>
  <c r="G4338" i="116"/>
  <c r="F4338" i="116"/>
  <c r="E4338" i="116"/>
  <c r="D4338" i="116"/>
  <c r="C4338" i="116"/>
  <c r="B4338" i="116"/>
  <c r="K4337" i="116"/>
  <c r="J4337" i="116"/>
  <c r="I4337" i="116"/>
  <c r="H4337" i="116"/>
  <c r="G4337" i="116"/>
  <c r="F4337" i="116"/>
  <c r="E4337" i="116"/>
  <c r="D4337" i="116"/>
  <c r="C4337" i="116"/>
  <c r="B4337" i="116"/>
  <c r="K4336" i="116"/>
  <c r="J4336" i="116"/>
  <c r="I4336" i="116"/>
  <c r="H4336" i="116"/>
  <c r="G4336" i="116"/>
  <c r="F4336" i="116"/>
  <c r="E4336" i="116"/>
  <c r="D4336" i="116"/>
  <c r="C4336" i="116"/>
  <c r="B4336" i="116"/>
  <c r="K4335" i="116"/>
  <c r="J4335" i="116"/>
  <c r="I4335" i="116"/>
  <c r="H4335" i="116"/>
  <c r="G4335" i="116"/>
  <c r="F4335" i="116"/>
  <c r="E4335" i="116"/>
  <c r="D4335" i="116"/>
  <c r="C4335" i="116"/>
  <c r="B4335" i="116"/>
  <c r="K4334" i="116"/>
  <c r="J4334" i="116"/>
  <c r="I4334" i="116"/>
  <c r="H4334" i="116"/>
  <c r="G4334" i="116"/>
  <c r="F4334" i="116"/>
  <c r="E4334" i="116"/>
  <c r="D4334" i="116"/>
  <c r="C4334" i="116"/>
  <c r="B4334" i="116"/>
  <c r="K4333" i="116"/>
  <c r="J4333" i="116"/>
  <c r="I4333" i="116"/>
  <c r="H4333" i="116"/>
  <c r="G4333" i="116"/>
  <c r="F4333" i="116"/>
  <c r="E4333" i="116"/>
  <c r="D4333" i="116"/>
  <c r="C4333" i="116"/>
  <c r="B4333" i="116"/>
  <c r="K4332" i="116"/>
  <c r="J4332" i="116"/>
  <c r="I4332" i="116"/>
  <c r="H4332" i="116"/>
  <c r="G4332" i="116"/>
  <c r="F4332" i="116"/>
  <c r="E4332" i="116"/>
  <c r="D4332" i="116"/>
  <c r="C4332" i="116"/>
  <c r="B4332" i="116"/>
  <c r="K4331" i="116"/>
  <c r="J4331" i="116"/>
  <c r="I4331" i="116"/>
  <c r="H4331" i="116"/>
  <c r="G4331" i="116"/>
  <c r="F4331" i="116"/>
  <c r="E4331" i="116"/>
  <c r="D4331" i="116"/>
  <c r="C4331" i="116"/>
  <c r="B4331" i="116"/>
  <c r="K4330" i="116"/>
  <c r="J4330" i="116"/>
  <c r="I4330" i="116"/>
  <c r="H4330" i="116"/>
  <c r="G4330" i="116"/>
  <c r="F4330" i="116"/>
  <c r="E4330" i="116"/>
  <c r="D4330" i="116"/>
  <c r="C4330" i="116"/>
  <c r="B4330" i="116"/>
  <c r="K4329" i="116"/>
  <c r="J4329" i="116"/>
  <c r="I4329" i="116"/>
  <c r="H4329" i="116"/>
  <c r="G4329" i="116"/>
  <c r="F4329" i="116"/>
  <c r="E4329" i="116"/>
  <c r="D4329" i="116"/>
  <c r="C4329" i="116"/>
  <c r="B4329" i="116"/>
  <c r="K4328" i="116"/>
  <c r="J4328" i="116"/>
  <c r="I4328" i="116"/>
  <c r="H4328" i="116"/>
  <c r="G4328" i="116"/>
  <c r="F4328" i="116"/>
  <c r="E4328" i="116"/>
  <c r="D4328" i="116"/>
  <c r="C4328" i="116"/>
  <c r="B4328" i="116"/>
  <c r="K4327" i="116"/>
  <c r="J4327" i="116"/>
  <c r="I4327" i="116"/>
  <c r="H4327" i="116"/>
  <c r="G4327" i="116"/>
  <c r="F4327" i="116"/>
  <c r="E4327" i="116"/>
  <c r="D4327" i="116"/>
  <c r="C4327" i="116"/>
  <c r="B4327" i="116"/>
  <c r="K4326" i="116"/>
  <c r="J4326" i="116"/>
  <c r="I4326" i="116"/>
  <c r="H4326" i="116"/>
  <c r="G4326" i="116"/>
  <c r="F4326" i="116"/>
  <c r="E4326" i="116"/>
  <c r="D4326" i="116"/>
  <c r="C4326" i="116"/>
  <c r="B4326" i="116"/>
  <c r="K4325" i="116"/>
  <c r="J4325" i="116"/>
  <c r="I4325" i="116"/>
  <c r="H4325" i="116"/>
  <c r="G4325" i="116"/>
  <c r="F4325" i="116"/>
  <c r="E4325" i="116"/>
  <c r="D4325" i="116"/>
  <c r="C4325" i="116"/>
  <c r="B4325" i="116"/>
  <c r="K4324" i="116"/>
  <c r="J4324" i="116"/>
  <c r="I4324" i="116"/>
  <c r="H4324" i="116"/>
  <c r="G4324" i="116"/>
  <c r="F4324" i="116"/>
  <c r="E4324" i="116"/>
  <c r="D4324" i="116"/>
  <c r="C4324" i="116"/>
  <c r="B4324" i="116"/>
  <c r="K4323" i="116"/>
  <c r="J4323" i="116"/>
  <c r="I4323" i="116"/>
  <c r="H4323" i="116"/>
  <c r="G4323" i="116"/>
  <c r="F4323" i="116"/>
  <c r="E4323" i="116"/>
  <c r="D4323" i="116"/>
  <c r="C4323" i="116"/>
  <c r="B4323" i="116"/>
  <c r="K4322" i="116"/>
  <c r="J4322" i="116"/>
  <c r="I4322" i="116"/>
  <c r="H4322" i="116"/>
  <c r="G4322" i="116"/>
  <c r="F4322" i="116"/>
  <c r="E4322" i="116"/>
  <c r="D4322" i="116"/>
  <c r="C4322" i="116"/>
  <c r="B4322" i="116"/>
  <c r="K4321" i="116"/>
  <c r="J4321" i="116"/>
  <c r="I4321" i="116"/>
  <c r="H4321" i="116"/>
  <c r="G4321" i="116"/>
  <c r="F4321" i="116"/>
  <c r="E4321" i="116"/>
  <c r="D4321" i="116"/>
  <c r="C4321" i="116"/>
  <c r="B4321" i="116"/>
  <c r="K4320" i="116"/>
  <c r="J4320" i="116"/>
  <c r="I4320" i="116"/>
  <c r="H4320" i="116"/>
  <c r="G4320" i="116"/>
  <c r="F4320" i="116"/>
  <c r="E4320" i="116"/>
  <c r="D4320" i="116"/>
  <c r="C4320" i="116"/>
  <c r="B4320" i="116"/>
  <c r="K4319" i="116"/>
  <c r="J4319" i="116"/>
  <c r="I4319" i="116"/>
  <c r="H4319" i="116"/>
  <c r="G4319" i="116"/>
  <c r="F4319" i="116"/>
  <c r="E4319" i="116"/>
  <c r="D4319" i="116"/>
  <c r="C4319" i="116"/>
  <c r="B4319" i="116"/>
  <c r="K4318" i="116"/>
  <c r="J4318" i="116"/>
  <c r="I4318" i="116"/>
  <c r="H4318" i="116"/>
  <c r="G4318" i="116"/>
  <c r="F4318" i="116"/>
  <c r="E4318" i="116"/>
  <c r="D4318" i="116"/>
  <c r="C4318" i="116"/>
  <c r="B4318" i="116"/>
  <c r="K4317" i="116"/>
  <c r="J4317" i="116"/>
  <c r="I4317" i="116"/>
  <c r="H4317" i="116"/>
  <c r="G4317" i="116"/>
  <c r="F4317" i="116"/>
  <c r="E4317" i="116"/>
  <c r="D4317" i="116"/>
  <c r="C4317" i="116"/>
  <c r="B4317" i="116"/>
  <c r="K4316" i="116"/>
  <c r="J4316" i="116"/>
  <c r="I4316" i="116"/>
  <c r="H4316" i="116"/>
  <c r="G4316" i="116"/>
  <c r="F4316" i="116"/>
  <c r="E4316" i="116"/>
  <c r="D4316" i="116"/>
  <c r="C4316" i="116"/>
  <c r="B4316" i="116"/>
  <c r="K4315" i="116"/>
  <c r="J4315" i="116"/>
  <c r="I4315" i="116"/>
  <c r="H4315" i="116"/>
  <c r="G4315" i="116"/>
  <c r="F4315" i="116"/>
  <c r="E4315" i="116"/>
  <c r="D4315" i="116"/>
  <c r="C4315" i="116"/>
  <c r="B4315" i="116"/>
  <c r="K4314" i="116"/>
  <c r="J4314" i="116"/>
  <c r="I4314" i="116"/>
  <c r="H4314" i="116"/>
  <c r="G4314" i="116"/>
  <c r="F4314" i="116"/>
  <c r="E4314" i="116"/>
  <c r="D4314" i="116"/>
  <c r="C4314" i="116"/>
  <c r="B4314" i="116"/>
  <c r="K4313" i="116"/>
  <c r="J4313" i="116"/>
  <c r="I4313" i="116"/>
  <c r="H4313" i="116"/>
  <c r="G4313" i="116"/>
  <c r="F4313" i="116"/>
  <c r="E4313" i="116"/>
  <c r="D4313" i="116"/>
  <c r="C4313" i="116"/>
  <c r="B4313" i="116"/>
  <c r="K4312" i="116"/>
  <c r="J4312" i="116"/>
  <c r="I4312" i="116"/>
  <c r="H4312" i="116"/>
  <c r="G4312" i="116"/>
  <c r="F4312" i="116"/>
  <c r="E4312" i="116"/>
  <c r="D4312" i="116"/>
  <c r="C4312" i="116"/>
  <c r="B4312" i="116"/>
  <c r="K4311" i="116"/>
  <c r="J4311" i="116"/>
  <c r="I4311" i="116"/>
  <c r="H4311" i="116"/>
  <c r="G4311" i="116"/>
  <c r="F4311" i="116"/>
  <c r="E4311" i="116"/>
  <c r="D4311" i="116"/>
  <c r="C4311" i="116"/>
  <c r="B4311" i="116"/>
  <c r="K4310" i="116"/>
  <c r="J4310" i="116"/>
  <c r="I4310" i="116"/>
  <c r="H4310" i="116"/>
  <c r="G4310" i="116"/>
  <c r="F4310" i="116"/>
  <c r="E4310" i="116"/>
  <c r="D4310" i="116"/>
  <c r="C4310" i="116"/>
  <c r="B4310" i="116"/>
  <c r="K4309" i="116"/>
  <c r="J4309" i="116"/>
  <c r="I4309" i="116"/>
  <c r="H4309" i="116"/>
  <c r="G4309" i="116"/>
  <c r="F4309" i="116"/>
  <c r="E4309" i="116"/>
  <c r="D4309" i="116"/>
  <c r="C4309" i="116"/>
  <c r="B4309" i="116"/>
  <c r="K4308" i="116"/>
  <c r="J4308" i="116"/>
  <c r="I4308" i="116"/>
  <c r="H4308" i="116"/>
  <c r="G4308" i="116"/>
  <c r="F4308" i="116"/>
  <c r="E4308" i="116"/>
  <c r="D4308" i="116"/>
  <c r="C4308" i="116"/>
  <c r="B4308" i="116"/>
  <c r="K4307" i="116"/>
  <c r="J4307" i="116"/>
  <c r="I4307" i="116"/>
  <c r="H4307" i="116"/>
  <c r="G4307" i="116"/>
  <c r="F4307" i="116"/>
  <c r="E4307" i="116"/>
  <c r="D4307" i="116"/>
  <c r="C4307" i="116"/>
  <c r="B4307" i="116"/>
  <c r="K4306" i="116"/>
  <c r="J4306" i="116"/>
  <c r="I4306" i="116"/>
  <c r="H4306" i="116"/>
  <c r="G4306" i="116"/>
  <c r="F4306" i="116"/>
  <c r="E4306" i="116"/>
  <c r="D4306" i="116"/>
  <c r="C4306" i="116"/>
  <c r="B4306" i="116"/>
  <c r="K4305" i="116"/>
  <c r="J4305" i="116"/>
  <c r="I4305" i="116"/>
  <c r="H4305" i="116"/>
  <c r="G4305" i="116"/>
  <c r="F4305" i="116"/>
  <c r="E4305" i="116"/>
  <c r="D4305" i="116"/>
  <c r="C4305" i="116"/>
  <c r="B4305" i="116"/>
  <c r="K4304" i="116"/>
  <c r="J4304" i="116"/>
  <c r="I4304" i="116"/>
  <c r="H4304" i="116"/>
  <c r="G4304" i="116"/>
  <c r="F4304" i="116"/>
  <c r="E4304" i="116"/>
  <c r="D4304" i="116"/>
  <c r="C4304" i="116"/>
  <c r="B4304" i="116"/>
  <c r="K4303" i="116"/>
  <c r="J4303" i="116"/>
  <c r="I4303" i="116"/>
  <c r="H4303" i="116"/>
  <c r="G4303" i="116"/>
  <c r="F4303" i="116"/>
  <c r="E4303" i="116"/>
  <c r="D4303" i="116"/>
  <c r="C4303" i="116"/>
  <c r="B4303" i="116"/>
  <c r="K4302" i="116"/>
  <c r="J4302" i="116"/>
  <c r="I4302" i="116"/>
  <c r="H4302" i="116"/>
  <c r="G4302" i="116"/>
  <c r="F4302" i="116"/>
  <c r="E4302" i="116"/>
  <c r="D4302" i="116"/>
  <c r="C4302" i="116"/>
  <c r="B4302" i="116"/>
  <c r="K4301" i="116"/>
  <c r="J4301" i="116"/>
  <c r="I4301" i="116"/>
  <c r="H4301" i="116"/>
  <c r="G4301" i="116"/>
  <c r="F4301" i="116"/>
  <c r="E4301" i="116"/>
  <c r="D4301" i="116"/>
  <c r="C4301" i="116"/>
  <c r="B4301" i="116"/>
  <c r="K4300" i="116"/>
  <c r="J4300" i="116"/>
  <c r="I4300" i="116"/>
  <c r="H4300" i="116"/>
  <c r="G4300" i="116"/>
  <c r="F4300" i="116"/>
  <c r="E4300" i="116"/>
  <c r="D4300" i="116"/>
  <c r="C4300" i="116"/>
  <c r="B4300" i="116"/>
  <c r="K4299" i="116"/>
  <c r="J4299" i="116"/>
  <c r="I4299" i="116"/>
  <c r="H4299" i="116"/>
  <c r="G4299" i="116"/>
  <c r="F4299" i="116"/>
  <c r="E4299" i="116"/>
  <c r="D4299" i="116"/>
  <c r="C4299" i="116"/>
  <c r="B4299" i="116"/>
  <c r="K4298" i="116"/>
  <c r="J4298" i="116"/>
  <c r="I4298" i="116"/>
  <c r="H4298" i="116"/>
  <c r="G4298" i="116"/>
  <c r="F4298" i="116"/>
  <c r="E4298" i="116"/>
  <c r="D4298" i="116"/>
  <c r="C4298" i="116"/>
  <c r="B4298" i="116"/>
  <c r="K4297" i="116"/>
  <c r="J4297" i="116"/>
  <c r="I4297" i="116"/>
  <c r="H4297" i="116"/>
  <c r="G4297" i="116"/>
  <c r="F4297" i="116"/>
  <c r="E4297" i="116"/>
  <c r="D4297" i="116"/>
  <c r="C4297" i="116"/>
  <c r="B4297" i="116"/>
  <c r="K4296" i="116"/>
  <c r="J4296" i="116"/>
  <c r="I4296" i="116"/>
  <c r="H4296" i="116"/>
  <c r="G4296" i="116"/>
  <c r="F4296" i="116"/>
  <c r="E4296" i="116"/>
  <c r="D4296" i="116"/>
  <c r="C4296" i="116"/>
  <c r="B4296" i="116"/>
  <c r="K4295" i="116"/>
  <c r="J4295" i="116"/>
  <c r="I4295" i="116"/>
  <c r="H4295" i="116"/>
  <c r="G4295" i="116"/>
  <c r="F4295" i="116"/>
  <c r="E4295" i="116"/>
  <c r="D4295" i="116"/>
  <c r="C4295" i="116"/>
  <c r="B4295" i="116"/>
  <c r="K4294" i="116"/>
  <c r="J4294" i="116"/>
  <c r="I4294" i="116"/>
  <c r="H4294" i="116"/>
  <c r="G4294" i="116"/>
  <c r="F4294" i="116"/>
  <c r="E4294" i="116"/>
  <c r="D4294" i="116"/>
  <c r="C4294" i="116"/>
  <c r="B4294" i="116"/>
  <c r="K4293" i="116"/>
  <c r="J4293" i="116"/>
  <c r="I4293" i="116"/>
  <c r="H4293" i="116"/>
  <c r="G4293" i="116"/>
  <c r="F4293" i="116"/>
  <c r="E4293" i="116"/>
  <c r="D4293" i="116"/>
  <c r="C4293" i="116"/>
  <c r="B4293" i="116"/>
  <c r="K4292" i="116"/>
  <c r="J4292" i="116"/>
  <c r="I4292" i="116"/>
  <c r="H4292" i="116"/>
  <c r="G4292" i="116"/>
  <c r="F4292" i="116"/>
  <c r="E4292" i="116"/>
  <c r="D4292" i="116"/>
  <c r="C4292" i="116"/>
  <c r="B4292" i="116"/>
  <c r="K4291" i="116"/>
  <c r="J4291" i="116"/>
  <c r="I4291" i="116"/>
  <c r="H4291" i="116"/>
  <c r="G4291" i="116"/>
  <c r="F4291" i="116"/>
  <c r="E4291" i="116"/>
  <c r="D4291" i="116"/>
  <c r="C4291" i="116"/>
  <c r="B4291" i="116"/>
  <c r="K4290" i="116"/>
  <c r="J4290" i="116"/>
  <c r="I4290" i="116"/>
  <c r="H4290" i="116"/>
  <c r="G4290" i="116"/>
  <c r="F4290" i="116"/>
  <c r="E4290" i="116"/>
  <c r="D4290" i="116"/>
  <c r="C4290" i="116"/>
  <c r="B4290" i="116"/>
  <c r="K4289" i="116"/>
  <c r="J4289" i="116"/>
  <c r="I4289" i="116"/>
  <c r="H4289" i="116"/>
  <c r="G4289" i="116"/>
  <c r="F4289" i="116"/>
  <c r="E4289" i="116"/>
  <c r="D4289" i="116"/>
  <c r="C4289" i="116"/>
  <c r="B4289" i="116"/>
  <c r="K4288" i="116"/>
  <c r="J4288" i="116"/>
  <c r="I4288" i="116"/>
  <c r="H4288" i="116"/>
  <c r="G4288" i="116"/>
  <c r="F4288" i="116"/>
  <c r="E4288" i="116"/>
  <c r="D4288" i="116"/>
  <c r="C4288" i="116"/>
  <c r="B4288" i="116"/>
  <c r="K4287" i="116"/>
  <c r="J4287" i="116"/>
  <c r="I4287" i="116"/>
  <c r="H4287" i="116"/>
  <c r="G4287" i="116"/>
  <c r="F4287" i="116"/>
  <c r="E4287" i="116"/>
  <c r="D4287" i="116"/>
  <c r="C4287" i="116"/>
  <c r="B4287" i="116"/>
  <c r="K4286" i="116"/>
  <c r="J4286" i="116"/>
  <c r="I4286" i="116"/>
  <c r="H4286" i="116"/>
  <c r="G4286" i="116"/>
  <c r="F4286" i="116"/>
  <c r="E4286" i="116"/>
  <c r="D4286" i="116"/>
  <c r="C4286" i="116"/>
  <c r="B4286" i="116"/>
  <c r="K4285" i="116"/>
  <c r="J4285" i="116"/>
  <c r="I4285" i="116"/>
  <c r="H4285" i="116"/>
  <c r="G4285" i="116"/>
  <c r="F4285" i="116"/>
  <c r="E4285" i="116"/>
  <c r="D4285" i="116"/>
  <c r="C4285" i="116"/>
  <c r="B4285" i="116"/>
  <c r="K4284" i="116"/>
  <c r="J4284" i="116"/>
  <c r="I4284" i="116"/>
  <c r="H4284" i="116"/>
  <c r="G4284" i="116"/>
  <c r="F4284" i="116"/>
  <c r="E4284" i="116"/>
  <c r="D4284" i="116"/>
  <c r="C4284" i="116"/>
  <c r="B4284" i="116"/>
  <c r="K4283" i="116"/>
  <c r="J4283" i="116"/>
  <c r="I4283" i="116"/>
  <c r="H4283" i="116"/>
  <c r="G4283" i="116"/>
  <c r="F4283" i="116"/>
  <c r="E4283" i="116"/>
  <c r="D4283" i="116"/>
  <c r="C4283" i="116"/>
  <c r="B4283" i="116"/>
  <c r="K4282" i="116"/>
  <c r="J4282" i="116"/>
  <c r="I4282" i="116"/>
  <c r="H4282" i="116"/>
  <c r="G4282" i="116"/>
  <c r="F4282" i="116"/>
  <c r="E4282" i="116"/>
  <c r="D4282" i="116"/>
  <c r="C4282" i="116"/>
  <c r="B4282" i="116"/>
  <c r="K4281" i="116"/>
  <c r="J4281" i="116"/>
  <c r="I4281" i="116"/>
  <c r="H4281" i="116"/>
  <c r="G4281" i="116"/>
  <c r="F4281" i="116"/>
  <c r="E4281" i="116"/>
  <c r="D4281" i="116"/>
  <c r="C4281" i="116"/>
  <c r="B4281" i="116"/>
  <c r="K4280" i="116"/>
  <c r="J4280" i="116"/>
  <c r="I4280" i="116"/>
  <c r="H4280" i="116"/>
  <c r="G4280" i="116"/>
  <c r="F4280" i="116"/>
  <c r="E4280" i="116"/>
  <c r="D4280" i="116"/>
  <c r="C4280" i="116"/>
  <c r="B4280" i="116"/>
  <c r="K4279" i="116"/>
  <c r="J4279" i="116"/>
  <c r="I4279" i="116"/>
  <c r="H4279" i="116"/>
  <c r="G4279" i="116"/>
  <c r="F4279" i="116"/>
  <c r="E4279" i="116"/>
  <c r="D4279" i="116"/>
  <c r="C4279" i="116"/>
  <c r="B4279" i="116"/>
  <c r="K4278" i="116"/>
  <c r="J4278" i="116"/>
  <c r="I4278" i="116"/>
  <c r="H4278" i="116"/>
  <c r="G4278" i="116"/>
  <c r="F4278" i="116"/>
  <c r="E4278" i="116"/>
  <c r="D4278" i="116"/>
  <c r="C4278" i="116"/>
  <c r="B4278" i="116"/>
  <c r="K4277" i="116"/>
  <c r="J4277" i="116"/>
  <c r="I4277" i="116"/>
  <c r="H4277" i="116"/>
  <c r="G4277" i="116"/>
  <c r="F4277" i="116"/>
  <c r="E4277" i="116"/>
  <c r="D4277" i="116"/>
  <c r="C4277" i="116"/>
  <c r="B4277" i="116"/>
  <c r="K4276" i="116"/>
  <c r="J4276" i="116"/>
  <c r="I4276" i="116"/>
  <c r="H4276" i="116"/>
  <c r="G4276" i="116"/>
  <c r="F4276" i="116"/>
  <c r="E4276" i="116"/>
  <c r="D4276" i="116"/>
  <c r="C4276" i="116"/>
  <c r="B4276" i="116"/>
  <c r="K4275" i="116"/>
  <c r="J4275" i="116"/>
  <c r="I4275" i="116"/>
  <c r="H4275" i="116"/>
  <c r="G4275" i="116"/>
  <c r="F4275" i="116"/>
  <c r="E4275" i="116"/>
  <c r="D4275" i="116"/>
  <c r="C4275" i="116"/>
  <c r="B4275" i="116"/>
  <c r="K4274" i="116"/>
  <c r="J4274" i="116"/>
  <c r="I4274" i="116"/>
  <c r="H4274" i="116"/>
  <c r="G4274" i="116"/>
  <c r="F4274" i="116"/>
  <c r="E4274" i="116"/>
  <c r="D4274" i="116"/>
  <c r="C4274" i="116"/>
  <c r="B4274" i="116"/>
  <c r="K4273" i="116"/>
  <c r="J4273" i="116"/>
  <c r="I4273" i="116"/>
  <c r="H4273" i="116"/>
  <c r="G4273" i="116"/>
  <c r="F4273" i="116"/>
  <c r="E4273" i="116"/>
  <c r="D4273" i="116"/>
  <c r="C4273" i="116"/>
  <c r="B4273" i="116"/>
  <c r="K4272" i="116"/>
  <c r="J4272" i="116"/>
  <c r="I4272" i="116"/>
  <c r="H4272" i="116"/>
  <c r="G4272" i="116"/>
  <c r="F4272" i="116"/>
  <c r="E4272" i="116"/>
  <c r="D4272" i="116"/>
  <c r="C4272" i="116"/>
  <c r="B4272" i="116"/>
  <c r="K4271" i="116"/>
  <c r="J4271" i="116"/>
  <c r="I4271" i="116"/>
  <c r="H4271" i="116"/>
  <c r="G4271" i="116"/>
  <c r="F4271" i="116"/>
  <c r="E4271" i="116"/>
  <c r="D4271" i="116"/>
  <c r="C4271" i="116"/>
  <c r="B4271" i="116"/>
  <c r="K4270" i="116"/>
  <c r="J4270" i="116"/>
  <c r="I4270" i="116"/>
  <c r="H4270" i="116"/>
  <c r="G4270" i="116"/>
  <c r="F4270" i="116"/>
  <c r="E4270" i="116"/>
  <c r="D4270" i="116"/>
  <c r="C4270" i="116"/>
  <c r="B4270" i="116"/>
  <c r="K4269" i="116"/>
  <c r="J4269" i="116"/>
  <c r="I4269" i="116"/>
  <c r="H4269" i="116"/>
  <c r="G4269" i="116"/>
  <c r="F4269" i="116"/>
  <c r="E4269" i="116"/>
  <c r="D4269" i="116"/>
  <c r="C4269" i="116"/>
  <c r="B4269" i="116"/>
  <c r="K4268" i="116"/>
  <c r="J4268" i="116"/>
  <c r="I4268" i="116"/>
  <c r="H4268" i="116"/>
  <c r="G4268" i="116"/>
  <c r="F4268" i="116"/>
  <c r="E4268" i="116"/>
  <c r="D4268" i="116"/>
  <c r="C4268" i="116"/>
  <c r="B4268" i="116"/>
  <c r="K4267" i="116"/>
  <c r="J4267" i="116"/>
  <c r="I4267" i="116"/>
  <c r="H4267" i="116"/>
  <c r="G4267" i="116"/>
  <c r="F4267" i="116"/>
  <c r="E4267" i="116"/>
  <c r="D4267" i="116"/>
  <c r="C4267" i="116"/>
  <c r="B4267" i="116"/>
  <c r="K4266" i="116"/>
  <c r="J4266" i="116"/>
  <c r="I4266" i="116"/>
  <c r="H4266" i="116"/>
  <c r="G4266" i="116"/>
  <c r="F4266" i="116"/>
  <c r="E4266" i="116"/>
  <c r="D4266" i="116"/>
  <c r="C4266" i="116"/>
  <c r="B4266" i="116"/>
  <c r="K4265" i="116"/>
  <c r="J4265" i="116"/>
  <c r="I4265" i="116"/>
  <c r="H4265" i="116"/>
  <c r="G4265" i="116"/>
  <c r="F4265" i="116"/>
  <c r="E4265" i="116"/>
  <c r="D4265" i="116"/>
  <c r="C4265" i="116"/>
  <c r="B4265" i="116"/>
  <c r="K4264" i="116"/>
  <c r="J4264" i="116"/>
  <c r="I4264" i="116"/>
  <c r="H4264" i="116"/>
  <c r="G4264" i="116"/>
  <c r="F4264" i="116"/>
  <c r="E4264" i="116"/>
  <c r="D4264" i="116"/>
  <c r="C4264" i="116"/>
  <c r="B4264" i="116"/>
  <c r="K4263" i="116"/>
  <c r="J4263" i="116"/>
  <c r="I4263" i="116"/>
  <c r="H4263" i="116"/>
  <c r="G4263" i="116"/>
  <c r="F4263" i="116"/>
  <c r="E4263" i="116"/>
  <c r="D4263" i="116"/>
  <c r="C4263" i="116"/>
  <c r="B4263" i="116"/>
  <c r="K4262" i="116"/>
  <c r="J4262" i="116"/>
  <c r="I4262" i="116"/>
  <c r="H4262" i="116"/>
  <c r="G4262" i="116"/>
  <c r="F4262" i="116"/>
  <c r="E4262" i="116"/>
  <c r="D4262" i="116"/>
  <c r="C4262" i="116"/>
  <c r="B4262" i="116"/>
  <c r="K4261" i="116"/>
  <c r="J4261" i="116"/>
  <c r="I4261" i="116"/>
  <c r="H4261" i="116"/>
  <c r="G4261" i="116"/>
  <c r="F4261" i="116"/>
  <c r="E4261" i="116"/>
  <c r="D4261" i="116"/>
  <c r="C4261" i="116"/>
  <c r="B4261" i="116"/>
  <c r="K4260" i="116"/>
  <c r="J4260" i="116"/>
  <c r="I4260" i="116"/>
  <c r="H4260" i="116"/>
  <c r="G4260" i="116"/>
  <c r="F4260" i="116"/>
  <c r="E4260" i="116"/>
  <c r="D4260" i="116"/>
  <c r="C4260" i="116"/>
  <c r="B4260" i="116"/>
  <c r="K4259" i="116"/>
  <c r="J4259" i="116"/>
  <c r="I4259" i="116"/>
  <c r="H4259" i="116"/>
  <c r="G4259" i="116"/>
  <c r="F4259" i="116"/>
  <c r="E4259" i="116"/>
  <c r="D4259" i="116"/>
  <c r="C4259" i="116"/>
  <c r="B4259" i="116"/>
  <c r="K4258" i="116"/>
  <c r="J4258" i="116"/>
  <c r="I4258" i="116"/>
  <c r="H4258" i="116"/>
  <c r="G4258" i="116"/>
  <c r="F4258" i="116"/>
  <c r="E4258" i="116"/>
  <c r="D4258" i="116"/>
  <c r="C4258" i="116"/>
  <c r="B4258" i="116"/>
  <c r="K4257" i="116"/>
  <c r="J4257" i="116"/>
  <c r="I4257" i="116"/>
  <c r="H4257" i="116"/>
  <c r="G4257" i="116"/>
  <c r="F4257" i="116"/>
  <c r="E4257" i="116"/>
  <c r="D4257" i="116"/>
  <c r="C4257" i="116"/>
  <c r="B4257" i="116"/>
  <c r="K4256" i="116"/>
  <c r="J4256" i="116"/>
  <c r="I4256" i="116"/>
  <c r="H4256" i="116"/>
  <c r="G4256" i="116"/>
  <c r="F4256" i="116"/>
  <c r="E4256" i="116"/>
  <c r="D4256" i="116"/>
  <c r="C4256" i="116"/>
  <c r="B4256" i="116"/>
  <c r="K4255" i="116"/>
  <c r="J4255" i="116"/>
  <c r="I4255" i="116"/>
  <c r="H4255" i="116"/>
  <c r="G4255" i="116"/>
  <c r="F4255" i="116"/>
  <c r="E4255" i="116"/>
  <c r="D4255" i="116"/>
  <c r="C4255" i="116"/>
  <c r="B4255" i="116"/>
  <c r="K4254" i="116"/>
  <c r="J4254" i="116"/>
  <c r="I4254" i="116"/>
  <c r="H4254" i="116"/>
  <c r="G4254" i="116"/>
  <c r="F4254" i="116"/>
  <c r="E4254" i="116"/>
  <c r="D4254" i="116"/>
  <c r="C4254" i="116"/>
  <c r="B4254" i="116"/>
  <c r="K4253" i="116"/>
  <c r="J4253" i="116"/>
  <c r="I4253" i="116"/>
  <c r="H4253" i="116"/>
  <c r="G4253" i="116"/>
  <c r="F4253" i="116"/>
  <c r="E4253" i="116"/>
  <c r="D4253" i="116"/>
  <c r="C4253" i="116"/>
  <c r="B4253" i="116"/>
  <c r="K4252" i="116"/>
  <c r="J4252" i="116"/>
  <c r="I4252" i="116"/>
  <c r="H4252" i="116"/>
  <c r="G4252" i="116"/>
  <c r="F4252" i="116"/>
  <c r="E4252" i="116"/>
  <c r="D4252" i="116"/>
  <c r="C4252" i="116"/>
  <c r="B4252" i="116"/>
  <c r="K4251" i="116"/>
  <c r="J4251" i="116"/>
  <c r="I4251" i="116"/>
  <c r="H4251" i="116"/>
  <c r="G4251" i="116"/>
  <c r="F4251" i="116"/>
  <c r="E4251" i="116"/>
  <c r="D4251" i="116"/>
  <c r="C4251" i="116"/>
  <c r="B4251" i="116"/>
  <c r="K4250" i="116"/>
  <c r="J4250" i="116"/>
  <c r="I4250" i="116"/>
  <c r="H4250" i="116"/>
  <c r="G4250" i="116"/>
  <c r="F4250" i="116"/>
  <c r="E4250" i="116"/>
  <c r="D4250" i="116"/>
  <c r="C4250" i="116"/>
  <c r="B4250" i="116"/>
  <c r="K4249" i="116"/>
  <c r="J4249" i="116"/>
  <c r="I4249" i="116"/>
  <c r="H4249" i="116"/>
  <c r="G4249" i="116"/>
  <c r="F4249" i="116"/>
  <c r="E4249" i="116"/>
  <c r="D4249" i="116"/>
  <c r="C4249" i="116"/>
  <c r="B4249" i="116"/>
  <c r="K4248" i="116"/>
  <c r="J4248" i="116"/>
  <c r="I4248" i="116"/>
  <c r="H4248" i="116"/>
  <c r="G4248" i="116"/>
  <c r="F4248" i="116"/>
  <c r="E4248" i="116"/>
  <c r="D4248" i="116"/>
  <c r="C4248" i="116"/>
  <c r="B4248" i="116"/>
  <c r="K4247" i="116"/>
  <c r="J4247" i="116"/>
  <c r="I4247" i="116"/>
  <c r="H4247" i="116"/>
  <c r="G4247" i="116"/>
  <c r="F4247" i="116"/>
  <c r="E4247" i="116"/>
  <c r="D4247" i="116"/>
  <c r="C4247" i="116"/>
  <c r="B4247" i="116"/>
  <c r="K4246" i="116"/>
  <c r="J4246" i="116"/>
  <c r="I4246" i="116"/>
  <c r="H4246" i="116"/>
  <c r="G4246" i="116"/>
  <c r="F4246" i="116"/>
  <c r="E4246" i="116"/>
  <c r="D4246" i="116"/>
  <c r="C4246" i="116"/>
  <c r="B4246" i="116"/>
  <c r="K4245" i="116"/>
  <c r="J4245" i="116"/>
  <c r="I4245" i="116"/>
  <c r="H4245" i="116"/>
  <c r="G4245" i="116"/>
  <c r="F4245" i="116"/>
  <c r="E4245" i="116"/>
  <c r="D4245" i="116"/>
  <c r="C4245" i="116"/>
  <c r="B4245" i="116"/>
  <c r="K4244" i="116"/>
  <c r="J4244" i="116"/>
  <c r="I4244" i="116"/>
  <c r="H4244" i="116"/>
  <c r="G4244" i="116"/>
  <c r="F4244" i="116"/>
  <c r="E4244" i="116"/>
  <c r="D4244" i="116"/>
  <c r="C4244" i="116"/>
  <c r="B4244" i="116"/>
  <c r="K4243" i="116"/>
  <c r="J4243" i="116"/>
  <c r="I4243" i="116"/>
  <c r="H4243" i="116"/>
  <c r="G4243" i="116"/>
  <c r="F4243" i="116"/>
  <c r="E4243" i="116"/>
  <c r="D4243" i="116"/>
  <c r="C4243" i="116"/>
  <c r="B4243" i="116"/>
  <c r="K4242" i="116"/>
  <c r="J4242" i="116"/>
  <c r="I4242" i="116"/>
  <c r="H4242" i="116"/>
  <c r="G4242" i="116"/>
  <c r="F4242" i="116"/>
  <c r="E4242" i="116"/>
  <c r="D4242" i="116"/>
  <c r="C4242" i="116"/>
  <c r="B4242" i="116"/>
  <c r="K4241" i="116"/>
  <c r="J4241" i="116"/>
  <c r="I4241" i="116"/>
  <c r="H4241" i="116"/>
  <c r="G4241" i="116"/>
  <c r="F4241" i="116"/>
  <c r="E4241" i="116"/>
  <c r="D4241" i="116"/>
  <c r="C4241" i="116"/>
  <c r="B4241" i="116"/>
  <c r="K4240" i="116"/>
  <c r="J4240" i="116"/>
  <c r="I4240" i="116"/>
  <c r="H4240" i="116"/>
  <c r="G4240" i="116"/>
  <c r="F4240" i="116"/>
  <c r="E4240" i="116"/>
  <c r="D4240" i="116"/>
  <c r="C4240" i="116"/>
  <c r="B4240" i="116"/>
  <c r="K4239" i="116"/>
  <c r="J4239" i="116"/>
  <c r="I4239" i="116"/>
  <c r="H4239" i="116"/>
  <c r="G4239" i="116"/>
  <c r="F4239" i="116"/>
  <c r="E4239" i="116"/>
  <c r="D4239" i="116"/>
  <c r="C4239" i="116"/>
  <c r="B4239" i="116"/>
  <c r="K4238" i="116"/>
  <c r="J4238" i="116"/>
  <c r="I4238" i="116"/>
  <c r="H4238" i="116"/>
  <c r="G4238" i="116"/>
  <c r="F4238" i="116"/>
  <c r="E4238" i="116"/>
  <c r="D4238" i="116"/>
  <c r="C4238" i="116"/>
  <c r="B4238" i="116"/>
  <c r="K4237" i="116"/>
  <c r="J4237" i="116"/>
  <c r="I4237" i="116"/>
  <c r="H4237" i="116"/>
  <c r="G4237" i="116"/>
  <c r="F4237" i="116"/>
  <c r="E4237" i="116"/>
  <c r="D4237" i="116"/>
  <c r="C4237" i="116"/>
  <c r="B4237" i="116"/>
  <c r="K4236" i="116"/>
  <c r="J4236" i="116"/>
  <c r="I4236" i="116"/>
  <c r="H4236" i="116"/>
  <c r="G4236" i="116"/>
  <c r="F4236" i="116"/>
  <c r="E4236" i="116"/>
  <c r="D4236" i="116"/>
  <c r="C4236" i="116"/>
  <c r="B4236" i="116"/>
  <c r="K4235" i="116"/>
  <c r="J4235" i="116"/>
  <c r="I4235" i="116"/>
  <c r="H4235" i="116"/>
  <c r="G4235" i="116"/>
  <c r="F4235" i="116"/>
  <c r="E4235" i="116"/>
  <c r="D4235" i="116"/>
  <c r="C4235" i="116"/>
  <c r="B4235" i="116"/>
  <c r="K4234" i="116"/>
  <c r="J4234" i="116"/>
  <c r="I4234" i="116"/>
  <c r="H4234" i="116"/>
  <c r="G4234" i="116"/>
  <c r="F4234" i="116"/>
  <c r="E4234" i="116"/>
  <c r="D4234" i="116"/>
  <c r="C4234" i="116"/>
  <c r="B4234" i="116"/>
  <c r="K4233" i="116"/>
  <c r="J4233" i="116"/>
  <c r="I4233" i="116"/>
  <c r="H4233" i="116"/>
  <c r="G4233" i="116"/>
  <c r="F4233" i="116"/>
  <c r="E4233" i="116"/>
  <c r="D4233" i="116"/>
  <c r="C4233" i="116"/>
  <c r="B4233" i="116"/>
  <c r="K4232" i="116"/>
  <c r="J4232" i="116"/>
  <c r="I4232" i="116"/>
  <c r="H4232" i="116"/>
  <c r="G4232" i="116"/>
  <c r="F4232" i="116"/>
  <c r="E4232" i="116"/>
  <c r="D4232" i="116"/>
  <c r="C4232" i="116"/>
  <c r="B4232" i="116"/>
  <c r="K4231" i="116"/>
  <c r="J4231" i="116"/>
  <c r="I4231" i="116"/>
  <c r="H4231" i="116"/>
  <c r="G4231" i="116"/>
  <c r="F4231" i="116"/>
  <c r="E4231" i="116"/>
  <c r="D4231" i="116"/>
  <c r="C4231" i="116"/>
  <c r="B4231" i="116"/>
  <c r="K4230" i="116"/>
  <c r="J4230" i="116"/>
  <c r="I4230" i="116"/>
  <c r="H4230" i="116"/>
  <c r="G4230" i="116"/>
  <c r="F4230" i="116"/>
  <c r="E4230" i="116"/>
  <c r="D4230" i="116"/>
  <c r="C4230" i="116"/>
  <c r="B4230" i="116"/>
  <c r="K4229" i="116"/>
  <c r="J4229" i="116"/>
  <c r="I4229" i="116"/>
  <c r="H4229" i="116"/>
  <c r="G4229" i="116"/>
  <c r="F4229" i="116"/>
  <c r="E4229" i="116"/>
  <c r="D4229" i="116"/>
  <c r="C4229" i="116"/>
  <c r="B4229" i="116"/>
  <c r="K4228" i="116"/>
  <c r="J4228" i="116"/>
  <c r="I4228" i="116"/>
  <c r="H4228" i="116"/>
  <c r="G4228" i="116"/>
  <c r="F4228" i="116"/>
  <c r="E4228" i="116"/>
  <c r="D4228" i="116"/>
  <c r="C4228" i="116"/>
  <c r="B4228" i="116"/>
  <c r="K4227" i="116"/>
  <c r="J4227" i="116"/>
  <c r="I4227" i="116"/>
  <c r="H4227" i="116"/>
  <c r="G4227" i="116"/>
  <c r="F4227" i="116"/>
  <c r="E4227" i="116"/>
  <c r="D4227" i="116"/>
  <c r="C4227" i="116"/>
  <c r="B4227" i="116"/>
  <c r="K4226" i="116"/>
  <c r="J4226" i="116"/>
  <c r="I4226" i="116"/>
  <c r="H4226" i="116"/>
  <c r="G4226" i="116"/>
  <c r="F4226" i="116"/>
  <c r="E4226" i="116"/>
  <c r="D4226" i="116"/>
  <c r="C4226" i="116"/>
  <c r="B4226" i="116"/>
  <c r="K4225" i="116"/>
  <c r="J4225" i="116"/>
  <c r="I4225" i="116"/>
  <c r="H4225" i="116"/>
  <c r="G4225" i="116"/>
  <c r="F4225" i="116"/>
  <c r="E4225" i="116"/>
  <c r="D4225" i="116"/>
  <c r="C4225" i="116"/>
  <c r="B4225" i="116"/>
  <c r="K4224" i="116"/>
  <c r="J4224" i="116"/>
  <c r="I4224" i="116"/>
  <c r="H4224" i="116"/>
  <c r="G4224" i="116"/>
  <c r="F4224" i="116"/>
  <c r="E4224" i="116"/>
  <c r="D4224" i="116"/>
  <c r="C4224" i="116"/>
  <c r="B4224" i="116"/>
  <c r="K4223" i="116"/>
  <c r="J4223" i="116"/>
  <c r="I4223" i="116"/>
  <c r="H4223" i="116"/>
  <c r="G4223" i="116"/>
  <c r="F4223" i="116"/>
  <c r="E4223" i="116"/>
  <c r="D4223" i="116"/>
  <c r="C4223" i="116"/>
  <c r="B4223" i="116"/>
  <c r="K4222" i="116"/>
  <c r="J4222" i="116"/>
  <c r="I4222" i="116"/>
  <c r="H4222" i="116"/>
  <c r="G4222" i="116"/>
  <c r="F4222" i="116"/>
  <c r="E4222" i="116"/>
  <c r="D4222" i="116"/>
  <c r="C4222" i="116"/>
  <c r="B4222" i="116"/>
  <c r="K4221" i="116"/>
  <c r="J4221" i="116"/>
  <c r="I4221" i="116"/>
  <c r="H4221" i="116"/>
  <c r="G4221" i="116"/>
  <c r="F4221" i="116"/>
  <c r="E4221" i="116"/>
  <c r="D4221" i="116"/>
  <c r="C4221" i="116"/>
  <c r="B4221" i="116"/>
  <c r="K4220" i="116"/>
  <c r="J4220" i="116"/>
  <c r="I4220" i="116"/>
  <c r="H4220" i="116"/>
  <c r="G4220" i="116"/>
  <c r="F4220" i="116"/>
  <c r="E4220" i="116"/>
  <c r="D4220" i="116"/>
  <c r="C4220" i="116"/>
  <c r="B4220" i="116"/>
  <c r="K4219" i="116"/>
  <c r="J4219" i="116"/>
  <c r="I4219" i="116"/>
  <c r="H4219" i="116"/>
  <c r="G4219" i="116"/>
  <c r="F4219" i="116"/>
  <c r="E4219" i="116"/>
  <c r="D4219" i="116"/>
  <c r="C4219" i="116"/>
  <c r="B4219" i="116"/>
  <c r="K4218" i="116"/>
  <c r="J4218" i="116"/>
  <c r="I4218" i="116"/>
  <c r="H4218" i="116"/>
  <c r="G4218" i="116"/>
  <c r="F4218" i="116"/>
  <c r="E4218" i="116"/>
  <c r="D4218" i="116"/>
  <c r="C4218" i="116"/>
  <c r="B4218" i="116"/>
  <c r="K4217" i="116"/>
  <c r="J4217" i="116"/>
  <c r="I4217" i="116"/>
  <c r="H4217" i="116"/>
  <c r="G4217" i="116"/>
  <c r="F4217" i="116"/>
  <c r="E4217" i="116"/>
  <c r="D4217" i="116"/>
  <c r="C4217" i="116"/>
  <c r="B4217" i="116"/>
  <c r="K4216" i="116"/>
  <c r="J4216" i="116"/>
  <c r="I4216" i="116"/>
  <c r="H4216" i="116"/>
  <c r="G4216" i="116"/>
  <c r="F4216" i="116"/>
  <c r="E4216" i="116"/>
  <c r="D4216" i="116"/>
  <c r="C4216" i="116"/>
  <c r="B4216" i="116"/>
  <c r="K4215" i="116"/>
  <c r="J4215" i="116"/>
  <c r="I4215" i="116"/>
  <c r="H4215" i="116"/>
  <c r="G4215" i="116"/>
  <c r="F4215" i="116"/>
  <c r="E4215" i="116"/>
  <c r="D4215" i="116"/>
  <c r="C4215" i="116"/>
  <c r="B4215" i="116"/>
  <c r="K4214" i="116"/>
  <c r="J4214" i="116"/>
  <c r="I4214" i="116"/>
  <c r="H4214" i="116"/>
  <c r="G4214" i="116"/>
  <c r="F4214" i="116"/>
  <c r="E4214" i="116"/>
  <c r="D4214" i="116"/>
  <c r="C4214" i="116"/>
  <c r="B4214" i="116"/>
  <c r="K4213" i="116"/>
  <c r="J4213" i="116"/>
  <c r="I4213" i="116"/>
  <c r="H4213" i="116"/>
  <c r="G4213" i="116"/>
  <c r="F4213" i="116"/>
  <c r="E4213" i="116"/>
  <c r="D4213" i="116"/>
  <c r="C4213" i="116"/>
  <c r="B4213" i="116"/>
  <c r="K4212" i="116"/>
  <c r="J4212" i="116"/>
  <c r="I4212" i="116"/>
  <c r="H4212" i="116"/>
  <c r="G4212" i="116"/>
  <c r="F4212" i="116"/>
  <c r="E4212" i="116"/>
  <c r="D4212" i="116"/>
  <c r="C4212" i="116"/>
  <c r="B4212" i="116"/>
  <c r="K4211" i="116"/>
  <c r="J4211" i="116"/>
  <c r="I4211" i="116"/>
  <c r="H4211" i="116"/>
  <c r="G4211" i="116"/>
  <c r="F4211" i="116"/>
  <c r="E4211" i="116"/>
  <c r="D4211" i="116"/>
  <c r="C4211" i="116"/>
  <c r="B4211" i="116"/>
  <c r="K4210" i="116"/>
  <c r="J4210" i="116"/>
  <c r="I4210" i="116"/>
  <c r="H4210" i="116"/>
  <c r="G4210" i="116"/>
  <c r="F4210" i="116"/>
  <c r="E4210" i="116"/>
  <c r="D4210" i="116"/>
  <c r="C4210" i="116"/>
  <c r="B4210" i="116"/>
  <c r="K4209" i="116"/>
  <c r="J4209" i="116"/>
  <c r="I4209" i="116"/>
  <c r="H4209" i="116"/>
  <c r="G4209" i="116"/>
  <c r="F4209" i="116"/>
  <c r="E4209" i="116"/>
  <c r="D4209" i="116"/>
  <c r="C4209" i="116"/>
  <c r="B4209" i="116"/>
  <c r="K4208" i="116"/>
  <c r="J4208" i="116"/>
  <c r="I4208" i="116"/>
  <c r="H4208" i="116"/>
  <c r="G4208" i="116"/>
  <c r="F4208" i="116"/>
  <c r="E4208" i="116"/>
  <c r="D4208" i="116"/>
  <c r="C4208" i="116"/>
  <c r="B4208" i="116"/>
  <c r="K4207" i="116"/>
  <c r="J4207" i="116"/>
  <c r="I4207" i="116"/>
  <c r="H4207" i="116"/>
  <c r="G4207" i="116"/>
  <c r="F4207" i="116"/>
  <c r="E4207" i="116"/>
  <c r="D4207" i="116"/>
  <c r="C4207" i="116"/>
  <c r="B4207" i="116"/>
  <c r="K4206" i="116"/>
  <c r="J4206" i="116"/>
  <c r="I4206" i="116"/>
  <c r="H4206" i="116"/>
  <c r="G4206" i="116"/>
  <c r="F4206" i="116"/>
  <c r="E4206" i="116"/>
  <c r="D4206" i="116"/>
  <c r="C4206" i="116"/>
  <c r="B4206" i="116"/>
  <c r="K4205" i="116"/>
  <c r="J4205" i="116"/>
  <c r="I4205" i="116"/>
  <c r="H4205" i="116"/>
  <c r="G4205" i="116"/>
  <c r="F4205" i="116"/>
  <c r="E4205" i="116"/>
  <c r="D4205" i="116"/>
  <c r="C4205" i="116"/>
  <c r="B4205" i="116"/>
  <c r="K4204" i="116"/>
  <c r="J4204" i="116"/>
  <c r="I4204" i="116"/>
  <c r="H4204" i="116"/>
  <c r="G4204" i="116"/>
  <c r="F4204" i="116"/>
  <c r="E4204" i="116"/>
  <c r="D4204" i="116"/>
  <c r="C4204" i="116"/>
  <c r="B4204" i="116"/>
  <c r="K4203" i="116"/>
  <c r="J4203" i="116"/>
  <c r="I4203" i="116"/>
  <c r="H4203" i="116"/>
  <c r="G4203" i="116"/>
  <c r="F4203" i="116"/>
  <c r="E4203" i="116"/>
  <c r="D4203" i="116"/>
  <c r="C4203" i="116"/>
  <c r="B4203" i="116"/>
  <c r="K4202" i="116"/>
  <c r="J4202" i="116"/>
  <c r="I4202" i="116"/>
  <c r="H4202" i="116"/>
  <c r="G4202" i="116"/>
  <c r="F4202" i="116"/>
  <c r="E4202" i="116"/>
  <c r="D4202" i="116"/>
  <c r="C4202" i="116"/>
  <c r="B4202" i="116"/>
  <c r="K4201" i="116"/>
  <c r="J4201" i="116"/>
  <c r="I4201" i="116"/>
  <c r="H4201" i="116"/>
  <c r="G4201" i="116"/>
  <c r="F4201" i="116"/>
  <c r="E4201" i="116"/>
  <c r="D4201" i="116"/>
  <c r="C4201" i="116"/>
  <c r="B4201" i="116"/>
  <c r="K4200" i="116"/>
  <c r="J4200" i="116"/>
  <c r="I4200" i="116"/>
  <c r="H4200" i="116"/>
  <c r="G4200" i="116"/>
  <c r="F4200" i="116"/>
  <c r="E4200" i="116"/>
  <c r="D4200" i="116"/>
  <c r="C4200" i="116"/>
  <c r="B4200" i="116"/>
  <c r="K4199" i="116"/>
  <c r="J4199" i="116"/>
  <c r="I4199" i="116"/>
  <c r="H4199" i="116"/>
  <c r="G4199" i="116"/>
  <c r="F4199" i="116"/>
  <c r="E4199" i="116"/>
  <c r="D4199" i="116"/>
  <c r="C4199" i="116"/>
  <c r="B4199" i="116"/>
  <c r="K4198" i="116"/>
  <c r="J4198" i="116"/>
  <c r="I4198" i="116"/>
  <c r="H4198" i="116"/>
  <c r="G4198" i="116"/>
  <c r="F4198" i="116"/>
  <c r="E4198" i="116"/>
  <c r="D4198" i="116"/>
  <c r="C4198" i="116"/>
  <c r="B4198" i="116"/>
  <c r="K4197" i="116"/>
  <c r="J4197" i="116"/>
  <c r="I4197" i="116"/>
  <c r="H4197" i="116"/>
  <c r="G4197" i="116"/>
  <c r="F4197" i="116"/>
  <c r="E4197" i="116"/>
  <c r="D4197" i="116"/>
  <c r="C4197" i="116"/>
  <c r="B4197" i="116"/>
  <c r="K4196" i="116"/>
  <c r="J4196" i="116"/>
  <c r="I4196" i="116"/>
  <c r="H4196" i="116"/>
  <c r="G4196" i="116"/>
  <c r="F4196" i="116"/>
  <c r="E4196" i="116"/>
  <c r="D4196" i="116"/>
  <c r="C4196" i="116"/>
  <c r="B4196" i="116"/>
  <c r="K4195" i="116"/>
  <c r="J4195" i="116"/>
  <c r="I4195" i="116"/>
  <c r="H4195" i="116"/>
  <c r="G4195" i="116"/>
  <c r="F4195" i="116"/>
  <c r="E4195" i="116"/>
  <c r="D4195" i="116"/>
  <c r="C4195" i="116"/>
  <c r="B4195" i="116"/>
  <c r="K4194" i="116"/>
  <c r="J4194" i="116"/>
  <c r="I4194" i="116"/>
  <c r="H4194" i="116"/>
  <c r="G4194" i="116"/>
  <c r="F4194" i="116"/>
  <c r="E4194" i="116"/>
  <c r="D4194" i="116"/>
  <c r="C4194" i="116"/>
  <c r="B4194" i="116"/>
  <c r="K4193" i="116"/>
  <c r="J4193" i="116"/>
  <c r="I4193" i="116"/>
  <c r="H4193" i="116"/>
  <c r="G4193" i="116"/>
  <c r="F4193" i="116"/>
  <c r="E4193" i="116"/>
  <c r="D4193" i="116"/>
  <c r="C4193" i="116"/>
  <c r="B4193" i="116"/>
  <c r="K4192" i="116"/>
  <c r="J4192" i="116"/>
  <c r="I4192" i="116"/>
  <c r="H4192" i="116"/>
  <c r="G4192" i="116"/>
  <c r="F4192" i="116"/>
  <c r="E4192" i="116"/>
  <c r="D4192" i="116"/>
  <c r="C4192" i="116"/>
  <c r="B4192" i="116"/>
  <c r="K4191" i="116"/>
  <c r="J4191" i="116"/>
  <c r="I4191" i="116"/>
  <c r="H4191" i="116"/>
  <c r="G4191" i="116"/>
  <c r="F4191" i="116"/>
  <c r="E4191" i="116"/>
  <c r="D4191" i="116"/>
  <c r="C4191" i="116"/>
  <c r="B4191" i="116"/>
  <c r="K4190" i="116"/>
  <c r="J4190" i="116"/>
  <c r="I4190" i="116"/>
  <c r="H4190" i="116"/>
  <c r="G4190" i="116"/>
  <c r="F4190" i="116"/>
  <c r="E4190" i="116"/>
  <c r="D4190" i="116"/>
  <c r="C4190" i="116"/>
  <c r="B4190" i="116"/>
  <c r="K4189" i="116"/>
  <c r="J4189" i="116"/>
  <c r="I4189" i="116"/>
  <c r="H4189" i="116"/>
  <c r="G4189" i="116"/>
  <c r="F4189" i="116"/>
  <c r="E4189" i="116"/>
  <c r="D4189" i="116"/>
  <c r="C4189" i="116"/>
  <c r="B4189" i="116"/>
  <c r="K4188" i="116"/>
  <c r="J4188" i="116"/>
  <c r="I4188" i="116"/>
  <c r="H4188" i="116"/>
  <c r="G4188" i="116"/>
  <c r="F4188" i="116"/>
  <c r="E4188" i="116"/>
  <c r="D4188" i="116"/>
  <c r="C4188" i="116"/>
  <c r="B4188" i="116"/>
  <c r="K4187" i="116"/>
  <c r="J4187" i="116"/>
  <c r="I4187" i="116"/>
  <c r="H4187" i="116"/>
  <c r="G4187" i="116"/>
  <c r="F4187" i="116"/>
  <c r="E4187" i="116"/>
  <c r="D4187" i="116"/>
  <c r="C4187" i="116"/>
  <c r="B4187" i="116"/>
  <c r="K4186" i="116"/>
  <c r="J4186" i="116"/>
  <c r="I4186" i="116"/>
  <c r="H4186" i="116"/>
  <c r="G4186" i="116"/>
  <c r="F4186" i="116"/>
  <c r="E4186" i="116"/>
  <c r="D4186" i="116"/>
  <c r="C4186" i="116"/>
  <c r="B4186" i="116"/>
  <c r="K4185" i="116"/>
  <c r="J4185" i="116"/>
  <c r="I4185" i="116"/>
  <c r="H4185" i="116"/>
  <c r="G4185" i="116"/>
  <c r="F4185" i="116"/>
  <c r="E4185" i="116"/>
  <c r="D4185" i="116"/>
  <c r="C4185" i="116"/>
  <c r="B4185" i="116"/>
  <c r="K4184" i="116"/>
  <c r="J4184" i="116"/>
  <c r="I4184" i="116"/>
  <c r="H4184" i="116"/>
  <c r="G4184" i="116"/>
  <c r="F4184" i="116"/>
  <c r="E4184" i="116"/>
  <c r="D4184" i="116"/>
  <c r="C4184" i="116"/>
  <c r="B4184" i="116"/>
  <c r="K4183" i="116"/>
  <c r="J4183" i="116"/>
  <c r="I4183" i="116"/>
  <c r="H4183" i="116"/>
  <c r="G4183" i="116"/>
  <c r="F4183" i="116"/>
  <c r="E4183" i="116"/>
  <c r="D4183" i="116"/>
  <c r="C4183" i="116"/>
  <c r="B4183" i="116"/>
  <c r="K4182" i="116"/>
  <c r="J4182" i="116"/>
  <c r="I4182" i="116"/>
  <c r="H4182" i="116"/>
  <c r="G4182" i="116"/>
  <c r="F4182" i="116"/>
  <c r="E4182" i="116"/>
  <c r="D4182" i="116"/>
  <c r="C4182" i="116"/>
  <c r="B4182" i="116"/>
  <c r="K4181" i="116"/>
  <c r="J4181" i="116"/>
  <c r="I4181" i="116"/>
  <c r="H4181" i="116"/>
  <c r="G4181" i="116"/>
  <c r="F4181" i="116"/>
  <c r="E4181" i="116"/>
  <c r="D4181" i="116"/>
  <c r="C4181" i="116"/>
  <c r="B4181" i="116"/>
  <c r="K4180" i="116"/>
  <c r="J4180" i="116"/>
  <c r="I4180" i="116"/>
  <c r="H4180" i="116"/>
  <c r="G4180" i="116"/>
  <c r="F4180" i="116"/>
  <c r="E4180" i="116"/>
  <c r="D4180" i="116"/>
  <c r="C4180" i="116"/>
  <c r="B4180" i="116"/>
  <c r="K4179" i="116"/>
  <c r="J4179" i="116"/>
  <c r="I4179" i="116"/>
  <c r="H4179" i="116"/>
  <c r="G4179" i="116"/>
  <c r="F4179" i="116"/>
  <c r="E4179" i="116"/>
  <c r="D4179" i="116"/>
  <c r="C4179" i="116"/>
  <c r="B4179" i="116"/>
  <c r="K4178" i="116"/>
  <c r="J4178" i="116"/>
  <c r="I4178" i="116"/>
  <c r="H4178" i="116"/>
  <c r="G4178" i="116"/>
  <c r="F4178" i="116"/>
  <c r="E4178" i="116"/>
  <c r="D4178" i="116"/>
  <c r="C4178" i="116"/>
  <c r="B4178" i="116"/>
  <c r="K4177" i="116"/>
  <c r="J4177" i="116"/>
  <c r="I4177" i="116"/>
  <c r="H4177" i="116"/>
  <c r="G4177" i="116"/>
  <c r="F4177" i="116"/>
  <c r="E4177" i="116"/>
  <c r="D4177" i="116"/>
  <c r="C4177" i="116"/>
  <c r="B4177" i="116"/>
  <c r="K4176" i="116"/>
  <c r="J4176" i="116"/>
  <c r="I4176" i="116"/>
  <c r="H4176" i="116"/>
  <c r="G4176" i="116"/>
  <c r="F4176" i="116"/>
  <c r="E4176" i="116"/>
  <c r="D4176" i="116"/>
  <c r="C4176" i="116"/>
  <c r="B4176" i="116"/>
  <c r="K4175" i="116"/>
  <c r="J4175" i="116"/>
  <c r="I4175" i="116"/>
  <c r="H4175" i="116"/>
  <c r="G4175" i="116"/>
  <c r="F4175" i="116"/>
  <c r="E4175" i="116"/>
  <c r="D4175" i="116"/>
  <c r="C4175" i="116"/>
  <c r="B4175" i="116"/>
  <c r="K4174" i="116"/>
  <c r="J4174" i="116"/>
  <c r="I4174" i="116"/>
  <c r="H4174" i="116"/>
  <c r="G4174" i="116"/>
  <c r="F4174" i="116"/>
  <c r="E4174" i="116"/>
  <c r="D4174" i="116"/>
  <c r="C4174" i="116"/>
  <c r="B4174" i="116"/>
  <c r="K4173" i="116"/>
  <c r="J4173" i="116"/>
  <c r="I4173" i="116"/>
  <c r="H4173" i="116"/>
  <c r="G4173" i="116"/>
  <c r="F4173" i="116"/>
  <c r="E4173" i="116"/>
  <c r="D4173" i="116"/>
  <c r="C4173" i="116"/>
  <c r="B4173" i="116"/>
  <c r="K4172" i="116"/>
  <c r="J4172" i="116"/>
  <c r="I4172" i="116"/>
  <c r="H4172" i="116"/>
  <c r="G4172" i="116"/>
  <c r="F4172" i="116"/>
  <c r="E4172" i="116"/>
  <c r="D4172" i="116"/>
  <c r="C4172" i="116"/>
  <c r="B4172" i="116"/>
  <c r="K4171" i="116"/>
  <c r="J4171" i="116"/>
  <c r="I4171" i="116"/>
  <c r="H4171" i="116"/>
  <c r="G4171" i="116"/>
  <c r="F4171" i="116"/>
  <c r="E4171" i="116"/>
  <c r="D4171" i="116"/>
  <c r="C4171" i="116"/>
  <c r="B4171" i="116"/>
  <c r="K4170" i="116"/>
  <c r="J4170" i="116"/>
  <c r="I4170" i="116"/>
  <c r="H4170" i="116"/>
  <c r="G4170" i="116"/>
  <c r="F4170" i="116"/>
  <c r="E4170" i="116"/>
  <c r="D4170" i="116"/>
  <c r="C4170" i="116"/>
  <c r="B4170" i="116"/>
  <c r="K4169" i="116"/>
  <c r="J4169" i="116"/>
  <c r="I4169" i="116"/>
  <c r="H4169" i="116"/>
  <c r="G4169" i="116"/>
  <c r="F4169" i="116"/>
  <c r="E4169" i="116"/>
  <c r="D4169" i="116"/>
  <c r="C4169" i="116"/>
  <c r="B4169" i="116"/>
  <c r="K4168" i="116"/>
  <c r="J4168" i="116"/>
  <c r="I4168" i="116"/>
  <c r="H4168" i="116"/>
  <c r="G4168" i="116"/>
  <c r="F4168" i="116"/>
  <c r="E4168" i="116"/>
  <c r="D4168" i="116"/>
  <c r="C4168" i="116"/>
  <c r="B4168" i="116"/>
  <c r="K4167" i="116"/>
  <c r="J4167" i="116"/>
  <c r="I4167" i="116"/>
  <c r="H4167" i="116"/>
  <c r="G4167" i="116"/>
  <c r="F4167" i="116"/>
  <c r="E4167" i="116"/>
  <c r="D4167" i="116"/>
  <c r="C4167" i="116"/>
  <c r="B4167" i="116"/>
  <c r="K4166" i="116"/>
  <c r="J4166" i="116"/>
  <c r="I4166" i="116"/>
  <c r="H4166" i="116"/>
  <c r="G4166" i="116"/>
  <c r="F4166" i="116"/>
  <c r="E4166" i="116"/>
  <c r="D4166" i="116"/>
  <c r="C4166" i="116"/>
  <c r="B4166" i="116"/>
  <c r="K4165" i="116"/>
  <c r="J4165" i="116"/>
  <c r="I4165" i="116"/>
  <c r="H4165" i="116"/>
  <c r="G4165" i="116"/>
  <c r="F4165" i="116"/>
  <c r="E4165" i="116"/>
  <c r="D4165" i="116"/>
  <c r="C4165" i="116"/>
  <c r="B4165" i="116"/>
  <c r="K4164" i="116"/>
  <c r="J4164" i="116"/>
  <c r="I4164" i="116"/>
  <c r="H4164" i="116"/>
  <c r="G4164" i="116"/>
  <c r="F4164" i="116"/>
  <c r="E4164" i="116"/>
  <c r="D4164" i="116"/>
  <c r="C4164" i="116"/>
  <c r="B4164" i="116"/>
  <c r="K4163" i="116"/>
  <c r="J4163" i="116"/>
  <c r="I4163" i="116"/>
  <c r="H4163" i="116"/>
  <c r="G4163" i="116"/>
  <c r="F4163" i="116"/>
  <c r="E4163" i="116"/>
  <c r="D4163" i="116"/>
  <c r="C4163" i="116"/>
  <c r="B4163" i="116"/>
  <c r="K4162" i="116"/>
  <c r="J4162" i="116"/>
  <c r="I4162" i="116"/>
  <c r="H4162" i="116"/>
  <c r="G4162" i="116"/>
  <c r="F4162" i="116"/>
  <c r="E4162" i="116"/>
  <c r="D4162" i="116"/>
  <c r="C4162" i="116"/>
  <c r="B4162" i="116"/>
  <c r="K4161" i="116"/>
  <c r="J4161" i="116"/>
  <c r="I4161" i="116"/>
  <c r="H4161" i="116"/>
  <c r="G4161" i="116"/>
  <c r="F4161" i="116"/>
  <c r="E4161" i="116"/>
  <c r="D4161" i="116"/>
  <c r="C4161" i="116"/>
  <c r="B4161" i="116"/>
  <c r="K4160" i="116"/>
  <c r="J4160" i="116"/>
  <c r="I4160" i="116"/>
  <c r="H4160" i="116"/>
  <c r="G4160" i="116"/>
  <c r="F4160" i="116"/>
  <c r="E4160" i="116"/>
  <c r="D4160" i="116"/>
  <c r="C4160" i="116"/>
  <c r="B4160" i="116"/>
  <c r="K4159" i="116"/>
  <c r="J4159" i="116"/>
  <c r="I4159" i="116"/>
  <c r="H4159" i="116"/>
  <c r="G4159" i="116"/>
  <c r="F4159" i="116"/>
  <c r="E4159" i="116"/>
  <c r="D4159" i="116"/>
  <c r="C4159" i="116"/>
  <c r="B4159" i="116"/>
  <c r="K4158" i="116"/>
  <c r="J4158" i="116"/>
  <c r="I4158" i="116"/>
  <c r="H4158" i="116"/>
  <c r="G4158" i="116"/>
  <c r="F4158" i="116"/>
  <c r="E4158" i="116"/>
  <c r="D4158" i="116"/>
  <c r="C4158" i="116"/>
  <c r="B4158" i="116"/>
  <c r="K4157" i="116"/>
  <c r="J4157" i="116"/>
  <c r="I4157" i="116"/>
  <c r="H4157" i="116"/>
  <c r="G4157" i="116"/>
  <c r="F4157" i="116"/>
  <c r="E4157" i="116"/>
  <c r="D4157" i="116"/>
  <c r="C4157" i="116"/>
  <c r="B4157" i="116"/>
  <c r="K4156" i="116"/>
  <c r="J4156" i="116"/>
  <c r="I4156" i="116"/>
  <c r="H4156" i="116"/>
  <c r="G4156" i="116"/>
  <c r="F4156" i="116"/>
  <c r="E4156" i="116"/>
  <c r="D4156" i="116"/>
  <c r="C4156" i="116"/>
  <c r="B4156" i="116"/>
  <c r="K4155" i="116"/>
  <c r="J4155" i="116"/>
  <c r="I4155" i="116"/>
  <c r="H4155" i="116"/>
  <c r="G4155" i="116"/>
  <c r="F4155" i="116"/>
  <c r="E4155" i="116"/>
  <c r="D4155" i="116"/>
  <c r="C4155" i="116"/>
  <c r="B4155" i="116"/>
  <c r="K4154" i="116"/>
  <c r="J4154" i="116"/>
  <c r="I4154" i="116"/>
  <c r="H4154" i="116"/>
  <c r="G4154" i="116"/>
  <c r="F4154" i="116"/>
  <c r="E4154" i="116"/>
  <c r="D4154" i="116"/>
  <c r="C4154" i="116"/>
  <c r="B4154" i="116"/>
  <c r="K4153" i="116"/>
  <c r="J4153" i="116"/>
  <c r="I4153" i="116"/>
  <c r="H4153" i="116"/>
  <c r="G4153" i="116"/>
  <c r="F4153" i="116"/>
  <c r="E4153" i="116"/>
  <c r="D4153" i="116"/>
  <c r="C4153" i="116"/>
  <c r="B4153" i="116"/>
  <c r="K4152" i="116"/>
  <c r="J4152" i="116"/>
  <c r="I4152" i="116"/>
  <c r="H4152" i="116"/>
  <c r="G4152" i="116"/>
  <c r="F4152" i="116"/>
  <c r="E4152" i="116"/>
  <c r="D4152" i="116"/>
  <c r="C4152" i="116"/>
  <c r="B4152" i="116"/>
  <c r="K4151" i="116"/>
  <c r="J4151" i="116"/>
  <c r="I4151" i="116"/>
  <c r="H4151" i="116"/>
  <c r="G4151" i="116"/>
  <c r="F4151" i="116"/>
  <c r="E4151" i="116"/>
  <c r="D4151" i="116"/>
  <c r="C4151" i="116"/>
  <c r="B4151" i="116"/>
  <c r="K4150" i="116"/>
  <c r="J4150" i="116"/>
  <c r="I4150" i="116"/>
  <c r="H4150" i="116"/>
  <c r="G4150" i="116"/>
  <c r="F4150" i="116"/>
  <c r="E4150" i="116"/>
  <c r="D4150" i="116"/>
  <c r="C4150" i="116"/>
  <c r="B4150" i="116"/>
  <c r="K4149" i="116"/>
  <c r="J4149" i="116"/>
  <c r="I4149" i="116"/>
  <c r="H4149" i="116"/>
  <c r="G4149" i="116"/>
  <c r="F4149" i="116"/>
  <c r="E4149" i="116"/>
  <c r="D4149" i="116"/>
  <c r="C4149" i="116"/>
  <c r="B4149" i="116"/>
  <c r="K4148" i="116"/>
  <c r="J4148" i="116"/>
  <c r="I4148" i="116"/>
  <c r="H4148" i="116"/>
  <c r="G4148" i="116"/>
  <c r="F4148" i="116"/>
  <c r="E4148" i="116"/>
  <c r="D4148" i="116"/>
  <c r="C4148" i="116"/>
  <c r="B4148" i="116"/>
  <c r="K4147" i="116"/>
  <c r="J4147" i="116"/>
  <c r="I4147" i="116"/>
  <c r="H4147" i="116"/>
  <c r="G4147" i="116"/>
  <c r="F4147" i="116"/>
  <c r="E4147" i="116"/>
  <c r="D4147" i="116"/>
  <c r="C4147" i="116"/>
  <c r="B4147" i="116"/>
  <c r="K4146" i="116"/>
  <c r="J4146" i="116"/>
  <c r="I4146" i="116"/>
  <c r="H4146" i="116"/>
  <c r="G4146" i="116"/>
  <c r="F4146" i="116"/>
  <c r="E4146" i="116"/>
  <c r="D4146" i="116"/>
  <c r="C4146" i="116"/>
  <c r="B4146" i="116"/>
  <c r="K4145" i="116"/>
  <c r="J4145" i="116"/>
  <c r="I4145" i="116"/>
  <c r="H4145" i="116"/>
  <c r="G4145" i="116"/>
  <c r="F4145" i="116"/>
  <c r="E4145" i="116"/>
  <c r="D4145" i="116"/>
  <c r="C4145" i="116"/>
  <c r="B4145" i="116"/>
  <c r="K4144" i="116"/>
  <c r="J4144" i="116"/>
  <c r="I4144" i="116"/>
  <c r="H4144" i="116"/>
  <c r="G4144" i="116"/>
  <c r="F4144" i="116"/>
  <c r="E4144" i="116"/>
  <c r="D4144" i="116"/>
  <c r="C4144" i="116"/>
  <c r="B4144" i="116"/>
  <c r="K4143" i="116"/>
  <c r="J4143" i="116"/>
  <c r="I4143" i="116"/>
  <c r="H4143" i="116"/>
  <c r="G4143" i="116"/>
  <c r="F4143" i="116"/>
  <c r="E4143" i="116"/>
  <c r="D4143" i="116"/>
  <c r="C4143" i="116"/>
  <c r="B4143" i="116"/>
  <c r="K4142" i="116"/>
  <c r="J4142" i="116"/>
  <c r="I4142" i="116"/>
  <c r="H4142" i="116"/>
  <c r="G4142" i="116"/>
  <c r="F4142" i="116"/>
  <c r="E4142" i="116"/>
  <c r="D4142" i="116"/>
  <c r="C4142" i="116"/>
  <c r="B4142" i="116"/>
  <c r="K4141" i="116"/>
  <c r="J4141" i="116"/>
  <c r="I4141" i="116"/>
  <c r="H4141" i="116"/>
  <c r="G4141" i="116"/>
  <c r="F4141" i="116"/>
  <c r="E4141" i="116"/>
  <c r="D4141" i="116"/>
  <c r="C4141" i="116"/>
  <c r="B4141" i="116"/>
  <c r="K4140" i="116"/>
  <c r="J4140" i="116"/>
  <c r="I4140" i="116"/>
  <c r="H4140" i="116"/>
  <c r="G4140" i="116"/>
  <c r="F4140" i="116"/>
  <c r="E4140" i="116"/>
  <c r="D4140" i="116"/>
  <c r="C4140" i="116"/>
  <c r="B4140" i="116"/>
  <c r="K4139" i="116"/>
  <c r="J4139" i="116"/>
  <c r="I4139" i="116"/>
  <c r="H4139" i="116"/>
  <c r="G4139" i="116"/>
  <c r="F4139" i="116"/>
  <c r="E4139" i="116"/>
  <c r="D4139" i="116"/>
  <c r="C4139" i="116"/>
  <c r="B4139" i="116"/>
  <c r="K4138" i="116"/>
  <c r="J4138" i="116"/>
  <c r="I4138" i="116"/>
  <c r="H4138" i="116"/>
  <c r="G4138" i="116"/>
  <c r="F4138" i="116"/>
  <c r="E4138" i="116"/>
  <c r="D4138" i="116"/>
  <c r="C4138" i="116"/>
  <c r="B4138" i="116"/>
  <c r="K4137" i="116"/>
  <c r="J4137" i="116"/>
  <c r="I4137" i="116"/>
  <c r="H4137" i="116"/>
  <c r="G4137" i="116"/>
  <c r="F4137" i="116"/>
  <c r="E4137" i="116"/>
  <c r="D4137" i="116"/>
  <c r="C4137" i="116"/>
  <c r="B4137" i="116"/>
  <c r="K4136" i="116"/>
  <c r="J4136" i="116"/>
  <c r="I4136" i="116"/>
  <c r="H4136" i="116"/>
  <c r="G4136" i="116"/>
  <c r="F4136" i="116"/>
  <c r="E4136" i="116"/>
  <c r="D4136" i="116"/>
  <c r="C4136" i="116"/>
  <c r="B4136" i="116"/>
  <c r="K4135" i="116"/>
  <c r="J4135" i="116"/>
  <c r="I4135" i="116"/>
  <c r="H4135" i="116"/>
  <c r="G4135" i="116"/>
  <c r="F4135" i="116"/>
  <c r="E4135" i="116"/>
  <c r="D4135" i="116"/>
  <c r="C4135" i="116"/>
  <c r="B4135" i="116"/>
  <c r="K4134" i="116"/>
  <c r="J4134" i="116"/>
  <c r="I4134" i="116"/>
  <c r="H4134" i="116"/>
  <c r="G4134" i="116"/>
  <c r="F4134" i="116"/>
  <c r="E4134" i="116"/>
  <c r="D4134" i="116"/>
  <c r="C4134" i="116"/>
  <c r="B4134" i="116"/>
  <c r="K4133" i="116"/>
  <c r="J4133" i="116"/>
  <c r="I4133" i="116"/>
  <c r="H4133" i="116"/>
  <c r="G4133" i="116"/>
  <c r="F4133" i="116"/>
  <c r="E4133" i="116"/>
  <c r="D4133" i="116"/>
  <c r="C4133" i="116"/>
  <c r="B4133" i="116"/>
  <c r="K4132" i="116"/>
  <c r="J4132" i="116"/>
  <c r="I4132" i="116"/>
  <c r="H4132" i="116"/>
  <c r="G4132" i="116"/>
  <c r="F4132" i="116"/>
  <c r="E4132" i="116"/>
  <c r="D4132" i="116"/>
  <c r="C4132" i="116"/>
  <c r="B4132" i="116"/>
  <c r="K4131" i="116"/>
  <c r="J4131" i="116"/>
  <c r="I4131" i="116"/>
  <c r="H4131" i="116"/>
  <c r="G4131" i="116"/>
  <c r="F4131" i="116"/>
  <c r="E4131" i="116"/>
  <c r="D4131" i="116"/>
  <c r="C4131" i="116"/>
  <c r="B4131" i="116"/>
  <c r="K4130" i="116"/>
  <c r="J4130" i="116"/>
  <c r="I4130" i="116"/>
  <c r="H4130" i="116"/>
  <c r="G4130" i="116"/>
  <c r="F4130" i="116"/>
  <c r="E4130" i="116"/>
  <c r="D4130" i="116"/>
  <c r="C4130" i="116"/>
  <c r="B4130" i="116"/>
  <c r="K4129" i="116"/>
  <c r="J4129" i="116"/>
  <c r="I4129" i="116"/>
  <c r="H4129" i="116"/>
  <c r="G4129" i="116"/>
  <c r="F4129" i="116"/>
  <c r="E4129" i="116"/>
  <c r="D4129" i="116"/>
  <c r="C4129" i="116"/>
  <c r="B4129" i="116"/>
  <c r="K4128" i="116"/>
  <c r="J4128" i="116"/>
  <c r="I4128" i="116"/>
  <c r="H4128" i="116"/>
  <c r="G4128" i="116"/>
  <c r="F4128" i="116"/>
  <c r="E4128" i="116"/>
  <c r="D4128" i="116"/>
  <c r="C4128" i="116"/>
  <c r="B4128" i="116"/>
  <c r="K4127" i="116"/>
  <c r="J4127" i="116"/>
  <c r="I4127" i="116"/>
  <c r="H4127" i="116"/>
  <c r="G4127" i="116"/>
  <c r="F4127" i="116"/>
  <c r="E4127" i="116"/>
  <c r="D4127" i="116"/>
  <c r="C4127" i="116"/>
  <c r="B4127" i="116"/>
  <c r="K4126" i="116"/>
  <c r="J4126" i="116"/>
  <c r="I4126" i="116"/>
  <c r="H4126" i="116"/>
  <c r="G4126" i="116"/>
  <c r="F4126" i="116"/>
  <c r="E4126" i="116"/>
  <c r="D4126" i="116"/>
  <c r="C4126" i="116"/>
  <c r="B4126" i="116"/>
  <c r="K4125" i="116"/>
  <c r="J4125" i="116"/>
  <c r="I4125" i="116"/>
  <c r="H4125" i="116"/>
  <c r="G4125" i="116"/>
  <c r="F4125" i="116"/>
  <c r="E4125" i="116"/>
  <c r="D4125" i="116"/>
  <c r="C4125" i="116"/>
  <c r="B4125" i="116"/>
  <c r="K4124" i="116"/>
  <c r="J4124" i="116"/>
  <c r="I4124" i="116"/>
  <c r="H4124" i="116"/>
  <c r="G4124" i="116"/>
  <c r="F4124" i="116"/>
  <c r="E4124" i="116"/>
  <c r="D4124" i="116"/>
  <c r="C4124" i="116"/>
  <c r="B4124" i="116"/>
  <c r="K4123" i="116"/>
  <c r="J4123" i="116"/>
  <c r="I4123" i="116"/>
  <c r="H4123" i="116"/>
  <c r="G4123" i="116"/>
  <c r="F4123" i="116"/>
  <c r="E4123" i="116"/>
  <c r="D4123" i="116"/>
  <c r="C4123" i="116"/>
  <c r="B4123" i="116"/>
  <c r="K4122" i="116"/>
  <c r="J4122" i="116"/>
  <c r="I4122" i="116"/>
  <c r="H4122" i="116"/>
  <c r="G4122" i="116"/>
  <c r="F4122" i="116"/>
  <c r="E4122" i="116"/>
  <c r="D4122" i="116"/>
  <c r="C4122" i="116"/>
  <c r="B4122" i="116"/>
  <c r="K4121" i="116"/>
  <c r="J4121" i="116"/>
  <c r="I4121" i="116"/>
  <c r="H4121" i="116"/>
  <c r="G4121" i="116"/>
  <c r="F4121" i="116"/>
  <c r="E4121" i="116"/>
  <c r="D4121" i="116"/>
  <c r="C4121" i="116"/>
  <c r="B4121" i="116"/>
  <c r="K4120" i="116"/>
  <c r="J4120" i="116"/>
  <c r="I4120" i="116"/>
  <c r="H4120" i="116"/>
  <c r="G4120" i="116"/>
  <c r="F4120" i="116"/>
  <c r="E4120" i="116"/>
  <c r="D4120" i="116"/>
  <c r="C4120" i="116"/>
  <c r="B4120" i="116"/>
  <c r="K4119" i="116"/>
  <c r="J4119" i="116"/>
  <c r="I4119" i="116"/>
  <c r="H4119" i="116"/>
  <c r="G4119" i="116"/>
  <c r="F4119" i="116"/>
  <c r="E4119" i="116"/>
  <c r="D4119" i="116"/>
  <c r="C4119" i="116"/>
  <c r="B4119" i="116"/>
  <c r="K4118" i="116"/>
  <c r="J4118" i="116"/>
  <c r="I4118" i="116"/>
  <c r="H4118" i="116"/>
  <c r="G4118" i="116"/>
  <c r="F4118" i="116"/>
  <c r="E4118" i="116"/>
  <c r="D4118" i="116"/>
  <c r="C4118" i="116"/>
  <c r="B4118" i="116"/>
  <c r="K4117" i="116"/>
  <c r="J4117" i="116"/>
  <c r="I4117" i="116"/>
  <c r="H4117" i="116"/>
  <c r="G4117" i="116"/>
  <c r="F4117" i="116"/>
  <c r="E4117" i="116"/>
  <c r="D4117" i="116"/>
  <c r="C4117" i="116"/>
  <c r="B4117" i="116"/>
  <c r="K4116" i="116"/>
  <c r="J4116" i="116"/>
  <c r="I4116" i="116"/>
  <c r="H4116" i="116"/>
  <c r="G4116" i="116"/>
  <c r="F4116" i="116"/>
  <c r="E4116" i="116"/>
  <c r="D4116" i="116"/>
  <c r="C4116" i="116"/>
  <c r="B4116" i="116"/>
  <c r="K4115" i="116"/>
  <c r="J4115" i="116"/>
  <c r="I4115" i="116"/>
  <c r="H4115" i="116"/>
  <c r="G4115" i="116"/>
  <c r="F4115" i="116"/>
  <c r="E4115" i="116"/>
  <c r="D4115" i="116"/>
  <c r="C4115" i="116"/>
  <c r="B4115" i="116"/>
  <c r="K4114" i="116"/>
  <c r="J4114" i="116"/>
  <c r="I4114" i="116"/>
  <c r="H4114" i="116"/>
  <c r="G4114" i="116"/>
  <c r="F4114" i="116"/>
  <c r="E4114" i="116"/>
  <c r="D4114" i="116"/>
  <c r="C4114" i="116"/>
  <c r="B4114" i="116"/>
  <c r="K4113" i="116"/>
  <c r="J4113" i="116"/>
  <c r="I4113" i="116"/>
  <c r="H4113" i="116"/>
  <c r="G4113" i="116"/>
  <c r="F4113" i="116"/>
  <c r="E4113" i="116"/>
  <c r="D4113" i="116"/>
  <c r="C4113" i="116"/>
  <c r="B4113" i="116"/>
  <c r="K4112" i="116"/>
  <c r="J4112" i="116"/>
  <c r="I4112" i="116"/>
  <c r="H4112" i="116"/>
  <c r="G4112" i="116"/>
  <c r="F4112" i="116"/>
  <c r="E4112" i="116"/>
  <c r="D4112" i="116"/>
  <c r="C4112" i="116"/>
  <c r="B4112" i="116"/>
  <c r="K4111" i="116"/>
  <c r="J4111" i="116"/>
  <c r="I4111" i="116"/>
  <c r="H4111" i="116"/>
  <c r="G4111" i="116"/>
  <c r="F4111" i="116"/>
  <c r="E4111" i="116"/>
  <c r="D4111" i="116"/>
  <c r="C4111" i="116"/>
  <c r="B4111" i="116"/>
  <c r="K4110" i="116"/>
  <c r="J4110" i="116"/>
  <c r="I4110" i="116"/>
  <c r="H4110" i="116"/>
  <c r="G4110" i="116"/>
  <c r="F4110" i="116"/>
  <c r="E4110" i="116"/>
  <c r="D4110" i="116"/>
  <c r="C4110" i="116"/>
  <c r="B4110" i="116"/>
  <c r="K4109" i="116"/>
  <c r="J4109" i="116"/>
  <c r="I4109" i="116"/>
  <c r="H4109" i="116"/>
  <c r="G4109" i="116"/>
  <c r="F4109" i="116"/>
  <c r="E4109" i="116"/>
  <c r="D4109" i="116"/>
  <c r="C4109" i="116"/>
  <c r="B4109" i="116"/>
  <c r="K4108" i="116"/>
  <c r="J4108" i="116"/>
  <c r="I4108" i="116"/>
  <c r="H4108" i="116"/>
  <c r="G4108" i="116"/>
  <c r="F4108" i="116"/>
  <c r="E4108" i="116"/>
  <c r="D4108" i="116"/>
  <c r="C4108" i="116"/>
  <c r="B4108" i="116"/>
  <c r="K4107" i="116"/>
  <c r="J4107" i="116"/>
  <c r="I4107" i="116"/>
  <c r="H4107" i="116"/>
  <c r="G4107" i="116"/>
  <c r="F4107" i="116"/>
  <c r="E4107" i="116"/>
  <c r="D4107" i="116"/>
  <c r="C4107" i="116"/>
  <c r="B4107" i="116"/>
  <c r="K4106" i="116"/>
  <c r="J4106" i="116"/>
  <c r="I4106" i="116"/>
  <c r="H4106" i="116"/>
  <c r="G4106" i="116"/>
  <c r="F4106" i="116"/>
  <c r="E4106" i="116"/>
  <c r="D4106" i="116"/>
  <c r="C4106" i="116"/>
  <c r="B4106" i="116"/>
  <c r="K4105" i="116"/>
  <c r="J4105" i="116"/>
  <c r="I4105" i="116"/>
  <c r="H4105" i="116"/>
  <c r="G4105" i="116"/>
  <c r="F4105" i="116"/>
  <c r="E4105" i="116"/>
  <c r="D4105" i="116"/>
  <c r="C4105" i="116"/>
  <c r="B4105" i="116"/>
  <c r="K4104" i="116"/>
  <c r="J4104" i="116"/>
  <c r="I4104" i="116"/>
  <c r="H4104" i="116"/>
  <c r="G4104" i="116"/>
  <c r="F4104" i="116"/>
  <c r="E4104" i="116"/>
  <c r="D4104" i="116"/>
  <c r="C4104" i="116"/>
  <c r="B4104" i="116"/>
  <c r="K4103" i="116"/>
  <c r="J4103" i="116"/>
  <c r="I4103" i="116"/>
  <c r="H4103" i="116"/>
  <c r="G4103" i="116"/>
  <c r="F4103" i="116"/>
  <c r="E4103" i="116"/>
  <c r="D4103" i="116"/>
  <c r="C4103" i="116"/>
  <c r="B4103" i="116"/>
  <c r="K4102" i="116"/>
  <c r="J4102" i="116"/>
  <c r="I4102" i="116"/>
  <c r="H4102" i="116"/>
  <c r="G4102" i="116"/>
  <c r="F4102" i="116"/>
  <c r="E4102" i="116"/>
  <c r="D4102" i="116"/>
  <c r="C4102" i="116"/>
  <c r="B4102" i="116"/>
  <c r="K4101" i="116"/>
  <c r="J4101" i="116"/>
  <c r="I4101" i="116"/>
  <c r="H4101" i="116"/>
  <c r="G4101" i="116"/>
  <c r="F4101" i="116"/>
  <c r="E4101" i="116"/>
  <c r="D4101" i="116"/>
  <c r="C4101" i="116"/>
  <c r="B4101" i="116"/>
  <c r="K4100" i="116"/>
  <c r="J4100" i="116"/>
  <c r="I4100" i="116"/>
  <c r="H4100" i="116"/>
  <c r="G4100" i="116"/>
  <c r="F4100" i="116"/>
  <c r="E4100" i="116"/>
  <c r="D4100" i="116"/>
  <c r="C4100" i="116"/>
  <c r="B4100" i="116"/>
  <c r="K4099" i="116"/>
  <c r="J4099" i="116"/>
  <c r="I4099" i="116"/>
  <c r="H4099" i="116"/>
  <c r="G4099" i="116"/>
  <c r="F4099" i="116"/>
  <c r="E4099" i="116"/>
  <c r="D4099" i="116"/>
  <c r="C4099" i="116"/>
  <c r="B4099" i="116"/>
  <c r="K4098" i="116"/>
  <c r="J4098" i="116"/>
  <c r="I4098" i="116"/>
  <c r="H4098" i="116"/>
  <c r="G4098" i="116"/>
  <c r="F4098" i="116"/>
  <c r="E4098" i="116"/>
  <c r="D4098" i="116"/>
  <c r="C4098" i="116"/>
  <c r="B4098" i="116"/>
  <c r="K4097" i="116"/>
  <c r="J4097" i="116"/>
  <c r="I4097" i="116"/>
  <c r="H4097" i="116"/>
  <c r="G4097" i="116"/>
  <c r="F4097" i="116"/>
  <c r="E4097" i="116"/>
  <c r="D4097" i="116"/>
  <c r="C4097" i="116"/>
  <c r="B4097" i="116"/>
  <c r="K4096" i="116"/>
  <c r="J4096" i="116"/>
  <c r="I4096" i="116"/>
  <c r="H4096" i="116"/>
  <c r="G4096" i="116"/>
  <c r="F4096" i="116"/>
  <c r="E4096" i="116"/>
  <c r="D4096" i="116"/>
  <c r="C4096" i="116"/>
  <c r="B4096" i="116"/>
  <c r="K4095" i="116"/>
  <c r="J4095" i="116"/>
  <c r="I4095" i="116"/>
  <c r="H4095" i="116"/>
  <c r="G4095" i="116"/>
  <c r="F4095" i="116"/>
  <c r="E4095" i="116"/>
  <c r="D4095" i="116"/>
  <c r="C4095" i="116"/>
  <c r="B4095" i="116"/>
  <c r="K4094" i="116"/>
  <c r="J4094" i="116"/>
  <c r="I4094" i="116"/>
  <c r="H4094" i="116"/>
  <c r="G4094" i="116"/>
  <c r="F4094" i="116"/>
  <c r="E4094" i="116"/>
  <c r="D4094" i="116"/>
  <c r="C4094" i="116"/>
  <c r="B4094" i="116"/>
  <c r="K4093" i="116"/>
  <c r="J4093" i="116"/>
  <c r="I4093" i="116"/>
  <c r="H4093" i="116"/>
  <c r="G4093" i="116"/>
  <c r="F4093" i="116"/>
  <c r="E4093" i="116"/>
  <c r="D4093" i="116"/>
  <c r="C4093" i="116"/>
  <c r="B4093" i="116"/>
  <c r="K4092" i="116"/>
  <c r="J4092" i="116"/>
  <c r="I4092" i="116"/>
  <c r="H4092" i="116"/>
  <c r="G4092" i="116"/>
  <c r="F4092" i="116"/>
  <c r="E4092" i="116"/>
  <c r="D4092" i="116"/>
  <c r="C4092" i="116"/>
  <c r="B4092" i="116"/>
  <c r="K4091" i="116"/>
  <c r="J4091" i="116"/>
  <c r="I4091" i="116"/>
  <c r="H4091" i="116"/>
  <c r="G4091" i="116"/>
  <c r="F4091" i="116"/>
  <c r="E4091" i="116"/>
  <c r="D4091" i="116"/>
  <c r="C4091" i="116"/>
  <c r="B4091" i="116"/>
  <c r="K4090" i="116"/>
  <c r="J4090" i="116"/>
  <c r="I4090" i="116"/>
  <c r="H4090" i="116"/>
  <c r="G4090" i="116"/>
  <c r="F4090" i="116"/>
  <c r="E4090" i="116"/>
  <c r="D4090" i="116"/>
  <c r="C4090" i="116"/>
  <c r="B4090" i="116"/>
  <c r="K4089" i="116"/>
  <c r="J4089" i="116"/>
  <c r="I4089" i="116"/>
  <c r="H4089" i="116"/>
  <c r="G4089" i="116"/>
  <c r="F4089" i="116"/>
  <c r="E4089" i="116"/>
  <c r="D4089" i="116"/>
  <c r="C4089" i="116"/>
  <c r="B4089" i="116"/>
  <c r="K4088" i="116"/>
  <c r="J4088" i="116"/>
  <c r="I4088" i="116"/>
  <c r="H4088" i="116"/>
  <c r="G4088" i="116"/>
  <c r="F4088" i="116"/>
  <c r="E4088" i="116"/>
  <c r="D4088" i="116"/>
  <c r="C4088" i="116"/>
  <c r="B4088" i="116"/>
  <c r="K4087" i="116"/>
  <c r="J4087" i="116"/>
  <c r="I4087" i="116"/>
  <c r="H4087" i="116"/>
  <c r="G4087" i="116"/>
  <c r="F4087" i="116"/>
  <c r="E4087" i="116"/>
  <c r="D4087" i="116"/>
  <c r="C4087" i="116"/>
  <c r="B4087" i="116"/>
  <c r="K4086" i="116"/>
  <c r="J4086" i="116"/>
  <c r="I4086" i="116"/>
  <c r="H4086" i="116"/>
  <c r="G4086" i="116"/>
  <c r="F4086" i="116"/>
  <c r="E4086" i="116"/>
  <c r="D4086" i="116"/>
  <c r="C4086" i="116"/>
  <c r="B4086" i="116"/>
  <c r="K4085" i="116"/>
  <c r="J4085" i="116"/>
  <c r="I4085" i="116"/>
  <c r="H4085" i="116"/>
  <c r="G4085" i="116"/>
  <c r="F4085" i="116"/>
  <c r="E4085" i="116"/>
  <c r="D4085" i="116"/>
  <c r="C4085" i="116"/>
  <c r="B4085" i="116"/>
  <c r="K4084" i="116"/>
  <c r="J4084" i="116"/>
  <c r="I4084" i="116"/>
  <c r="H4084" i="116"/>
  <c r="G4084" i="116"/>
  <c r="F4084" i="116"/>
  <c r="E4084" i="116"/>
  <c r="D4084" i="116"/>
  <c r="C4084" i="116"/>
  <c r="B4084" i="116"/>
  <c r="K4083" i="116"/>
  <c r="J4083" i="116"/>
  <c r="I4083" i="116"/>
  <c r="H4083" i="116"/>
  <c r="G4083" i="116"/>
  <c r="F4083" i="116"/>
  <c r="E4083" i="116"/>
  <c r="D4083" i="116"/>
  <c r="C4083" i="116"/>
  <c r="B4083" i="116"/>
  <c r="K4082" i="116"/>
  <c r="J4082" i="116"/>
  <c r="I4082" i="116"/>
  <c r="H4082" i="116"/>
  <c r="G4082" i="116"/>
  <c r="F4082" i="116"/>
  <c r="E4082" i="116"/>
  <c r="D4082" i="116"/>
  <c r="C4082" i="116"/>
  <c r="B4082" i="116"/>
  <c r="K4081" i="116"/>
  <c r="J4081" i="116"/>
  <c r="I4081" i="116"/>
  <c r="H4081" i="116"/>
  <c r="G4081" i="116"/>
  <c r="F4081" i="116"/>
  <c r="E4081" i="116"/>
  <c r="D4081" i="116"/>
  <c r="C4081" i="116"/>
  <c r="B4081" i="116"/>
  <c r="K4080" i="116"/>
  <c r="J4080" i="116"/>
  <c r="I4080" i="116"/>
  <c r="H4080" i="116"/>
  <c r="G4080" i="116"/>
  <c r="F4080" i="116"/>
  <c r="E4080" i="116"/>
  <c r="D4080" i="116"/>
  <c r="C4080" i="116"/>
  <c r="B4080" i="116"/>
  <c r="K4079" i="116"/>
  <c r="J4079" i="116"/>
  <c r="I4079" i="116"/>
  <c r="H4079" i="116"/>
  <c r="G4079" i="116"/>
  <c r="F4079" i="116"/>
  <c r="E4079" i="116"/>
  <c r="D4079" i="116"/>
  <c r="C4079" i="116"/>
  <c r="B4079" i="116"/>
  <c r="K4078" i="116"/>
  <c r="J4078" i="116"/>
  <c r="I4078" i="116"/>
  <c r="H4078" i="116"/>
  <c r="G4078" i="116"/>
  <c r="F4078" i="116"/>
  <c r="E4078" i="116"/>
  <c r="D4078" i="116"/>
  <c r="C4078" i="116"/>
  <c r="B4078" i="116"/>
  <c r="K4077" i="116"/>
  <c r="J4077" i="116"/>
  <c r="I4077" i="116"/>
  <c r="H4077" i="116"/>
  <c r="G4077" i="116"/>
  <c r="F4077" i="116"/>
  <c r="E4077" i="116"/>
  <c r="D4077" i="116"/>
  <c r="C4077" i="116"/>
  <c r="B4077" i="116"/>
  <c r="K4076" i="116"/>
  <c r="J4076" i="116"/>
  <c r="I4076" i="116"/>
  <c r="H4076" i="116"/>
  <c r="G4076" i="116"/>
  <c r="F4076" i="116"/>
  <c r="E4076" i="116"/>
  <c r="D4076" i="116"/>
  <c r="C4076" i="116"/>
  <c r="B4076" i="116"/>
  <c r="K4075" i="116"/>
  <c r="J4075" i="116"/>
  <c r="I4075" i="116"/>
  <c r="H4075" i="116"/>
  <c r="G4075" i="116"/>
  <c r="F4075" i="116"/>
  <c r="E4075" i="116"/>
  <c r="D4075" i="116"/>
  <c r="C4075" i="116"/>
  <c r="B4075" i="116"/>
  <c r="K4074" i="116"/>
  <c r="J4074" i="116"/>
  <c r="I4074" i="116"/>
  <c r="H4074" i="116"/>
  <c r="G4074" i="116"/>
  <c r="F4074" i="116"/>
  <c r="E4074" i="116"/>
  <c r="D4074" i="116"/>
  <c r="C4074" i="116"/>
  <c r="B4074" i="116"/>
  <c r="K4073" i="116"/>
  <c r="J4073" i="116"/>
  <c r="I4073" i="116"/>
  <c r="H4073" i="116"/>
  <c r="G4073" i="116"/>
  <c r="F4073" i="116"/>
  <c r="E4073" i="116"/>
  <c r="D4073" i="116"/>
  <c r="C4073" i="116"/>
  <c r="B4073" i="116"/>
  <c r="K4072" i="116"/>
  <c r="J4072" i="116"/>
  <c r="I4072" i="116"/>
  <c r="H4072" i="116"/>
  <c r="G4072" i="116"/>
  <c r="F4072" i="116"/>
  <c r="E4072" i="116"/>
  <c r="D4072" i="116"/>
  <c r="C4072" i="116"/>
  <c r="B4072" i="116"/>
  <c r="K4071" i="116"/>
  <c r="J4071" i="116"/>
  <c r="I4071" i="116"/>
  <c r="H4071" i="116"/>
  <c r="G4071" i="116"/>
  <c r="F4071" i="116"/>
  <c r="E4071" i="116"/>
  <c r="D4071" i="116"/>
  <c r="C4071" i="116"/>
  <c r="B4071" i="116"/>
  <c r="K4070" i="116"/>
  <c r="J4070" i="116"/>
  <c r="I4070" i="116"/>
  <c r="H4070" i="116"/>
  <c r="G4070" i="116"/>
  <c r="F4070" i="116"/>
  <c r="E4070" i="116"/>
  <c r="D4070" i="116"/>
  <c r="C4070" i="116"/>
  <c r="B4070" i="116"/>
  <c r="K4069" i="116"/>
  <c r="J4069" i="116"/>
  <c r="I4069" i="116"/>
  <c r="H4069" i="116"/>
  <c r="G4069" i="116"/>
  <c r="F4069" i="116"/>
  <c r="E4069" i="116"/>
  <c r="D4069" i="116"/>
  <c r="C4069" i="116"/>
  <c r="B4069" i="116"/>
  <c r="K4068" i="116"/>
  <c r="J4068" i="116"/>
  <c r="I4068" i="116"/>
  <c r="H4068" i="116"/>
  <c r="G4068" i="116"/>
  <c r="F4068" i="116"/>
  <c r="E4068" i="116"/>
  <c r="D4068" i="116"/>
  <c r="C4068" i="116"/>
  <c r="B4068" i="116"/>
  <c r="K4067" i="116"/>
  <c r="J4067" i="116"/>
  <c r="I4067" i="116"/>
  <c r="H4067" i="116"/>
  <c r="G4067" i="116"/>
  <c r="F4067" i="116"/>
  <c r="E4067" i="116"/>
  <c r="D4067" i="116"/>
  <c r="C4067" i="116"/>
  <c r="B4067" i="116"/>
  <c r="K4066" i="116"/>
  <c r="J4066" i="116"/>
  <c r="I4066" i="116"/>
  <c r="H4066" i="116"/>
  <c r="G4066" i="116"/>
  <c r="F4066" i="116"/>
  <c r="E4066" i="116"/>
  <c r="D4066" i="116"/>
  <c r="C4066" i="116"/>
  <c r="B4066" i="116"/>
  <c r="K4065" i="116"/>
  <c r="J4065" i="116"/>
  <c r="I4065" i="116"/>
  <c r="H4065" i="116"/>
  <c r="G4065" i="116"/>
  <c r="F4065" i="116"/>
  <c r="E4065" i="116"/>
  <c r="D4065" i="116"/>
  <c r="C4065" i="116"/>
  <c r="B4065" i="116"/>
  <c r="K4064" i="116"/>
  <c r="J4064" i="116"/>
  <c r="I4064" i="116"/>
  <c r="H4064" i="116"/>
  <c r="G4064" i="116"/>
  <c r="F4064" i="116"/>
  <c r="E4064" i="116"/>
  <c r="D4064" i="116"/>
  <c r="C4064" i="116"/>
  <c r="B4064" i="116"/>
  <c r="K4063" i="116"/>
  <c r="J4063" i="116"/>
  <c r="I4063" i="116"/>
  <c r="H4063" i="116"/>
  <c r="G4063" i="116"/>
  <c r="F4063" i="116"/>
  <c r="E4063" i="116"/>
  <c r="D4063" i="116"/>
  <c r="C4063" i="116"/>
  <c r="B4063" i="116"/>
  <c r="K4062" i="116"/>
  <c r="J4062" i="116"/>
  <c r="I4062" i="116"/>
  <c r="H4062" i="116"/>
  <c r="G4062" i="116"/>
  <c r="F4062" i="116"/>
  <c r="E4062" i="116"/>
  <c r="D4062" i="116"/>
  <c r="C4062" i="116"/>
  <c r="B4062" i="116"/>
  <c r="K4061" i="116"/>
  <c r="J4061" i="116"/>
  <c r="I4061" i="116"/>
  <c r="H4061" i="116"/>
  <c r="G4061" i="116"/>
  <c r="F4061" i="116"/>
  <c r="E4061" i="116"/>
  <c r="D4061" i="116"/>
  <c r="C4061" i="116"/>
  <c r="B4061" i="116"/>
  <c r="K4060" i="116"/>
  <c r="J4060" i="116"/>
  <c r="I4060" i="116"/>
  <c r="H4060" i="116"/>
  <c r="G4060" i="116"/>
  <c r="F4060" i="116"/>
  <c r="E4060" i="116"/>
  <c r="D4060" i="116"/>
  <c r="C4060" i="116"/>
  <c r="B4060" i="116"/>
  <c r="K4059" i="116"/>
  <c r="J4059" i="116"/>
  <c r="I4059" i="116"/>
  <c r="H4059" i="116"/>
  <c r="G4059" i="116"/>
  <c r="F4059" i="116"/>
  <c r="E4059" i="116"/>
  <c r="D4059" i="116"/>
  <c r="C4059" i="116"/>
  <c r="B4059" i="116"/>
  <c r="K4058" i="116"/>
  <c r="J4058" i="116"/>
  <c r="I4058" i="116"/>
  <c r="H4058" i="116"/>
  <c r="G4058" i="116"/>
  <c r="F4058" i="116"/>
  <c r="E4058" i="116"/>
  <c r="D4058" i="116"/>
  <c r="C4058" i="116"/>
  <c r="B4058" i="116"/>
  <c r="K4057" i="116"/>
  <c r="J4057" i="116"/>
  <c r="I4057" i="116"/>
  <c r="H4057" i="116"/>
  <c r="G4057" i="116"/>
  <c r="F4057" i="116"/>
  <c r="E4057" i="116"/>
  <c r="D4057" i="116"/>
  <c r="C4057" i="116"/>
  <c r="B4057" i="116"/>
  <c r="K4056" i="116"/>
  <c r="J4056" i="116"/>
  <c r="I4056" i="116"/>
  <c r="H4056" i="116"/>
  <c r="G4056" i="116"/>
  <c r="F4056" i="116"/>
  <c r="E4056" i="116"/>
  <c r="D4056" i="116"/>
  <c r="C4056" i="116"/>
  <c r="B4056" i="116"/>
  <c r="K4055" i="116"/>
  <c r="J4055" i="116"/>
  <c r="I4055" i="116"/>
  <c r="H4055" i="116"/>
  <c r="G4055" i="116"/>
  <c r="F4055" i="116"/>
  <c r="E4055" i="116"/>
  <c r="D4055" i="116"/>
  <c r="C4055" i="116"/>
  <c r="B4055" i="116"/>
  <c r="K4054" i="116"/>
  <c r="J4054" i="116"/>
  <c r="I4054" i="116"/>
  <c r="H4054" i="116"/>
  <c r="G4054" i="116"/>
  <c r="F4054" i="116"/>
  <c r="E4054" i="116"/>
  <c r="D4054" i="116"/>
  <c r="C4054" i="116"/>
  <c r="B4054" i="116"/>
  <c r="K4053" i="116"/>
  <c r="J4053" i="116"/>
  <c r="I4053" i="116"/>
  <c r="H4053" i="116"/>
  <c r="G4053" i="116"/>
  <c r="F4053" i="116"/>
  <c r="E4053" i="116"/>
  <c r="D4053" i="116"/>
  <c r="C4053" i="116"/>
  <c r="B4053" i="116"/>
  <c r="K4052" i="116"/>
  <c r="J4052" i="116"/>
  <c r="I4052" i="116"/>
  <c r="H4052" i="116"/>
  <c r="G4052" i="116"/>
  <c r="F4052" i="116"/>
  <c r="E4052" i="116"/>
  <c r="D4052" i="116"/>
  <c r="C4052" i="116"/>
  <c r="B4052" i="116"/>
  <c r="K4051" i="116"/>
  <c r="J4051" i="116"/>
  <c r="I4051" i="116"/>
  <c r="H4051" i="116"/>
  <c r="G4051" i="116"/>
  <c r="F4051" i="116"/>
  <c r="E4051" i="116"/>
  <c r="D4051" i="116"/>
  <c r="C4051" i="116"/>
  <c r="B4051" i="116"/>
  <c r="K4050" i="116"/>
  <c r="J4050" i="116"/>
  <c r="I4050" i="116"/>
  <c r="H4050" i="116"/>
  <c r="G4050" i="116"/>
  <c r="F4050" i="116"/>
  <c r="E4050" i="116"/>
  <c r="D4050" i="116"/>
  <c r="C4050" i="116"/>
  <c r="B4050" i="116"/>
  <c r="K4049" i="116"/>
  <c r="J4049" i="116"/>
  <c r="I4049" i="116"/>
  <c r="H4049" i="116"/>
  <c r="G4049" i="116"/>
  <c r="F4049" i="116"/>
  <c r="E4049" i="116"/>
  <c r="D4049" i="116"/>
  <c r="C4049" i="116"/>
  <c r="B4049" i="116"/>
  <c r="K4048" i="116"/>
  <c r="J4048" i="116"/>
  <c r="I4048" i="116"/>
  <c r="H4048" i="116"/>
  <c r="G4048" i="116"/>
  <c r="F4048" i="116"/>
  <c r="E4048" i="116"/>
  <c r="D4048" i="116"/>
  <c r="C4048" i="116"/>
  <c r="B4048" i="116"/>
  <c r="K4047" i="116"/>
  <c r="J4047" i="116"/>
  <c r="I4047" i="116"/>
  <c r="H4047" i="116"/>
  <c r="G4047" i="116"/>
  <c r="F4047" i="116"/>
  <c r="E4047" i="116"/>
  <c r="D4047" i="116"/>
  <c r="C4047" i="116"/>
  <c r="B4047" i="116"/>
  <c r="K4046" i="116"/>
  <c r="J4046" i="116"/>
  <c r="I4046" i="116"/>
  <c r="H4046" i="116"/>
  <c r="G4046" i="116"/>
  <c r="F4046" i="116"/>
  <c r="E4046" i="116"/>
  <c r="D4046" i="116"/>
  <c r="C4046" i="116"/>
  <c r="B4046" i="116"/>
  <c r="K4045" i="116"/>
  <c r="J4045" i="116"/>
  <c r="I4045" i="116"/>
  <c r="H4045" i="116"/>
  <c r="G4045" i="116"/>
  <c r="F4045" i="116"/>
  <c r="E4045" i="116"/>
  <c r="D4045" i="116"/>
  <c r="C4045" i="116"/>
  <c r="B4045" i="116"/>
  <c r="K4044" i="116"/>
  <c r="J4044" i="116"/>
  <c r="I4044" i="116"/>
  <c r="H4044" i="116"/>
  <c r="G4044" i="116"/>
  <c r="F4044" i="116"/>
  <c r="E4044" i="116"/>
  <c r="D4044" i="116"/>
  <c r="C4044" i="116"/>
  <c r="B4044" i="116"/>
  <c r="K4043" i="116"/>
  <c r="J4043" i="116"/>
  <c r="I4043" i="116"/>
  <c r="H4043" i="116"/>
  <c r="G4043" i="116"/>
  <c r="F4043" i="116"/>
  <c r="E4043" i="116"/>
  <c r="D4043" i="116"/>
  <c r="C4043" i="116"/>
  <c r="B4043" i="116"/>
  <c r="K4042" i="116"/>
  <c r="J4042" i="116"/>
  <c r="I4042" i="116"/>
  <c r="H4042" i="116"/>
  <c r="G4042" i="116"/>
  <c r="F4042" i="116"/>
  <c r="E4042" i="116"/>
  <c r="D4042" i="116"/>
  <c r="C4042" i="116"/>
  <c r="B4042" i="116"/>
  <c r="K4041" i="116"/>
  <c r="J4041" i="116"/>
  <c r="I4041" i="116"/>
  <c r="H4041" i="116"/>
  <c r="G4041" i="116"/>
  <c r="F4041" i="116"/>
  <c r="E4041" i="116"/>
  <c r="D4041" i="116"/>
  <c r="C4041" i="116"/>
  <c r="B4041" i="116"/>
  <c r="K4040" i="116"/>
  <c r="J4040" i="116"/>
  <c r="I4040" i="116"/>
  <c r="H4040" i="116"/>
  <c r="G4040" i="116"/>
  <c r="F4040" i="116"/>
  <c r="E4040" i="116"/>
  <c r="D4040" i="116"/>
  <c r="C4040" i="116"/>
  <c r="B4040" i="116"/>
  <c r="K4039" i="116"/>
  <c r="J4039" i="116"/>
  <c r="I4039" i="116"/>
  <c r="H4039" i="116"/>
  <c r="G4039" i="116"/>
  <c r="F4039" i="116"/>
  <c r="E4039" i="116"/>
  <c r="D4039" i="116"/>
  <c r="C4039" i="116"/>
  <c r="B4039" i="116"/>
  <c r="K4038" i="116"/>
  <c r="J4038" i="116"/>
  <c r="I4038" i="116"/>
  <c r="H4038" i="116"/>
  <c r="G4038" i="116"/>
  <c r="F4038" i="116"/>
  <c r="E4038" i="116"/>
  <c r="D4038" i="116"/>
  <c r="C4038" i="116"/>
  <c r="B4038" i="116"/>
  <c r="K4037" i="116"/>
  <c r="J4037" i="116"/>
  <c r="I4037" i="116"/>
  <c r="H4037" i="116"/>
  <c r="G4037" i="116"/>
  <c r="F4037" i="116"/>
  <c r="E4037" i="116"/>
  <c r="D4037" i="116"/>
  <c r="C4037" i="116"/>
  <c r="B4037" i="116"/>
  <c r="K4036" i="116"/>
  <c r="J4036" i="116"/>
  <c r="I4036" i="116"/>
  <c r="H4036" i="116"/>
  <c r="G4036" i="116"/>
  <c r="F4036" i="116"/>
  <c r="E4036" i="116"/>
  <c r="D4036" i="116"/>
  <c r="C4036" i="116"/>
  <c r="B4036" i="116"/>
  <c r="K4035" i="116"/>
  <c r="J4035" i="116"/>
  <c r="I4035" i="116"/>
  <c r="H4035" i="116"/>
  <c r="G4035" i="116"/>
  <c r="F4035" i="116"/>
  <c r="E4035" i="116"/>
  <c r="D4035" i="116"/>
  <c r="C4035" i="116"/>
  <c r="B4035" i="116"/>
  <c r="K4034" i="116"/>
  <c r="J4034" i="116"/>
  <c r="I4034" i="116"/>
  <c r="H4034" i="116"/>
  <c r="G4034" i="116"/>
  <c r="F4034" i="116"/>
  <c r="E4034" i="116"/>
  <c r="D4034" i="116"/>
  <c r="C4034" i="116"/>
  <c r="B4034" i="116"/>
  <c r="K4033" i="116"/>
  <c r="J4033" i="116"/>
  <c r="I4033" i="116"/>
  <c r="H4033" i="116"/>
  <c r="G4033" i="116"/>
  <c r="F4033" i="116"/>
  <c r="E4033" i="116"/>
  <c r="D4033" i="116"/>
  <c r="C4033" i="116"/>
  <c r="B4033" i="116"/>
  <c r="K4032" i="116"/>
  <c r="J4032" i="116"/>
  <c r="I4032" i="116"/>
  <c r="H4032" i="116"/>
  <c r="G4032" i="116"/>
  <c r="F4032" i="116"/>
  <c r="E4032" i="116"/>
  <c r="D4032" i="116"/>
  <c r="C4032" i="116"/>
  <c r="B4032" i="116"/>
  <c r="K4031" i="116"/>
  <c r="J4031" i="116"/>
  <c r="I4031" i="116"/>
  <c r="H4031" i="116"/>
  <c r="G4031" i="116"/>
  <c r="F4031" i="116"/>
  <c r="E4031" i="116"/>
  <c r="D4031" i="116"/>
  <c r="C4031" i="116"/>
  <c r="B4031" i="116"/>
  <c r="K4030" i="116"/>
  <c r="J4030" i="116"/>
  <c r="I4030" i="116"/>
  <c r="H4030" i="116"/>
  <c r="G4030" i="116"/>
  <c r="F4030" i="116"/>
  <c r="E4030" i="116"/>
  <c r="D4030" i="116"/>
  <c r="C4030" i="116"/>
  <c r="B4030" i="116"/>
  <c r="K4029" i="116"/>
  <c r="J4029" i="116"/>
  <c r="I4029" i="116"/>
  <c r="H4029" i="116"/>
  <c r="G4029" i="116"/>
  <c r="F4029" i="116"/>
  <c r="E4029" i="116"/>
  <c r="D4029" i="116"/>
  <c r="C4029" i="116"/>
  <c r="B4029" i="116"/>
  <c r="K4028" i="116"/>
  <c r="J4028" i="116"/>
  <c r="I4028" i="116"/>
  <c r="H4028" i="116"/>
  <c r="G4028" i="116"/>
  <c r="F4028" i="116"/>
  <c r="E4028" i="116"/>
  <c r="D4028" i="116"/>
  <c r="C4028" i="116"/>
  <c r="B4028" i="116"/>
  <c r="K4027" i="116"/>
  <c r="J4027" i="116"/>
  <c r="I4027" i="116"/>
  <c r="H4027" i="116"/>
  <c r="G4027" i="116"/>
  <c r="F4027" i="116"/>
  <c r="E4027" i="116"/>
  <c r="D4027" i="116"/>
  <c r="C4027" i="116"/>
  <c r="B4027" i="116"/>
  <c r="K4026" i="116"/>
  <c r="J4026" i="116"/>
  <c r="I4026" i="116"/>
  <c r="H4026" i="116"/>
  <c r="G4026" i="116"/>
  <c r="F4026" i="116"/>
  <c r="E4026" i="116"/>
  <c r="D4026" i="116"/>
  <c r="C4026" i="116"/>
  <c r="B4026" i="116"/>
  <c r="K4025" i="116"/>
  <c r="J4025" i="116"/>
  <c r="I4025" i="116"/>
  <c r="H4025" i="116"/>
  <c r="G4025" i="116"/>
  <c r="F4025" i="116"/>
  <c r="E4025" i="116"/>
  <c r="D4025" i="116"/>
  <c r="C4025" i="116"/>
  <c r="B4025" i="116"/>
  <c r="K4024" i="116"/>
  <c r="J4024" i="116"/>
  <c r="I4024" i="116"/>
  <c r="H4024" i="116"/>
  <c r="G4024" i="116"/>
  <c r="F4024" i="116"/>
  <c r="E4024" i="116"/>
  <c r="D4024" i="116"/>
  <c r="C4024" i="116"/>
  <c r="B4024" i="116"/>
  <c r="K4023" i="116"/>
  <c r="J4023" i="116"/>
  <c r="I4023" i="116"/>
  <c r="H4023" i="116"/>
  <c r="G4023" i="116"/>
  <c r="F4023" i="116"/>
  <c r="E4023" i="116"/>
  <c r="D4023" i="116"/>
  <c r="C4023" i="116"/>
  <c r="B4023" i="116"/>
  <c r="K4022" i="116"/>
  <c r="J4022" i="116"/>
  <c r="I4022" i="116"/>
  <c r="H4022" i="116"/>
  <c r="G4022" i="116"/>
  <c r="F4022" i="116"/>
  <c r="E4022" i="116"/>
  <c r="D4022" i="116"/>
  <c r="C4022" i="116"/>
  <c r="B4022" i="116"/>
  <c r="K4021" i="116"/>
  <c r="J4021" i="116"/>
  <c r="I4021" i="116"/>
  <c r="H4021" i="116"/>
  <c r="G4021" i="116"/>
  <c r="F4021" i="116"/>
  <c r="E4021" i="116"/>
  <c r="D4021" i="116"/>
  <c r="C4021" i="116"/>
  <c r="B4021" i="116"/>
  <c r="K4020" i="116"/>
  <c r="J4020" i="116"/>
  <c r="I4020" i="116"/>
  <c r="H4020" i="116"/>
  <c r="G4020" i="116"/>
  <c r="F4020" i="116"/>
  <c r="E4020" i="116"/>
  <c r="D4020" i="116"/>
  <c r="C4020" i="116"/>
  <c r="B4020" i="116"/>
  <c r="K4019" i="116"/>
  <c r="J4019" i="116"/>
  <c r="I4019" i="116"/>
  <c r="H4019" i="116"/>
  <c r="G4019" i="116"/>
  <c r="F4019" i="116"/>
  <c r="E4019" i="116"/>
  <c r="D4019" i="116"/>
  <c r="C4019" i="116"/>
  <c r="B4019" i="116"/>
  <c r="K4018" i="116"/>
  <c r="J4018" i="116"/>
  <c r="I4018" i="116"/>
  <c r="H4018" i="116"/>
  <c r="G4018" i="116"/>
  <c r="F4018" i="116"/>
  <c r="E4018" i="116"/>
  <c r="D4018" i="116"/>
  <c r="C4018" i="116"/>
  <c r="B4018" i="116"/>
  <c r="K4017" i="116"/>
  <c r="J4017" i="116"/>
  <c r="I4017" i="116"/>
  <c r="H4017" i="116"/>
  <c r="G4017" i="116"/>
  <c r="F4017" i="116"/>
  <c r="E4017" i="116"/>
  <c r="D4017" i="116"/>
  <c r="C4017" i="116"/>
  <c r="B4017" i="116"/>
  <c r="K4016" i="116"/>
  <c r="J4016" i="116"/>
  <c r="I4016" i="116"/>
  <c r="H4016" i="116"/>
  <c r="G4016" i="116"/>
  <c r="F4016" i="116"/>
  <c r="E4016" i="116"/>
  <c r="D4016" i="116"/>
  <c r="C4016" i="116"/>
  <c r="B4016" i="116"/>
  <c r="K4015" i="116"/>
  <c r="J4015" i="116"/>
  <c r="I4015" i="116"/>
  <c r="H4015" i="116"/>
  <c r="G4015" i="116"/>
  <c r="F4015" i="116"/>
  <c r="E4015" i="116"/>
  <c r="D4015" i="116"/>
  <c r="C4015" i="116"/>
  <c r="B4015" i="116"/>
  <c r="K4014" i="116"/>
  <c r="J4014" i="116"/>
  <c r="I4014" i="116"/>
  <c r="H4014" i="116"/>
  <c r="G4014" i="116"/>
  <c r="F4014" i="116"/>
  <c r="E4014" i="116"/>
  <c r="D4014" i="116"/>
  <c r="C4014" i="116"/>
  <c r="B4014" i="116"/>
  <c r="K4013" i="116"/>
  <c r="J4013" i="116"/>
  <c r="I4013" i="116"/>
  <c r="H4013" i="116"/>
  <c r="G4013" i="116"/>
  <c r="F4013" i="116"/>
  <c r="E4013" i="116"/>
  <c r="D4013" i="116"/>
  <c r="C4013" i="116"/>
  <c r="B4013" i="116"/>
  <c r="K4012" i="116"/>
  <c r="J4012" i="116"/>
  <c r="I4012" i="116"/>
  <c r="H4012" i="116"/>
  <c r="G4012" i="116"/>
  <c r="F4012" i="116"/>
  <c r="E4012" i="116"/>
  <c r="D4012" i="116"/>
  <c r="C4012" i="116"/>
  <c r="B4012" i="116"/>
  <c r="K4011" i="116"/>
  <c r="J4011" i="116"/>
  <c r="I4011" i="116"/>
  <c r="H4011" i="116"/>
  <c r="G4011" i="116"/>
  <c r="F4011" i="116"/>
  <c r="E4011" i="116"/>
  <c r="D4011" i="116"/>
  <c r="C4011" i="116"/>
  <c r="B4011" i="116"/>
  <c r="K4010" i="116"/>
  <c r="J4010" i="116"/>
  <c r="I4010" i="116"/>
  <c r="H4010" i="116"/>
  <c r="G4010" i="116"/>
  <c r="F4010" i="116"/>
  <c r="E4010" i="116"/>
  <c r="D4010" i="116"/>
  <c r="C4010" i="116"/>
  <c r="B4010" i="116"/>
  <c r="K4009" i="116"/>
  <c r="J4009" i="116"/>
  <c r="I4009" i="116"/>
  <c r="H4009" i="116"/>
  <c r="G4009" i="116"/>
  <c r="F4009" i="116"/>
  <c r="E4009" i="116"/>
  <c r="D4009" i="116"/>
  <c r="C4009" i="116"/>
  <c r="B4009" i="116"/>
  <c r="K4008" i="116"/>
  <c r="J4008" i="116"/>
  <c r="I4008" i="116"/>
  <c r="H4008" i="116"/>
  <c r="G4008" i="116"/>
  <c r="F4008" i="116"/>
  <c r="E4008" i="116"/>
  <c r="D4008" i="116"/>
  <c r="C4008" i="116"/>
  <c r="B4008" i="116"/>
  <c r="K4007" i="116"/>
  <c r="J4007" i="116"/>
  <c r="I4007" i="116"/>
  <c r="H4007" i="116"/>
  <c r="G4007" i="116"/>
  <c r="F4007" i="116"/>
  <c r="E4007" i="116"/>
  <c r="D4007" i="116"/>
  <c r="C4007" i="116"/>
  <c r="B4007" i="116"/>
  <c r="K4006" i="116"/>
  <c r="J4006" i="116"/>
  <c r="I4006" i="116"/>
  <c r="H4006" i="116"/>
  <c r="G4006" i="116"/>
  <c r="F4006" i="116"/>
  <c r="E4006" i="116"/>
  <c r="D4006" i="116"/>
  <c r="C4006" i="116"/>
  <c r="B4006" i="116"/>
  <c r="K4005" i="116"/>
  <c r="J4005" i="116"/>
  <c r="I4005" i="116"/>
  <c r="H4005" i="116"/>
  <c r="G4005" i="116"/>
  <c r="F4005" i="116"/>
  <c r="E4005" i="116"/>
  <c r="D4005" i="116"/>
  <c r="C4005" i="116"/>
  <c r="B4005" i="116"/>
  <c r="K4004" i="116"/>
  <c r="J4004" i="116"/>
  <c r="I4004" i="116"/>
  <c r="H4004" i="116"/>
  <c r="G4004" i="116"/>
  <c r="F4004" i="116"/>
  <c r="E4004" i="116"/>
  <c r="D4004" i="116"/>
  <c r="C4004" i="116"/>
  <c r="B4004" i="116"/>
  <c r="K4003" i="116"/>
  <c r="J4003" i="116"/>
  <c r="I4003" i="116"/>
  <c r="H4003" i="116"/>
  <c r="G4003" i="116"/>
  <c r="F4003" i="116"/>
  <c r="E4003" i="116"/>
  <c r="D4003" i="116"/>
  <c r="C4003" i="116"/>
  <c r="B4003" i="116"/>
  <c r="K4002" i="116"/>
  <c r="J4002" i="116"/>
  <c r="I4002" i="116"/>
  <c r="H4002" i="116"/>
  <c r="G4002" i="116"/>
  <c r="F4002" i="116"/>
  <c r="E4002" i="116"/>
  <c r="D4002" i="116"/>
  <c r="C4002" i="116"/>
  <c r="B4002" i="116"/>
  <c r="K4001" i="116"/>
  <c r="J4001" i="116"/>
  <c r="I4001" i="116"/>
  <c r="H4001" i="116"/>
  <c r="G4001" i="116"/>
  <c r="F4001" i="116"/>
  <c r="E4001" i="116"/>
  <c r="D4001" i="116"/>
  <c r="C4001" i="116"/>
  <c r="B4001" i="116"/>
  <c r="K4000" i="116"/>
  <c r="J4000" i="116"/>
  <c r="I4000" i="116"/>
  <c r="H4000" i="116"/>
  <c r="G4000" i="116"/>
  <c r="F4000" i="116"/>
  <c r="E4000" i="116"/>
  <c r="D4000" i="116"/>
  <c r="C4000" i="116"/>
  <c r="B4000" i="116"/>
  <c r="K3999" i="116"/>
  <c r="J3999" i="116"/>
  <c r="I3999" i="116"/>
  <c r="H3999" i="116"/>
  <c r="G3999" i="116"/>
  <c r="F3999" i="116"/>
  <c r="E3999" i="116"/>
  <c r="D3999" i="116"/>
  <c r="C3999" i="116"/>
  <c r="B3999" i="116"/>
  <c r="K3998" i="116"/>
  <c r="J3998" i="116"/>
  <c r="I3998" i="116"/>
  <c r="H3998" i="116"/>
  <c r="G3998" i="116"/>
  <c r="F3998" i="116"/>
  <c r="E3998" i="116"/>
  <c r="D3998" i="116"/>
  <c r="C3998" i="116"/>
  <c r="B3998" i="116"/>
  <c r="K3997" i="116"/>
  <c r="J3997" i="116"/>
  <c r="I3997" i="116"/>
  <c r="H3997" i="116"/>
  <c r="G3997" i="116"/>
  <c r="F3997" i="116"/>
  <c r="E3997" i="116"/>
  <c r="D3997" i="116"/>
  <c r="C3997" i="116"/>
  <c r="B3997" i="116"/>
  <c r="K3996" i="116"/>
  <c r="J3996" i="116"/>
  <c r="I3996" i="116"/>
  <c r="H3996" i="116"/>
  <c r="G3996" i="116"/>
  <c r="F3996" i="116"/>
  <c r="E3996" i="116"/>
  <c r="D3996" i="116"/>
  <c r="C3996" i="116"/>
  <c r="B3996" i="116"/>
  <c r="K3995" i="116"/>
  <c r="J3995" i="116"/>
  <c r="I3995" i="116"/>
  <c r="H3995" i="116"/>
  <c r="G3995" i="116"/>
  <c r="F3995" i="116"/>
  <c r="E3995" i="116"/>
  <c r="D3995" i="116"/>
  <c r="C3995" i="116"/>
  <c r="B3995" i="116"/>
  <c r="K3994" i="116"/>
  <c r="J3994" i="116"/>
  <c r="I3994" i="116"/>
  <c r="H3994" i="116"/>
  <c r="G3994" i="116"/>
  <c r="F3994" i="116"/>
  <c r="E3994" i="116"/>
  <c r="D3994" i="116"/>
  <c r="C3994" i="116"/>
  <c r="B3994" i="116"/>
  <c r="K3993" i="116"/>
  <c r="J3993" i="116"/>
  <c r="I3993" i="116"/>
  <c r="H3993" i="116"/>
  <c r="G3993" i="116"/>
  <c r="F3993" i="116"/>
  <c r="E3993" i="116"/>
  <c r="D3993" i="116"/>
  <c r="C3993" i="116"/>
  <c r="B3993" i="116"/>
  <c r="K3992" i="116"/>
  <c r="J3992" i="116"/>
  <c r="I3992" i="116"/>
  <c r="H3992" i="116"/>
  <c r="G3992" i="116"/>
  <c r="F3992" i="116"/>
  <c r="E3992" i="116"/>
  <c r="D3992" i="116"/>
  <c r="C3992" i="116"/>
  <c r="B3992" i="116"/>
  <c r="K3991" i="116"/>
  <c r="J3991" i="116"/>
  <c r="I3991" i="116"/>
  <c r="H3991" i="116"/>
  <c r="G3991" i="116"/>
  <c r="F3991" i="116"/>
  <c r="E3991" i="116"/>
  <c r="D3991" i="116"/>
  <c r="C3991" i="116"/>
  <c r="B3991" i="116"/>
  <c r="K3990" i="116"/>
  <c r="J3990" i="116"/>
  <c r="I3990" i="116"/>
  <c r="H3990" i="116"/>
  <c r="G3990" i="116"/>
  <c r="F3990" i="116"/>
  <c r="E3990" i="116"/>
  <c r="D3990" i="116"/>
  <c r="C3990" i="116"/>
  <c r="B3990" i="116"/>
  <c r="K3989" i="116"/>
  <c r="J3989" i="116"/>
  <c r="I3989" i="116"/>
  <c r="H3989" i="116"/>
  <c r="G3989" i="116"/>
  <c r="F3989" i="116"/>
  <c r="E3989" i="116"/>
  <c r="D3989" i="116"/>
  <c r="C3989" i="116"/>
  <c r="B3989" i="116"/>
  <c r="K3988" i="116"/>
  <c r="J3988" i="116"/>
  <c r="I3988" i="116"/>
  <c r="H3988" i="116"/>
  <c r="G3988" i="116"/>
  <c r="F3988" i="116"/>
  <c r="E3988" i="116"/>
  <c r="D3988" i="116"/>
  <c r="C3988" i="116"/>
  <c r="B3988" i="116"/>
  <c r="K3987" i="116"/>
  <c r="J3987" i="116"/>
  <c r="I3987" i="116"/>
  <c r="H3987" i="116"/>
  <c r="G3987" i="116"/>
  <c r="F3987" i="116"/>
  <c r="E3987" i="116"/>
  <c r="D3987" i="116"/>
  <c r="C3987" i="116"/>
  <c r="B3987" i="116"/>
  <c r="K3986" i="116"/>
  <c r="J3986" i="116"/>
  <c r="I3986" i="116"/>
  <c r="H3986" i="116"/>
  <c r="G3986" i="116"/>
  <c r="F3986" i="116"/>
  <c r="E3986" i="116"/>
  <c r="D3986" i="116"/>
  <c r="C3986" i="116"/>
  <c r="B3986" i="116"/>
  <c r="K3985" i="116"/>
  <c r="J3985" i="116"/>
  <c r="I3985" i="116"/>
  <c r="H3985" i="116"/>
  <c r="G3985" i="116"/>
  <c r="F3985" i="116"/>
  <c r="E3985" i="116"/>
  <c r="D3985" i="116"/>
  <c r="C3985" i="116"/>
  <c r="B3985" i="116"/>
  <c r="K3984" i="116"/>
  <c r="J3984" i="116"/>
  <c r="I3984" i="116"/>
  <c r="H3984" i="116"/>
  <c r="G3984" i="116"/>
  <c r="F3984" i="116"/>
  <c r="E3984" i="116"/>
  <c r="D3984" i="116"/>
  <c r="C3984" i="116"/>
  <c r="B3984" i="116"/>
  <c r="K3983" i="116"/>
  <c r="J3983" i="116"/>
  <c r="I3983" i="116"/>
  <c r="H3983" i="116"/>
  <c r="G3983" i="116"/>
  <c r="F3983" i="116"/>
  <c r="E3983" i="116"/>
  <c r="D3983" i="116"/>
  <c r="C3983" i="116"/>
  <c r="B3983" i="116"/>
  <c r="K3982" i="116"/>
  <c r="J3982" i="116"/>
  <c r="I3982" i="116"/>
  <c r="H3982" i="116"/>
  <c r="G3982" i="116"/>
  <c r="F3982" i="116"/>
  <c r="E3982" i="116"/>
  <c r="D3982" i="116"/>
  <c r="C3982" i="116"/>
  <c r="B3982" i="116"/>
  <c r="K3981" i="116"/>
  <c r="J3981" i="116"/>
  <c r="I3981" i="116"/>
  <c r="H3981" i="116"/>
  <c r="G3981" i="116"/>
  <c r="F3981" i="116"/>
  <c r="E3981" i="116"/>
  <c r="D3981" i="116"/>
  <c r="C3981" i="116"/>
  <c r="B3981" i="116"/>
  <c r="K3980" i="116"/>
  <c r="J3980" i="116"/>
  <c r="I3980" i="116"/>
  <c r="H3980" i="116"/>
  <c r="G3980" i="116"/>
  <c r="F3980" i="116"/>
  <c r="E3980" i="116"/>
  <c r="D3980" i="116"/>
  <c r="C3980" i="116"/>
  <c r="B3980" i="116"/>
  <c r="K3979" i="116"/>
  <c r="J3979" i="116"/>
  <c r="I3979" i="116"/>
  <c r="H3979" i="116"/>
  <c r="G3979" i="116"/>
  <c r="F3979" i="116"/>
  <c r="E3979" i="116"/>
  <c r="D3979" i="116"/>
  <c r="C3979" i="116"/>
  <c r="B3979" i="116"/>
  <c r="K3978" i="116"/>
  <c r="J3978" i="116"/>
  <c r="I3978" i="116"/>
  <c r="H3978" i="116"/>
  <c r="G3978" i="116"/>
  <c r="F3978" i="116"/>
  <c r="E3978" i="116"/>
  <c r="D3978" i="116"/>
  <c r="C3978" i="116"/>
  <c r="B3978" i="116"/>
  <c r="K3977" i="116"/>
  <c r="J3977" i="116"/>
  <c r="I3977" i="116"/>
  <c r="H3977" i="116"/>
  <c r="G3977" i="116"/>
  <c r="F3977" i="116"/>
  <c r="E3977" i="116"/>
  <c r="D3977" i="116"/>
  <c r="C3977" i="116"/>
  <c r="B3977" i="116"/>
  <c r="K3976" i="116"/>
  <c r="J3976" i="116"/>
  <c r="I3976" i="116"/>
  <c r="H3976" i="116"/>
  <c r="G3976" i="116"/>
  <c r="F3976" i="116"/>
  <c r="E3976" i="116"/>
  <c r="D3976" i="116"/>
  <c r="C3976" i="116"/>
  <c r="B3976" i="116"/>
  <c r="K3975" i="116"/>
  <c r="J3975" i="116"/>
  <c r="I3975" i="116"/>
  <c r="H3975" i="116"/>
  <c r="G3975" i="116"/>
  <c r="F3975" i="116"/>
  <c r="E3975" i="116"/>
  <c r="D3975" i="116"/>
  <c r="C3975" i="116"/>
  <c r="B3975" i="116"/>
  <c r="K3974" i="116"/>
  <c r="J3974" i="116"/>
  <c r="I3974" i="116"/>
  <c r="H3974" i="116"/>
  <c r="G3974" i="116"/>
  <c r="F3974" i="116"/>
  <c r="E3974" i="116"/>
  <c r="D3974" i="116"/>
  <c r="C3974" i="116"/>
  <c r="B3974" i="116"/>
  <c r="K3973" i="116"/>
  <c r="J3973" i="116"/>
  <c r="I3973" i="116"/>
  <c r="H3973" i="116"/>
  <c r="G3973" i="116"/>
  <c r="F3973" i="116"/>
  <c r="E3973" i="116"/>
  <c r="D3973" i="116"/>
  <c r="C3973" i="116"/>
  <c r="B3973" i="116"/>
  <c r="K3972" i="116"/>
  <c r="J3972" i="116"/>
  <c r="I3972" i="116"/>
  <c r="H3972" i="116"/>
  <c r="G3972" i="116"/>
  <c r="F3972" i="116"/>
  <c r="E3972" i="116"/>
  <c r="D3972" i="116"/>
  <c r="C3972" i="116"/>
  <c r="B3972" i="116"/>
  <c r="K3971" i="116"/>
  <c r="J3971" i="116"/>
  <c r="I3971" i="116"/>
  <c r="H3971" i="116"/>
  <c r="G3971" i="116"/>
  <c r="F3971" i="116"/>
  <c r="E3971" i="116"/>
  <c r="D3971" i="116"/>
  <c r="C3971" i="116"/>
  <c r="B3971" i="116"/>
  <c r="K3970" i="116"/>
  <c r="J3970" i="116"/>
  <c r="I3970" i="116"/>
  <c r="H3970" i="116"/>
  <c r="G3970" i="116"/>
  <c r="F3970" i="116"/>
  <c r="E3970" i="116"/>
  <c r="D3970" i="116"/>
  <c r="C3970" i="116"/>
  <c r="B3970" i="116"/>
  <c r="K3969" i="116"/>
  <c r="J3969" i="116"/>
  <c r="I3969" i="116"/>
  <c r="H3969" i="116"/>
  <c r="G3969" i="116"/>
  <c r="F3969" i="116"/>
  <c r="E3969" i="116"/>
  <c r="D3969" i="116"/>
  <c r="C3969" i="116"/>
  <c r="B3969" i="116"/>
  <c r="K3968" i="116"/>
  <c r="J3968" i="116"/>
  <c r="I3968" i="116"/>
  <c r="H3968" i="116"/>
  <c r="G3968" i="116"/>
  <c r="F3968" i="116"/>
  <c r="E3968" i="116"/>
  <c r="D3968" i="116"/>
  <c r="C3968" i="116"/>
  <c r="B3968" i="116"/>
  <c r="K3967" i="116"/>
  <c r="J3967" i="116"/>
  <c r="I3967" i="116"/>
  <c r="H3967" i="116"/>
  <c r="G3967" i="116"/>
  <c r="F3967" i="116"/>
  <c r="E3967" i="116"/>
  <c r="D3967" i="116"/>
  <c r="C3967" i="116"/>
  <c r="B3967" i="116"/>
  <c r="K3966" i="116"/>
  <c r="J3966" i="116"/>
  <c r="I3966" i="116"/>
  <c r="H3966" i="116"/>
  <c r="G3966" i="116"/>
  <c r="F3966" i="116"/>
  <c r="E3966" i="116"/>
  <c r="D3966" i="116"/>
  <c r="C3966" i="116"/>
  <c r="B3966" i="116"/>
  <c r="K3965" i="116"/>
  <c r="J3965" i="116"/>
  <c r="I3965" i="116"/>
  <c r="H3965" i="116"/>
  <c r="G3965" i="116"/>
  <c r="F3965" i="116"/>
  <c r="E3965" i="116"/>
  <c r="D3965" i="116"/>
  <c r="C3965" i="116"/>
  <c r="B3965" i="116"/>
  <c r="K3964" i="116"/>
  <c r="J3964" i="116"/>
  <c r="I3964" i="116"/>
  <c r="H3964" i="116"/>
  <c r="G3964" i="116"/>
  <c r="F3964" i="116"/>
  <c r="E3964" i="116"/>
  <c r="D3964" i="116"/>
  <c r="C3964" i="116"/>
  <c r="B3964" i="116"/>
  <c r="K3963" i="116"/>
  <c r="J3963" i="116"/>
  <c r="I3963" i="116"/>
  <c r="H3963" i="116"/>
  <c r="G3963" i="116"/>
  <c r="F3963" i="116"/>
  <c r="E3963" i="116"/>
  <c r="D3963" i="116"/>
  <c r="C3963" i="116"/>
  <c r="B3963" i="116"/>
  <c r="K3962" i="116"/>
  <c r="J3962" i="116"/>
  <c r="I3962" i="116"/>
  <c r="H3962" i="116"/>
  <c r="G3962" i="116"/>
  <c r="F3962" i="116"/>
  <c r="E3962" i="116"/>
  <c r="D3962" i="116"/>
  <c r="C3962" i="116"/>
  <c r="B3962" i="116"/>
  <c r="K3961" i="116"/>
  <c r="J3961" i="116"/>
  <c r="I3961" i="116"/>
  <c r="H3961" i="116"/>
  <c r="G3961" i="116"/>
  <c r="F3961" i="116"/>
  <c r="E3961" i="116"/>
  <c r="D3961" i="116"/>
  <c r="C3961" i="116"/>
  <c r="B3961" i="116"/>
  <c r="K3960" i="116"/>
  <c r="J3960" i="116"/>
  <c r="I3960" i="116"/>
  <c r="H3960" i="116"/>
  <c r="G3960" i="116"/>
  <c r="F3960" i="116"/>
  <c r="E3960" i="116"/>
  <c r="D3960" i="116"/>
  <c r="C3960" i="116"/>
  <c r="B3960" i="116"/>
  <c r="K3959" i="116"/>
  <c r="J3959" i="116"/>
  <c r="I3959" i="116"/>
  <c r="H3959" i="116"/>
  <c r="G3959" i="116"/>
  <c r="F3959" i="116"/>
  <c r="E3959" i="116"/>
  <c r="D3959" i="116"/>
  <c r="C3959" i="116"/>
  <c r="B3959" i="116"/>
  <c r="K3958" i="116"/>
  <c r="J3958" i="116"/>
  <c r="I3958" i="116"/>
  <c r="H3958" i="116"/>
  <c r="G3958" i="116"/>
  <c r="F3958" i="116"/>
  <c r="E3958" i="116"/>
  <c r="D3958" i="116"/>
  <c r="C3958" i="116"/>
  <c r="B3958" i="116"/>
  <c r="K3957" i="116"/>
  <c r="J3957" i="116"/>
  <c r="I3957" i="116"/>
  <c r="H3957" i="116"/>
  <c r="G3957" i="116"/>
  <c r="F3957" i="116"/>
  <c r="E3957" i="116"/>
  <c r="D3957" i="116"/>
  <c r="C3957" i="116"/>
  <c r="B3957" i="116"/>
  <c r="K3956" i="116"/>
  <c r="J3956" i="116"/>
  <c r="I3956" i="116"/>
  <c r="H3956" i="116"/>
  <c r="G3956" i="116"/>
  <c r="F3956" i="116"/>
  <c r="E3956" i="116"/>
  <c r="D3956" i="116"/>
  <c r="C3956" i="116"/>
  <c r="B3956" i="116"/>
  <c r="K3955" i="116"/>
  <c r="J3955" i="116"/>
  <c r="I3955" i="116"/>
  <c r="H3955" i="116"/>
  <c r="G3955" i="116"/>
  <c r="F3955" i="116"/>
  <c r="E3955" i="116"/>
  <c r="D3955" i="116"/>
  <c r="C3955" i="116"/>
  <c r="B3955" i="116"/>
  <c r="K3954" i="116"/>
  <c r="J3954" i="116"/>
  <c r="I3954" i="116"/>
  <c r="H3954" i="116"/>
  <c r="G3954" i="116"/>
  <c r="F3954" i="116"/>
  <c r="E3954" i="116"/>
  <c r="D3954" i="116"/>
  <c r="C3954" i="116"/>
  <c r="B3954" i="116"/>
  <c r="K3953" i="116"/>
  <c r="J3953" i="116"/>
  <c r="I3953" i="116"/>
  <c r="H3953" i="116"/>
  <c r="G3953" i="116"/>
  <c r="F3953" i="116"/>
  <c r="E3953" i="116"/>
  <c r="D3953" i="116"/>
  <c r="C3953" i="116"/>
  <c r="B3953" i="116"/>
  <c r="K3952" i="116"/>
  <c r="J3952" i="116"/>
  <c r="I3952" i="116"/>
  <c r="H3952" i="116"/>
  <c r="G3952" i="116"/>
  <c r="F3952" i="116"/>
  <c r="E3952" i="116"/>
  <c r="D3952" i="116"/>
  <c r="C3952" i="116"/>
  <c r="B3952" i="116"/>
  <c r="K3951" i="116"/>
  <c r="J3951" i="116"/>
  <c r="I3951" i="116"/>
  <c r="H3951" i="116"/>
  <c r="G3951" i="116"/>
  <c r="F3951" i="116"/>
  <c r="E3951" i="116"/>
  <c r="D3951" i="116"/>
  <c r="C3951" i="116"/>
  <c r="B3951" i="116"/>
  <c r="K3950" i="116"/>
  <c r="J3950" i="116"/>
  <c r="I3950" i="116"/>
  <c r="H3950" i="116"/>
  <c r="G3950" i="116"/>
  <c r="F3950" i="116"/>
  <c r="E3950" i="116"/>
  <c r="D3950" i="116"/>
  <c r="C3950" i="116"/>
  <c r="B3950" i="116"/>
  <c r="K3949" i="116"/>
  <c r="J3949" i="116"/>
  <c r="I3949" i="116"/>
  <c r="H3949" i="116"/>
  <c r="G3949" i="116"/>
  <c r="F3949" i="116"/>
  <c r="E3949" i="116"/>
  <c r="D3949" i="116"/>
  <c r="C3949" i="116"/>
  <c r="B3949" i="116"/>
  <c r="K3948" i="116"/>
  <c r="J3948" i="116"/>
  <c r="I3948" i="116"/>
  <c r="H3948" i="116"/>
  <c r="G3948" i="116"/>
  <c r="F3948" i="116"/>
  <c r="E3948" i="116"/>
  <c r="D3948" i="116"/>
  <c r="C3948" i="116"/>
  <c r="B3948" i="116"/>
  <c r="K3947" i="116"/>
  <c r="J3947" i="116"/>
  <c r="I3947" i="116"/>
  <c r="H3947" i="116"/>
  <c r="G3947" i="116"/>
  <c r="F3947" i="116"/>
  <c r="E3947" i="116"/>
  <c r="D3947" i="116"/>
  <c r="C3947" i="116"/>
  <c r="B3947" i="116"/>
  <c r="K3946" i="116"/>
  <c r="J3946" i="116"/>
  <c r="I3946" i="116"/>
  <c r="H3946" i="116"/>
  <c r="G3946" i="116"/>
  <c r="F3946" i="116"/>
  <c r="E3946" i="116"/>
  <c r="D3946" i="116"/>
  <c r="C3946" i="116"/>
  <c r="B3946" i="116"/>
  <c r="K3945" i="116"/>
  <c r="J3945" i="116"/>
  <c r="I3945" i="116"/>
  <c r="H3945" i="116"/>
  <c r="G3945" i="116"/>
  <c r="F3945" i="116"/>
  <c r="E3945" i="116"/>
  <c r="D3945" i="116"/>
  <c r="C3945" i="116"/>
  <c r="B3945" i="116"/>
  <c r="K3944" i="116"/>
  <c r="J3944" i="116"/>
  <c r="I3944" i="116"/>
  <c r="H3944" i="116"/>
  <c r="G3944" i="116"/>
  <c r="F3944" i="116"/>
  <c r="E3944" i="116"/>
  <c r="D3944" i="116"/>
  <c r="C3944" i="116"/>
  <c r="B3944" i="116"/>
  <c r="K3943" i="116"/>
  <c r="J3943" i="116"/>
  <c r="I3943" i="116"/>
  <c r="H3943" i="116"/>
  <c r="G3943" i="116"/>
  <c r="F3943" i="116"/>
  <c r="E3943" i="116"/>
  <c r="D3943" i="116"/>
  <c r="C3943" i="116"/>
  <c r="B3943" i="116"/>
  <c r="K3942" i="116"/>
  <c r="J3942" i="116"/>
  <c r="I3942" i="116"/>
  <c r="H3942" i="116"/>
  <c r="G3942" i="116"/>
  <c r="F3942" i="116"/>
  <c r="E3942" i="116"/>
  <c r="D3942" i="116"/>
  <c r="C3942" i="116"/>
  <c r="B3942" i="116"/>
  <c r="K3941" i="116"/>
  <c r="J3941" i="116"/>
  <c r="I3941" i="116"/>
  <c r="H3941" i="116"/>
  <c r="G3941" i="116"/>
  <c r="F3941" i="116"/>
  <c r="E3941" i="116"/>
  <c r="D3941" i="116"/>
  <c r="C3941" i="116"/>
  <c r="B3941" i="116"/>
  <c r="K3940" i="116"/>
  <c r="J3940" i="116"/>
  <c r="I3940" i="116"/>
  <c r="H3940" i="116"/>
  <c r="G3940" i="116"/>
  <c r="F3940" i="116"/>
  <c r="E3940" i="116"/>
  <c r="D3940" i="116"/>
  <c r="C3940" i="116"/>
  <c r="B3940" i="116"/>
  <c r="K3939" i="116"/>
  <c r="J3939" i="116"/>
  <c r="I3939" i="116"/>
  <c r="H3939" i="116"/>
  <c r="G3939" i="116"/>
  <c r="F3939" i="116"/>
  <c r="E3939" i="116"/>
  <c r="D3939" i="116"/>
  <c r="C3939" i="116"/>
  <c r="B3939" i="116"/>
  <c r="K3938" i="116"/>
  <c r="J3938" i="116"/>
  <c r="I3938" i="116"/>
  <c r="H3938" i="116"/>
  <c r="G3938" i="116"/>
  <c r="F3938" i="116"/>
  <c r="E3938" i="116"/>
  <c r="D3938" i="116"/>
  <c r="C3938" i="116"/>
  <c r="B3938" i="116"/>
  <c r="K3937" i="116"/>
  <c r="J3937" i="116"/>
  <c r="I3937" i="116"/>
  <c r="H3937" i="116"/>
  <c r="G3937" i="116"/>
  <c r="F3937" i="116"/>
  <c r="E3937" i="116"/>
  <c r="D3937" i="116"/>
  <c r="C3937" i="116"/>
  <c r="B3937" i="116"/>
  <c r="K3936" i="116"/>
  <c r="J3936" i="116"/>
  <c r="I3936" i="116"/>
  <c r="H3936" i="116"/>
  <c r="G3936" i="116"/>
  <c r="F3936" i="116"/>
  <c r="E3936" i="116"/>
  <c r="D3936" i="116"/>
  <c r="C3936" i="116"/>
  <c r="B3936" i="116"/>
  <c r="K3935" i="116"/>
  <c r="J3935" i="116"/>
  <c r="I3935" i="116"/>
  <c r="H3935" i="116"/>
  <c r="G3935" i="116"/>
  <c r="F3935" i="116"/>
  <c r="E3935" i="116"/>
  <c r="D3935" i="116"/>
  <c r="C3935" i="116"/>
  <c r="B3935" i="116"/>
  <c r="K3934" i="116"/>
  <c r="J3934" i="116"/>
  <c r="I3934" i="116"/>
  <c r="H3934" i="116"/>
  <c r="G3934" i="116"/>
  <c r="F3934" i="116"/>
  <c r="E3934" i="116"/>
  <c r="D3934" i="116"/>
  <c r="C3934" i="116"/>
  <c r="B3934" i="116"/>
  <c r="K3933" i="116"/>
  <c r="J3933" i="116"/>
  <c r="I3933" i="116"/>
  <c r="H3933" i="116"/>
  <c r="G3933" i="116"/>
  <c r="F3933" i="116"/>
  <c r="E3933" i="116"/>
  <c r="D3933" i="116"/>
  <c r="C3933" i="116"/>
  <c r="B3933" i="116"/>
  <c r="K3932" i="116"/>
  <c r="J3932" i="116"/>
  <c r="I3932" i="116"/>
  <c r="H3932" i="116"/>
  <c r="G3932" i="116"/>
  <c r="F3932" i="116"/>
  <c r="E3932" i="116"/>
  <c r="D3932" i="116"/>
  <c r="C3932" i="116"/>
  <c r="B3932" i="116"/>
  <c r="K3931" i="116"/>
  <c r="J3931" i="116"/>
  <c r="I3931" i="116"/>
  <c r="H3931" i="116"/>
  <c r="G3931" i="116"/>
  <c r="F3931" i="116"/>
  <c r="E3931" i="116"/>
  <c r="D3931" i="116"/>
  <c r="C3931" i="116"/>
  <c r="B3931" i="116"/>
  <c r="K3930" i="116"/>
  <c r="J3930" i="116"/>
  <c r="I3930" i="116"/>
  <c r="H3930" i="116"/>
  <c r="G3930" i="116"/>
  <c r="F3930" i="116"/>
  <c r="E3930" i="116"/>
  <c r="D3930" i="116"/>
  <c r="C3930" i="116"/>
  <c r="B3930" i="116"/>
  <c r="K3929" i="116"/>
  <c r="J3929" i="116"/>
  <c r="I3929" i="116"/>
  <c r="H3929" i="116"/>
  <c r="G3929" i="116"/>
  <c r="F3929" i="116"/>
  <c r="E3929" i="116"/>
  <c r="D3929" i="116"/>
  <c r="C3929" i="116"/>
  <c r="B3929" i="116"/>
  <c r="K3928" i="116"/>
  <c r="J3928" i="116"/>
  <c r="I3928" i="116"/>
  <c r="H3928" i="116"/>
  <c r="G3928" i="116"/>
  <c r="F3928" i="116"/>
  <c r="E3928" i="116"/>
  <c r="D3928" i="116"/>
  <c r="C3928" i="116"/>
  <c r="B3928" i="116"/>
  <c r="K3927" i="116"/>
  <c r="J3927" i="116"/>
  <c r="I3927" i="116"/>
  <c r="H3927" i="116"/>
  <c r="G3927" i="116"/>
  <c r="F3927" i="116"/>
  <c r="E3927" i="116"/>
  <c r="D3927" i="116"/>
  <c r="C3927" i="116"/>
  <c r="B3927" i="116"/>
  <c r="K3926" i="116"/>
  <c r="J3926" i="116"/>
  <c r="I3926" i="116"/>
  <c r="H3926" i="116"/>
  <c r="G3926" i="116"/>
  <c r="F3926" i="116"/>
  <c r="E3926" i="116"/>
  <c r="D3926" i="116"/>
  <c r="C3926" i="116"/>
  <c r="B3926" i="116"/>
  <c r="K3925" i="116"/>
  <c r="J3925" i="116"/>
  <c r="I3925" i="116"/>
  <c r="H3925" i="116"/>
  <c r="G3925" i="116"/>
  <c r="F3925" i="116"/>
  <c r="E3925" i="116"/>
  <c r="D3925" i="116"/>
  <c r="C3925" i="116"/>
  <c r="B3925" i="116"/>
  <c r="K3924" i="116"/>
  <c r="J3924" i="116"/>
  <c r="I3924" i="116"/>
  <c r="H3924" i="116"/>
  <c r="G3924" i="116"/>
  <c r="F3924" i="116"/>
  <c r="E3924" i="116"/>
  <c r="D3924" i="116"/>
  <c r="C3924" i="116"/>
  <c r="B3924" i="116"/>
  <c r="K3923" i="116"/>
  <c r="J3923" i="116"/>
  <c r="I3923" i="116"/>
  <c r="H3923" i="116"/>
  <c r="G3923" i="116"/>
  <c r="F3923" i="116"/>
  <c r="E3923" i="116"/>
  <c r="D3923" i="116"/>
  <c r="C3923" i="116"/>
  <c r="B3923" i="116"/>
  <c r="K3922" i="116"/>
  <c r="J3922" i="116"/>
  <c r="I3922" i="116"/>
  <c r="H3922" i="116"/>
  <c r="G3922" i="116"/>
  <c r="F3922" i="116"/>
  <c r="E3922" i="116"/>
  <c r="D3922" i="116"/>
  <c r="C3922" i="116"/>
  <c r="B3922" i="116"/>
  <c r="K3921" i="116"/>
  <c r="J3921" i="116"/>
  <c r="I3921" i="116"/>
  <c r="H3921" i="116"/>
  <c r="G3921" i="116"/>
  <c r="F3921" i="116"/>
  <c r="E3921" i="116"/>
  <c r="D3921" i="116"/>
  <c r="C3921" i="116"/>
  <c r="B3921" i="116"/>
  <c r="K3920" i="116"/>
  <c r="J3920" i="116"/>
  <c r="I3920" i="116"/>
  <c r="H3920" i="116"/>
  <c r="G3920" i="116"/>
  <c r="F3920" i="116"/>
  <c r="E3920" i="116"/>
  <c r="D3920" i="116"/>
  <c r="C3920" i="116"/>
  <c r="B3920" i="116"/>
  <c r="K3919" i="116"/>
  <c r="J3919" i="116"/>
  <c r="I3919" i="116"/>
  <c r="H3919" i="116"/>
  <c r="G3919" i="116"/>
  <c r="F3919" i="116"/>
  <c r="E3919" i="116"/>
  <c r="D3919" i="116"/>
  <c r="C3919" i="116"/>
  <c r="B3919" i="116"/>
  <c r="K3918" i="116"/>
  <c r="J3918" i="116"/>
  <c r="I3918" i="116"/>
  <c r="H3918" i="116"/>
  <c r="G3918" i="116"/>
  <c r="F3918" i="116"/>
  <c r="E3918" i="116"/>
  <c r="D3918" i="116"/>
  <c r="C3918" i="116"/>
  <c r="B3918" i="116"/>
  <c r="K3917" i="116"/>
  <c r="J3917" i="116"/>
  <c r="I3917" i="116"/>
  <c r="H3917" i="116"/>
  <c r="G3917" i="116"/>
  <c r="F3917" i="116"/>
  <c r="E3917" i="116"/>
  <c r="D3917" i="116"/>
  <c r="C3917" i="116"/>
  <c r="B3917" i="116"/>
  <c r="K3916" i="116"/>
  <c r="J3916" i="116"/>
  <c r="I3916" i="116"/>
  <c r="H3916" i="116"/>
  <c r="G3916" i="116"/>
  <c r="F3916" i="116"/>
  <c r="E3916" i="116"/>
  <c r="D3916" i="116"/>
  <c r="C3916" i="116"/>
  <c r="B3916" i="116"/>
  <c r="K3915" i="116"/>
  <c r="J3915" i="116"/>
  <c r="I3915" i="116"/>
  <c r="H3915" i="116"/>
  <c r="G3915" i="116"/>
  <c r="F3915" i="116"/>
  <c r="E3915" i="116"/>
  <c r="D3915" i="116"/>
  <c r="C3915" i="116"/>
  <c r="B3915" i="116"/>
  <c r="K3914" i="116"/>
  <c r="J3914" i="116"/>
  <c r="I3914" i="116"/>
  <c r="H3914" i="116"/>
  <c r="G3914" i="116"/>
  <c r="F3914" i="116"/>
  <c r="E3914" i="116"/>
  <c r="D3914" i="116"/>
  <c r="C3914" i="116"/>
  <c r="B3914" i="116"/>
  <c r="K3913" i="116"/>
  <c r="J3913" i="116"/>
  <c r="I3913" i="116"/>
  <c r="H3913" i="116"/>
  <c r="G3913" i="116"/>
  <c r="F3913" i="116"/>
  <c r="E3913" i="116"/>
  <c r="D3913" i="116"/>
  <c r="C3913" i="116"/>
  <c r="B3913" i="116"/>
  <c r="K3912" i="116"/>
  <c r="J3912" i="116"/>
  <c r="I3912" i="116"/>
  <c r="H3912" i="116"/>
  <c r="G3912" i="116"/>
  <c r="F3912" i="116"/>
  <c r="E3912" i="116"/>
  <c r="D3912" i="116"/>
  <c r="C3912" i="116"/>
  <c r="B3912" i="116"/>
  <c r="K3911" i="116"/>
  <c r="J3911" i="116"/>
  <c r="I3911" i="116"/>
  <c r="H3911" i="116"/>
  <c r="G3911" i="116"/>
  <c r="F3911" i="116"/>
  <c r="E3911" i="116"/>
  <c r="D3911" i="116"/>
  <c r="C3911" i="116"/>
  <c r="B3911" i="116"/>
  <c r="K3910" i="116"/>
  <c r="J3910" i="116"/>
  <c r="I3910" i="116"/>
  <c r="H3910" i="116"/>
  <c r="G3910" i="116"/>
  <c r="F3910" i="116"/>
  <c r="E3910" i="116"/>
  <c r="D3910" i="116"/>
  <c r="C3910" i="116"/>
  <c r="B3910" i="116"/>
  <c r="K3909" i="116"/>
  <c r="J3909" i="116"/>
  <c r="I3909" i="116"/>
  <c r="H3909" i="116"/>
  <c r="G3909" i="116"/>
  <c r="F3909" i="116"/>
  <c r="E3909" i="116"/>
  <c r="D3909" i="116"/>
  <c r="C3909" i="116"/>
  <c r="B3909" i="116"/>
  <c r="K3908" i="116"/>
  <c r="J3908" i="116"/>
  <c r="I3908" i="116"/>
  <c r="H3908" i="116"/>
  <c r="G3908" i="116"/>
  <c r="F3908" i="116"/>
  <c r="E3908" i="116"/>
  <c r="D3908" i="116"/>
  <c r="C3908" i="116"/>
  <c r="B3908" i="116"/>
  <c r="K3907" i="116"/>
  <c r="J3907" i="116"/>
  <c r="I3907" i="116"/>
  <c r="H3907" i="116"/>
  <c r="G3907" i="116"/>
  <c r="F3907" i="116"/>
  <c r="E3907" i="116"/>
  <c r="D3907" i="116"/>
  <c r="C3907" i="116"/>
  <c r="B3907" i="116"/>
  <c r="K3906" i="116"/>
  <c r="J3906" i="116"/>
  <c r="I3906" i="116"/>
  <c r="H3906" i="116"/>
  <c r="G3906" i="116"/>
  <c r="F3906" i="116"/>
  <c r="E3906" i="116"/>
  <c r="D3906" i="116"/>
  <c r="C3906" i="116"/>
  <c r="B3906" i="116"/>
  <c r="K3905" i="116"/>
  <c r="J3905" i="116"/>
  <c r="I3905" i="116"/>
  <c r="H3905" i="116"/>
  <c r="G3905" i="116"/>
  <c r="F3905" i="116"/>
  <c r="E3905" i="116"/>
  <c r="D3905" i="116"/>
  <c r="C3905" i="116"/>
  <c r="B3905" i="116"/>
  <c r="K3904" i="116"/>
  <c r="J3904" i="116"/>
  <c r="I3904" i="116"/>
  <c r="H3904" i="116"/>
  <c r="G3904" i="116"/>
  <c r="F3904" i="116"/>
  <c r="E3904" i="116"/>
  <c r="D3904" i="116"/>
  <c r="C3904" i="116"/>
  <c r="B3904" i="116"/>
  <c r="K3903" i="116"/>
  <c r="J3903" i="116"/>
  <c r="I3903" i="116"/>
  <c r="H3903" i="116"/>
  <c r="G3903" i="116"/>
  <c r="F3903" i="116"/>
  <c r="E3903" i="116"/>
  <c r="D3903" i="116"/>
  <c r="C3903" i="116"/>
  <c r="B3903" i="116"/>
  <c r="K3902" i="116"/>
  <c r="J3902" i="116"/>
  <c r="I3902" i="116"/>
  <c r="H3902" i="116"/>
  <c r="G3902" i="116"/>
  <c r="F3902" i="116"/>
  <c r="E3902" i="116"/>
  <c r="D3902" i="116"/>
  <c r="C3902" i="116"/>
  <c r="B3902" i="116"/>
  <c r="K3901" i="116"/>
  <c r="J3901" i="116"/>
  <c r="I3901" i="116"/>
  <c r="H3901" i="116"/>
  <c r="G3901" i="116"/>
  <c r="F3901" i="116"/>
  <c r="E3901" i="116"/>
  <c r="D3901" i="116"/>
  <c r="C3901" i="116"/>
  <c r="B3901" i="116"/>
  <c r="K3900" i="116"/>
  <c r="J3900" i="116"/>
  <c r="I3900" i="116"/>
  <c r="H3900" i="116"/>
  <c r="G3900" i="116"/>
  <c r="F3900" i="116"/>
  <c r="E3900" i="116"/>
  <c r="D3900" i="116"/>
  <c r="C3900" i="116"/>
  <c r="B3900" i="116"/>
  <c r="K3899" i="116"/>
  <c r="J3899" i="116"/>
  <c r="I3899" i="116"/>
  <c r="H3899" i="116"/>
  <c r="G3899" i="116"/>
  <c r="F3899" i="116"/>
  <c r="E3899" i="116"/>
  <c r="D3899" i="116"/>
  <c r="C3899" i="116"/>
  <c r="B3899" i="116"/>
  <c r="K3898" i="116"/>
  <c r="J3898" i="116"/>
  <c r="I3898" i="116"/>
  <c r="H3898" i="116"/>
  <c r="G3898" i="116"/>
  <c r="F3898" i="116"/>
  <c r="E3898" i="116"/>
  <c r="D3898" i="116"/>
  <c r="C3898" i="116"/>
  <c r="B3898" i="116"/>
  <c r="K3897" i="116"/>
  <c r="J3897" i="116"/>
  <c r="I3897" i="116"/>
  <c r="H3897" i="116"/>
  <c r="G3897" i="116"/>
  <c r="F3897" i="116"/>
  <c r="E3897" i="116"/>
  <c r="D3897" i="116"/>
  <c r="C3897" i="116"/>
  <c r="B3897" i="116"/>
  <c r="K3896" i="116"/>
  <c r="J3896" i="116"/>
  <c r="I3896" i="116"/>
  <c r="H3896" i="116"/>
  <c r="G3896" i="116"/>
  <c r="F3896" i="116"/>
  <c r="E3896" i="116"/>
  <c r="D3896" i="116"/>
  <c r="C3896" i="116"/>
  <c r="B3896" i="116"/>
  <c r="K3895" i="116"/>
  <c r="J3895" i="116"/>
  <c r="I3895" i="116"/>
  <c r="H3895" i="116"/>
  <c r="G3895" i="116"/>
  <c r="F3895" i="116"/>
  <c r="E3895" i="116"/>
  <c r="D3895" i="116"/>
  <c r="C3895" i="116"/>
  <c r="B3895" i="116"/>
  <c r="K3894" i="116"/>
  <c r="J3894" i="116"/>
  <c r="I3894" i="116"/>
  <c r="H3894" i="116"/>
  <c r="G3894" i="116"/>
  <c r="F3894" i="116"/>
  <c r="E3894" i="116"/>
  <c r="D3894" i="116"/>
  <c r="C3894" i="116"/>
  <c r="B3894" i="116"/>
  <c r="K3893" i="116"/>
  <c r="J3893" i="116"/>
  <c r="I3893" i="116"/>
  <c r="H3893" i="116"/>
  <c r="G3893" i="116"/>
  <c r="F3893" i="116"/>
  <c r="E3893" i="116"/>
  <c r="D3893" i="116"/>
  <c r="C3893" i="116"/>
  <c r="B3893" i="116"/>
  <c r="K3892" i="116"/>
  <c r="J3892" i="116"/>
  <c r="I3892" i="116"/>
  <c r="H3892" i="116"/>
  <c r="G3892" i="116"/>
  <c r="F3892" i="116"/>
  <c r="E3892" i="116"/>
  <c r="D3892" i="116"/>
  <c r="C3892" i="116"/>
  <c r="B3892" i="116"/>
  <c r="K3891" i="116"/>
  <c r="J3891" i="116"/>
  <c r="I3891" i="116"/>
  <c r="H3891" i="116"/>
  <c r="G3891" i="116"/>
  <c r="F3891" i="116"/>
  <c r="E3891" i="116"/>
  <c r="D3891" i="116"/>
  <c r="C3891" i="116"/>
  <c r="B3891" i="116"/>
  <c r="K3890" i="116"/>
  <c r="J3890" i="116"/>
  <c r="I3890" i="116"/>
  <c r="H3890" i="116"/>
  <c r="G3890" i="116"/>
  <c r="F3890" i="116"/>
  <c r="E3890" i="116"/>
  <c r="D3890" i="116"/>
  <c r="C3890" i="116"/>
  <c r="B3890" i="116"/>
  <c r="K3889" i="116"/>
  <c r="J3889" i="116"/>
  <c r="I3889" i="116"/>
  <c r="H3889" i="116"/>
  <c r="G3889" i="116"/>
  <c r="F3889" i="116"/>
  <c r="E3889" i="116"/>
  <c r="D3889" i="116"/>
  <c r="C3889" i="116"/>
  <c r="B3889" i="116"/>
  <c r="K3888" i="116"/>
  <c r="J3888" i="116"/>
  <c r="I3888" i="116"/>
  <c r="H3888" i="116"/>
  <c r="G3888" i="116"/>
  <c r="F3888" i="116"/>
  <c r="E3888" i="116"/>
  <c r="D3888" i="116"/>
  <c r="C3888" i="116"/>
  <c r="B3888" i="116"/>
  <c r="K3887" i="116"/>
  <c r="J3887" i="116"/>
  <c r="I3887" i="116"/>
  <c r="H3887" i="116"/>
  <c r="G3887" i="116"/>
  <c r="F3887" i="116"/>
  <c r="E3887" i="116"/>
  <c r="D3887" i="116"/>
  <c r="C3887" i="116"/>
  <c r="B3887" i="116"/>
  <c r="K3886" i="116"/>
  <c r="J3886" i="116"/>
  <c r="I3886" i="116"/>
  <c r="H3886" i="116"/>
  <c r="G3886" i="116"/>
  <c r="F3886" i="116"/>
  <c r="E3886" i="116"/>
  <c r="D3886" i="116"/>
  <c r="C3886" i="116"/>
  <c r="B3886" i="116"/>
  <c r="K3885" i="116"/>
  <c r="J3885" i="116"/>
  <c r="I3885" i="116"/>
  <c r="H3885" i="116"/>
  <c r="G3885" i="116"/>
  <c r="F3885" i="116"/>
  <c r="E3885" i="116"/>
  <c r="D3885" i="116"/>
  <c r="C3885" i="116"/>
  <c r="B3885" i="116"/>
  <c r="K3884" i="116"/>
  <c r="J3884" i="116"/>
  <c r="I3884" i="116"/>
  <c r="H3884" i="116"/>
  <c r="G3884" i="116"/>
  <c r="F3884" i="116"/>
  <c r="E3884" i="116"/>
  <c r="D3884" i="116"/>
  <c r="C3884" i="116"/>
  <c r="B3884" i="116"/>
  <c r="K3883" i="116"/>
  <c r="J3883" i="116"/>
  <c r="I3883" i="116"/>
  <c r="H3883" i="116"/>
  <c r="G3883" i="116"/>
  <c r="F3883" i="116"/>
  <c r="E3883" i="116"/>
  <c r="D3883" i="116"/>
  <c r="C3883" i="116"/>
  <c r="B3883" i="116"/>
  <c r="K3882" i="116"/>
  <c r="J3882" i="116"/>
  <c r="I3882" i="116"/>
  <c r="H3882" i="116"/>
  <c r="G3882" i="116"/>
  <c r="F3882" i="116"/>
  <c r="E3882" i="116"/>
  <c r="D3882" i="116"/>
  <c r="C3882" i="116"/>
  <c r="B3882" i="116"/>
  <c r="K3881" i="116"/>
  <c r="J3881" i="116"/>
  <c r="I3881" i="116"/>
  <c r="H3881" i="116"/>
  <c r="G3881" i="116"/>
  <c r="F3881" i="116"/>
  <c r="E3881" i="116"/>
  <c r="D3881" i="116"/>
  <c r="C3881" i="116"/>
  <c r="B3881" i="116"/>
  <c r="K3880" i="116"/>
  <c r="J3880" i="116"/>
  <c r="I3880" i="116"/>
  <c r="H3880" i="116"/>
  <c r="G3880" i="116"/>
  <c r="F3880" i="116"/>
  <c r="E3880" i="116"/>
  <c r="D3880" i="116"/>
  <c r="C3880" i="116"/>
  <c r="B3880" i="116"/>
  <c r="K3879" i="116"/>
  <c r="J3879" i="116"/>
  <c r="I3879" i="116"/>
  <c r="H3879" i="116"/>
  <c r="G3879" i="116"/>
  <c r="F3879" i="116"/>
  <c r="E3879" i="116"/>
  <c r="D3879" i="116"/>
  <c r="C3879" i="116"/>
  <c r="B3879" i="116"/>
  <c r="K3878" i="116"/>
  <c r="J3878" i="116"/>
  <c r="I3878" i="116"/>
  <c r="H3878" i="116"/>
  <c r="G3878" i="116"/>
  <c r="F3878" i="116"/>
  <c r="E3878" i="116"/>
  <c r="D3878" i="116"/>
  <c r="C3878" i="116"/>
  <c r="B3878" i="116"/>
  <c r="K3877" i="116"/>
  <c r="J3877" i="116"/>
  <c r="I3877" i="116"/>
  <c r="H3877" i="116"/>
  <c r="G3877" i="116"/>
  <c r="F3877" i="116"/>
  <c r="E3877" i="116"/>
  <c r="D3877" i="116"/>
  <c r="C3877" i="116"/>
  <c r="B3877" i="116"/>
  <c r="K3876" i="116"/>
  <c r="J3876" i="116"/>
  <c r="I3876" i="116"/>
  <c r="H3876" i="116"/>
  <c r="G3876" i="116"/>
  <c r="F3876" i="116"/>
  <c r="E3876" i="116"/>
  <c r="D3876" i="116"/>
  <c r="C3876" i="116"/>
  <c r="B3876" i="116"/>
  <c r="K3875" i="116"/>
  <c r="J3875" i="116"/>
  <c r="I3875" i="116"/>
  <c r="H3875" i="116"/>
  <c r="G3875" i="116"/>
  <c r="F3875" i="116"/>
  <c r="E3875" i="116"/>
  <c r="D3875" i="116"/>
  <c r="C3875" i="116"/>
  <c r="B3875" i="116"/>
  <c r="K3874" i="116"/>
  <c r="J3874" i="116"/>
  <c r="I3874" i="116"/>
  <c r="H3874" i="116"/>
  <c r="G3874" i="116"/>
  <c r="F3874" i="116"/>
  <c r="E3874" i="116"/>
  <c r="D3874" i="116"/>
  <c r="C3874" i="116"/>
  <c r="B3874" i="116"/>
  <c r="K3873" i="116"/>
  <c r="J3873" i="116"/>
  <c r="I3873" i="116"/>
  <c r="H3873" i="116"/>
  <c r="G3873" i="116"/>
  <c r="F3873" i="116"/>
  <c r="E3873" i="116"/>
  <c r="D3873" i="116"/>
  <c r="C3873" i="116"/>
  <c r="B3873" i="116"/>
  <c r="K3872" i="116"/>
  <c r="J3872" i="116"/>
  <c r="I3872" i="116"/>
  <c r="H3872" i="116"/>
  <c r="G3872" i="116"/>
  <c r="F3872" i="116"/>
  <c r="E3872" i="116"/>
  <c r="D3872" i="116"/>
  <c r="C3872" i="116"/>
  <c r="B3872" i="116"/>
  <c r="K3871" i="116"/>
  <c r="J3871" i="116"/>
  <c r="I3871" i="116"/>
  <c r="H3871" i="116"/>
  <c r="G3871" i="116"/>
  <c r="F3871" i="116"/>
  <c r="E3871" i="116"/>
  <c r="D3871" i="116"/>
  <c r="C3871" i="116"/>
  <c r="B3871" i="116"/>
  <c r="K3870" i="116"/>
  <c r="J3870" i="116"/>
  <c r="I3870" i="116"/>
  <c r="H3870" i="116"/>
  <c r="G3870" i="116"/>
  <c r="F3870" i="116"/>
  <c r="E3870" i="116"/>
  <c r="D3870" i="116"/>
  <c r="C3870" i="116"/>
  <c r="B3870" i="116"/>
  <c r="K3869" i="116"/>
  <c r="J3869" i="116"/>
  <c r="I3869" i="116"/>
  <c r="H3869" i="116"/>
  <c r="G3869" i="116"/>
  <c r="F3869" i="116"/>
  <c r="E3869" i="116"/>
  <c r="D3869" i="116"/>
  <c r="C3869" i="116"/>
  <c r="B3869" i="116"/>
  <c r="K3868" i="116"/>
  <c r="J3868" i="116"/>
  <c r="I3868" i="116"/>
  <c r="H3868" i="116"/>
  <c r="G3868" i="116"/>
  <c r="F3868" i="116"/>
  <c r="E3868" i="116"/>
  <c r="D3868" i="116"/>
  <c r="C3868" i="116"/>
  <c r="B3868" i="116"/>
  <c r="K3867" i="116"/>
  <c r="J3867" i="116"/>
  <c r="I3867" i="116"/>
  <c r="H3867" i="116"/>
  <c r="G3867" i="116"/>
  <c r="F3867" i="116"/>
  <c r="E3867" i="116"/>
  <c r="D3867" i="116"/>
  <c r="C3867" i="116"/>
  <c r="B3867" i="116"/>
  <c r="K3866" i="116"/>
  <c r="J3866" i="116"/>
  <c r="I3866" i="116"/>
  <c r="H3866" i="116"/>
  <c r="G3866" i="116"/>
  <c r="F3866" i="116"/>
  <c r="E3866" i="116"/>
  <c r="D3866" i="116"/>
  <c r="C3866" i="116"/>
  <c r="B3866" i="116"/>
  <c r="K3865" i="116"/>
  <c r="J3865" i="116"/>
  <c r="I3865" i="116"/>
  <c r="H3865" i="116"/>
  <c r="G3865" i="116"/>
  <c r="F3865" i="116"/>
  <c r="E3865" i="116"/>
  <c r="D3865" i="116"/>
  <c r="C3865" i="116"/>
  <c r="B3865" i="116"/>
  <c r="K3864" i="116"/>
  <c r="J3864" i="116"/>
  <c r="I3864" i="116"/>
  <c r="H3864" i="116"/>
  <c r="G3864" i="116"/>
  <c r="F3864" i="116"/>
  <c r="E3864" i="116"/>
  <c r="D3864" i="116"/>
  <c r="C3864" i="116"/>
  <c r="B3864" i="116"/>
  <c r="K3863" i="116"/>
  <c r="J3863" i="116"/>
  <c r="I3863" i="116"/>
  <c r="H3863" i="116"/>
  <c r="G3863" i="116"/>
  <c r="F3863" i="116"/>
  <c r="E3863" i="116"/>
  <c r="D3863" i="116"/>
  <c r="C3863" i="116"/>
  <c r="B3863" i="116"/>
  <c r="K3862" i="116"/>
  <c r="J3862" i="116"/>
  <c r="I3862" i="116"/>
  <c r="H3862" i="116"/>
  <c r="G3862" i="116"/>
  <c r="F3862" i="116"/>
  <c r="E3862" i="116"/>
  <c r="D3862" i="116"/>
  <c r="C3862" i="116"/>
  <c r="B3862" i="116"/>
  <c r="K3861" i="116"/>
  <c r="J3861" i="116"/>
  <c r="I3861" i="116"/>
  <c r="H3861" i="116"/>
  <c r="G3861" i="116"/>
  <c r="F3861" i="116"/>
  <c r="E3861" i="116"/>
  <c r="D3861" i="116"/>
  <c r="C3861" i="116"/>
  <c r="B3861" i="116"/>
  <c r="K3860" i="116"/>
  <c r="J3860" i="116"/>
  <c r="I3860" i="116"/>
  <c r="H3860" i="116"/>
  <c r="G3860" i="116"/>
  <c r="F3860" i="116"/>
  <c r="E3860" i="116"/>
  <c r="D3860" i="116"/>
  <c r="C3860" i="116"/>
  <c r="B3860" i="116"/>
  <c r="K3859" i="116"/>
  <c r="J3859" i="116"/>
  <c r="I3859" i="116"/>
  <c r="H3859" i="116"/>
  <c r="G3859" i="116"/>
  <c r="F3859" i="116"/>
  <c r="E3859" i="116"/>
  <c r="D3859" i="116"/>
  <c r="C3859" i="116"/>
  <c r="B3859" i="116"/>
  <c r="K3858" i="116"/>
  <c r="J3858" i="116"/>
  <c r="I3858" i="116"/>
  <c r="H3858" i="116"/>
  <c r="G3858" i="116"/>
  <c r="F3858" i="116"/>
  <c r="E3858" i="116"/>
  <c r="D3858" i="116"/>
  <c r="C3858" i="116"/>
  <c r="B3858" i="116"/>
  <c r="K3857" i="116"/>
  <c r="J3857" i="116"/>
  <c r="I3857" i="116"/>
  <c r="H3857" i="116"/>
  <c r="G3857" i="116"/>
  <c r="F3857" i="116"/>
  <c r="E3857" i="116"/>
  <c r="D3857" i="116"/>
  <c r="C3857" i="116"/>
  <c r="B3857" i="116"/>
  <c r="K3856" i="116"/>
  <c r="J3856" i="116"/>
  <c r="I3856" i="116"/>
  <c r="H3856" i="116"/>
  <c r="G3856" i="116"/>
  <c r="F3856" i="116"/>
  <c r="E3856" i="116"/>
  <c r="D3856" i="116"/>
  <c r="C3856" i="116"/>
  <c r="B3856" i="116"/>
  <c r="K3855" i="116"/>
  <c r="J3855" i="116"/>
  <c r="I3855" i="116"/>
  <c r="H3855" i="116"/>
  <c r="G3855" i="116"/>
  <c r="F3855" i="116"/>
  <c r="E3855" i="116"/>
  <c r="D3855" i="116"/>
  <c r="C3855" i="116"/>
  <c r="B3855" i="116"/>
  <c r="K3854" i="116"/>
  <c r="J3854" i="116"/>
  <c r="I3854" i="116"/>
  <c r="H3854" i="116"/>
  <c r="G3854" i="116"/>
  <c r="F3854" i="116"/>
  <c r="E3854" i="116"/>
  <c r="D3854" i="116"/>
  <c r="C3854" i="116"/>
  <c r="B3854" i="116"/>
  <c r="K3853" i="116"/>
  <c r="J3853" i="116"/>
  <c r="I3853" i="116"/>
  <c r="H3853" i="116"/>
  <c r="G3853" i="116"/>
  <c r="F3853" i="116"/>
  <c r="E3853" i="116"/>
  <c r="D3853" i="116"/>
  <c r="C3853" i="116"/>
  <c r="B3853" i="116"/>
  <c r="K3852" i="116"/>
  <c r="J3852" i="116"/>
  <c r="I3852" i="116"/>
  <c r="H3852" i="116"/>
  <c r="G3852" i="116"/>
  <c r="F3852" i="116"/>
  <c r="E3852" i="116"/>
  <c r="D3852" i="116"/>
  <c r="C3852" i="116"/>
  <c r="B3852" i="116"/>
  <c r="K3851" i="116"/>
  <c r="J3851" i="116"/>
  <c r="I3851" i="116"/>
  <c r="H3851" i="116"/>
  <c r="G3851" i="116"/>
  <c r="F3851" i="116"/>
  <c r="E3851" i="116"/>
  <c r="D3851" i="116"/>
  <c r="C3851" i="116"/>
  <c r="B3851" i="116"/>
  <c r="K3850" i="116"/>
  <c r="J3850" i="116"/>
  <c r="I3850" i="116"/>
  <c r="H3850" i="116"/>
  <c r="G3850" i="116"/>
  <c r="F3850" i="116"/>
  <c r="E3850" i="116"/>
  <c r="D3850" i="116"/>
  <c r="C3850" i="116"/>
  <c r="B3850" i="116"/>
  <c r="K3849" i="116"/>
  <c r="J3849" i="116"/>
  <c r="I3849" i="116"/>
  <c r="H3849" i="116"/>
  <c r="G3849" i="116"/>
  <c r="F3849" i="116"/>
  <c r="E3849" i="116"/>
  <c r="D3849" i="116"/>
  <c r="C3849" i="116"/>
  <c r="B3849" i="116"/>
  <c r="K3848" i="116"/>
  <c r="J3848" i="116"/>
  <c r="I3848" i="116"/>
  <c r="H3848" i="116"/>
  <c r="G3848" i="116"/>
  <c r="F3848" i="116"/>
  <c r="E3848" i="116"/>
  <c r="D3848" i="116"/>
  <c r="C3848" i="116"/>
  <c r="B3848" i="116"/>
  <c r="K3847" i="116"/>
  <c r="J3847" i="116"/>
  <c r="I3847" i="116"/>
  <c r="H3847" i="116"/>
  <c r="G3847" i="116"/>
  <c r="F3847" i="116"/>
  <c r="E3847" i="116"/>
  <c r="D3847" i="116"/>
  <c r="C3847" i="116"/>
  <c r="B3847" i="116"/>
  <c r="K3846" i="116"/>
  <c r="J3846" i="116"/>
  <c r="I3846" i="116"/>
  <c r="H3846" i="116"/>
  <c r="G3846" i="116"/>
  <c r="F3846" i="116"/>
  <c r="E3846" i="116"/>
  <c r="D3846" i="116"/>
  <c r="C3846" i="116"/>
  <c r="B3846" i="116"/>
  <c r="K3845" i="116"/>
  <c r="J3845" i="116"/>
  <c r="I3845" i="116"/>
  <c r="H3845" i="116"/>
  <c r="G3845" i="116"/>
  <c r="F3845" i="116"/>
  <c r="E3845" i="116"/>
  <c r="D3845" i="116"/>
  <c r="C3845" i="116"/>
  <c r="B3845" i="116"/>
  <c r="K3844" i="116"/>
  <c r="J3844" i="116"/>
  <c r="I3844" i="116"/>
  <c r="H3844" i="116"/>
  <c r="G3844" i="116"/>
  <c r="F3844" i="116"/>
  <c r="E3844" i="116"/>
  <c r="D3844" i="116"/>
  <c r="C3844" i="116"/>
  <c r="B3844" i="116"/>
  <c r="K3843" i="116"/>
  <c r="J3843" i="116"/>
  <c r="I3843" i="116"/>
  <c r="H3843" i="116"/>
  <c r="G3843" i="116"/>
  <c r="F3843" i="116"/>
  <c r="E3843" i="116"/>
  <c r="D3843" i="116"/>
  <c r="C3843" i="116"/>
  <c r="B3843" i="116"/>
  <c r="K3842" i="116"/>
  <c r="J3842" i="116"/>
  <c r="I3842" i="116"/>
  <c r="H3842" i="116"/>
  <c r="G3842" i="116"/>
  <c r="F3842" i="116"/>
  <c r="E3842" i="116"/>
  <c r="D3842" i="116"/>
  <c r="C3842" i="116"/>
  <c r="B3842" i="116"/>
  <c r="K3841" i="116"/>
  <c r="J3841" i="116"/>
  <c r="I3841" i="116"/>
  <c r="H3841" i="116"/>
  <c r="G3841" i="116"/>
  <c r="F3841" i="116"/>
  <c r="E3841" i="116"/>
  <c r="D3841" i="116"/>
  <c r="C3841" i="116"/>
  <c r="B3841" i="116"/>
  <c r="K3840" i="116"/>
  <c r="J3840" i="116"/>
  <c r="I3840" i="116"/>
  <c r="H3840" i="116"/>
  <c r="G3840" i="116"/>
  <c r="F3840" i="116"/>
  <c r="E3840" i="116"/>
  <c r="D3840" i="116"/>
  <c r="C3840" i="116"/>
  <c r="B3840" i="116"/>
  <c r="K3839" i="116"/>
  <c r="J3839" i="116"/>
  <c r="I3839" i="116"/>
  <c r="H3839" i="116"/>
  <c r="G3839" i="116"/>
  <c r="F3839" i="116"/>
  <c r="E3839" i="116"/>
  <c r="D3839" i="116"/>
  <c r="C3839" i="116"/>
  <c r="B3839" i="116"/>
  <c r="K3838" i="116"/>
  <c r="J3838" i="116"/>
  <c r="I3838" i="116"/>
  <c r="H3838" i="116"/>
  <c r="G3838" i="116"/>
  <c r="F3838" i="116"/>
  <c r="E3838" i="116"/>
  <c r="D3838" i="116"/>
  <c r="C3838" i="116"/>
  <c r="B3838" i="116"/>
  <c r="K3837" i="116"/>
  <c r="J3837" i="116"/>
  <c r="I3837" i="116"/>
  <c r="H3837" i="116"/>
  <c r="G3837" i="116"/>
  <c r="F3837" i="116"/>
  <c r="E3837" i="116"/>
  <c r="D3837" i="116"/>
  <c r="C3837" i="116"/>
  <c r="B3837" i="116"/>
  <c r="K3836" i="116"/>
  <c r="J3836" i="116"/>
  <c r="I3836" i="116"/>
  <c r="H3836" i="116"/>
  <c r="G3836" i="116"/>
  <c r="F3836" i="116"/>
  <c r="E3836" i="116"/>
  <c r="D3836" i="116"/>
  <c r="C3836" i="116"/>
  <c r="B3836" i="116"/>
  <c r="K3835" i="116"/>
  <c r="J3835" i="116"/>
  <c r="I3835" i="116"/>
  <c r="H3835" i="116"/>
  <c r="G3835" i="116"/>
  <c r="F3835" i="116"/>
  <c r="E3835" i="116"/>
  <c r="D3835" i="116"/>
  <c r="C3835" i="116"/>
  <c r="B3835" i="116"/>
  <c r="K3834" i="116"/>
  <c r="J3834" i="116"/>
  <c r="I3834" i="116"/>
  <c r="H3834" i="116"/>
  <c r="G3834" i="116"/>
  <c r="F3834" i="116"/>
  <c r="E3834" i="116"/>
  <c r="D3834" i="116"/>
  <c r="C3834" i="116"/>
  <c r="B3834" i="116"/>
  <c r="K3833" i="116"/>
  <c r="J3833" i="116"/>
  <c r="I3833" i="116"/>
  <c r="H3833" i="116"/>
  <c r="G3833" i="116"/>
  <c r="F3833" i="116"/>
  <c r="E3833" i="116"/>
  <c r="D3833" i="116"/>
  <c r="C3833" i="116"/>
  <c r="B3833" i="116"/>
  <c r="K3832" i="116"/>
  <c r="J3832" i="116"/>
  <c r="I3832" i="116"/>
  <c r="H3832" i="116"/>
  <c r="G3832" i="116"/>
  <c r="F3832" i="116"/>
  <c r="E3832" i="116"/>
  <c r="D3832" i="116"/>
  <c r="C3832" i="116"/>
  <c r="B3832" i="116"/>
  <c r="K3831" i="116"/>
  <c r="J3831" i="116"/>
  <c r="I3831" i="116"/>
  <c r="H3831" i="116"/>
  <c r="G3831" i="116"/>
  <c r="F3831" i="116"/>
  <c r="E3831" i="116"/>
  <c r="D3831" i="116"/>
  <c r="C3831" i="116"/>
  <c r="B3831" i="116"/>
  <c r="K3830" i="116"/>
  <c r="J3830" i="116"/>
  <c r="I3830" i="116"/>
  <c r="H3830" i="116"/>
  <c r="G3830" i="116"/>
  <c r="F3830" i="116"/>
  <c r="E3830" i="116"/>
  <c r="D3830" i="116"/>
  <c r="C3830" i="116"/>
  <c r="B3830" i="116"/>
  <c r="K3829" i="116"/>
  <c r="J3829" i="116"/>
  <c r="I3829" i="116"/>
  <c r="H3829" i="116"/>
  <c r="G3829" i="116"/>
  <c r="F3829" i="116"/>
  <c r="E3829" i="116"/>
  <c r="D3829" i="116"/>
  <c r="C3829" i="116"/>
  <c r="B3829" i="116"/>
  <c r="K3828" i="116"/>
  <c r="J3828" i="116"/>
  <c r="I3828" i="116"/>
  <c r="H3828" i="116"/>
  <c r="G3828" i="116"/>
  <c r="F3828" i="116"/>
  <c r="E3828" i="116"/>
  <c r="D3828" i="116"/>
  <c r="C3828" i="116"/>
  <c r="B3828" i="116"/>
  <c r="K3827" i="116"/>
  <c r="J3827" i="116"/>
  <c r="I3827" i="116"/>
  <c r="H3827" i="116"/>
  <c r="G3827" i="116"/>
  <c r="F3827" i="116"/>
  <c r="E3827" i="116"/>
  <c r="D3827" i="116"/>
  <c r="C3827" i="116"/>
  <c r="B3827" i="116"/>
  <c r="K3826" i="116"/>
  <c r="J3826" i="116"/>
  <c r="I3826" i="116"/>
  <c r="H3826" i="116"/>
  <c r="G3826" i="116"/>
  <c r="F3826" i="116"/>
  <c r="E3826" i="116"/>
  <c r="D3826" i="116"/>
  <c r="C3826" i="116"/>
  <c r="B3826" i="116"/>
  <c r="K3825" i="116"/>
  <c r="J3825" i="116"/>
  <c r="I3825" i="116"/>
  <c r="H3825" i="116"/>
  <c r="G3825" i="116"/>
  <c r="F3825" i="116"/>
  <c r="E3825" i="116"/>
  <c r="D3825" i="116"/>
  <c r="C3825" i="116"/>
  <c r="B3825" i="116"/>
  <c r="K3824" i="116"/>
  <c r="J3824" i="116"/>
  <c r="I3824" i="116"/>
  <c r="H3824" i="116"/>
  <c r="G3824" i="116"/>
  <c r="F3824" i="116"/>
  <c r="E3824" i="116"/>
  <c r="D3824" i="116"/>
  <c r="C3824" i="116"/>
  <c r="B3824" i="116"/>
  <c r="K3823" i="116"/>
  <c r="J3823" i="116"/>
  <c r="I3823" i="116"/>
  <c r="H3823" i="116"/>
  <c r="G3823" i="116"/>
  <c r="F3823" i="116"/>
  <c r="E3823" i="116"/>
  <c r="D3823" i="116"/>
  <c r="C3823" i="116"/>
  <c r="B3823" i="116"/>
  <c r="K3822" i="116"/>
  <c r="J3822" i="116"/>
  <c r="I3822" i="116"/>
  <c r="H3822" i="116"/>
  <c r="G3822" i="116"/>
  <c r="F3822" i="116"/>
  <c r="E3822" i="116"/>
  <c r="D3822" i="116"/>
  <c r="C3822" i="116"/>
  <c r="B3822" i="116"/>
  <c r="K3821" i="116"/>
  <c r="J3821" i="116"/>
  <c r="I3821" i="116"/>
  <c r="H3821" i="116"/>
  <c r="G3821" i="116"/>
  <c r="F3821" i="116"/>
  <c r="E3821" i="116"/>
  <c r="D3821" i="116"/>
  <c r="C3821" i="116"/>
  <c r="B3821" i="116"/>
  <c r="K3820" i="116"/>
  <c r="J3820" i="116"/>
  <c r="I3820" i="116"/>
  <c r="H3820" i="116"/>
  <c r="G3820" i="116"/>
  <c r="F3820" i="116"/>
  <c r="E3820" i="116"/>
  <c r="D3820" i="116"/>
  <c r="C3820" i="116"/>
  <c r="B3820" i="116"/>
  <c r="K3819" i="116"/>
  <c r="J3819" i="116"/>
  <c r="I3819" i="116"/>
  <c r="H3819" i="116"/>
  <c r="G3819" i="116"/>
  <c r="F3819" i="116"/>
  <c r="E3819" i="116"/>
  <c r="D3819" i="116"/>
  <c r="C3819" i="116"/>
  <c r="B3819" i="116"/>
  <c r="K3818" i="116"/>
  <c r="J3818" i="116"/>
  <c r="I3818" i="116"/>
  <c r="H3818" i="116"/>
  <c r="G3818" i="116"/>
  <c r="F3818" i="116"/>
  <c r="E3818" i="116"/>
  <c r="D3818" i="116"/>
  <c r="C3818" i="116"/>
  <c r="B3818" i="116"/>
  <c r="K3817" i="116"/>
  <c r="J3817" i="116"/>
  <c r="I3817" i="116"/>
  <c r="H3817" i="116"/>
  <c r="G3817" i="116"/>
  <c r="F3817" i="116"/>
  <c r="E3817" i="116"/>
  <c r="D3817" i="116"/>
  <c r="C3817" i="116"/>
  <c r="B3817" i="116"/>
  <c r="K3816" i="116"/>
  <c r="J3816" i="116"/>
  <c r="I3816" i="116"/>
  <c r="H3816" i="116"/>
  <c r="G3816" i="116"/>
  <c r="F3816" i="116"/>
  <c r="E3816" i="116"/>
  <c r="D3816" i="116"/>
  <c r="C3816" i="116"/>
  <c r="B3816" i="116"/>
  <c r="K3815" i="116"/>
  <c r="J3815" i="116"/>
  <c r="I3815" i="116"/>
  <c r="H3815" i="116"/>
  <c r="G3815" i="116"/>
  <c r="F3815" i="116"/>
  <c r="E3815" i="116"/>
  <c r="D3815" i="116"/>
  <c r="C3815" i="116"/>
  <c r="B3815" i="116"/>
  <c r="K3814" i="116"/>
  <c r="J3814" i="116"/>
  <c r="I3814" i="116"/>
  <c r="H3814" i="116"/>
  <c r="G3814" i="116"/>
  <c r="F3814" i="116"/>
  <c r="E3814" i="116"/>
  <c r="D3814" i="116"/>
  <c r="C3814" i="116"/>
  <c r="B3814" i="116"/>
  <c r="K3813" i="116"/>
  <c r="J3813" i="116"/>
  <c r="I3813" i="116"/>
  <c r="H3813" i="116"/>
  <c r="G3813" i="116"/>
  <c r="F3813" i="116"/>
  <c r="E3813" i="116"/>
  <c r="D3813" i="116"/>
  <c r="C3813" i="116"/>
  <c r="B3813" i="116"/>
  <c r="K3812" i="116"/>
  <c r="J3812" i="116"/>
  <c r="I3812" i="116"/>
  <c r="H3812" i="116"/>
  <c r="G3812" i="116"/>
  <c r="F3812" i="116"/>
  <c r="E3812" i="116"/>
  <c r="D3812" i="116"/>
  <c r="C3812" i="116"/>
  <c r="B3812" i="116"/>
  <c r="K3811" i="116"/>
  <c r="J3811" i="116"/>
  <c r="I3811" i="116"/>
  <c r="H3811" i="116"/>
  <c r="G3811" i="116"/>
  <c r="F3811" i="116"/>
  <c r="E3811" i="116"/>
  <c r="D3811" i="116"/>
  <c r="C3811" i="116"/>
  <c r="B3811" i="116"/>
  <c r="K3810" i="116"/>
  <c r="J3810" i="116"/>
  <c r="I3810" i="116"/>
  <c r="H3810" i="116"/>
  <c r="G3810" i="116"/>
  <c r="F3810" i="116"/>
  <c r="E3810" i="116"/>
  <c r="D3810" i="116"/>
  <c r="C3810" i="116"/>
  <c r="B3810" i="116"/>
  <c r="K3809" i="116"/>
  <c r="J3809" i="116"/>
  <c r="I3809" i="116"/>
  <c r="H3809" i="116"/>
  <c r="G3809" i="116"/>
  <c r="F3809" i="116"/>
  <c r="E3809" i="116"/>
  <c r="D3809" i="116"/>
  <c r="C3809" i="116"/>
  <c r="B3809" i="116"/>
  <c r="K3808" i="116"/>
  <c r="J3808" i="116"/>
  <c r="I3808" i="116"/>
  <c r="H3808" i="116"/>
  <c r="G3808" i="116"/>
  <c r="F3808" i="116"/>
  <c r="E3808" i="116"/>
  <c r="D3808" i="116"/>
  <c r="C3808" i="116"/>
  <c r="B3808" i="116"/>
  <c r="K3807" i="116"/>
  <c r="J3807" i="116"/>
  <c r="I3807" i="116"/>
  <c r="H3807" i="116"/>
  <c r="G3807" i="116"/>
  <c r="F3807" i="116"/>
  <c r="E3807" i="116"/>
  <c r="D3807" i="116"/>
  <c r="C3807" i="116"/>
  <c r="B3807" i="116"/>
  <c r="K3806" i="116"/>
  <c r="J3806" i="116"/>
  <c r="I3806" i="116"/>
  <c r="H3806" i="116"/>
  <c r="G3806" i="116"/>
  <c r="F3806" i="116"/>
  <c r="E3806" i="116"/>
  <c r="D3806" i="116"/>
  <c r="C3806" i="116"/>
  <c r="B3806" i="116"/>
  <c r="K3805" i="116"/>
  <c r="J3805" i="116"/>
  <c r="I3805" i="116"/>
  <c r="H3805" i="116"/>
  <c r="G3805" i="116"/>
  <c r="F3805" i="116"/>
  <c r="E3805" i="116"/>
  <c r="D3805" i="116"/>
  <c r="C3805" i="116"/>
  <c r="B3805" i="116"/>
  <c r="K3804" i="116"/>
  <c r="J3804" i="116"/>
  <c r="I3804" i="116"/>
  <c r="H3804" i="116"/>
  <c r="G3804" i="116"/>
  <c r="F3804" i="116"/>
  <c r="E3804" i="116"/>
  <c r="D3804" i="116"/>
  <c r="C3804" i="116"/>
  <c r="B3804" i="116"/>
  <c r="K3803" i="116"/>
  <c r="J3803" i="116"/>
  <c r="I3803" i="116"/>
  <c r="H3803" i="116"/>
  <c r="G3803" i="116"/>
  <c r="F3803" i="116"/>
  <c r="E3803" i="116"/>
  <c r="D3803" i="116"/>
  <c r="C3803" i="116"/>
  <c r="B3803" i="116"/>
  <c r="K3802" i="116"/>
  <c r="J3802" i="116"/>
  <c r="I3802" i="116"/>
  <c r="H3802" i="116"/>
  <c r="G3802" i="116"/>
  <c r="F3802" i="116"/>
  <c r="E3802" i="116"/>
  <c r="D3802" i="116"/>
  <c r="C3802" i="116"/>
  <c r="B3802" i="116"/>
  <c r="K3801" i="116"/>
  <c r="J3801" i="116"/>
  <c r="I3801" i="116"/>
  <c r="H3801" i="116"/>
  <c r="G3801" i="116"/>
  <c r="F3801" i="116"/>
  <c r="E3801" i="116"/>
  <c r="D3801" i="116"/>
  <c r="C3801" i="116"/>
  <c r="B3801" i="116"/>
  <c r="K3800" i="116"/>
  <c r="J3800" i="116"/>
  <c r="I3800" i="116"/>
  <c r="H3800" i="116"/>
  <c r="G3800" i="116"/>
  <c r="F3800" i="116"/>
  <c r="E3800" i="116"/>
  <c r="D3800" i="116"/>
  <c r="C3800" i="116"/>
  <c r="B3800" i="116"/>
  <c r="K3799" i="116"/>
  <c r="J3799" i="116"/>
  <c r="I3799" i="116"/>
  <c r="H3799" i="116"/>
  <c r="G3799" i="116"/>
  <c r="F3799" i="116"/>
  <c r="E3799" i="116"/>
  <c r="D3799" i="116"/>
  <c r="C3799" i="116"/>
  <c r="B3799" i="116"/>
  <c r="K3798" i="116"/>
  <c r="J3798" i="116"/>
  <c r="I3798" i="116"/>
  <c r="H3798" i="116"/>
  <c r="G3798" i="116"/>
  <c r="F3798" i="116"/>
  <c r="E3798" i="116"/>
  <c r="D3798" i="116"/>
  <c r="C3798" i="116"/>
  <c r="B3798" i="116"/>
  <c r="K3797" i="116"/>
  <c r="J3797" i="116"/>
  <c r="I3797" i="116"/>
  <c r="H3797" i="116"/>
  <c r="G3797" i="116"/>
  <c r="F3797" i="116"/>
  <c r="E3797" i="116"/>
  <c r="D3797" i="116"/>
  <c r="C3797" i="116"/>
  <c r="B3797" i="116"/>
  <c r="K3796" i="116"/>
  <c r="J3796" i="116"/>
  <c r="I3796" i="116"/>
  <c r="H3796" i="116"/>
  <c r="G3796" i="116"/>
  <c r="F3796" i="116"/>
  <c r="E3796" i="116"/>
  <c r="D3796" i="116"/>
  <c r="C3796" i="116"/>
  <c r="B3796" i="116"/>
  <c r="K3795" i="116"/>
  <c r="J3795" i="116"/>
  <c r="I3795" i="116"/>
  <c r="H3795" i="116"/>
  <c r="G3795" i="116"/>
  <c r="F3795" i="116"/>
  <c r="E3795" i="116"/>
  <c r="D3795" i="116"/>
  <c r="C3795" i="116"/>
  <c r="B3795" i="116"/>
  <c r="K3794" i="116"/>
  <c r="J3794" i="116"/>
  <c r="I3794" i="116"/>
  <c r="H3794" i="116"/>
  <c r="G3794" i="116"/>
  <c r="F3794" i="116"/>
  <c r="E3794" i="116"/>
  <c r="D3794" i="116"/>
  <c r="C3794" i="116"/>
  <c r="B3794" i="116"/>
  <c r="K3793" i="116"/>
  <c r="J3793" i="116"/>
  <c r="I3793" i="116"/>
  <c r="H3793" i="116"/>
  <c r="G3793" i="116"/>
  <c r="F3793" i="116"/>
  <c r="E3793" i="116"/>
  <c r="D3793" i="116"/>
  <c r="C3793" i="116"/>
  <c r="B3793" i="116"/>
  <c r="K3792" i="116"/>
  <c r="J3792" i="116"/>
  <c r="I3792" i="116"/>
  <c r="H3792" i="116"/>
  <c r="G3792" i="116"/>
  <c r="F3792" i="116"/>
  <c r="E3792" i="116"/>
  <c r="D3792" i="116"/>
  <c r="C3792" i="116"/>
  <c r="B3792" i="116"/>
  <c r="K3791" i="116"/>
  <c r="J3791" i="116"/>
  <c r="I3791" i="116"/>
  <c r="H3791" i="116"/>
  <c r="G3791" i="116"/>
  <c r="F3791" i="116"/>
  <c r="E3791" i="116"/>
  <c r="D3791" i="116"/>
  <c r="C3791" i="116"/>
  <c r="B3791" i="116"/>
  <c r="K3790" i="116"/>
  <c r="J3790" i="116"/>
  <c r="I3790" i="116"/>
  <c r="H3790" i="116"/>
  <c r="G3790" i="116"/>
  <c r="F3790" i="116"/>
  <c r="E3790" i="116"/>
  <c r="D3790" i="116"/>
  <c r="C3790" i="116"/>
  <c r="B3790" i="116"/>
  <c r="K3789" i="116"/>
  <c r="J3789" i="116"/>
  <c r="I3789" i="116"/>
  <c r="H3789" i="116"/>
  <c r="G3789" i="116"/>
  <c r="F3789" i="116"/>
  <c r="E3789" i="116"/>
  <c r="D3789" i="116"/>
  <c r="C3789" i="116"/>
  <c r="B3789" i="116"/>
  <c r="K3788" i="116"/>
  <c r="J3788" i="116"/>
  <c r="I3788" i="116"/>
  <c r="H3788" i="116"/>
  <c r="G3788" i="116"/>
  <c r="F3788" i="116"/>
  <c r="E3788" i="116"/>
  <c r="D3788" i="116"/>
  <c r="C3788" i="116"/>
  <c r="B3788" i="116"/>
  <c r="K3787" i="116"/>
  <c r="J3787" i="116"/>
  <c r="I3787" i="116"/>
  <c r="H3787" i="116"/>
  <c r="G3787" i="116"/>
  <c r="F3787" i="116"/>
  <c r="E3787" i="116"/>
  <c r="D3787" i="116"/>
  <c r="C3787" i="116"/>
  <c r="B3787" i="116"/>
  <c r="K3786" i="116"/>
  <c r="J3786" i="116"/>
  <c r="I3786" i="116"/>
  <c r="H3786" i="116"/>
  <c r="G3786" i="116"/>
  <c r="F3786" i="116"/>
  <c r="E3786" i="116"/>
  <c r="D3786" i="116"/>
  <c r="C3786" i="116"/>
  <c r="B3786" i="116"/>
  <c r="K3785" i="116"/>
  <c r="J3785" i="116"/>
  <c r="I3785" i="116"/>
  <c r="H3785" i="116"/>
  <c r="G3785" i="116"/>
  <c r="F3785" i="116"/>
  <c r="E3785" i="116"/>
  <c r="D3785" i="116"/>
  <c r="C3785" i="116"/>
  <c r="B3785" i="116"/>
  <c r="K3784" i="116"/>
  <c r="J3784" i="116"/>
  <c r="I3784" i="116"/>
  <c r="H3784" i="116"/>
  <c r="G3784" i="116"/>
  <c r="F3784" i="116"/>
  <c r="E3784" i="116"/>
  <c r="D3784" i="116"/>
  <c r="C3784" i="116"/>
  <c r="B3784" i="116"/>
  <c r="K3783" i="116"/>
  <c r="J3783" i="116"/>
  <c r="I3783" i="116"/>
  <c r="H3783" i="116"/>
  <c r="G3783" i="116"/>
  <c r="F3783" i="116"/>
  <c r="E3783" i="116"/>
  <c r="D3783" i="116"/>
  <c r="C3783" i="116"/>
  <c r="B3783" i="116"/>
  <c r="K3782" i="116"/>
  <c r="J3782" i="116"/>
  <c r="I3782" i="116"/>
  <c r="H3782" i="116"/>
  <c r="G3782" i="116"/>
  <c r="F3782" i="116"/>
  <c r="E3782" i="116"/>
  <c r="D3782" i="116"/>
  <c r="C3782" i="116"/>
  <c r="B3782" i="116"/>
  <c r="K3781" i="116"/>
  <c r="J3781" i="116"/>
  <c r="I3781" i="116"/>
  <c r="H3781" i="116"/>
  <c r="G3781" i="116"/>
  <c r="F3781" i="116"/>
  <c r="E3781" i="116"/>
  <c r="D3781" i="116"/>
  <c r="C3781" i="116"/>
  <c r="B3781" i="116"/>
  <c r="K3780" i="116"/>
  <c r="J3780" i="116"/>
  <c r="I3780" i="116"/>
  <c r="H3780" i="116"/>
  <c r="G3780" i="116"/>
  <c r="F3780" i="116"/>
  <c r="E3780" i="116"/>
  <c r="D3780" i="116"/>
  <c r="C3780" i="116"/>
  <c r="B3780" i="116"/>
  <c r="K3779" i="116"/>
  <c r="J3779" i="116"/>
  <c r="I3779" i="116"/>
  <c r="H3779" i="116"/>
  <c r="G3779" i="116"/>
  <c r="F3779" i="116"/>
  <c r="E3779" i="116"/>
  <c r="D3779" i="116"/>
  <c r="C3779" i="116"/>
  <c r="B3779" i="116"/>
  <c r="K3778" i="116"/>
  <c r="J3778" i="116"/>
  <c r="I3778" i="116"/>
  <c r="H3778" i="116"/>
  <c r="G3778" i="116"/>
  <c r="F3778" i="116"/>
  <c r="E3778" i="116"/>
  <c r="D3778" i="116"/>
  <c r="C3778" i="116"/>
  <c r="B3778" i="116"/>
  <c r="K3777" i="116"/>
  <c r="J3777" i="116"/>
  <c r="I3777" i="116"/>
  <c r="H3777" i="116"/>
  <c r="G3777" i="116"/>
  <c r="F3777" i="116"/>
  <c r="E3777" i="116"/>
  <c r="D3777" i="116"/>
  <c r="C3777" i="116"/>
  <c r="B3777" i="116"/>
  <c r="K3776" i="116"/>
  <c r="J3776" i="116"/>
  <c r="I3776" i="116"/>
  <c r="H3776" i="116"/>
  <c r="G3776" i="116"/>
  <c r="F3776" i="116"/>
  <c r="E3776" i="116"/>
  <c r="D3776" i="116"/>
  <c r="C3776" i="116"/>
  <c r="B3776" i="116"/>
  <c r="K3775" i="116"/>
  <c r="J3775" i="116"/>
  <c r="I3775" i="116"/>
  <c r="H3775" i="116"/>
  <c r="G3775" i="116"/>
  <c r="F3775" i="116"/>
  <c r="E3775" i="116"/>
  <c r="D3775" i="116"/>
  <c r="C3775" i="116"/>
  <c r="B3775" i="116"/>
  <c r="K3774" i="116"/>
  <c r="J3774" i="116"/>
  <c r="I3774" i="116"/>
  <c r="H3774" i="116"/>
  <c r="G3774" i="116"/>
  <c r="F3774" i="116"/>
  <c r="E3774" i="116"/>
  <c r="D3774" i="116"/>
  <c r="C3774" i="116"/>
  <c r="B3774" i="116"/>
  <c r="K3773" i="116"/>
  <c r="J3773" i="116"/>
  <c r="I3773" i="116"/>
  <c r="H3773" i="116"/>
  <c r="G3773" i="116"/>
  <c r="F3773" i="116"/>
  <c r="E3773" i="116"/>
  <c r="D3773" i="116"/>
  <c r="C3773" i="116"/>
  <c r="B3773" i="116"/>
  <c r="K3772" i="116"/>
  <c r="J3772" i="116"/>
  <c r="I3772" i="116"/>
  <c r="H3772" i="116"/>
  <c r="G3772" i="116"/>
  <c r="F3772" i="116"/>
  <c r="E3772" i="116"/>
  <c r="D3772" i="116"/>
  <c r="C3772" i="116"/>
  <c r="B3772" i="116"/>
  <c r="K3771" i="116"/>
  <c r="J3771" i="116"/>
  <c r="I3771" i="116"/>
  <c r="H3771" i="116"/>
  <c r="G3771" i="116"/>
  <c r="F3771" i="116"/>
  <c r="E3771" i="116"/>
  <c r="D3771" i="116"/>
  <c r="C3771" i="116"/>
  <c r="B3771" i="116"/>
  <c r="K3770" i="116"/>
  <c r="J3770" i="116"/>
  <c r="I3770" i="116"/>
  <c r="H3770" i="116"/>
  <c r="G3770" i="116"/>
  <c r="F3770" i="116"/>
  <c r="E3770" i="116"/>
  <c r="D3770" i="116"/>
  <c r="C3770" i="116"/>
  <c r="B3770" i="116"/>
  <c r="K3769" i="116"/>
  <c r="J3769" i="116"/>
  <c r="I3769" i="116"/>
  <c r="H3769" i="116"/>
  <c r="G3769" i="116"/>
  <c r="F3769" i="116"/>
  <c r="E3769" i="116"/>
  <c r="D3769" i="116"/>
  <c r="C3769" i="116"/>
  <c r="B3769" i="116"/>
  <c r="K3768" i="116"/>
  <c r="J3768" i="116"/>
  <c r="I3768" i="116"/>
  <c r="H3768" i="116"/>
  <c r="G3768" i="116"/>
  <c r="F3768" i="116"/>
  <c r="E3768" i="116"/>
  <c r="D3768" i="116"/>
  <c r="C3768" i="116"/>
  <c r="B3768" i="116"/>
  <c r="K3767" i="116"/>
  <c r="J3767" i="116"/>
  <c r="I3767" i="116"/>
  <c r="H3767" i="116"/>
  <c r="G3767" i="116"/>
  <c r="F3767" i="116"/>
  <c r="E3767" i="116"/>
  <c r="D3767" i="116"/>
  <c r="C3767" i="116"/>
  <c r="B3767" i="116"/>
  <c r="K3766" i="116"/>
  <c r="J3766" i="116"/>
  <c r="I3766" i="116"/>
  <c r="H3766" i="116"/>
  <c r="G3766" i="116"/>
  <c r="F3766" i="116"/>
  <c r="E3766" i="116"/>
  <c r="D3766" i="116"/>
  <c r="C3766" i="116"/>
  <c r="B3766" i="116"/>
  <c r="K3765" i="116"/>
  <c r="J3765" i="116"/>
  <c r="I3765" i="116"/>
  <c r="H3765" i="116"/>
  <c r="G3765" i="116"/>
  <c r="F3765" i="116"/>
  <c r="E3765" i="116"/>
  <c r="D3765" i="116"/>
  <c r="C3765" i="116"/>
  <c r="B3765" i="116"/>
  <c r="K3764" i="116"/>
  <c r="J3764" i="116"/>
  <c r="I3764" i="116"/>
  <c r="H3764" i="116"/>
  <c r="G3764" i="116"/>
  <c r="F3764" i="116"/>
  <c r="E3764" i="116"/>
  <c r="D3764" i="116"/>
  <c r="C3764" i="116"/>
  <c r="B3764" i="116"/>
  <c r="K3763" i="116"/>
  <c r="J3763" i="116"/>
  <c r="I3763" i="116"/>
  <c r="H3763" i="116"/>
  <c r="G3763" i="116"/>
  <c r="F3763" i="116"/>
  <c r="E3763" i="116"/>
  <c r="D3763" i="116"/>
  <c r="C3763" i="116"/>
  <c r="B3763" i="116"/>
  <c r="K3762" i="116"/>
  <c r="J3762" i="116"/>
  <c r="I3762" i="116"/>
  <c r="H3762" i="116"/>
  <c r="G3762" i="116"/>
  <c r="F3762" i="116"/>
  <c r="E3762" i="116"/>
  <c r="D3762" i="116"/>
  <c r="C3762" i="116"/>
  <c r="B3762" i="116"/>
  <c r="K3761" i="116"/>
  <c r="J3761" i="116"/>
  <c r="I3761" i="116"/>
  <c r="H3761" i="116"/>
  <c r="G3761" i="116"/>
  <c r="F3761" i="116"/>
  <c r="E3761" i="116"/>
  <c r="D3761" i="116"/>
  <c r="C3761" i="116"/>
  <c r="B3761" i="116"/>
  <c r="K3760" i="116"/>
  <c r="J3760" i="116"/>
  <c r="I3760" i="116"/>
  <c r="H3760" i="116"/>
  <c r="G3760" i="116"/>
  <c r="F3760" i="116"/>
  <c r="E3760" i="116"/>
  <c r="D3760" i="116"/>
  <c r="C3760" i="116"/>
  <c r="B3760" i="116"/>
  <c r="K3759" i="116"/>
  <c r="J3759" i="116"/>
  <c r="I3759" i="116"/>
  <c r="H3759" i="116"/>
  <c r="G3759" i="116"/>
  <c r="F3759" i="116"/>
  <c r="E3759" i="116"/>
  <c r="D3759" i="116"/>
  <c r="C3759" i="116"/>
  <c r="B3759" i="116"/>
  <c r="K3758" i="116"/>
  <c r="J3758" i="116"/>
  <c r="I3758" i="116"/>
  <c r="H3758" i="116"/>
  <c r="G3758" i="116"/>
  <c r="F3758" i="116"/>
  <c r="E3758" i="116"/>
  <c r="D3758" i="116"/>
  <c r="C3758" i="116"/>
  <c r="B3758" i="116"/>
  <c r="K3757" i="116"/>
  <c r="J3757" i="116"/>
  <c r="I3757" i="116"/>
  <c r="H3757" i="116"/>
  <c r="G3757" i="116"/>
  <c r="F3757" i="116"/>
  <c r="E3757" i="116"/>
  <c r="D3757" i="116"/>
  <c r="C3757" i="116"/>
  <c r="B3757" i="116"/>
  <c r="K3756" i="116"/>
  <c r="J3756" i="116"/>
  <c r="I3756" i="116"/>
  <c r="H3756" i="116"/>
  <c r="G3756" i="116"/>
  <c r="F3756" i="116"/>
  <c r="E3756" i="116"/>
  <c r="D3756" i="116"/>
  <c r="C3756" i="116"/>
  <c r="B3756" i="116"/>
  <c r="K3755" i="116"/>
  <c r="J3755" i="116"/>
  <c r="I3755" i="116"/>
  <c r="H3755" i="116"/>
  <c r="G3755" i="116"/>
  <c r="F3755" i="116"/>
  <c r="E3755" i="116"/>
  <c r="D3755" i="116"/>
  <c r="C3755" i="116"/>
  <c r="B3755" i="116"/>
  <c r="K3754" i="116"/>
  <c r="J3754" i="116"/>
  <c r="I3754" i="116"/>
  <c r="H3754" i="116"/>
  <c r="G3754" i="116"/>
  <c r="F3754" i="116"/>
  <c r="E3754" i="116"/>
  <c r="D3754" i="116"/>
  <c r="C3754" i="116"/>
  <c r="B3754" i="116"/>
  <c r="K3753" i="116"/>
  <c r="J3753" i="116"/>
  <c r="I3753" i="116"/>
  <c r="H3753" i="116"/>
  <c r="G3753" i="116"/>
  <c r="F3753" i="116"/>
  <c r="E3753" i="116"/>
  <c r="D3753" i="116"/>
  <c r="C3753" i="116"/>
  <c r="B3753" i="116"/>
  <c r="K3752" i="116"/>
  <c r="J3752" i="116"/>
  <c r="I3752" i="116"/>
  <c r="H3752" i="116"/>
  <c r="G3752" i="116"/>
  <c r="F3752" i="116"/>
  <c r="E3752" i="116"/>
  <c r="D3752" i="116"/>
  <c r="C3752" i="116"/>
  <c r="B3752" i="116"/>
  <c r="K3751" i="116"/>
  <c r="J3751" i="116"/>
  <c r="I3751" i="116"/>
  <c r="H3751" i="116"/>
  <c r="G3751" i="116"/>
  <c r="F3751" i="116"/>
  <c r="E3751" i="116"/>
  <c r="D3751" i="116"/>
  <c r="C3751" i="116"/>
  <c r="B3751" i="116"/>
  <c r="K3750" i="116"/>
  <c r="J3750" i="116"/>
  <c r="I3750" i="116"/>
  <c r="H3750" i="116"/>
  <c r="G3750" i="116"/>
  <c r="F3750" i="116"/>
  <c r="E3750" i="116"/>
  <c r="D3750" i="116"/>
  <c r="C3750" i="116"/>
  <c r="B3750" i="116"/>
  <c r="K3749" i="116"/>
  <c r="J3749" i="116"/>
  <c r="I3749" i="116"/>
  <c r="H3749" i="116"/>
  <c r="G3749" i="116"/>
  <c r="F3749" i="116"/>
  <c r="E3749" i="116"/>
  <c r="D3749" i="116"/>
  <c r="C3749" i="116"/>
  <c r="B3749" i="116"/>
  <c r="K3748" i="116"/>
  <c r="J3748" i="116"/>
  <c r="I3748" i="116"/>
  <c r="H3748" i="116"/>
  <c r="G3748" i="116"/>
  <c r="F3748" i="116"/>
  <c r="E3748" i="116"/>
  <c r="D3748" i="116"/>
  <c r="C3748" i="116"/>
  <c r="B3748" i="116"/>
  <c r="K3747" i="116"/>
  <c r="J3747" i="116"/>
  <c r="I3747" i="116"/>
  <c r="H3747" i="116"/>
  <c r="G3747" i="116"/>
  <c r="F3747" i="116"/>
  <c r="E3747" i="116"/>
  <c r="D3747" i="116"/>
  <c r="C3747" i="116"/>
  <c r="B3747" i="116"/>
  <c r="K3746" i="116"/>
  <c r="J3746" i="116"/>
  <c r="I3746" i="116"/>
  <c r="H3746" i="116"/>
  <c r="G3746" i="116"/>
  <c r="F3746" i="116"/>
  <c r="E3746" i="116"/>
  <c r="D3746" i="116"/>
  <c r="C3746" i="116"/>
  <c r="B3746" i="116"/>
  <c r="K3745" i="116"/>
  <c r="J3745" i="116"/>
  <c r="I3745" i="116"/>
  <c r="H3745" i="116"/>
  <c r="G3745" i="116"/>
  <c r="F3745" i="116"/>
  <c r="E3745" i="116"/>
  <c r="D3745" i="116"/>
  <c r="C3745" i="116"/>
  <c r="B3745" i="116"/>
  <c r="K3744" i="116"/>
  <c r="J3744" i="116"/>
  <c r="I3744" i="116"/>
  <c r="H3744" i="116"/>
  <c r="G3744" i="116"/>
  <c r="F3744" i="116"/>
  <c r="E3744" i="116"/>
  <c r="D3744" i="116"/>
  <c r="C3744" i="116"/>
  <c r="B3744" i="116"/>
  <c r="K3743" i="116"/>
  <c r="J3743" i="116"/>
  <c r="I3743" i="116"/>
  <c r="H3743" i="116"/>
  <c r="G3743" i="116"/>
  <c r="F3743" i="116"/>
  <c r="E3743" i="116"/>
  <c r="D3743" i="116"/>
  <c r="C3743" i="116"/>
  <c r="B3743" i="116"/>
  <c r="K3742" i="116"/>
  <c r="J3742" i="116"/>
  <c r="I3742" i="116"/>
  <c r="H3742" i="116"/>
  <c r="G3742" i="116"/>
  <c r="F3742" i="116"/>
  <c r="E3742" i="116"/>
  <c r="D3742" i="116"/>
  <c r="C3742" i="116"/>
  <c r="B3742" i="116"/>
  <c r="K3741" i="116"/>
  <c r="J3741" i="116"/>
  <c r="I3741" i="116"/>
  <c r="H3741" i="116"/>
  <c r="G3741" i="116"/>
  <c r="F3741" i="116"/>
  <c r="E3741" i="116"/>
  <c r="D3741" i="116"/>
  <c r="C3741" i="116"/>
  <c r="B3741" i="116"/>
  <c r="K3740" i="116"/>
  <c r="J3740" i="116"/>
  <c r="I3740" i="116"/>
  <c r="H3740" i="116"/>
  <c r="G3740" i="116"/>
  <c r="F3740" i="116"/>
  <c r="E3740" i="116"/>
  <c r="D3740" i="116"/>
  <c r="C3740" i="116"/>
  <c r="B3740" i="116"/>
  <c r="K3739" i="116"/>
  <c r="J3739" i="116"/>
  <c r="I3739" i="116"/>
  <c r="H3739" i="116"/>
  <c r="G3739" i="116"/>
  <c r="F3739" i="116"/>
  <c r="E3739" i="116"/>
  <c r="D3739" i="116"/>
  <c r="C3739" i="116"/>
  <c r="B3739" i="116"/>
  <c r="K3738" i="116"/>
  <c r="J3738" i="116"/>
  <c r="I3738" i="116"/>
  <c r="H3738" i="116"/>
  <c r="G3738" i="116"/>
  <c r="F3738" i="116"/>
  <c r="E3738" i="116"/>
  <c r="D3738" i="116"/>
  <c r="C3738" i="116"/>
  <c r="B3738" i="116"/>
  <c r="K3737" i="116"/>
  <c r="J3737" i="116"/>
  <c r="I3737" i="116"/>
  <c r="H3737" i="116"/>
  <c r="G3737" i="116"/>
  <c r="F3737" i="116"/>
  <c r="E3737" i="116"/>
  <c r="D3737" i="116"/>
  <c r="C3737" i="116"/>
  <c r="B3737" i="116"/>
  <c r="K3736" i="116"/>
  <c r="J3736" i="116"/>
  <c r="I3736" i="116"/>
  <c r="H3736" i="116"/>
  <c r="G3736" i="116"/>
  <c r="F3736" i="116"/>
  <c r="E3736" i="116"/>
  <c r="D3736" i="116"/>
  <c r="C3736" i="116"/>
  <c r="B3736" i="116"/>
  <c r="K3735" i="116"/>
  <c r="J3735" i="116"/>
  <c r="I3735" i="116"/>
  <c r="H3735" i="116"/>
  <c r="G3735" i="116"/>
  <c r="F3735" i="116"/>
  <c r="E3735" i="116"/>
  <c r="D3735" i="116"/>
  <c r="C3735" i="116"/>
  <c r="B3735" i="116"/>
  <c r="K3734" i="116"/>
  <c r="J3734" i="116"/>
  <c r="I3734" i="116"/>
  <c r="H3734" i="116"/>
  <c r="G3734" i="116"/>
  <c r="F3734" i="116"/>
  <c r="E3734" i="116"/>
  <c r="D3734" i="116"/>
  <c r="C3734" i="116"/>
  <c r="B3734" i="116"/>
  <c r="K3733" i="116"/>
  <c r="J3733" i="116"/>
  <c r="I3733" i="116"/>
  <c r="H3733" i="116"/>
  <c r="G3733" i="116"/>
  <c r="F3733" i="116"/>
  <c r="E3733" i="116"/>
  <c r="D3733" i="116"/>
  <c r="C3733" i="116"/>
  <c r="B3733" i="116"/>
  <c r="K3732" i="116"/>
  <c r="J3732" i="116"/>
  <c r="I3732" i="116"/>
  <c r="H3732" i="116"/>
  <c r="G3732" i="116"/>
  <c r="F3732" i="116"/>
  <c r="E3732" i="116"/>
  <c r="D3732" i="116"/>
  <c r="C3732" i="116"/>
  <c r="B3732" i="116"/>
  <c r="K3731" i="116"/>
  <c r="J3731" i="116"/>
  <c r="I3731" i="116"/>
  <c r="H3731" i="116"/>
  <c r="G3731" i="116"/>
  <c r="F3731" i="116"/>
  <c r="E3731" i="116"/>
  <c r="D3731" i="116"/>
  <c r="C3731" i="116"/>
  <c r="B3731" i="116"/>
  <c r="K3730" i="116"/>
  <c r="J3730" i="116"/>
  <c r="I3730" i="116"/>
  <c r="H3730" i="116"/>
  <c r="G3730" i="116"/>
  <c r="F3730" i="116"/>
  <c r="E3730" i="116"/>
  <c r="D3730" i="116"/>
  <c r="C3730" i="116"/>
  <c r="B3730" i="116"/>
  <c r="K3729" i="116"/>
  <c r="J3729" i="116"/>
  <c r="I3729" i="116"/>
  <c r="H3729" i="116"/>
  <c r="G3729" i="116"/>
  <c r="F3729" i="116"/>
  <c r="E3729" i="116"/>
  <c r="D3729" i="116"/>
  <c r="C3729" i="116"/>
  <c r="B3729" i="116"/>
  <c r="K3728" i="116"/>
  <c r="J3728" i="116"/>
  <c r="I3728" i="116"/>
  <c r="H3728" i="116"/>
  <c r="G3728" i="116"/>
  <c r="F3728" i="116"/>
  <c r="E3728" i="116"/>
  <c r="D3728" i="116"/>
  <c r="C3728" i="116"/>
  <c r="B3728" i="116"/>
  <c r="K3727" i="116"/>
  <c r="J3727" i="116"/>
  <c r="I3727" i="116"/>
  <c r="H3727" i="116"/>
  <c r="G3727" i="116"/>
  <c r="F3727" i="116"/>
  <c r="E3727" i="116"/>
  <c r="D3727" i="116"/>
  <c r="C3727" i="116"/>
  <c r="B3727" i="116"/>
  <c r="K3726" i="116"/>
  <c r="J3726" i="116"/>
  <c r="I3726" i="116"/>
  <c r="H3726" i="116"/>
  <c r="G3726" i="116"/>
  <c r="F3726" i="116"/>
  <c r="E3726" i="116"/>
  <c r="D3726" i="116"/>
  <c r="C3726" i="116"/>
  <c r="B3726" i="116"/>
  <c r="K3725" i="116"/>
  <c r="J3725" i="116"/>
  <c r="I3725" i="116"/>
  <c r="H3725" i="116"/>
  <c r="G3725" i="116"/>
  <c r="F3725" i="116"/>
  <c r="E3725" i="116"/>
  <c r="D3725" i="116"/>
  <c r="C3725" i="116"/>
  <c r="B3725" i="116"/>
  <c r="K3724" i="116"/>
  <c r="J3724" i="116"/>
  <c r="I3724" i="116"/>
  <c r="H3724" i="116"/>
  <c r="G3724" i="116"/>
  <c r="F3724" i="116"/>
  <c r="E3724" i="116"/>
  <c r="D3724" i="116"/>
  <c r="C3724" i="116"/>
  <c r="B3724" i="116"/>
  <c r="K3723" i="116"/>
  <c r="J3723" i="116"/>
  <c r="I3723" i="116"/>
  <c r="H3723" i="116"/>
  <c r="G3723" i="116"/>
  <c r="F3723" i="116"/>
  <c r="E3723" i="116"/>
  <c r="D3723" i="116"/>
  <c r="C3723" i="116"/>
  <c r="B3723" i="116"/>
  <c r="K3722" i="116"/>
  <c r="J3722" i="116"/>
  <c r="I3722" i="116"/>
  <c r="H3722" i="116"/>
  <c r="G3722" i="116"/>
  <c r="F3722" i="116"/>
  <c r="E3722" i="116"/>
  <c r="D3722" i="116"/>
  <c r="C3722" i="116"/>
  <c r="B3722" i="116"/>
  <c r="K3721" i="116"/>
  <c r="J3721" i="116"/>
  <c r="I3721" i="116"/>
  <c r="H3721" i="116"/>
  <c r="G3721" i="116"/>
  <c r="F3721" i="116"/>
  <c r="E3721" i="116"/>
  <c r="D3721" i="116"/>
  <c r="C3721" i="116"/>
  <c r="B3721" i="116"/>
  <c r="K3720" i="116"/>
  <c r="J3720" i="116"/>
  <c r="I3720" i="116"/>
  <c r="H3720" i="116"/>
  <c r="G3720" i="116"/>
  <c r="F3720" i="116"/>
  <c r="E3720" i="116"/>
  <c r="D3720" i="116"/>
  <c r="C3720" i="116"/>
  <c r="B3720" i="116"/>
  <c r="K3719" i="116"/>
  <c r="J3719" i="116"/>
  <c r="I3719" i="116"/>
  <c r="H3719" i="116"/>
  <c r="G3719" i="116"/>
  <c r="F3719" i="116"/>
  <c r="E3719" i="116"/>
  <c r="D3719" i="116"/>
  <c r="C3719" i="116"/>
  <c r="B3719" i="116"/>
  <c r="K3718" i="116"/>
  <c r="J3718" i="116"/>
  <c r="I3718" i="116"/>
  <c r="H3718" i="116"/>
  <c r="G3718" i="116"/>
  <c r="F3718" i="116"/>
  <c r="E3718" i="116"/>
  <c r="D3718" i="116"/>
  <c r="C3718" i="116"/>
  <c r="B3718" i="116"/>
  <c r="K3717" i="116"/>
  <c r="J3717" i="116"/>
  <c r="I3717" i="116"/>
  <c r="H3717" i="116"/>
  <c r="G3717" i="116"/>
  <c r="F3717" i="116"/>
  <c r="E3717" i="116"/>
  <c r="D3717" i="116"/>
  <c r="C3717" i="116"/>
  <c r="B3717" i="116"/>
  <c r="K3716" i="116"/>
  <c r="J3716" i="116"/>
  <c r="I3716" i="116"/>
  <c r="H3716" i="116"/>
  <c r="G3716" i="116"/>
  <c r="F3716" i="116"/>
  <c r="E3716" i="116"/>
  <c r="D3716" i="116"/>
  <c r="C3716" i="116"/>
  <c r="B3716" i="116"/>
  <c r="K3715" i="116"/>
  <c r="J3715" i="116"/>
  <c r="I3715" i="116"/>
  <c r="H3715" i="116"/>
  <c r="G3715" i="116"/>
  <c r="F3715" i="116"/>
  <c r="E3715" i="116"/>
  <c r="D3715" i="116"/>
  <c r="C3715" i="116"/>
  <c r="B3715" i="116"/>
  <c r="K3714" i="116"/>
  <c r="J3714" i="116"/>
  <c r="I3714" i="116"/>
  <c r="H3714" i="116"/>
  <c r="G3714" i="116"/>
  <c r="F3714" i="116"/>
  <c r="E3714" i="116"/>
  <c r="D3714" i="116"/>
  <c r="C3714" i="116"/>
  <c r="B3714" i="116"/>
  <c r="K3713" i="116"/>
  <c r="J3713" i="116"/>
  <c r="I3713" i="116"/>
  <c r="H3713" i="116"/>
  <c r="G3713" i="116"/>
  <c r="F3713" i="116"/>
  <c r="E3713" i="116"/>
  <c r="D3713" i="116"/>
  <c r="C3713" i="116"/>
  <c r="B3713" i="116"/>
  <c r="K3712" i="116"/>
  <c r="J3712" i="116"/>
  <c r="I3712" i="116"/>
  <c r="H3712" i="116"/>
  <c r="G3712" i="116"/>
  <c r="F3712" i="116"/>
  <c r="E3712" i="116"/>
  <c r="D3712" i="116"/>
  <c r="C3712" i="116"/>
  <c r="B3712" i="116"/>
  <c r="K3711" i="116"/>
  <c r="J3711" i="116"/>
  <c r="I3711" i="116"/>
  <c r="H3711" i="116"/>
  <c r="G3711" i="116"/>
  <c r="F3711" i="116"/>
  <c r="E3711" i="116"/>
  <c r="D3711" i="116"/>
  <c r="C3711" i="116"/>
  <c r="B3711" i="116"/>
  <c r="K3710" i="116"/>
  <c r="J3710" i="116"/>
  <c r="I3710" i="116"/>
  <c r="H3710" i="116"/>
  <c r="G3710" i="116"/>
  <c r="F3710" i="116"/>
  <c r="E3710" i="116"/>
  <c r="D3710" i="116"/>
  <c r="C3710" i="116"/>
  <c r="B3710" i="116"/>
  <c r="K3709" i="116"/>
  <c r="J3709" i="116"/>
  <c r="I3709" i="116"/>
  <c r="H3709" i="116"/>
  <c r="G3709" i="116"/>
  <c r="F3709" i="116"/>
  <c r="E3709" i="116"/>
  <c r="D3709" i="116"/>
  <c r="C3709" i="116"/>
  <c r="B3709" i="116"/>
  <c r="K3708" i="116"/>
  <c r="J3708" i="116"/>
  <c r="I3708" i="116"/>
  <c r="H3708" i="116"/>
  <c r="G3708" i="116"/>
  <c r="F3708" i="116"/>
  <c r="E3708" i="116"/>
  <c r="D3708" i="116"/>
  <c r="C3708" i="116"/>
  <c r="B3708" i="116"/>
  <c r="K3707" i="116"/>
  <c r="J3707" i="116"/>
  <c r="I3707" i="116"/>
  <c r="H3707" i="116"/>
  <c r="G3707" i="116"/>
  <c r="F3707" i="116"/>
  <c r="E3707" i="116"/>
  <c r="D3707" i="116"/>
  <c r="C3707" i="116"/>
  <c r="B3707" i="116"/>
  <c r="K3706" i="116"/>
  <c r="J3706" i="116"/>
  <c r="I3706" i="116"/>
  <c r="H3706" i="116"/>
  <c r="G3706" i="116"/>
  <c r="F3706" i="116"/>
  <c r="E3706" i="116"/>
  <c r="D3706" i="116"/>
  <c r="C3706" i="116"/>
  <c r="B3706" i="116"/>
  <c r="K3705" i="116"/>
  <c r="J3705" i="116"/>
  <c r="I3705" i="116"/>
  <c r="H3705" i="116"/>
  <c r="G3705" i="116"/>
  <c r="F3705" i="116"/>
  <c r="E3705" i="116"/>
  <c r="D3705" i="116"/>
  <c r="C3705" i="116"/>
  <c r="B3705" i="116"/>
  <c r="K3704" i="116"/>
  <c r="J3704" i="116"/>
  <c r="I3704" i="116"/>
  <c r="H3704" i="116"/>
  <c r="G3704" i="116"/>
  <c r="F3704" i="116"/>
  <c r="E3704" i="116"/>
  <c r="D3704" i="116"/>
  <c r="C3704" i="116"/>
  <c r="B3704" i="116"/>
  <c r="K3703" i="116"/>
  <c r="J3703" i="116"/>
  <c r="I3703" i="116"/>
  <c r="H3703" i="116"/>
  <c r="G3703" i="116"/>
  <c r="F3703" i="116"/>
  <c r="E3703" i="116"/>
  <c r="D3703" i="116"/>
  <c r="C3703" i="116"/>
  <c r="B3703" i="116"/>
  <c r="K3702" i="116"/>
  <c r="J3702" i="116"/>
  <c r="I3702" i="116"/>
  <c r="H3702" i="116"/>
  <c r="G3702" i="116"/>
  <c r="F3702" i="116"/>
  <c r="E3702" i="116"/>
  <c r="D3702" i="116"/>
  <c r="C3702" i="116"/>
  <c r="B3702" i="116"/>
  <c r="K3701" i="116"/>
  <c r="J3701" i="116"/>
  <c r="I3701" i="116"/>
  <c r="H3701" i="116"/>
  <c r="G3701" i="116"/>
  <c r="F3701" i="116"/>
  <c r="E3701" i="116"/>
  <c r="D3701" i="116"/>
  <c r="C3701" i="116"/>
  <c r="B3701" i="116"/>
  <c r="K3700" i="116"/>
  <c r="J3700" i="116"/>
  <c r="I3700" i="116"/>
  <c r="H3700" i="116"/>
  <c r="G3700" i="116"/>
  <c r="F3700" i="116"/>
  <c r="E3700" i="116"/>
  <c r="D3700" i="116"/>
  <c r="C3700" i="116"/>
  <c r="B3700" i="116"/>
  <c r="K3699" i="116"/>
  <c r="J3699" i="116"/>
  <c r="I3699" i="116"/>
  <c r="H3699" i="116"/>
  <c r="G3699" i="116"/>
  <c r="F3699" i="116"/>
  <c r="E3699" i="116"/>
  <c r="D3699" i="116"/>
  <c r="C3699" i="116"/>
  <c r="B3699" i="116"/>
  <c r="K3698" i="116"/>
  <c r="J3698" i="116"/>
  <c r="I3698" i="116"/>
  <c r="H3698" i="116"/>
  <c r="G3698" i="116"/>
  <c r="F3698" i="116"/>
  <c r="E3698" i="116"/>
  <c r="D3698" i="116"/>
  <c r="C3698" i="116"/>
  <c r="B3698" i="116"/>
  <c r="K3697" i="116"/>
  <c r="J3697" i="116"/>
  <c r="I3697" i="116"/>
  <c r="H3697" i="116"/>
  <c r="G3697" i="116"/>
  <c r="F3697" i="116"/>
  <c r="E3697" i="116"/>
  <c r="D3697" i="116"/>
  <c r="C3697" i="116"/>
  <c r="B3697" i="116"/>
  <c r="K3696" i="116"/>
  <c r="J3696" i="116"/>
  <c r="I3696" i="116"/>
  <c r="H3696" i="116"/>
  <c r="G3696" i="116"/>
  <c r="F3696" i="116"/>
  <c r="E3696" i="116"/>
  <c r="D3696" i="116"/>
  <c r="C3696" i="116"/>
  <c r="B3696" i="116"/>
  <c r="K3695" i="116"/>
  <c r="J3695" i="116"/>
  <c r="I3695" i="116"/>
  <c r="H3695" i="116"/>
  <c r="G3695" i="116"/>
  <c r="F3695" i="116"/>
  <c r="E3695" i="116"/>
  <c r="D3695" i="116"/>
  <c r="C3695" i="116"/>
  <c r="B3695" i="116"/>
  <c r="K3694" i="116"/>
  <c r="J3694" i="116"/>
  <c r="I3694" i="116"/>
  <c r="H3694" i="116"/>
  <c r="G3694" i="116"/>
  <c r="F3694" i="116"/>
  <c r="E3694" i="116"/>
  <c r="D3694" i="116"/>
  <c r="C3694" i="116"/>
  <c r="B3694" i="116"/>
  <c r="K3693" i="116"/>
  <c r="J3693" i="116"/>
  <c r="I3693" i="116"/>
  <c r="H3693" i="116"/>
  <c r="G3693" i="116"/>
  <c r="F3693" i="116"/>
  <c r="E3693" i="116"/>
  <c r="D3693" i="116"/>
  <c r="C3693" i="116"/>
  <c r="B3693" i="116"/>
  <c r="K3692" i="116"/>
  <c r="J3692" i="116"/>
  <c r="I3692" i="116"/>
  <c r="H3692" i="116"/>
  <c r="G3692" i="116"/>
  <c r="F3692" i="116"/>
  <c r="E3692" i="116"/>
  <c r="D3692" i="116"/>
  <c r="C3692" i="116"/>
  <c r="B3692" i="116"/>
  <c r="K3691" i="116"/>
  <c r="J3691" i="116"/>
  <c r="I3691" i="116"/>
  <c r="H3691" i="116"/>
  <c r="G3691" i="116"/>
  <c r="F3691" i="116"/>
  <c r="E3691" i="116"/>
  <c r="D3691" i="116"/>
  <c r="C3691" i="116"/>
  <c r="B3691" i="116"/>
  <c r="K3690" i="116"/>
  <c r="J3690" i="116"/>
  <c r="I3690" i="116"/>
  <c r="H3690" i="116"/>
  <c r="G3690" i="116"/>
  <c r="F3690" i="116"/>
  <c r="E3690" i="116"/>
  <c r="D3690" i="116"/>
  <c r="C3690" i="116"/>
  <c r="B3690" i="116"/>
  <c r="K3689" i="116"/>
  <c r="J3689" i="116"/>
  <c r="I3689" i="116"/>
  <c r="H3689" i="116"/>
  <c r="G3689" i="116"/>
  <c r="F3689" i="116"/>
  <c r="E3689" i="116"/>
  <c r="D3689" i="116"/>
  <c r="C3689" i="116"/>
  <c r="B3689" i="116"/>
  <c r="K3688" i="116"/>
  <c r="J3688" i="116"/>
  <c r="I3688" i="116"/>
  <c r="H3688" i="116"/>
  <c r="G3688" i="116"/>
  <c r="F3688" i="116"/>
  <c r="E3688" i="116"/>
  <c r="D3688" i="116"/>
  <c r="C3688" i="116"/>
  <c r="B3688" i="116"/>
  <c r="K3687" i="116"/>
  <c r="J3687" i="116"/>
  <c r="I3687" i="116"/>
  <c r="H3687" i="116"/>
  <c r="G3687" i="116"/>
  <c r="F3687" i="116"/>
  <c r="E3687" i="116"/>
  <c r="D3687" i="116"/>
  <c r="C3687" i="116"/>
  <c r="B3687" i="116"/>
  <c r="K3686" i="116"/>
  <c r="J3686" i="116"/>
  <c r="I3686" i="116"/>
  <c r="H3686" i="116"/>
  <c r="G3686" i="116"/>
  <c r="F3686" i="116"/>
  <c r="E3686" i="116"/>
  <c r="D3686" i="116"/>
  <c r="C3686" i="116"/>
  <c r="B3686" i="116"/>
  <c r="K3685" i="116"/>
  <c r="J3685" i="116"/>
  <c r="I3685" i="116"/>
  <c r="H3685" i="116"/>
  <c r="G3685" i="116"/>
  <c r="F3685" i="116"/>
  <c r="E3685" i="116"/>
  <c r="D3685" i="116"/>
  <c r="C3685" i="116"/>
  <c r="B3685" i="116"/>
  <c r="K3684" i="116"/>
  <c r="J3684" i="116"/>
  <c r="I3684" i="116"/>
  <c r="H3684" i="116"/>
  <c r="G3684" i="116"/>
  <c r="F3684" i="116"/>
  <c r="E3684" i="116"/>
  <c r="D3684" i="116"/>
  <c r="C3684" i="116"/>
  <c r="B3684" i="116"/>
  <c r="K3683" i="116"/>
  <c r="J3683" i="116"/>
  <c r="I3683" i="116"/>
  <c r="H3683" i="116"/>
  <c r="G3683" i="116"/>
  <c r="F3683" i="116"/>
  <c r="E3683" i="116"/>
  <c r="D3683" i="116"/>
  <c r="C3683" i="116"/>
  <c r="B3683" i="116"/>
  <c r="K3682" i="116"/>
  <c r="J3682" i="116"/>
  <c r="I3682" i="116"/>
  <c r="H3682" i="116"/>
  <c r="G3682" i="116"/>
  <c r="F3682" i="116"/>
  <c r="E3682" i="116"/>
  <c r="D3682" i="116"/>
  <c r="C3682" i="116"/>
  <c r="B3682" i="116"/>
  <c r="K3681" i="116"/>
  <c r="J3681" i="116"/>
  <c r="I3681" i="116"/>
  <c r="H3681" i="116"/>
  <c r="G3681" i="116"/>
  <c r="F3681" i="116"/>
  <c r="E3681" i="116"/>
  <c r="D3681" i="116"/>
  <c r="C3681" i="116"/>
  <c r="B3681" i="116"/>
  <c r="K3680" i="116"/>
  <c r="J3680" i="116"/>
  <c r="I3680" i="116"/>
  <c r="H3680" i="116"/>
  <c r="G3680" i="116"/>
  <c r="F3680" i="116"/>
  <c r="E3680" i="116"/>
  <c r="D3680" i="116"/>
  <c r="C3680" i="116"/>
  <c r="B3680" i="116"/>
  <c r="K3679" i="116"/>
  <c r="J3679" i="116"/>
  <c r="I3679" i="116"/>
  <c r="H3679" i="116"/>
  <c r="G3679" i="116"/>
  <c r="F3679" i="116"/>
  <c r="E3679" i="116"/>
  <c r="D3679" i="116"/>
  <c r="C3679" i="116"/>
  <c r="B3679" i="116"/>
  <c r="K3678" i="116"/>
  <c r="J3678" i="116"/>
  <c r="I3678" i="116"/>
  <c r="H3678" i="116"/>
  <c r="G3678" i="116"/>
  <c r="F3678" i="116"/>
  <c r="E3678" i="116"/>
  <c r="D3678" i="116"/>
  <c r="C3678" i="116"/>
  <c r="B3678" i="116"/>
  <c r="K3677" i="116"/>
  <c r="J3677" i="116"/>
  <c r="I3677" i="116"/>
  <c r="H3677" i="116"/>
  <c r="G3677" i="116"/>
  <c r="F3677" i="116"/>
  <c r="E3677" i="116"/>
  <c r="D3677" i="116"/>
  <c r="C3677" i="116"/>
  <c r="B3677" i="116"/>
  <c r="K3676" i="116"/>
  <c r="J3676" i="116"/>
  <c r="I3676" i="116"/>
  <c r="H3676" i="116"/>
  <c r="G3676" i="116"/>
  <c r="F3676" i="116"/>
  <c r="E3676" i="116"/>
  <c r="D3676" i="116"/>
  <c r="C3676" i="116"/>
  <c r="B3676" i="116"/>
  <c r="K3675" i="116"/>
  <c r="J3675" i="116"/>
  <c r="I3675" i="116"/>
  <c r="H3675" i="116"/>
  <c r="G3675" i="116"/>
  <c r="F3675" i="116"/>
  <c r="E3675" i="116"/>
  <c r="D3675" i="116"/>
  <c r="C3675" i="116"/>
  <c r="B3675" i="116"/>
  <c r="K3674" i="116"/>
  <c r="J3674" i="116"/>
  <c r="I3674" i="116"/>
  <c r="H3674" i="116"/>
  <c r="G3674" i="116"/>
  <c r="F3674" i="116"/>
  <c r="E3674" i="116"/>
  <c r="D3674" i="116"/>
  <c r="C3674" i="116"/>
  <c r="B3674" i="116"/>
  <c r="K3673" i="116"/>
  <c r="J3673" i="116"/>
  <c r="I3673" i="116"/>
  <c r="H3673" i="116"/>
  <c r="G3673" i="116"/>
  <c r="F3673" i="116"/>
  <c r="E3673" i="116"/>
  <c r="D3673" i="116"/>
  <c r="C3673" i="116"/>
  <c r="B3673" i="116"/>
  <c r="K3672" i="116"/>
  <c r="J3672" i="116"/>
  <c r="I3672" i="116"/>
  <c r="H3672" i="116"/>
  <c r="G3672" i="116"/>
  <c r="F3672" i="116"/>
  <c r="E3672" i="116"/>
  <c r="D3672" i="116"/>
  <c r="C3672" i="116"/>
  <c r="B3672" i="116"/>
  <c r="K3671" i="116"/>
  <c r="J3671" i="116"/>
  <c r="I3671" i="116"/>
  <c r="H3671" i="116"/>
  <c r="G3671" i="116"/>
  <c r="F3671" i="116"/>
  <c r="E3671" i="116"/>
  <c r="D3671" i="116"/>
  <c r="C3671" i="116"/>
  <c r="B3671" i="116"/>
  <c r="K3670" i="116"/>
  <c r="J3670" i="116"/>
  <c r="I3670" i="116"/>
  <c r="H3670" i="116"/>
  <c r="G3670" i="116"/>
  <c r="F3670" i="116"/>
  <c r="E3670" i="116"/>
  <c r="D3670" i="116"/>
  <c r="C3670" i="116"/>
  <c r="B3670" i="116"/>
  <c r="K3669" i="116"/>
  <c r="J3669" i="116"/>
  <c r="I3669" i="116"/>
  <c r="H3669" i="116"/>
  <c r="G3669" i="116"/>
  <c r="F3669" i="116"/>
  <c r="E3669" i="116"/>
  <c r="D3669" i="116"/>
  <c r="C3669" i="116"/>
  <c r="B3669" i="116"/>
  <c r="K3668" i="116"/>
  <c r="J3668" i="116"/>
  <c r="I3668" i="116"/>
  <c r="H3668" i="116"/>
  <c r="G3668" i="116"/>
  <c r="F3668" i="116"/>
  <c r="E3668" i="116"/>
  <c r="D3668" i="116"/>
  <c r="C3668" i="116"/>
  <c r="B3668" i="116"/>
  <c r="K3667" i="116"/>
  <c r="J3667" i="116"/>
  <c r="I3667" i="116"/>
  <c r="H3667" i="116"/>
  <c r="G3667" i="116"/>
  <c r="F3667" i="116"/>
  <c r="E3667" i="116"/>
  <c r="D3667" i="116"/>
  <c r="C3667" i="116"/>
  <c r="B3667" i="116"/>
  <c r="K3666" i="116"/>
  <c r="J3666" i="116"/>
  <c r="I3666" i="116"/>
  <c r="H3666" i="116"/>
  <c r="G3666" i="116"/>
  <c r="F3666" i="116"/>
  <c r="E3666" i="116"/>
  <c r="D3666" i="116"/>
  <c r="C3666" i="116"/>
  <c r="B3666" i="116"/>
  <c r="K3665" i="116"/>
  <c r="J3665" i="116"/>
  <c r="I3665" i="116"/>
  <c r="H3665" i="116"/>
  <c r="G3665" i="116"/>
  <c r="F3665" i="116"/>
  <c r="E3665" i="116"/>
  <c r="D3665" i="116"/>
  <c r="C3665" i="116"/>
  <c r="B3665" i="116"/>
  <c r="K3664" i="116"/>
  <c r="J3664" i="116"/>
  <c r="I3664" i="116"/>
  <c r="H3664" i="116"/>
  <c r="G3664" i="116"/>
  <c r="F3664" i="116"/>
  <c r="E3664" i="116"/>
  <c r="D3664" i="116"/>
  <c r="C3664" i="116"/>
  <c r="B3664" i="116"/>
  <c r="K3663" i="116"/>
  <c r="J3663" i="116"/>
  <c r="I3663" i="116"/>
  <c r="H3663" i="116"/>
  <c r="G3663" i="116"/>
  <c r="F3663" i="116"/>
  <c r="E3663" i="116"/>
  <c r="D3663" i="116"/>
  <c r="C3663" i="116"/>
  <c r="B3663" i="116"/>
  <c r="K3662" i="116"/>
  <c r="J3662" i="116"/>
  <c r="I3662" i="116"/>
  <c r="H3662" i="116"/>
  <c r="G3662" i="116"/>
  <c r="F3662" i="116"/>
  <c r="E3662" i="116"/>
  <c r="D3662" i="116"/>
  <c r="C3662" i="116"/>
  <c r="B3662" i="116"/>
  <c r="K3661" i="116"/>
  <c r="J3661" i="116"/>
  <c r="I3661" i="116"/>
  <c r="H3661" i="116"/>
  <c r="G3661" i="116"/>
  <c r="F3661" i="116"/>
  <c r="E3661" i="116"/>
  <c r="D3661" i="116"/>
  <c r="C3661" i="116"/>
  <c r="B3661" i="116"/>
  <c r="K3660" i="116"/>
  <c r="J3660" i="116"/>
  <c r="I3660" i="116"/>
  <c r="H3660" i="116"/>
  <c r="G3660" i="116"/>
  <c r="F3660" i="116"/>
  <c r="E3660" i="116"/>
  <c r="D3660" i="116"/>
  <c r="C3660" i="116"/>
  <c r="B3660" i="116"/>
  <c r="K3659" i="116"/>
  <c r="J3659" i="116"/>
  <c r="I3659" i="116"/>
  <c r="H3659" i="116"/>
  <c r="G3659" i="116"/>
  <c r="F3659" i="116"/>
  <c r="E3659" i="116"/>
  <c r="D3659" i="116"/>
  <c r="C3659" i="116"/>
  <c r="B3659" i="116"/>
  <c r="K3658" i="116"/>
  <c r="J3658" i="116"/>
  <c r="I3658" i="116"/>
  <c r="H3658" i="116"/>
  <c r="G3658" i="116"/>
  <c r="F3658" i="116"/>
  <c r="E3658" i="116"/>
  <c r="D3658" i="116"/>
  <c r="C3658" i="116"/>
  <c r="B3658" i="116"/>
  <c r="K3657" i="116"/>
  <c r="J3657" i="116"/>
  <c r="I3657" i="116"/>
  <c r="H3657" i="116"/>
  <c r="G3657" i="116"/>
  <c r="F3657" i="116"/>
  <c r="E3657" i="116"/>
  <c r="D3657" i="116"/>
  <c r="C3657" i="116"/>
  <c r="B3657" i="116"/>
  <c r="K3656" i="116"/>
  <c r="J3656" i="116"/>
  <c r="I3656" i="116"/>
  <c r="H3656" i="116"/>
  <c r="G3656" i="116"/>
  <c r="F3656" i="116"/>
  <c r="E3656" i="116"/>
  <c r="D3656" i="116"/>
  <c r="C3656" i="116"/>
  <c r="B3656" i="116"/>
  <c r="K3655" i="116"/>
  <c r="J3655" i="116"/>
  <c r="I3655" i="116"/>
  <c r="H3655" i="116"/>
  <c r="G3655" i="116"/>
  <c r="F3655" i="116"/>
  <c r="E3655" i="116"/>
  <c r="D3655" i="116"/>
  <c r="C3655" i="116"/>
  <c r="B3655" i="116"/>
  <c r="K3654" i="116"/>
  <c r="J3654" i="116"/>
  <c r="I3654" i="116"/>
  <c r="H3654" i="116"/>
  <c r="G3654" i="116"/>
  <c r="F3654" i="116"/>
  <c r="E3654" i="116"/>
  <c r="D3654" i="116"/>
  <c r="C3654" i="116"/>
  <c r="B3654" i="116"/>
  <c r="K3653" i="116"/>
  <c r="J3653" i="116"/>
  <c r="I3653" i="116"/>
  <c r="H3653" i="116"/>
  <c r="G3653" i="116"/>
  <c r="F3653" i="116"/>
  <c r="E3653" i="116"/>
  <c r="D3653" i="116"/>
  <c r="C3653" i="116"/>
  <c r="B3653" i="116"/>
  <c r="K3652" i="116"/>
  <c r="J3652" i="116"/>
  <c r="I3652" i="116"/>
  <c r="H3652" i="116"/>
  <c r="G3652" i="116"/>
  <c r="F3652" i="116"/>
  <c r="E3652" i="116"/>
  <c r="D3652" i="116"/>
  <c r="C3652" i="116"/>
  <c r="B3652" i="116"/>
  <c r="K3651" i="116"/>
  <c r="J3651" i="116"/>
  <c r="I3651" i="116"/>
  <c r="H3651" i="116"/>
  <c r="G3651" i="116"/>
  <c r="F3651" i="116"/>
  <c r="E3651" i="116"/>
  <c r="D3651" i="116"/>
  <c r="C3651" i="116"/>
  <c r="B3651" i="116"/>
  <c r="K3650" i="116"/>
  <c r="J3650" i="116"/>
  <c r="I3650" i="116"/>
  <c r="H3650" i="116"/>
  <c r="G3650" i="116"/>
  <c r="F3650" i="116"/>
  <c r="E3650" i="116"/>
  <c r="D3650" i="116"/>
  <c r="C3650" i="116"/>
  <c r="B3650" i="116"/>
  <c r="K3649" i="116"/>
  <c r="J3649" i="116"/>
  <c r="I3649" i="116"/>
  <c r="H3649" i="116"/>
  <c r="G3649" i="116"/>
  <c r="F3649" i="116"/>
  <c r="E3649" i="116"/>
  <c r="D3649" i="116"/>
  <c r="C3649" i="116"/>
  <c r="B3649" i="116"/>
  <c r="K3648" i="116"/>
  <c r="J3648" i="116"/>
  <c r="I3648" i="116"/>
  <c r="H3648" i="116"/>
  <c r="G3648" i="116"/>
  <c r="F3648" i="116"/>
  <c r="E3648" i="116"/>
  <c r="D3648" i="116"/>
  <c r="C3648" i="116"/>
  <c r="B3648" i="116"/>
  <c r="K3647" i="116"/>
  <c r="J3647" i="116"/>
  <c r="I3647" i="116"/>
  <c r="H3647" i="116"/>
  <c r="G3647" i="116"/>
  <c r="F3647" i="116"/>
  <c r="E3647" i="116"/>
  <c r="D3647" i="116"/>
  <c r="C3647" i="116"/>
  <c r="B3647" i="116"/>
  <c r="K3646" i="116"/>
  <c r="J3646" i="116"/>
  <c r="I3646" i="116"/>
  <c r="H3646" i="116"/>
  <c r="G3646" i="116"/>
  <c r="F3646" i="116"/>
  <c r="E3646" i="116"/>
  <c r="D3646" i="116"/>
  <c r="C3646" i="116"/>
  <c r="B3646" i="116"/>
  <c r="K3645" i="116"/>
  <c r="J3645" i="116"/>
  <c r="I3645" i="116"/>
  <c r="H3645" i="116"/>
  <c r="G3645" i="116"/>
  <c r="F3645" i="116"/>
  <c r="E3645" i="116"/>
  <c r="D3645" i="116"/>
  <c r="C3645" i="116"/>
  <c r="B3645" i="116"/>
  <c r="K3644" i="116"/>
  <c r="J3644" i="116"/>
  <c r="I3644" i="116"/>
  <c r="H3644" i="116"/>
  <c r="G3644" i="116"/>
  <c r="F3644" i="116"/>
  <c r="E3644" i="116"/>
  <c r="D3644" i="116"/>
  <c r="C3644" i="116"/>
  <c r="B3644" i="116"/>
  <c r="K3643" i="116"/>
  <c r="J3643" i="116"/>
  <c r="I3643" i="116"/>
  <c r="H3643" i="116"/>
  <c r="G3643" i="116"/>
  <c r="F3643" i="116"/>
  <c r="E3643" i="116"/>
  <c r="D3643" i="116"/>
  <c r="C3643" i="116"/>
  <c r="B3643" i="116"/>
  <c r="K3642" i="116"/>
  <c r="J3642" i="116"/>
  <c r="I3642" i="116"/>
  <c r="H3642" i="116"/>
  <c r="G3642" i="116"/>
  <c r="F3642" i="116"/>
  <c r="E3642" i="116"/>
  <c r="D3642" i="116"/>
  <c r="C3642" i="116"/>
  <c r="B3642" i="116"/>
  <c r="K3641" i="116"/>
  <c r="J3641" i="116"/>
  <c r="I3641" i="116"/>
  <c r="H3641" i="116"/>
  <c r="G3641" i="116"/>
  <c r="F3641" i="116"/>
  <c r="E3641" i="116"/>
  <c r="D3641" i="116"/>
  <c r="C3641" i="116"/>
  <c r="B3641" i="116"/>
  <c r="K3640" i="116"/>
  <c r="J3640" i="116"/>
  <c r="I3640" i="116"/>
  <c r="H3640" i="116"/>
  <c r="G3640" i="116"/>
  <c r="F3640" i="116"/>
  <c r="E3640" i="116"/>
  <c r="D3640" i="116"/>
  <c r="C3640" i="116"/>
  <c r="B3640" i="116"/>
  <c r="K3639" i="116"/>
  <c r="J3639" i="116"/>
  <c r="I3639" i="116"/>
  <c r="H3639" i="116"/>
  <c r="G3639" i="116"/>
  <c r="F3639" i="116"/>
  <c r="E3639" i="116"/>
  <c r="D3639" i="116"/>
  <c r="C3639" i="116"/>
  <c r="B3639" i="116"/>
  <c r="K3638" i="116"/>
  <c r="J3638" i="116"/>
  <c r="I3638" i="116"/>
  <c r="H3638" i="116"/>
  <c r="G3638" i="116"/>
  <c r="F3638" i="116"/>
  <c r="E3638" i="116"/>
  <c r="D3638" i="116"/>
  <c r="C3638" i="116"/>
  <c r="B3638" i="116"/>
  <c r="K3637" i="116"/>
  <c r="J3637" i="116"/>
  <c r="I3637" i="116"/>
  <c r="H3637" i="116"/>
  <c r="G3637" i="116"/>
  <c r="F3637" i="116"/>
  <c r="E3637" i="116"/>
  <c r="D3637" i="116"/>
  <c r="C3637" i="116"/>
  <c r="B3637" i="116"/>
  <c r="K3636" i="116"/>
  <c r="J3636" i="116"/>
  <c r="I3636" i="116"/>
  <c r="H3636" i="116"/>
  <c r="G3636" i="116"/>
  <c r="F3636" i="116"/>
  <c r="E3636" i="116"/>
  <c r="D3636" i="116"/>
  <c r="C3636" i="116"/>
  <c r="B3636" i="116"/>
  <c r="K3635" i="116"/>
  <c r="J3635" i="116"/>
  <c r="I3635" i="116"/>
  <c r="H3635" i="116"/>
  <c r="G3635" i="116"/>
  <c r="F3635" i="116"/>
  <c r="E3635" i="116"/>
  <c r="D3635" i="116"/>
  <c r="C3635" i="116"/>
  <c r="B3635" i="116"/>
  <c r="K3634" i="116"/>
  <c r="J3634" i="116"/>
  <c r="I3634" i="116"/>
  <c r="H3634" i="116"/>
  <c r="G3634" i="116"/>
  <c r="F3634" i="116"/>
  <c r="E3634" i="116"/>
  <c r="D3634" i="116"/>
  <c r="C3634" i="116"/>
  <c r="B3634" i="116"/>
  <c r="K3633" i="116"/>
  <c r="J3633" i="116"/>
  <c r="I3633" i="116"/>
  <c r="H3633" i="116"/>
  <c r="G3633" i="116"/>
  <c r="F3633" i="116"/>
  <c r="E3633" i="116"/>
  <c r="D3633" i="116"/>
  <c r="C3633" i="116"/>
  <c r="B3633" i="116"/>
  <c r="K3632" i="116"/>
  <c r="J3632" i="116"/>
  <c r="I3632" i="116"/>
  <c r="H3632" i="116"/>
  <c r="G3632" i="116"/>
  <c r="F3632" i="116"/>
  <c r="E3632" i="116"/>
  <c r="D3632" i="116"/>
  <c r="C3632" i="116"/>
  <c r="B3632" i="116"/>
  <c r="K3631" i="116"/>
  <c r="J3631" i="116"/>
  <c r="I3631" i="116"/>
  <c r="H3631" i="116"/>
  <c r="G3631" i="116"/>
  <c r="F3631" i="116"/>
  <c r="E3631" i="116"/>
  <c r="D3631" i="116"/>
  <c r="C3631" i="116"/>
  <c r="B3631" i="116"/>
  <c r="K3630" i="116"/>
  <c r="J3630" i="116"/>
  <c r="I3630" i="116"/>
  <c r="H3630" i="116"/>
  <c r="G3630" i="116"/>
  <c r="F3630" i="116"/>
  <c r="E3630" i="116"/>
  <c r="D3630" i="116"/>
  <c r="C3630" i="116"/>
  <c r="B3630" i="116"/>
  <c r="K3629" i="116"/>
  <c r="J3629" i="116"/>
  <c r="I3629" i="116"/>
  <c r="H3629" i="116"/>
  <c r="G3629" i="116"/>
  <c r="F3629" i="116"/>
  <c r="E3629" i="116"/>
  <c r="D3629" i="116"/>
  <c r="C3629" i="116"/>
  <c r="B3629" i="116"/>
  <c r="K3628" i="116"/>
  <c r="J3628" i="116"/>
  <c r="I3628" i="116"/>
  <c r="H3628" i="116"/>
  <c r="G3628" i="116"/>
  <c r="F3628" i="116"/>
  <c r="E3628" i="116"/>
  <c r="D3628" i="116"/>
  <c r="C3628" i="116"/>
  <c r="B3628" i="116"/>
  <c r="K3627" i="116"/>
  <c r="J3627" i="116"/>
  <c r="I3627" i="116"/>
  <c r="H3627" i="116"/>
  <c r="G3627" i="116"/>
  <c r="F3627" i="116"/>
  <c r="E3627" i="116"/>
  <c r="D3627" i="116"/>
  <c r="C3627" i="116"/>
  <c r="B3627" i="116"/>
  <c r="K3626" i="116"/>
  <c r="J3626" i="116"/>
  <c r="I3626" i="116"/>
  <c r="H3626" i="116"/>
  <c r="G3626" i="116"/>
  <c r="F3626" i="116"/>
  <c r="E3626" i="116"/>
  <c r="D3626" i="116"/>
  <c r="C3626" i="116"/>
  <c r="B3626" i="116"/>
  <c r="K3625" i="116"/>
  <c r="J3625" i="116"/>
  <c r="I3625" i="116"/>
  <c r="H3625" i="116"/>
  <c r="G3625" i="116"/>
  <c r="F3625" i="116"/>
  <c r="E3625" i="116"/>
  <c r="D3625" i="116"/>
  <c r="C3625" i="116"/>
  <c r="B3625" i="116"/>
  <c r="K3624" i="116"/>
  <c r="J3624" i="116"/>
  <c r="I3624" i="116"/>
  <c r="H3624" i="116"/>
  <c r="G3624" i="116"/>
  <c r="F3624" i="116"/>
  <c r="E3624" i="116"/>
  <c r="D3624" i="116"/>
  <c r="C3624" i="116"/>
  <c r="B3624" i="116"/>
  <c r="K3623" i="116"/>
  <c r="J3623" i="116"/>
  <c r="I3623" i="116"/>
  <c r="H3623" i="116"/>
  <c r="G3623" i="116"/>
  <c r="F3623" i="116"/>
  <c r="E3623" i="116"/>
  <c r="D3623" i="116"/>
  <c r="C3623" i="116"/>
  <c r="B3623" i="116"/>
  <c r="K3622" i="116"/>
  <c r="J3622" i="116"/>
  <c r="I3622" i="116"/>
  <c r="H3622" i="116"/>
  <c r="G3622" i="116"/>
  <c r="F3622" i="116"/>
  <c r="E3622" i="116"/>
  <c r="D3622" i="116"/>
  <c r="C3622" i="116"/>
  <c r="B3622" i="116"/>
  <c r="K3621" i="116"/>
  <c r="J3621" i="116"/>
  <c r="I3621" i="116"/>
  <c r="H3621" i="116"/>
  <c r="G3621" i="116"/>
  <c r="F3621" i="116"/>
  <c r="E3621" i="116"/>
  <c r="D3621" i="116"/>
  <c r="C3621" i="116"/>
  <c r="B3621" i="116"/>
  <c r="K3620" i="116"/>
  <c r="J3620" i="116"/>
  <c r="I3620" i="116"/>
  <c r="H3620" i="116"/>
  <c r="G3620" i="116"/>
  <c r="F3620" i="116"/>
  <c r="E3620" i="116"/>
  <c r="D3620" i="116"/>
  <c r="C3620" i="116"/>
  <c r="B3620" i="116"/>
  <c r="K3619" i="116"/>
  <c r="J3619" i="116"/>
  <c r="I3619" i="116"/>
  <c r="H3619" i="116"/>
  <c r="G3619" i="116"/>
  <c r="F3619" i="116"/>
  <c r="E3619" i="116"/>
  <c r="D3619" i="116"/>
  <c r="C3619" i="116"/>
  <c r="B3619" i="116"/>
  <c r="K3618" i="116"/>
  <c r="J3618" i="116"/>
  <c r="I3618" i="116"/>
  <c r="H3618" i="116"/>
  <c r="G3618" i="116"/>
  <c r="F3618" i="116"/>
  <c r="E3618" i="116"/>
  <c r="D3618" i="116"/>
  <c r="C3618" i="116"/>
  <c r="B3618" i="116"/>
  <c r="K3617" i="116"/>
  <c r="J3617" i="116"/>
  <c r="I3617" i="116"/>
  <c r="H3617" i="116"/>
  <c r="G3617" i="116"/>
  <c r="F3617" i="116"/>
  <c r="E3617" i="116"/>
  <c r="D3617" i="116"/>
  <c r="C3617" i="116"/>
  <c r="B3617" i="116"/>
  <c r="K3616" i="116"/>
  <c r="J3616" i="116"/>
  <c r="I3616" i="116"/>
  <c r="H3616" i="116"/>
  <c r="G3616" i="116"/>
  <c r="F3616" i="116"/>
  <c r="E3616" i="116"/>
  <c r="D3616" i="116"/>
  <c r="C3616" i="116"/>
  <c r="B3616" i="116"/>
  <c r="K3615" i="116"/>
  <c r="J3615" i="116"/>
  <c r="I3615" i="116"/>
  <c r="H3615" i="116"/>
  <c r="G3615" i="116"/>
  <c r="F3615" i="116"/>
  <c r="E3615" i="116"/>
  <c r="D3615" i="116"/>
  <c r="C3615" i="116"/>
  <c r="B3615" i="116"/>
  <c r="K3614" i="116"/>
  <c r="J3614" i="116"/>
  <c r="I3614" i="116"/>
  <c r="H3614" i="116"/>
  <c r="G3614" i="116"/>
  <c r="F3614" i="116"/>
  <c r="E3614" i="116"/>
  <c r="D3614" i="116"/>
  <c r="C3614" i="116"/>
  <c r="B3614" i="116"/>
  <c r="K3613" i="116"/>
  <c r="J3613" i="116"/>
  <c r="I3613" i="116"/>
  <c r="H3613" i="116"/>
  <c r="G3613" i="116"/>
  <c r="F3613" i="116"/>
  <c r="E3613" i="116"/>
  <c r="D3613" i="116"/>
  <c r="C3613" i="116"/>
  <c r="B3613" i="116"/>
  <c r="K3612" i="116"/>
  <c r="J3612" i="116"/>
  <c r="I3612" i="116"/>
  <c r="H3612" i="116"/>
  <c r="G3612" i="116"/>
  <c r="F3612" i="116"/>
  <c r="E3612" i="116"/>
  <c r="D3612" i="116"/>
  <c r="C3612" i="116"/>
  <c r="B3612" i="116"/>
  <c r="K3611" i="116"/>
  <c r="J3611" i="116"/>
  <c r="I3611" i="116"/>
  <c r="H3611" i="116"/>
  <c r="G3611" i="116"/>
  <c r="F3611" i="116"/>
  <c r="E3611" i="116"/>
  <c r="D3611" i="116"/>
  <c r="C3611" i="116"/>
  <c r="B3611" i="116"/>
  <c r="K3610" i="116"/>
  <c r="J3610" i="116"/>
  <c r="I3610" i="116"/>
  <c r="H3610" i="116"/>
  <c r="G3610" i="116"/>
  <c r="F3610" i="116"/>
  <c r="E3610" i="116"/>
  <c r="D3610" i="116"/>
  <c r="C3610" i="116"/>
  <c r="B3610" i="116"/>
  <c r="K3609" i="116"/>
  <c r="J3609" i="116"/>
  <c r="I3609" i="116"/>
  <c r="H3609" i="116"/>
  <c r="G3609" i="116"/>
  <c r="F3609" i="116"/>
  <c r="E3609" i="116"/>
  <c r="D3609" i="116"/>
  <c r="C3609" i="116"/>
  <c r="B3609" i="116"/>
  <c r="K3608" i="116"/>
  <c r="J3608" i="116"/>
  <c r="I3608" i="116"/>
  <c r="H3608" i="116"/>
  <c r="G3608" i="116"/>
  <c r="F3608" i="116"/>
  <c r="E3608" i="116"/>
  <c r="D3608" i="116"/>
  <c r="C3608" i="116"/>
  <c r="B3608" i="116"/>
  <c r="K3607" i="116"/>
  <c r="J3607" i="116"/>
  <c r="I3607" i="116"/>
  <c r="H3607" i="116"/>
  <c r="G3607" i="116"/>
  <c r="F3607" i="116"/>
  <c r="E3607" i="116"/>
  <c r="D3607" i="116"/>
  <c r="C3607" i="116"/>
  <c r="B3607" i="116"/>
  <c r="K3606" i="116"/>
  <c r="J3606" i="116"/>
  <c r="I3606" i="116"/>
  <c r="H3606" i="116"/>
  <c r="G3606" i="116"/>
  <c r="F3606" i="116"/>
  <c r="E3606" i="116"/>
  <c r="D3606" i="116"/>
  <c r="C3606" i="116"/>
  <c r="B3606" i="116"/>
  <c r="K3605" i="116"/>
  <c r="J3605" i="116"/>
  <c r="I3605" i="116"/>
  <c r="H3605" i="116"/>
  <c r="G3605" i="116"/>
  <c r="F3605" i="116"/>
  <c r="E3605" i="116"/>
  <c r="D3605" i="116"/>
  <c r="C3605" i="116"/>
  <c r="B3605" i="116"/>
  <c r="K3604" i="116"/>
  <c r="J3604" i="116"/>
  <c r="I3604" i="116"/>
  <c r="H3604" i="116"/>
  <c r="G3604" i="116"/>
  <c r="F3604" i="116"/>
  <c r="E3604" i="116"/>
  <c r="D3604" i="116"/>
  <c r="C3604" i="116"/>
  <c r="B3604" i="116"/>
  <c r="K3603" i="116"/>
  <c r="J3603" i="116"/>
  <c r="I3603" i="116"/>
  <c r="H3603" i="116"/>
  <c r="G3603" i="116"/>
  <c r="F3603" i="116"/>
  <c r="E3603" i="116"/>
  <c r="D3603" i="116"/>
  <c r="C3603" i="116"/>
  <c r="B3603" i="116"/>
  <c r="K3602" i="116"/>
  <c r="J3602" i="116"/>
  <c r="I3602" i="116"/>
  <c r="H3602" i="116"/>
  <c r="G3602" i="116"/>
  <c r="F3602" i="116"/>
  <c r="E3602" i="116"/>
  <c r="D3602" i="116"/>
  <c r="C3602" i="116"/>
  <c r="B3602" i="116"/>
  <c r="K3601" i="116"/>
  <c r="J3601" i="116"/>
  <c r="I3601" i="116"/>
  <c r="H3601" i="116"/>
  <c r="G3601" i="116"/>
  <c r="F3601" i="116"/>
  <c r="E3601" i="116"/>
  <c r="D3601" i="116"/>
  <c r="C3601" i="116"/>
  <c r="B3601" i="116"/>
  <c r="K3600" i="116"/>
  <c r="J3600" i="116"/>
  <c r="I3600" i="116"/>
  <c r="H3600" i="116"/>
  <c r="G3600" i="116"/>
  <c r="F3600" i="116"/>
  <c r="E3600" i="116"/>
  <c r="D3600" i="116"/>
  <c r="C3600" i="116"/>
  <c r="B3600" i="116"/>
  <c r="K3599" i="116"/>
  <c r="J3599" i="116"/>
  <c r="I3599" i="116"/>
  <c r="H3599" i="116"/>
  <c r="G3599" i="116"/>
  <c r="F3599" i="116"/>
  <c r="E3599" i="116"/>
  <c r="D3599" i="116"/>
  <c r="C3599" i="116"/>
  <c r="B3599" i="116"/>
  <c r="K3598" i="116"/>
  <c r="J3598" i="116"/>
  <c r="I3598" i="116"/>
  <c r="H3598" i="116"/>
  <c r="G3598" i="116"/>
  <c r="F3598" i="116"/>
  <c r="E3598" i="116"/>
  <c r="D3598" i="116"/>
  <c r="C3598" i="116"/>
  <c r="B3598" i="116"/>
  <c r="K3597" i="116"/>
  <c r="J3597" i="116"/>
  <c r="I3597" i="116"/>
  <c r="H3597" i="116"/>
  <c r="G3597" i="116"/>
  <c r="F3597" i="116"/>
  <c r="E3597" i="116"/>
  <c r="D3597" i="116"/>
  <c r="C3597" i="116"/>
  <c r="B3597" i="116"/>
  <c r="K3596" i="116"/>
  <c r="J3596" i="116"/>
  <c r="I3596" i="116"/>
  <c r="H3596" i="116"/>
  <c r="G3596" i="116"/>
  <c r="F3596" i="116"/>
  <c r="E3596" i="116"/>
  <c r="D3596" i="116"/>
  <c r="C3596" i="116"/>
  <c r="B3596" i="116"/>
  <c r="K3595" i="116"/>
  <c r="J3595" i="116"/>
  <c r="I3595" i="116"/>
  <c r="H3595" i="116"/>
  <c r="G3595" i="116"/>
  <c r="F3595" i="116"/>
  <c r="E3595" i="116"/>
  <c r="D3595" i="116"/>
  <c r="C3595" i="116"/>
  <c r="B3595" i="116"/>
  <c r="K3594" i="116"/>
  <c r="J3594" i="116"/>
  <c r="I3594" i="116"/>
  <c r="H3594" i="116"/>
  <c r="G3594" i="116"/>
  <c r="F3594" i="116"/>
  <c r="E3594" i="116"/>
  <c r="D3594" i="116"/>
  <c r="C3594" i="116"/>
  <c r="B3594" i="116"/>
  <c r="K3593" i="116"/>
  <c r="J3593" i="116"/>
  <c r="I3593" i="116"/>
  <c r="H3593" i="116"/>
  <c r="G3593" i="116"/>
  <c r="F3593" i="116"/>
  <c r="E3593" i="116"/>
  <c r="D3593" i="116"/>
  <c r="C3593" i="116"/>
  <c r="B3593" i="116"/>
  <c r="K3592" i="116"/>
  <c r="J3592" i="116"/>
  <c r="I3592" i="116"/>
  <c r="H3592" i="116"/>
  <c r="G3592" i="116"/>
  <c r="F3592" i="116"/>
  <c r="E3592" i="116"/>
  <c r="D3592" i="116"/>
  <c r="C3592" i="116"/>
  <c r="B3592" i="116"/>
  <c r="K3591" i="116"/>
  <c r="J3591" i="116"/>
  <c r="I3591" i="116"/>
  <c r="H3591" i="116"/>
  <c r="G3591" i="116"/>
  <c r="F3591" i="116"/>
  <c r="E3591" i="116"/>
  <c r="D3591" i="116"/>
  <c r="C3591" i="116"/>
  <c r="B3591" i="116"/>
  <c r="K3590" i="116"/>
  <c r="J3590" i="116"/>
  <c r="I3590" i="116"/>
  <c r="H3590" i="116"/>
  <c r="G3590" i="116"/>
  <c r="F3590" i="116"/>
  <c r="E3590" i="116"/>
  <c r="D3590" i="116"/>
  <c r="C3590" i="116"/>
  <c r="B3590" i="116"/>
  <c r="K3589" i="116"/>
  <c r="J3589" i="116"/>
  <c r="I3589" i="116"/>
  <c r="H3589" i="116"/>
  <c r="G3589" i="116"/>
  <c r="F3589" i="116"/>
  <c r="E3589" i="116"/>
  <c r="D3589" i="116"/>
  <c r="C3589" i="116"/>
  <c r="B3589" i="116"/>
  <c r="K3588" i="116"/>
  <c r="J3588" i="116"/>
  <c r="I3588" i="116"/>
  <c r="H3588" i="116"/>
  <c r="G3588" i="116"/>
  <c r="F3588" i="116"/>
  <c r="E3588" i="116"/>
  <c r="D3588" i="116"/>
  <c r="C3588" i="116"/>
  <c r="B3588" i="116"/>
  <c r="K3587" i="116"/>
  <c r="J3587" i="116"/>
  <c r="I3587" i="116"/>
  <c r="H3587" i="116"/>
  <c r="G3587" i="116"/>
  <c r="F3587" i="116"/>
  <c r="E3587" i="116"/>
  <c r="D3587" i="116"/>
  <c r="C3587" i="116"/>
  <c r="B3587" i="116"/>
  <c r="K3586" i="116"/>
  <c r="J3586" i="116"/>
  <c r="I3586" i="116"/>
  <c r="H3586" i="116"/>
  <c r="G3586" i="116"/>
  <c r="F3586" i="116"/>
  <c r="E3586" i="116"/>
  <c r="D3586" i="116"/>
  <c r="C3586" i="116"/>
  <c r="B3586" i="116"/>
  <c r="K3585" i="116"/>
  <c r="J3585" i="116"/>
  <c r="I3585" i="116"/>
  <c r="H3585" i="116"/>
  <c r="G3585" i="116"/>
  <c r="F3585" i="116"/>
  <c r="E3585" i="116"/>
  <c r="D3585" i="116"/>
  <c r="C3585" i="116"/>
  <c r="B3585" i="116"/>
  <c r="K3584" i="116"/>
  <c r="J3584" i="116"/>
  <c r="I3584" i="116"/>
  <c r="H3584" i="116"/>
  <c r="G3584" i="116"/>
  <c r="F3584" i="116"/>
  <c r="E3584" i="116"/>
  <c r="D3584" i="116"/>
  <c r="C3584" i="116"/>
  <c r="B3584" i="116"/>
  <c r="K3583" i="116"/>
  <c r="J3583" i="116"/>
  <c r="I3583" i="116"/>
  <c r="H3583" i="116"/>
  <c r="G3583" i="116"/>
  <c r="F3583" i="116"/>
  <c r="E3583" i="116"/>
  <c r="D3583" i="116"/>
  <c r="C3583" i="116"/>
  <c r="B3583" i="116"/>
  <c r="K3582" i="116"/>
  <c r="J3582" i="116"/>
  <c r="I3582" i="116"/>
  <c r="H3582" i="116"/>
  <c r="G3582" i="116"/>
  <c r="F3582" i="116"/>
  <c r="E3582" i="116"/>
  <c r="D3582" i="116"/>
  <c r="C3582" i="116"/>
  <c r="B3582" i="116"/>
  <c r="K3581" i="116"/>
  <c r="J3581" i="116"/>
  <c r="I3581" i="116"/>
  <c r="H3581" i="116"/>
  <c r="G3581" i="116"/>
  <c r="F3581" i="116"/>
  <c r="E3581" i="116"/>
  <c r="D3581" i="116"/>
  <c r="C3581" i="116"/>
  <c r="B3581" i="116"/>
  <c r="K3580" i="116"/>
  <c r="J3580" i="116"/>
  <c r="I3580" i="116"/>
  <c r="H3580" i="116"/>
  <c r="G3580" i="116"/>
  <c r="F3580" i="116"/>
  <c r="E3580" i="116"/>
  <c r="D3580" i="116"/>
  <c r="C3580" i="116"/>
  <c r="B3580" i="116"/>
  <c r="K3579" i="116"/>
  <c r="J3579" i="116"/>
  <c r="I3579" i="116"/>
  <c r="H3579" i="116"/>
  <c r="G3579" i="116"/>
  <c r="F3579" i="116"/>
  <c r="E3579" i="116"/>
  <c r="D3579" i="116"/>
  <c r="C3579" i="116"/>
  <c r="B3579" i="116"/>
  <c r="K3578" i="116"/>
  <c r="J3578" i="116"/>
  <c r="I3578" i="116"/>
  <c r="H3578" i="116"/>
  <c r="G3578" i="116"/>
  <c r="F3578" i="116"/>
  <c r="E3578" i="116"/>
  <c r="D3578" i="116"/>
  <c r="C3578" i="116"/>
  <c r="B3578" i="116"/>
  <c r="K3577" i="116"/>
  <c r="J3577" i="116"/>
  <c r="I3577" i="116"/>
  <c r="H3577" i="116"/>
  <c r="G3577" i="116"/>
  <c r="F3577" i="116"/>
  <c r="E3577" i="116"/>
  <c r="D3577" i="116"/>
  <c r="C3577" i="116"/>
  <c r="B3577" i="116"/>
  <c r="K3576" i="116"/>
  <c r="J3576" i="116"/>
  <c r="I3576" i="116"/>
  <c r="H3576" i="116"/>
  <c r="G3576" i="116"/>
  <c r="F3576" i="116"/>
  <c r="E3576" i="116"/>
  <c r="D3576" i="116"/>
  <c r="C3576" i="116"/>
  <c r="B3576" i="116"/>
  <c r="K3575" i="116"/>
  <c r="J3575" i="116"/>
  <c r="I3575" i="116"/>
  <c r="H3575" i="116"/>
  <c r="G3575" i="116"/>
  <c r="F3575" i="116"/>
  <c r="E3575" i="116"/>
  <c r="D3575" i="116"/>
  <c r="C3575" i="116"/>
  <c r="B3575" i="116"/>
  <c r="K3574" i="116"/>
  <c r="J3574" i="116"/>
  <c r="I3574" i="116"/>
  <c r="H3574" i="116"/>
  <c r="G3574" i="116"/>
  <c r="F3574" i="116"/>
  <c r="E3574" i="116"/>
  <c r="D3574" i="116"/>
  <c r="C3574" i="116"/>
  <c r="B3574" i="116"/>
  <c r="K3573" i="116"/>
  <c r="J3573" i="116"/>
  <c r="I3573" i="116"/>
  <c r="H3573" i="116"/>
  <c r="G3573" i="116"/>
  <c r="F3573" i="116"/>
  <c r="E3573" i="116"/>
  <c r="D3573" i="116"/>
  <c r="C3573" i="116"/>
  <c r="B3573" i="116"/>
  <c r="K3572" i="116"/>
  <c r="J3572" i="116"/>
  <c r="I3572" i="116"/>
  <c r="H3572" i="116"/>
  <c r="G3572" i="116"/>
  <c r="F3572" i="116"/>
  <c r="E3572" i="116"/>
  <c r="D3572" i="116"/>
  <c r="C3572" i="116"/>
  <c r="B3572" i="116"/>
  <c r="K3571" i="116"/>
  <c r="J3571" i="116"/>
  <c r="I3571" i="116"/>
  <c r="H3571" i="116"/>
  <c r="G3571" i="116"/>
  <c r="F3571" i="116"/>
  <c r="E3571" i="116"/>
  <c r="D3571" i="116"/>
  <c r="C3571" i="116"/>
  <c r="B3571" i="116"/>
  <c r="K3570" i="116"/>
  <c r="J3570" i="116"/>
  <c r="I3570" i="116"/>
  <c r="H3570" i="116"/>
  <c r="G3570" i="116"/>
  <c r="F3570" i="116"/>
  <c r="E3570" i="116"/>
  <c r="D3570" i="116"/>
  <c r="C3570" i="116"/>
  <c r="B3570" i="116"/>
  <c r="K3569" i="116"/>
  <c r="J3569" i="116"/>
  <c r="I3569" i="116"/>
  <c r="H3569" i="116"/>
  <c r="G3569" i="116"/>
  <c r="F3569" i="116"/>
  <c r="E3569" i="116"/>
  <c r="D3569" i="116"/>
  <c r="C3569" i="116"/>
  <c r="B3569" i="116"/>
  <c r="K3568" i="116"/>
  <c r="J3568" i="116"/>
  <c r="I3568" i="116"/>
  <c r="H3568" i="116"/>
  <c r="G3568" i="116"/>
  <c r="F3568" i="116"/>
  <c r="E3568" i="116"/>
  <c r="D3568" i="116"/>
  <c r="C3568" i="116"/>
  <c r="B3568" i="116"/>
  <c r="K3567" i="116"/>
  <c r="J3567" i="116"/>
  <c r="I3567" i="116"/>
  <c r="H3567" i="116"/>
  <c r="G3567" i="116"/>
  <c r="F3567" i="116"/>
  <c r="E3567" i="116"/>
  <c r="D3567" i="116"/>
  <c r="C3567" i="116"/>
  <c r="B3567" i="116"/>
  <c r="K3566" i="116"/>
  <c r="J3566" i="116"/>
  <c r="I3566" i="116"/>
  <c r="H3566" i="116"/>
  <c r="G3566" i="116"/>
  <c r="F3566" i="116"/>
  <c r="E3566" i="116"/>
  <c r="D3566" i="116"/>
  <c r="C3566" i="116"/>
  <c r="B3566" i="116"/>
  <c r="K3565" i="116"/>
  <c r="J3565" i="116"/>
  <c r="I3565" i="116"/>
  <c r="H3565" i="116"/>
  <c r="G3565" i="116"/>
  <c r="F3565" i="116"/>
  <c r="E3565" i="116"/>
  <c r="D3565" i="116"/>
  <c r="C3565" i="116"/>
  <c r="B3565" i="116"/>
  <c r="K3564" i="116"/>
  <c r="J3564" i="116"/>
  <c r="I3564" i="116"/>
  <c r="H3564" i="116"/>
  <c r="G3564" i="116"/>
  <c r="F3564" i="116"/>
  <c r="E3564" i="116"/>
  <c r="D3564" i="116"/>
  <c r="C3564" i="116"/>
  <c r="B3564" i="116"/>
  <c r="K3563" i="116"/>
  <c r="J3563" i="116"/>
  <c r="I3563" i="116"/>
  <c r="H3563" i="116"/>
  <c r="G3563" i="116"/>
  <c r="F3563" i="116"/>
  <c r="E3563" i="116"/>
  <c r="D3563" i="116"/>
  <c r="C3563" i="116"/>
  <c r="B3563" i="116"/>
  <c r="K3562" i="116"/>
  <c r="J3562" i="116"/>
  <c r="I3562" i="116"/>
  <c r="H3562" i="116"/>
  <c r="G3562" i="116"/>
  <c r="F3562" i="116"/>
  <c r="E3562" i="116"/>
  <c r="D3562" i="116"/>
  <c r="C3562" i="116"/>
  <c r="B3562" i="116"/>
  <c r="K3561" i="116"/>
  <c r="J3561" i="116"/>
  <c r="I3561" i="116"/>
  <c r="H3561" i="116"/>
  <c r="G3561" i="116"/>
  <c r="F3561" i="116"/>
  <c r="E3561" i="116"/>
  <c r="D3561" i="116"/>
  <c r="C3561" i="116"/>
  <c r="B3561" i="116"/>
  <c r="K3560" i="116"/>
  <c r="J3560" i="116"/>
  <c r="I3560" i="116"/>
  <c r="H3560" i="116"/>
  <c r="G3560" i="116"/>
  <c r="F3560" i="116"/>
  <c r="E3560" i="116"/>
  <c r="D3560" i="116"/>
  <c r="C3560" i="116"/>
  <c r="B3560" i="116"/>
  <c r="K3559" i="116"/>
  <c r="J3559" i="116"/>
  <c r="I3559" i="116"/>
  <c r="H3559" i="116"/>
  <c r="G3559" i="116"/>
  <c r="F3559" i="116"/>
  <c r="E3559" i="116"/>
  <c r="D3559" i="116"/>
  <c r="C3559" i="116"/>
  <c r="B3559" i="116"/>
  <c r="K3558" i="116"/>
  <c r="J3558" i="116"/>
  <c r="I3558" i="116"/>
  <c r="H3558" i="116"/>
  <c r="G3558" i="116"/>
  <c r="F3558" i="116"/>
  <c r="E3558" i="116"/>
  <c r="D3558" i="116"/>
  <c r="C3558" i="116"/>
  <c r="B3558" i="116"/>
  <c r="K3557" i="116"/>
  <c r="J3557" i="116"/>
  <c r="I3557" i="116"/>
  <c r="H3557" i="116"/>
  <c r="G3557" i="116"/>
  <c r="F3557" i="116"/>
  <c r="E3557" i="116"/>
  <c r="D3557" i="116"/>
  <c r="C3557" i="116"/>
  <c r="B3557" i="116"/>
  <c r="K3556" i="116"/>
  <c r="J3556" i="116"/>
  <c r="I3556" i="116"/>
  <c r="H3556" i="116"/>
  <c r="G3556" i="116"/>
  <c r="F3556" i="116"/>
  <c r="E3556" i="116"/>
  <c r="D3556" i="116"/>
  <c r="C3556" i="116"/>
  <c r="B3556" i="116"/>
  <c r="K3555" i="116"/>
  <c r="J3555" i="116"/>
  <c r="I3555" i="116"/>
  <c r="H3555" i="116"/>
  <c r="G3555" i="116"/>
  <c r="F3555" i="116"/>
  <c r="E3555" i="116"/>
  <c r="D3555" i="116"/>
  <c r="C3555" i="116"/>
  <c r="B3555" i="116"/>
  <c r="K3554" i="116"/>
  <c r="J3554" i="116"/>
  <c r="I3554" i="116"/>
  <c r="H3554" i="116"/>
  <c r="G3554" i="116"/>
  <c r="F3554" i="116"/>
  <c r="E3554" i="116"/>
  <c r="D3554" i="116"/>
  <c r="C3554" i="116"/>
  <c r="B3554" i="116"/>
  <c r="K3553" i="116"/>
  <c r="J3553" i="116"/>
  <c r="I3553" i="116"/>
  <c r="H3553" i="116"/>
  <c r="G3553" i="116"/>
  <c r="F3553" i="116"/>
  <c r="E3553" i="116"/>
  <c r="D3553" i="116"/>
  <c r="C3553" i="116"/>
  <c r="B3553" i="116"/>
  <c r="K3552" i="116"/>
  <c r="J3552" i="116"/>
  <c r="I3552" i="116"/>
  <c r="H3552" i="116"/>
  <c r="G3552" i="116"/>
  <c r="F3552" i="116"/>
  <c r="E3552" i="116"/>
  <c r="D3552" i="116"/>
  <c r="C3552" i="116"/>
  <c r="B3552" i="116"/>
  <c r="K3551" i="116"/>
  <c r="J3551" i="116"/>
  <c r="I3551" i="116"/>
  <c r="H3551" i="116"/>
  <c r="G3551" i="116"/>
  <c r="F3551" i="116"/>
  <c r="E3551" i="116"/>
  <c r="D3551" i="116"/>
  <c r="C3551" i="116"/>
  <c r="B3551" i="116"/>
  <c r="K3550" i="116"/>
  <c r="J3550" i="116"/>
  <c r="I3550" i="116"/>
  <c r="H3550" i="116"/>
  <c r="G3550" i="116"/>
  <c r="F3550" i="116"/>
  <c r="E3550" i="116"/>
  <c r="D3550" i="116"/>
  <c r="C3550" i="116"/>
  <c r="B3550" i="116"/>
  <c r="K3549" i="116"/>
  <c r="J3549" i="116"/>
  <c r="I3549" i="116"/>
  <c r="H3549" i="116"/>
  <c r="G3549" i="116"/>
  <c r="F3549" i="116"/>
  <c r="E3549" i="116"/>
  <c r="D3549" i="116"/>
  <c r="C3549" i="116"/>
  <c r="B3549" i="116"/>
  <c r="K3548" i="116"/>
  <c r="J3548" i="116"/>
  <c r="I3548" i="116"/>
  <c r="H3548" i="116"/>
  <c r="G3548" i="116"/>
  <c r="F3548" i="116"/>
  <c r="E3548" i="116"/>
  <c r="D3548" i="116"/>
  <c r="C3548" i="116"/>
  <c r="B3548" i="116"/>
  <c r="K3547" i="116"/>
  <c r="J3547" i="116"/>
  <c r="I3547" i="116"/>
  <c r="H3547" i="116"/>
  <c r="G3547" i="116"/>
  <c r="F3547" i="116"/>
  <c r="E3547" i="116"/>
  <c r="D3547" i="116"/>
  <c r="C3547" i="116"/>
  <c r="B3547" i="116"/>
  <c r="K3546" i="116"/>
  <c r="J3546" i="116"/>
  <c r="I3546" i="116"/>
  <c r="H3546" i="116"/>
  <c r="G3546" i="116"/>
  <c r="F3546" i="116"/>
  <c r="E3546" i="116"/>
  <c r="D3546" i="116"/>
  <c r="C3546" i="116"/>
  <c r="B3546" i="116"/>
  <c r="K3545" i="116"/>
  <c r="J3545" i="116"/>
  <c r="I3545" i="116"/>
  <c r="H3545" i="116"/>
  <c r="G3545" i="116"/>
  <c r="F3545" i="116"/>
  <c r="E3545" i="116"/>
  <c r="D3545" i="116"/>
  <c r="C3545" i="116"/>
  <c r="B3545" i="116"/>
  <c r="K3544" i="116"/>
  <c r="J3544" i="116"/>
  <c r="I3544" i="116"/>
  <c r="H3544" i="116"/>
  <c r="G3544" i="116"/>
  <c r="F3544" i="116"/>
  <c r="E3544" i="116"/>
  <c r="D3544" i="116"/>
  <c r="C3544" i="116"/>
  <c r="B3544" i="116"/>
  <c r="K3543" i="116"/>
  <c r="J3543" i="116"/>
  <c r="I3543" i="116"/>
  <c r="H3543" i="116"/>
  <c r="G3543" i="116"/>
  <c r="F3543" i="116"/>
  <c r="E3543" i="116"/>
  <c r="D3543" i="116"/>
  <c r="C3543" i="116"/>
  <c r="B3543" i="116"/>
  <c r="K3542" i="116"/>
  <c r="J3542" i="116"/>
  <c r="I3542" i="116"/>
  <c r="H3542" i="116"/>
  <c r="G3542" i="116"/>
  <c r="F3542" i="116"/>
  <c r="E3542" i="116"/>
  <c r="D3542" i="116"/>
  <c r="C3542" i="116"/>
  <c r="B3542" i="116"/>
  <c r="K3541" i="116"/>
  <c r="J3541" i="116"/>
  <c r="I3541" i="116"/>
  <c r="H3541" i="116"/>
  <c r="G3541" i="116"/>
  <c r="F3541" i="116"/>
  <c r="E3541" i="116"/>
  <c r="D3541" i="116"/>
  <c r="C3541" i="116"/>
  <c r="B3541" i="116"/>
  <c r="K3540" i="116"/>
  <c r="J3540" i="116"/>
  <c r="I3540" i="116"/>
  <c r="H3540" i="116"/>
  <c r="G3540" i="116"/>
  <c r="F3540" i="116"/>
  <c r="E3540" i="116"/>
  <c r="D3540" i="116"/>
  <c r="C3540" i="116"/>
  <c r="B3540" i="116"/>
  <c r="K3539" i="116"/>
  <c r="J3539" i="116"/>
  <c r="I3539" i="116"/>
  <c r="H3539" i="116"/>
  <c r="G3539" i="116"/>
  <c r="F3539" i="116"/>
  <c r="E3539" i="116"/>
  <c r="D3539" i="116"/>
  <c r="C3539" i="116"/>
  <c r="B3539" i="116"/>
  <c r="K3538" i="116"/>
  <c r="J3538" i="116"/>
  <c r="I3538" i="116"/>
  <c r="H3538" i="116"/>
  <c r="G3538" i="116"/>
  <c r="F3538" i="116"/>
  <c r="E3538" i="116"/>
  <c r="D3538" i="116"/>
  <c r="C3538" i="116"/>
  <c r="B3538" i="116"/>
  <c r="K3537" i="116"/>
  <c r="J3537" i="116"/>
  <c r="I3537" i="116"/>
  <c r="H3537" i="116"/>
  <c r="G3537" i="116"/>
  <c r="F3537" i="116"/>
  <c r="E3537" i="116"/>
  <c r="D3537" i="116"/>
  <c r="C3537" i="116"/>
  <c r="B3537" i="116"/>
  <c r="K3536" i="116"/>
  <c r="J3536" i="116"/>
  <c r="I3536" i="116"/>
  <c r="H3536" i="116"/>
  <c r="G3536" i="116"/>
  <c r="F3536" i="116"/>
  <c r="E3536" i="116"/>
  <c r="D3536" i="116"/>
  <c r="C3536" i="116"/>
  <c r="B3536" i="116"/>
  <c r="K3535" i="116"/>
  <c r="J3535" i="116"/>
  <c r="I3535" i="116"/>
  <c r="H3535" i="116"/>
  <c r="G3535" i="116"/>
  <c r="F3535" i="116"/>
  <c r="E3535" i="116"/>
  <c r="D3535" i="116"/>
  <c r="C3535" i="116"/>
  <c r="B3535" i="116"/>
  <c r="K3534" i="116"/>
  <c r="J3534" i="116"/>
  <c r="I3534" i="116"/>
  <c r="H3534" i="116"/>
  <c r="G3534" i="116"/>
  <c r="F3534" i="116"/>
  <c r="E3534" i="116"/>
  <c r="D3534" i="116"/>
  <c r="C3534" i="116"/>
  <c r="B3534" i="116"/>
  <c r="K3533" i="116"/>
  <c r="J3533" i="116"/>
  <c r="I3533" i="116"/>
  <c r="H3533" i="116"/>
  <c r="G3533" i="116"/>
  <c r="F3533" i="116"/>
  <c r="E3533" i="116"/>
  <c r="D3533" i="116"/>
  <c r="C3533" i="116"/>
  <c r="B3533" i="116"/>
  <c r="K3532" i="116"/>
  <c r="J3532" i="116"/>
  <c r="I3532" i="116"/>
  <c r="H3532" i="116"/>
  <c r="G3532" i="116"/>
  <c r="F3532" i="116"/>
  <c r="E3532" i="116"/>
  <c r="D3532" i="116"/>
  <c r="C3532" i="116"/>
  <c r="B3532" i="116"/>
  <c r="K3531" i="116"/>
  <c r="J3531" i="116"/>
  <c r="I3531" i="116"/>
  <c r="H3531" i="116"/>
  <c r="G3531" i="116"/>
  <c r="F3531" i="116"/>
  <c r="E3531" i="116"/>
  <c r="D3531" i="116"/>
  <c r="C3531" i="116"/>
  <c r="B3531" i="116"/>
  <c r="K3530" i="116"/>
  <c r="J3530" i="116"/>
  <c r="I3530" i="116"/>
  <c r="H3530" i="116"/>
  <c r="G3530" i="116"/>
  <c r="F3530" i="116"/>
  <c r="E3530" i="116"/>
  <c r="D3530" i="116"/>
  <c r="C3530" i="116"/>
  <c r="B3530" i="116"/>
  <c r="K3529" i="116"/>
  <c r="J3529" i="116"/>
  <c r="I3529" i="116"/>
  <c r="H3529" i="116"/>
  <c r="G3529" i="116"/>
  <c r="F3529" i="116"/>
  <c r="E3529" i="116"/>
  <c r="D3529" i="116"/>
  <c r="C3529" i="116"/>
  <c r="B3529" i="116"/>
  <c r="K3528" i="116"/>
  <c r="J3528" i="116"/>
  <c r="I3528" i="116"/>
  <c r="H3528" i="116"/>
  <c r="G3528" i="116"/>
  <c r="F3528" i="116"/>
  <c r="E3528" i="116"/>
  <c r="D3528" i="116"/>
  <c r="C3528" i="116"/>
  <c r="B3528" i="116"/>
  <c r="K3527" i="116"/>
  <c r="J3527" i="116"/>
  <c r="I3527" i="116"/>
  <c r="H3527" i="116"/>
  <c r="G3527" i="116"/>
  <c r="F3527" i="116"/>
  <c r="E3527" i="116"/>
  <c r="D3527" i="116"/>
  <c r="C3527" i="116"/>
  <c r="B3527" i="116"/>
  <c r="K3526" i="116"/>
  <c r="J3526" i="116"/>
  <c r="I3526" i="116"/>
  <c r="H3526" i="116"/>
  <c r="G3526" i="116"/>
  <c r="F3526" i="116"/>
  <c r="E3526" i="116"/>
  <c r="D3526" i="116"/>
  <c r="C3526" i="116"/>
  <c r="B3526" i="116"/>
  <c r="K3525" i="116"/>
  <c r="J3525" i="116"/>
  <c r="I3525" i="116"/>
  <c r="H3525" i="116"/>
  <c r="G3525" i="116"/>
  <c r="F3525" i="116"/>
  <c r="E3525" i="116"/>
  <c r="D3525" i="116"/>
  <c r="C3525" i="116"/>
  <c r="B3525" i="116"/>
  <c r="K3524" i="116"/>
  <c r="J3524" i="116"/>
  <c r="I3524" i="116"/>
  <c r="H3524" i="116"/>
  <c r="G3524" i="116"/>
  <c r="F3524" i="116"/>
  <c r="E3524" i="116"/>
  <c r="D3524" i="116"/>
  <c r="C3524" i="116"/>
  <c r="B3524" i="116"/>
  <c r="K3523" i="116"/>
  <c r="J3523" i="116"/>
  <c r="I3523" i="116"/>
  <c r="H3523" i="116"/>
  <c r="G3523" i="116"/>
  <c r="F3523" i="116"/>
  <c r="E3523" i="116"/>
  <c r="D3523" i="116"/>
  <c r="C3523" i="116"/>
  <c r="B3523" i="116"/>
  <c r="K3522" i="116"/>
  <c r="J3522" i="116"/>
  <c r="I3522" i="116"/>
  <c r="H3522" i="116"/>
  <c r="G3522" i="116"/>
  <c r="F3522" i="116"/>
  <c r="E3522" i="116"/>
  <c r="D3522" i="116"/>
  <c r="C3522" i="116"/>
  <c r="B3522" i="116"/>
  <c r="K3521" i="116"/>
  <c r="J3521" i="116"/>
  <c r="I3521" i="116"/>
  <c r="H3521" i="116"/>
  <c r="G3521" i="116"/>
  <c r="F3521" i="116"/>
  <c r="E3521" i="116"/>
  <c r="D3521" i="116"/>
  <c r="C3521" i="116"/>
  <c r="B3521" i="116"/>
  <c r="K3520" i="116"/>
  <c r="J3520" i="116"/>
  <c r="I3520" i="116"/>
  <c r="H3520" i="116"/>
  <c r="G3520" i="116"/>
  <c r="F3520" i="116"/>
  <c r="E3520" i="116"/>
  <c r="D3520" i="116"/>
  <c r="C3520" i="116"/>
  <c r="B3520" i="116"/>
  <c r="K3519" i="116"/>
  <c r="J3519" i="116"/>
  <c r="I3519" i="116"/>
  <c r="H3519" i="116"/>
  <c r="G3519" i="116"/>
  <c r="F3519" i="116"/>
  <c r="E3519" i="116"/>
  <c r="D3519" i="116"/>
  <c r="C3519" i="116"/>
  <c r="B3519" i="116"/>
  <c r="K3518" i="116"/>
  <c r="J3518" i="116"/>
  <c r="I3518" i="116"/>
  <c r="H3518" i="116"/>
  <c r="G3518" i="116"/>
  <c r="F3518" i="116"/>
  <c r="E3518" i="116"/>
  <c r="D3518" i="116"/>
  <c r="C3518" i="116"/>
  <c r="B3518" i="116"/>
  <c r="K3517" i="116"/>
  <c r="J3517" i="116"/>
  <c r="I3517" i="116"/>
  <c r="H3517" i="116"/>
  <c r="G3517" i="116"/>
  <c r="F3517" i="116"/>
  <c r="E3517" i="116"/>
  <c r="D3517" i="116"/>
  <c r="C3517" i="116"/>
  <c r="B3517" i="116"/>
  <c r="K3516" i="116"/>
  <c r="J3516" i="116"/>
  <c r="I3516" i="116"/>
  <c r="H3516" i="116"/>
  <c r="G3516" i="116"/>
  <c r="F3516" i="116"/>
  <c r="E3516" i="116"/>
  <c r="D3516" i="116"/>
  <c r="C3516" i="116"/>
  <c r="B3516" i="116"/>
  <c r="K3515" i="116"/>
  <c r="J3515" i="116"/>
  <c r="I3515" i="116"/>
  <c r="H3515" i="116"/>
  <c r="G3515" i="116"/>
  <c r="F3515" i="116"/>
  <c r="E3515" i="116"/>
  <c r="D3515" i="116"/>
  <c r="C3515" i="116"/>
  <c r="B3515" i="116"/>
  <c r="K3514" i="116"/>
  <c r="J3514" i="116"/>
  <c r="I3514" i="116"/>
  <c r="H3514" i="116"/>
  <c r="G3514" i="116"/>
  <c r="F3514" i="116"/>
  <c r="E3514" i="116"/>
  <c r="D3514" i="116"/>
  <c r="C3514" i="116"/>
  <c r="B3514" i="116"/>
  <c r="K3513" i="116"/>
  <c r="J3513" i="116"/>
  <c r="I3513" i="116"/>
  <c r="H3513" i="116"/>
  <c r="G3513" i="116"/>
  <c r="F3513" i="116"/>
  <c r="E3513" i="116"/>
  <c r="D3513" i="116"/>
  <c r="C3513" i="116"/>
  <c r="B3513" i="116"/>
  <c r="K3512" i="116"/>
  <c r="J3512" i="116"/>
  <c r="I3512" i="116"/>
  <c r="H3512" i="116"/>
  <c r="G3512" i="116"/>
  <c r="F3512" i="116"/>
  <c r="E3512" i="116"/>
  <c r="D3512" i="116"/>
  <c r="C3512" i="116"/>
  <c r="B3512" i="116"/>
  <c r="K3511" i="116"/>
  <c r="J3511" i="116"/>
  <c r="I3511" i="116"/>
  <c r="H3511" i="116"/>
  <c r="G3511" i="116"/>
  <c r="F3511" i="116"/>
  <c r="E3511" i="116"/>
  <c r="D3511" i="116"/>
  <c r="C3511" i="116"/>
  <c r="B3511" i="116"/>
  <c r="K3510" i="116"/>
  <c r="J3510" i="116"/>
  <c r="I3510" i="116"/>
  <c r="H3510" i="116"/>
  <c r="G3510" i="116"/>
  <c r="F3510" i="116"/>
  <c r="E3510" i="116"/>
  <c r="D3510" i="116"/>
  <c r="C3510" i="116"/>
  <c r="B3510" i="116"/>
  <c r="K3509" i="116"/>
  <c r="J3509" i="116"/>
  <c r="I3509" i="116"/>
  <c r="H3509" i="116"/>
  <c r="G3509" i="116"/>
  <c r="F3509" i="116"/>
  <c r="E3509" i="116"/>
  <c r="D3509" i="116"/>
  <c r="C3509" i="116"/>
  <c r="B3509" i="116"/>
  <c r="K3508" i="116"/>
  <c r="J3508" i="116"/>
  <c r="I3508" i="116"/>
  <c r="H3508" i="116"/>
  <c r="G3508" i="116"/>
  <c r="F3508" i="116"/>
  <c r="E3508" i="116"/>
  <c r="D3508" i="116"/>
  <c r="C3508" i="116"/>
  <c r="B3508" i="116"/>
  <c r="K3507" i="116"/>
  <c r="J3507" i="116"/>
  <c r="I3507" i="116"/>
  <c r="H3507" i="116"/>
  <c r="G3507" i="116"/>
  <c r="F3507" i="116"/>
  <c r="E3507" i="116"/>
  <c r="D3507" i="116"/>
  <c r="C3507" i="116"/>
  <c r="B3507" i="116"/>
  <c r="K3506" i="116"/>
  <c r="J3506" i="116"/>
  <c r="I3506" i="116"/>
  <c r="H3506" i="116"/>
  <c r="G3506" i="116"/>
  <c r="F3506" i="116"/>
  <c r="E3506" i="116"/>
  <c r="D3506" i="116"/>
  <c r="C3506" i="116"/>
  <c r="B3506" i="116"/>
  <c r="K3505" i="116"/>
  <c r="J3505" i="116"/>
  <c r="I3505" i="116"/>
  <c r="H3505" i="116"/>
  <c r="G3505" i="116"/>
  <c r="F3505" i="116"/>
  <c r="E3505" i="116"/>
  <c r="D3505" i="116"/>
  <c r="C3505" i="116"/>
  <c r="B3505" i="116"/>
  <c r="K3504" i="116"/>
  <c r="J3504" i="116"/>
  <c r="I3504" i="116"/>
  <c r="H3504" i="116"/>
  <c r="G3504" i="116"/>
  <c r="F3504" i="116"/>
  <c r="E3504" i="116"/>
  <c r="D3504" i="116"/>
  <c r="C3504" i="116"/>
  <c r="B3504" i="116"/>
  <c r="K3503" i="116"/>
  <c r="J3503" i="116"/>
  <c r="I3503" i="116"/>
  <c r="H3503" i="116"/>
  <c r="G3503" i="116"/>
  <c r="F3503" i="116"/>
  <c r="E3503" i="116"/>
  <c r="D3503" i="116"/>
  <c r="C3503" i="116"/>
  <c r="B3503" i="116"/>
  <c r="K3502" i="116"/>
  <c r="J3502" i="116"/>
  <c r="I3502" i="116"/>
  <c r="H3502" i="116"/>
  <c r="G3502" i="116"/>
  <c r="F3502" i="116"/>
  <c r="E3502" i="116"/>
  <c r="D3502" i="116"/>
  <c r="C3502" i="116"/>
  <c r="B3502" i="116"/>
  <c r="K3501" i="116"/>
  <c r="J3501" i="116"/>
  <c r="I3501" i="116"/>
  <c r="H3501" i="116"/>
  <c r="G3501" i="116"/>
  <c r="F3501" i="116"/>
  <c r="E3501" i="116"/>
  <c r="D3501" i="116"/>
  <c r="C3501" i="116"/>
  <c r="B3501" i="116"/>
  <c r="K3500" i="116"/>
  <c r="J3500" i="116"/>
  <c r="I3500" i="116"/>
  <c r="H3500" i="116"/>
  <c r="G3500" i="116"/>
  <c r="F3500" i="116"/>
  <c r="E3500" i="116"/>
  <c r="D3500" i="116"/>
  <c r="C3500" i="116"/>
  <c r="B3500" i="116"/>
  <c r="K3499" i="116"/>
  <c r="J3499" i="116"/>
  <c r="I3499" i="116"/>
  <c r="H3499" i="116"/>
  <c r="G3499" i="116"/>
  <c r="F3499" i="116"/>
  <c r="E3499" i="116"/>
  <c r="D3499" i="116"/>
  <c r="C3499" i="116"/>
  <c r="B3499" i="116"/>
  <c r="K3498" i="116"/>
  <c r="J3498" i="116"/>
  <c r="I3498" i="116"/>
  <c r="H3498" i="116"/>
  <c r="G3498" i="116"/>
  <c r="F3498" i="116"/>
  <c r="E3498" i="116"/>
  <c r="D3498" i="116"/>
  <c r="C3498" i="116"/>
  <c r="B3498" i="116"/>
  <c r="K3497" i="116"/>
  <c r="J3497" i="116"/>
  <c r="I3497" i="116"/>
  <c r="H3497" i="116"/>
  <c r="G3497" i="116"/>
  <c r="F3497" i="116"/>
  <c r="E3497" i="116"/>
  <c r="D3497" i="116"/>
  <c r="C3497" i="116"/>
  <c r="B3497" i="116"/>
  <c r="K3496" i="116"/>
  <c r="J3496" i="116"/>
  <c r="I3496" i="116"/>
  <c r="H3496" i="116"/>
  <c r="G3496" i="116"/>
  <c r="F3496" i="116"/>
  <c r="E3496" i="116"/>
  <c r="D3496" i="116"/>
  <c r="C3496" i="116"/>
  <c r="B3496" i="116"/>
  <c r="K3495" i="116"/>
  <c r="J3495" i="116"/>
  <c r="I3495" i="116"/>
  <c r="H3495" i="116"/>
  <c r="G3495" i="116"/>
  <c r="F3495" i="116"/>
  <c r="E3495" i="116"/>
  <c r="D3495" i="116"/>
  <c r="C3495" i="116"/>
  <c r="B3495" i="116"/>
  <c r="K3494" i="116"/>
  <c r="J3494" i="116"/>
  <c r="I3494" i="116"/>
  <c r="H3494" i="116"/>
  <c r="G3494" i="116"/>
  <c r="F3494" i="116"/>
  <c r="E3494" i="116"/>
  <c r="D3494" i="116"/>
  <c r="C3494" i="116"/>
  <c r="B3494" i="116"/>
  <c r="K3493" i="116"/>
  <c r="J3493" i="116"/>
  <c r="I3493" i="116"/>
  <c r="H3493" i="116"/>
  <c r="G3493" i="116"/>
  <c r="F3493" i="116"/>
  <c r="E3493" i="116"/>
  <c r="D3493" i="116"/>
  <c r="C3493" i="116"/>
  <c r="B3493" i="116"/>
  <c r="K3492" i="116"/>
  <c r="J3492" i="116"/>
  <c r="I3492" i="116"/>
  <c r="H3492" i="116"/>
  <c r="G3492" i="116"/>
  <c r="F3492" i="116"/>
  <c r="E3492" i="116"/>
  <c r="D3492" i="116"/>
  <c r="C3492" i="116"/>
  <c r="B3492" i="116"/>
  <c r="K3491" i="116"/>
  <c r="J3491" i="116"/>
  <c r="I3491" i="116"/>
  <c r="H3491" i="116"/>
  <c r="G3491" i="116"/>
  <c r="F3491" i="116"/>
  <c r="E3491" i="116"/>
  <c r="D3491" i="116"/>
  <c r="C3491" i="116"/>
  <c r="B3491" i="116"/>
  <c r="K3490" i="116"/>
  <c r="J3490" i="116"/>
  <c r="I3490" i="116"/>
  <c r="H3490" i="116"/>
  <c r="G3490" i="116"/>
  <c r="F3490" i="116"/>
  <c r="E3490" i="116"/>
  <c r="D3490" i="116"/>
  <c r="C3490" i="116"/>
  <c r="B3490" i="116"/>
  <c r="K3489" i="116"/>
  <c r="J3489" i="116"/>
  <c r="I3489" i="116"/>
  <c r="H3489" i="116"/>
  <c r="G3489" i="116"/>
  <c r="F3489" i="116"/>
  <c r="E3489" i="116"/>
  <c r="D3489" i="116"/>
  <c r="C3489" i="116"/>
  <c r="B3489" i="116"/>
  <c r="K3488" i="116"/>
  <c r="J3488" i="116"/>
  <c r="I3488" i="116"/>
  <c r="H3488" i="116"/>
  <c r="G3488" i="116"/>
  <c r="F3488" i="116"/>
  <c r="E3488" i="116"/>
  <c r="D3488" i="116"/>
  <c r="C3488" i="116"/>
  <c r="B3488" i="116"/>
  <c r="K3487" i="116"/>
  <c r="J3487" i="116"/>
  <c r="I3487" i="116"/>
  <c r="H3487" i="116"/>
  <c r="G3487" i="116"/>
  <c r="F3487" i="116"/>
  <c r="E3487" i="116"/>
  <c r="D3487" i="116"/>
  <c r="C3487" i="116"/>
  <c r="B3487" i="116"/>
  <c r="K3486" i="116"/>
  <c r="J3486" i="116"/>
  <c r="I3486" i="116"/>
  <c r="H3486" i="116"/>
  <c r="G3486" i="116"/>
  <c r="F3486" i="116"/>
  <c r="E3486" i="116"/>
  <c r="D3486" i="116"/>
  <c r="C3486" i="116"/>
  <c r="B3486" i="116"/>
  <c r="K3485" i="116"/>
  <c r="J3485" i="116"/>
  <c r="I3485" i="116"/>
  <c r="H3485" i="116"/>
  <c r="G3485" i="116"/>
  <c r="F3485" i="116"/>
  <c r="E3485" i="116"/>
  <c r="D3485" i="116"/>
  <c r="C3485" i="116"/>
  <c r="B3485" i="116"/>
  <c r="K3484" i="116"/>
  <c r="J3484" i="116"/>
  <c r="I3484" i="116"/>
  <c r="H3484" i="116"/>
  <c r="G3484" i="116"/>
  <c r="F3484" i="116"/>
  <c r="E3484" i="116"/>
  <c r="D3484" i="116"/>
  <c r="C3484" i="116"/>
  <c r="B3484" i="116"/>
  <c r="K3483" i="116"/>
  <c r="J3483" i="116"/>
  <c r="I3483" i="116"/>
  <c r="H3483" i="116"/>
  <c r="G3483" i="116"/>
  <c r="F3483" i="116"/>
  <c r="E3483" i="116"/>
  <c r="D3483" i="116"/>
  <c r="C3483" i="116"/>
  <c r="B3483" i="116"/>
  <c r="K3482" i="116"/>
  <c r="J3482" i="116"/>
  <c r="I3482" i="116"/>
  <c r="H3482" i="116"/>
  <c r="G3482" i="116"/>
  <c r="F3482" i="116"/>
  <c r="E3482" i="116"/>
  <c r="D3482" i="116"/>
  <c r="C3482" i="116"/>
  <c r="B3482" i="116"/>
  <c r="K3481" i="116"/>
  <c r="J3481" i="116"/>
  <c r="I3481" i="116"/>
  <c r="H3481" i="116"/>
  <c r="G3481" i="116"/>
  <c r="F3481" i="116"/>
  <c r="E3481" i="116"/>
  <c r="D3481" i="116"/>
  <c r="C3481" i="116"/>
  <c r="B3481" i="116"/>
  <c r="K3480" i="116"/>
  <c r="J3480" i="116"/>
  <c r="I3480" i="116"/>
  <c r="H3480" i="116"/>
  <c r="G3480" i="116"/>
  <c r="F3480" i="116"/>
  <c r="E3480" i="116"/>
  <c r="D3480" i="116"/>
  <c r="C3480" i="116"/>
  <c r="B3480" i="116"/>
  <c r="K3479" i="116"/>
  <c r="J3479" i="116"/>
  <c r="I3479" i="116"/>
  <c r="H3479" i="116"/>
  <c r="G3479" i="116"/>
  <c r="F3479" i="116"/>
  <c r="E3479" i="116"/>
  <c r="D3479" i="116"/>
  <c r="C3479" i="116"/>
  <c r="B3479" i="116"/>
  <c r="K3478" i="116"/>
  <c r="J3478" i="116"/>
  <c r="I3478" i="116"/>
  <c r="H3478" i="116"/>
  <c r="G3478" i="116"/>
  <c r="F3478" i="116"/>
  <c r="E3478" i="116"/>
  <c r="D3478" i="116"/>
  <c r="C3478" i="116"/>
  <c r="B3478" i="116"/>
  <c r="K3477" i="116"/>
  <c r="J3477" i="116"/>
  <c r="I3477" i="116"/>
  <c r="H3477" i="116"/>
  <c r="G3477" i="116"/>
  <c r="F3477" i="116"/>
  <c r="E3477" i="116"/>
  <c r="D3477" i="116"/>
  <c r="C3477" i="116"/>
  <c r="B3477" i="116"/>
  <c r="K3476" i="116"/>
  <c r="J3476" i="116"/>
  <c r="I3476" i="116"/>
  <c r="H3476" i="116"/>
  <c r="G3476" i="116"/>
  <c r="F3476" i="116"/>
  <c r="E3476" i="116"/>
  <c r="D3476" i="116"/>
  <c r="C3476" i="116"/>
  <c r="B3476" i="116"/>
  <c r="K3475" i="116"/>
  <c r="J3475" i="116"/>
  <c r="I3475" i="116"/>
  <c r="H3475" i="116"/>
  <c r="G3475" i="116"/>
  <c r="F3475" i="116"/>
  <c r="E3475" i="116"/>
  <c r="D3475" i="116"/>
  <c r="C3475" i="116"/>
  <c r="B3475" i="116"/>
  <c r="K3474" i="116"/>
  <c r="J3474" i="116"/>
  <c r="I3474" i="116"/>
  <c r="H3474" i="116"/>
  <c r="G3474" i="116"/>
  <c r="F3474" i="116"/>
  <c r="E3474" i="116"/>
  <c r="D3474" i="116"/>
  <c r="C3474" i="116"/>
  <c r="B3474" i="116"/>
  <c r="K3473" i="116"/>
  <c r="J3473" i="116"/>
  <c r="I3473" i="116"/>
  <c r="H3473" i="116"/>
  <c r="G3473" i="116"/>
  <c r="F3473" i="116"/>
  <c r="E3473" i="116"/>
  <c r="D3473" i="116"/>
  <c r="C3473" i="116"/>
  <c r="B3473" i="116"/>
  <c r="K3472" i="116"/>
  <c r="J3472" i="116"/>
  <c r="I3472" i="116"/>
  <c r="H3472" i="116"/>
  <c r="G3472" i="116"/>
  <c r="F3472" i="116"/>
  <c r="E3472" i="116"/>
  <c r="D3472" i="116"/>
  <c r="C3472" i="116"/>
  <c r="B3472" i="116"/>
  <c r="K3471" i="116"/>
  <c r="J3471" i="116"/>
  <c r="I3471" i="116"/>
  <c r="H3471" i="116"/>
  <c r="G3471" i="116"/>
  <c r="F3471" i="116"/>
  <c r="E3471" i="116"/>
  <c r="D3471" i="116"/>
  <c r="C3471" i="116"/>
  <c r="B3471" i="116"/>
  <c r="K3470" i="116"/>
  <c r="J3470" i="116"/>
  <c r="I3470" i="116"/>
  <c r="H3470" i="116"/>
  <c r="G3470" i="116"/>
  <c r="F3470" i="116"/>
  <c r="E3470" i="116"/>
  <c r="D3470" i="116"/>
  <c r="C3470" i="116"/>
  <c r="B3470" i="116"/>
  <c r="K3469" i="116"/>
  <c r="J3469" i="116"/>
  <c r="I3469" i="116"/>
  <c r="H3469" i="116"/>
  <c r="G3469" i="116"/>
  <c r="F3469" i="116"/>
  <c r="E3469" i="116"/>
  <c r="D3469" i="116"/>
  <c r="C3469" i="116"/>
  <c r="B3469" i="116"/>
  <c r="K3468" i="116"/>
  <c r="J3468" i="116"/>
  <c r="I3468" i="116"/>
  <c r="H3468" i="116"/>
  <c r="G3468" i="116"/>
  <c r="F3468" i="116"/>
  <c r="E3468" i="116"/>
  <c r="D3468" i="116"/>
  <c r="C3468" i="116"/>
  <c r="B3468" i="116"/>
  <c r="K3467" i="116"/>
  <c r="J3467" i="116"/>
  <c r="I3467" i="116"/>
  <c r="H3467" i="116"/>
  <c r="G3467" i="116"/>
  <c r="F3467" i="116"/>
  <c r="E3467" i="116"/>
  <c r="D3467" i="116"/>
  <c r="C3467" i="116"/>
  <c r="B3467" i="116"/>
  <c r="K3466" i="116"/>
  <c r="J3466" i="116"/>
  <c r="I3466" i="116"/>
  <c r="H3466" i="116"/>
  <c r="G3466" i="116"/>
  <c r="F3466" i="116"/>
  <c r="E3466" i="116"/>
  <c r="D3466" i="116"/>
  <c r="C3466" i="116"/>
  <c r="B3466" i="116"/>
  <c r="K3465" i="116"/>
  <c r="J3465" i="116"/>
  <c r="I3465" i="116"/>
  <c r="H3465" i="116"/>
  <c r="G3465" i="116"/>
  <c r="F3465" i="116"/>
  <c r="E3465" i="116"/>
  <c r="D3465" i="116"/>
  <c r="C3465" i="116"/>
  <c r="B3465" i="116"/>
  <c r="K3464" i="116"/>
  <c r="J3464" i="116"/>
  <c r="I3464" i="116"/>
  <c r="H3464" i="116"/>
  <c r="G3464" i="116"/>
  <c r="F3464" i="116"/>
  <c r="E3464" i="116"/>
  <c r="D3464" i="116"/>
  <c r="C3464" i="116"/>
  <c r="B3464" i="116"/>
  <c r="K3463" i="116"/>
  <c r="J3463" i="116"/>
  <c r="I3463" i="116"/>
  <c r="H3463" i="116"/>
  <c r="G3463" i="116"/>
  <c r="F3463" i="116"/>
  <c r="E3463" i="116"/>
  <c r="D3463" i="116"/>
  <c r="C3463" i="116"/>
  <c r="B3463" i="116"/>
  <c r="K3462" i="116"/>
  <c r="J3462" i="116"/>
  <c r="I3462" i="116"/>
  <c r="H3462" i="116"/>
  <c r="G3462" i="116"/>
  <c r="F3462" i="116"/>
  <c r="E3462" i="116"/>
  <c r="D3462" i="116"/>
  <c r="C3462" i="116"/>
  <c r="B3462" i="116"/>
  <c r="K3461" i="116"/>
  <c r="J3461" i="116"/>
  <c r="I3461" i="116"/>
  <c r="H3461" i="116"/>
  <c r="G3461" i="116"/>
  <c r="F3461" i="116"/>
  <c r="E3461" i="116"/>
  <c r="D3461" i="116"/>
  <c r="C3461" i="116"/>
  <c r="B3461" i="116"/>
  <c r="K3460" i="116"/>
  <c r="J3460" i="116"/>
  <c r="I3460" i="116"/>
  <c r="H3460" i="116"/>
  <c r="G3460" i="116"/>
  <c r="F3460" i="116"/>
  <c r="E3460" i="116"/>
  <c r="D3460" i="116"/>
  <c r="C3460" i="116"/>
  <c r="B3460" i="116"/>
  <c r="K3459" i="116"/>
  <c r="J3459" i="116"/>
  <c r="I3459" i="116"/>
  <c r="H3459" i="116"/>
  <c r="G3459" i="116"/>
  <c r="F3459" i="116"/>
  <c r="E3459" i="116"/>
  <c r="D3459" i="116"/>
  <c r="C3459" i="116"/>
  <c r="B3459" i="116"/>
  <c r="K3458" i="116"/>
  <c r="J3458" i="116"/>
  <c r="I3458" i="116"/>
  <c r="H3458" i="116"/>
  <c r="G3458" i="116"/>
  <c r="F3458" i="116"/>
  <c r="E3458" i="116"/>
  <c r="D3458" i="116"/>
  <c r="C3458" i="116"/>
  <c r="B3458" i="116"/>
  <c r="K3457" i="116"/>
  <c r="J3457" i="116"/>
  <c r="I3457" i="116"/>
  <c r="H3457" i="116"/>
  <c r="G3457" i="116"/>
  <c r="F3457" i="116"/>
  <c r="E3457" i="116"/>
  <c r="D3457" i="116"/>
  <c r="C3457" i="116"/>
  <c r="B3457" i="116"/>
  <c r="K3456" i="116"/>
  <c r="J3456" i="116"/>
  <c r="I3456" i="116"/>
  <c r="H3456" i="116"/>
  <c r="G3456" i="116"/>
  <c r="F3456" i="116"/>
  <c r="E3456" i="116"/>
  <c r="D3456" i="116"/>
  <c r="C3456" i="116"/>
  <c r="B3456" i="116"/>
  <c r="K3455" i="116"/>
  <c r="J3455" i="116"/>
  <c r="I3455" i="116"/>
  <c r="H3455" i="116"/>
  <c r="G3455" i="116"/>
  <c r="F3455" i="116"/>
  <c r="E3455" i="116"/>
  <c r="D3455" i="116"/>
  <c r="C3455" i="116"/>
  <c r="B3455" i="116"/>
  <c r="K3454" i="116"/>
  <c r="J3454" i="116"/>
  <c r="I3454" i="116"/>
  <c r="H3454" i="116"/>
  <c r="G3454" i="116"/>
  <c r="F3454" i="116"/>
  <c r="E3454" i="116"/>
  <c r="D3454" i="116"/>
  <c r="C3454" i="116"/>
  <c r="B3454" i="116"/>
  <c r="K3453" i="116"/>
  <c r="J3453" i="116"/>
  <c r="I3453" i="116"/>
  <c r="H3453" i="116"/>
  <c r="G3453" i="116"/>
  <c r="F3453" i="116"/>
  <c r="E3453" i="116"/>
  <c r="D3453" i="116"/>
  <c r="C3453" i="116"/>
  <c r="B3453" i="116"/>
  <c r="K3452" i="116"/>
  <c r="J3452" i="116"/>
  <c r="I3452" i="116"/>
  <c r="H3452" i="116"/>
  <c r="G3452" i="116"/>
  <c r="F3452" i="116"/>
  <c r="E3452" i="116"/>
  <c r="D3452" i="116"/>
  <c r="C3452" i="116"/>
  <c r="B3452" i="116"/>
  <c r="K3451" i="116"/>
  <c r="J3451" i="116"/>
  <c r="I3451" i="116"/>
  <c r="H3451" i="116"/>
  <c r="G3451" i="116"/>
  <c r="F3451" i="116"/>
  <c r="E3451" i="116"/>
  <c r="D3451" i="116"/>
  <c r="C3451" i="116"/>
  <c r="B3451" i="116"/>
  <c r="K3450" i="116"/>
  <c r="J3450" i="116"/>
  <c r="I3450" i="116"/>
  <c r="H3450" i="116"/>
  <c r="G3450" i="116"/>
  <c r="F3450" i="116"/>
  <c r="E3450" i="116"/>
  <c r="D3450" i="116"/>
  <c r="C3450" i="116"/>
  <c r="B3450" i="116"/>
  <c r="K3449" i="116"/>
  <c r="J3449" i="116"/>
  <c r="I3449" i="116"/>
  <c r="H3449" i="116"/>
  <c r="G3449" i="116"/>
  <c r="F3449" i="116"/>
  <c r="E3449" i="116"/>
  <c r="D3449" i="116"/>
  <c r="C3449" i="116"/>
  <c r="B3449" i="116"/>
  <c r="K3448" i="116"/>
  <c r="J3448" i="116"/>
  <c r="I3448" i="116"/>
  <c r="H3448" i="116"/>
  <c r="G3448" i="116"/>
  <c r="F3448" i="116"/>
  <c r="E3448" i="116"/>
  <c r="D3448" i="116"/>
  <c r="C3448" i="116"/>
  <c r="B3448" i="116"/>
  <c r="K3447" i="116"/>
  <c r="J3447" i="116"/>
  <c r="I3447" i="116"/>
  <c r="H3447" i="116"/>
  <c r="G3447" i="116"/>
  <c r="F3447" i="116"/>
  <c r="E3447" i="116"/>
  <c r="D3447" i="116"/>
  <c r="C3447" i="116"/>
  <c r="B3447" i="116"/>
  <c r="K3446" i="116"/>
  <c r="J3446" i="116"/>
  <c r="I3446" i="116"/>
  <c r="H3446" i="116"/>
  <c r="G3446" i="116"/>
  <c r="F3446" i="116"/>
  <c r="E3446" i="116"/>
  <c r="D3446" i="116"/>
  <c r="C3446" i="116"/>
  <c r="B3446" i="116"/>
  <c r="K3445" i="116"/>
  <c r="J3445" i="116"/>
  <c r="I3445" i="116"/>
  <c r="H3445" i="116"/>
  <c r="G3445" i="116"/>
  <c r="F3445" i="116"/>
  <c r="E3445" i="116"/>
  <c r="D3445" i="116"/>
  <c r="C3445" i="116"/>
  <c r="B3445" i="116"/>
  <c r="K3444" i="116"/>
  <c r="J3444" i="116"/>
  <c r="I3444" i="116"/>
  <c r="H3444" i="116"/>
  <c r="G3444" i="116"/>
  <c r="F3444" i="116"/>
  <c r="E3444" i="116"/>
  <c r="D3444" i="116"/>
  <c r="C3444" i="116"/>
  <c r="B3444" i="116"/>
  <c r="K3443" i="116"/>
  <c r="J3443" i="116"/>
  <c r="I3443" i="116"/>
  <c r="H3443" i="116"/>
  <c r="G3443" i="116"/>
  <c r="F3443" i="116"/>
  <c r="E3443" i="116"/>
  <c r="D3443" i="116"/>
  <c r="C3443" i="116"/>
  <c r="B3443" i="116"/>
  <c r="K3442" i="116"/>
  <c r="J3442" i="116"/>
  <c r="I3442" i="116"/>
  <c r="H3442" i="116"/>
  <c r="G3442" i="116"/>
  <c r="F3442" i="116"/>
  <c r="E3442" i="116"/>
  <c r="D3442" i="116"/>
  <c r="C3442" i="116"/>
  <c r="B3442" i="116"/>
  <c r="K3441" i="116"/>
  <c r="J3441" i="116"/>
  <c r="I3441" i="116"/>
  <c r="H3441" i="116"/>
  <c r="G3441" i="116"/>
  <c r="F3441" i="116"/>
  <c r="E3441" i="116"/>
  <c r="D3441" i="116"/>
  <c r="C3441" i="116"/>
  <c r="B3441" i="116"/>
  <c r="K3440" i="116"/>
  <c r="J3440" i="116"/>
  <c r="I3440" i="116"/>
  <c r="H3440" i="116"/>
  <c r="G3440" i="116"/>
  <c r="F3440" i="116"/>
  <c r="E3440" i="116"/>
  <c r="D3440" i="116"/>
  <c r="C3440" i="116"/>
  <c r="B3440" i="116"/>
  <c r="K3439" i="116"/>
  <c r="J3439" i="116"/>
  <c r="I3439" i="116"/>
  <c r="H3439" i="116"/>
  <c r="G3439" i="116"/>
  <c r="F3439" i="116"/>
  <c r="E3439" i="116"/>
  <c r="D3439" i="116"/>
  <c r="C3439" i="116"/>
  <c r="B3439" i="116"/>
  <c r="K3438" i="116"/>
  <c r="J3438" i="116"/>
  <c r="I3438" i="116"/>
  <c r="H3438" i="116"/>
  <c r="G3438" i="116"/>
  <c r="F3438" i="116"/>
  <c r="E3438" i="116"/>
  <c r="D3438" i="116"/>
  <c r="C3438" i="116"/>
  <c r="B3438" i="116"/>
  <c r="K3437" i="116"/>
  <c r="J3437" i="116"/>
  <c r="I3437" i="116"/>
  <c r="H3437" i="116"/>
  <c r="G3437" i="116"/>
  <c r="F3437" i="116"/>
  <c r="E3437" i="116"/>
  <c r="D3437" i="116"/>
  <c r="C3437" i="116"/>
  <c r="B3437" i="116"/>
  <c r="K3436" i="116"/>
  <c r="J3436" i="116"/>
  <c r="I3436" i="116"/>
  <c r="H3436" i="116"/>
  <c r="G3436" i="116"/>
  <c r="F3436" i="116"/>
  <c r="E3436" i="116"/>
  <c r="D3436" i="116"/>
  <c r="C3436" i="116"/>
  <c r="B3436" i="116"/>
  <c r="K3435" i="116"/>
  <c r="J3435" i="116"/>
  <c r="I3435" i="116"/>
  <c r="H3435" i="116"/>
  <c r="G3435" i="116"/>
  <c r="F3435" i="116"/>
  <c r="E3435" i="116"/>
  <c r="D3435" i="116"/>
  <c r="C3435" i="116"/>
  <c r="B3435" i="116"/>
  <c r="K3434" i="116"/>
  <c r="J3434" i="116"/>
  <c r="I3434" i="116"/>
  <c r="H3434" i="116"/>
  <c r="G3434" i="116"/>
  <c r="F3434" i="116"/>
  <c r="E3434" i="116"/>
  <c r="D3434" i="116"/>
  <c r="C3434" i="116"/>
  <c r="B3434" i="116"/>
  <c r="K3433" i="116"/>
  <c r="J3433" i="116"/>
  <c r="I3433" i="116"/>
  <c r="H3433" i="116"/>
  <c r="G3433" i="116"/>
  <c r="F3433" i="116"/>
  <c r="E3433" i="116"/>
  <c r="D3433" i="116"/>
  <c r="C3433" i="116"/>
  <c r="B3433" i="116"/>
  <c r="K3432" i="116"/>
  <c r="J3432" i="116"/>
  <c r="I3432" i="116"/>
  <c r="H3432" i="116"/>
  <c r="G3432" i="116"/>
  <c r="F3432" i="116"/>
  <c r="E3432" i="116"/>
  <c r="D3432" i="116"/>
  <c r="C3432" i="116"/>
  <c r="B3432" i="116"/>
  <c r="K3431" i="116"/>
  <c r="J3431" i="116"/>
  <c r="I3431" i="116"/>
  <c r="H3431" i="116"/>
  <c r="G3431" i="116"/>
  <c r="F3431" i="116"/>
  <c r="E3431" i="116"/>
  <c r="D3431" i="116"/>
  <c r="C3431" i="116"/>
  <c r="B3431" i="116"/>
  <c r="K3430" i="116"/>
  <c r="J3430" i="116"/>
  <c r="I3430" i="116"/>
  <c r="H3430" i="116"/>
  <c r="G3430" i="116"/>
  <c r="F3430" i="116"/>
  <c r="E3430" i="116"/>
  <c r="D3430" i="116"/>
  <c r="C3430" i="116"/>
  <c r="B3430" i="116"/>
  <c r="K3429" i="116"/>
  <c r="J3429" i="116"/>
  <c r="I3429" i="116"/>
  <c r="H3429" i="116"/>
  <c r="G3429" i="116"/>
  <c r="F3429" i="116"/>
  <c r="E3429" i="116"/>
  <c r="D3429" i="116"/>
  <c r="C3429" i="116"/>
  <c r="B3429" i="116"/>
  <c r="K3428" i="116"/>
  <c r="J3428" i="116"/>
  <c r="I3428" i="116"/>
  <c r="H3428" i="116"/>
  <c r="G3428" i="116"/>
  <c r="F3428" i="116"/>
  <c r="E3428" i="116"/>
  <c r="D3428" i="116"/>
  <c r="C3428" i="116"/>
  <c r="B3428" i="116"/>
  <c r="K3427" i="116"/>
  <c r="J3427" i="116"/>
  <c r="I3427" i="116"/>
  <c r="H3427" i="116"/>
  <c r="G3427" i="116"/>
  <c r="F3427" i="116"/>
  <c r="E3427" i="116"/>
  <c r="D3427" i="116"/>
  <c r="C3427" i="116"/>
  <c r="B3427" i="116"/>
  <c r="K3426" i="116"/>
  <c r="J3426" i="116"/>
  <c r="I3426" i="116"/>
  <c r="H3426" i="116"/>
  <c r="G3426" i="116"/>
  <c r="F3426" i="116"/>
  <c r="E3426" i="116"/>
  <c r="D3426" i="116"/>
  <c r="C3426" i="116"/>
  <c r="B3426" i="116"/>
  <c r="K3425" i="116"/>
  <c r="J3425" i="116"/>
  <c r="I3425" i="116"/>
  <c r="H3425" i="116"/>
  <c r="G3425" i="116"/>
  <c r="F3425" i="116"/>
  <c r="E3425" i="116"/>
  <c r="D3425" i="116"/>
  <c r="C3425" i="116"/>
  <c r="B3425" i="116"/>
  <c r="K3424" i="116"/>
  <c r="J3424" i="116"/>
  <c r="I3424" i="116"/>
  <c r="H3424" i="116"/>
  <c r="G3424" i="116"/>
  <c r="F3424" i="116"/>
  <c r="E3424" i="116"/>
  <c r="D3424" i="116"/>
  <c r="C3424" i="116"/>
  <c r="B3424" i="116"/>
  <c r="K3423" i="116"/>
  <c r="J3423" i="116"/>
  <c r="I3423" i="116"/>
  <c r="H3423" i="116"/>
  <c r="G3423" i="116"/>
  <c r="F3423" i="116"/>
  <c r="E3423" i="116"/>
  <c r="D3423" i="116"/>
  <c r="C3423" i="116"/>
  <c r="B3423" i="116"/>
  <c r="K3422" i="116"/>
  <c r="J3422" i="116"/>
  <c r="I3422" i="116"/>
  <c r="H3422" i="116"/>
  <c r="G3422" i="116"/>
  <c r="F3422" i="116"/>
  <c r="E3422" i="116"/>
  <c r="D3422" i="116"/>
  <c r="C3422" i="116"/>
  <c r="B3422" i="116"/>
  <c r="K3421" i="116"/>
  <c r="J3421" i="116"/>
  <c r="I3421" i="116"/>
  <c r="H3421" i="116"/>
  <c r="G3421" i="116"/>
  <c r="F3421" i="116"/>
  <c r="E3421" i="116"/>
  <c r="D3421" i="116"/>
  <c r="C3421" i="116"/>
  <c r="B3421" i="116"/>
  <c r="K3420" i="116"/>
  <c r="J3420" i="116"/>
  <c r="I3420" i="116"/>
  <c r="H3420" i="116"/>
  <c r="G3420" i="116"/>
  <c r="F3420" i="116"/>
  <c r="E3420" i="116"/>
  <c r="D3420" i="116"/>
  <c r="C3420" i="116"/>
  <c r="B3420" i="116"/>
  <c r="K3419" i="116"/>
  <c r="J3419" i="116"/>
  <c r="I3419" i="116"/>
  <c r="H3419" i="116"/>
  <c r="G3419" i="116"/>
  <c r="F3419" i="116"/>
  <c r="E3419" i="116"/>
  <c r="D3419" i="116"/>
  <c r="C3419" i="116"/>
  <c r="B3419" i="116"/>
  <c r="K3418" i="116"/>
  <c r="J3418" i="116"/>
  <c r="I3418" i="116"/>
  <c r="H3418" i="116"/>
  <c r="G3418" i="116"/>
  <c r="F3418" i="116"/>
  <c r="E3418" i="116"/>
  <c r="D3418" i="116"/>
  <c r="C3418" i="116"/>
  <c r="B3418" i="116"/>
  <c r="K3417" i="116"/>
  <c r="J3417" i="116"/>
  <c r="I3417" i="116"/>
  <c r="H3417" i="116"/>
  <c r="G3417" i="116"/>
  <c r="F3417" i="116"/>
  <c r="E3417" i="116"/>
  <c r="D3417" i="116"/>
  <c r="C3417" i="116"/>
  <c r="B3417" i="116"/>
  <c r="K3416" i="116"/>
  <c r="J3416" i="116"/>
  <c r="I3416" i="116"/>
  <c r="H3416" i="116"/>
  <c r="G3416" i="116"/>
  <c r="F3416" i="116"/>
  <c r="E3416" i="116"/>
  <c r="D3416" i="116"/>
  <c r="C3416" i="116"/>
  <c r="B3416" i="116"/>
  <c r="K3415" i="116"/>
  <c r="J3415" i="116"/>
  <c r="I3415" i="116"/>
  <c r="H3415" i="116"/>
  <c r="G3415" i="116"/>
  <c r="F3415" i="116"/>
  <c r="E3415" i="116"/>
  <c r="D3415" i="116"/>
  <c r="C3415" i="116"/>
  <c r="B3415" i="116"/>
  <c r="K3414" i="116"/>
  <c r="J3414" i="116"/>
  <c r="I3414" i="116"/>
  <c r="H3414" i="116"/>
  <c r="G3414" i="116"/>
  <c r="F3414" i="116"/>
  <c r="E3414" i="116"/>
  <c r="D3414" i="116"/>
  <c r="C3414" i="116"/>
  <c r="B3414" i="116"/>
  <c r="K3413" i="116"/>
  <c r="J3413" i="116"/>
  <c r="I3413" i="116"/>
  <c r="H3413" i="116"/>
  <c r="G3413" i="116"/>
  <c r="F3413" i="116"/>
  <c r="E3413" i="116"/>
  <c r="D3413" i="116"/>
  <c r="C3413" i="116"/>
  <c r="B3413" i="116"/>
  <c r="K3412" i="116"/>
  <c r="J3412" i="116"/>
  <c r="I3412" i="116"/>
  <c r="H3412" i="116"/>
  <c r="G3412" i="116"/>
  <c r="F3412" i="116"/>
  <c r="E3412" i="116"/>
  <c r="D3412" i="116"/>
  <c r="C3412" i="116"/>
  <c r="B3412" i="116"/>
  <c r="K3411" i="116"/>
  <c r="J3411" i="116"/>
  <c r="I3411" i="116"/>
  <c r="H3411" i="116"/>
  <c r="G3411" i="116"/>
  <c r="F3411" i="116"/>
  <c r="E3411" i="116"/>
  <c r="D3411" i="116"/>
  <c r="C3411" i="116"/>
  <c r="B3411" i="116"/>
  <c r="K3410" i="116"/>
  <c r="J3410" i="116"/>
  <c r="I3410" i="116"/>
  <c r="H3410" i="116"/>
  <c r="G3410" i="116"/>
  <c r="F3410" i="116"/>
  <c r="E3410" i="116"/>
  <c r="D3410" i="116"/>
  <c r="C3410" i="116"/>
  <c r="B3410" i="116"/>
  <c r="K3409" i="116"/>
  <c r="J3409" i="116"/>
  <c r="I3409" i="116"/>
  <c r="H3409" i="116"/>
  <c r="G3409" i="116"/>
  <c r="F3409" i="116"/>
  <c r="E3409" i="116"/>
  <c r="D3409" i="116"/>
  <c r="C3409" i="116"/>
  <c r="B3409" i="116"/>
  <c r="K3408" i="116"/>
  <c r="J3408" i="116"/>
  <c r="I3408" i="116"/>
  <c r="H3408" i="116"/>
  <c r="G3408" i="116"/>
  <c r="F3408" i="116"/>
  <c r="E3408" i="116"/>
  <c r="D3408" i="116"/>
  <c r="C3408" i="116"/>
  <c r="B3408" i="116"/>
  <c r="K3407" i="116"/>
  <c r="J3407" i="116"/>
  <c r="I3407" i="116"/>
  <c r="H3407" i="116"/>
  <c r="G3407" i="116"/>
  <c r="F3407" i="116"/>
  <c r="E3407" i="116"/>
  <c r="D3407" i="116"/>
  <c r="C3407" i="116"/>
  <c r="B3407" i="116"/>
  <c r="K3406" i="116"/>
  <c r="J3406" i="116"/>
  <c r="I3406" i="116"/>
  <c r="H3406" i="116"/>
  <c r="G3406" i="116"/>
  <c r="F3406" i="116"/>
  <c r="E3406" i="116"/>
  <c r="D3406" i="116"/>
  <c r="C3406" i="116"/>
  <c r="B3406" i="116"/>
  <c r="K3405" i="116"/>
  <c r="J3405" i="116"/>
  <c r="I3405" i="116"/>
  <c r="H3405" i="116"/>
  <c r="G3405" i="116"/>
  <c r="F3405" i="116"/>
  <c r="E3405" i="116"/>
  <c r="D3405" i="116"/>
  <c r="C3405" i="116"/>
  <c r="B3405" i="116"/>
  <c r="K3404" i="116"/>
  <c r="J3404" i="116"/>
  <c r="I3404" i="116"/>
  <c r="H3404" i="116"/>
  <c r="G3404" i="116"/>
  <c r="F3404" i="116"/>
  <c r="E3404" i="116"/>
  <c r="D3404" i="116"/>
  <c r="C3404" i="116"/>
  <c r="B3404" i="116"/>
  <c r="K3403" i="116"/>
  <c r="J3403" i="116"/>
  <c r="I3403" i="116"/>
  <c r="H3403" i="116"/>
  <c r="G3403" i="116"/>
  <c r="F3403" i="116"/>
  <c r="E3403" i="116"/>
  <c r="D3403" i="116"/>
  <c r="C3403" i="116"/>
  <c r="B3403" i="116"/>
  <c r="K3402" i="116"/>
  <c r="J3402" i="116"/>
  <c r="I3402" i="116"/>
  <c r="H3402" i="116"/>
  <c r="G3402" i="116"/>
  <c r="F3402" i="116"/>
  <c r="E3402" i="116"/>
  <c r="D3402" i="116"/>
  <c r="C3402" i="116"/>
  <c r="B3402" i="116"/>
  <c r="K3401" i="116"/>
  <c r="J3401" i="116"/>
  <c r="I3401" i="116"/>
  <c r="H3401" i="116"/>
  <c r="G3401" i="116"/>
  <c r="F3401" i="116"/>
  <c r="E3401" i="116"/>
  <c r="D3401" i="116"/>
  <c r="C3401" i="116"/>
  <c r="B3401" i="116"/>
  <c r="K3400" i="116"/>
  <c r="J3400" i="116"/>
  <c r="I3400" i="116"/>
  <c r="H3400" i="116"/>
  <c r="G3400" i="116"/>
  <c r="F3400" i="116"/>
  <c r="E3400" i="116"/>
  <c r="D3400" i="116"/>
  <c r="C3400" i="116"/>
  <c r="B3400" i="116"/>
  <c r="K3399" i="116"/>
  <c r="J3399" i="116"/>
  <c r="I3399" i="116"/>
  <c r="H3399" i="116"/>
  <c r="G3399" i="116"/>
  <c r="F3399" i="116"/>
  <c r="E3399" i="116"/>
  <c r="D3399" i="116"/>
  <c r="C3399" i="116"/>
  <c r="B3399" i="116"/>
  <c r="K3398" i="116"/>
  <c r="J3398" i="116"/>
  <c r="I3398" i="116"/>
  <c r="H3398" i="116"/>
  <c r="G3398" i="116"/>
  <c r="F3398" i="116"/>
  <c r="E3398" i="116"/>
  <c r="D3398" i="116"/>
  <c r="C3398" i="116"/>
  <c r="B3398" i="116"/>
  <c r="K3397" i="116"/>
  <c r="J3397" i="116"/>
  <c r="I3397" i="116"/>
  <c r="H3397" i="116"/>
  <c r="G3397" i="116"/>
  <c r="F3397" i="116"/>
  <c r="E3397" i="116"/>
  <c r="D3397" i="116"/>
  <c r="C3397" i="116"/>
  <c r="B3397" i="116"/>
  <c r="K3396" i="116"/>
  <c r="J3396" i="116"/>
  <c r="I3396" i="116"/>
  <c r="H3396" i="116"/>
  <c r="G3396" i="116"/>
  <c r="F3396" i="116"/>
  <c r="E3396" i="116"/>
  <c r="D3396" i="116"/>
  <c r="C3396" i="116"/>
  <c r="B3396" i="116"/>
  <c r="K3395" i="116"/>
  <c r="J3395" i="116"/>
  <c r="I3395" i="116"/>
  <c r="H3395" i="116"/>
  <c r="G3395" i="116"/>
  <c r="F3395" i="116"/>
  <c r="E3395" i="116"/>
  <c r="D3395" i="116"/>
  <c r="C3395" i="116"/>
  <c r="B3395" i="116"/>
  <c r="K3394" i="116"/>
  <c r="J3394" i="116"/>
  <c r="I3394" i="116"/>
  <c r="H3394" i="116"/>
  <c r="G3394" i="116"/>
  <c r="F3394" i="116"/>
  <c r="E3394" i="116"/>
  <c r="D3394" i="116"/>
  <c r="C3394" i="116"/>
  <c r="B3394" i="116"/>
  <c r="K3393" i="116"/>
  <c r="J3393" i="116"/>
  <c r="I3393" i="116"/>
  <c r="H3393" i="116"/>
  <c r="G3393" i="116"/>
  <c r="F3393" i="116"/>
  <c r="E3393" i="116"/>
  <c r="D3393" i="116"/>
  <c r="C3393" i="116"/>
  <c r="B3393" i="116"/>
  <c r="K3392" i="116"/>
  <c r="J3392" i="116"/>
  <c r="I3392" i="116"/>
  <c r="H3392" i="116"/>
  <c r="G3392" i="116"/>
  <c r="F3392" i="116"/>
  <c r="E3392" i="116"/>
  <c r="D3392" i="116"/>
  <c r="C3392" i="116"/>
  <c r="B3392" i="116"/>
  <c r="K3391" i="116"/>
  <c r="J3391" i="116"/>
  <c r="I3391" i="116"/>
  <c r="H3391" i="116"/>
  <c r="G3391" i="116"/>
  <c r="F3391" i="116"/>
  <c r="E3391" i="116"/>
  <c r="D3391" i="116"/>
  <c r="C3391" i="116"/>
  <c r="B3391" i="116"/>
  <c r="K3390" i="116"/>
  <c r="J3390" i="116"/>
  <c r="I3390" i="116"/>
  <c r="H3390" i="116"/>
  <c r="G3390" i="116"/>
  <c r="F3390" i="116"/>
  <c r="E3390" i="116"/>
  <c r="D3390" i="116"/>
  <c r="C3390" i="116"/>
  <c r="B3390" i="116"/>
  <c r="K3389" i="116"/>
  <c r="J3389" i="116"/>
  <c r="I3389" i="116"/>
  <c r="H3389" i="116"/>
  <c r="G3389" i="116"/>
  <c r="F3389" i="116"/>
  <c r="E3389" i="116"/>
  <c r="D3389" i="116"/>
  <c r="C3389" i="116"/>
  <c r="B3389" i="116"/>
  <c r="K3388" i="116"/>
  <c r="J3388" i="116"/>
  <c r="I3388" i="116"/>
  <c r="H3388" i="116"/>
  <c r="G3388" i="116"/>
  <c r="F3388" i="116"/>
  <c r="E3388" i="116"/>
  <c r="D3388" i="116"/>
  <c r="C3388" i="116"/>
  <c r="B3388" i="116"/>
  <c r="K3387" i="116"/>
  <c r="J3387" i="116"/>
  <c r="I3387" i="116"/>
  <c r="H3387" i="116"/>
  <c r="G3387" i="116"/>
  <c r="F3387" i="116"/>
  <c r="E3387" i="116"/>
  <c r="D3387" i="116"/>
  <c r="C3387" i="116"/>
  <c r="B3387" i="116"/>
  <c r="K3386" i="116"/>
  <c r="J3386" i="116"/>
  <c r="I3386" i="116"/>
  <c r="H3386" i="116"/>
  <c r="G3386" i="116"/>
  <c r="F3386" i="116"/>
  <c r="E3386" i="116"/>
  <c r="D3386" i="116"/>
  <c r="C3386" i="116"/>
  <c r="B3386" i="116"/>
  <c r="K3385" i="116"/>
  <c r="J3385" i="116"/>
  <c r="I3385" i="116"/>
  <c r="H3385" i="116"/>
  <c r="G3385" i="116"/>
  <c r="F3385" i="116"/>
  <c r="E3385" i="116"/>
  <c r="D3385" i="116"/>
  <c r="C3385" i="116"/>
  <c r="B3385" i="116"/>
  <c r="K3384" i="116"/>
  <c r="J3384" i="116"/>
  <c r="I3384" i="116"/>
  <c r="H3384" i="116"/>
  <c r="G3384" i="116"/>
  <c r="F3384" i="116"/>
  <c r="E3384" i="116"/>
  <c r="D3384" i="116"/>
  <c r="C3384" i="116"/>
  <c r="B3384" i="116"/>
  <c r="K3383" i="116"/>
  <c r="J3383" i="116"/>
  <c r="I3383" i="116"/>
  <c r="H3383" i="116"/>
  <c r="G3383" i="116"/>
  <c r="F3383" i="116"/>
  <c r="E3383" i="116"/>
  <c r="D3383" i="116"/>
  <c r="C3383" i="116"/>
  <c r="B3383" i="116"/>
  <c r="K3382" i="116"/>
  <c r="J3382" i="116"/>
  <c r="I3382" i="116"/>
  <c r="H3382" i="116"/>
  <c r="G3382" i="116"/>
  <c r="F3382" i="116"/>
  <c r="E3382" i="116"/>
  <c r="D3382" i="116"/>
  <c r="C3382" i="116"/>
  <c r="B3382" i="116"/>
  <c r="K3381" i="116"/>
  <c r="J3381" i="116"/>
  <c r="I3381" i="116"/>
  <c r="H3381" i="116"/>
  <c r="G3381" i="116"/>
  <c r="F3381" i="116"/>
  <c r="E3381" i="116"/>
  <c r="D3381" i="116"/>
  <c r="C3381" i="116"/>
  <c r="B3381" i="116"/>
  <c r="K3380" i="116"/>
  <c r="J3380" i="116"/>
  <c r="I3380" i="116"/>
  <c r="H3380" i="116"/>
  <c r="G3380" i="116"/>
  <c r="F3380" i="116"/>
  <c r="E3380" i="116"/>
  <c r="D3380" i="116"/>
  <c r="C3380" i="116"/>
  <c r="B3380" i="116"/>
  <c r="K3379" i="116"/>
  <c r="J3379" i="116"/>
  <c r="I3379" i="116"/>
  <c r="H3379" i="116"/>
  <c r="G3379" i="116"/>
  <c r="F3379" i="116"/>
  <c r="E3379" i="116"/>
  <c r="D3379" i="116"/>
  <c r="C3379" i="116"/>
  <c r="B3379" i="116"/>
  <c r="K3378" i="116"/>
  <c r="J3378" i="116"/>
  <c r="I3378" i="116"/>
  <c r="H3378" i="116"/>
  <c r="G3378" i="116"/>
  <c r="F3378" i="116"/>
  <c r="E3378" i="116"/>
  <c r="D3378" i="116"/>
  <c r="C3378" i="116"/>
  <c r="B3378" i="116"/>
  <c r="K3377" i="116"/>
  <c r="J3377" i="116"/>
  <c r="I3377" i="116"/>
  <c r="H3377" i="116"/>
  <c r="G3377" i="116"/>
  <c r="F3377" i="116"/>
  <c r="E3377" i="116"/>
  <c r="D3377" i="116"/>
  <c r="C3377" i="116"/>
  <c r="B3377" i="116"/>
  <c r="K3376" i="116"/>
  <c r="J3376" i="116"/>
  <c r="I3376" i="116"/>
  <c r="H3376" i="116"/>
  <c r="G3376" i="116"/>
  <c r="F3376" i="116"/>
  <c r="E3376" i="116"/>
  <c r="D3376" i="116"/>
  <c r="C3376" i="116"/>
  <c r="B3376" i="116"/>
  <c r="K3375" i="116"/>
  <c r="J3375" i="116"/>
  <c r="I3375" i="116"/>
  <c r="H3375" i="116"/>
  <c r="G3375" i="116"/>
  <c r="F3375" i="116"/>
  <c r="E3375" i="116"/>
  <c r="D3375" i="116"/>
  <c r="C3375" i="116"/>
  <c r="B3375" i="116"/>
  <c r="K3374" i="116"/>
  <c r="J3374" i="116"/>
  <c r="I3374" i="116"/>
  <c r="H3374" i="116"/>
  <c r="G3374" i="116"/>
  <c r="F3374" i="116"/>
  <c r="E3374" i="116"/>
  <c r="D3374" i="116"/>
  <c r="C3374" i="116"/>
  <c r="B3374" i="116"/>
  <c r="K3373" i="116"/>
  <c r="J3373" i="116"/>
  <c r="I3373" i="116"/>
  <c r="H3373" i="116"/>
  <c r="G3373" i="116"/>
  <c r="F3373" i="116"/>
  <c r="E3373" i="116"/>
  <c r="D3373" i="116"/>
  <c r="C3373" i="116"/>
  <c r="B3373" i="116"/>
  <c r="K3372" i="116"/>
  <c r="J3372" i="116"/>
  <c r="I3372" i="116"/>
  <c r="H3372" i="116"/>
  <c r="G3372" i="116"/>
  <c r="F3372" i="116"/>
  <c r="E3372" i="116"/>
  <c r="D3372" i="116"/>
  <c r="C3372" i="116"/>
  <c r="B3372" i="116"/>
  <c r="K3371" i="116"/>
  <c r="J3371" i="116"/>
  <c r="I3371" i="116"/>
  <c r="H3371" i="116"/>
  <c r="G3371" i="116"/>
  <c r="F3371" i="116"/>
  <c r="E3371" i="116"/>
  <c r="D3371" i="116"/>
  <c r="C3371" i="116"/>
  <c r="B3371" i="116"/>
  <c r="K3370" i="116"/>
  <c r="J3370" i="116"/>
  <c r="I3370" i="116"/>
  <c r="H3370" i="116"/>
  <c r="G3370" i="116"/>
  <c r="F3370" i="116"/>
  <c r="E3370" i="116"/>
  <c r="D3370" i="116"/>
  <c r="C3370" i="116"/>
  <c r="B3370" i="116"/>
  <c r="K3369" i="116"/>
  <c r="J3369" i="116"/>
  <c r="I3369" i="116"/>
  <c r="H3369" i="116"/>
  <c r="G3369" i="116"/>
  <c r="F3369" i="116"/>
  <c r="E3369" i="116"/>
  <c r="D3369" i="116"/>
  <c r="C3369" i="116"/>
  <c r="B3369" i="116"/>
  <c r="K3368" i="116"/>
  <c r="J3368" i="116"/>
  <c r="I3368" i="116"/>
  <c r="H3368" i="116"/>
  <c r="G3368" i="116"/>
  <c r="F3368" i="116"/>
  <c r="E3368" i="116"/>
  <c r="D3368" i="116"/>
  <c r="C3368" i="116"/>
  <c r="B3368" i="116"/>
  <c r="K3367" i="116"/>
  <c r="J3367" i="116"/>
  <c r="I3367" i="116"/>
  <c r="H3367" i="116"/>
  <c r="G3367" i="116"/>
  <c r="F3367" i="116"/>
  <c r="E3367" i="116"/>
  <c r="D3367" i="116"/>
  <c r="C3367" i="116"/>
  <c r="B3367" i="116"/>
  <c r="K3366" i="116"/>
  <c r="J3366" i="116"/>
  <c r="I3366" i="116"/>
  <c r="H3366" i="116"/>
  <c r="G3366" i="116"/>
  <c r="F3366" i="116"/>
  <c r="E3366" i="116"/>
  <c r="D3366" i="116"/>
  <c r="C3366" i="116"/>
  <c r="B3366" i="116"/>
  <c r="K3365" i="116"/>
  <c r="J3365" i="116"/>
  <c r="I3365" i="116"/>
  <c r="H3365" i="116"/>
  <c r="G3365" i="116"/>
  <c r="F3365" i="116"/>
  <c r="E3365" i="116"/>
  <c r="D3365" i="116"/>
  <c r="C3365" i="116"/>
  <c r="B3365" i="116"/>
  <c r="K3364" i="116"/>
  <c r="J3364" i="116"/>
  <c r="I3364" i="116"/>
  <c r="H3364" i="116"/>
  <c r="G3364" i="116"/>
  <c r="F3364" i="116"/>
  <c r="E3364" i="116"/>
  <c r="D3364" i="116"/>
  <c r="C3364" i="116"/>
  <c r="B3364" i="116"/>
  <c r="K3363" i="116"/>
  <c r="J3363" i="116"/>
  <c r="I3363" i="116"/>
  <c r="H3363" i="116"/>
  <c r="G3363" i="116"/>
  <c r="F3363" i="116"/>
  <c r="E3363" i="116"/>
  <c r="D3363" i="116"/>
  <c r="C3363" i="116"/>
  <c r="B3363" i="116"/>
  <c r="K3362" i="116"/>
  <c r="J3362" i="116"/>
  <c r="I3362" i="116"/>
  <c r="H3362" i="116"/>
  <c r="G3362" i="116"/>
  <c r="F3362" i="116"/>
  <c r="E3362" i="116"/>
  <c r="D3362" i="116"/>
  <c r="C3362" i="116"/>
  <c r="B3362" i="116"/>
  <c r="K3361" i="116"/>
  <c r="J3361" i="116"/>
  <c r="I3361" i="116"/>
  <c r="H3361" i="116"/>
  <c r="G3361" i="116"/>
  <c r="F3361" i="116"/>
  <c r="E3361" i="116"/>
  <c r="D3361" i="116"/>
  <c r="C3361" i="116"/>
  <c r="B3361" i="116"/>
  <c r="K3360" i="116"/>
  <c r="J3360" i="116"/>
  <c r="I3360" i="116"/>
  <c r="H3360" i="116"/>
  <c r="G3360" i="116"/>
  <c r="F3360" i="116"/>
  <c r="E3360" i="116"/>
  <c r="D3360" i="116"/>
  <c r="C3360" i="116"/>
  <c r="B3360" i="116"/>
  <c r="K3359" i="116"/>
  <c r="J3359" i="116"/>
  <c r="I3359" i="116"/>
  <c r="H3359" i="116"/>
  <c r="G3359" i="116"/>
  <c r="F3359" i="116"/>
  <c r="E3359" i="116"/>
  <c r="D3359" i="116"/>
  <c r="C3359" i="116"/>
  <c r="B3359" i="116"/>
  <c r="K3358" i="116"/>
  <c r="J3358" i="116"/>
  <c r="I3358" i="116"/>
  <c r="H3358" i="116"/>
  <c r="G3358" i="116"/>
  <c r="F3358" i="116"/>
  <c r="E3358" i="116"/>
  <c r="D3358" i="116"/>
  <c r="C3358" i="116"/>
  <c r="B3358" i="116"/>
  <c r="K3357" i="116"/>
  <c r="J3357" i="116"/>
  <c r="I3357" i="116"/>
  <c r="H3357" i="116"/>
  <c r="G3357" i="116"/>
  <c r="F3357" i="116"/>
  <c r="E3357" i="116"/>
  <c r="D3357" i="116"/>
  <c r="C3357" i="116"/>
  <c r="B3357" i="116"/>
  <c r="K3356" i="116"/>
  <c r="J3356" i="116"/>
  <c r="I3356" i="116"/>
  <c r="H3356" i="116"/>
  <c r="G3356" i="116"/>
  <c r="F3356" i="116"/>
  <c r="E3356" i="116"/>
  <c r="D3356" i="116"/>
  <c r="C3356" i="116"/>
  <c r="B3356" i="116"/>
  <c r="K3355" i="116"/>
  <c r="J3355" i="116"/>
  <c r="I3355" i="116"/>
  <c r="H3355" i="116"/>
  <c r="G3355" i="116"/>
  <c r="F3355" i="116"/>
  <c r="E3355" i="116"/>
  <c r="D3355" i="116"/>
  <c r="C3355" i="116"/>
  <c r="B3355" i="116"/>
  <c r="K3354" i="116"/>
  <c r="J3354" i="116"/>
  <c r="I3354" i="116"/>
  <c r="H3354" i="116"/>
  <c r="G3354" i="116"/>
  <c r="F3354" i="116"/>
  <c r="E3354" i="116"/>
  <c r="D3354" i="116"/>
  <c r="C3354" i="116"/>
  <c r="B3354" i="116"/>
  <c r="K3353" i="116"/>
  <c r="J3353" i="116"/>
  <c r="I3353" i="116"/>
  <c r="H3353" i="116"/>
  <c r="G3353" i="116"/>
  <c r="F3353" i="116"/>
  <c r="E3353" i="116"/>
  <c r="D3353" i="116"/>
  <c r="C3353" i="116"/>
  <c r="B3353" i="116"/>
  <c r="K3352" i="116"/>
  <c r="J3352" i="116"/>
  <c r="I3352" i="116"/>
  <c r="H3352" i="116"/>
  <c r="G3352" i="116"/>
  <c r="F3352" i="116"/>
  <c r="E3352" i="116"/>
  <c r="D3352" i="116"/>
  <c r="C3352" i="116"/>
  <c r="B3352" i="116"/>
  <c r="K3351" i="116"/>
  <c r="J3351" i="116"/>
  <c r="I3351" i="116"/>
  <c r="H3351" i="116"/>
  <c r="G3351" i="116"/>
  <c r="F3351" i="116"/>
  <c r="E3351" i="116"/>
  <c r="D3351" i="116"/>
  <c r="C3351" i="116"/>
  <c r="B3351" i="116"/>
  <c r="K3350" i="116"/>
  <c r="J3350" i="116"/>
  <c r="I3350" i="116"/>
  <c r="H3350" i="116"/>
  <c r="G3350" i="116"/>
  <c r="F3350" i="116"/>
  <c r="E3350" i="116"/>
  <c r="D3350" i="116"/>
  <c r="C3350" i="116"/>
  <c r="B3350" i="116"/>
  <c r="K3349" i="116"/>
  <c r="J3349" i="116"/>
  <c r="I3349" i="116"/>
  <c r="H3349" i="116"/>
  <c r="G3349" i="116"/>
  <c r="F3349" i="116"/>
  <c r="E3349" i="116"/>
  <c r="D3349" i="116"/>
  <c r="C3349" i="116"/>
  <c r="B3349" i="116"/>
  <c r="K3348" i="116"/>
  <c r="J3348" i="116"/>
  <c r="I3348" i="116"/>
  <c r="H3348" i="116"/>
  <c r="G3348" i="116"/>
  <c r="F3348" i="116"/>
  <c r="E3348" i="116"/>
  <c r="D3348" i="116"/>
  <c r="C3348" i="116"/>
  <c r="B3348" i="116"/>
  <c r="K3347" i="116"/>
  <c r="J3347" i="116"/>
  <c r="I3347" i="116"/>
  <c r="H3347" i="116"/>
  <c r="G3347" i="116"/>
  <c r="F3347" i="116"/>
  <c r="E3347" i="116"/>
  <c r="D3347" i="116"/>
  <c r="C3347" i="116"/>
  <c r="B3347" i="116"/>
  <c r="K3346" i="116"/>
  <c r="J3346" i="116"/>
  <c r="I3346" i="116"/>
  <c r="H3346" i="116"/>
  <c r="G3346" i="116"/>
  <c r="F3346" i="116"/>
  <c r="E3346" i="116"/>
  <c r="D3346" i="116"/>
  <c r="C3346" i="116"/>
  <c r="B3346" i="116"/>
  <c r="K3345" i="116"/>
  <c r="J3345" i="116"/>
  <c r="I3345" i="116"/>
  <c r="H3345" i="116"/>
  <c r="G3345" i="116"/>
  <c r="F3345" i="116"/>
  <c r="E3345" i="116"/>
  <c r="D3345" i="116"/>
  <c r="C3345" i="116"/>
  <c r="B3345" i="116"/>
  <c r="K3344" i="116"/>
  <c r="J3344" i="116"/>
  <c r="I3344" i="116"/>
  <c r="H3344" i="116"/>
  <c r="G3344" i="116"/>
  <c r="F3344" i="116"/>
  <c r="E3344" i="116"/>
  <c r="D3344" i="116"/>
  <c r="C3344" i="116"/>
  <c r="B3344" i="116"/>
  <c r="K3343" i="116"/>
  <c r="J3343" i="116"/>
  <c r="I3343" i="116"/>
  <c r="H3343" i="116"/>
  <c r="G3343" i="116"/>
  <c r="F3343" i="116"/>
  <c r="E3343" i="116"/>
  <c r="D3343" i="116"/>
  <c r="C3343" i="116"/>
  <c r="B3343" i="116"/>
  <c r="K3342" i="116"/>
  <c r="J3342" i="116"/>
  <c r="I3342" i="116"/>
  <c r="H3342" i="116"/>
  <c r="G3342" i="116"/>
  <c r="F3342" i="116"/>
  <c r="E3342" i="116"/>
  <c r="D3342" i="116"/>
  <c r="C3342" i="116"/>
  <c r="B3342" i="116"/>
  <c r="K3341" i="116"/>
  <c r="J3341" i="116"/>
  <c r="I3341" i="116"/>
  <c r="H3341" i="116"/>
  <c r="G3341" i="116"/>
  <c r="F3341" i="116"/>
  <c r="E3341" i="116"/>
  <c r="D3341" i="116"/>
  <c r="C3341" i="116"/>
  <c r="B3341" i="116"/>
  <c r="K3340" i="116"/>
  <c r="J3340" i="116"/>
  <c r="I3340" i="116"/>
  <c r="H3340" i="116"/>
  <c r="G3340" i="116"/>
  <c r="F3340" i="116"/>
  <c r="E3340" i="116"/>
  <c r="D3340" i="116"/>
  <c r="C3340" i="116"/>
  <c r="B3340" i="116"/>
  <c r="K3339" i="116"/>
  <c r="J3339" i="116"/>
  <c r="I3339" i="116"/>
  <c r="H3339" i="116"/>
  <c r="G3339" i="116"/>
  <c r="F3339" i="116"/>
  <c r="E3339" i="116"/>
  <c r="D3339" i="116"/>
  <c r="C3339" i="116"/>
  <c r="B3339" i="116"/>
  <c r="K3338" i="116"/>
  <c r="J3338" i="116"/>
  <c r="I3338" i="116"/>
  <c r="H3338" i="116"/>
  <c r="G3338" i="116"/>
  <c r="F3338" i="116"/>
  <c r="E3338" i="116"/>
  <c r="D3338" i="116"/>
  <c r="C3338" i="116"/>
  <c r="B3338" i="116"/>
  <c r="K3337" i="116"/>
  <c r="J3337" i="116"/>
  <c r="I3337" i="116"/>
  <c r="H3337" i="116"/>
  <c r="G3337" i="116"/>
  <c r="F3337" i="116"/>
  <c r="E3337" i="116"/>
  <c r="D3337" i="116"/>
  <c r="C3337" i="116"/>
  <c r="B3337" i="116"/>
  <c r="K3336" i="116"/>
  <c r="J3336" i="116"/>
  <c r="I3336" i="116"/>
  <c r="H3336" i="116"/>
  <c r="G3336" i="116"/>
  <c r="F3336" i="116"/>
  <c r="E3336" i="116"/>
  <c r="D3336" i="116"/>
  <c r="C3336" i="116"/>
  <c r="B3336" i="116"/>
  <c r="K3335" i="116"/>
  <c r="J3335" i="116"/>
  <c r="I3335" i="116"/>
  <c r="H3335" i="116"/>
  <c r="G3335" i="116"/>
  <c r="F3335" i="116"/>
  <c r="E3335" i="116"/>
  <c r="D3335" i="116"/>
  <c r="C3335" i="116"/>
  <c r="B3335" i="116"/>
  <c r="K3334" i="116"/>
  <c r="J3334" i="116"/>
  <c r="I3334" i="116"/>
  <c r="H3334" i="116"/>
  <c r="G3334" i="116"/>
  <c r="F3334" i="116"/>
  <c r="E3334" i="116"/>
  <c r="D3334" i="116"/>
  <c r="C3334" i="116"/>
  <c r="B3334" i="116"/>
  <c r="K3333" i="116"/>
  <c r="J3333" i="116"/>
  <c r="I3333" i="116"/>
  <c r="H3333" i="116"/>
  <c r="G3333" i="116"/>
  <c r="F3333" i="116"/>
  <c r="E3333" i="116"/>
  <c r="D3333" i="116"/>
  <c r="C3333" i="116"/>
  <c r="B3333" i="116"/>
  <c r="K3332" i="116"/>
  <c r="J3332" i="116"/>
  <c r="I3332" i="116"/>
  <c r="H3332" i="116"/>
  <c r="G3332" i="116"/>
  <c r="F3332" i="116"/>
  <c r="E3332" i="116"/>
  <c r="D3332" i="116"/>
  <c r="C3332" i="116"/>
  <c r="B3332" i="116"/>
  <c r="K3331" i="116"/>
  <c r="J3331" i="116"/>
  <c r="I3331" i="116"/>
  <c r="H3331" i="116"/>
  <c r="G3331" i="116"/>
  <c r="F3331" i="116"/>
  <c r="E3331" i="116"/>
  <c r="D3331" i="116"/>
  <c r="C3331" i="116"/>
  <c r="B3331" i="116"/>
  <c r="K3330" i="116"/>
  <c r="J3330" i="116"/>
  <c r="I3330" i="116"/>
  <c r="H3330" i="116"/>
  <c r="G3330" i="116"/>
  <c r="F3330" i="116"/>
  <c r="E3330" i="116"/>
  <c r="D3330" i="116"/>
  <c r="C3330" i="116"/>
  <c r="B3330" i="116"/>
  <c r="K3329" i="116"/>
  <c r="J3329" i="116"/>
  <c r="I3329" i="116"/>
  <c r="H3329" i="116"/>
  <c r="G3329" i="116"/>
  <c r="F3329" i="116"/>
  <c r="E3329" i="116"/>
  <c r="D3329" i="116"/>
  <c r="C3329" i="116"/>
  <c r="B3329" i="116"/>
  <c r="K3328" i="116"/>
  <c r="J3328" i="116"/>
  <c r="I3328" i="116"/>
  <c r="H3328" i="116"/>
  <c r="G3328" i="116"/>
  <c r="F3328" i="116"/>
  <c r="E3328" i="116"/>
  <c r="D3328" i="116"/>
  <c r="C3328" i="116"/>
  <c r="B3328" i="116"/>
  <c r="K3327" i="116"/>
  <c r="J3327" i="116"/>
  <c r="I3327" i="116"/>
  <c r="H3327" i="116"/>
  <c r="G3327" i="116"/>
  <c r="F3327" i="116"/>
  <c r="E3327" i="116"/>
  <c r="D3327" i="116"/>
  <c r="C3327" i="116"/>
  <c r="B3327" i="116"/>
  <c r="K3326" i="116"/>
  <c r="J3326" i="116"/>
  <c r="I3326" i="116"/>
  <c r="H3326" i="116"/>
  <c r="G3326" i="116"/>
  <c r="F3326" i="116"/>
  <c r="E3326" i="116"/>
  <c r="D3326" i="116"/>
  <c r="C3326" i="116"/>
  <c r="B3326" i="116"/>
  <c r="K3325" i="116"/>
  <c r="J3325" i="116"/>
  <c r="I3325" i="116"/>
  <c r="H3325" i="116"/>
  <c r="G3325" i="116"/>
  <c r="F3325" i="116"/>
  <c r="E3325" i="116"/>
  <c r="D3325" i="116"/>
  <c r="C3325" i="116"/>
  <c r="B3325" i="116"/>
  <c r="K3324" i="116"/>
  <c r="J3324" i="116"/>
  <c r="I3324" i="116"/>
  <c r="H3324" i="116"/>
  <c r="G3324" i="116"/>
  <c r="F3324" i="116"/>
  <c r="E3324" i="116"/>
  <c r="D3324" i="116"/>
  <c r="C3324" i="116"/>
  <c r="B3324" i="116"/>
  <c r="K3323" i="116"/>
  <c r="J3323" i="116"/>
  <c r="I3323" i="116"/>
  <c r="H3323" i="116"/>
  <c r="G3323" i="116"/>
  <c r="F3323" i="116"/>
  <c r="E3323" i="116"/>
  <c r="D3323" i="116"/>
  <c r="C3323" i="116"/>
  <c r="B3323" i="116"/>
  <c r="K3322" i="116"/>
  <c r="J3322" i="116"/>
  <c r="I3322" i="116"/>
  <c r="H3322" i="116"/>
  <c r="G3322" i="116"/>
  <c r="F3322" i="116"/>
  <c r="E3322" i="116"/>
  <c r="D3322" i="116"/>
  <c r="C3322" i="116"/>
  <c r="B3322" i="116"/>
  <c r="K3321" i="116"/>
  <c r="J3321" i="116"/>
  <c r="I3321" i="116"/>
  <c r="H3321" i="116"/>
  <c r="G3321" i="116"/>
  <c r="F3321" i="116"/>
  <c r="E3321" i="116"/>
  <c r="D3321" i="116"/>
  <c r="C3321" i="116"/>
  <c r="B3321" i="116"/>
  <c r="K3320" i="116"/>
  <c r="J3320" i="116"/>
  <c r="I3320" i="116"/>
  <c r="H3320" i="116"/>
  <c r="G3320" i="116"/>
  <c r="F3320" i="116"/>
  <c r="E3320" i="116"/>
  <c r="D3320" i="116"/>
  <c r="C3320" i="116"/>
  <c r="B3320" i="116"/>
  <c r="K3319" i="116"/>
  <c r="J3319" i="116"/>
  <c r="I3319" i="116"/>
  <c r="H3319" i="116"/>
  <c r="G3319" i="116"/>
  <c r="F3319" i="116"/>
  <c r="E3319" i="116"/>
  <c r="D3319" i="116"/>
  <c r="C3319" i="116"/>
  <c r="B3319" i="116"/>
  <c r="K3318" i="116"/>
  <c r="J3318" i="116"/>
  <c r="I3318" i="116"/>
  <c r="H3318" i="116"/>
  <c r="G3318" i="116"/>
  <c r="F3318" i="116"/>
  <c r="E3318" i="116"/>
  <c r="D3318" i="116"/>
  <c r="C3318" i="116"/>
  <c r="B3318" i="116"/>
  <c r="K3317" i="116"/>
  <c r="J3317" i="116"/>
  <c r="I3317" i="116"/>
  <c r="H3317" i="116"/>
  <c r="G3317" i="116"/>
  <c r="F3317" i="116"/>
  <c r="E3317" i="116"/>
  <c r="D3317" i="116"/>
  <c r="C3317" i="116"/>
  <c r="B3317" i="116"/>
  <c r="K3316" i="116"/>
  <c r="J3316" i="116"/>
  <c r="I3316" i="116"/>
  <c r="H3316" i="116"/>
  <c r="G3316" i="116"/>
  <c r="F3316" i="116"/>
  <c r="E3316" i="116"/>
  <c r="D3316" i="116"/>
  <c r="C3316" i="116"/>
  <c r="B3316" i="116"/>
  <c r="K3315" i="116"/>
  <c r="J3315" i="116"/>
  <c r="I3315" i="116"/>
  <c r="H3315" i="116"/>
  <c r="G3315" i="116"/>
  <c r="F3315" i="116"/>
  <c r="E3315" i="116"/>
  <c r="D3315" i="116"/>
  <c r="C3315" i="116"/>
  <c r="B3315" i="116"/>
  <c r="K3314" i="116"/>
  <c r="J3314" i="116"/>
  <c r="I3314" i="116"/>
  <c r="H3314" i="116"/>
  <c r="G3314" i="116"/>
  <c r="F3314" i="116"/>
  <c r="E3314" i="116"/>
  <c r="D3314" i="116"/>
  <c r="C3314" i="116"/>
  <c r="B3314" i="116"/>
  <c r="K3313" i="116"/>
  <c r="J3313" i="116"/>
  <c r="I3313" i="116"/>
  <c r="H3313" i="116"/>
  <c r="G3313" i="116"/>
  <c r="F3313" i="116"/>
  <c r="E3313" i="116"/>
  <c r="D3313" i="116"/>
  <c r="C3313" i="116"/>
  <c r="B3313" i="116"/>
  <c r="K3312" i="116"/>
  <c r="J3312" i="116"/>
  <c r="I3312" i="116"/>
  <c r="H3312" i="116"/>
  <c r="G3312" i="116"/>
  <c r="F3312" i="116"/>
  <c r="E3312" i="116"/>
  <c r="D3312" i="116"/>
  <c r="C3312" i="116"/>
  <c r="B3312" i="116"/>
  <c r="K3311" i="116"/>
  <c r="J3311" i="116"/>
  <c r="I3311" i="116"/>
  <c r="H3311" i="116"/>
  <c r="G3311" i="116"/>
  <c r="F3311" i="116"/>
  <c r="E3311" i="116"/>
  <c r="D3311" i="116"/>
  <c r="C3311" i="116"/>
  <c r="B3311" i="116"/>
  <c r="K3310" i="116"/>
  <c r="J3310" i="116"/>
  <c r="I3310" i="116"/>
  <c r="H3310" i="116"/>
  <c r="G3310" i="116"/>
  <c r="F3310" i="116"/>
  <c r="E3310" i="116"/>
  <c r="D3310" i="116"/>
  <c r="C3310" i="116"/>
  <c r="B3310" i="116"/>
  <c r="K3309" i="116"/>
  <c r="J3309" i="116"/>
  <c r="I3309" i="116"/>
  <c r="H3309" i="116"/>
  <c r="G3309" i="116"/>
  <c r="F3309" i="116"/>
  <c r="E3309" i="116"/>
  <c r="D3309" i="116"/>
  <c r="C3309" i="116"/>
  <c r="B3309" i="116"/>
  <c r="K3308" i="116"/>
  <c r="J3308" i="116"/>
  <c r="I3308" i="116"/>
  <c r="H3308" i="116"/>
  <c r="G3308" i="116"/>
  <c r="F3308" i="116"/>
  <c r="E3308" i="116"/>
  <c r="D3308" i="116"/>
  <c r="C3308" i="116"/>
  <c r="B3308" i="116"/>
  <c r="K3307" i="116"/>
  <c r="J3307" i="116"/>
  <c r="I3307" i="116"/>
  <c r="H3307" i="116"/>
  <c r="G3307" i="116"/>
  <c r="F3307" i="116"/>
  <c r="E3307" i="116"/>
  <c r="D3307" i="116"/>
  <c r="C3307" i="116"/>
  <c r="B3307" i="116"/>
  <c r="K3306" i="116"/>
  <c r="J3306" i="116"/>
  <c r="I3306" i="116"/>
  <c r="H3306" i="116"/>
  <c r="G3306" i="116"/>
  <c r="F3306" i="116"/>
  <c r="E3306" i="116"/>
  <c r="D3306" i="116"/>
  <c r="C3306" i="116"/>
  <c r="B3306" i="116"/>
  <c r="K3305" i="116"/>
  <c r="J3305" i="116"/>
  <c r="I3305" i="116"/>
  <c r="H3305" i="116"/>
  <c r="G3305" i="116"/>
  <c r="F3305" i="116"/>
  <c r="E3305" i="116"/>
  <c r="D3305" i="116"/>
  <c r="C3305" i="116"/>
  <c r="B3305" i="116"/>
  <c r="K3304" i="116"/>
  <c r="J3304" i="116"/>
  <c r="I3304" i="116"/>
  <c r="H3304" i="116"/>
  <c r="G3304" i="116"/>
  <c r="F3304" i="116"/>
  <c r="E3304" i="116"/>
  <c r="D3304" i="116"/>
  <c r="C3304" i="116"/>
  <c r="B3304" i="116"/>
  <c r="K3303" i="116"/>
  <c r="J3303" i="116"/>
  <c r="I3303" i="116"/>
  <c r="H3303" i="116"/>
  <c r="G3303" i="116"/>
  <c r="F3303" i="116"/>
  <c r="E3303" i="116"/>
  <c r="D3303" i="116"/>
  <c r="C3303" i="116"/>
  <c r="B3303" i="116"/>
  <c r="K3302" i="116"/>
  <c r="J3302" i="116"/>
  <c r="I3302" i="116"/>
  <c r="H3302" i="116"/>
  <c r="G3302" i="116"/>
  <c r="F3302" i="116"/>
  <c r="E3302" i="116"/>
  <c r="D3302" i="116"/>
  <c r="C3302" i="116"/>
  <c r="B3302" i="116"/>
  <c r="K3301" i="116"/>
  <c r="J3301" i="116"/>
  <c r="I3301" i="116"/>
  <c r="H3301" i="116"/>
  <c r="G3301" i="116"/>
  <c r="F3301" i="116"/>
  <c r="E3301" i="116"/>
  <c r="D3301" i="116"/>
  <c r="C3301" i="116"/>
  <c r="B3301" i="116"/>
  <c r="K3300" i="116"/>
  <c r="J3300" i="116"/>
  <c r="I3300" i="116"/>
  <c r="H3300" i="116"/>
  <c r="G3300" i="116"/>
  <c r="F3300" i="116"/>
  <c r="E3300" i="116"/>
  <c r="D3300" i="116"/>
  <c r="C3300" i="116"/>
  <c r="B3300" i="116"/>
  <c r="K3299" i="116"/>
  <c r="J3299" i="116"/>
  <c r="I3299" i="116"/>
  <c r="H3299" i="116"/>
  <c r="G3299" i="116"/>
  <c r="F3299" i="116"/>
  <c r="E3299" i="116"/>
  <c r="D3299" i="116"/>
  <c r="C3299" i="116"/>
  <c r="B3299" i="116"/>
  <c r="K3298" i="116"/>
  <c r="J3298" i="116"/>
  <c r="I3298" i="116"/>
  <c r="H3298" i="116"/>
  <c r="G3298" i="116"/>
  <c r="F3298" i="116"/>
  <c r="E3298" i="116"/>
  <c r="D3298" i="116"/>
  <c r="C3298" i="116"/>
  <c r="B3298" i="116"/>
  <c r="K3297" i="116"/>
  <c r="J3297" i="116"/>
  <c r="I3297" i="116"/>
  <c r="H3297" i="116"/>
  <c r="G3297" i="116"/>
  <c r="F3297" i="116"/>
  <c r="E3297" i="116"/>
  <c r="D3297" i="116"/>
  <c r="C3297" i="116"/>
  <c r="B3297" i="116"/>
  <c r="K3296" i="116"/>
  <c r="J3296" i="116"/>
  <c r="I3296" i="116"/>
  <c r="H3296" i="116"/>
  <c r="G3296" i="116"/>
  <c r="F3296" i="116"/>
  <c r="E3296" i="116"/>
  <c r="D3296" i="116"/>
  <c r="C3296" i="116"/>
  <c r="B3296" i="116"/>
  <c r="K3295" i="116"/>
  <c r="J3295" i="116"/>
  <c r="I3295" i="116"/>
  <c r="H3295" i="116"/>
  <c r="G3295" i="116"/>
  <c r="F3295" i="116"/>
  <c r="E3295" i="116"/>
  <c r="D3295" i="116"/>
  <c r="C3295" i="116"/>
  <c r="B3295" i="116"/>
  <c r="K3294" i="116"/>
  <c r="J3294" i="116"/>
  <c r="I3294" i="116"/>
  <c r="H3294" i="116"/>
  <c r="G3294" i="116"/>
  <c r="F3294" i="116"/>
  <c r="E3294" i="116"/>
  <c r="D3294" i="116"/>
  <c r="C3294" i="116"/>
  <c r="B3294" i="116"/>
  <c r="K3293" i="116"/>
  <c r="J3293" i="116"/>
  <c r="I3293" i="116"/>
  <c r="H3293" i="116"/>
  <c r="G3293" i="116"/>
  <c r="F3293" i="116"/>
  <c r="E3293" i="116"/>
  <c r="D3293" i="116"/>
  <c r="C3293" i="116"/>
  <c r="B3293" i="116"/>
  <c r="K3292" i="116"/>
  <c r="J3292" i="116"/>
  <c r="I3292" i="116"/>
  <c r="H3292" i="116"/>
  <c r="G3292" i="116"/>
  <c r="F3292" i="116"/>
  <c r="E3292" i="116"/>
  <c r="D3292" i="116"/>
  <c r="C3292" i="116"/>
  <c r="B3292" i="116"/>
  <c r="K3291" i="116"/>
  <c r="J3291" i="116"/>
  <c r="I3291" i="116"/>
  <c r="H3291" i="116"/>
  <c r="G3291" i="116"/>
  <c r="F3291" i="116"/>
  <c r="E3291" i="116"/>
  <c r="D3291" i="116"/>
  <c r="C3291" i="116"/>
  <c r="B3291" i="116"/>
  <c r="K3290" i="116"/>
  <c r="J3290" i="116"/>
  <c r="I3290" i="116"/>
  <c r="H3290" i="116"/>
  <c r="G3290" i="116"/>
  <c r="F3290" i="116"/>
  <c r="E3290" i="116"/>
  <c r="D3290" i="116"/>
  <c r="C3290" i="116"/>
  <c r="B3290" i="116"/>
  <c r="K3289" i="116"/>
  <c r="J3289" i="116"/>
  <c r="I3289" i="116"/>
  <c r="H3289" i="116"/>
  <c r="G3289" i="116"/>
  <c r="F3289" i="116"/>
  <c r="E3289" i="116"/>
  <c r="D3289" i="116"/>
  <c r="C3289" i="116"/>
  <c r="B3289" i="116"/>
  <c r="K3288" i="116"/>
  <c r="J3288" i="116"/>
  <c r="I3288" i="116"/>
  <c r="H3288" i="116"/>
  <c r="G3288" i="116"/>
  <c r="F3288" i="116"/>
  <c r="E3288" i="116"/>
  <c r="D3288" i="116"/>
  <c r="C3288" i="116"/>
  <c r="B3288" i="116"/>
  <c r="K3287" i="116"/>
  <c r="J3287" i="116"/>
  <c r="I3287" i="116"/>
  <c r="H3287" i="116"/>
  <c r="G3287" i="116"/>
  <c r="F3287" i="116"/>
  <c r="E3287" i="116"/>
  <c r="D3287" i="116"/>
  <c r="C3287" i="116"/>
  <c r="B3287" i="116"/>
  <c r="K3286" i="116"/>
  <c r="J3286" i="116"/>
  <c r="I3286" i="116"/>
  <c r="H3286" i="116"/>
  <c r="G3286" i="116"/>
  <c r="F3286" i="116"/>
  <c r="E3286" i="116"/>
  <c r="D3286" i="116"/>
  <c r="C3286" i="116"/>
  <c r="B3286" i="116"/>
  <c r="K3285" i="116"/>
  <c r="J3285" i="116"/>
  <c r="I3285" i="116"/>
  <c r="H3285" i="116"/>
  <c r="G3285" i="116"/>
  <c r="F3285" i="116"/>
  <c r="E3285" i="116"/>
  <c r="D3285" i="116"/>
  <c r="C3285" i="116"/>
  <c r="B3285" i="116"/>
  <c r="K3284" i="116"/>
  <c r="J3284" i="116"/>
  <c r="I3284" i="116"/>
  <c r="H3284" i="116"/>
  <c r="G3284" i="116"/>
  <c r="F3284" i="116"/>
  <c r="E3284" i="116"/>
  <c r="D3284" i="116"/>
  <c r="C3284" i="116"/>
  <c r="B3284" i="116"/>
  <c r="K3283" i="116"/>
  <c r="J3283" i="116"/>
  <c r="I3283" i="116"/>
  <c r="H3283" i="116"/>
  <c r="G3283" i="116"/>
  <c r="F3283" i="116"/>
  <c r="E3283" i="116"/>
  <c r="D3283" i="116"/>
  <c r="C3283" i="116"/>
  <c r="B3283" i="116"/>
  <c r="K3282" i="116"/>
  <c r="J3282" i="116"/>
  <c r="I3282" i="116"/>
  <c r="H3282" i="116"/>
  <c r="G3282" i="116"/>
  <c r="F3282" i="116"/>
  <c r="E3282" i="116"/>
  <c r="D3282" i="116"/>
  <c r="C3282" i="116"/>
  <c r="B3282" i="116"/>
  <c r="K3281" i="116"/>
  <c r="J3281" i="116"/>
  <c r="I3281" i="116"/>
  <c r="H3281" i="116"/>
  <c r="G3281" i="116"/>
  <c r="F3281" i="116"/>
  <c r="E3281" i="116"/>
  <c r="D3281" i="116"/>
  <c r="C3281" i="116"/>
  <c r="B3281" i="116"/>
  <c r="K3280" i="116"/>
  <c r="J3280" i="116"/>
  <c r="I3280" i="116"/>
  <c r="H3280" i="116"/>
  <c r="G3280" i="116"/>
  <c r="F3280" i="116"/>
  <c r="E3280" i="116"/>
  <c r="D3280" i="116"/>
  <c r="C3280" i="116"/>
  <c r="B3280" i="116"/>
  <c r="K3279" i="116"/>
  <c r="J3279" i="116"/>
  <c r="I3279" i="116"/>
  <c r="H3279" i="116"/>
  <c r="G3279" i="116"/>
  <c r="F3279" i="116"/>
  <c r="E3279" i="116"/>
  <c r="D3279" i="116"/>
  <c r="C3279" i="116"/>
  <c r="B3279" i="116"/>
  <c r="K3278" i="116"/>
  <c r="J3278" i="116"/>
  <c r="I3278" i="116"/>
  <c r="H3278" i="116"/>
  <c r="G3278" i="116"/>
  <c r="F3278" i="116"/>
  <c r="E3278" i="116"/>
  <c r="D3278" i="116"/>
  <c r="C3278" i="116"/>
  <c r="B3278" i="116"/>
  <c r="K3277" i="116"/>
  <c r="J3277" i="116"/>
  <c r="I3277" i="116"/>
  <c r="H3277" i="116"/>
  <c r="G3277" i="116"/>
  <c r="F3277" i="116"/>
  <c r="E3277" i="116"/>
  <c r="D3277" i="116"/>
  <c r="C3277" i="116"/>
  <c r="B3277" i="116"/>
  <c r="K3276" i="116"/>
  <c r="J3276" i="116"/>
  <c r="I3276" i="116"/>
  <c r="H3276" i="116"/>
  <c r="G3276" i="116"/>
  <c r="F3276" i="116"/>
  <c r="E3276" i="116"/>
  <c r="D3276" i="116"/>
  <c r="C3276" i="116"/>
  <c r="B3276" i="116"/>
  <c r="K3275" i="116"/>
  <c r="J3275" i="116"/>
  <c r="I3275" i="116"/>
  <c r="H3275" i="116"/>
  <c r="G3275" i="116"/>
  <c r="F3275" i="116"/>
  <c r="E3275" i="116"/>
  <c r="D3275" i="116"/>
  <c r="C3275" i="116"/>
  <c r="B3275" i="116"/>
  <c r="K3274" i="116"/>
  <c r="J3274" i="116"/>
  <c r="I3274" i="116"/>
  <c r="H3274" i="116"/>
  <c r="G3274" i="116"/>
  <c r="F3274" i="116"/>
  <c r="E3274" i="116"/>
  <c r="D3274" i="116"/>
  <c r="C3274" i="116"/>
  <c r="B3274" i="116"/>
  <c r="K3273" i="116"/>
  <c r="J3273" i="116"/>
  <c r="I3273" i="116"/>
  <c r="H3273" i="116"/>
  <c r="G3273" i="116"/>
  <c r="F3273" i="116"/>
  <c r="E3273" i="116"/>
  <c r="D3273" i="116"/>
  <c r="C3273" i="116"/>
  <c r="B3273" i="116"/>
  <c r="K3272" i="116"/>
  <c r="J3272" i="116"/>
  <c r="I3272" i="116"/>
  <c r="H3272" i="116"/>
  <c r="G3272" i="116"/>
  <c r="F3272" i="116"/>
  <c r="E3272" i="116"/>
  <c r="D3272" i="116"/>
  <c r="C3272" i="116"/>
  <c r="B3272" i="116"/>
  <c r="K3271" i="116"/>
  <c r="J3271" i="116"/>
  <c r="I3271" i="116"/>
  <c r="H3271" i="116"/>
  <c r="G3271" i="116"/>
  <c r="F3271" i="116"/>
  <c r="E3271" i="116"/>
  <c r="D3271" i="116"/>
  <c r="C3271" i="116"/>
  <c r="B3271" i="116"/>
  <c r="K3270" i="116"/>
  <c r="J3270" i="116"/>
  <c r="I3270" i="116"/>
  <c r="H3270" i="116"/>
  <c r="G3270" i="116"/>
  <c r="F3270" i="116"/>
  <c r="E3270" i="116"/>
  <c r="D3270" i="116"/>
  <c r="C3270" i="116"/>
  <c r="B3270" i="116"/>
  <c r="K3269" i="116"/>
  <c r="J3269" i="116"/>
  <c r="I3269" i="116"/>
  <c r="H3269" i="116"/>
  <c r="G3269" i="116"/>
  <c r="F3269" i="116"/>
  <c r="E3269" i="116"/>
  <c r="D3269" i="116"/>
  <c r="C3269" i="116"/>
  <c r="B3269" i="116"/>
  <c r="K3268" i="116"/>
  <c r="J3268" i="116"/>
  <c r="I3268" i="116"/>
  <c r="H3268" i="116"/>
  <c r="G3268" i="116"/>
  <c r="F3268" i="116"/>
  <c r="E3268" i="116"/>
  <c r="D3268" i="116"/>
  <c r="C3268" i="116"/>
  <c r="B3268" i="116"/>
  <c r="K3267" i="116"/>
  <c r="J3267" i="116"/>
  <c r="I3267" i="116"/>
  <c r="H3267" i="116"/>
  <c r="G3267" i="116"/>
  <c r="F3267" i="116"/>
  <c r="E3267" i="116"/>
  <c r="D3267" i="116"/>
  <c r="C3267" i="116"/>
  <c r="B3267" i="116"/>
  <c r="K3266" i="116"/>
  <c r="J3266" i="116"/>
  <c r="I3266" i="116"/>
  <c r="H3266" i="116"/>
  <c r="G3266" i="116"/>
  <c r="F3266" i="116"/>
  <c r="E3266" i="116"/>
  <c r="D3266" i="116"/>
  <c r="C3266" i="116"/>
  <c r="B3266" i="116"/>
  <c r="K3265" i="116"/>
  <c r="J3265" i="116"/>
  <c r="I3265" i="116"/>
  <c r="H3265" i="116"/>
  <c r="G3265" i="116"/>
  <c r="F3265" i="116"/>
  <c r="E3265" i="116"/>
  <c r="D3265" i="116"/>
  <c r="C3265" i="116"/>
  <c r="B3265" i="116"/>
  <c r="K3264" i="116"/>
  <c r="J3264" i="116"/>
  <c r="I3264" i="116"/>
  <c r="H3264" i="116"/>
  <c r="G3264" i="116"/>
  <c r="F3264" i="116"/>
  <c r="E3264" i="116"/>
  <c r="D3264" i="116"/>
  <c r="C3264" i="116"/>
  <c r="B3264" i="116"/>
  <c r="K3263" i="116"/>
  <c r="J3263" i="116"/>
  <c r="I3263" i="116"/>
  <c r="H3263" i="116"/>
  <c r="G3263" i="116"/>
  <c r="F3263" i="116"/>
  <c r="E3263" i="116"/>
  <c r="D3263" i="116"/>
  <c r="C3263" i="116"/>
  <c r="B3263" i="116"/>
  <c r="K3262" i="116"/>
  <c r="J3262" i="116"/>
  <c r="I3262" i="116"/>
  <c r="H3262" i="116"/>
  <c r="G3262" i="116"/>
  <c r="F3262" i="116"/>
  <c r="E3262" i="116"/>
  <c r="D3262" i="116"/>
  <c r="C3262" i="116"/>
  <c r="B3262" i="116"/>
  <c r="K3261" i="116"/>
  <c r="J3261" i="116"/>
  <c r="I3261" i="116"/>
  <c r="H3261" i="116"/>
  <c r="G3261" i="116"/>
  <c r="F3261" i="116"/>
  <c r="E3261" i="116"/>
  <c r="D3261" i="116"/>
  <c r="C3261" i="116"/>
  <c r="B3261" i="116"/>
  <c r="K3260" i="116"/>
  <c r="J3260" i="116"/>
  <c r="I3260" i="116"/>
  <c r="H3260" i="116"/>
  <c r="G3260" i="116"/>
  <c r="F3260" i="116"/>
  <c r="E3260" i="116"/>
  <c r="D3260" i="116"/>
  <c r="C3260" i="116"/>
  <c r="B3260" i="116"/>
  <c r="K3259" i="116"/>
  <c r="J3259" i="116"/>
  <c r="I3259" i="116"/>
  <c r="H3259" i="116"/>
  <c r="G3259" i="116"/>
  <c r="F3259" i="116"/>
  <c r="E3259" i="116"/>
  <c r="D3259" i="116"/>
  <c r="C3259" i="116"/>
  <c r="B3259" i="116"/>
  <c r="K3258" i="116"/>
  <c r="J3258" i="116"/>
  <c r="I3258" i="116"/>
  <c r="H3258" i="116"/>
  <c r="G3258" i="116"/>
  <c r="F3258" i="116"/>
  <c r="E3258" i="116"/>
  <c r="D3258" i="116"/>
  <c r="C3258" i="116"/>
  <c r="B3258" i="116"/>
  <c r="K3257" i="116"/>
  <c r="J3257" i="116"/>
  <c r="I3257" i="116"/>
  <c r="H3257" i="116"/>
  <c r="G3257" i="116"/>
  <c r="F3257" i="116"/>
  <c r="E3257" i="116"/>
  <c r="D3257" i="116"/>
  <c r="C3257" i="116"/>
  <c r="B3257" i="116"/>
  <c r="K3256" i="116"/>
  <c r="J3256" i="116"/>
  <c r="I3256" i="116"/>
  <c r="H3256" i="116"/>
  <c r="G3256" i="116"/>
  <c r="F3256" i="116"/>
  <c r="E3256" i="116"/>
  <c r="D3256" i="116"/>
  <c r="C3256" i="116"/>
  <c r="B3256" i="116"/>
  <c r="K3255" i="116"/>
  <c r="J3255" i="116"/>
  <c r="I3255" i="116"/>
  <c r="H3255" i="116"/>
  <c r="G3255" i="116"/>
  <c r="F3255" i="116"/>
  <c r="E3255" i="116"/>
  <c r="D3255" i="116"/>
  <c r="C3255" i="116"/>
  <c r="B3255" i="116"/>
  <c r="K3254" i="116"/>
  <c r="J3254" i="116"/>
  <c r="I3254" i="116"/>
  <c r="H3254" i="116"/>
  <c r="G3254" i="116"/>
  <c r="F3254" i="116"/>
  <c r="E3254" i="116"/>
  <c r="D3254" i="116"/>
  <c r="C3254" i="116"/>
  <c r="B3254" i="116"/>
  <c r="K3253" i="116"/>
  <c r="J3253" i="116"/>
  <c r="I3253" i="116"/>
  <c r="H3253" i="116"/>
  <c r="G3253" i="116"/>
  <c r="F3253" i="116"/>
  <c r="E3253" i="116"/>
  <c r="D3253" i="116"/>
  <c r="C3253" i="116"/>
  <c r="B3253" i="116"/>
  <c r="K3252" i="116"/>
  <c r="J3252" i="116"/>
  <c r="I3252" i="116"/>
  <c r="H3252" i="116"/>
  <c r="G3252" i="116"/>
  <c r="F3252" i="116"/>
  <c r="E3252" i="116"/>
  <c r="D3252" i="116"/>
  <c r="C3252" i="116"/>
  <c r="B3252" i="116"/>
  <c r="K3251" i="116"/>
  <c r="J3251" i="116"/>
  <c r="I3251" i="116"/>
  <c r="H3251" i="116"/>
  <c r="G3251" i="116"/>
  <c r="F3251" i="116"/>
  <c r="E3251" i="116"/>
  <c r="D3251" i="116"/>
  <c r="C3251" i="116"/>
  <c r="B3251" i="116"/>
  <c r="K3250" i="116"/>
  <c r="J3250" i="116"/>
  <c r="I3250" i="116"/>
  <c r="H3250" i="116"/>
  <c r="G3250" i="116"/>
  <c r="F3250" i="116"/>
  <c r="E3250" i="116"/>
  <c r="D3250" i="116"/>
  <c r="C3250" i="116"/>
  <c r="B3250" i="116"/>
  <c r="K3249" i="116"/>
  <c r="J3249" i="116"/>
  <c r="I3249" i="116"/>
  <c r="H3249" i="116"/>
  <c r="G3249" i="116"/>
  <c r="F3249" i="116"/>
  <c r="E3249" i="116"/>
  <c r="D3249" i="116"/>
  <c r="C3249" i="116"/>
  <c r="B3249" i="116"/>
  <c r="K3248" i="116"/>
  <c r="J3248" i="116"/>
  <c r="I3248" i="116"/>
  <c r="H3248" i="116"/>
  <c r="G3248" i="116"/>
  <c r="F3248" i="116"/>
  <c r="E3248" i="116"/>
  <c r="D3248" i="116"/>
  <c r="C3248" i="116"/>
  <c r="B3248" i="116"/>
  <c r="K3247" i="116"/>
  <c r="J3247" i="116"/>
  <c r="I3247" i="116"/>
  <c r="H3247" i="116"/>
  <c r="G3247" i="116"/>
  <c r="F3247" i="116"/>
  <c r="E3247" i="116"/>
  <c r="D3247" i="116"/>
  <c r="C3247" i="116"/>
  <c r="B3247" i="116"/>
  <c r="K3246" i="116"/>
  <c r="J3246" i="116"/>
  <c r="I3246" i="116"/>
  <c r="H3246" i="116"/>
  <c r="G3246" i="116"/>
  <c r="F3246" i="116"/>
  <c r="E3246" i="116"/>
  <c r="D3246" i="116"/>
  <c r="C3246" i="116"/>
  <c r="B3246" i="116"/>
  <c r="K3245" i="116"/>
  <c r="J3245" i="116"/>
  <c r="I3245" i="116"/>
  <c r="H3245" i="116"/>
  <c r="G3245" i="116"/>
  <c r="F3245" i="116"/>
  <c r="E3245" i="116"/>
  <c r="D3245" i="116"/>
  <c r="C3245" i="116"/>
  <c r="B3245" i="116"/>
  <c r="K3244" i="116"/>
  <c r="J3244" i="116"/>
  <c r="I3244" i="116"/>
  <c r="H3244" i="116"/>
  <c r="G3244" i="116"/>
  <c r="F3244" i="116"/>
  <c r="E3244" i="116"/>
  <c r="D3244" i="116"/>
  <c r="C3244" i="116"/>
  <c r="B3244" i="116"/>
  <c r="K3243" i="116"/>
  <c r="J3243" i="116"/>
  <c r="I3243" i="116"/>
  <c r="H3243" i="116"/>
  <c r="G3243" i="116"/>
  <c r="F3243" i="116"/>
  <c r="E3243" i="116"/>
  <c r="D3243" i="116"/>
  <c r="C3243" i="116"/>
  <c r="B3243" i="116"/>
  <c r="K3242" i="116"/>
  <c r="J3242" i="116"/>
  <c r="I3242" i="116"/>
  <c r="H3242" i="116"/>
  <c r="G3242" i="116"/>
  <c r="F3242" i="116"/>
  <c r="E3242" i="116"/>
  <c r="D3242" i="116"/>
  <c r="C3242" i="116"/>
  <c r="B3242" i="116"/>
  <c r="K3241" i="116"/>
  <c r="J3241" i="116"/>
  <c r="I3241" i="116"/>
  <c r="H3241" i="116"/>
  <c r="G3241" i="116"/>
  <c r="F3241" i="116"/>
  <c r="E3241" i="116"/>
  <c r="D3241" i="116"/>
  <c r="C3241" i="116"/>
  <c r="B3241" i="116"/>
  <c r="K3240" i="116"/>
  <c r="J3240" i="116"/>
  <c r="I3240" i="116"/>
  <c r="H3240" i="116"/>
  <c r="G3240" i="116"/>
  <c r="F3240" i="116"/>
  <c r="E3240" i="116"/>
  <c r="D3240" i="116"/>
  <c r="C3240" i="116"/>
  <c r="B3240" i="116"/>
  <c r="K3239" i="116"/>
  <c r="J3239" i="116"/>
  <c r="I3239" i="116"/>
  <c r="H3239" i="116"/>
  <c r="G3239" i="116"/>
  <c r="F3239" i="116"/>
  <c r="E3239" i="116"/>
  <c r="D3239" i="116"/>
  <c r="C3239" i="116"/>
  <c r="B3239" i="116"/>
  <c r="K3238" i="116"/>
  <c r="J3238" i="116"/>
  <c r="I3238" i="116"/>
  <c r="H3238" i="116"/>
  <c r="G3238" i="116"/>
  <c r="F3238" i="116"/>
  <c r="E3238" i="116"/>
  <c r="D3238" i="116"/>
  <c r="C3238" i="116"/>
  <c r="B3238" i="116"/>
  <c r="K3237" i="116"/>
  <c r="J3237" i="116"/>
  <c r="I3237" i="116"/>
  <c r="H3237" i="116"/>
  <c r="G3237" i="116"/>
  <c r="F3237" i="116"/>
  <c r="E3237" i="116"/>
  <c r="D3237" i="116"/>
  <c r="C3237" i="116"/>
  <c r="B3237" i="116"/>
  <c r="K3236" i="116"/>
  <c r="J3236" i="116"/>
  <c r="I3236" i="116"/>
  <c r="H3236" i="116"/>
  <c r="G3236" i="116"/>
  <c r="F3236" i="116"/>
  <c r="E3236" i="116"/>
  <c r="D3236" i="116"/>
  <c r="C3236" i="116"/>
  <c r="B3236" i="116"/>
  <c r="K3235" i="116"/>
  <c r="J3235" i="116"/>
  <c r="I3235" i="116"/>
  <c r="H3235" i="116"/>
  <c r="G3235" i="116"/>
  <c r="F3235" i="116"/>
  <c r="E3235" i="116"/>
  <c r="D3235" i="116"/>
  <c r="C3235" i="116"/>
  <c r="B3235" i="116"/>
  <c r="K3234" i="116"/>
  <c r="J3234" i="116"/>
  <c r="I3234" i="116"/>
  <c r="H3234" i="116"/>
  <c r="G3234" i="116"/>
  <c r="F3234" i="116"/>
  <c r="E3234" i="116"/>
  <c r="D3234" i="116"/>
  <c r="C3234" i="116"/>
  <c r="B3234" i="116"/>
  <c r="K3233" i="116"/>
  <c r="J3233" i="116"/>
  <c r="I3233" i="116"/>
  <c r="H3233" i="116"/>
  <c r="G3233" i="116"/>
  <c r="F3233" i="116"/>
  <c r="E3233" i="116"/>
  <c r="D3233" i="116"/>
  <c r="C3233" i="116"/>
  <c r="B3233" i="116"/>
  <c r="K3232" i="116"/>
  <c r="J3232" i="116"/>
  <c r="I3232" i="116"/>
  <c r="H3232" i="116"/>
  <c r="G3232" i="116"/>
  <c r="F3232" i="116"/>
  <c r="E3232" i="116"/>
  <c r="D3232" i="116"/>
  <c r="C3232" i="116"/>
  <c r="B3232" i="116"/>
  <c r="K3231" i="116"/>
  <c r="J3231" i="116"/>
  <c r="I3231" i="116"/>
  <c r="H3231" i="116"/>
  <c r="G3231" i="116"/>
  <c r="F3231" i="116"/>
  <c r="E3231" i="116"/>
  <c r="D3231" i="116"/>
  <c r="C3231" i="116"/>
  <c r="B3231" i="116"/>
  <c r="K3230" i="116"/>
  <c r="J3230" i="116"/>
  <c r="I3230" i="116"/>
  <c r="H3230" i="116"/>
  <c r="G3230" i="116"/>
  <c r="F3230" i="116"/>
  <c r="E3230" i="116"/>
  <c r="D3230" i="116"/>
  <c r="C3230" i="116"/>
  <c r="B3230" i="116"/>
  <c r="K3229" i="116"/>
  <c r="J3229" i="116"/>
  <c r="I3229" i="116"/>
  <c r="H3229" i="116"/>
  <c r="G3229" i="116"/>
  <c r="F3229" i="116"/>
  <c r="E3229" i="116"/>
  <c r="D3229" i="116"/>
  <c r="C3229" i="116"/>
  <c r="B3229" i="116"/>
  <c r="K3228" i="116"/>
  <c r="J3228" i="116"/>
  <c r="I3228" i="116"/>
  <c r="H3228" i="116"/>
  <c r="G3228" i="116"/>
  <c r="F3228" i="116"/>
  <c r="E3228" i="116"/>
  <c r="D3228" i="116"/>
  <c r="C3228" i="116"/>
  <c r="B3228" i="116"/>
  <c r="K3227" i="116"/>
  <c r="J3227" i="116"/>
  <c r="I3227" i="116"/>
  <c r="H3227" i="116"/>
  <c r="G3227" i="116"/>
  <c r="F3227" i="116"/>
  <c r="E3227" i="116"/>
  <c r="D3227" i="116"/>
  <c r="C3227" i="116"/>
  <c r="B3227" i="116"/>
  <c r="K3226" i="116"/>
  <c r="J3226" i="116"/>
  <c r="I3226" i="116"/>
  <c r="H3226" i="116"/>
  <c r="G3226" i="116"/>
  <c r="F3226" i="116"/>
  <c r="E3226" i="116"/>
  <c r="D3226" i="116"/>
  <c r="C3226" i="116"/>
  <c r="B3226" i="116"/>
  <c r="K3225" i="116"/>
  <c r="J3225" i="116"/>
  <c r="I3225" i="116"/>
  <c r="H3225" i="116"/>
  <c r="G3225" i="116"/>
  <c r="F3225" i="116"/>
  <c r="E3225" i="116"/>
  <c r="D3225" i="116"/>
  <c r="C3225" i="116"/>
  <c r="B3225" i="116"/>
  <c r="K3224" i="116"/>
  <c r="J3224" i="116"/>
  <c r="I3224" i="116"/>
  <c r="H3224" i="116"/>
  <c r="G3224" i="116"/>
  <c r="F3224" i="116"/>
  <c r="E3224" i="116"/>
  <c r="D3224" i="116"/>
  <c r="C3224" i="116"/>
  <c r="B3224" i="116"/>
  <c r="K3223" i="116"/>
  <c r="J3223" i="116"/>
  <c r="I3223" i="116"/>
  <c r="H3223" i="116"/>
  <c r="G3223" i="116"/>
  <c r="F3223" i="116"/>
  <c r="E3223" i="116"/>
  <c r="D3223" i="116"/>
  <c r="C3223" i="116"/>
  <c r="B3223" i="116"/>
  <c r="K3222" i="116"/>
  <c r="J3222" i="116"/>
  <c r="I3222" i="116"/>
  <c r="H3222" i="116"/>
  <c r="G3222" i="116"/>
  <c r="F3222" i="116"/>
  <c r="E3222" i="116"/>
  <c r="D3222" i="116"/>
  <c r="C3222" i="116"/>
  <c r="B3222" i="116"/>
  <c r="K3221" i="116"/>
  <c r="J3221" i="116"/>
  <c r="I3221" i="116"/>
  <c r="H3221" i="116"/>
  <c r="G3221" i="116"/>
  <c r="F3221" i="116"/>
  <c r="E3221" i="116"/>
  <c r="D3221" i="116"/>
  <c r="C3221" i="116"/>
  <c r="B3221" i="116"/>
  <c r="K3220" i="116"/>
  <c r="J3220" i="116"/>
  <c r="I3220" i="116"/>
  <c r="H3220" i="116"/>
  <c r="G3220" i="116"/>
  <c r="F3220" i="116"/>
  <c r="E3220" i="116"/>
  <c r="D3220" i="116"/>
  <c r="C3220" i="116"/>
  <c r="B3220" i="116"/>
  <c r="K3219" i="116"/>
  <c r="J3219" i="116"/>
  <c r="I3219" i="116"/>
  <c r="H3219" i="116"/>
  <c r="G3219" i="116"/>
  <c r="F3219" i="116"/>
  <c r="E3219" i="116"/>
  <c r="D3219" i="116"/>
  <c r="C3219" i="116"/>
  <c r="B3219" i="116"/>
  <c r="K3218" i="116"/>
  <c r="J3218" i="116"/>
  <c r="I3218" i="116"/>
  <c r="H3218" i="116"/>
  <c r="G3218" i="116"/>
  <c r="F3218" i="116"/>
  <c r="E3218" i="116"/>
  <c r="D3218" i="116"/>
  <c r="C3218" i="116"/>
  <c r="B3218" i="116"/>
  <c r="K3217" i="116"/>
  <c r="J3217" i="116"/>
  <c r="I3217" i="116"/>
  <c r="H3217" i="116"/>
  <c r="G3217" i="116"/>
  <c r="F3217" i="116"/>
  <c r="E3217" i="116"/>
  <c r="D3217" i="116"/>
  <c r="C3217" i="116"/>
  <c r="B3217" i="116"/>
  <c r="K3216" i="116"/>
  <c r="J3216" i="116"/>
  <c r="I3216" i="116"/>
  <c r="H3216" i="116"/>
  <c r="G3216" i="116"/>
  <c r="F3216" i="116"/>
  <c r="E3216" i="116"/>
  <c r="D3216" i="116"/>
  <c r="C3216" i="116"/>
  <c r="B3216" i="116"/>
  <c r="K3215" i="116"/>
  <c r="J3215" i="116"/>
  <c r="I3215" i="116"/>
  <c r="H3215" i="116"/>
  <c r="G3215" i="116"/>
  <c r="F3215" i="116"/>
  <c r="E3215" i="116"/>
  <c r="D3215" i="116"/>
  <c r="C3215" i="116"/>
  <c r="B3215" i="116"/>
  <c r="K3214" i="116"/>
  <c r="J3214" i="116"/>
  <c r="I3214" i="116"/>
  <c r="H3214" i="116"/>
  <c r="G3214" i="116"/>
  <c r="F3214" i="116"/>
  <c r="E3214" i="116"/>
  <c r="D3214" i="116"/>
  <c r="C3214" i="116"/>
  <c r="B3214" i="116"/>
  <c r="K3213" i="116"/>
  <c r="J3213" i="116"/>
  <c r="I3213" i="116"/>
  <c r="H3213" i="116"/>
  <c r="G3213" i="116"/>
  <c r="F3213" i="116"/>
  <c r="E3213" i="116"/>
  <c r="D3213" i="116"/>
  <c r="C3213" i="116"/>
  <c r="B3213" i="116"/>
  <c r="K3212" i="116"/>
  <c r="J3212" i="116"/>
  <c r="I3212" i="116"/>
  <c r="H3212" i="116"/>
  <c r="G3212" i="116"/>
  <c r="F3212" i="116"/>
  <c r="E3212" i="116"/>
  <c r="D3212" i="116"/>
  <c r="C3212" i="116"/>
  <c r="B3212" i="116"/>
  <c r="K3211" i="116"/>
  <c r="J3211" i="116"/>
  <c r="I3211" i="116"/>
  <c r="H3211" i="116"/>
  <c r="G3211" i="116"/>
  <c r="F3211" i="116"/>
  <c r="E3211" i="116"/>
  <c r="D3211" i="116"/>
  <c r="C3211" i="116"/>
  <c r="B3211" i="116"/>
  <c r="K3210" i="116"/>
  <c r="J3210" i="116"/>
  <c r="I3210" i="116"/>
  <c r="H3210" i="116"/>
  <c r="G3210" i="116"/>
  <c r="F3210" i="116"/>
  <c r="E3210" i="116"/>
  <c r="D3210" i="116"/>
  <c r="C3210" i="116"/>
  <c r="B3210" i="116"/>
  <c r="K3209" i="116"/>
  <c r="J3209" i="116"/>
  <c r="I3209" i="116"/>
  <c r="H3209" i="116"/>
  <c r="G3209" i="116"/>
  <c r="F3209" i="116"/>
  <c r="E3209" i="116"/>
  <c r="D3209" i="116"/>
  <c r="C3209" i="116"/>
  <c r="B3209" i="116"/>
  <c r="K3208" i="116"/>
  <c r="J3208" i="116"/>
  <c r="I3208" i="116"/>
  <c r="H3208" i="116"/>
  <c r="G3208" i="116"/>
  <c r="F3208" i="116"/>
  <c r="E3208" i="116"/>
  <c r="D3208" i="116"/>
  <c r="C3208" i="116"/>
  <c r="B3208" i="116"/>
  <c r="K3207" i="116"/>
  <c r="J3207" i="116"/>
  <c r="I3207" i="116"/>
  <c r="H3207" i="116"/>
  <c r="G3207" i="116"/>
  <c r="F3207" i="116"/>
  <c r="E3207" i="116"/>
  <c r="D3207" i="116"/>
  <c r="C3207" i="116"/>
  <c r="B3207" i="116"/>
  <c r="K3206" i="116"/>
  <c r="J3206" i="116"/>
  <c r="I3206" i="116"/>
  <c r="H3206" i="116"/>
  <c r="G3206" i="116"/>
  <c r="F3206" i="116"/>
  <c r="E3206" i="116"/>
  <c r="D3206" i="116"/>
  <c r="C3206" i="116"/>
  <c r="B3206" i="116"/>
  <c r="K3205" i="116"/>
  <c r="J3205" i="116"/>
  <c r="I3205" i="116"/>
  <c r="H3205" i="116"/>
  <c r="G3205" i="116"/>
  <c r="F3205" i="116"/>
  <c r="E3205" i="116"/>
  <c r="D3205" i="116"/>
  <c r="C3205" i="116"/>
  <c r="B3205" i="116"/>
  <c r="K3204" i="116"/>
  <c r="J3204" i="116"/>
  <c r="I3204" i="116"/>
  <c r="H3204" i="116"/>
  <c r="G3204" i="116"/>
  <c r="F3204" i="116"/>
  <c r="E3204" i="116"/>
  <c r="D3204" i="116"/>
  <c r="C3204" i="116"/>
  <c r="B3204" i="116"/>
  <c r="K3203" i="116"/>
  <c r="J3203" i="116"/>
  <c r="I3203" i="116"/>
  <c r="H3203" i="116"/>
  <c r="G3203" i="116"/>
  <c r="F3203" i="116"/>
  <c r="E3203" i="116"/>
  <c r="D3203" i="116"/>
  <c r="C3203" i="116"/>
  <c r="B3203" i="116"/>
  <c r="K3202" i="116"/>
  <c r="J3202" i="116"/>
  <c r="I3202" i="116"/>
  <c r="H3202" i="116"/>
  <c r="G3202" i="116"/>
  <c r="F3202" i="116"/>
  <c r="E3202" i="116"/>
  <c r="D3202" i="116"/>
  <c r="C3202" i="116"/>
  <c r="B3202" i="116"/>
  <c r="K3201" i="116"/>
  <c r="J3201" i="116"/>
  <c r="I3201" i="116"/>
  <c r="H3201" i="116"/>
  <c r="G3201" i="116"/>
  <c r="F3201" i="116"/>
  <c r="E3201" i="116"/>
  <c r="D3201" i="116"/>
  <c r="C3201" i="116"/>
  <c r="B3201" i="116"/>
  <c r="K3200" i="116"/>
  <c r="J3200" i="116"/>
  <c r="I3200" i="116"/>
  <c r="H3200" i="116"/>
  <c r="G3200" i="116"/>
  <c r="F3200" i="116"/>
  <c r="E3200" i="116"/>
  <c r="D3200" i="116"/>
  <c r="C3200" i="116"/>
  <c r="B3200" i="116"/>
  <c r="K3199" i="116"/>
  <c r="J3199" i="116"/>
  <c r="I3199" i="116"/>
  <c r="H3199" i="116"/>
  <c r="G3199" i="116"/>
  <c r="F3199" i="116"/>
  <c r="E3199" i="116"/>
  <c r="D3199" i="116"/>
  <c r="C3199" i="116"/>
  <c r="B3199" i="116"/>
  <c r="K3198" i="116"/>
  <c r="J3198" i="116"/>
  <c r="I3198" i="116"/>
  <c r="H3198" i="116"/>
  <c r="G3198" i="116"/>
  <c r="F3198" i="116"/>
  <c r="E3198" i="116"/>
  <c r="D3198" i="116"/>
  <c r="C3198" i="116"/>
  <c r="B3198" i="116"/>
  <c r="K3197" i="116"/>
  <c r="J3197" i="116"/>
  <c r="I3197" i="116"/>
  <c r="H3197" i="116"/>
  <c r="G3197" i="116"/>
  <c r="F3197" i="116"/>
  <c r="E3197" i="116"/>
  <c r="D3197" i="116"/>
  <c r="C3197" i="116"/>
  <c r="B3197" i="116"/>
  <c r="K3196" i="116"/>
  <c r="J3196" i="116"/>
  <c r="I3196" i="116"/>
  <c r="H3196" i="116"/>
  <c r="G3196" i="116"/>
  <c r="F3196" i="116"/>
  <c r="E3196" i="116"/>
  <c r="D3196" i="116"/>
  <c r="C3196" i="116"/>
  <c r="B3196" i="116"/>
  <c r="K3195" i="116"/>
  <c r="J3195" i="116"/>
  <c r="I3195" i="116"/>
  <c r="H3195" i="116"/>
  <c r="G3195" i="116"/>
  <c r="F3195" i="116"/>
  <c r="E3195" i="116"/>
  <c r="D3195" i="116"/>
  <c r="C3195" i="116"/>
  <c r="B3195" i="116"/>
  <c r="K3194" i="116"/>
  <c r="J3194" i="116"/>
  <c r="I3194" i="116"/>
  <c r="H3194" i="116"/>
  <c r="G3194" i="116"/>
  <c r="F3194" i="116"/>
  <c r="E3194" i="116"/>
  <c r="D3194" i="116"/>
  <c r="C3194" i="116"/>
  <c r="B3194" i="116"/>
  <c r="K3193" i="116"/>
  <c r="J3193" i="116"/>
  <c r="I3193" i="116"/>
  <c r="H3193" i="116"/>
  <c r="G3193" i="116"/>
  <c r="F3193" i="116"/>
  <c r="E3193" i="116"/>
  <c r="D3193" i="116"/>
  <c r="C3193" i="116"/>
  <c r="B3193" i="116"/>
  <c r="K3192" i="116"/>
  <c r="J3192" i="116"/>
  <c r="I3192" i="116"/>
  <c r="H3192" i="116"/>
  <c r="G3192" i="116"/>
  <c r="F3192" i="116"/>
  <c r="E3192" i="116"/>
  <c r="D3192" i="116"/>
  <c r="C3192" i="116"/>
  <c r="B3192" i="116"/>
  <c r="K3191" i="116"/>
  <c r="J3191" i="116"/>
  <c r="I3191" i="116"/>
  <c r="H3191" i="116"/>
  <c r="G3191" i="116"/>
  <c r="F3191" i="116"/>
  <c r="E3191" i="116"/>
  <c r="D3191" i="116"/>
  <c r="C3191" i="116"/>
  <c r="B3191" i="116"/>
  <c r="K3190" i="116"/>
  <c r="J3190" i="116"/>
  <c r="I3190" i="116"/>
  <c r="H3190" i="116"/>
  <c r="G3190" i="116"/>
  <c r="F3190" i="116"/>
  <c r="E3190" i="116"/>
  <c r="D3190" i="116"/>
  <c r="C3190" i="116"/>
  <c r="B3190" i="116"/>
  <c r="K3189" i="116"/>
  <c r="J3189" i="116"/>
  <c r="I3189" i="116"/>
  <c r="H3189" i="116"/>
  <c r="G3189" i="116"/>
  <c r="F3189" i="116"/>
  <c r="E3189" i="116"/>
  <c r="D3189" i="116"/>
  <c r="C3189" i="116"/>
  <c r="B3189" i="116"/>
  <c r="K3188" i="116"/>
  <c r="J3188" i="116"/>
  <c r="I3188" i="116"/>
  <c r="H3188" i="116"/>
  <c r="G3188" i="116"/>
  <c r="F3188" i="116"/>
  <c r="E3188" i="116"/>
  <c r="D3188" i="116"/>
  <c r="C3188" i="116"/>
  <c r="B3188" i="116"/>
  <c r="K3187" i="116"/>
  <c r="J3187" i="116"/>
  <c r="I3187" i="116"/>
  <c r="H3187" i="116"/>
  <c r="G3187" i="116"/>
  <c r="F3187" i="116"/>
  <c r="E3187" i="116"/>
  <c r="D3187" i="116"/>
  <c r="C3187" i="116"/>
  <c r="B3187" i="116"/>
  <c r="K3186" i="116"/>
  <c r="J3186" i="116"/>
  <c r="I3186" i="116"/>
  <c r="H3186" i="116"/>
  <c r="G3186" i="116"/>
  <c r="F3186" i="116"/>
  <c r="E3186" i="116"/>
  <c r="D3186" i="116"/>
  <c r="C3186" i="116"/>
  <c r="B3186" i="116"/>
  <c r="K3185" i="116"/>
  <c r="J3185" i="116"/>
  <c r="I3185" i="116"/>
  <c r="H3185" i="116"/>
  <c r="G3185" i="116"/>
  <c r="F3185" i="116"/>
  <c r="E3185" i="116"/>
  <c r="D3185" i="116"/>
  <c r="C3185" i="116"/>
  <c r="B3185" i="116"/>
  <c r="K3184" i="116"/>
  <c r="J3184" i="116"/>
  <c r="I3184" i="116"/>
  <c r="H3184" i="116"/>
  <c r="G3184" i="116"/>
  <c r="F3184" i="116"/>
  <c r="E3184" i="116"/>
  <c r="D3184" i="116"/>
  <c r="C3184" i="116"/>
  <c r="B3184" i="116"/>
  <c r="K3183" i="116"/>
  <c r="J3183" i="116"/>
  <c r="I3183" i="116"/>
  <c r="H3183" i="116"/>
  <c r="G3183" i="116"/>
  <c r="F3183" i="116"/>
  <c r="E3183" i="116"/>
  <c r="D3183" i="116"/>
  <c r="C3183" i="116"/>
  <c r="B3183" i="116"/>
  <c r="K3182" i="116"/>
  <c r="J3182" i="116"/>
  <c r="I3182" i="116"/>
  <c r="H3182" i="116"/>
  <c r="G3182" i="116"/>
  <c r="F3182" i="116"/>
  <c r="E3182" i="116"/>
  <c r="D3182" i="116"/>
  <c r="C3182" i="116"/>
  <c r="B3182" i="116"/>
  <c r="K3181" i="116"/>
  <c r="J3181" i="116"/>
  <c r="I3181" i="116"/>
  <c r="H3181" i="116"/>
  <c r="G3181" i="116"/>
  <c r="F3181" i="116"/>
  <c r="E3181" i="116"/>
  <c r="D3181" i="116"/>
  <c r="C3181" i="116"/>
  <c r="B3181" i="116"/>
  <c r="K3180" i="116"/>
  <c r="J3180" i="116"/>
  <c r="I3180" i="116"/>
  <c r="H3180" i="116"/>
  <c r="G3180" i="116"/>
  <c r="F3180" i="116"/>
  <c r="E3180" i="116"/>
  <c r="D3180" i="116"/>
  <c r="C3180" i="116"/>
  <c r="B3180" i="116"/>
  <c r="K3179" i="116"/>
  <c r="J3179" i="116"/>
  <c r="I3179" i="116"/>
  <c r="H3179" i="116"/>
  <c r="G3179" i="116"/>
  <c r="F3179" i="116"/>
  <c r="E3179" i="116"/>
  <c r="D3179" i="116"/>
  <c r="C3179" i="116"/>
  <c r="B3179" i="116"/>
  <c r="K3178" i="116"/>
  <c r="J3178" i="116"/>
  <c r="I3178" i="116"/>
  <c r="H3178" i="116"/>
  <c r="G3178" i="116"/>
  <c r="F3178" i="116"/>
  <c r="E3178" i="116"/>
  <c r="D3178" i="116"/>
  <c r="C3178" i="116"/>
  <c r="B3178" i="116"/>
  <c r="K3177" i="116"/>
  <c r="J3177" i="116"/>
  <c r="I3177" i="116"/>
  <c r="H3177" i="116"/>
  <c r="G3177" i="116"/>
  <c r="F3177" i="116"/>
  <c r="E3177" i="116"/>
  <c r="D3177" i="116"/>
  <c r="C3177" i="116"/>
  <c r="B3177" i="116"/>
  <c r="K3176" i="116"/>
  <c r="J3176" i="116"/>
  <c r="I3176" i="116"/>
  <c r="H3176" i="116"/>
  <c r="G3176" i="116"/>
  <c r="F3176" i="116"/>
  <c r="E3176" i="116"/>
  <c r="D3176" i="116"/>
  <c r="C3176" i="116"/>
  <c r="B3176" i="116"/>
  <c r="K3175" i="116"/>
  <c r="J3175" i="116"/>
  <c r="I3175" i="116"/>
  <c r="H3175" i="116"/>
  <c r="G3175" i="116"/>
  <c r="F3175" i="116"/>
  <c r="E3175" i="116"/>
  <c r="D3175" i="116"/>
  <c r="C3175" i="116"/>
  <c r="B3175" i="116"/>
  <c r="K3174" i="116"/>
  <c r="J3174" i="116"/>
  <c r="I3174" i="116"/>
  <c r="H3174" i="116"/>
  <c r="G3174" i="116"/>
  <c r="F3174" i="116"/>
  <c r="E3174" i="116"/>
  <c r="D3174" i="116"/>
  <c r="C3174" i="116"/>
  <c r="B3174" i="116"/>
  <c r="K3173" i="116"/>
  <c r="J3173" i="116"/>
  <c r="I3173" i="116"/>
  <c r="H3173" i="116"/>
  <c r="G3173" i="116"/>
  <c r="F3173" i="116"/>
  <c r="E3173" i="116"/>
  <c r="D3173" i="116"/>
  <c r="C3173" i="116"/>
  <c r="B3173" i="116"/>
  <c r="K3172" i="116"/>
  <c r="J3172" i="116"/>
  <c r="I3172" i="116"/>
  <c r="H3172" i="116"/>
  <c r="G3172" i="116"/>
  <c r="F3172" i="116"/>
  <c r="E3172" i="116"/>
  <c r="D3172" i="116"/>
  <c r="C3172" i="116"/>
  <c r="B3172" i="116"/>
  <c r="K3171" i="116"/>
  <c r="J3171" i="116"/>
  <c r="I3171" i="116"/>
  <c r="H3171" i="116"/>
  <c r="G3171" i="116"/>
  <c r="F3171" i="116"/>
  <c r="E3171" i="116"/>
  <c r="D3171" i="116"/>
  <c r="C3171" i="116"/>
  <c r="B3171" i="116"/>
  <c r="K3170" i="116"/>
  <c r="J3170" i="116"/>
  <c r="I3170" i="116"/>
  <c r="H3170" i="116"/>
  <c r="G3170" i="116"/>
  <c r="F3170" i="116"/>
  <c r="E3170" i="116"/>
  <c r="D3170" i="116"/>
  <c r="C3170" i="116"/>
  <c r="B3170" i="116"/>
  <c r="K3169" i="116"/>
  <c r="J3169" i="116"/>
  <c r="I3169" i="116"/>
  <c r="H3169" i="116"/>
  <c r="G3169" i="116"/>
  <c r="F3169" i="116"/>
  <c r="E3169" i="116"/>
  <c r="D3169" i="116"/>
  <c r="C3169" i="116"/>
  <c r="B3169" i="116"/>
  <c r="K3168" i="116"/>
  <c r="J3168" i="116"/>
  <c r="I3168" i="116"/>
  <c r="H3168" i="116"/>
  <c r="G3168" i="116"/>
  <c r="F3168" i="116"/>
  <c r="E3168" i="116"/>
  <c r="D3168" i="116"/>
  <c r="C3168" i="116"/>
  <c r="B3168" i="116"/>
  <c r="K3167" i="116"/>
  <c r="J3167" i="116"/>
  <c r="I3167" i="116"/>
  <c r="H3167" i="116"/>
  <c r="G3167" i="116"/>
  <c r="F3167" i="116"/>
  <c r="E3167" i="116"/>
  <c r="D3167" i="116"/>
  <c r="C3167" i="116"/>
  <c r="B3167" i="116"/>
  <c r="K3166" i="116"/>
  <c r="J3166" i="116"/>
  <c r="I3166" i="116"/>
  <c r="H3166" i="116"/>
  <c r="G3166" i="116"/>
  <c r="F3166" i="116"/>
  <c r="E3166" i="116"/>
  <c r="D3166" i="116"/>
  <c r="C3166" i="116"/>
  <c r="B3166" i="116"/>
  <c r="K3165" i="116"/>
  <c r="J3165" i="116"/>
  <c r="I3165" i="116"/>
  <c r="H3165" i="116"/>
  <c r="G3165" i="116"/>
  <c r="F3165" i="116"/>
  <c r="E3165" i="116"/>
  <c r="D3165" i="116"/>
  <c r="C3165" i="116"/>
  <c r="B3165" i="116"/>
  <c r="K3164" i="116"/>
  <c r="J3164" i="116"/>
  <c r="I3164" i="116"/>
  <c r="H3164" i="116"/>
  <c r="G3164" i="116"/>
  <c r="F3164" i="116"/>
  <c r="E3164" i="116"/>
  <c r="D3164" i="116"/>
  <c r="C3164" i="116"/>
  <c r="B3164" i="116"/>
  <c r="K3163" i="116"/>
  <c r="J3163" i="116"/>
  <c r="I3163" i="116"/>
  <c r="H3163" i="116"/>
  <c r="G3163" i="116"/>
  <c r="F3163" i="116"/>
  <c r="E3163" i="116"/>
  <c r="D3163" i="116"/>
  <c r="C3163" i="116"/>
  <c r="B3163" i="116"/>
  <c r="K3162" i="116"/>
  <c r="J3162" i="116"/>
  <c r="I3162" i="116"/>
  <c r="H3162" i="116"/>
  <c r="G3162" i="116"/>
  <c r="F3162" i="116"/>
  <c r="E3162" i="116"/>
  <c r="D3162" i="116"/>
  <c r="C3162" i="116"/>
  <c r="B3162" i="116"/>
  <c r="K3161" i="116"/>
  <c r="J3161" i="116"/>
  <c r="I3161" i="116"/>
  <c r="H3161" i="116"/>
  <c r="G3161" i="116"/>
  <c r="F3161" i="116"/>
  <c r="E3161" i="116"/>
  <c r="D3161" i="116"/>
  <c r="C3161" i="116"/>
  <c r="B3161" i="116"/>
  <c r="K3160" i="116"/>
  <c r="J3160" i="116"/>
  <c r="I3160" i="116"/>
  <c r="H3160" i="116"/>
  <c r="G3160" i="116"/>
  <c r="F3160" i="116"/>
  <c r="E3160" i="116"/>
  <c r="D3160" i="116"/>
  <c r="C3160" i="116"/>
  <c r="B3160" i="116"/>
  <c r="K3159" i="116"/>
  <c r="J3159" i="116"/>
  <c r="I3159" i="116"/>
  <c r="H3159" i="116"/>
  <c r="G3159" i="116"/>
  <c r="F3159" i="116"/>
  <c r="E3159" i="116"/>
  <c r="D3159" i="116"/>
  <c r="C3159" i="116"/>
  <c r="B3159" i="116"/>
  <c r="K3158" i="116"/>
  <c r="J3158" i="116"/>
  <c r="I3158" i="116"/>
  <c r="H3158" i="116"/>
  <c r="G3158" i="116"/>
  <c r="F3158" i="116"/>
  <c r="E3158" i="116"/>
  <c r="D3158" i="116"/>
  <c r="C3158" i="116"/>
  <c r="B3158" i="116"/>
  <c r="K3157" i="116"/>
  <c r="J3157" i="116"/>
  <c r="I3157" i="116"/>
  <c r="H3157" i="116"/>
  <c r="G3157" i="116"/>
  <c r="F3157" i="116"/>
  <c r="E3157" i="116"/>
  <c r="D3157" i="116"/>
  <c r="C3157" i="116"/>
  <c r="B3157" i="116"/>
  <c r="K3156" i="116"/>
  <c r="J3156" i="116"/>
  <c r="I3156" i="116"/>
  <c r="H3156" i="116"/>
  <c r="G3156" i="116"/>
  <c r="F3156" i="116"/>
  <c r="E3156" i="116"/>
  <c r="D3156" i="116"/>
  <c r="C3156" i="116"/>
  <c r="B3156" i="116"/>
  <c r="K3155" i="116"/>
  <c r="J3155" i="116"/>
  <c r="I3155" i="116"/>
  <c r="H3155" i="116"/>
  <c r="G3155" i="116"/>
  <c r="F3155" i="116"/>
  <c r="E3155" i="116"/>
  <c r="D3155" i="116"/>
  <c r="C3155" i="116"/>
  <c r="B3155" i="116"/>
  <c r="K3154" i="116"/>
  <c r="J3154" i="116"/>
  <c r="I3154" i="116"/>
  <c r="H3154" i="116"/>
  <c r="G3154" i="116"/>
  <c r="F3154" i="116"/>
  <c r="E3154" i="116"/>
  <c r="D3154" i="116"/>
  <c r="C3154" i="116"/>
  <c r="B3154" i="116"/>
  <c r="K3153" i="116"/>
  <c r="J3153" i="116"/>
  <c r="I3153" i="116"/>
  <c r="H3153" i="116"/>
  <c r="G3153" i="116"/>
  <c r="F3153" i="116"/>
  <c r="E3153" i="116"/>
  <c r="D3153" i="116"/>
  <c r="C3153" i="116"/>
  <c r="B3153" i="116"/>
  <c r="K3152" i="116"/>
  <c r="J3152" i="116"/>
  <c r="I3152" i="116"/>
  <c r="H3152" i="116"/>
  <c r="G3152" i="116"/>
  <c r="F3152" i="116"/>
  <c r="E3152" i="116"/>
  <c r="D3152" i="116"/>
  <c r="C3152" i="116"/>
  <c r="B3152" i="116"/>
  <c r="K3151" i="116"/>
  <c r="J3151" i="116"/>
  <c r="I3151" i="116"/>
  <c r="H3151" i="116"/>
  <c r="G3151" i="116"/>
  <c r="F3151" i="116"/>
  <c r="E3151" i="116"/>
  <c r="D3151" i="116"/>
  <c r="C3151" i="116"/>
  <c r="B3151" i="116"/>
  <c r="K3150" i="116"/>
  <c r="J3150" i="116"/>
  <c r="I3150" i="116"/>
  <c r="H3150" i="116"/>
  <c r="G3150" i="116"/>
  <c r="F3150" i="116"/>
  <c r="E3150" i="116"/>
  <c r="D3150" i="116"/>
  <c r="C3150" i="116"/>
  <c r="B3150" i="116"/>
  <c r="K3149" i="116"/>
  <c r="J3149" i="116"/>
  <c r="I3149" i="116"/>
  <c r="H3149" i="116"/>
  <c r="G3149" i="116"/>
  <c r="F3149" i="116"/>
  <c r="E3149" i="116"/>
  <c r="D3149" i="116"/>
  <c r="C3149" i="116"/>
  <c r="B3149" i="116"/>
  <c r="K3148" i="116"/>
  <c r="J3148" i="116"/>
  <c r="I3148" i="116"/>
  <c r="H3148" i="116"/>
  <c r="G3148" i="116"/>
  <c r="F3148" i="116"/>
  <c r="E3148" i="116"/>
  <c r="D3148" i="116"/>
  <c r="C3148" i="116"/>
  <c r="B3148" i="116"/>
  <c r="K3147" i="116"/>
  <c r="J3147" i="116"/>
  <c r="I3147" i="116"/>
  <c r="H3147" i="116"/>
  <c r="G3147" i="116"/>
  <c r="F3147" i="116"/>
  <c r="E3147" i="116"/>
  <c r="D3147" i="116"/>
  <c r="C3147" i="116"/>
  <c r="B3147" i="116"/>
  <c r="K3146" i="116"/>
  <c r="J3146" i="116"/>
  <c r="I3146" i="116"/>
  <c r="H3146" i="116"/>
  <c r="G3146" i="116"/>
  <c r="F3146" i="116"/>
  <c r="E3146" i="116"/>
  <c r="D3146" i="116"/>
  <c r="C3146" i="116"/>
  <c r="B3146" i="116"/>
  <c r="K3145" i="116"/>
  <c r="J3145" i="116"/>
  <c r="I3145" i="116"/>
  <c r="H3145" i="116"/>
  <c r="G3145" i="116"/>
  <c r="F3145" i="116"/>
  <c r="E3145" i="116"/>
  <c r="D3145" i="116"/>
  <c r="C3145" i="116"/>
  <c r="B3145" i="116"/>
  <c r="K3144" i="116"/>
  <c r="J3144" i="116"/>
  <c r="I3144" i="116"/>
  <c r="H3144" i="116"/>
  <c r="G3144" i="116"/>
  <c r="F3144" i="116"/>
  <c r="E3144" i="116"/>
  <c r="D3144" i="116"/>
  <c r="C3144" i="116"/>
  <c r="B3144" i="116"/>
  <c r="K3143" i="116"/>
  <c r="J3143" i="116"/>
  <c r="I3143" i="116"/>
  <c r="H3143" i="116"/>
  <c r="G3143" i="116"/>
  <c r="F3143" i="116"/>
  <c r="E3143" i="116"/>
  <c r="D3143" i="116"/>
  <c r="C3143" i="116"/>
  <c r="B3143" i="116"/>
  <c r="K3142" i="116"/>
  <c r="J3142" i="116"/>
  <c r="I3142" i="116"/>
  <c r="H3142" i="116"/>
  <c r="G3142" i="116"/>
  <c r="F3142" i="116"/>
  <c r="E3142" i="116"/>
  <c r="D3142" i="116"/>
  <c r="C3142" i="116"/>
  <c r="B3142" i="116"/>
  <c r="K3141" i="116"/>
  <c r="J3141" i="116"/>
  <c r="I3141" i="116"/>
  <c r="H3141" i="116"/>
  <c r="G3141" i="116"/>
  <c r="F3141" i="116"/>
  <c r="E3141" i="116"/>
  <c r="D3141" i="116"/>
  <c r="C3141" i="116"/>
  <c r="B3141" i="116"/>
  <c r="K3140" i="116"/>
  <c r="J3140" i="116"/>
  <c r="I3140" i="116"/>
  <c r="H3140" i="116"/>
  <c r="G3140" i="116"/>
  <c r="F3140" i="116"/>
  <c r="E3140" i="116"/>
  <c r="D3140" i="116"/>
  <c r="C3140" i="116"/>
  <c r="B3140" i="116"/>
  <c r="K3139" i="116"/>
  <c r="J3139" i="116"/>
  <c r="I3139" i="116"/>
  <c r="H3139" i="116"/>
  <c r="G3139" i="116"/>
  <c r="F3139" i="116"/>
  <c r="E3139" i="116"/>
  <c r="D3139" i="116"/>
  <c r="C3139" i="116"/>
  <c r="B3139" i="116"/>
  <c r="K3138" i="116"/>
  <c r="J3138" i="116"/>
  <c r="I3138" i="116"/>
  <c r="H3138" i="116"/>
  <c r="G3138" i="116"/>
  <c r="F3138" i="116"/>
  <c r="E3138" i="116"/>
  <c r="D3138" i="116"/>
  <c r="C3138" i="116"/>
  <c r="B3138" i="116"/>
  <c r="K3137" i="116"/>
  <c r="J3137" i="116"/>
  <c r="I3137" i="116"/>
  <c r="H3137" i="116"/>
  <c r="G3137" i="116"/>
  <c r="F3137" i="116"/>
  <c r="E3137" i="116"/>
  <c r="D3137" i="116"/>
  <c r="C3137" i="116"/>
  <c r="B3137" i="116"/>
  <c r="K3136" i="116"/>
  <c r="J3136" i="116"/>
  <c r="I3136" i="116"/>
  <c r="H3136" i="116"/>
  <c r="G3136" i="116"/>
  <c r="F3136" i="116"/>
  <c r="E3136" i="116"/>
  <c r="D3136" i="116"/>
  <c r="C3136" i="116"/>
  <c r="B3136" i="116"/>
  <c r="K3135" i="116"/>
  <c r="J3135" i="116"/>
  <c r="I3135" i="116"/>
  <c r="H3135" i="116"/>
  <c r="G3135" i="116"/>
  <c r="F3135" i="116"/>
  <c r="E3135" i="116"/>
  <c r="D3135" i="116"/>
  <c r="C3135" i="116"/>
  <c r="B3135" i="116"/>
  <c r="K3134" i="116"/>
  <c r="J3134" i="116"/>
  <c r="I3134" i="116"/>
  <c r="H3134" i="116"/>
  <c r="G3134" i="116"/>
  <c r="F3134" i="116"/>
  <c r="E3134" i="116"/>
  <c r="D3134" i="116"/>
  <c r="C3134" i="116"/>
  <c r="B3134" i="116"/>
  <c r="K3133" i="116"/>
  <c r="J3133" i="116"/>
  <c r="I3133" i="116"/>
  <c r="H3133" i="116"/>
  <c r="G3133" i="116"/>
  <c r="F3133" i="116"/>
  <c r="E3133" i="116"/>
  <c r="D3133" i="116"/>
  <c r="C3133" i="116"/>
  <c r="B3133" i="116"/>
  <c r="K3132" i="116"/>
  <c r="J3132" i="116"/>
  <c r="I3132" i="116"/>
  <c r="H3132" i="116"/>
  <c r="G3132" i="116"/>
  <c r="F3132" i="116"/>
  <c r="E3132" i="116"/>
  <c r="D3132" i="116"/>
  <c r="C3132" i="116"/>
  <c r="B3132" i="116"/>
  <c r="K3131" i="116"/>
  <c r="J3131" i="116"/>
  <c r="I3131" i="116"/>
  <c r="H3131" i="116"/>
  <c r="G3131" i="116"/>
  <c r="F3131" i="116"/>
  <c r="E3131" i="116"/>
  <c r="D3131" i="116"/>
  <c r="C3131" i="116"/>
  <c r="B3131" i="116"/>
  <c r="K3130" i="116"/>
  <c r="J3130" i="116"/>
  <c r="I3130" i="116"/>
  <c r="H3130" i="116"/>
  <c r="G3130" i="116"/>
  <c r="F3130" i="116"/>
  <c r="E3130" i="116"/>
  <c r="D3130" i="116"/>
  <c r="C3130" i="116"/>
  <c r="B3130" i="116"/>
  <c r="K3129" i="116"/>
  <c r="J3129" i="116"/>
  <c r="I3129" i="116"/>
  <c r="H3129" i="116"/>
  <c r="G3129" i="116"/>
  <c r="F3129" i="116"/>
  <c r="E3129" i="116"/>
  <c r="D3129" i="116"/>
  <c r="C3129" i="116"/>
  <c r="B3129" i="116"/>
  <c r="K3128" i="116"/>
  <c r="J3128" i="116"/>
  <c r="I3128" i="116"/>
  <c r="H3128" i="116"/>
  <c r="G3128" i="116"/>
  <c r="F3128" i="116"/>
  <c r="E3128" i="116"/>
  <c r="D3128" i="116"/>
  <c r="C3128" i="116"/>
  <c r="B3128" i="116"/>
  <c r="K3127" i="116"/>
  <c r="J3127" i="116"/>
  <c r="I3127" i="116"/>
  <c r="H3127" i="116"/>
  <c r="G3127" i="116"/>
  <c r="F3127" i="116"/>
  <c r="E3127" i="116"/>
  <c r="D3127" i="116"/>
  <c r="C3127" i="116"/>
  <c r="B3127" i="116"/>
  <c r="K3126" i="116"/>
  <c r="J3126" i="116"/>
  <c r="I3126" i="116"/>
  <c r="H3126" i="116"/>
  <c r="G3126" i="116"/>
  <c r="F3126" i="116"/>
  <c r="E3126" i="116"/>
  <c r="D3126" i="116"/>
  <c r="C3126" i="116"/>
  <c r="B3126" i="116"/>
  <c r="K3125" i="116"/>
  <c r="J3125" i="116"/>
  <c r="I3125" i="116"/>
  <c r="H3125" i="116"/>
  <c r="G3125" i="116"/>
  <c r="F3125" i="116"/>
  <c r="E3125" i="116"/>
  <c r="D3125" i="116"/>
  <c r="C3125" i="116"/>
  <c r="B3125" i="116"/>
  <c r="K3124" i="116"/>
  <c r="J3124" i="116"/>
  <c r="I3124" i="116"/>
  <c r="H3124" i="116"/>
  <c r="G3124" i="116"/>
  <c r="F3124" i="116"/>
  <c r="E3124" i="116"/>
  <c r="D3124" i="116"/>
  <c r="C3124" i="116"/>
  <c r="B3124" i="116"/>
  <c r="K3123" i="116"/>
  <c r="J3123" i="116"/>
  <c r="I3123" i="116"/>
  <c r="H3123" i="116"/>
  <c r="G3123" i="116"/>
  <c r="F3123" i="116"/>
  <c r="E3123" i="116"/>
  <c r="D3123" i="116"/>
  <c r="C3123" i="116"/>
  <c r="B3123" i="116"/>
  <c r="K3122" i="116"/>
  <c r="J3122" i="116"/>
  <c r="I3122" i="116"/>
  <c r="H3122" i="116"/>
  <c r="G3122" i="116"/>
  <c r="F3122" i="116"/>
  <c r="E3122" i="116"/>
  <c r="D3122" i="116"/>
  <c r="C3122" i="116"/>
  <c r="B3122" i="116"/>
  <c r="K3121" i="116"/>
  <c r="J3121" i="116"/>
  <c r="I3121" i="116"/>
  <c r="H3121" i="116"/>
  <c r="G3121" i="116"/>
  <c r="F3121" i="116"/>
  <c r="E3121" i="116"/>
  <c r="D3121" i="116"/>
  <c r="C3121" i="116"/>
  <c r="B3121" i="116"/>
  <c r="K3120" i="116"/>
  <c r="J3120" i="116"/>
  <c r="I3120" i="116"/>
  <c r="H3120" i="116"/>
  <c r="G3120" i="116"/>
  <c r="F3120" i="116"/>
  <c r="E3120" i="116"/>
  <c r="D3120" i="116"/>
  <c r="C3120" i="116"/>
  <c r="B3120" i="116"/>
  <c r="K3119" i="116"/>
  <c r="J3119" i="116"/>
  <c r="I3119" i="116"/>
  <c r="H3119" i="116"/>
  <c r="G3119" i="116"/>
  <c r="F3119" i="116"/>
  <c r="E3119" i="116"/>
  <c r="D3119" i="116"/>
  <c r="C3119" i="116"/>
  <c r="B3119" i="116"/>
  <c r="K3118" i="116"/>
  <c r="J3118" i="116"/>
  <c r="I3118" i="116"/>
  <c r="H3118" i="116"/>
  <c r="G3118" i="116"/>
  <c r="F3118" i="116"/>
  <c r="E3118" i="116"/>
  <c r="D3118" i="116"/>
  <c r="C3118" i="116"/>
  <c r="B3118" i="116"/>
  <c r="K3117" i="116"/>
  <c r="J3117" i="116"/>
  <c r="I3117" i="116"/>
  <c r="H3117" i="116"/>
  <c r="G3117" i="116"/>
  <c r="F3117" i="116"/>
  <c r="E3117" i="116"/>
  <c r="D3117" i="116"/>
  <c r="C3117" i="116"/>
  <c r="B3117" i="116"/>
  <c r="K3116" i="116"/>
  <c r="J3116" i="116"/>
  <c r="I3116" i="116"/>
  <c r="H3116" i="116"/>
  <c r="G3116" i="116"/>
  <c r="F3116" i="116"/>
  <c r="E3116" i="116"/>
  <c r="D3116" i="116"/>
  <c r="C3116" i="116"/>
  <c r="B3116" i="116"/>
  <c r="K3115" i="116"/>
  <c r="J3115" i="116"/>
  <c r="I3115" i="116"/>
  <c r="H3115" i="116"/>
  <c r="G3115" i="116"/>
  <c r="F3115" i="116"/>
  <c r="E3115" i="116"/>
  <c r="D3115" i="116"/>
  <c r="C3115" i="116"/>
  <c r="B3115" i="116"/>
  <c r="K3114" i="116"/>
  <c r="J3114" i="116"/>
  <c r="I3114" i="116"/>
  <c r="H3114" i="116"/>
  <c r="G3114" i="116"/>
  <c r="F3114" i="116"/>
  <c r="E3114" i="116"/>
  <c r="D3114" i="116"/>
  <c r="C3114" i="116"/>
  <c r="B3114" i="116"/>
  <c r="K3113" i="116"/>
  <c r="J3113" i="116"/>
  <c r="I3113" i="116"/>
  <c r="H3113" i="116"/>
  <c r="G3113" i="116"/>
  <c r="F3113" i="116"/>
  <c r="E3113" i="116"/>
  <c r="D3113" i="116"/>
  <c r="C3113" i="116"/>
  <c r="B3113" i="116"/>
  <c r="K3112" i="116"/>
  <c r="J3112" i="116"/>
  <c r="I3112" i="116"/>
  <c r="H3112" i="116"/>
  <c r="G3112" i="116"/>
  <c r="F3112" i="116"/>
  <c r="E3112" i="116"/>
  <c r="D3112" i="116"/>
  <c r="C3112" i="116"/>
  <c r="B3112" i="116"/>
  <c r="K3111" i="116"/>
  <c r="J3111" i="116"/>
  <c r="I3111" i="116"/>
  <c r="H3111" i="116"/>
  <c r="G3111" i="116"/>
  <c r="F3111" i="116"/>
  <c r="E3111" i="116"/>
  <c r="D3111" i="116"/>
  <c r="C3111" i="116"/>
  <c r="B3111" i="116"/>
  <c r="K3110" i="116"/>
  <c r="J3110" i="116"/>
  <c r="I3110" i="116"/>
  <c r="H3110" i="116"/>
  <c r="G3110" i="116"/>
  <c r="F3110" i="116"/>
  <c r="E3110" i="116"/>
  <c r="D3110" i="116"/>
  <c r="C3110" i="116"/>
  <c r="B3110" i="116"/>
  <c r="K3109" i="116"/>
  <c r="J3109" i="116"/>
  <c r="I3109" i="116"/>
  <c r="H3109" i="116"/>
  <c r="G3109" i="116"/>
  <c r="F3109" i="116"/>
  <c r="E3109" i="116"/>
  <c r="D3109" i="116"/>
  <c r="C3109" i="116"/>
  <c r="B3109" i="116"/>
  <c r="K3108" i="116"/>
  <c r="J3108" i="116"/>
  <c r="I3108" i="116"/>
  <c r="H3108" i="116"/>
  <c r="G3108" i="116"/>
  <c r="F3108" i="116"/>
  <c r="E3108" i="116"/>
  <c r="D3108" i="116"/>
  <c r="C3108" i="116"/>
  <c r="B3108" i="116"/>
  <c r="K3107" i="116"/>
  <c r="J3107" i="116"/>
  <c r="I3107" i="116"/>
  <c r="H3107" i="116"/>
  <c r="G3107" i="116"/>
  <c r="F3107" i="116"/>
  <c r="E3107" i="116"/>
  <c r="D3107" i="116"/>
  <c r="C3107" i="116"/>
  <c r="B3107" i="116"/>
  <c r="K3106" i="116"/>
  <c r="J3106" i="116"/>
  <c r="I3106" i="116"/>
  <c r="H3106" i="116"/>
  <c r="G3106" i="116"/>
  <c r="F3106" i="116"/>
  <c r="E3106" i="116"/>
  <c r="D3106" i="116"/>
  <c r="C3106" i="116"/>
  <c r="B3106" i="116"/>
  <c r="K3105" i="116"/>
  <c r="J3105" i="116"/>
  <c r="I3105" i="116"/>
  <c r="H3105" i="116"/>
  <c r="G3105" i="116"/>
  <c r="F3105" i="116"/>
  <c r="E3105" i="116"/>
  <c r="D3105" i="116"/>
  <c r="C3105" i="116"/>
  <c r="B3105" i="116"/>
  <c r="K3104" i="116"/>
  <c r="J3104" i="116"/>
  <c r="I3104" i="116"/>
  <c r="H3104" i="116"/>
  <c r="G3104" i="116"/>
  <c r="F3104" i="116"/>
  <c r="E3104" i="116"/>
  <c r="D3104" i="116"/>
  <c r="C3104" i="116"/>
  <c r="B3104" i="116"/>
  <c r="K3103" i="116"/>
  <c r="J3103" i="116"/>
  <c r="I3103" i="116"/>
  <c r="H3103" i="116"/>
  <c r="G3103" i="116"/>
  <c r="F3103" i="116"/>
  <c r="E3103" i="116"/>
  <c r="D3103" i="116"/>
  <c r="C3103" i="116"/>
  <c r="B3103" i="116"/>
  <c r="K3102" i="116"/>
  <c r="J3102" i="116"/>
  <c r="I3102" i="116"/>
  <c r="H3102" i="116"/>
  <c r="G3102" i="116"/>
  <c r="F3102" i="116"/>
  <c r="E3102" i="116"/>
  <c r="D3102" i="116"/>
  <c r="C3102" i="116"/>
  <c r="B3102" i="116"/>
  <c r="K3101" i="116"/>
  <c r="J3101" i="116"/>
  <c r="I3101" i="116"/>
  <c r="H3101" i="116"/>
  <c r="G3101" i="116"/>
  <c r="F3101" i="116"/>
  <c r="E3101" i="116"/>
  <c r="D3101" i="116"/>
  <c r="C3101" i="116"/>
  <c r="B3101" i="116"/>
  <c r="K3100" i="116"/>
  <c r="J3100" i="116"/>
  <c r="I3100" i="116"/>
  <c r="H3100" i="116"/>
  <c r="G3100" i="116"/>
  <c r="F3100" i="116"/>
  <c r="E3100" i="116"/>
  <c r="D3100" i="116"/>
  <c r="C3100" i="116"/>
  <c r="B3100" i="116"/>
  <c r="K3099" i="116"/>
  <c r="J3099" i="116"/>
  <c r="I3099" i="116"/>
  <c r="H3099" i="116"/>
  <c r="G3099" i="116"/>
  <c r="F3099" i="116"/>
  <c r="E3099" i="116"/>
  <c r="D3099" i="116"/>
  <c r="C3099" i="116"/>
  <c r="B3099" i="116"/>
  <c r="K3098" i="116"/>
  <c r="J3098" i="116"/>
  <c r="I3098" i="116"/>
  <c r="H3098" i="116"/>
  <c r="G3098" i="116"/>
  <c r="F3098" i="116"/>
  <c r="E3098" i="116"/>
  <c r="D3098" i="116"/>
  <c r="C3098" i="116"/>
  <c r="B3098" i="116"/>
  <c r="K3097" i="116"/>
  <c r="J3097" i="116"/>
  <c r="I3097" i="116"/>
  <c r="H3097" i="116"/>
  <c r="G3097" i="116"/>
  <c r="F3097" i="116"/>
  <c r="E3097" i="116"/>
  <c r="D3097" i="116"/>
  <c r="C3097" i="116"/>
  <c r="B3097" i="116"/>
  <c r="K3096" i="116"/>
  <c r="J3096" i="116"/>
  <c r="I3096" i="116"/>
  <c r="H3096" i="116"/>
  <c r="G3096" i="116"/>
  <c r="F3096" i="116"/>
  <c r="E3096" i="116"/>
  <c r="D3096" i="116"/>
  <c r="C3096" i="116"/>
  <c r="B3096" i="116"/>
  <c r="K3095" i="116"/>
  <c r="J3095" i="116"/>
  <c r="I3095" i="116"/>
  <c r="H3095" i="116"/>
  <c r="G3095" i="116"/>
  <c r="F3095" i="116"/>
  <c r="E3095" i="116"/>
  <c r="D3095" i="116"/>
  <c r="C3095" i="116"/>
  <c r="B3095" i="116"/>
  <c r="K3094" i="116"/>
  <c r="J3094" i="116"/>
  <c r="I3094" i="116"/>
  <c r="H3094" i="116"/>
  <c r="G3094" i="116"/>
  <c r="F3094" i="116"/>
  <c r="E3094" i="116"/>
  <c r="D3094" i="116"/>
  <c r="C3094" i="116"/>
  <c r="B3094" i="116"/>
  <c r="K3093" i="116"/>
  <c r="J3093" i="116"/>
  <c r="I3093" i="116"/>
  <c r="H3093" i="116"/>
  <c r="G3093" i="116"/>
  <c r="F3093" i="116"/>
  <c r="E3093" i="116"/>
  <c r="D3093" i="116"/>
  <c r="C3093" i="116"/>
  <c r="B3093" i="116"/>
  <c r="K3092" i="116"/>
  <c r="J3092" i="116"/>
  <c r="I3092" i="116"/>
  <c r="H3092" i="116"/>
  <c r="G3092" i="116"/>
  <c r="F3092" i="116"/>
  <c r="E3092" i="116"/>
  <c r="D3092" i="116"/>
  <c r="C3092" i="116"/>
  <c r="B3092" i="116"/>
  <c r="K3091" i="116"/>
  <c r="J3091" i="116"/>
  <c r="I3091" i="116"/>
  <c r="H3091" i="116"/>
  <c r="G3091" i="116"/>
  <c r="F3091" i="116"/>
  <c r="E3091" i="116"/>
  <c r="D3091" i="116"/>
  <c r="C3091" i="116"/>
  <c r="B3091" i="116"/>
  <c r="K3090" i="116"/>
  <c r="J3090" i="116"/>
  <c r="I3090" i="116"/>
  <c r="H3090" i="116"/>
  <c r="G3090" i="116"/>
  <c r="F3090" i="116"/>
  <c r="E3090" i="116"/>
  <c r="D3090" i="116"/>
  <c r="C3090" i="116"/>
  <c r="B3090" i="116"/>
  <c r="K3089" i="116"/>
  <c r="J3089" i="116"/>
  <c r="I3089" i="116"/>
  <c r="H3089" i="116"/>
  <c r="G3089" i="116"/>
  <c r="F3089" i="116"/>
  <c r="E3089" i="116"/>
  <c r="D3089" i="116"/>
  <c r="C3089" i="116"/>
  <c r="B3089" i="116"/>
  <c r="K3088" i="116"/>
  <c r="J3088" i="116"/>
  <c r="I3088" i="116"/>
  <c r="H3088" i="116"/>
  <c r="G3088" i="116"/>
  <c r="F3088" i="116"/>
  <c r="E3088" i="116"/>
  <c r="D3088" i="116"/>
  <c r="C3088" i="116"/>
  <c r="B3088" i="116"/>
  <c r="K3087" i="116"/>
  <c r="J3087" i="116"/>
  <c r="I3087" i="116"/>
  <c r="H3087" i="116"/>
  <c r="G3087" i="116"/>
  <c r="F3087" i="116"/>
  <c r="E3087" i="116"/>
  <c r="D3087" i="116"/>
  <c r="C3087" i="116"/>
  <c r="B3087" i="116"/>
  <c r="K3086" i="116"/>
  <c r="J3086" i="116"/>
  <c r="I3086" i="116"/>
  <c r="H3086" i="116"/>
  <c r="G3086" i="116"/>
  <c r="F3086" i="116"/>
  <c r="E3086" i="116"/>
  <c r="D3086" i="116"/>
  <c r="C3086" i="116"/>
  <c r="B3086" i="116"/>
  <c r="K3085" i="116"/>
  <c r="J3085" i="116"/>
  <c r="I3085" i="116"/>
  <c r="H3085" i="116"/>
  <c r="G3085" i="116"/>
  <c r="F3085" i="116"/>
  <c r="E3085" i="116"/>
  <c r="D3085" i="116"/>
  <c r="C3085" i="116"/>
  <c r="B3085" i="116"/>
  <c r="K3084" i="116"/>
  <c r="J3084" i="116"/>
  <c r="I3084" i="116"/>
  <c r="H3084" i="116"/>
  <c r="G3084" i="116"/>
  <c r="F3084" i="116"/>
  <c r="E3084" i="116"/>
  <c r="D3084" i="116"/>
  <c r="C3084" i="116"/>
  <c r="B3084" i="116"/>
  <c r="K3083" i="116"/>
  <c r="J3083" i="116"/>
  <c r="I3083" i="116"/>
  <c r="H3083" i="116"/>
  <c r="G3083" i="116"/>
  <c r="F3083" i="116"/>
  <c r="E3083" i="116"/>
  <c r="D3083" i="116"/>
  <c r="C3083" i="116"/>
  <c r="B3083" i="116"/>
  <c r="K3082" i="116"/>
  <c r="J3082" i="116"/>
  <c r="I3082" i="116"/>
  <c r="H3082" i="116"/>
  <c r="G3082" i="116"/>
  <c r="F3082" i="116"/>
  <c r="E3082" i="116"/>
  <c r="D3082" i="116"/>
  <c r="C3082" i="116"/>
  <c r="B3082" i="116"/>
  <c r="K3081" i="116"/>
  <c r="J3081" i="116"/>
  <c r="I3081" i="116"/>
  <c r="H3081" i="116"/>
  <c r="G3081" i="116"/>
  <c r="F3081" i="116"/>
  <c r="E3081" i="116"/>
  <c r="D3081" i="116"/>
  <c r="C3081" i="116"/>
  <c r="B3081" i="116"/>
  <c r="K3080" i="116"/>
  <c r="J3080" i="116"/>
  <c r="I3080" i="116"/>
  <c r="H3080" i="116"/>
  <c r="G3080" i="116"/>
  <c r="F3080" i="116"/>
  <c r="E3080" i="116"/>
  <c r="D3080" i="116"/>
  <c r="C3080" i="116"/>
  <c r="B3080" i="116"/>
  <c r="K3079" i="116"/>
  <c r="J3079" i="116"/>
  <c r="I3079" i="116"/>
  <c r="H3079" i="116"/>
  <c r="G3079" i="116"/>
  <c r="F3079" i="116"/>
  <c r="E3079" i="116"/>
  <c r="D3079" i="116"/>
  <c r="C3079" i="116"/>
  <c r="B3079" i="116"/>
  <c r="K3078" i="116"/>
  <c r="J3078" i="116"/>
  <c r="I3078" i="116"/>
  <c r="H3078" i="116"/>
  <c r="G3078" i="116"/>
  <c r="F3078" i="116"/>
  <c r="E3078" i="116"/>
  <c r="D3078" i="116"/>
  <c r="C3078" i="116"/>
  <c r="B3078" i="116"/>
  <c r="K3077" i="116"/>
  <c r="J3077" i="116"/>
  <c r="I3077" i="116"/>
  <c r="H3077" i="116"/>
  <c r="G3077" i="116"/>
  <c r="F3077" i="116"/>
  <c r="E3077" i="116"/>
  <c r="D3077" i="116"/>
  <c r="C3077" i="116"/>
  <c r="B3077" i="116"/>
  <c r="K3076" i="116"/>
  <c r="J3076" i="116"/>
  <c r="I3076" i="116"/>
  <c r="H3076" i="116"/>
  <c r="G3076" i="116"/>
  <c r="F3076" i="116"/>
  <c r="E3076" i="116"/>
  <c r="D3076" i="116"/>
  <c r="C3076" i="116"/>
  <c r="B3076" i="116"/>
  <c r="K3075" i="116"/>
  <c r="J3075" i="116"/>
  <c r="I3075" i="116"/>
  <c r="H3075" i="116"/>
  <c r="G3075" i="116"/>
  <c r="F3075" i="116"/>
  <c r="E3075" i="116"/>
  <c r="D3075" i="116"/>
  <c r="C3075" i="116"/>
  <c r="B3075" i="116"/>
  <c r="K3074" i="116"/>
  <c r="J3074" i="116"/>
  <c r="I3074" i="116"/>
  <c r="H3074" i="116"/>
  <c r="G3074" i="116"/>
  <c r="F3074" i="116"/>
  <c r="E3074" i="116"/>
  <c r="D3074" i="116"/>
  <c r="C3074" i="116"/>
  <c r="B3074" i="116"/>
  <c r="K3073" i="116"/>
  <c r="J3073" i="116"/>
  <c r="I3073" i="116"/>
  <c r="H3073" i="116"/>
  <c r="G3073" i="116"/>
  <c r="F3073" i="116"/>
  <c r="E3073" i="116"/>
  <c r="D3073" i="116"/>
  <c r="C3073" i="116"/>
  <c r="B3073" i="116"/>
  <c r="K3072" i="116"/>
  <c r="J3072" i="116"/>
  <c r="I3072" i="116"/>
  <c r="H3072" i="116"/>
  <c r="G3072" i="116"/>
  <c r="F3072" i="116"/>
  <c r="E3072" i="116"/>
  <c r="D3072" i="116"/>
  <c r="C3072" i="116"/>
  <c r="B3072" i="116"/>
  <c r="K3071" i="116"/>
  <c r="J3071" i="116"/>
  <c r="I3071" i="116"/>
  <c r="H3071" i="116"/>
  <c r="G3071" i="116"/>
  <c r="F3071" i="116"/>
  <c r="E3071" i="116"/>
  <c r="D3071" i="116"/>
  <c r="C3071" i="116"/>
  <c r="B3071" i="116"/>
  <c r="K3070" i="116"/>
  <c r="J3070" i="116"/>
  <c r="I3070" i="116"/>
  <c r="H3070" i="116"/>
  <c r="G3070" i="116"/>
  <c r="F3070" i="116"/>
  <c r="E3070" i="116"/>
  <c r="D3070" i="116"/>
  <c r="C3070" i="116"/>
  <c r="B3070" i="116"/>
  <c r="K3069" i="116"/>
  <c r="J3069" i="116"/>
  <c r="I3069" i="116"/>
  <c r="H3069" i="116"/>
  <c r="G3069" i="116"/>
  <c r="F3069" i="116"/>
  <c r="E3069" i="116"/>
  <c r="D3069" i="116"/>
  <c r="C3069" i="116"/>
  <c r="B3069" i="116"/>
  <c r="K3068" i="116"/>
  <c r="J3068" i="116"/>
  <c r="I3068" i="116"/>
  <c r="H3068" i="116"/>
  <c r="G3068" i="116"/>
  <c r="F3068" i="116"/>
  <c r="E3068" i="116"/>
  <c r="D3068" i="116"/>
  <c r="C3068" i="116"/>
  <c r="B3068" i="116"/>
  <c r="K3067" i="116"/>
  <c r="J3067" i="116"/>
  <c r="I3067" i="116"/>
  <c r="H3067" i="116"/>
  <c r="G3067" i="116"/>
  <c r="F3067" i="116"/>
  <c r="E3067" i="116"/>
  <c r="D3067" i="116"/>
  <c r="C3067" i="116"/>
  <c r="B3067" i="116"/>
  <c r="K3066" i="116"/>
  <c r="J3066" i="116"/>
  <c r="I3066" i="116"/>
  <c r="H3066" i="116"/>
  <c r="G3066" i="116"/>
  <c r="F3066" i="116"/>
  <c r="E3066" i="116"/>
  <c r="D3066" i="116"/>
  <c r="C3066" i="116"/>
  <c r="B3066" i="116"/>
  <c r="K3065" i="116"/>
  <c r="J3065" i="116"/>
  <c r="I3065" i="116"/>
  <c r="H3065" i="116"/>
  <c r="G3065" i="116"/>
  <c r="F3065" i="116"/>
  <c r="E3065" i="116"/>
  <c r="D3065" i="116"/>
  <c r="C3065" i="116"/>
  <c r="B3065" i="116"/>
  <c r="K3064" i="116"/>
  <c r="J3064" i="116"/>
  <c r="I3064" i="116"/>
  <c r="H3064" i="116"/>
  <c r="G3064" i="116"/>
  <c r="F3064" i="116"/>
  <c r="E3064" i="116"/>
  <c r="D3064" i="116"/>
  <c r="C3064" i="116"/>
  <c r="B3064" i="116"/>
  <c r="K3063" i="116"/>
  <c r="J3063" i="116"/>
  <c r="I3063" i="116"/>
  <c r="H3063" i="116"/>
  <c r="G3063" i="116"/>
  <c r="F3063" i="116"/>
  <c r="E3063" i="116"/>
  <c r="D3063" i="116"/>
  <c r="C3063" i="116"/>
  <c r="B3063" i="116"/>
  <c r="K3062" i="116"/>
  <c r="J3062" i="116"/>
  <c r="I3062" i="116"/>
  <c r="H3062" i="116"/>
  <c r="G3062" i="116"/>
  <c r="F3062" i="116"/>
  <c r="E3062" i="116"/>
  <c r="D3062" i="116"/>
  <c r="C3062" i="116"/>
  <c r="B3062" i="116"/>
  <c r="K3061" i="116"/>
  <c r="J3061" i="116"/>
  <c r="I3061" i="116"/>
  <c r="H3061" i="116"/>
  <c r="G3061" i="116"/>
  <c r="F3061" i="116"/>
  <c r="E3061" i="116"/>
  <c r="D3061" i="116"/>
  <c r="C3061" i="116"/>
  <c r="B3061" i="116"/>
  <c r="K3060" i="116"/>
  <c r="J3060" i="116"/>
  <c r="I3060" i="116"/>
  <c r="H3060" i="116"/>
  <c r="G3060" i="116"/>
  <c r="F3060" i="116"/>
  <c r="E3060" i="116"/>
  <c r="D3060" i="116"/>
  <c r="C3060" i="116"/>
  <c r="B3060" i="116"/>
  <c r="K3059" i="116"/>
  <c r="J3059" i="116"/>
  <c r="I3059" i="116"/>
  <c r="H3059" i="116"/>
  <c r="G3059" i="116"/>
  <c r="F3059" i="116"/>
  <c r="E3059" i="116"/>
  <c r="D3059" i="116"/>
  <c r="C3059" i="116"/>
  <c r="B3059" i="116"/>
  <c r="K3058" i="116"/>
  <c r="J3058" i="116"/>
  <c r="I3058" i="116"/>
  <c r="H3058" i="116"/>
  <c r="G3058" i="116"/>
  <c r="F3058" i="116"/>
  <c r="E3058" i="116"/>
  <c r="D3058" i="116"/>
  <c r="C3058" i="116"/>
  <c r="B3058" i="116"/>
  <c r="K3057" i="116"/>
  <c r="J3057" i="116"/>
  <c r="I3057" i="116"/>
  <c r="H3057" i="116"/>
  <c r="G3057" i="116"/>
  <c r="F3057" i="116"/>
  <c r="E3057" i="116"/>
  <c r="D3057" i="116"/>
  <c r="C3057" i="116"/>
  <c r="B3057" i="116"/>
  <c r="K3056" i="116"/>
  <c r="J3056" i="116"/>
  <c r="I3056" i="116"/>
  <c r="H3056" i="116"/>
  <c r="G3056" i="116"/>
  <c r="F3056" i="116"/>
  <c r="E3056" i="116"/>
  <c r="D3056" i="116"/>
  <c r="C3056" i="116"/>
  <c r="B3056" i="116"/>
  <c r="K3055" i="116"/>
  <c r="J3055" i="116"/>
  <c r="I3055" i="116"/>
  <c r="H3055" i="116"/>
  <c r="G3055" i="116"/>
  <c r="F3055" i="116"/>
  <c r="E3055" i="116"/>
  <c r="D3055" i="116"/>
  <c r="C3055" i="116"/>
  <c r="B3055" i="116"/>
  <c r="K3054" i="116"/>
  <c r="J3054" i="116"/>
  <c r="I3054" i="116"/>
  <c r="H3054" i="116"/>
  <c r="G3054" i="116"/>
  <c r="F3054" i="116"/>
  <c r="E3054" i="116"/>
  <c r="D3054" i="116"/>
  <c r="C3054" i="116"/>
  <c r="B3054" i="116"/>
  <c r="K3053" i="116"/>
  <c r="J3053" i="116"/>
  <c r="I3053" i="116"/>
  <c r="H3053" i="116"/>
  <c r="G3053" i="116"/>
  <c r="F3053" i="116"/>
  <c r="E3053" i="116"/>
  <c r="D3053" i="116"/>
  <c r="C3053" i="116"/>
  <c r="B3053" i="116"/>
  <c r="K3052" i="116"/>
  <c r="J3052" i="116"/>
  <c r="I3052" i="116"/>
  <c r="H3052" i="116"/>
  <c r="G3052" i="116"/>
  <c r="F3052" i="116"/>
  <c r="E3052" i="116"/>
  <c r="D3052" i="116"/>
  <c r="C3052" i="116"/>
  <c r="B3052" i="116"/>
  <c r="K3051" i="116"/>
  <c r="J3051" i="116"/>
  <c r="I3051" i="116"/>
  <c r="H3051" i="116"/>
  <c r="G3051" i="116"/>
  <c r="F3051" i="116"/>
  <c r="E3051" i="116"/>
  <c r="D3051" i="116"/>
  <c r="C3051" i="116"/>
  <c r="B3051" i="116"/>
  <c r="K3050" i="116"/>
  <c r="J3050" i="116"/>
  <c r="I3050" i="116"/>
  <c r="H3050" i="116"/>
  <c r="G3050" i="116"/>
  <c r="F3050" i="116"/>
  <c r="E3050" i="116"/>
  <c r="D3050" i="116"/>
  <c r="C3050" i="116"/>
  <c r="B3050" i="116"/>
  <c r="K3049" i="116"/>
  <c r="J3049" i="116"/>
  <c r="I3049" i="116"/>
  <c r="H3049" i="116"/>
  <c r="G3049" i="116"/>
  <c r="F3049" i="116"/>
  <c r="E3049" i="116"/>
  <c r="D3049" i="116"/>
  <c r="C3049" i="116"/>
  <c r="B3049" i="116"/>
  <c r="K3048" i="116"/>
  <c r="J3048" i="116"/>
  <c r="I3048" i="116"/>
  <c r="H3048" i="116"/>
  <c r="G3048" i="116"/>
  <c r="F3048" i="116"/>
  <c r="E3048" i="116"/>
  <c r="D3048" i="116"/>
  <c r="C3048" i="116"/>
  <c r="B3048" i="116"/>
  <c r="K3047" i="116"/>
  <c r="J3047" i="116"/>
  <c r="I3047" i="116"/>
  <c r="H3047" i="116"/>
  <c r="G3047" i="116"/>
  <c r="F3047" i="116"/>
  <c r="E3047" i="116"/>
  <c r="D3047" i="116"/>
  <c r="C3047" i="116"/>
  <c r="B3047" i="116"/>
  <c r="K3046" i="116"/>
  <c r="J3046" i="116"/>
  <c r="I3046" i="116"/>
  <c r="H3046" i="116"/>
  <c r="G3046" i="116"/>
  <c r="F3046" i="116"/>
  <c r="E3046" i="116"/>
  <c r="D3046" i="116"/>
  <c r="C3046" i="116"/>
  <c r="B3046" i="116"/>
  <c r="K3045" i="116"/>
  <c r="J3045" i="116"/>
  <c r="I3045" i="116"/>
  <c r="H3045" i="116"/>
  <c r="G3045" i="116"/>
  <c r="F3045" i="116"/>
  <c r="E3045" i="116"/>
  <c r="D3045" i="116"/>
  <c r="C3045" i="116"/>
  <c r="B3045" i="116"/>
  <c r="K3044" i="116"/>
  <c r="J3044" i="116"/>
  <c r="I3044" i="116"/>
  <c r="H3044" i="116"/>
  <c r="G3044" i="116"/>
  <c r="F3044" i="116"/>
  <c r="E3044" i="116"/>
  <c r="D3044" i="116"/>
  <c r="C3044" i="116"/>
  <c r="B3044" i="116"/>
  <c r="K3043" i="116"/>
  <c r="J3043" i="116"/>
  <c r="I3043" i="116"/>
  <c r="H3043" i="116"/>
  <c r="G3043" i="116"/>
  <c r="F3043" i="116"/>
  <c r="E3043" i="116"/>
  <c r="D3043" i="116"/>
  <c r="C3043" i="116"/>
  <c r="B3043" i="116"/>
  <c r="K3042" i="116"/>
  <c r="J3042" i="116"/>
  <c r="I3042" i="116"/>
  <c r="H3042" i="116"/>
  <c r="G3042" i="116"/>
  <c r="F3042" i="116"/>
  <c r="E3042" i="116"/>
  <c r="D3042" i="116"/>
  <c r="C3042" i="116"/>
  <c r="B3042" i="116"/>
  <c r="K3041" i="116"/>
  <c r="J3041" i="116"/>
  <c r="I3041" i="116"/>
  <c r="H3041" i="116"/>
  <c r="G3041" i="116"/>
  <c r="F3041" i="116"/>
  <c r="E3041" i="116"/>
  <c r="D3041" i="116"/>
  <c r="C3041" i="116"/>
  <c r="B3041" i="116"/>
  <c r="K3040" i="116"/>
  <c r="J3040" i="116"/>
  <c r="I3040" i="116"/>
  <c r="H3040" i="116"/>
  <c r="G3040" i="116"/>
  <c r="F3040" i="116"/>
  <c r="E3040" i="116"/>
  <c r="D3040" i="116"/>
  <c r="C3040" i="116"/>
  <c r="B3040" i="116"/>
  <c r="K3039" i="116"/>
  <c r="J3039" i="116"/>
  <c r="I3039" i="116"/>
  <c r="H3039" i="116"/>
  <c r="G3039" i="116"/>
  <c r="F3039" i="116"/>
  <c r="E3039" i="116"/>
  <c r="D3039" i="116"/>
  <c r="C3039" i="116"/>
  <c r="B3039" i="116"/>
  <c r="K3038" i="116"/>
  <c r="J3038" i="116"/>
  <c r="I3038" i="116"/>
  <c r="H3038" i="116"/>
  <c r="G3038" i="116"/>
  <c r="F3038" i="116"/>
  <c r="E3038" i="116"/>
  <c r="D3038" i="116"/>
  <c r="C3038" i="116"/>
  <c r="B3038" i="116"/>
  <c r="K3037" i="116"/>
  <c r="J3037" i="116"/>
  <c r="I3037" i="116"/>
  <c r="H3037" i="116"/>
  <c r="G3037" i="116"/>
  <c r="F3037" i="116"/>
  <c r="E3037" i="116"/>
  <c r="D3037" i="116"/>
  <c r="C3037" i="116"/>
  <c r="B3037" i="116"/>
  <c r="K3036" i="116"/>
  <c r="J3036" i="116"/>
  <c r="I3036" i="116"/>
  <c r="H3036" i="116"/>
  <c r="G3036" i="116"/>
  <c r="F3036" i="116"/>
  <c r="E3036" i="116"/>
  <c r="D3036" i="116"/>
  <c r="C3036" i="116"/>
  <c r="B3036" i="116"/>
  <c r="K3035" i="116"/>
  <c r="J3035" i="116"/>
  <c r="I3035" i="116"/>
  <c r="H3035" i="116"/>
  <c r="G3035" i="116"/>
  <c r="F3035" i="116"/>
  <c r="E3035" i="116"/>
  <c r="D3035" i="116"/>
  <c r="C3035" i="116"/>
  <c r="B3035" i="116"/>
  <c r="K3034" i="116"/>
  <c r="J3034" i="116"/>
  <c r="I3034" i="116"/>
  <c r="H3034" i="116"/>
  <c r="G3034" i="116"/>
  <c r="F3034" i="116"/>
  <c r="E3034" i="116"/>
  <c r="D3034" i="116"/>
  <c r="C3034" i="116"/>
  <c r="B3034" i="116"/>
  <c r="K3033" i="116"/>
  <c r="J3033" i="116"/>
  <c r="I3033" i="116"/>
  <c r="H3033" i="116"/>
  <c r="G3033" i="116"/>
  <c r="F3033" i="116"/>
  <c r="E3033" i="116"/>
  <c r="D3033" i="116"/>
  <c r="C3033" i="116"/>
  <c r="B3033" i="116"/>
  <c r="K3032" i="116"/>
  <c r="J3032" i="116"/>
  <c r="I3032" i="116"/>
  <c r="H3032" i="116"/>
  <c r="G3032" i="116"/>
  <c r="F3032" i="116"/>
  <c r="E3032" i="116"/>
  <c r="D3032" i="116"/>
  <c r="C3032" i="116"/>
  <c r="B3032" i="116"/>
  <c r="K3031" i="116"/>
  <c r="J3031" i="116"/>
  <c r="I3031" i="116"/>
  <c r="H3031" i="116"/>
  <c r="G3031" i="116"/>
  <c r="F3031" i="116"/>
  <c r="E3031" i="116"/>
  <c r="D3031" i="116"/>
  <c r="C3031" i="116"/>
  <c r="B3031" i="116"/>
  <c r="K3030" i="116"/>
  <c r="J3030" i="116"/>
  <c r="I3030" i="116"/>
  <c r="H3030" i="116"/>
  <c r="G3030" i="116"/>
  <c r="F3030" i="116"/>
  <c r="E3030" i="116"/>
  <c r="D3030" i="116"/>
  <c r="C3030" i="116"/>
  <c r="B3030" i="116"/>
  <c r="K3029" i="116"/>
  <c r="J3029" i="116"/>
  <c r="I3029" i="116"/>
  <c r="H3029" i="116"/>
  <c r="G3029" i="116"/>
  <c r="F3029" i="116"/>
  <c r="E3029" i="116"/>
  <c r="D3029" i="116"/>
  <c r="C3029" i="116"/>
  <c r="B3029" i="116"/>
  <c r="K3028" i="116"/>
  <c r="J3028" i="116"/>
  <c r="I3028" i="116"/>
  <c r="H3028" i="116"/>
  <c r="G3028" i="116"/>
  <c r="F3028" i="116"/>
  <c r="E3028" i="116"/>
  <c r="D3028" i="116"/>
  <c r="C3028" i="116"/>
  <c r="B3028" i="116"/>
  <c r="K3027" i="116"/>
  <c r="J3027" i="116"/>
  <c r="I3027" i="116"/>
  <c r="H3027" i="116"/>
  <c r="G3027" i="116"/>
  <c r="F3027" i="116"/>
  <c r="E3027" i="116"/>
  <c r="D3027" i="116"/>
  <c r="C3027" i="116"/>
  <c r="B3027" i="116"/>
  <c r="K3026" i="116"/>
  <c r="J3026" i="116"/>
  <c r="I3026" i="116"/>
  <c r="H3026" i="116"/>
  <c r="G3026" i="116"/>
  <c r="F3026" i="116"/>
  <c r="E3026" i="116"/>
  <c r="D3026" i="116"/>
  <c r="C3026" i="116"/>
  <c r="B3026" i="116"/>
  <c r="K3025" i="116"/>
  <c r="J3025" i="116"/>
  <c r="I3025" i="116"/>
  <c r="H3025" i="116"/>
  <c r="G3025" i="116"/>
  <c r="F3025" i="116"/>
  <c r="E3025" i="116"/>
  <c r="D3025" i="116"/>
  <c r="C3025" i="116"/>
  <c r="B3025" i="116"/>
  <c r="K3024" i="116"/>
  <c r="J3024" i="116"/>
  <c r="I3024" i="116"/>
  <c r="H3024" i="116"/>
  <c r="G3024" i="116"/>
  <c r="F3024" i="116"/>
  <c r="E3024" i="116"/>
  <c r="D3024" i="116"/>
  <c r="C3024" i="116"/>
  <c r="B3024" i="116"/>
  <c r="K3023" i="116"/>
  <c r="J3023" i="116"/>
  <c r="I3023" i="116"/>
  <c r="H3023" i="116"/>
  <c r="G3023" i="116"/>
  <c r="F3023" i="116"/>
  <c r="E3023" i="116"/>
  <c r="D3023" i="116"/>
  <c r="C3023" i="116"/>
  <c r="B3023" i="116"/>
  <c r="K3022" i="116"/>
  <c r="J3022" i="116"/>
  <c r="I3022" i="116"/>
  <c r="H3022" i="116"/>
  <c r="G3022" i="116"/>
  <c r="F3022" i="116"/>
  <c r="E3022" i="116"/>
  <c r="D3022" i="116"/>
  <c r="C3022" i="116"/>
  <c r="B3022" i="116"/>
  <c r="K3021" i="116"/>
  <c r="J3021" i="116"/>
  <c r="I3021" i="116"/>
  <c r="H3021" i="116"/>
  <c r="G3021" i="116"/>
  <c r="F3021" i="116"/>
  <c r="E3021" i="116"/>
  <c r="D3021" i="116"/>
  <c r="C3021" i="116"/>
  <c r="B3021" i="116"/>
  <c r="K3020" i="116"/>
  <c r="J3020" i="116"/>
  <c r="I3020" i="116"/>
  <c r="H3020" i="116"/>
  <c r="G3020" i="116"/>
  <c r="F3020" i="116"/>
  <c r="E3020" i="116"/>
  <c r="D3020" i="116"/>
  <c r="C3020" i="116"/>
  <c r="B3020" i="116"/>
  <c r="K3019" i="116"/>
  <c r="J3019" i="116"/>
  <c r="I3019" i="116"/>
  <c r="H3019" i="116"/>
  <c r="G3019" i="116"/>
  <c r="F3019" i="116"/>
  <c r="E3019" i="116"/>
  <c r="D3019" i="116"/>
  <c r="C3019" i="116"/>
  <c r="B3019" i="116"/>
  <c r="K3018" i="116"/>
  <c r="J3018" i="116"/>
  <c r="I3018" i="116"/>
  <c r="H3018" i="116"/>
  <c r="G3018" i="116"/>
  <c r="F3018" i="116"/>
  <c r="E3018" i="116"/>
  <c r="D3018" i="116"/>
  <c r="C3018" i="116"/>
  <c r="B3018" i="116"/>
  <c r="K3017" i="116"/>
  <c r="J3017" i="116"/>
  <c r="I3017" i="116"/>
  <c r="H3017" i="116"/>
  <c r="G3017" i="116"/>
  <c r="F3017" i="116"/>
  <c r="E3017" i="116"/>
  <c r="D3017" i="116"/>
  <c r="C3017" i="116"/>
  <c r="B3017" i="116"/>
  <c r="K3016" i="116"/>
  <c r="J3016" i="116"/>
  <c r="I3016" i="116"/>
  <c r="H3016" i="116"/>
  <c r="G3016" i="116"/>
  <c r="F3016" i="116"/>
  <c r="E3016" i="116"/>
  <c r="D3016" i="116"/>
  <c r="C3016" i="116"/>
  <c r="B3016" i="116"/>
  <c r="K3015" i="116"/>
  <c r="J3015" i="116"/>
  <c r="I3015" i="116"/>
  <c r="H3015" i="116"/>
  <c r="G3015" i="116"/>
  <c r="F3015" i="116"/>
  <c r="E3015" i="116"/>
  <c r="D3015" i="116"/>
  <c r="C3015" i="116"/>
  <c r="B3015" i="116"/>
  <c r="K3014" i="116"/>
  <c r="J3014" i="116"/>
  <c r="I3014" i="116"/>
  <c r="H3014" i="116"/>
  <c r="G3014" i="116"/>
  <c r="F3014" i="116"/>
  <c r="E3014" i="116"/>
  <c r="D3014" i="116"/>
  <c r="C3014" i="116"/>
  <c r="B3014" i="116"/>
  <c r="K3013" i="116"/>
  <c r="J3013" i="116"/>
  <c r="I3013" i="116"/>
  <c r="H3013" i="116"/>
  <c r="G3013" i="116"/>
  <c r="F3013" i="116"/>
  <c r="E3013" i="116"/>
  <c r="D3013" i="116"/>
  <c r="C3013" i="116"/>
  <c r="B3013" i="116"/>
  <c r="K3012" i="116"/>
  <c r="J3012" i="116"/>
  <c r="I3012" i="116"/>
  <c r="H3012" i="116"/>
  <c r="G3012" i="116"/>
  <c r="F3012" i="116"/>
  <c r="E3012" i="116"/>
  <c r="D3012" i="116"/>
  <c r="C3012" i="116"/>
  <c r="B3012" i="116"/>
  <c r="K3011" i="116"/>
  <c r="J3011" i="116"/>
  <c r="I3011" i="116"/>
  <c r="H3011" i="116"/>
  <c r="G3011" i="116"/>
  <c r="F3011" i="116"/>
  <c r="E3011" i="116"/>
  <c r="D3011" i="116"/>
  <c r="C3011" i="116"/>
  <c r="B3011" i="116"/>
  <c r="K3010" i="116"/>
  <c r="J3010" i="116"/>
  <c r="I3010" i="116"/>
  <c r="H3010" i="116"/>
  <c r="G3010" i="116"/>
  <c r="F3010" i="116"/>
  <c r="E3010" i="116"/>
  <c r="D3010" i="116"/>
  <c r="C3010" i="116"/>
  <c r="B3010" i="116"/>
  <c r="K3009" i="116"/>
  <c r="J3009" i="116"/>
  <c r="I3009" i="116"/>
  <c r="H3009" i="116"/>
  <c r="G3009" i="116"/>
  <c r="F3009" i="116"/>
  <c r="E3009" i="116"/>
  <c r="D3009" i="116"/>
  <c r="C3009" i="116"/>
  <c r="B3009" i="116"/>
  <c r="K3008" i="116"/>
  <c r="J3008" i="116"/>
  <c r="I3008" i="116"/>
  <c r="H3008" i="116"/>
  <c r="G3008" i="116"/>
  <c r="F3008" i="116"/>
  <c r="E3008" i="116"/>
  <c r="D3008" i="116"/>
  <c r="C3008" i="116"/>
  <c r="B3008" i="116"/>
  <c r="K3007" i="116"/>
  <c r="J3007" i="116"/>
  <c r="I3007" i="116"/>
  <c r="H3007" i="116"/>
  <c r="G3007" i="116"/>
  <c r="F3007" i="116"/>
  <c r="E3007" i="116"/>
  <c r="D3007" i="116"/>
  <c r="C3007" i="116"/>
  <c r="B3007" i="116"/>
  <c r="K3006" i="116"/>
  <c r="J3006" i="116"/>
  <c r="I3006" i="116"/>
  <c r="H3006" i="116"/>
  <c r="G3006" i="116"/>
  <c r="F3006" i="116"/>
  <c r="E3006" i="116"/>
  <c r="D3006" i="116"/>
  <c r="C3006" i="116"/>
  <c r="B3006" i="116"/>
  <c r="K3005" i="116"/>
  <c r="J3005" i="116"/>
  <c r="I3005" i="116"/>
  <c r="H3005" i="116"/>
  <c r="G3005" i="116"/>
  <c r="F3005" i="116"/>
  <c r="E3005" i="116"/>
  <c r="D3005" i="116"/>
  <c r="C3005" i="116"/>
  <c r="B3005" i="116"/>
  <c r="K3004" i="116"/>
  <c r="J3004" i="116"/>
  <c r="I3004" i="116"/>
  <c r="H3004" i="116"/>
  <c r="G3004" i="116"/>
  <c r="F3004" i="116"/>
  <c r="E3004" i="116"/>
  <c r="D3004" i="116"/>
  <c r="C3004" i="116"/>
  <c r="B3004" i="116"/>
  <c r="K3003" i="116"/>
  <c r="J3003" i="116"/>
  <c r="I3003" i="116"/>
  <c r="H3003" i="116"/>
  <c r="G3003" i="116"/>
  <c r="F3003" i="116"/>
  <c r="E3003" i="116"/>
  <c r="D3003" i="116"/>
  <c r="C3003" i="116"/>
  <c r="B3003" i="116"/>
  <c r="K3002" i="116"/>
  <c r="J3002" i="116"/>
  <c r="I3002" i="116"/>
  <c r="H3002" i="116"/>
  <c r="G3002" i="116"/>
  <c r="F3002" i="116"/>
  <c r="E3002" i="116"/>
  <c r="D3002" i="116"/>
  <c r="C3002" i="116"/>
  <c r="B3002" i="116"/>
  <c r="K3001" i="116"/>
  <c r="J3001" i="116"/>
  <c r="I3001" i="116"/>
  <c r="H3001" i="116"/>
  <c r="G3001" i="116"/>
  <c r="F3001" i="116"/>
  <c r="E3001" i="116"/>
  <c r="D3001" i="116"/>
  <c r="C3001" i="116"/>
  <c r="B3001" i="116"/>
  <c r="K3000" i="116"/>
  <c r="J3000" i="116"/>
  <c r="I3000" i="116"/>
  <c r="H3000" i="116"/>
  <c r="G3000" i="116"/>
  <c r="F3000" i="116"/>
  <c r="E3000" i="116"/>
  <c r="D3000" i="116"/>
  <c r="C3000" i="116"/>
  <c r="B3000" i="116"/>
  <c r="K2999" i="116"/>
  <c r="J2999" i="116"/>
  <c r="I2999" i="116"/>
  <c r="H2999" i="116"/>
  <c r="G2999" i="116"/>
  <c r="F2999" i="116"/>
  <c r="E2999" i="116"/>
  <c r="D2999" i="116"/>
  <c r="C2999" i="116"/>
  <c r="B2999" i="116"/>
  <c r="K2998" i="116"/>
  <c r="J2998" i="116"/>
  <c r="I2998" i="116"/>
  <c r="H2998" i="116"/>
  <c r="G2998" i="116"/>
  <c r="F2998" i="116"/>
  <c r="E2998" i="116"/>
  <c r="D2998" i="116"/>
  <c r="C2998" i="116"/>
  <c r="B2998" i="116"/>
  <c r="K2997" i="116"/>
  <c r="J2997" i="116"/>
  <c r="I2997" i="116"/>
  <c r="H2997" i="116"/>
  <c r="G2997" i="116"/>
  <c r="F2997" i="116"/>
  <c r="E2997" i="116"/>
  <c r="D2997" i="116"/>
  <c r="C2997" i="116"/>
  <c r="B2997" i="116"/>
  <c r="K2996" i="116"/>
  <c r="J2996" i="116"/>
  <c r="I2996" i="116"/>
  <c r="H2996" i="116"/>
  <c r="G2996" i="116"/>
  <c r="F2996" i="116"/>
  <c r="E2996" i="116"/>
  <c r="D2996" i="116"/>
  <c r="C2996" i="116"/>
  <c r="B2996" i="116"/>
  <c r="K2995" i="116"/>
  <c r="J2995" i="116"/>
  <c r="I2995" i="116"/>
  <c r="H2995" i="116"/>
  <c r="G2995" i="116"/>
  <c r="F2995" i="116"/>
  <c r="E2995" i="116"/>
  <c r="D2995" i="116"/>
  <c r="C2995" i="116"/>
  <c r="B2995" i="116"/>
  <c r="K2994" i="116"/>
  <c r="J2994" i="116"/>
  <c r="I2994" i="116"/>
  <c r="H2994" i="116"/>
  <c r="G2994" i="116"/>
  <c r="F2994" i="116"/>
  <c r="E2994" i="116"/>
  <c r="D2994" i="116"/>
  <c r="C2994" i="116"/>
  <c r="B2994" i="116"/>
  <c r="K2993" i="116"/>
  <c r="J2993" i="116"/>
  <c r="I2993" i="116"/>
  <c r="H2993" i="116"/>
  <c r="G2993" i="116"/>
  <c r="F2993" i="116"/>
  <c r="E2993" i="116"/>
  <c r="D2993" i="116"/>
  <c r="C2993" i="116"/>
  <c r="B2993" i="116"/>
  <c r="K2992" i="116"/>
  <c r="J2992" i="116"/>
  <c r="I2992" i="116"/>
  <c r="H2992" i="116"/>
  <c r="G2992" i="116"/>
  <c r="F2992" i="116"/>
  <c r="E2992" i="116"/>
  <c r="D2992" i="116"/>
  <c r="C2992" i="116"/>
  <c r="B2992" i="116"/>
  <c r="K2991" i="116"/>
  <c r="J2991" i="116"/>
  <c r="I2991" i="116"/>
  <c r="H2991" i="116"/>
  <c r="G2991" i="116"/>
  <c r="F2991" i="116"/>
  <c r="E2991" i="116"/>
  <c r="D2991" i="116"/>
  <c r="C2991" i="116"/>
  <c r="B2991" i="116"/>
  <c r="K2990" i="116"/>
  <c r="J2990" i="116"/>
  <c r="I2990" i="116"/>
  <c r="H2990" i="116"/>
  <c r="G2990" i="116"/>
  <c r="F2990" i="116"/>
  <c r="E2990" i="116"/>
  <c r="D2990" i="116"/>
  <c r="C2990" i="116"/>
  <c r="B2990" i="116"/>
  <c r="K2989" i="116"/>
  <c r="J2989" i="116"/>
  <c r="I2989" i="116"/>
  <c r="H2989" i="116"/>
  <c r="G2989" i="116"/>
  <c r="F2989" i="116"/>
  <c r="E2989" i="116"/>
  <c r="D2989" i="116"/>
  <c r="C2989" i="116"/>
  <c r="B2989" i="116"/>
  <c r="K2988" i="116"/>
  <c r="J2988" i="116"/>
  <c r="I2988" i="116"/>
  <c r="H2988" i="116"/>
  <c r="G2988" i="116"/>
  <c r="F2988" i="116"/>
  <c r="E2988" i="116"/>
  <c r="D2988" i="116"/>
  <c r="C2988" i="116"/>
  <c r="B2988" i="116"/>
  <c r="K2987" i="116"/>
  <c r="J2987" i="116"/>
  <c r="I2987" i="116"/>
  <c r="H2987" i="116"/>
  <c r="G2987" i="116"/>
  <c r="F2987" i="116"/>
  <c r="E2987" i="116"/>
  <c r="D2987" i="116"/>
  <c r="C2987" i="116"/>
  <c r="B2987" i="116"/>
  <c r="K2986" i="116"/>
  <c r="J2986" i="116"/>
  <c r="I2986" i="116"/>
  <c r="H2986" i="116"/>
  <c r="G2986" i="116"/>
  <c r="F2986" i="116"/>
  <c r="E2986" i="116"/>
  <c r="D2986" i="116"/>
  <c r="C2986" i="116"/>
  <c r="B2986" i="116"/>
  <c r="K2985" i="116"/>
  <c r="J2985" i="116"/>
  <c r="I2985" i="116"/>
  <c r="H2985" i="116"/>
  <c r="G2985" i="116"/>
  <c r="F2985" i="116"/>
  <c r="E2985" i="116"/>
  <c r="D2985" i="116"/>
  <c r="C2985" i="116"/>
  <c r="B2985" i="116"/>
  <c r="K2984" i="116"/>
  <c r="J2984" i="116"/>
  <c r="I2984" i="116"/>
  <c r="H2984" i="116"/>
  <c r="G2984" i="116"/>
  <c r="F2984" i="116"/>
  <c r="E2984" i="116"/>
  <c r="D2984" i="116"/>
  <c r="C2984" i="116"/>
  <c r="B2984" i="116"/>
  <c r="K2983" i="116"/>
  <c r="J2983" i="116"/>
  <c r="I2983" i="116"/>
  <c r="H2983" i="116"/>
  <c r="G2983" i="116"/>
  <c r="F2983" i="116"/>
  <c r="E2983" i="116"/>
  <c r="D2983" i="116"/>
  <c r="C2983" i="116"/>
  <c r="B2983" i="116"/>
  <c r="K2982" i="116"/>
  <c r="J2982" i="116"/>
  <c r="I2982" i="116"/>
  <c r="H2982" i="116"/>
  <c r="G2982" i="116"/>
  <c r="F2982" i="116"/>
  <c r="E2982" i="116"/>
  <c r="D2982" i="116"/>
  <c r="C2982" i="116"/>
  <c r="B2982" i="116"/>
  <c r="K2981" i="116"/>
  <c r="J2981" i="116"/>
  <c r="I2981" i="116"/>
  <c r="H2981" i="116"/>
  <c r="G2981" i="116"/>
  <c r="F2981" i="116"/>
  <c r="E2981" i="116"/>
  <c r="D2981" i="116"/>
  <c r="C2981" i="116"/>
  <c r="B2981" i="116"/>
  <c r="K2980" i="116"/>
  <c r="J2980" i="116"/>
  <c r="I2980" i="116"/>
  <c r="H2980" i="116"/>
  <c r="G2980" i="116"/>
  <c r="F2980" i="116"/>
  <c r="E2980" i="116"/>
  <c r="D2980" i="116"/>
  <c r="C2980" i="116"/>
  <c r="B2980" i="116"/>
  <c r="K2979" i="116"/>
  <c r="J2979" i="116"/>
  <c r="I2979" i="116"/>
  <c r="H2979" i="116"/>
  <c r="G2979" i="116"/>
  <c r="F2979" i="116"/>
  <c r="E2979" i="116"/>
  <c r="D2979" i="116"/>
  <c r="C2979" i="116"/>
  <c r="B2979" i="116"/>
  <c r="K2978" i="116"/>
  <c r="J2978" i="116"/>
  <c r="I2978" i="116"/>
  <c r="H2978" i="116"/>
  <c r="G2978" i="116"/>
  <c r="F2978" i="116"/>
  <c r="E2978" i="116"/>
  <c r="D2978" i="116"/>
  <c r="C2978" i="116"/>
  <c r="B2978" i="116"/>
  <c r="K2977" i="116"/>
  <c r="J2977" i="116"/>
  <c r="I2977" i="116"/>
  <c r="H2977" i="116"/>
  <c r="G2977" i="116"/>
  <c r="F2977" i="116"/>
  <c r="E2977" i="116"/>
  <c r="D2977" i="116"/>
  <c r="C2977" i="116"/>
  <c r="B2977" i="116"/>
  <c r="K2976" i="116"/>
  <c r="J2976" i="116"/>
  <c r="I2976" i="116"/>
  <c r="H2976" i="116"/>
  <c r="G2976" i="116"/>
  <c r="F2976" i="116"/>
  <c r="E2976" i="116"/>
  <c r="D2976" i="116"/>
  <c r="C2976" i="116"/>
  <c r="B2976" i="116"/>
  <c r="K2975" i="116"/>
  <c r="J2975" i="116"/>
  <c r="I2975" i="116"/>
  <c r="H2975" i="116"/>
  <c r="G2975" i="116"/>
  <c r="F2975" i="116"/>
  <c r="E2975" i="116"/>
  <c r="D2975" i="116"/>
  <c r="C2975" i="116"/>
  <c r="B2975" i="116"/>
  <c r="K2974" i="116"/>
  <c r="J2974" i="116"/>
  <c r="I2974" i="116"/>
  <c r="H2974" i="116"/>
  <c r="G2974" i="116"/>
  <c r="F2974" i="116"/>
  <c r="E2974" i="116"/>
  <c r="D2974" i="116"/>
  <c r="C2974" i="116"/>
  <c r="B2974" i="116"/>
  <c r="K2973" i="116"/>
  <c r="J2973" i="116"/>
  <c r="I2973" i="116"/>
  <c r="H2973" i="116"/>
  <c r="G2973" i="116"/>
  <c r="F2973" i="116"/>
  <c r="E2973" i="116"/>
  <c r="D2973" i="116"/>
  <c r="C2973" i="116"/>
  <c r="B2973" i="116"/>
  <c r="K2972" i="116"/>
  <c r="J2972" i="116"/>
  <c r="I2972" i="116"/>
  <c r="H2972" i="116"/>
  <c r="G2972" i="116"/>
  <c r="F2972" i="116"/>
  <c r="E2972" i="116"/>
  <c r="D2972" i="116"/>
  <c r="C2972" i="116"/>
  <c r="B2972" i="116"/>
  <c r="K2971" i="116"/>
  <c r="J2971" i="116"/>
  <c r="I2971" i="116"/>
  <c r="H2971" i="116"/>
  <c r="G2971" i="116"/>
  <c r="F2971" i="116"/>
  <c r="E2971" i="116"/>
  <c r="D2971" i="116"/>
  <c r="C2971" i="116"/>
  <c r="B2971" i="116"/>
  <c r="K2970" i="116"/>
  <c r="J2970" i="116"/>
  <c r="I2970" i="116"/>
  <c r="H2970" i="116"/>
  <c r="G2970" i="116"/>
  <c r="F2970" i="116"/>
  <c r="E2970" i="116"/>
  <c r="D2970" i="116"/>
  <c r="C2970" i="116"/>
  <c r="B2970" i="116"/>
  <c r="K2969" i="116"/>
  <c r="J2969" i="116"/>
  <c r="I2969" i="116"/>
  <c r="H2969" i="116"/>
  <c r="G2969" i="116"/>
  <c r="F2969" i="116"/>
  <c r="E2969" i="116"/>
  <c r="D2969" i="116"/>
  <c r="C2969" i="116"/>
  <c r="B2969" i="116"/>
  <c r="K2968" i="116"/>
  <c r="J2968" i="116"/>
  <c r="I2968" i="116"/>
  <c r="H2968" i="116"/>
  <c r="G2968" i="116"/>
  <c r="F2968" i="116"/>
  <c r="E2968" i="116"/>
  <c r="D2968" i="116"/>
  <c r="C2968" i="116"/>
  <c r="B2968" i="116"/>
  <c r="K2967" i="116"/>
  <c r="J2967" i="116"/>
  <c r="I2967" i="116"/>
  <c r="H2967" i="116"/>
  <c r="G2967" i="116"/>
  <c r="F2967" i="116"/>
  <c r="E2967" i="116"/>
  <c r="D2967" i="116"/>
  <c r="C2967" i="116"/>
  <c r="B2967" i="116"/>
  <c r="K2966" i="116"/>
  <c r="J2966" i="116"/>
  <c r="I2966" i="116"/>
  <c r="H2966" i="116"/>
  <c r="G2966" i="116"/>
  <c r="F2966" i="116"/>
  <c r="E2966" i="116"/>
  <c r="D2966" i="116"/>
  <c r="C2966" i="116"/>
  <c r="B2966" i="116"/>
  <c r="K2965" i="116"/>
  <c r="J2965" i="116"/>
  <c r="I2965" i="116"/>
  <c r="H2965" i="116"/>
  <c r="G2965" i="116"/>
  <c r="F2965" i="116"/>
  <c r="E2965" i="116"/>
  <c r="D2965" i="116"/>
  <c r="C2965" i="116"/>
  <c r="B2965" i="116"/>
  <c r="K2964" i="116"/>
  <c r="J2964" i="116"/>
  <c r="I2964" i="116"/>
  <c r="H2964" i="116"/>
  <c r="G2964" i="116"/>
  <c r="F2964" i="116"/>
  <c r="E2964" i="116"/>
  <c r="D2964" i="116"/>
  <c r="C2964" i="116"/>
  <c r="B2964" i="116"/>
  <c r="K2963" i="116"/>
  <c r="J2963" i="116"/>
  <c r="I2963" i="116"/>
  <c r="H2963" i="116"/>
  <c r="G2963" i="116"/>
  <c r="F2963" i="116"/>
  <c r="E2963" i="116"/>
  <c r="D2963" i="116"/>
  <c r="C2963" i="116"/>
  <c r="B2963" i="116"/>
  <c r="K2962" i="116"/>
  <c r="J2962" i="116"/>
  <c r="I2962" i="116"/>
  <c r="H2962" i="116"/>
  <c r="G2962" i="116"/>
  <c r="F2962" i="116"/>
  <c r="E2962" i="116"/>
  <c r="D2962" i="116"/>
  <c r="C2962" i="116"/>
  <c r="B2962" i="116"/>
  <c r="K2961" i="116"/>
  <c r="J2961" i="116"/>
  <c r="I2961" i="116"/>
  <c r="H2961" i="116"/>
  <c r="G2961" i="116"/>
  <c r="F2961" i="116"/>
  <c r="E2961" i="116"/>
  <c r="D2961" i="116"/>
  <c r="C2961" i="116"/>
  <c r="B2961" i="116"/>
  <c r="K2960" i="116"/>
  <c r="J2960" i="116"/>
  <c r="I2960" i="116"/>
  <c r="H2960" i="116"/>
  <c r="G2960" i="116"/>
  <c r="F2960" i="116"/>
  <c r="E2960" i="116"/>
  <c r="D2960" i="116"/>
  <c r="C2960" i="116"/>
  <c r="B2960" i="116"/>
  <c r="K2959" i="116"/>
  <c r="J2959" i="116"/>
  <c r="I2959" i="116"/>
  <c r="H2959" i="116"/>
  <c r="G2959" i="116"/>
  <c r="F2959" i="116"/>
  <c r="E2959" i="116"/>
  <c r="D2959" i="116"/>
  <c r="C2959" i="116"/>
  <c r="B2959" i="116"/>
  <c r="K2958" i="116"/>
  <c r="J2958" i="116"/>
  <c r="I2958" i="116"/>
  <c r="H2958" i="116"/>
  <c r="G2958" i="116"/>
  <c r="F2958" i="116"/>
  <c r="E2958" i="116"/>
  <c r="D2958" i="116"/>
  <c r="C2958" i="116"/>
  <c r="B2958" i="116"/>
  <c r="K2957" i="116"/>
  <c r="J2957" i="116"/>
  <c r="I2957" i="116"/>
  <c r="H2957" i="116"/>
  <c r="G2957" i="116"/>
  <c r="F2957" i="116"/>
  <c r="E2957" i="116"/>
  <c r="D2957" i="116"/>
  <c r="C2957" i="116"/>
  <c r="B2957" i="116"/>
  <c r="K2956" i="116"/>
  <c r="J2956" i="116"/>
  <c r="I2956" i="116"/>
  <c r="H2956" i="116"/>
  <c r="G2956" i="116"/>
  <c r="F2956" i="116"/>
  <c r="E2956" i="116"/>
  <c r="D2956" i="116"/>
  <c r="C2956" i="116"/>
  <c r="B2956" i="116"/>
  <c r="K2955" i="116"/>
  <c r="J2955" i="116"/>
  <c r="I2955" i="116"/>
  <c r="H2955" i="116"/>
  <c r="G2955" i="116"/>
  <c r="F2955" i="116"/>
  <c r="E2955" i="116"/>
  <c r="D2955" i="116"/>
  <c r="C2955" i="116"/>
  <c r="B2955" i="116"/>
  <c r="K2954" i="116"/>
  <c r="J2954" i="116"/>
  <c r="I2954" i="116"/>
  <c r="H2954" i="116"/>
  <c r="G2954" i="116"/>
  <c r="F2954" i="116"/>
  <c r="E2954" i="116"/>
  <c r="D2954" i="116"/>
  <c r="C2954" i="116"/>
  <c r="B2954" i="116"/>
  <c r="K2953" i="116"/>
  <c r="J2953" i="116"/>
  <c r="I2953" i="116"/>
  <c r="H2953" i="116"/>
  <c r="G2953" i="116"/>
  <c r="F2953" i="116"/>
  <c r="E2953" i="116"/>
  <c r="D2953" i="116"/>
  <c r="C2953" i="116"/>
  <c r="B2953" i="116"/>
  <c r="K2952" i="116"/>
  <c r="J2952" i="116"/>
  <c r="I2952" i="116"/>
  <c r="H2952" i="116"/>
  <c r="G2952" i="116"/>
  <c r="F2952" i="116"/>
  <c r="E2952" i="116"/>
  <c r="D2952" i="116"/>
  <c r="C2952" i="116"/>
  <c r="B2952" i="116"/>
  <c r="K2951" i="116"/>
  <c r="J2951" i="116"/>
  <c r="I2951" i="116"/>
  <c r="H2951" i="116"/>
  <c r="G2951" i="116"/>
  <c r="F2951" i="116"/>
  <c r="E2951" i="116"/>
  <c r="D2951" i="116"/>
  <c r="C2951" i="116"/>
  <c r="B2951" i="116"/>
  <c r="K2950" i="116"/>
  <c r="J2950" i="116"/>
  <c r="I2950" i="116"/>
  <c r="H2950" i="116"/>
  <c r="G2950" i="116"/>
  <c r="F2950" i="116"/>
  <c r="E2950" i="116"/>
  <c r="D2950" i="116"/>
  <c r="C2950" i="116"/>
  <c r="B2950" i="116"/>
  <c r="K2949" i="116"/>
  <c r="J2949" i="116"/>
  <c r="I2949" i="116"/>
  <c r="H2949" i="116"/>
  <c r="G2949" i="116"/>
  <c r="F2949" i="116"/>
  <c r="E2949" i="116"/>
  <c r="D2949" i="116"/>
  <c r="C2949" i="116"/>
  <c r="B2949" i="116"/>
  <c r="K2948" i="116"/>
  <c r="J2948" i="116"/>
  <c r="I2948" i="116"/>
  <c r="H2948" i="116"/>
  <c r="G2948" i="116"/>
  <c r="F2948" i="116"/>
  <c r="E2948" i="116"/>
  <c r="D2948" i="116"/>
  <c r="C2948" i="116"/>
  <c r="B2948" i="116"/>
  <c r="K2947" i="116"/>
  <c r="J2947" i="116"/>
  <c r="I2947" i="116"/>
  <c r="H2947" i="116"/>
  <c r="G2947" i="116"/>
  <c r="F2947" i="116"/>
  <c r="E2947" i="116"/>
  <c r="D2947" i="116"/>
  <c r="C2947" i="116"/>
  <c r="B2947" i="116"/>
  <c r="K2946" i="116"/>
  <c r="J2946" i="116"/>
  <c r="I2946" i="116"/>
  <c r="H2946" i="116"/>
  <c r="G2946" i="116"/>
  <c r="F2946" i="116"/>
  <c r="E2946" i="116"/>
  <c r="D2946" i="116"/>
  <c r="C2946" i="116"/>
  <c r="B2946" i="116"/>
  <c r="K2945" i="116"/>
  <c r="J2945" i="116"/>
  <c r="I2945" i="116"/>
  <c r="H2945" i="116"/>
  <c r="G2945" i="116"/>
  <c r="F2945" i="116"/>
  <c r="E2945" i="116"/>
  <c r="D2945" i="116"/>
  <c r="C2945" i="116"/>
  <c r="B2945" i="116"/>
  <c r="K2944" i="116"/>
  <c r="J2944" i="116"/>
  <c r="I2944" i="116"/>
  <c r="H2944" i="116"/>
  <c r="G2944" i="116"/>
  <c r="F2944" i="116"/>
  <c r="E2944" i="116"/>
  <c r="D2944" i="116"/>
  <c r="C2944" i="116"/>
  <c r="B2944" i="116"/>
  <c r="K2943" i="116"/>
  <c r="J2943" i="116"/>
  <c r="I2943" i="116"/>
  <c r="H2943" i="116"/>
  <c r="G2943" i="116"/>
  <c r="F2943" i="116"/>
  <c r="E2943" i="116"/>
  <c r="D2943" i="116"/>
  <c r="C2943" i="116"/>
  <c r="B2943" i="116"/>
  <c r="K2942" i="116"/>
  <c r="J2942" i="116"/>
  <c r="I2942" i="116"/>
  <c r="H2942" i="116"/>
  <c r="G2942" i="116"/>
  <c r="F2942" i="116"/>
  <c r="E2942" i="116"/>
  <c r="D2942" i="116"/>
  <c r="C2942" i="116"/>
  <c r="B2942" i="116"/>
  <c r="K2941" i="116"/>
  <c r="J2941" i="116"/>
  <c r="I2941" i="116"/>
  <c r="H2941" i="116"/>
  <c r="G2941" i="116"/>
  <c r="F2941" i="116"/>
  <c r="E2941" i="116"/>
  <c r="D2941" i="116"/>
  <c r="C2941" i="116"/>
  <c r="B2941" i="116"/>
  <c r="K2940" i="116"/>
  <c r="J2940" i="116"/>
  <c r="I2940" i="116"/>
  <c r="H2940" i="116"/>
  <c r="G2940" i="116"/>
  <c r="F2940" i="116"/>
  <c r="E2940" i="116"/>
  <c r="D2940" i="116"/>
  <c r="C2940" i="116"/>
  <c r="B2940" i="116"/>
  <c r="K2939" i="116"/>
  <c r="J2939" i="116"/>
  <c r="I2939" i="116"/>
  <c r="H2939" i="116"/>
  <c r="G2939" i="116"/>
  <c r="F2939" i="116"/>
  <c r="E2939" i="116"/>
  <c r="D2939" i="116"/>
  <c r="C2939" i="116"/>
  <c r="B2939" i="116"/>
  <c r="K2938" i="116"/>
  <c r="J2938" i="116"/>
  <c r="I2938" i="116"/>
  <c r="H2938" i="116"/>
  <c r="G2938" i="116"/>
  <c r="F2938" i="116"/>
  <c r="E2938" i="116"/>
  <c r="D2938" i="116"/>
  <c r="C2938" i="116"/>
  <c r="B2938" i="116"/>
  <c r="K2937" i="116"/>
  <c r="J2937" i="116"/>
  <c r="I2937" i="116"/>
  <c r="H2937" i="116"/>
  <c r="G2937" i="116"/>
  <c r="F2937" i="116"/>
  <c r="E2937" i="116"/>
  <c r="D2937" i="116"/>
  <c r="C2937" i="116"/>
  <c r="B2937" i="116"/>
  <c r="K2936" i="116"/>
  <c r="J2936" i="116"/>
  <c r="I2936" i="116"/>
  <c r="H2936" i="116"/>
  <c r="G2936" i="116"/>
  <c r="F2936" i="116"/>
  <c r="E2936" i="116"/>
  <c r="D2936" i="116"/>
  <c r="C2936" i="116"/>
  <c r="B2936" i="116"/>
  <c r="K2935" i="116"/>
  <c r="J2935" i="116"/>
  <c r="I2935" i="116"/>
  <c r="H2935" i="116"/>
  <c r="G2935" i="116"/>
  <c r="F2935" i="116"/>
  <c r="E2935" i="116"/>
  <c r="D2935" i="116"/>
  <c r="C2935" i="116"/>
  <c r="B2935" i="116"/>
  <c r="K2934" i="116"/>
  <c r="J2934" i="116"/>
  <c r="I2934" i="116"/>
  <c r="H2934" i="116"/>
  <c r="G2934" i="116"/>
  <c r="F2934" i="116"/>
  <c r="E2934" i="116"/>
  <c r="D2934" i="116"/>
  <c r="C2934" i="116"/>
  <c r="B2934" i="116"/>
  <c r="K2933" i="116"/>
  <c r="J2933" i="116"/>
  <c r="I2933" i="116"/>
  <c r="H2933" i="116"/>
  <c r="G2933" i="116"/>
  <c r="F2933" i="116"/>
  <c r="E2933" i="116"/>
  <c r="D2933" i="116"/>
  <c r="C2933" i="116"/>
  <c r="B2933" i="116"/>
  <c r="K2932" i="116"/>
  <c r="J2932" i="116"/>
  <c r="I2932" i="116"/>
  <c r="H2932" i="116"/>
  <c r="G2932" i="116"/>
  <c r="F2932" i="116"/>
  <c r="E2932" i="116"/>
  <c r="D2932" i="116"/>
  <c r="C2932" i="116"/>
  <c r="B2932" i="116"/>
  <c r="K2931" i="116"/>
  <c r="J2931" i="116"/>
  <c r="I2931" i="116"/>
  <c r="H2931" i="116"/>
  <c r="G2931" i="116"/>
  <c r="F2931" i="116"/>
  <c r="E2931" i="116"/>
  <c r="D2931" i="116"/>
  <c r="C2931" i="116"/>
  <c r="B2931" i="116"/>
  <c r="K2930" i="116"/>
  <c r="J2930" i="116"/>
  <c r="I2930" i="116"/>
  <c r="H2930" i="116"/>
  <c r="G2930" i="116"/>
  <c r="F2930" i="116"/>
  <c r="E2930" i="116"/>
  <c r="D2930" i="116"/>
  <c r="C2930" i="116"/>
  <c r="B2930" i="116"/>
  <c r="K2929" i="116"/>
  <c r="J2929" i="116"/>
  <c r="I2929" i="116"/>
  <c r="H2929" i="116"/>
  <c r="G2929" i="116"/>
  <c r="F2929" i="116"/>
  <c r="E2929" i="116"/>
  <c r="D2929" i="116"/>
  <c r="C2929" i="116"/>
  <c r="B2929" i="116"/>
  <c r="K2928" i="116"/>
  <c r="J2928" i="116"/>
  <c r="I2928" i="116"/>
  <c r="H2928" i="116"/>
  <c r="G2928" i="116"/>
  <c r="F2928" i="116"/>
  <c r="E2928" i="116"/>
  <c r="D2928" i="116"/>
  <c r="C2928" i="116"/>
  <c r="B2928" i="116"/>
  <c r="K2927" i="116"/>
  <c r="J2927" i="116"/>
  <c r="I2927" i="116"/>
  <c r="H2927" i="116"/>
  <c r="G2927" i="116"/>
  <c r="F2927" i="116"/>
  <c r="E2927" i="116"/>
  <c r="D2927" i="116"/>
  <c r="C2927" i="116"/>
  <c r="B2927" i="116"/>
  <c r="K2926" i="116"/>
  <c r="J2926" i="116"/>
  <c r="I2926" i="116"/>
  <c r="H2926" i="116"/>
  <c r="G2926" i="116"/>
  <c r="F2926" i="116"/>
  <c r="E2926" i="116"/>
  <c r="D2926" i="116"/>
  <c r="C2926" i="116"/>
  <c r="B2926" i="116"/>
  <c r="K2925" i="116"/>
  <c r="J2925" i="116"/>
  <c r="I2925" i="116"/>
  <c r="H2925" i="116"/>
  <c r="G2925" i="116"/>
  <c r="F2925" i="116"/>
  <c r="E2925" i="116"/>
  <c r="D2925" i="116"/>
  <c r="C2925" i="116"/>
  <c r="B2925" i="116"/>
  <c r="K2924" i="116"/>
  <c r="J2924" i="116"/>
  <c r="I2924" i="116"/>
  <c r="H2924" i="116"/>
  <c r="G2924" i="116"/>
  <c r="F2924" i="116"/>
  <c r="E2924" i="116"/>
  <c r="D2924" i="116"/>
  <c r="C2924" i="116"/>
  <c r="B2924" i="116"/>
  <c r="K2923" i="116"/>
  <c r="J2923" i="116"/>
  <c r="I2923" i="116"/>
  <c r="H2923" i="116"/>
  <c r="G2923" i="116"/>
  <c r="F2923" i="116"/>
  <c r="E2923" i="116"/>
  <c r="D2923" i="116"/>
  <c r="C2923" i="116"/>
  <c r="B2923" i="116"/>
  <c r="K2922" i="116"/>
  <c r="J2922" i="116"/>
  <c r="I2922" i="116"/>
  <c r="H2922" i="116"/>
  <c r="G2922" i="116"/>
  <c r="F2922" i="116"/>
  <c r="E2922" i="116"/>
  <c r="D2922" i="116"/>
  <c r="C2922" i="116"/>
  <c r="B2922" i="116"/>
  <c r="K2921" i="116"/>
  <c r="J2921" i="116"/>
  <c r="I2921" i="116"/>
  <c r="H2921" i="116"/>
  <c r="G2921" i="116"/>
  <c r="F2921" i="116"/>
  <c r="E2921" i="116"/>
  <c r="D2921" i="116"/>
  <c r="C2921" i="116"/>
  <c r="B2921" i="116"/>
  <c r="K2920" i="116"/>
  <c r="J2920" i="116"/>
  <c r="I2920" i="116"/>
  <c r="H2920" i="116"/>
  <c r="G2920" i="116"/>
  <c r="F2920" i="116"/>
  <c r="E2920" i="116"/>
  <c r="D2920" i="116"/>
  <c r="C2920" i="116"/>
  <c r="B2920" i="116"/>
  <c r="K2919" i="116"/>
  <c r="J2919" i="116"/>
  <c r="I2919" i="116"/>
  <c r="H2919" i="116"/>
  <c r="G2919" i="116"/>
  <c r="F2919" i="116"/>
  <c r="E2919" i="116"/>
  <c r="D2919" i="116"/>
  <c r="C2919" i="116"/>
  <c r="B2919" i="116"/>
  <c r="K2918" i="116"/>
  <c r="J2918" i="116"/>
  <c r="I2918" i="116"/>
  <c r="H2918" i="116"/>
  <c r="G2918" i="116"/>
  <c r="F2918" i="116"/>
  <c r="E2918" i="116"/>
  <c r="D2918" i="116"/>
  <c r="C2918" i="116"/>
  <c r="B2918" i="116"/>
  <c r="K2917" i="116"/>
  <c r="J2917" i="116"/>
  <c r="I2917" i="116"/>
  <c r="H2917" i="116"/>
  <c r="G2917" i="116"/>
  <c r="F2917" i="116"/>
  <c r="E2917" i="116"/>
  <c r="D2917" i="116"/>
  <c r="C2917" i="116"/>
  <c r="B2917" i="116"/>
  <c r="K2916" i="116"/>
  <c r="J2916" i="116"/>
  <c r="I2916" i="116"/>
  <c r="H2916" i="116"/>
  <c r="G2916" i="116"/>
  <c r="F2916" i="116"/>
  <c r="E2916" i="116"/>
  <c r="D2916" i="116"/>
  <c r="C2916" i="116"/>
  <c r="B2916" i="116"/>
  <c r="K2915" i="116"/>
  <c r="J2915" i="116"/>
  <c r="I2915" i="116"/>
  <c r="H2915" i="116"/>
  <c r="G2915" i="116"/>
  <c r="F2915" i="116"/>
  <c r="E2915" i="116"/>
  <c r="D2915" i="116"/>
  <c r="C2915" i="116"/>
  <c r="B2915" i="116"/>
  <c r="K2914" i="116"/>
  <c r="J2914" i="116"/>
  <c r="I2914" i="116"/>
  <c r="H2914" i="116"/>
  <c r="G2914" i="116"/>
  <c r="F2914" i="116"/>
  <c r="E2914" i="116"/>
  <c r="D2914" i="116"/>
  <c r="C2914" i="116"/>
  <c r="B2914" i="116"/>
  <c r="K2913" i="116"/>
  <c r="J2913" i="116"/>
  <c r="I2913" i="116"/>
  <c r="H2913" i="116"/>
  <c r="G2913" i="116"/>
  <c r="F2913" i="116"/>
  <c r="E2913" i="116"/>
  <c r="D2913" i="116"/>
  <c r="C2913" i="116"/>
  <c r="B2913" i="116"/>
  <c r="K2912" i="116"/>
  <c r="J2912" i="116"/>
  <c r="I2912" i="116"/>
  <c r="H2912" i="116"/>
  <c r="G2912" i="116"/>
  <c r="F2912" i="116"/>
  <c r="E2912" i="116"/>
  <c r="D2912" i="116"/>
  <c r="C2912" i="116"/>
  <c r="B2912" i="116"/>
  <c r="K2911" i="116"/>
  <c r="J2911" i="116"/>
  <c r="I2911" i="116"/>
  <c r="H2911" i="116"/>
  <c r="G2911" i="116"/>
  <c r="F2911" i="116"/>
  <c r="E2911" i="116"/>
  <c r="D2911" i="116"/>
  <c r="C2911" i="116"/>
  <c r="B2911" i="116"/>
  <c r="K2910" i="116"/>
  <c r="J2910" i="116"/>
  <c r="I2910" i="116"/>
  <c r="H2910" i="116"/>
  <c r="G2910" i="116"/>
  <c r="F2910" i="116"/>
  <c r="E2910" i="116"/>
  <c r="D2910" i="116"/>
  <c r="C2910" i="116"/>
  <c r="B2910" i="116"/>
  <c r="K2909" i="116"/>
  <c r="J2909" i="116"/>
  <c r="I2909" i="116"/>
  <c r="H2909" i="116"/>
  <c r="G2909" i="116"/>
  <c r="F2909" i="116"/>
  <c r="E2909" i="116"/>
  <c r="D2909" i="116"/>
  <c r="C2909" i="116"/>
  <c r="B2909" i="116"/>
  <c r="K2908" i="116"/>
  <c r="J2908" i="116"/>
  <c r="I2908" i="116"/>
  <c r="H2908" i="116"/>
  <c r="G2908" i="116"/>
  <c r="F2908" i="116"/>
  <c r="E2908" i="116"/>
  <c r="D2908" i="116"/>
  <c r="C2908" i="116"/>
  <c r="B2908" i="116"/>
  <c r="K2907" i="116"/>
  <c r="J2907" i="116"/>
  <c r="I2907" i="116"/>
  <c r="H2907" i="116"/>
  <c r="G2907" i="116"/>
  <c r="F2907" i="116"/>
  <c r="E2907" i="116"/>
  <c r="D2907" i="116"/>
  <c r="C2907" i="116"/>
  <c r="B2907" i="116"/>
  <c r="K2906" i="116"/>
  <c r="J2906" i="116"/>
  <c r="I2906" i="116"/>
  <c r="H2906" i="116"/>
  <c r="G2906" i="116"/>
  <c r="F2906" i="116"/>
  <c r="E2906" i="116"/>
  <c r="D2906" i="116"/>
  <c r="C2906" i="116"/>
  <c r="B2906" i="116"/>
  <c r="K2905" i="116"/>
  <c r="J2905" i="116"/>
  <c r="I2905" i="116"/>
  <c r="H2905" i="116"/>
  <c r="G2905" i="116"/>
  <c r="F2905" i="116"/>
  <c r="E2905" i="116"/>
  <c r="D2905" i="116"/>
  <c r="C2905" i="116"/>
  <c r="B2905" i="116"/>
  <c r="K2904" i="116"/>
  <c r="J2904" i="116"/>
  <c r="I2904" i="116"/>
  <c r="H2904" i="116"/>
  <c r="G2904" i="116"/>
  <c r="F2904" i="116"/>
  <c r="E2904" i="116"/>
  <c r="D2904" i="116"/>
  <c r="C2904" i="116"/>
  <c r="B2904" i="116"/>
  <c r="K2903" i="116"/>
  <c r="J2903" i="116"/>
  <c r="I2903" i="116"/>
  <c r="H2903" i="116"/>
  <c r="G2903" i="116"/>
  <c r="F2903" i="116"/>
  <c r="E2903" i="116"/>
  <c r="D2903" i="116"/>
  <c r="C2903" i="116"/>
  <c r="B2903" i="116"/>
  <c r="K2902" i="116"/>
  <c r="J2902" i="116"/>
  <c r="I2902" i="116"/>
  <c r="H2902" i="116"/>
  <c r="G2902" i="116"/>
  <c r="F2902" i="116"/>
  <c r="E2902" i="116"/>
  <c r="D2902" i="116"/>
  <c r="C2902" i="116"/>
  <c r="B2902" i="116"/>
  <c r="K2901" i="116"/>
  <c r="J2901" i="116"/>
  <c r="I2901" i="116"/>
  <c r="H2901" i="116"/>
  <c r="G2901" i="116"/>
  <c r="F2901" i="116"/>
  <c r="E2901" i="116"/>
  <c r="D2901" i="116"/>
  <c r="C2901" i="116"/>
  <c r="B2901" i="116"/>
  <c r="K2900" i="116"/>
  <c r="J2900" i="116"/>
  <c r="I2900" i="116"/>
  <c r="H2900" i="116"/>
  <c r="G2900" i="116"/>
  <c r="F2900" i="116"/>
  <c r="E2900" i="116"/>
  <c r="D2900" i="116"/>
  <c r="C2900" i="116"/>
  <c r="B2900" i="116"/>
  <c r="K2899" i="116"/>
  <c r="J2899" i="116"/>
  <c r="I2899" i="116"/>
  <c r="H2899" i="116"/>
  <c r="G2899" i="116"/>
  <c r="F2899" i="116"/>
  <c r="E2899" i="116"/>
  <c r="D2899" i="116"/>
  <c r="C2899" i="116"/>
  <c r="B2899" i="116"/>
  <c r="K2898" i="116"/>
  <c r="J2898" i="116"/>
  <c r="I2898" i="116"/>
  <c r="H2898" i="116"/>
  <c r="G2898" i="116"/>
  <c r="F2898" i="116"/>
  <c r="E2898" i="116"/>
  <c r="D2898" i="116"/>
  <c r="C2898" i="116"/>
  <c r="B2898" i="116"/>
  <c r="K2897" i="116"/>
  <c r="J2897" i="116"/>
  <c r="I2897" i="116"/>
  <c r="H2897" i="116"/>
  <c r="G2897" i="116"/>
  <c r="F2897" i="116"/>
  <c r="E2897" i="116"/>
  <c r="D2897" i="116"/>
  <c r="C2897" i="116"/>
  <c r="B2897" i="116"/>
  <c r="K2896" i="116"/>
  <c r="J2896" i="116"/>
  <c r="I2896" i="116"/>
  <c r="H2896" i="116"/>
  <c r="G2896" i="116"/>
  <c r="F2896" i="116"/>
  <c r="E2896" i="116"/>
  <c r="D2896" i="116"/>
  <c r="C2896" i="116"/>
  <c r="B2896" i="116"/>
  <c r="K2895" i="116"/>
  <c r="J2895" i="116"/>
  <c r="I2895" i="116"/>
  <c r="H2895" i="116"/>
  <c r="G2895" i="116"/>
  <c r="F2895" i="116"/>
  <c r="E2895" i="116"/>
  <c r="D2895" i="116"/>
  <c r="C2895" i="116"/>
  <c r="B2895" i="116"/>
  <c r="K2894" i="116"/>
  <c r="J2894" i="116"/>
  <c r="I2894" i="116"/>
  <c r="H2894" i="116"/>
  <c r="G2894" i="116"/>
  <c r="F2894" i="116"/>
  <c r="E2894" i="116"/>
  <c r="D2894" i="116"/>
  <c r="C2894" i="116"/>
  <c r="B2894" i="116"/>
  <c r="K2893" i="116"/>
  <c r="J2893" i="116"/>
  <c r="I2893" i="116"/>
  <c r="H2893" i="116"/>
  <c r="G2893" i="116"/>
  <c r="F2893" i="116"/>
  <c r="E2893" i="116"/>
  <c r="D2893" i="116"/>
  <c r="C2893" i="116"/>
  <c r="B2893" i="116"/>
  <c r="K2892" i="116"/>
  <c r="J2892" i="116"/>
  <c r="I2892" i="116"/>
  <c r="H2892" i="116"/>
  <c r="G2892" i="116"/>
  <c r="F2892" i="116"/>
  <c r="E2892" i="116"/>
  <c r="D2892" i="116"/>
  <c r="C2892" i="116"/>
  <c r="B2892" i="116"/>
  <c r="K2891" i="116"/>
  <c r="J2891" i="116"/>
  <c r="I2891" i="116"/>
  <c r="H2891" i="116"/>
  <c r="G2891" i="116"/>
  <c r="F2891" i="116"/>
  <c r="E2891" i="116"/>
  <c r="D2891" i="116"/>
  <c r="C2891" i="116"/>
  <c r="B2891" i="116"/>
  <c r="K2890" i="116"/>
  <c r="J2890" i="116"/>
  <c r="I2890" i="116"/>
  <c r="H2890" i="116"/>
  <c r="G2890" i="116"/>
  <c r="F2890" i="116"/>
  <c r="E2890" i="116"/>
  <c r="D2890" i="116"/>
  <c r="C2890" i="116"/>
  <c r="B2890" i="116"/>
  <c r="K2889" i="116"/>
  <c r="J2889" i="116"/>
  <c r="I2889" i="116"/>
  <c r="H2889" i="116"/>
  <c r="G2889" i="116"/>
  <c r="F2889" i="116"/>
  <c r="E2889" i="116"/>
  <c r="D2889" i="116"/>
  <c r="C2889" i="116"/>
  <c r="B2889" i="116"/>
  <c r="K2888" i="116"/>
  <c r="J2888" i="116"/>
  <c r="I2888" i="116"/>
  <c r="H2888" i="116"/>
  <c r="G2888" i="116"/>
  <c r="F2888" i="116"/>
  <c r="E2888" i="116"/>
  <c r="D2888" i="116"/>
  <c r="C2888" i="116"/>
  <c r="B2888" i="116"/>
  <c r="K2887" i="116"/>
  <c r="J2887" i="116"/>
  <c r="I2887" i="116"/>
  <c r="H2887" i="116"/>
  <c r="G2887" i="116"/>
  <c r="F2887" i="116"/>
  <c r="E2887" i="116"/>
  <c r="D2887" i="116"/>
  <c r="C2887" i="116"/>
  <c r="B2887" i="116"/>
  <c r="K2886" i="116"/>
  <c r="J2886" i="116"/>
  <c r="I2886" i="116"/>
  <c r="H2886" i="116"/>
  <c r="G2886" i="116"/>
  <c r="F2886" i="116"/>
  <c r="E2886" i="116"/>
  <c r="D2886" i="116"/>
  <c r="C2886" i="116"/>
  <c r="B2886" i="116"/>
  <c r="K2885" i="116"/>
  <c r="J2885" i="116"/>
  <c r="I2885" i="116"/>
  <c r="H2885" i="116"/>
  <c r="G2885" i="116"/>
  <c r="F2885" i="116"/>
  <c r="E2885" i="116"/>
  <c r="D2885" i="116"/>
  <c r="C2885" i="116"/>
  <c r="B2885" i="116"/>
  <c r="K2884" i="116"/>
  <c r="J2884" i="116"/>
  <c r="I2884" i="116"/>
  <c r="H2884" i="116"/>
  <c r="G2884" i="116"/>
  <c r="F2884" i="116"/>
  <c r="E2884" i="116"/>
  <c r="D2884" i="116"/>
  <c r="C2884" i="116"/>
  <c r="B2884" i="116"/>
  <c r="K2883" i="116"/>
  <c r="J2883" i="116"/>
  <c r="I2883" i="116"/>
  <c r="H2883" i="116"/>
  <c r="G2883" i="116"/>
  <c r="F2883" i="116"/>
  <c r="E2883" i="116"/>
  <c r="D2883" i="116"/>
  <c r="C2883" i="116"/>
  <c r="B2883" i="116"/>
  <c r="K2882" i="116"/>
  <c r="J2882" i="116"/>
  <c r="I2882" i="116"/>
  <c r="H2882" i="116"/>
  <c r="G2882" i="116"/>
  <c r="F2882" i="116"/>
  <c r="E2882" i="116"/>
  <c r="D2882" i="116"/>
  <c r="C2882" i="116"/>
  <c r="B2882" i="116"/>
  <c r="K2881" i="116"/>
  <c r="J2881" i="116"/>
  <c r="I2881" i="116"/>
  <c r="H2881" i="116"/>
  <c r="G2881" i="116"/>
  <c r="F2881" i="116"/>
  <c r="E2881" i="116"/>
  <c r="D2881" i="116"/>
  <c r="C2881" i="116"/>
  <c r="B2881" i="116"/>
  <c r="K2880" i="116"/>
  <c r="J2880" i="116"/>
  <c r="I2880" i="116"/>
  <c r="H2880" i="116"/>
  <c r="G2880" i="116"/>
  <c r="F2880" i="116"/>
  <c r="E2880" i="116"/>
  <c r="D2880" i="116"/>
  <c r="C2880" i="116"/>
  <c r="B2880" i="116"/>
  <c r="K2879" i="116"/>
  <c r="J2879" i="116"/>
  <c r="I2879" i="116"/>
  <c r="H2879" i="116"/>
  <c r="G2879" i="116"/>
  <c r="F2879" i="116"/>
  <c r="E2879" i="116"/>
  <c r="D2879" i="116"/>
  <c r="C2879" i="116"/>
  <c r="B2879" i="116"/>
  <c r="K2878" i="116"/>
  <c r="J2878" i="116"/>
  <c r="I2878" i="116"/>
  <c r="H2878" i="116"/>
  <c r="G2878" i="116"/>
  <c r="F2878" i="116"/>
  <c r="E2878" i="116"/>
  <c r="D2878" i="116"/>
  <c r="C2878" i="116"/>
  <c r="B2878" i="116"/>
  <c r="K2877" i="116"/>
  <c r="J2877" i="116"/>
  <c r="I2877" i="116"/>
  <c r="H2877" i="116"/>
  <c r="G2877" i="116"/>
  <c r="F2877" i="116"/>
  <c r="E2877" i="116"/>
  <c r="D2877" i="116"/>
  <c r="C2877" i="116"/>
  <c r="B2877" i="116"/>
  <c r="K2876" i="116"/>
  <c r="J2876" i="116"/>
  <c r="I2876" i="116"/>
  <c r="H2876" i="116"/>
  <c r="G2876" i="116"/>
  <c r="F2876" i="116"/>
  <c r="E2876" i="116"/>
  <c r="D2876" i="116"/>
  <c r="C2876" i="116"/>
  <c r="B2876" i="116"/>
  <c r="K2875" i="116"/>
  <c r="J2875" i="116"/>
  <c r="I2875" i="116"/>
  <c r="H2875" i="116"/>
  <c r="G2875" i="116"/>
  <c r="F2875" i="116"/>
  <c r="E2875" i="116"/>
  <c r="D2875" i="116"/>
  <c r="C2875" i="116"/>
  <c r="B2875" i="116"/>
  <c r="K2874" i="116"/>
  <c r="J2874" i="116"/>
  <c r="I2874" i="116"/>
  <c r="H2874" i="116"/>
  <c r="G2874" i="116"/>
  <c r="F2874" i="116"/>
  <c r="E2874" i="116"/>
  <c r="D2874" i="116"/>
  <c r="C2874" i="116"/>
  <c r="B2874" i="116"/>
  <c r="K2873" i="116"/>
  <c r="J2873" i="116"/>
  <c r="I2873" i="116"/>
  <c r="H2873" i="116"/>
  <c r="G2873" i="116"/>
  <c r="F2873" i="116"/>
  <c r="E2873" i="116"/>
  <c r="D2873" i="116"/>
  <c r="C2873" i="116"/>
  <c r="B2873" i="116"/>
  <c r="K2872" i="116"/>
  <c r="J2872" i="116"/>
  <c r="I2872" i="116"/>
  <c r="H2872" i="116"/>
  <c r="G2872" i="116"/>
  <c r="F2872" i="116"/>
  <c r="E2872" i="116"/>
  <c r="D2872" i="116"/>
  <c r="C2872" i="116"/>
  <c r="B2872" i="116"/>
  <c r="K2871" i="116"/>
  <c r="J2871" i="116"/>
  <c r="I2871" i="116"/>
  <c r="H2871" i="116"/>
  <c r="G2871" i="116"/>
  <c r="F2871" i="116"/>
  <c r="E2871" i="116"/>
  <c r="D2871" i="116"/>
  <c r="C2871" i="116"/>
  <c r="B2871" i="116"/>
  <c r="K2870" i="116"/>
  <c r="J2870" i="116"/>
  <c r="I2870" i="116"/>
  <c r="H2870" i="116"/>
  <c r="G2870" i="116"/>
  <c r="F2870" i="116"/>
  <c r="E2870" i="116"/>
  <c r="D2870" i="116"/>
  <c r="C2870" i="116"/>
  <c r="B2870" i="116"/>
  <c r="K2869" i="116"/>
  <c r="J2869" i="116"/>
  <c r="I2869" i="116"/>
  <c r="H2869" i="116"/>
  <c r="G2869" i="116"/>
  <c r="F2869" i="116"/>
  <c r="E2869" i="116"/>
  <c r="D2869" i="116"/>
  <c r="C2869" i="116"/>
  <c r="B2869" i="116"/>
  <c r="K2868" i="116"/>
  <c r="J2868" i="116"/>
  <c r="I2868" i="116"/>
  <c r="H2868" i="116"/>
  <c r="G2868" i="116"/>
  <c r="F2868" i="116"/>
  <c r="E2868" i="116"/>
  <c r="D2868" i="116"/>
  <c r="C2868" i="116"/>
  <c r="B2868" i="116"/>
  <c r="K2867" i="116"/>
  <c r="J2867" i="116"/>
  <c r="I2867" i="116"/>
  <c r="H2867" i="116"/>
  <c r="G2867" i="116"/>
  <c r="F2867" i="116"/>
  <c r="E2867" i="116"/>
  <c r="D2867" i="116"/>
  <c r="C2867" i="116"/>
  <c r="B2867" i="116"/>
  <c r="K2866" i="116"/>
  <c r="J2866" i="116"/>
  <c r="I2866" i="116"/>
  <c r="H2866" i="116"/>
  <c r="G2866" i="116"/>
  <c r="F2866" i="116"/>
  <c r="E2866" i="116"/>
  <c r="D2866" i="116"/>
  <c r="C2866" i="116"/>
  <c r="B2866" i="116"/>
  <c r="K2865" i="116"/>
  <c r="J2865" i="116"/>
  <c r="I2865" i="116"/>
  <c r="H2865" i="116"/>
  <c r="G2865" i="116"/>
  <c r="F2865" i="116"/>
  <c r="E2865" i="116"/>
  <c r="D2865" i="116"/>
  <c r="C2865" i="116"/>
  <c r="B2865" i="116"/>
  <c r="K2864" i="116"/>
  <c r="J2864" i="116"/>
  <c r="I2864" i="116"/>
  <c r="H2864" i="116"/>
  <c r="G2864" i="116"/>
  <c r="F2864" i="116"/>
  <c r="E2864" i="116"/>
  <c r="D2864" i="116"/>
  <c r="C2864" i="116"/>
  <c r="B2864" i="116"/>
  <c r="K2863" i="116"/>
  <c r="J2863" i="116"/>
  <c r="I2863" i="116"/>
  <c r="H2863" i="116"/>
  <c r="G2863" i="116"/>
  <c r="F2863" i="116"/>
  <c r="E2863" i="116"/>
  <c r="D2863" i="116"/>
  <c r="C2863" i="116"/>
  <c r="B2863" i="116"/>
  <c r="K2862" i="116"/>
  <c r="J2862" i="116"/>
  <c r="I2862" i="116"/>
  <c r="H2862" i="116"/>
  <c r="G2862" i="116"/>
  <c r="F2862" i="116"/>
  <c r="E2862" i="116"/>
  <c r="D2862" i="116"/>
  <c r="C2862" i="116"/>
  <c r="B2862" i="116"/>
  <c r="K2861" i="116"/>
  <c r="J2861" i="116"/>
  <c r="I2861" i="116"/>
  <c r="H2861" i="116"/>
  <c r="G2861" i="116"/>
  <c r="F2861" i="116"/>
  <c r="E2861" i="116"/>
  <c r="D2861" i="116"/>
  <c r="C2861" i="116"/>
  <c r="B2861" i="116"/>
  <c r="K2860" i="116"/>
  <c r="J2860" i="116"/>
  <c r="I2860" i="116"/>
  <c r="H2860" i="116"/>
  <c r="G2860" i="116"/>
  <c r="F2860" i="116"/>
  <c r="E2860" i="116"/>
  <c r="D2860" i="116"/>
  <c r="C2860" i="116"/>
  <c r="B2860" i="116"/>
  <c r="K2859" i="116"/>
  <c r="J2859" i="116"/>
  <c r="I2859" i="116"/>
  <c r="H2859" i="116"/>
  <c r="G2859" i="116"/>
  <c r="F2859" i="116"/>
  <c r="E2859" i="116"/>
  <c r="D2859" i="116"/>
  <c r="C2859" i="116"/>
  <c r="B2859" i="116"/>
  <c r="K2858" i="116"/>
  <c r="J2858" i="116"/>
  <c r="I2858" i="116"/>
  <c r="H2858" i="116"/>
  <c r="G2858" i="116"/>
  <c r="F2858" i="116"/>
  <c r="E2858" i="116"/>
  <c r="D2858" i="116"/>
  <c r="C2858" i="116"/>
  <c r="B2858" i="116"/>
  <c r="K2857" i="116"/>
  <c r="J2857" i="116"/>
  <c r="I2857" i="116"/>
  <c r="H2857" i="116"/>
  <c r="G2857" i="116"/>
  <c r="F2857" i="116"/>
  <c r="E2857" i="116"/>
  <c r="D2857" i="116"/>
  <c r="C2857" i="116"/>
  <c r="B2857" i="116"/>
  <c r="K2856" i="116"/>
  <c r="J2856" i="116"/>
  <c r="I2856" i="116"/>
  <c r="H2856" i="116"/>
  <c r="G2856" i="116"/>
  <c r="F2856" i="116"/>
  <c r="E2856" i="116"/>
  <c r="D2856" i="116"/>
  <c r="C2856" i="116"/>
  <c r="B2856" i="116"/>
  <c r="K2855" i="116"/>
  <c r="J2855" i="116"/>
  <c r="I2855" i="116"/>
  <c r="H2855" i="116"/>
  <c r="G2855" i="116"/>
  <c r="F2855" i="116"/>
  <c r="E2855" i="116"/>
  <c r="D2855" i="116"/>
  <c r="C2855" i="116"/>
  <c r="B2855" i="116"/>
  <c r="K2854" i="116"/>
  <c r="J2854" i="116"/>
  <c r="I2854" i="116"/>
  <c r="H2854" i="116"/>
  <c r="G2854" i="116"/>
  <c r="F2854" i="116"/>
  <c r="E2854" i="116"/>
  <c r="D2854" i="116"/>
  <c r="C2854" i="116"/>
  <c r="B2854" i="116"/>
  <c r="K2853" i="116"/>
  <c r="J2853" i="116"/>
  <c r="I2853" i="116"/>
  <c r="H2853" i="116"/>
  <c r="G2853" i="116"/>
  <c r="F2853" i="116"/>
  <c r="E2853" i="116"/>
  <c r="D2853" i="116"/>
  <c r="C2853" i="116"/>
  <c r="B2853" i="116"/>
  <c r="K2852" i="116"/>
  <c r="J2852" i="116"/>
  <c r="I2852" i="116"/>
  <c r="H2852" i="116"/>
  <c r="G2852" i="116"/>
  <c r="F2852" i="116"/>
  <c r="E2852" i="116"/>
  <c r="D2852" i="116"/>
  <c r="C2852" i="116"/>
  <c r="B2852" i="116"/>
  <c r="K2851" i="116"/>
  <c r="J2851" i="116"/>
  <c r="I2851" i="116"/>
  <c r="H2851" i="116"/>
  <c r="G2851" i="116"/>
  <c r="F2851" i="116"/>
  <c r="E2851" i="116"/>
  <c r="D2851" i="116"/>
  <c r="C2851" i="116"/>
  <c r="B2851" i="116"/>
  <c r="K2850" i="116"/>
  <c r="J2850" i="116"/>
  <c r="I2850" i="116"/>
  <c r="H2850" i="116"/>
  <c r="G2850" i="116"/>
  <c r="F2850" i="116"/>
  <c r="E2850" i="116"/>
  <c r="D2850" i="116"/>
  <c r="C2850" i="116"/>
  <c r="B2850" i="116"/>
  <c r="K2849" i="116"/>
  <c r="J2849" i="116"/>
  <c r="I2849" i="116"/>
  <c r="H2849" i="116"/>
  <c r="G2849" i="116"/>
  <c r="F2849" i="116"/>
  <c r="E2849" i="116"/>
  <c r="D2849" i="116"/>
  <c r="C2849" i="116"/>
  <c r="B2849" i="116"/>
  <c r="K2848" i="116"/>
  <c r="J2848" i="116"/>
  <c r="I2848" i="116"/>
  <c r="H2848" i="116"/>
  <c r="G2848" i="116"/>
  <c r="F2848" i="116"/>
  <c r="E2848" i="116"/>
  <c r="D2848" i="116"/>
  <c r="C2848" i="116"/>
  <c r="B2848" i="116"/>
  <c r="K2847" i="116"/>
  <c r="J2847" i="116"/>
  <c r="I2847" i="116"/>
  <c r="H2847" i="116"/>
  <c r="G2847" i="116"/>
  <c r="F2847" i="116"/>
  <c r="E2847" i="116"/>
  <c r="D2847" i="116"/>
  <c r="C2847" i="116"/>
  <c r="B2847" i="116"/>
  <c r="K2846" i="116"/>
  <c r="J2846" i="116"/>
  <c r="I2846" i="116"/>
  <c r="H2846" i="116"/>
  <c r="G2846" i="116"/>
  <c r="F2846" i="116"/>
  <c r="E2846" i="116"/>
  <c r="D2846" i="116"/>
  <c r="C2846" i="116"/>
  <c r="B2846" i="116"/>
  <c r="K2845" i="116"/>
  <c r="J2845" i="116"/>
  <c r="I2845" i="116"/>
  <c r="H2845" i="116"/>
  <c r="G2845" i="116"/>
  <c r="F2845" i="116"/>
  <c r="E2845" i="116"/>
  <c r="D2845" i="116"/>
  <c r="C2845" i="116"/>
  <c r="B2845" i="116"/>
  <c r="K2844" i="116"/>
  <c r="J2844" i="116"/>
  <c r="I2844" i="116"/>
  <c r="H2844" i="116"/>
  <c r="G2844" i="116"/>
  <c r="F2844" i="116"/>
  <c r="E2844" i="116"/>
  <c r="D2844" i="116"/>
  <c r="C2844" i="116"/>
  <c r="B2844" i="116"/>
  <c r="K2843" i="116"/>
  <c r="J2843" i="116"/>
  <c r="I2843" i="116"/>
  <c r="H2843" i="116"/>
  <c r="G2843" i="116"/>
  <c r="F2843" i="116"/>
  <c r="E2843" i="116"/>
  <c r="D2843" i="116"/>
  <c r="C2843" i="116"/>
  <c r="B2843" i="116"/>
  <c r="K2842" i="116"/>
  <c r="J2842" i="116"/>
  <c r="I2842" i="116"/>
  <c r="H2842" i="116"/>
  <c r="G2842" i="116"/>
  <c r="F2842" i="116"/>
  <c r="E2842" i="116"/>
  <c r="D2842" i="116"/>
  <c r="C2842" i="116"/>
  <c r="B2842" i="116"/>
  <c r="K2841" i="116"/>
  <c r="J2841" i="116"/>
  <c r="I2841" i="116"/>
  <c r="H2841" i="116"/>
  <c r="G2841" i="116"/>
  <c r="F2841" i="116"/>
  <c r="E2841" i="116"/>
  <c r="D2841" i="116"/>
  <c r="C2841" i="116"/>
  <c r="B2841" i="116"/>
  <c r="K2840" i="116"/>
  <c r="J2840" i="116"/>
  <c r="I2840" i="116"/>
  <c r="H2840" i="116"/>
  <c r="G2840" i="116"/>
  <c r="F2840" i="116"/>
  <c r="E2840" i="116"/>
  <c r="D2840" i="116"/>
  <c r="C2840" i="116"/>
  <c r="B2840" i="116"/>
  <c r="K2839" i="116"/>
  <c r="J2839" i="116"/>
  <c r="I2839" i="116"/>
  <c r="H2839" i="116"/>
  <c r="G2839" i="116"/>
  <c r="F2839" i="116"/>
  <c r="E2839" i="116"/>
  <c r="D2839" i="116"/>
  <c r="C2839" i="116"/>
  <c r="B2839" i="116"/>
  <c r="K2838" i="116"/>
  <c r="J2838" i="116"/>
  <c r="I2838" i="116"/>
  <c r="H2838" i="116"/>
  <c r="G2838" i="116"/>
  <c r="F2838" i="116"/>
  <c r="E2838" i="116"/>
  <c r="D2838" i="116"/>
  <c r="C2838" i="116"/>
  <c r="B2838" i="116"/>
  <c r="K2837" i="116"/>
  <c r="J2837" i="116"/>
  <c r="I2837" i="116"/>
  <c r="H2837" i="116"/>
  <c r="G2837" i="116"/>
  <c r="F2837" i="116"/>
  <c r="E2837" i="116"/>
  <c r="D2837" i="116"/>
  <c r="C2837" i="116"/>
  <c r="B2837" i="116"/>
  <c r="K2836" i="116"/>
  <c r="J2836" i="116"/>
  <c r="I2836" i="116"/>
  <c r="H2836" i="116"/>
  <c r="G2836" i="116"/>
  <c r="F2836" i="116"/>
  <c r="E2836" i="116"/>
  <c r="D2836" i="116"/>
  <c r="C2836" i="116"/>
  <c r="B2836" i="116"/>
  <c r="K2835" i="116"/>
  <c r="J2835" i="116"/>
  <c r="I2835" i="116"/>
  <c r="H2835" i="116"/>
  <c r="G2835" i="116"/>
  <c r="F2835" i="116"/>
  <c r="E2835" i="116"/>
  <c r="D2835" i="116"/>
  <c r="C2835" i="116"/>
  <c r="B2835" i="116"/>
  <c r="K2834" i="116"/>
  <c r="J2834" i="116"/>
  <c r="I2834" i="116"/>
  <c r="H2834" i="116"/>
  <c r="G2834" i="116"/>
  <c r="F2834" i="116"/>
  <c r="E2834" i="116"/>
  <c r="D2834" i="116"/>
  <c r="C2834" i="116"/>
  <c r="B2834" i="116"/>
  <c r="K2833" i="116"/>
  <c r="J2833" i="116"/>
  <c r="I2833" i="116"/>
  <c r="H2833" i="116"/>
  <c r="G2833" i="116"/>
  <c r="F2833" i="116"/>
  <c r="E2833" i="116"/>
  <c r="D2833" i="116"/>
  <c r="C2833" i="116"/>
  <c r="B2833" i="116"/>
  <c r="K2832" i="116"/>
  <c r="J2832" i="116"/>
  <c r="I2832" i="116"/>
  <c r="H2832" i="116"/>
  <c r="G2832" i="116"/>
  <c r="F2832" i="116"/>
  <c r="E2832" i="116"/>
  <c r="D2832" i="116"/>
  <c r="C2832" i="116"/>
  <c r="B2832" i="116"/>
  <c r="K2831" i="116"/>
  <c r="J2831" i="116"/>
  <c r="I2831" i="116"/>
  <c r="H2831" i="116"/>
  <c r="G2831" i="116"/>
  <c r="F2831" i="116"/>
  <c r="E2831" i="116"/>
  <c r="D2831" i="116"/>
  <c r="C2831" i="116"/>
  <c r="B2831" i="116"/>
  <c r="K2830" i="116"/>
  <c r="J2830" i="116"/>
  <c r="I2830" i="116"/>
  <c r="H2830" i="116"/>
  <c r="G2830" i="116"/>
  <c r="F2830" i="116"/>
  <c r="E2830" i="116"/>
  <c r="D2830" i="116"/>
  <c r="C2830" i="116"/>
  <c r="B2830" i="116"/>
  <c r="K2829" i="116"/>
  <c r="J2829" i="116"/>
  <c r="I2829" i="116"/>
  <c r="H2829" i="116"/>
  <c r="G2829" i="116"/>
  <c r="F2829" i="116"/>
  <c r="E2829" i="116"/>
  <c r="D2829" i="116"/>
  <c r="C2829" i="116"/>
  <c r="B2829" i="116"/>
  <c r="K2828" i="116"/>
  <c r="J2828" i="116"/>
  <c r="I2828" i="116"/>
  <c r="H2828" i="116"/>
  <c r="G2828" i="116"/>
  <c r="F2828" i="116"/>
  <c r="E2828" i="116"/>
  <c r="D2828" i="116"/>
  <c r="C2828" i="116"/>
  <c r="B2828" i="116"/>
  <c r="K2827" i="116"/>
  <c r="J2827" i="116"/>
  <c r="I2827" i="116"/>
  <c r="H2827" i="116"/>
  <c r="G2827" i="116"/>
  <c r="F2827" i="116"/>
  <c r="E2827" i="116"/>
  <c r="D2827" i="116"/>
  <c r="C2827" i="116"/>
  <c r="B2827" i="116"/>
  <c r="K2826" i="116"/>
  <c r="J2826" i="116"/>
  <c r="I2826" i="116"/>
  <c r="H2826" i="116"/>
  <c r="G2826" i="116"/>
  <c r="F2826" i="116"/>
  <c r="E2826" i="116"/>
  <c r="D2826" i="116"/>
  <c r="C2826" i="116"/>
  <c r="B2826" i="116"/>
  <c r="K2825" i="116"/>
  <c r="J2825" i="116"/>
  <c r="I2825" i="116"/>
  <c r="H2825" i="116"/>
  <c r="G2825" i="116"/>
  <c r="F2825" i="116"/>
  <c r="E2825" i="116"/>
  <c r="D2825" i="116"/>
  <c r="C2825" i="116"/>
  <c r="B2825" i="116"/>
  <c r="K2824" i="116"/>
  <c r="J2824" i="116"/>
  <c r="I2824" i="116"/>
  <c r="H2824" i="116"/>
  <c r="G2824" i="116"/>
  <c r="F2824" i="116"/>
  <c r="E2824" i="116"/>
  <c r="D2824" i="116"/>
  <c r="C2824" i="116"/>
  <c r="B2824" i="116"/>
  <c r="K2823" i="116"/>
  <c r="J2823" i="116"/>
  <c r="I2823" i="116"/>
  <c r="H2823" i="116"/>
  <c r="G2823" i="116"/>
  <c r="F2823" i="116"/>
  <c r="E2823" i="116"/>
  <c r="D2823" i="116"/>
  <c r="C2823" i="116"/>
  <c r="B2823" i="116"/>
  <c r="K2822" i="116"/>
  <c r="J2822" i="116"/>
  <c r="I2822" i="116"/>
  <c r="H2822" i="116"/>
  <c r="G2822" i="116"/>
  <c r="F2822" i="116"/>
  <c r="E2822" i="116"/>
  <c r="D2822" i="116"/>
  <c r="C2822" i="116"/>
  <c r="B2822" i="116"/>
  <c r="K2821" i="116"/>
  <c r="J2821" i="116"/>
  <c r="I2821" i="116"/>
  <c r="H2821" i="116"/>
  <c r="G2821" i="116"/>
  <c r="F2821" i="116"/>
  <c r="E2821" i="116"/>
  <c r="D2821" i="116"/>
  <c r="C2821" i="116"/>
  <c r="B2821" i="116"/>
  <c r="K2820" i="116"/>
  <c r="J2820" i="116"/>
  <c r="I2820" i="116"/>
  <c r="H2820" i="116"/>
  <c r="G2820" i="116"/>
  <c r="F2820" i="116"/>
  <c r="E2820" i="116"/>
  <c r="D2820" i="116"/>
  <c r="C2820" i="116"/>
  <c r="B2820" i="116"/>
  <c r="K2819" i="116"/>
  <c r="J2819" i="116"/>
  <c r="I2819" i="116"/>
  <c r="H2819" i="116"/>
  <c r="G2819" i="116"/>
  <c r="F2819" i="116"/>
  <c r="E2819" i="116"/>
  <c r="D2819" i="116"/>
  <c r="C2819" i="116"/>
  <c r="B2819" i="116"/>
  <c r="K2818" i="116"/>
  <c r="J2818" i="116"/>
  <c r="I2818" i="116"/>
  <c r="H2818" i="116"/>
  <c r="G2818" i="116"/>
  <c r="F2818" i="116"/>
  <c r="E2818" i="116"/>
  <c r="D2818" i="116"/>
  <c r="C2818" i="116"/>
  <c r="B2818" i="116"/>
  <c r="K2817" i="116"/>
  <c r="J2817" i="116"/>
  <c r="I2817" i="116"/>
  <c r="H2817" i="116"/>
  <c r="G2817" i="116"/>
  <c r="F2817" i="116"/>
  <c r="E2817" i="116"/>
  <c r="D2817" i="116"/>
  <c r="C2817" i="116"/>
  <c r="B2817" i="116"/>
  <c r="K2816" i="116"/>
  <c r="J2816" i="116"/>
  <c r="I2816" i="116"/>
  <c r="H2816" i="116"/>
  <c r="G2816" i="116"/>
  <c r="F2816" i="116"/>
  <c r="E2816" i="116"/>
  <c r="D2816" i="116"/>
  <c r="C2816" i="116"/>
  <c r="B2816" i="116"/>
  <c r="K2815" i="116"/>
  <c r="J2815" i="116"/>
  <c r="I2815" i="116"/>
  <c r="H2815" i="116"/>
  <c r="G2815" i="116"/>
  <c r="F2815" i="116"/>
  <c r="E2815" i="116"/>
  <c r="D2815" i="116"/>
  <c r="C2815" i="116"/>
  <c r="B2815" i="116"/>
  <c r="K2814" i="116"/>
  <c r="J2814" i="116"/>
  <c r="I2814" i="116"/>
  <c r="H2814" i="116"/>
  <c r="G2814" i="116"/>
  <c r="F2814" i="116"/>
  <c r="E2814" i="116"/>
  <c r="D2814" i="116"/>
  <c r="C2814" i="116"/>
  <c r="B2814" i="116"/>
  <c r="K2813" i="116"/>
  <c r="J2813" i="116"/>
  <c r="I2813" i="116"/>
  <c r="H2813" i="116"/>
  <c r="G2813" i="116"/>
  <c r="F2813" i="116"/>
  <c r="E2813" i="116"/>
  <c r="D2813" i="116"/>
  <c r="C2813" i="116"/>
  <c r="B2813" i="116"/>
  <c r="K2812" i="116"/>
  <c r="J2812" i="116"/>
  <c r="I2812" i="116"/>
  <c r="H2812" i="116"/>
  <c r="G2812" i="116"/>
  <c r="F2812" i="116"/>
  <c r="E2812" i="116"/>
  <c r="D2812" i="116"/>
  <c r="C2812" i="116"/>
  <c r="B2812" i="116"/>
  <c r="K2811" i="116"/>
  <c r="J2811" i="116"/>
  <c r="I2811" i="116"/>
  <c r="H2811" i="116"/>
  <c r="G2811" i="116"/>
  <c r="F2811" i="116"/>
  <c r="E2811" i="116"/>
  <c r="D2811" i="116"/>
  <c r="C2811" i="116"/>
  <c r="B2811" i="116"/>
  <c r="K2810" i="116"/>
  <c r="J2810" i="116"/>
  <c r="I2810" i="116"/>
  <c r="H2810" i="116"/>
  <c r="G2810" i="116"/>
  <c r="F2810" i="116"/>
  <c r="E2810" i="116"/>
  <c r="D2810" i="116"/>
  <c r="C2810" i="116"/>
  <c r="B2810" i="116"/>
  <c r="K2809" i="116"/>
  <c r="J2809" i="116"/>
  <c r="I2809" i="116"/>
  <c r="H2809" i="116"/>
  <c r="G2809" i="116"/>
  <c r="F2809" i="116"/>
  <c r="E2809" i="116"/>
  <c r="D2809" i="116"/>
  <c r="C2809" i="116"/>
  <c r="B2809" i="116"/>
  <c r="K2808" i="116"/>
  <c r="J2808" i="116"/>
  <c r="I2808" i="116"/>
  <c r="H2808" i="116"/>
  <c r="G2808" i="116"/>
  <c r="F2808" i="116"/>
  <c r="E2808" i="116"/>
  <c r="D2808" i="116"/>
  <c r="C2808" i="116"/>
  <c r="B2808" i="116"/>
  <c r="K2807" i="116"/>
  <c r="J2807" i="116"/>
  <c r="I2807" i="116"/>
  <c r="H2807" i="116"/>
  <c r="G2807" i="116"/>
  <c r="F2807" i="116"/>
  <c r="E2807" i="116"/>
  <c r="D2807" i="116"/>
  <c r="C2807" i="116"/>
  <c r="B2807" i="116"/>
  <c r="K2806" i="116"/>
  <c r="J2806" i="116"/>
  <c r="I2806" i="116"/>
  <c r="H2806" i="116"/>
  <c r="G2806" i="116"/>
  <c r="F2806" i="116"/>
  <c r="E2806" i="116"/>
  <c r="D2806" i="116"/>
  <c r="C2806" i="116"/>
  <c r="B2806" i="116"/>
  <c r="K2805" i="116"/>
  <c r="J2805" i="116"/>
  <c r="I2805" i="116"/>
  <c r="H2805" i="116"/>
  <c r="G2805" i="116"/>
  <c r="F2805" i="116"/>
  <c r="E2805" i="116"/>
  <c r="D2805" i="116"/>
  <c r="C2805" i="116"/>
  <c r="B2805" i="116"/>
  <c r="K2804" i="116"/>
  <c r="J2804" i="116"/>
  <c r="I2804" i="116"/>
  <c r="H2804" i="116"/>
  <c r="G2804" i="116"/>
  <c r="F2804" i="116"/>
  <c r="E2804" i="116"/>
  <c r="D2804" i="116"/>
  <c r="C2804" i="116"/>
  <c r="B2804" i="116"/>
  <c r="K2803" i="116"/>
  <c r="J2803" i="116"/>
  <c r="I2803" i="116"/>
  <c r="H2803" i="116"/>
  <c r="G2803" i="116"/>
  <c r="F2803" i="116"/>
  <c r="E2803" i="116"/>
  <c r="D2803" i="116"/>
  <c r="C2803" i="116"/>
  <c r="B2803" i="116"/>
  <c r="K2802" i="116"/>
  <c r="J2802" i="116"/>
  <c r="I2802" i="116"/>
  <c r="H2802" i="116"/>
  <c r="G2802" i="116"/>
  <c r="F2802" i="116"/>
  <c r="E2802" i="116"/>
  <c r="D2802" i="116"/>
  <c r="C2802" i="116"/>
  <c r="B2802" i="116"/>
  <c r="K2801" i="116"/>
  <c r="J2801" i="116"/>
  <c r="I2801" i="116"/>
  <c r="H2801" i="116"/>
  <c r="G2801" i="116"/>
  <c r="F2801" i="116"/>
  <c r="E2801" i="116"/>
  <c r="D2801" i="116"/>
  <c r="C2801" i="116"/>
  <c r="B2801" i="116"/>
  <c r="K2800" i="116"/>
  <c r="J2800" i="116"/>
  <c r="I2800" i="116"/>
  <c r="H2800" i="116"/>
  <c r="G2800" i="116"/>
  <c r="F2800" i="116"/>
  <c r="E2800" i="116"/>
  <c r="D2800" i="116"/>
  <c r="C2800" i="116"/>
  <c r="B2800" i="116"/>
  <c r="K2799" i="116"/>
  <c r="J2799" i="116"/>
  <c r="I2799" i="116"/>
  <c r="H2799" i="116"/>
  <c r="G2799" i="116"/>
  <c r="F2799" i="116"/>
  <c r="E2799" i="116"/>
  <c r="D2799" i="116"/>
  <c r="C2799" i="116"/>
  <c r="B2799" i="116"/>
  <c r="K2798" i="116"/>
  <c r="J2798" i="116"/>
  <c r="I2798" i="116"/>
  <c r="H2798" i="116"/>
  <c r="G2798" i="116"/>
  <c r="F2798" i="116"/>
  <c r="E2798" i="116"/>
  <c r="D2798" i="116"/>
  <c r="C2798" i="116"/>
  <c r="B2798" i="116"/>
  <c r="K2797" i="116"/>
  <c r="J2797" i="116"/>
  <c r="I2797" i="116"/>
  <c r="H2797" i="116"/>
  <c r="G2797" i="116"/>
  <c r="F2797" i="116"/>
  <c r="E2797" i="116"/>
  <c r="D2797" i="116"/>
  <c r="C2797" i="116"/>
  <c r="B2797" i="116"/>
  <c r="K2796" i="116"/>
  <c r="J2796" i="116"/>
  <c r="I2796" i="116"/>
  <c r="H2796" i="116"/>
  <c r="G2796" i="116"/>
  <c r="F2796" i="116"/>
  <c r="E2796" i="116"/>
  <c r="D2796" i="116"/>
  <c r="C2796" i="116"/>
  <c r="B2796" i="116"/>
  <c r="K2795" i="116"/>
  <c r="J2795" i="116"/>
  <c r="I2795" i="116"/>
  <c r="H2795" i="116"/>
  <c r="G2795" i="116"/>
  <c r="F2795" i="116"/>
  <c r="E2795" i="116"/>
  <c r="D2795" i="116"/>
  <c r="C2795" i="116"/>
  <c r="B2795" i="116"/>
  <c r="K2794" i="116"/>
  <c r="J2794" i="116"/>
  <c r="I2794" i="116"/>
  <c r="H2794" i="116"/>
  <c r="G2794" i="116"/>
  <c r="F2794" i="116"/>
  <c r="E2794" i="116"/>
  <c r="D2794" i="116"/>
  <c r="C2794" i="116"/>
  <c r="B2794" i="116"/>
  <c r="K2793" i="116"/>
  <c r="J2793" i="116"/>
  <c r="I2793" i="116"/>
  <c r="H2793" i="116"/>
  <c r="G2793" i="116"/>
  <c r="F2793" i="116"/>
  <c r="E2793" i="116"/>
  <c r="D2793" i="116"/>
  <c r="C2793" i="116"/>
  <c r="B2793" i="116"/>
  <c r="K2792" i="116"/>
  <c r="J2792" i="116"/>
  <c r="I2792" i="116"/>
  <c r="H2792" i="116"/>
  <c r="G2792" i="116"/>
  <c r="F2792" i="116"/>
  <c r="E2792" i="116"/>
  <c r="D2792" i="116"/>
  <c r="C2792" i="116"/>
  <c r="B2792" i="116"/>
  <c r="K2791" i="116"/>
  <c r="J2791" i="116"/>
  <c r="I2791" i="116"/>
  <c r="H2791" i="116"/>
  <c r="G2791" i="116"/>
  <c r="F2791" i="116"/>
  <c r="E2791" i="116"/>
  <c r="D2791" i="116"/>
  <c r="C2791" i="116"/>
  <c r="B2791" i="116"/>
  <c r="K2790" i="116"/>
  <c r="J2790" i="116"/>
  <c r="I2790" i="116"/>
  <c r="H2790" i="116"/>
  <c r="G2790" i="116"/>
  <c r="F2790" i="116"/>
  <c r="E2790" i="116"/>
  <c r="D2790" i="116"/>
  <c r="C2790" i="116"/>
  <c r="B2790" i="116"/>
  <c r="K2789" i="116"/>
  <c r="J2789" i="116"/>
  <c r="I2789" i="116"/>
  <c r="H2789" i="116"/>
  <c r="G2789" i="116"/>
  <c r="F2789" i="116"/>
  <c r="E2789" i="116"/>
  <c r="D2789" i="116"/>
  <c r="C2789" i="116"/>
  <c r="B2789" i="116"/>
  <c r="K2788" i="116"/>
  <c r="J2788" i="116"/>
  <c r="I2788" i="116"/>
  <c r="H2788" i="116"/>
  <c r="G2788" i="116"/>
  <c r="F2788" i="116"/>
  <c r="E2788" i="116"/>
  <c r="D2788" i="116"/>
  <c r="C2788" i="116"/>
  <c r="B2788" i="116"/>
  <c r="K2787" i="116"/>
  <c r="J2787" i="116"/>
  <c r="I2787" i="116"/>
  <c r="H2787" i="116"/>
  <c r="G2787" i="116"/>
  <c r="F2787" i="116"/>
  <c r="E2787" i="116"/>
  <c r="D2787" i="116"/>
  <c r="C2787" i="116"/>
  <c r="B2787" i="116"/>
  <c r="K2786" i="116"/>
  <c r="J2786" i="116"/>
  <c r="I2786" i="116"/>
  <c r="H2786" i="116"/>
  <c r="G2786" i="116"/>
  <c r="F2786" i="116"/>
  <c r="E2786" i="116"/>
  <c r="D2786" i="116"/>
  <c r="C2786" i="116"/>
  <c r="B2786" i="116"/>
  <c r="K2785" i="116"/>
  <c r="J2785" i="116"/>
  <c r="I2785" i="116"/>
  <c r="H2785" i="116"/>
  <c r="G2785" i="116"/>
  <c r="F2785" i="116"/>
  <c r="E2785" i="116"/>
  <c r="D2785" i="116"/>
  <c r="C2785" i="116"/>
  <c r="B2785" i="116"/>
  <c r="K2784" i="116"/>
  <c r="J2784" i="116"/>
  <c r="I2784" i="116"/>
  <c r="H2784" i="116"/>
  <c r="G2784" i="116"/>
  <c r="F2784" i="116"/>
  <c r="E2784" i="116"/>
  <c r="D2784" i="116"/>
  <c r="C2784" i="116"/>
  <c r="B2784" i="116"/>
  <c r="K2783" i="116"/>
  <c r="J2783" i="116"/>
  <c r="I2783" i="116"/>
  <c r="H2783" i="116"/>
  <c r="G2783" i="116"/>
  <c r="F2783" i="116"/>
  <c r="E2783" i="116"/>
  <c r="D2783" i="116"/>
  <c r="C2783" i="116"/>
  <c r="B2783" i="116"/>
  <c r="K2782" i="116"/>
  <c r="J2782" i="116"/>
  <c r="I2782" i="116"/>
  <c r="H2782" i="116"/>
  <c r="G2782" i="116"/>
  <c r="F2782" i="116"/>
  <c r="E2782" i="116"/>
  <c r="D2782" i="116"/>
  <c r="C2782" i="116"/>
  <c r="B2782" i="116"/>
  <c r="K2781" i="116"/>
  <c r="J2781" i="116"/>
  <c r="I2781" i="116"/>
  <c r="H2781" i="116"/>
  <c r="G2781" i="116"/>
  <c r="F2781" i="116"/>
  <c r="E2781" i="116"/>
  <c r="D2781" i="116"/>
  <c r="C2781" i="116"/>
  <c r="B2781" i="116"/>
  <c r="K2780" i="116"/>
  <c r="J2780" i="116"/>
  <c r="I2780" i="116"/>
  <c r="H2780" i="116"/>
  <c r="G2780" i="116"/>
  <c r="F2780" i="116"/>
  <c r="E2780" i="116"/>
  <c r="D2780" i="116"/>
  <c r="C2780" i="116"/>
  <c r="B2780" i="116"/>
  <c r="K2779" i="116"/>
  <c r="J2779" i="116"/>
  <c r="I2779" i="116"/>
  <c r="H2779" i="116"/>
  <c r="G2779" i="116"/>
  <c r="F2779" i="116"/>
  <c r="E2779" i="116"/>
  <c r="D2779" i="116"/>
  <c r="C2779" i="116"/>
  <c r="B2779" i="116"/>
  <c r="K2778" i="116"/>
  <c r="J2778" i="116"/>
  <c r="I2778" i="116"/>
  <c r="H2778" i="116"/>
  <c r="G2778" i="116"/>
  <c r="F2778" i="116"/>
  <c r="E2778" i="116"/>
  <c r="D2778" i="116"/>
  <c r="C2778" i="116"/>
  <c r="B2778" i="116"/>
  <c r="K2777" i="116"/>
  <c r="J2777" i="116"/>
  <c r="I2777" i="116"/>
  <c r="H2777" i="116"/>
  <c r="G2777" i="116"/>
  <c r="F2777" i="116"/>
  <c r="E2777" i="116"/>
  <c r="D2777" i="116"/>
  <c r="C2777" i="116"/>
  <c r="B2777" i="116"/>
  <c r="K2776" i="116"/>
  <c r="J2776" i="116"/>
  <c r="I2776" i="116"/>
  <c r="H2776" i="116"/>
  <c r="G2776" i="116"/>
  <c r="F2776" i="116"/>
  <c r="E2776" i="116"/>
  <c r="D2776" i="116"/>
  <c r="C2776" i="116"/>
  <c r="B2776" i="116"/>
  <c r="K2775" i="116"/>
  <c r="J2775" i="116"/>
  <c r="I2775" i="116"/>
  <c r="H2775" i="116"/>
  <c r="G2775" i="116"/>
  <c r="F2775" i="116"/>
  <c r="E2775" i="116"/>
  <c r="D2775" i="116"/>
  <c r="C2775" i="116"/>
  <c r="B2775" i="116"/>
  <c r="K2774" i="116"/>
  <c r="J2774" i="116"/>
  <c r="I2774" i="116"/>
  <c r="H2774" i="116"/>
  <c r="G2774" i="116"/>
  <c r="F2774" i="116"/>
  <c r="E2774" i="116"/>
  <c r="D2774" i="116"/>
  <c r="C2774" i="116"/>
  <c r="B2774" i="116"/>
  <c r="K2773" i="116"/>
  <c r="J2773" i="116"/>
  <c r="I2773" i="116"/>
  <c r="H2773" i="116"/>
  <c r="G2773" i="116"/>
  <c r="F2773" i="116"/>
  <c r="E2773" i="116"/>
  <c r="D2773" i="116"/>
  <c r="C2773" i="116"/>
  <c r="B2773" i="116"/>
  <c r="K2772" i="116"/>
  <c r="J2772" i="116"/>
  <c r="I2772" i="116"/>
  <c r="H2772" i="116"/>
  <c r="G2772" i="116"/>
  <c r="F2772" i="116"/>
  <c r="E2772" i="116"/>
  <c r="D2772" i="116"/>
  <c r="C2772" i="116"/>
  <c r="B2772" i="116"/>
  <c r="K2771" i="116"/>
  <c r="J2771" i="116"/>
  <c r="I2771" i="116"/>
  <c r="H2771" i="116"/>
  <c r="G2771" i="116"/>
  <c r="F2771" i="116"/>
  <c r="E2771" i="116"/>
  <c r="D2771" i="116"/>
  <c r="C2771" i="116"/>
  <c r="B2771" i="116"/>
  <c r="K2770" i="116"/>
  <c r="J2770" i="116"/>
  <c r="I2770" i="116"/>
  <c r="H2770" i="116"/>
  <c r="G2770" i="116"/>
  <c r="F2770" i="116"/>
  <c r="E2770" i="116"/>
  <c r="D2770" i="116"/>
  <c r="C2770" i="116"/>
  <c r="B2770" i="116"/>
  <c r="K2769" i="116"/>
  <c r="J2769" i="116"/>
  <c r="I2769" i="116"/>
  <c r="H2769" i="116"/>
  <c r="G2769" i="116"/>
  <c r="F2769" i="116"/>
  <c r="E2769" i="116"/>
  <c r="D2769" i="116"/>
  <c r="C2769" i="116"/>
  <c r="B2769" i="116"/>
  <c r="K2768" i="116"/>
  <c r="J2768" i="116"/>
  <c r="I2768" i="116"/>
  <c r="H2768" i="116"/>
  <c r="G2768" i="116"/>
  <c r="F2768" i="116"/>
  <c r="E2768" i="116"/>
  <c r="D2768" i="116"/>
  <c r="C2768" i="116"/>
  <c r="B2768" i="116"/>
  <c r="K2767" i="116"/>
  <c r="J2767" i="116"/>
  <c r="I2767" i="116"/>
  <c r="H2767" i="116"/>
  <c r="G2767" i="116"/>
  <c r="F2767" i="116"/>
  <c r="E2767" i="116"/>
  <c r="D2767" i="116"/>
  <c r="C2767" i="116"/>
  <c r="B2767" i="116"/>
  <c r="K2766" i="116"/>
  <c r="J2766" i="116"/>
  <c r="I2766" i="116"/>
  <c r="H2766" i="116"/>
  <c r="G2766" i="116"/>
  <c r="F2766" i="116"/>
  <c r="E2766" i="116"/>
  <c r="D2766" i="116"/>
  <c r="C2766" i="116"/>
  <c r="B2766" i="116"/>
  <c r="K2765" i="116"/>
  <c r="J2765" i="116"/>
  <c r="I2765" i="116"/>
  <c r="H2765" i="116"/>
  <c r="G2765" i="116"/>
  <c r="F2765" i="116"/>
  <c r="E2765" i="116"/>
  <c r="D2765" i="116"/>
  <c r="C2765" i="116"/>
  <c r="B2765" i="116"/>
  <c r="K2764" i="116"/>
  <c r="J2764" i="116"/>
  <c r="I2764" i="116"/>
  <c r="H2764" i="116"/>
  <c r="G2764" i="116"/>
  <c r="F2764" i="116"/>
  <c r="E2764" i="116"/>
  <c r="D2764" i="116"/>
  <c r="C2764" i="116"/>
  <c r="B2764" i="116"/>
  <c r="K2763" i="116"/>
  <c r="J2763" i="116"/>
  <c r="I2763" i="116"/>
  <c r="H2763" i="116"/>
  <c r="G2763" i="116"/>
  <c r="F2763" i="116"/>
  <c r="E2763" i="116"/>
  <c r="D2763" i="116"/>
  <c r="C2763" i="116"/>
  <c r="B2763" i="116"/>
  <c r="K2762" i="116"/>
  <c r="J2762" i="116"/>
  <c r="I2762" i="116"/>
  <c r="H2762" i="116"/>
  <c r="G2762" i="116"/>
  <c r="F2762" i="116"/>
  <c r="E2762" i="116"/>
  <c r="D2762" i="116"/>
  <c r="C2762" i="116"/>
  <c r="B2762" i="116"/>
  <c r="K2761" i="116"/>
  <c r="J2761" i="116"/>
  <c r="I2761" i="116"/>
  <c r="H2761" i="116"/>
  <c r="G2761" i="116"/>
  <c r="F2761" i="116"/>
  <c r="E2761" i="116"/>
  <c r="D2761" i="116"/>
  <c r="C2761" i="116"/>
  <c r="B2761" i="116"/>
  <c r="K2760" i="116"/>
  <c r="J2760" i="116"/>
  <c r="I2760" i="116"/>
  <c r="H2760" i="116"/>
  <c r="G2760" i="116"/>
  <c r="F2760" i="116"/>
  <c r="E2760" i="116"/>
  <c r="D2760" i="116"/>
  <c r="C2760" i="116"/>
  <c r="B2760" i="116"/>
  <c r="K2759" i="116"/>
  <c r="J2759" i="116"/>
  <c r="I2759" i="116"/>
  <c r="H2759" i="116"/>
  <c r="G2759" i="116"/>
  <c r="F2759" i="116"/>
  <c r="E2759" i="116"/>
  <c r="D2759" i="116"/>
  <c r="C2759" i="116"/>
  <c r="B2759" i="116"/>
  <c r="K2758" i="116"/>
  <c r="J2758" i="116"/>
  <c r="I2758" i="116"/>
  <c r="H2758" i="116"/>
  <c r="G2758" i="116"/>
  <c r="F2758" i="116"/>
  <c r="E2758" i="116"/>
  <c r="D2758" i="116"/>
  <c r="C2758" i="116"/>
  <c r="B2758" i="116"/>
  <c r="K2757" i="116"/>
  <c r="J2757" i="116"/>
  <c r="I2757" i="116"/>
  <c r="H2757" i="116"/>
  <c r="G2757" i="116"/>
  <c r="F2757" i="116"/>
  <c r="E2757" i="116"/>
  <c r="D2757" i="116"/>
  <c r="C2757" i="116"/>
  <c r="B2757" i="116"/>
  <c r="K2756" i="116"/>
  <c r="J2756" i="116"/>
  <c r="I2756" i="116"/>
  <c r="H2756" i="116"/>
  <c r="G2756" i="116"/>
  <c r="F2756" i="116"/>
  <c r="E2756" i="116"/>
  <c r="D2756" i="116"/>
  <c r="C2756" i="116"/>
  <c r="B2756" i="116"/>
  <c r="K2755" i="116"/>
  <c r="J2755" i="116"/>
  <c r="I2755" i="116"/>
  <c r="H2755" i="116"/>
  <c r="G2755" i="116"/>
  <c r="F2755" i="116"/>
  <c r="E2755" i="116"/>
  <c r="D2755" i="116"/>
  <c r="C2755" i="116"/>
  <c r="B2755" i="116"/>
  <c r="K2754" i="116"/>
  <c r="J2754" i="116"/>
  <c r="I2754" i="116"/>
  <c r="H2754" i="116"/>
  <c r="G2754" i="116"/>
  <c r="F2754" i="116"/>
  <c r="E2754" i="116"/>
  <c r="D2754" i="116"/>
  <c r="C2754" i="116"/>
  <c r="B2754" i="116"/>
  <c r="K2753" i="116"/>
  <c r="J2753" i="116"/>
  <c r="I2753" i="116"/>
  <c r="H2753" i="116"/>
  <c r="G2753" i="116"/>
  <c r="F2753" i="116"/>
  <c r="E2753" i="116"/>
  <c r="D2753" i="116"/>
  <c r="C2753" i="116"/>
  <c r="B2753" i="116"/>
  <c r="K2752" i="116"/>
  <c r="J2752" i="116"/>
  <c r="I2752" i="116"/>
  <c r="H2752" i="116"/>
  <c r="G2752" i="116"/>
  <c r="F2752" i="116"/>
  <c r="E2752" i="116"/>
  <c r="D2752" i="116"/>
  <c r="C2752" i="116"/>
  <c r="B2752" i="116"/>
  <c r="K2751" i="116"/>
  <c r="J2751" i="116"/>
  <c r="I2751" i="116"/>
  <c r="H2751" i="116"/>
  <c r="G2751" i="116"/>
  <c r="F2751" i="116"/>
  <c r="E2751" i="116"/>
  <c r="D2751" i="116"/>
  <c r="C2751" i="116"/>
  <c r="B2751" i="116"/>
  <c r="K2750" i="116"/>
  <c r="J2750" i="116"/>
  <c r="I2750" i="116"/>
  <c r="H2750" i="116"/>
  <c r="G2750" i="116"/>
  <c r="F2750" i="116"/>
  <c r="E2750" i="116"/>
  <c r="D2750" i="116"/>
  <c r="C2750" i="116"/>
  <c r="B2750" i="116"/>
  <c r="K2749" i="116"/>
  <c r="J2749" i="116"/>
  <c r="I2749" i="116"/>
  <c r="H2749" i="116"/>
  <c r="G2749" i="116"/>
  <c r="F2749" i="116"/>
  <c r="E2749" i="116"/>
  <c r="D2749" i="116"/>
  <c r="C2749" i="116"/>
  <c r="B2749" i="116"/>
  <c r="K2748" i="116"/>
  <c r="J2748" i="116"/>
  <c r="I2748" i="116"/>
  <c r="H2748" i="116"/>
  <c r="G2748" i="116"/>
  <c r="F2748" i="116"/>
  <c r="E2748" i="116"/>
  <c r="D2748" i="116"/>
  <c r="C2748" i="116"/>
  <c r="B2748" i="116"/>
  <c r="K2747" i="116"/>
  <c r="J2747" i="116"/>
  <c r="I2747" i="116"/>
  <c r="H2747" i="116"/>
  <c r="G2747" i="116"/>
  <c r="F2747" i="116"/>
  <c r="E2747" i="116"/>
  <c r="D2747" i="116"/>
  <c r="C2747" i="116"/>
  <c r="B2747" i="116"/>
  <c r="K2746" i="116"/>
  <c r="J2746" i="116"/>
  <c r="I2746" i="116"/>
  <c r="H2746" i="116"/>
  <c r="G2746" i="116"/>
  <c r="F2746" i="116"/>
  <c r="E2746" i="116"/>
  <c r="D2746" i="116"/>
  <c r="C2746" i="116"/>
  <c r="B2746" i="116"/>
  <c r="K2745" i="116"/>
  <c r="J2745" i="116"/>
  <c r="I2745" i="116"/>
  <c r="H2745" i="116"/>
  <c r="G2745" i="116"/>
  <c r="F2745" i="116"/>
  <c r="E2745" i="116"/>
  <c r="D2745" i="116"/>
  <c r="C2745" i="116"/>
  <c r="B2745" i="116"/>
  <c r="K2744" i="116"/>
  <c r="J2744" i="116"/>
  <c r="I2744" i="116"/>
  <c r="H2744" i="116"/>
  <c r="G2744" i="116"/>
  <c r="F2744" i="116"/>
  <c r="E2744" i="116"/>
  <c r="D2744" i="116"/>
  <c r="C2744" i="116"/>
  <c r="B2744" i="116"/>
  <c r="K2743" i="116"/>
  <c r="J2743" i="116"/>
  <c r="I2743" i="116"/>
  <c r="H2743" i="116"/>
  <c r="G2743" i="116"/>
  <c r="F2743" i="116"/>
  <c r="E2743" i="116"/>
  <c r="D2743" i="116"/>
  <c r="C2743" i="116"/>
  <c r="B2743" i="116"/>
  <c r="K2742" i="116"/>
  <c r="J2742" i="116"/>
  <c r="I2742" i="116"/>
  <c r="H2742" i="116"/>
  <c r="G2742" i="116"/>
  <c r="F2742" i="116"/>
  <c r="E2742" i="116"/>
  <c r="D2742" i="116"/>
  <c r="C2742" i="116"/>
  <c r="B2742" i="116"/>
  <c r="K2741" i="116"/>
  <c r="J2741" i="116"/>
  <c r="I2741" i="116"/>
  <c r="H2741" i="116"/>
  <c r="G2741" i="116"/>
  <c r="F2741" i="116"/>
  <c r="E2741" i="116"/>
  <c r="D2741" i="116"/>
  <c r="C2741" i="116"/>
  <c r="B2741" i="116"/>
  <c r="K2740" i="116"/>
  <c r="J2740" i="116"/>
  <c r="I2740" i="116"/>
  <c r="H2740" i="116"/>
  <c r="G2740" i="116"/>
  <c r="F2740" i="116"/>
  <c r="E2740" i="116"/>
  <c r="D2740" i="116"/>
  <c r="C2740" i="116"/>
  <c r="B2740" i="116"/>
  <c r="K2739" i="116"/>
  <c r="J2739" i="116"/>
  <c r="I2739" i="116"/>
  <c r="H2739" i="116"/>
  <c r="G2739" i="116"/>
  <c r="F2739" i="116"/>
  <c r="E2739" i="116"/>
  <c r="D2739" i="116"/>
  <c r="C2739" i="116"/>
  <c r="B2739" i="116"/>
  <c r="K2738" i="116"/>
  <c r="J2738" i="116"/>
  <c r="I2738" i="116"/>
  <c r="H2738" i="116"/>
  <c r="G2738" i="116"/>
  <c r="F2738" i="116"/>
  <c r="E2738" i="116"/>
  <c r="D2738" i="116"/>
  <c r="C2738" i="116"/>
  <c r="B2738" i="116"/>
  <c r="K2737" i="116"/>
  <c r="J2737" i="116"/>
  <c r="I2737" i="116"/>
  <c r="H2737" i="116"/>
  <c r="G2737" i="116"/>
  <c r="F2737" i="116"/>
  <c r="E2737" i="116"/>
  <c r="D2737" i="116"/>
  <c r="C2737" i="116"/>
  <c r="B2737" i="116"/>
  <c r="K2736" i="116"/>
  <c r="J2736" i="116"/>
  <c r="I2736" i="116"/>
  <c r="H2736" i="116"/>
  <c r="G2736" i="116"/>
  <c r="F2736" i="116"/>
  <c r="E2736" i="116"/>
  <c r="D2736" i="116"/>
  <c r="C2736" i="116"/>
  <c r="B2736" i="116"/>
  <c r="K2735" i="116"/>
  <c r="J2735" i="116"/>
  <c r="I2735" i="116"/>
  <c r="H2735" i="116"/>
  <c r="G2735" i="116"/>
  <c r="F2735" i="116"/>
  <c r="E2735" i="116"/>
  <c r="D2735" i="116"/>
  <c r="C2735" i="116"/>
  <c r="B2735" i="116"/>
  <c r="K2734" i="116"/>
  <c r="J2734" i="116"/>
  <c r="I2734" i="116"/>
  <c r="H2734" i="116"/>
  <c r="G2734" i="116"/>
  <c r="F2734" i="116"/>
  <c r="E2734" i="116"/>
  <c r="D2734" i="116"/>
  <c r="C2734" i="116"/>
  <c r="B2734" i="116"/>
  <c r="K2733" i="116"/>
  <c r="J2733" i="116"/>
  <c r="I2733" i="116"/>
  <c r="H2733" i="116"/>
  <c r="G2733" i="116"/>
  <c r="F2733" i="116"/>
  <c r="E2733" i="116"/>
  <c r="D2733" i="116"/>
  <c r="C2733" i="116"/>
  <c r="B2733" i="116"/>
  <c r="K2732" i="116"/>
  <c r="J2732" i="116"/>
  <c r="I2732" i="116"/>
  <c r="H2732" i="116"/>
  <c r="G2732" i="116"/>
  <c r="F2732" i="116"/>
  <c r="E2732" i="116"/>
  <c r="D2732" i="116"/>
  <c r="C2732" i="116"/>
  <c r="B2732" i="116"/>
  <c r="K2731" i="116"/>
  <c r="J2731" i="116"/>
  <c r="I2731" i="116"/>
  <c r="H2731" i="116"/>
  <c r="G2731" i="116"/>
  <c r="F2731" i="116"/>
  <c r="E2731" i="116"/>
  <c r="D2731" i="116"/>
  <c r="C2731" i="116"/>
  <c r="B2731" i="116"/>
  <c r="K2730" i="116"/>
  <c r="J2730" i="116"/>
  <c r="I2730" i="116"/>
  <c r="H2730" i="116"/>
  <c r="G2730" i="116"/>
  <c r="F2730" i="116"/>
  <c r="E2730" i="116"/>
  <c r="D2730" i="116"/>
  <c r="C2730" i="116"/>
  <c r="B2730" i="116"/>
  <c r="K2729" i="116"/>
  <c r="J2729" i="116"/>
  <c r="I2729" i="116"/>
  <c r="H2729" i="116"/>
  <c r="G2729" i="116"/>
  <c r="F2729" i="116"/>
  <c r="E2729" i="116"/>
  <c r="D2729" i="116"/>
  <c r="C2729" i="116"/>
  <c r="B2729" i="116"/>
  <c r="K2728" i="116"/>
  <c r="J2728" i="116"/>
  <c r="I2728" i="116"/>
  <c r="H2728" i="116"/>
  <c r="G2728" i="116"/>
  <c r="F2728" i="116"/>
  <c r="E2728" i="116"/>
  <c r="D2728" i="116"/>
  <c r="C2728" i="116"/>
  <c r="B2728" i="116"/>
  <c r="K2727" i="116"/>
  <c r="J2727" i="116"/>
  <c r="I2727" i="116"/>
  <c r="H2727" i="116"/>
  <c r="G2727" i="116"/>
  <c r="F2727" i="116"/>
  <c r="E2727" i="116"/>
  <c r="D2727" i="116"/>
  <c r="C2727" i="116"/>
  <c r="B2727" i="116"/>
  <c r="K2726" i="116"/>
  <c r="J2726" i="116"/>
  <c r="I2726" i="116"/>
  <c r="H2726" i="116"/>
  <c r="G2726" i="116"/>
  <c r="F2726" i="116"/>
  <c r="E2726" i="116"/>
  <c r="D2726" i="116"/>
  <c r="C2726" i="116"/>
  <c r="B2726" i="116"/>
  <c r="K2725" i="116"/>
  <c r="J2725" i="116"/>
  <c r="I2725" i="116"/>
  <c r="H2725" i="116"/>
  <c r="G2725" i="116"/>
  <c r="F2725" i="116"/>
  <c r="E2725" i="116"/>
  <c r="D2725" i="116"/>
  <c r="C2725" i="116"/>
  <c r="B2725" i="116"/>
  <c r="K2724" i="116"/>
  <c r="J2724" i="116"/>
  <c r="I2724" i="116"/>
  <c r="H2724" i="116"/>
  <c r="G2724" i="116"/>
  <c r="F2724" i="116"/>
  <c r="E2724" i="116"/>
  <c r="D2724" i="116"/>
  <c r="C2724" i="116"/>
  <c r="B2724" i="116"/>
  <c r="K2723" i="116"/>
  <c r="J2723" i="116"/>
  <c r="I2723" i="116"/>
  <c r="H2723" i="116"/>
  <c r="G2723" i="116"/>
  <c r="F2723" i="116"/>
  <c r="E2723" i="116"/>
  <c r="D2723" i="116"/>
  <c r="C2723" i="116"/>
  <c r="B2723" i="116"/>
  <c r="K2722" i="116"/>
  <c r="J2722" i="116"/>
  <c r="I2722" i="116"/>
  <c r="H2722" i="116"/>
  <c r="G2722" i="116"/>
  <c r="F2722" i="116"/>
  <c r="E2722" i="116"/>
  <c r="D2722" i="116"/>
  <c r="C2722" i="116"/>
  <c r="B2722" i="116"/>
  <c r="K2721" i="116"/>
  <c r="J2721" i="116"/>
  <c r="I2721" i="116"/>
  <c r="H2721" i="116"/>
  <c r="G2721" i="116"/>
  <c r="F2721" i="116"/>
  <c r="E2721" i="116"/>
  <c r="D2721" i="116"/>
  <c r="C2721" i="116"/>
  <c r="B2721" i="116"/>
  <c r="K2720" i="116"/>
  <c r="J2720" i="116"/>
  <c r="I2720" i="116"/>
  <c r="H2720" i="116"/>
  <c r="G2720" i="116"/>
  <c r="F2720" i="116"/>
  <c r="E2720" i="116"/>
  <c r="D2720" i="116"/>
  <c r="C2720" i="116"/>
  <c r="B2720" i="116"/>
  <c r="K2719" i="116"/>
  <c r="J2719" i="116"/>
  <c r="I2719" i="116"/>
  <c r="H2719" i="116"/>
  <c r="G2719" i="116"/>
  <c r="F2719" i="116"/>
  <c r="E2719" i="116"/>
  <c r="D2719" i="116"/>
  <c r="C2719" i="116"/>
  <c r="B2719" i="116"/>
  <c r="K2718" i="116"/>
  <c r="J2718" i="116"/>
  <c r="I2718" i="116"/>
  <c r="H2718" i="116"/>
  <c r="G2718" i="116"/>
  <c r="F2718" i="116"/>
  <c r="E2718" i="116"/>
  <c r="D2718" i="116"/>
  <c r="C2718" i="116"/>
  <c r="B2718" i="116"/>
  <c r="K2717" i="116"/>
  <c r="J2717" i="116"/>
  <c r="I2717" i="116"/>
  <c r="H2717" i="116"/>
  <c r="G2717" i="116"/>
  <c r="F2717" i="116"/>
  <c r="E2717" i="116"/>
  <c r="D2717" i="116"/>
  <c r="C2717" i="116"/>
  <c r="B2717" i="116"/>
  <c r="K2716" i="116"/>
  <c r="J2716" i="116"/>
  <c r="I2716" i="116"/>
  <c r="H2716" i="116"/>
  <c r="G2716" i="116"/>
  <c r="F2716" i="116"/>
  <c r="E2716" i="116"/>
  <c r="D2716" i="116"/>
  <c r="C2716" i="116"/>
  <c r="B2716" i="116"/>
  <c r="K2715" i="116"/>
  <c r="J2715" i="116"/>
  <c r="I2715" i="116"/>
  <c r="H2715" i="116"/>
  <c r="G2715" i="116"/>
  <c r="F2715" i="116"/>
  <c r="E2715" i="116"/>
  <c r="D2715" i="116"/>
  <c r="C2715" i="116"/>
  <c r="B2715" i="116"/>
  <c r="K2714" i="116"/>
  <c r="J2714" i="116"/>
  <c r="I2714" i="116"/>
  <c r="H2714" i="116"/>
  <c r="G2714" i="116"/>
  <c r="F2714" i="116"/>
  <c r="E2714" i="116"/>
  <c r="D2714" i="116"/>
  <c r="C2714" i="116"/>
  <c r="B2714" i="116"/>
  <c r="K2713" i="116"/>
  <c r="J2713" i="116"/>
  <c r="I2713" i="116"/>
  <c r="H2713" i="116"/>
  <c r="G2713" i="116"/>
  <c r="F2713" i="116"/>
  <c r="E2713" i="116"/>
  <c r="D2713" i="116"/>
  <c r="C2713" i="116"/>
  <c r="B2713" i="116"/>
  <c r="K2712" i="116"/>
  <c r="J2712" i="116"/>
  <c r="I2712" i="116"/>
  <c r="H2712" i="116"/>
  <c r="G2712" i="116"/>
  <c r="F2712" i="116"/>
  <c r="E2712" i="116"/>
  <c r="D2712" i="116"/>
  <c r="C2712" i="116"/>
  <c r="B2712" i="116"/>
  <c r="K2711" i="116"/>
  <c r="J2711" i="116"/>
  <c r="I2711" i="116"/>
  <c r="H2711" i="116"/>
  <c r="G2711" i="116"/>
  <c r="F2711" i="116"/>
  <c r="E2711" i="116"/>
  <c r="D2711" i="116"/>
  <c r="C2711" i="116"/>
  <c r="B2711" i="116"/>
  <c r="K2710" i="116"/>
  <c r="J2710" i="116"/>
  <c r="I2710" i="116"/>
  <c r="H2710" i="116"/>
  <c r="G2710" i="116"/>
  <c r="F2710" i="116"/>
  <c r="E2710" i="116"/>
  <c r="D2710" i="116"/>
  <c r="C2710" i="116"/>
  <c r="B2710" i="116"/>
  <c r="K2709" i="116"/>
  <c r="J2709" i="116"/>
  <c r="I2709" i="116"/>
  <c r="H2709" i="116"/>
  <c r="G2709" i="116"/>
  <c r="F2709" i="116"/>
  <c r="E2709" i="116"/>
  <c r="D2709" i="116"/>
  <c r="C2709" i="116"/>
  <c r="B2709" i="116"/>
  <c r="K2708" i="116"/>
  <c r="J2708" i="116"/>
  <c r="I2708" i="116"/>
  <c r="H2708" i="116"/>
  <c r="G2708" i="116"/>
  <c r="F2708" i="116"/>
  <c r="E2708" i="116"/>
  <c r="D2708" i="116"/>
  <c r="C2708" i="116"/>
  <c r="B2708" i="116"/>
  <c r="K2707" i="116"/>
  <c r="J2707" i="116"/>
  <c r="I2707" i="116"/>
  <c r="H2707" i="116"/>
  <c r="G2707" i="116"/>
  <c r="F2707" i="116"/>
  <c r="E2707" i="116"/>
  <c r="D2707" i="116"/>
  <c r="C2707" i="116"/>
  <c r="B2707" i="116"/>
  <c r="K2706" i="116"/>
  <c r="J2706" i="116"/>
  <c r="I2706" i="116"/>
  <c r="H2706" i="116"/>
  <c r="G2706" i="116"/>
  <c r="F2706" i="116"/>
  <c r="E2706" i="116"/>
  <c r="D2706" i="116"/>
  <c r="C2706" i="116"/>
  <c r="B2706" i="116"/>
  <c r="K2705" i="116"/>
  <c r="J2705" i="116"/>
  <c r="I2705" i="116"/>
  <c r="H2705" i="116"/>
  <c r="G2705" i="116"/>
  <c r="F2705" i="116"/>
  <c r="E2705" i="116"/>
  <c r="D2705" i="116"/>
  <c r="C2705" i="116"/>
  <c r="B2705" i="116"/>
  <c r="K2704" i="116"/>
  <c r="J2704" i="116"/>
  <c r="I2704" i="116"/>
  <c r="H2704" i="116"/>
  <c r="G2704" i="116"/>
  <c r="F2704" i="116"/>
  <c r="E2704" i="116"/>
  <c r="D2704" i="116"/>
  <c r="C2704" i="116"/>
  <c r="B2704" i="116"/>
  <c r="K2703" i="116"/>
  <c r="J2703" i="116"/>
  <c r="I2703" i="116"/>
  <c r="H2703" i="116"/>
  <c r="G2703" i="116"/>
  <c r="F2703" i="116"/>
  <c r="E2703" i="116"/>
  <c r="D2703" i="116"/>
  <c r="C2703" i="116"/>
  <c r="B2703" i="116"/>
  <c r="K2702" i="116"/>
  <c r="J2702" i="116"/>
  <c r="I2702" i="116"/>
  <c r="H2702" i="116"/>
  <c r="G2702" i="116"/>
  <c r="F2702" i="116"/>
  <c r="E2702" i="116"/>
  <c r="D2702" i="116"/>
  <c r="C2702" i="116"/>
  <c r="B2702" i="116"/>
  <c r="K2701" i="116"/>
  <c r="J2701" i="116"/>
  <c r="I2701" i="116"/>
  <c r="H2701" i="116"/>
  <c r="G2701" i="116"/>
  <c r="F2701" i="116"/>
  <c r="E2701" i="116"/>
  <c r="D2701" i="116"/>
  <c r="C2701" i="116"/>
  <c r="B2701" i="116"/>
  <c r="K2700" i="116"/>
  <c r="J2700" i="116"/>
  <c r="I2700" i="116"/>
  <c r="H2700" i="116"/>
  <c r="G2700" i="116"/>
  <c r="F2700" i="116"/>
  <c r="E2700" i="116"/>
  <c r="D2700" i="116"/>
  <c r="C2700" i="116"/>
  <c r="B2700" i="116"/>
  <c r="K2699" i="116"/>
  <c r="J2699" i="116"/>
  <c r="I2699" i="116"/>
  <c r="H2699" i="116"/>
  <c r="G2699" i="116"/>
  <c r="F2699" i="116"/>
  <c r="E2699" i="116"/>
  <c r="D2699" i="116"/>
  <c r="C2699" i="116"/>
  <c r="B2699" i="116"/>
  <c r="K2698" i="116"/>
  <c r="J2698" i="116"/>
  <c r="I2698" i="116"/>
  <c r="H2698" i="116"/>
  <c r="G2698" i="116"/>
  <c r="F2698" i="116"/>
  <c r="E2698" i="116"/>
  <c r="D2698" i="116"/>
  <c r="C2698" i="116"/>
  <c r="B2698" i="116"/>
  <c r="K2697" i="116"/>
  <c r="J2697" i="116"/>
  <c r="I2697" i="116"/>
  <c r="H2697" i="116"/>
  <c r="G2697" i="116"/>
  <c r="F2697" i="116"/>
  <c r="E2697" i="116"/>
  <c r="D2697" i="116"/>
  <c r="C2697" i="116"/>
  <c r="B2697" i="116"/>
  <c r="K2696" i="116"/>
  <c r="J2696" i="116"/>
  <c r="I2696" i="116"/>
  <c r="H2696" i="116"/>
  <c r="G2696" i="116"/>
  <c r="F2696" i="116"/>
  <c r="E2696" i="116"/>
  <c r="D2696" i="116"/>
  <c r="C2696" i="116"/>
  <c r="B2696" i="116"/>
  <c r="K2695" i="116"/>
  <c r="J2695" i="116"/>
  <c r="I2695" i="116"/>
  <c r="H2695" i="116"/>
  <c r="G2695" i="116"/>
  <c r="F2695" i="116"/>
  <c r="E2695" i="116"/>
  <c r="D2695" i="116"/>
  <c r="C2695" i="116"/>
  <c r="B2695" i="116"/>
  <c r="K2694" i="116"/>
  <c r="J2694" i="116"/>
  <c r="I2694" i="116"/>
  <c r="H2694" i="116"/>
  <c r="G2694" i="116"/>
  <c r="F2694" i="116"/>
  <c r="E2694" i="116"/>
  <c r="D2694" i="116"/>
  <c r="C2694" i="116"/>
  <c r="B2694" i="116"/>
  <c r="K2693" i="116"/>
  <c r="J2693" i="116"/>
  <c r="I2693" i="116"/>
  <c r="H2693" i="116"/>
  <c r="G2693" i="116"/>
  <c r="F2693" i="116"/>
  <c r="E2693" i="116"/>
  <c r="D2693" i="116"/>
  <c r="C2693" i="116"/>
  <c r="B2693" i="116"/>
  <c r="K2692" i="116"/>
  <c r="J2692" i="116"/>
  <c r="I2692" i="116"/>
  <c r="H2692" i="116"/>
  <c r="G2692" i="116"/>
  <c r="F2692" i="116"/>
  <c r="E2692" i="116"/>
  <c r="D2692" i="116"/>
  <c r="C2692" i="116"/>
  <c r="B2692" i="116"/>
  <c r="K2691" i="116"/>
  <c r="J2691" i="116"/>
  <c r="I2691" i="116"/>
  <c r="H2691" i="116"/>
  <c r="G2691" i="116"/>
  <c r="F2691" i="116"/>
  <c r="E2691" i="116"/>
  <c r="D2691" i="116"/>
  <c r="C2691" i="116"/>
  <c r="B2691" i="116"/>
  <c r="K2690" i="116"/>
  <c r="J2690" i="116"/>
  <c r="I2690" i="116"/>
  <c r="H2690" i="116"/>
  <c r="G2690" i="116"/>
  <c r="F2690" i="116"/>
  <c r="E2690" i="116"/>
  <c r="D2690" i="116"/>
  <c r="C2690" i="116"/>
  <c r="B2690" i="116"/>
  <c r="K2689" i="116"/>
  <c r="J2689" i="116"/>
  <c r="I2689" i="116"/>
  <c r="H2689" i="116"/>
  <c r="G2689" i="116"/>
  <c r="F2689" i="116"/>
  <c r="E2689" i="116"/>
  <c r="D2689" i="116"/>
  <c r="C2689" i="116"/>
  <c r="B2689" i="116"/>
  <c r="K2688" i="116"/>
  <c r="J2688" i="116"/>
  <c r="I2688" i="116"/>
  <c r="H2688" i="116"/>
  <c r="G2688" i="116"/>
  <c r="F2688" i="116"/>
  <c r="E2688" i="116"/>
  <c r="D2688" i="116"/>
  <c r="C2688" i="116"/>
  <c r="B2688" i="116"/>
  <c r="K2687" i="116"/>
  <c r="J2687" i="116"/>
  <c r="I2687" i="116"/>
  <c r="H2687" i="116"/>
  <c r="G2687" i="116"/>
  <c r="F2687" i="116"/>
  <c r="E2687" i="116"/>
  <c r="D2687" i="116"/>
  <c r="C2687" i="116"/>
  <c r="B2687" i="116"/>
  <c r="K2686" i="116"/>
  <c r="J2686" i="116"/>
  <c r="I2686" i="116"/>
  <c r="H2686" i="116"/>
  <c r="G2686" i="116"/>
  <c r="F2686" i="116"/>
  <c r="E2686" i="116"/>
  <c r="D2686" i="116"/>
  <c r="C2686" i="116"/>
  <c r="B2686" i="116"/>
  <c r="K2685" i="116"/>
  <c r="J2685" i="116"/>
  <c r="I2685" i="116"/>
  <c r="H2685" i="116"/>
  <c r="G2685" i="116"/>
  <c r="F2685" i="116"/>
  <c r="E2685" i="116"/>
  <c r="D2685" i="116"/>
  <c r="C2685" i="116"/>
  <c r="B2685" i="116"/>
  <c r="K2684" i="116"/>
  <c r="J2684" i="116"/>
  <c r="I2684" i="116"/>
  <c r="H2684" i="116"/>
  <c r="G2684" i="116"/>
  <c r="F2684" i="116"/>
  <c r="E2684" i="116"/>
  <c r="D2684" i="116"/>
  <c r="C2684" i="116"/>
  <c r="B2684" i="116"/>
  <c r="K2683" i="116"/>
  <c r="J2683" i="116"/>
  <c r="I2683" i="116"/>
  <c r="H2683" i="116"/>
  <c r="G2683" i="116"/>
  <c r="F2683" i="116"/>
  <c r="E2683" i="116"/>
  <c r="D2683" i="116"/>
  <c r="C2683" i="116"/>
  <c r="B2683" i="116"/>
  <c r="K2682" i="116"/>
  <c r="J2682" i="116"/>
  <c r="I2682" i="116"/>
  <c r="H2682" i="116"/>
  <c r="G2682" i="116"/>
  <c r="F2682" i="116"/>
  <c r="E2682" i="116"/>
  <c r="D2682" i="116"/>
  <c r="C2682" i="116"/>
  <c r="B2682" i="116"/>
  <c r="K2681" i="116"/>
  <c r="J2681" i="116"/>
  <c r="I2681" i="116"/>
  <c r="H2681" i="116"/>
  <c r="G2681" i="116"/>
  <c r="F2681" i="116"/>
  <c r="E2681" i="116"/>
  <c r="D2681" i="116"/>
  <c r="C2681" i="116"/>
  <c r="B2681" i="116"/>
  <c r="K2680" i="116"/>
  <c r="J2680" i="116"/>
  <c r="I2680" i="116"/>
  <c r="H2680" i="116"/>
  <c r="G2680" i="116"/>
  <c r="F2680" i="116"/>
  <c r="E2680" i="116"/>
  <c r="D2680" i="116"/>
  <c r="C2680" i="116"/>
  <c r="B2680" i="116"/>
  <c r="K2679" i="116"/>
  <c r="J2679" i="116"/>
  <c r="I2679" i="116"/>
  <c r="H2679" i="116"/>
  <c r="G2679" i="116"/>
  <c r="F2679" i="116"/>
  <c r="E2679" i="116"/>
  <c r="D2679" i="116"/>
  <c r="C2679" i="116"/>
  <c r="B2679" i="116"/>
  <c r="K2678" i="116"/>
  <c r="J2678" i="116"/>
  <c r="I2678" i="116"/>
  <c r="H2678" i="116"/>
  <c r="G2678" i="116"/>
  <c r="F2678" i="116"/>
  <c r="E2678" i="116"/>
  <c r="D2678" i="116"/>
  <c r="C2678" i="116"/>
  <c r="B2678" i="116"/>
  <c r="K2677" i="116"/>
  <c r="J2677" i="116"/>
  <c r="I2677" i="116"/>
  <c r="H2677" i="116"/>
  <c r="G2677" i="116"/>
  <c r="F2677" i="116"/>
  <c r="E2677" i="116"/>
  <c r="D2677" i="116"/>
  <c r="C2677" i="116"/>
  <c r="B2677" i="116"/>
  <c r="K2676" i="116"/>
  <c r="J2676" i="116"/>
  <c r="I2676" i="116"/>
  <c r="H2676" i="116"/>
  <c r="G2676" i="116"/>
  <c r="F2676" i="116"/>
  <c r="E2676" i="116"/>
  <c r="D2676" i="116"/>
  <c r="C2676" i="116"/>
  <c r="B2676" i="116"/>
  <c r="K2675" i="116"/>
  <c r="J2675" i="116"/>
  <c r="I2675" i="116"/>
  <c r="H2675" i="116"/>
  <c r="G2675" i="116"/>
  <c r="F2675" i="116"/>
  <c r="E2675" i="116"/>
  <c r="D2675" i="116"/>
  <c r="C2675" i="116"/>
  <c r="B2675" i="116"/>
  <c r="K2674" i="116"/>
  <c r="J2674" i="116"/>
  <c r="I2674" i="116"/>
  <c r="H2674" i="116"/>
  <c r="G2674" i="116"/>
  <c r="F2674" i="116"/>
  <c r="E2674" i="116"/>
  <c r="D2674" i="116"/>
  <c r="C2674" i="116"/>
  <c r="B2674" i="116"/>
  <c r="K2673" i="116"/>
  <c r="J2673" i="116"/>
  <c r="I2673" i="116"/>
  <c r="H2673" i="116"/>
  <c r="G2673" i="116"/>
  <c r="F2673" i="116"/>
  <c r="E2673" i="116"/>
  <c r="D2673" i="116"/>
  <c r="C2673" i="116"/>
  <c r="B2673" i="116"/>
  <c r="K2672" i="116"/>
  <c r="J2672" i="116"/>
  <c r="I2672" i="116"/>
  <c r="H2672" i="116"/>
  <c r="G2672" i="116"/>
  <c r="F2672" i="116"/>
  <c r="E2672" i="116"/>
  <c r="D2672" i="116"/>
  <c r="C2672" i="116"/>
  <c r="B2672" i="116"/>
  <c r="K2671" i="116"/>
  <c r="J2671" i="116"/>
  <c r="I2671" i="116"/>
  <c r="H2671" i="116"/>
  <c r="G2671" i="116"/>
  <c r="F2671" i="116"/>
  <c r="E2671" i="116"/>
  <c r="D2671" i="116"/>
  <c r="C2671" i="116"/>
  <c r="B2671" i="116"/>
  <c r="K2670" i="116"/>
  <c r="J2670" i="116"/>
  <c r="I2670" i="116"/>
  <c r="H2670" i="116"/>
  <c r="G2670" i="116"/>
  <c r="F2670" i="116"/>
  <c r="E2670" i="116"/>
  <c r="D2670" i="116"/>
  <c r="C2670" i="116"/>
  <c r="B2670" i="116"/>
  <c r="K2669" i="116"/>
  <c r="J2669" i="116"/>
  <c r="I2669" i="116"/>
  <c r="H2669" i="116"/>
  <c r="G2669" i="116"/>
  <c r="F2669" i="116"/>
  <c r="E2669" i="116"/>
  <c r="D2669" i="116"/>
  <c r="C2669" i="116"/>
  <c r="B2669" i="116"/>
  <c r="K2668" i="116"/>
  <c r="J2668" i="116"/>
  <c r="I2668" i="116"/>
  <c r="H2668" i="116"/>
  <c r="G2668" i="116"/>
  <c r="F2668" i="116"/>
  <c r="E2668" i="116"/>
  <c r="D2668" i="116"/>
  <c r="C2668" i="116"/>
  <c r="B2668" i="116"/>
  <c r="K2667" i="116"/>
  <c r="J2667" i="116"/>
  <c r="I2667" i="116"/>
  <c r="H2667" i="116"/>
  <c r="G2667" i="116"/>
  <c r="F2667" i="116"/>
  <c r="E2667" i="116"/>
  <c r="D2667" i="116"/>
  <c r="C2667" i="116"/>
  <c r="B2667" i="116"/>
  <c r="K2666" i="116"/>
  <c r="J2666" i="116"/>
  <c r="I2666" i="116"/>
  <c r="H2666" i="116"/>
  <c r="G2666" i="116"/>
  <c r="F2666" i="116"/>
  <c r="E2666" i="116"/>
  <c r="D2666" i="116"/>
  <c r="C2666" i="116"/>
  <c r="B2666" i="116"/>
  <c r="K2665" i="116"/>
  <c r="J2665" i="116"/>
  <c r="I2665" i="116"/>
  <c r="H2665" i="116"/>
  <c r="G2665" i="116"/>
  <c r="F2665" i="116"/>
  <c r="E2665" i="116"/>
  <c r="D2665" i="116"/>
  <c r="C2665" i="116"/>
  <c r="B2665" i="116"/>
  <c r="K2664" i="116"/>
  <c r="J2664" i="116"/>
  <c r="I2664" i="116"/>
  <c r="H2664" i="116"/>
  <c r="G2664" i="116"/>
  <c r="F2664" i="116"/>
  <c r="E2664" i="116"/>
  <c r="D2664" i="116"/>
  <c r="C2664" i="116"/>
  <c r="B2664" i="116"/>
  <c r="K2663" i="116"/>
  <c r="J2663" i="116"/>
  <c r="I2663" i="116"/>
  <c r="H2663" i="116"/>
  <c r="G2663" i="116"/>
  <c r="F2663" i="116"/>
  <c r="E2663" i="116"/>
  <c r="D2663" i="116"/>
  <c r="C2663" i="116"/>
  <c r="B2663" i="116"/>
  <c r="K2662" i="116"/>
  <c r="J2662" i="116"/>
  <c r="I2662" i="116"/>
  <c r="H2662" i="116"/>
  <c r="G2662" i="116"/>
  <c r="F2662" i="116"/>
  <c r="E2662" i="116"/>
  <c r="D2662" i="116"/>
  <c r="C2662" i="116"/>
  <c r="B2662" i="116"/>
  <c r="K2661" i="116"/>
  <c r="J2661" i="116"/>
  <c r="I2661" i="116"/>
  <c r="H2661" i="116"/>
  <c r="G2661" i="116"/>
  <c r="F2661" i="116"/>
  <c r="E2661" i="116"/>
  <c r="D2661" i="116"/>
  <c r="C2661" i="116"/>
  <c r="B2661" i="116"/>
  <c r="K2660" i="116"/>
  <c r="J2660" i="116"/>
  <c r="I2660" i="116"/>
  <c r="H2660" i="116"/>
  <c r="G2660" i="116"/>
  <c r="F2660" i="116"/>
  <c r="E2660" i="116"/>
  <c r="D2660" i="116"/>
  <c r="C2660" i="116"/>
  <c r="B2660" i="116"/>
  <c r="K2659" i="116"/>
  <c r="J2659" i="116"/>
  <c r="I2659" i="116"/>
  <c r="H2659" i="116"/>
  <c r="G2659" i="116"/>
  <c r="F2659" i="116"/>
  <c r="E2659" i="116"/>
  <c r="D2659" i="116"/>
  <c r="C2659" i="116"/>
  <c r="B2659" i="116"/>
  <c r="K2658" i="116"/>
  <c r="J2658" i="116"/>
  <c r="I2658" i="116"/>
  <c r="H2658" i="116"/>
  <c r="G2658" i="116"/>
  <c r="F2658" i="116"/>
  <c r="E2658" i="116"/>
  <c r="D2658" i="116"/>
  <c r="C2658" i="116"/>
  <c r="B2658" i="116"/>
  <c r="K2657" i="116"/>
  <c r="J2657" i="116"/>
  <c r="I2657" i="116"/>
  <c r="H2657" i="116"/>
  <c r="G2657" i="116"/>
  <c r="F2657" i="116"/>
  <c r="E2657" i="116"/>
  <c r="D2657" i="116"/>
  <c r="C2657" i="116"/>
  <c r="B2657" i="116"/>
  <c r="K2656" i="116"/>
  <c r="J2656" i="116"/>
  <c r="I2656" i="116"/>
  <c r="H2656" i="116"/>
  <c r="G2656" i="116"/>
  <c r="F2656" i="116"/>
  <c r="E2656" i="116"/>
  <c r="D2656" i="116"/>
  <c r="C2656" i="116"/>
  <c r="B2656" i="116"/>
  <c r="K2655" i="116"/>
  <c r="J2655" i="116"/>
  <c r="I2655" i="116"/>
  <c r="H2655" i="116"/>
  <c r="G2655" i="116"/>
  <c r="F2655" i="116"/>
  <c r="E2655" i="116"/>
  <c r="D2655" i="116"/>
  <c r="C2655" i="116"/>
  <c r="B2655" i="116"/>
  <c r="K2654" i="116"/>
  <c r="J2654" i="116"/>
  <c r="I2654" i="116"/>
  <c r="H2654" i="116"/>
  <c r="G2654" i="116"/>
  <c r="F2654" i="116"/>
  <c r="E2654" i="116"/>
  <c r="D2654" i="116"/>
  <c r="C2654" i="116"/>
  <c r="B2654" i="116"/>
  <c r="K2653" i="116"/>
  <c r="J2653" i="116"/>
  <c r="I2653" i="116"/>
  <c r="H2653" i="116"/>
  <c r="G2653" i="116"/>
  <c r="F2653" i="116"/>
  <c r="E2653" i="116"/>
  <c r="D2653" i="116"/>
  <c r="C2653" i="116"/>
  <c r="B2653" i="116"/>
  <c r="K2652" i="116"/>
  <c r="J2652" i="116"/>
  <c r="I2652" i="116"/>
  <c r="H2652" i="116"/>
  <c r="G2652" i="116"/>
  <c r="F2652" i="116"/>
  <c r="E2652" i="116"/>
  <c r="D2652" i="116"/>
  <c r="C2652" i="116"/>
  <c r="B2652" i="116"/>
  <c r="K2651" i="116"/>
  <c r="J2651" i="116"/>
  <c r="I2651" i="116"/>
  <c r="H2651" i="116"/>
  <c r="G2651" i="116"/>
  <c r="F2651" i="116"/>
  <c r="E2651" i="116"/>
  <c r="D2651" i="116"/>
  <c r="C2651" i="116"/>
  <c r="B2651" i="116"/>
  <c r="K2650" i="116"/>
  <c r="J2650" i="116"/>
  <c r="I2650" i="116"/>
  <c r="H2650" i="116"/>
  <c r="G2650" i="116"/>
  <c r="F2650" i="116"/>
  <c r="E2650" i="116"/>
  <c r="D2650" i="116"/>
  <c r="C2650" i="116"/>
  <c r="B2650" i="116"/>
  <c r="K2649" i="116"/>
  <c r="J2649" i="116"/>
  <c r="I2649" i="116"/>
  <c r="H2649" i="116"/>
  <c r="G2649" i="116"/>
  <c r="F2649" i="116"/>
  <c r="E2649" i="116"/>
  <c r="D2649" i="116"/>
  <c r="C2649" i="116"/>
  <c r="B2649" i="116"/>
  <c r="K2648" i="116"/>
  <c r="J2648" i="116"/>
  <c r="I2648" i="116"/>
  <c r="H2648" i="116"/>
  <c r="G2648" i="116"/>
  <c r="F2648" i="116"/>
  <c r="E2648" i="116"/>
  <c r="D2648" i="116"/>
  <c r="C2648" i="116"/>
  <c r="B2648" i="116"/>
  <c r="K2647" i="116"/>
  <c r="J2647" i="116"/>
  <c r="I2647" i="116"/>
  <c r="H2647" i="116"/>
  <c r="G2647" i="116"/>
  <c r="F2647" i="116"/>
  <c r="E2647" i="116"/>
  <c r="D2647" i="116"/>
  <c r="C2647" i="116"/>
  <c r="B2647" i="116"/>
  <c r="K2646" i="116"/>
  <c r="J2646" i="116"/>
  <c r="I2646" i="116"/>
  <c r="H2646" i="116"/>
  <c r="G2646" i="116"/>
  <c r="F2646" i="116"/>
  <c r="E2646" i="116"/>
  <c r="D2646" i="116"/>
  <c r="C2646" i="116"/>
  <c r="B2646" i="116"/>
  <c r="K2645" i="116"/>
  <c r="J2645" i="116"/>
  <c r="I2645" i="116"/>
  <c r="H2645" i="116"/>
  <c r="G2645" i="116"/>
  <c r="F2645" i="116"/>
  <c r="E2645" i="116"/>
  <c r="D2645" i="116"/>
  <c r="C2645" i="116"/>
  <c r="B2645" i="116"/>
  <c r="K2644" i="116"/>
  <c r="J2644" i="116"/>
  <c r="I2644" i="116"/>
  <c r="H2644" i="116"/>
  <c r="G2644" i="116"/>
  <c r="F2644" i="116"/>
  <c r="E2644" i="116"/>
  <c r="D2644" i="116"/>
  <c r="C2644" i="116"/>
  <c r="B2644" i="116"/>
  <c r="K2643" i="116"/>
  <c r="J2643" i="116"/>
  <c r="I2643" i="116"/>
  <c r="H2643" i="116"/>
  <c r="G2643" i="116"/>
  <c r="F2643" i="116"/>
  <c r="E2643" i="116"/>
  <c r="D2643" i="116"/>
  <c r="C2643" i="116"/>
  <c r="B2643" i="116"/>
  <c r="K2642" i="116"/>
  <c r="J2642" i="116"/>
  <c r="I2642" i="116"/>
  <c r="H2642" i="116"/>
  <c r="G2642" i="116"/>
  <c r="F2642" i="116"/>
  <c r="E2642" i="116"/>
  <c r="D2642" i="116"/>
  <c r="C2642" i="116"/>
  <c r="B2642" i="116"/>
  <c r="K2641" i="116"/>
  <c r="J2641" i="116"/>
  <c r="I2641" i="116"/>
  <c r="H2641" i="116"/>
  <c r="G2641" i="116"/>
  <c r="F2641" i="116"/>
  <c r="E2641" i="116"/>
  <c r="D2641" i="116"/>
  <c r="C2641" i="116"/>
  <c r="B2641" i="116"/>
  <c r="K2640" i="116"/>
  <c r="J2640" i="116"/>
  <c r="I2640" i="116"/>
  <c r="H2640" i="116"/>
  <c r="G2640" i="116"/>
  <c r="F2640" i="116"/>
  <c r="E2640" i="116"/>
  <c r="D2640" i="116"/>
  <c r="C2640" i="116"/>
  <c r="B2640" i="116"/>
  <c r="K2639" i="116"/>
  <c r="J2639" i="116"/>
  <c r="I2639" i="116"/>
  <c r="H2639" i="116"/>
  <c r="G2639" i="116"/>
  <c r="F2639" i="116"/>
  <c r="E2639" i="116"/>
  <c r="D2639" i="116"/>
  <c r="C2639" i="116"/>
  <c r="B2639" i="116"/>
  <c r="K2638" i="116"/>
  <c r="J2638" i="116"/>
  <c r="I2638" i="116"/>
  <c r="H2638" i="116"/>
  <c r="G2638" i="116"/>
  <c r="F2638" i="116"/>
  <c r="E2638" i="116"/>
  <c r="D2638" i="116"/>
  <c r="C2638" i="116"/>
  <c r="B2638" i="116"/>
  <c r="K2637" i="116"/>
  <c r="J2637" i="116"/>
  <c r="I2637" i="116"/>
  <c r="H2637" i="116"/>
  <c r="G2637" i="116"/>
  <c r="F2637" i="116"/>
  <c r="E2637" i="116"/>
  <c r="D2637" i="116"/>
  <c r="C2637" i="116"/>
  <c r="B2637" i="116"/>
  <c r="K2636" i="116"/>
  <c r="J2636" i="116"/>
  <c r="I2636" i="116"/>
  <c r="H2636" i="116"/>
  <c r="G2636" i="116"/>
  <c r="F2636" i="116"/>
  <c r="E2636" i="116"/>
  <c r="D2636" i="116"/>
  <c r="C2636" i="116"/>
  <c r="B2636" i="116"/>
  <c r="K2635" i="116"/>
  <c r="J2635" i="116"/>
  <c r="I2635" i="116"/>
  <c r="H2635" i="116"/>
  <c r="G2635" i="116"/>
  <c r="F2635" i="116"/>
  <c r="E2635" i="116"/>
  <c r="D2635" i="116"/>
  <c r="C2635" i="116"/>
  <c r="B2635" i="116"/>
  <c r="K2634" i="116"/>
  <c r="J2634" i="116"/>
  <c r="I2634" i="116"/>
  <c r="H2634" i="116"/>
  <c r="G2634" i="116"/>
  <c r="F2634" i="116"/>
  <c r="E2634" i="116"/>
  <c r="D2634" i="116"/>
  <c r="C2634" i="116"/>
  <c r="B2634" i="116"/>
  <c r="K2633" i="116"/>
  <c r="J2633" i="116"/>
  <c r="I2633" i="116"/>
  <c r="H2633" i="116"/>
  <c r="G2633" i="116"/>
  <c r="F2633" i="116"/>
  <c r="E2633" i="116"/>
  <c r="D2633" i="116"/>
  <c r="C2633" i="116"/>
  <c r="B2633" i="116"/>
  <c r="K2632" i="116"/>
  <c r="J2632" i="116"/>
  <c r="I2632" i="116"/>
  <c r="H2632" i="116"/>
  <c r="G2632" i="116"/>
  <c r="F2632" i="116"/>
  <c r="E2632" i="116"/>
  <c r="D2632" i="116"/>
  <c r="C2632" i="116"/>
  <c r="B2632" i="116"/>
  <c r="K2631" i="116"/>
  <c r="J2631" i="116"/>
  <c r="I2631" i="116"/>
  <c r="H2631" i="116"/>
  <c r="G2631" i="116"/>
  <c r="F2631" i="116"/>
  <c r="E2631" i="116"/>
  <c r="D2631" i="116"/>
  <c r="C2631" i="116"/>
  <c r="B2631" i="116"/>
  <c r="K2630" i="116"/>
  <c r="J2630" i="116"/>
  <c r="I2630" i="116"/>
  <c r="H2630" i="116"/>
  <c r="G2630" i="116"/>
  <c r="F2630" i="116"/>
  <c r="E2630" i="116"/>
  <c r="D2630" i="116"/>
  <c r="C2630" i="116"/>
  <c r="B2630" i="116"/>
  <c r="K2629" i="116"/>
  <c r="J2629" i="116"/>
  <c r="I2629" i="116"/>
  <c r="H2629" i="116"/>
  <c r="G2629" i="116"/>
  <c r="F2629" i="116"/>
  <c r="E2629" i="116"/>
  <c r="D2629" i="116"/>
  <c r="C2629" i="116"/>
  <c r="B2629" i="116"/>
  <c r="K2628" i="116"/>
  <c r="J2628" i="116"/>
  <c r="I2628" i="116"/>
  <c r="H2628" i="116"/>
  <c r="G2628" i="116"/>
  <c r="F2628" i="116"/>
  <c r="E2628" i="116"/>
  <c r="D2628" i="116"/>
  <c r="C2628" i="116"/>
  <c r="B2628" i="116"/>
  <c r="K2627" i="116"/>
  <c r="J2627" i="116"/>
  <c r="I2627" i="116"/>
  <c r="H2627" i="116"/>
  <c r="G2627" i="116"/>
  <c r="F2627" i="116"/>
  <c r="E2627" i="116"/>
  <c r="D2627" i="116"/>
  <c r="C2627" i="116"/>
  <c r="B2627" i="116"/>
  <c r="K2626" i="116"/>
  <c r="J2626" i="116"/>
  <c r="I2626" i="116"/>
  <c r="H2626" i="116"/>
  <c r="G2626" i="116"/>
  <c r="F2626" i="116"/>
  <c r="E2626" i="116"/>
  <c r="D2626" i="116"/>
  <c r="C2626" i="116"/>
  <c r="B2626" i="116"/>
  <c r="K2625" i="116"/>
  <c r="J2625" i="116"/>
  <c r="I2625" i="116"/>
  <c r="H2625" i="116"/>
  <c r="G2625" i="116"/>
  <c r="F2625" i="116"/>
  <c r="E2625" i="116"/>
  <c r="D2625" i="116"/>
  <c r="C2625" i="116"/>
  <c r="B2625" i="116"/>
  <c r="K2624" i="116"/>
  <c r="J2624" i="116"/>
  <c r="I2624" i="116"/>
  <c r="H2624" i="116"/>
  <c r="G2624" i="116"/>
  <c r="F2624" i="116"/>
  <c r="E2624" i="116"/>
  <c r="D2624" i="116"/>
  <c r="C2624" i="116"/>
  <c r="B2624" i="116"/>
  <c r="K2623" i="116"/>
  <c r="J2623" i="116"/>
  <c r="I2623" i="116"/>
  <c r="H2623" i="116"/>
  <c r="G2623" i="116"/>
  <c r="F2623" i="116"/>
  <c r="E2623" i="116"/>
  <c r="D2623" i="116"/>
  <c r="C2623" i="116"/>
  <c r="B2623" i="116"/>
  <c r="K2622" i="116"/>
  <c r="J2622" i="116"/>
  <c r="I2622" i="116"/>
  <c r="H2622" i="116"/>
  <c r="G2622" i="116"/>
  <c r="F2622" i="116"/>
  <c r="E2622" i="116"/>
  <c r="D2622" i="116"/>
  <c r="C2622" i="116"/>
  <c r="B2622" i="116"/>
  <c r="K2621" i="116"/>
  <c r="J2621" i="116"/>
  <c r="I2621" i="116"/>
  <c r="H2621" i="116"/>
  <c r="G2621" i="116"/>
  <c r="F2621" i="116"/>
  <c r="E2621" i="116"/>
  <c r="D2621" i="116"/>
  <c r="C2621" i="116"/>
  <c r="B2621" i="116"/>
  <c r="K2620" i="116"/>
  <c r="J2620" i="116"/>
  <c r="I2620" i="116"/>
  <c r="H2620" i="116"/>
  <c r="G2620" i="116"/>
  <c r="F2620" i="116"/>
  <c r="E2620" i="116"/>
  <c r="D2620" i="116"/>
  <c r="C2620" i="116"/>
  <c r="B2620" i="116"/>
  <c r="K2619" i="116"/>
  <c r="J2619" i="116"/>
  <c r="I2619" i="116"/>
  <c r="H2619" i="116"/>
  <c r="G2619" i="116"/>
  <c r="F2619" i="116"/>
  <c r="E2619" i="116"/>
  <c r="D2619" i="116"/>
  <c r="C2619" i="116"/>
  <c r="B2619" i="116"/>
  <c r="K2618" i="116"/>
  <c r="J2618" i="116"/>
  <c r="I2618" i="116"/>
  <c r="H2618" i="116"/>
  <c r="G2618" i="116"/>
  <c r="F2618" i="116"/>
  <c r="E2618" i="116"/>
  <c r="D2618" i="116"/>
  <c r="C2618" i="116"/>
  <c r="B2618" i="116"/>
  <c r="K2617" i="116"/>
  <c r="J2617" i="116"/>
  <c r="I2617" i="116"/>
  <c r="H2617" i="116"/>
  <c r="G2617" i="116"/>
  <c r="F2617" i="116"/>
  <c r="E2617" i="116"/>
  <c r="D2617" i="116"/>
  <c r="C2617" i="116"/>
  <c r="B2617" i="116"/>
  <c r="K2616" i="116"/>
  <c r="J2616" i="116"/>
  <c r="I2616" i="116"/>
  <c r="H2616" i="116"/>
  <c r="G2616" i="116"/>
  <c r="F2616" i="116"/>
  <c r="E2616" i="116"/>
  <c r="D2616" i="116"/>
  <c r="C2616" i="116"/>
  <c r="B2616" i="116"/>
  <c r="K2615" i="116"/>
  <c r="J2615" i="116"/>
  <c r="I2615" i="116"/>
  <c r="H2615" i="116"/>
  <c r="G2615" i="116"/>
  <c r="F2615" i="116"/>
  <c r="E2615" i="116"/>
  <c r="D2615" i="116"/>
  <c r="C2615" i="116"/>
  <c r="B2615" i="116"/>
  <c r="K2614" i="116"/>
  <c r="J2614" i="116"/>
  <c r="I2614" i="116"/>
  <c r="H2614" i="116"/>
  <c r="G2614" i="116"/>
  <c r="F2614" i="116"/>
  <c r="E2614" i="116"/>
  <c r="D2614" i="116"/>
  <c r="C2614" i="116"/>
  <c r="B2614" i="116"/>
  <c r="K2613" i="116"/>
  <c r="J2613" i="116"/>
  <c r="I2613" i="116"/>
  <c r="H2613" i="116"/>
  <c r="G2613" i="116"/>
  <c r="F2613" i="116"/>
  <c r="E2613" i="116"/>
  <c r="D2613" i="116"/>
  <c r="C2613" i="116"/>
  <c r="B2613" i="116"/>
  <c r="K2612" i="116"/>
  <c r="J2612" i="116"/>
  <c r="I2612" i="116"/>
  <c r="H2612" i="116"/>
  <c r="G2612" i="116"/>
  <c r="F2612" i="116"/>
  <c r="E2612" i="116"/>
  <c r="D2612" i="116"/>
  <c r="C2612" i="116"/>
  <c r="B2612" i="116"/>
  <c r="K2611" i="116"/>
  <c r="J2611" i="116"/>
  <c r="I2611" i="116"/>
  <c r="H2611" i="116"/>
  <c r="G2611" i="116"/>
  <c r="F2611" i="116"/>
  <c r="E2611" i="116"/>
  <c r="D2611" i="116"/>
  <c r="C2611" i="116"/>
  <c r="B2611" i="116"/>
  <c r="K2610" i="116"/>
  <c r="J2610" i="116"/>
  <c r="I2610" i="116"/>
  <c r="H2610" i="116"/>
  <c r="G2610" i="116"/>
  <c r="F2610" i="116"/>
  <c r="E2610" i="116"/>
  <c r="D2610" i="116"/>
  <c r="C2610" i="116"/>
  <c r="B2610" i="116"/>
  <c r="K2609" i="116"/>
  <c r="J2609" i="116"/>
  <c r="I2609" i="116"/>
  <c r="H2609" i="116"/>
  <c r="G2609" i="116"/>
  <c r="F2609" i="116"/>
  <c r="E2609" i="116"/>
  <c r="D2609" i="116"/>
  <c r="C2609" i="116"/>
  <c r="B2609" i="116"/>
  <c r="K2608" i="116"/>
  <c r="J2608" i="116"/>
  <c r="I2608" i="116"/>
  <c r="H2608" i="116"/>
  <c r="G2608" i="116"/>
  <c r="F2608" i="116"/>
  <c r="E2608" i="116"/>
  <c r="D2608" i="116"/>
  <c r="C2608" i="116"/>
  <c r="B2608" i="116"/>
  <c r="K2607" i="116"/>
  <c r="J2607" i="116"/>
  <c r="I2607" i="116"/>
  <c r="H2607" i="116"/>
  <c r="G2607" i="116"/>
  <c r="F2607" i="116"/>
  <c r="E2607" i="116"/>
  <c r="D2607" i="116"/>
  <c r="C2607" i="116"/>
  <c r="B2607" i="116"/>
  <c r="K2606" i="116"/>
  <c r="J2606" i="116"/>
  <c r="I2606" i="116"/>
  <c r="H2606" i="116"/>
  <c r="G2606" i="116"/>
  <c r="F2606" i="116"/>
  <c r="E2606" i="116"/>
  <c r="D2606" i="116"/>
  <c r="C2606" i="116"/>
  <c r="B2606" i="116"/>
  <c r="K2605" i="116"/>
  <c r="J2605" i="116"/>
  <c r="I2605" i="116"/>
  <c r="H2605" i="116"/>
  <c r="G2605" i="116"/>
  <c r="F2605" i="116"/>
  <c r="E2605" i="116"/>
  <c r="D2605" i="116"/>
  <c r="C2605" i="116"/>
  <c r="B2605" i="116"/>
  <c r="K2604" i="116"/>
  <c r="J2604" i="116"/>
  <c r="I2604" i="116"/>
  <c r="H2604" i="116"/>
  <c r="G2604" i="116"/>
  <c r="F2604" i="116"/>
  <c r="E2604" i="116"/>
  <c r="D2604" i="116"/>
  <c r="C2604" i="116"/>
  <c r="B2604" i="116"/>
  <c r="K2603" i="116"/>
  <c r="J2603" i="116"/>
  <c r="I2603" i="116"/>
  <c r="H2603" i="116"/>
  <c r="G2603" i="116"/>
  <c r="F2603" i="116"/>
  <c r="E2603" i="116"/>
  <c r="D2603" i="116"/>
  <c r="C2603" i="116"/>
  <c r="B2603" i="116"/>
  <c r="K2602" i="116"/>
  <c r="J2602" i="116"/>
  <c r="I2602" i="116"/>
  <c r="H2602" i="116"/>
  <c r="G2602" i="116"/>
  <c r="F2602" i="116"/>
  <c r="E2602" i="116"/>
  <c r="D2602" i="116"/>
  <c r="C2602" i="116"/>
  <c r="B2602" i="116"/>
  <c r="K2601" i="116"/>
  <c r="J2601" i="116"/>
  <c r="I2601" i="116"/>
  <c r="H2601" i="116"/>
  <c r="G2601" i="116"/>
  <c r="F2601" i="116"/>
  <c r="E2601" i="116"/>
  <c r="D2601" i="116"/>
  <c r="C2601" i="116"/>
  <c r="B2601" i="116"/>
  <c r="K2600" i="116"/>
  <c r="J2600" i="116"/>
  <c r="I2600" i="116"/>
  <c r="H2600" i="116"/>
  <c r="G2600" i="116"/>
  <c r="F2600" i="116"/>
  <c r="E2600" i="116"/>
  <c r="D2600" i="116"/>
  <c r="C2600" i="116"/>
  <c r="B2600" i="116"/>
  <c r="K2599" i="116"/>
  <c r="J2599" i="116"/>
  <c r="I2599" i="116"/>
  <c r="H2599" i="116"/>
  <c r="G2599" i="116"/>
  <c r="F2599" i="116"/>
  <c r="E2599" i="116"/>
  <c r="D2599" i="116"/>
  <c r="C2599" i="116"/>
  <c r="B2599" i="116"/>
  <c r="K2598" i="116"/>
  <c r="J2598" i="116"/>
  <c r="I2598" i="116"/>
  <c r="H2598" i="116"/>
  <c r="G2598" i="116"/>
  <c r="F2598" i="116"/>
  <c r="E2598" i="116"/>
  <c r="D2598" i="116"/>
  <c r="C2598" i="116"/>
  <c r="B2598" i="116"/>
  <c r="K2597" i="116"/>
  <c r="J2597" i="116"/>
  <c r="I2597" i="116"/>
  <c r="H2597" i="116"/>
  <c r="G2597" i="116"/>
  <c r="F2597" i="116"/>
  <c r="E2597" i="116"/>
  <c r="D2597" i="116"/>
  <c r="C2597" i="116"/>
  <c r="B2597" i="116"/>
  <c r="K2596" i="116"/>
  <c r="J2596" i="116"/>
  <c r="I2596" i="116"/>
  <c r="H2596" i="116"/>
  <c r="G2596" i="116"/>
  <c r="F2596" i="116"/>
  <c r="E2596" i="116"/>
  <c r="D2596" i="116"/>
  <c r="C2596" i="116"/>
  <c r="B2596" i="116"/>
  <c r="K2595" i="116"/>
  <c r="J2595" i="116"/>
  <c r="I2595" i="116"/>
  <c r="H2595" i="116"/>
  <c r="G2595" i="116"/>
  <c r="F2595" i="116"/>
  <c r="E2595" i="116"/>
  <c r="D2595" i="116"/>
  <c r="C2595" i="116"/>
  <c r="B2595" i="116"/>
  <c r="K2594" i="116"/>
  <c r="J2594" i="116"/>
  <c r="I2594" i="116"/>
  <c r="H2594" i="116"/>
  <c r="G2594" i="116"/>
  <c r="F2594" i="116"/>
  <c r="E2594" i="116"/>
  <c r="D2594" i="116"/>
  <c r="C2594" i="116"/>
  <c r="B2594" i="116"/>
  <c r="K2593" i="116"/>
  <c r="J2593" i="116"/>
  <c r="I2593" i="116"/>
  <c r="H2593" i="116"/>
  <c r="G2593" i="116"/>
  <c r="F2593" i="116"/>
  <c r="E2593" i="116"/>
  <c r="D2593" i="116"/>
  <c r="C2593" i="116"/>
  <c r="B2593" i="116"/>
  <c r="K2592" i="116"/>
  <c r="J2592" i="116"/>
  <c r="I2592" i="116"/>
  <c r="H2592" i="116"/>
  <c r="G2592" i="116"/>
  <c r="F2592" i="116"/>
  <c r="E2592" i="116"/>
  <c r="D2592" i="116"/>
  <c r="C2592" i="116"/>
  <c r="B2592" i="116"/>
  <c r="K2591" i="116"/>
  <c r="J2591" i="116"/>
  <c r="I2591" i="116"/>
  <c r="H2591" i="116"/>
  <c r="G2591" i="116"/>
  <c r="F2591" i="116"/>
  <c r="E2591" i="116"/>
  <c r="D2591" i="116"/>
  <c r="C2591" i="116"/>
  <c r="B2591" i="116"/>
  <c r="K2590" i="116"/>
  <c r="J2590" i="116"/>
  <c r="I2590" i="116"/>
  <c r="H2590" i="116"/>
  <c r="G2590" i="116"/>
  <c r="F2590" i="116"/>
  <c r="E2590" i="116"/>
  <c r="D2590" i="116"/>
  <c r="C2590" i="116"/>
  <c r="B2590" i="116"/>
  <c r="K2589" i="116"/>
  <c r="J2589" i="116"/>
  <c r="I2589" i="116"/>
  <c r="H2589" i="116"/>
  <c r="G2589" i="116"/>
  <c r="F2589" i="116"/>
  <c r="E2589" i="116"/>
  <c r="D2589" i="116"/>
  <c r="C2589" i="116"/>
  <c r="B2589" i="116"/>
  <c r="K2588" i="116"/>
  <c r="J2588" i="116"/>
  <c r="I2588" i="116"/>
  <c r="H2588" i="116"/>
  <c r="G2588" i="116"/>
  <c r="F2588" i="116"/>
  <c r="E2588" i="116"/>
  <c r="D2588" i="116"/>
  <c r="C2588" i="116"/>
  <c r="B2588" i="116"/>
  <c r="K2587" i="116"/>
  <c r="J2587" i="116"/>
  <c r="I2587" i="116"/>
  <c r="H2587" i="116"/>
  <c r="G2587" i="116"/>
  <c r="F2587" i="116"/>
  <c r="E2587" i="116"/>
  <c r="D2587" i="116"/>
  <c r="C2587" i="116"/>
  <c r="B2587" i="116"/>
  <c r="K2586" i="116"/>
  <c r="J2586" i="116"/>
  <c r="I2586" i="116"/>
  <c r="H2586" i="116"/>
  <c r="G2586" i="116"/>
  <c r="F2586" i="116"/>
  <c r="E2586" i="116"/>
  <c r="D2586" i="116"/>
  <c r="C2586" i="116"/>
  <c r="B2586" i="116"/>
  <c r="K2585" i="116"/>
  <c r="J2585" i="116"/>
  <c r="I2585" i="116"/>
  <c r="H2585" i="116"/>
  <c r="G2585" i="116"/>
  <c r="F2585" i="116"/>
  <c r="E2585" i="116"/>
  <c r="D2585" i="116"/>
  <c r="C2585" i="116"/>
  <c r="B2585" i="116"/>
  <c r="K2584" i="116"/>
  <c r="J2584" i="116"/>
  <c r="I2584" i="116"/>
  <c r="H2584" i="116"/>
  <c r="G2584" i="116"/>
  <c r="F2584" i="116"/>
  <c r="E2584" i="116"/>
  <c r="D2584" i="116"/>
  <c r="C2584" i="116"/>
  <c r="B2584" i="116"/>
  <c r="K2583" i="116"/>
  <c r="J2583" i="116"/>
  <c r="I2583" i="116"/>
  <c r="H2583" i="116"/>
  <c r="G2583" i="116"/>
  <c r="F2583" i="116"/>
  <c r="E2583" i="116"/>
  <c r="D2583" i="116"/>
  <c r="C2583" i="116"/>
  <c r="B2583" i="116"/>
  <c r="K2582" i="116"/>
  <c r="J2582" i="116"/>
  <c r="I2582" i="116"/>
  <c r="H2582" i="116"/>
  <c r="G2582" i="116"/>
  <c r="F2582" i="116"/>
  <c r="E2582" i="116"/>
  <c r="D2582" i="116"/>
  <c r="C2582" i="116"/>
  <c r="B2582" i="116"/>
  <c r="K2581" i="116"/>
  <c r="J2581" i="116"/>
  <c r="I2581" i="116"/>
  <c r="H2581" i="116"/>
  <c r="G2581" i="116"/>
  <c r="F2581" i="116"/>
  <c r="E2581" i="116"/>
  <c r="D2581" i="116"/>
  <c r="C2581" i="116"/>
  <c r="B2581" i="116"/>
  <c r="K2580" i="116"/>
  <c r="J2580" i="116"/>
  <c r="I2580" i="116"/>
  <c r="H2580" i="116"/>
  <c r="G2580" i="116"/>
  <c r="F2580" i="116"/>
  <c r="E2580" i="116"/>
  <c r="D2580" i="116"/>
  <c r="C2580" i="116"/>
  <c r="B2580" i="116"/>
  <c r="K2579" i="116"/>
  <c r="J2579" i="116"/>
  <c r="I2579" i="116"/>
  <c r="H2579" i="116"/>
  <c r="G2579" i="116"/>
  <c r="F2579" i="116"/>
  <c r="E2579" i="116"/>
  <c r="D2579" i="116"/>
  <c r="C2579" i="116"/>
  <c r="B2579" i="116"/>
  <c r="K2578" i="116"/>
  <c r="J2578" i="116"/>
  <c r="I2578" i="116"/>
  <c r="H2578" i="116"/>
  <c r="G2578" i="116"/>
  <c r="F2578" i="116"/>
  <c r="E2578" i="116"/>
  <c r="D2578" i="116"/>
  <c r="C2578" i="116"/>
  <c r="B2578" i="116"/>
  <c r="K2577" i="116"/>
  <c r="J2577" i="116"/>
  <c r="I2577" i="116"/>
  <c r="H2577" i="116"/>
  <c r="G2577" i="116"/>
  <c r="F2577" i="116"/>
  <c r="E2577" i="116"/>
  <c r="D2577" i="116"/>
  <c r="C2577" i="116"/>
  <c r="B2577" i="116"/>
  <c r="K2576" i="116"/>
  <c r="J2576" i="116"/>
  <c r="I2576" i="116"/>
  <c r="H2576" i="116"/>
  <c r="G2576" i="116"/>
  <c r="F2576" i="116"/>
  <c r="E2576" i="116"/>
  <c r="D2576" i="116"/>
  <c r="C2576" i="116"/>
  <c r="B2576" i="116"/>
  <c r="K2575" i="116"/>
  <c r="J2575" i="116"/>
  <c r="I2575" i="116"/>
  <c r="H2575" i="116"/>
  <c r="G2575" i="116"/>
  <c r="F2575" i="116"/>
  <c r="E2575" i="116"/>
  <c r="D2575" i="116"/>
  <c r="C2575" i="116"/>
  <c r="B2575" i="116"/>
  <c r="K2574" i="116"/>
  <c r="J2574" i="116"/>
  <c r="I2574" i="116"/>
  <c r="H2574" i="116"/>
  <c r="G2574" i="116"/>
  <c r="F2574" i="116"/>
  <c r="E2574" i="116"/>
  <c r="D2574" i="116"/>
  <c r="C2574" i="116"/>
  <c r="B2574" i="116"/>
  <c r="K2573" i="116"/>
  <c r="J2573" i="116"/>
  <c r="I2573" i="116"/>
  <c r="H2573" i="116"/>
  <c r="G2573" i="116"/>
  <c r="F2573" i="116"/>
  <c r="E2573" i="116"/>
  <c r="D2573" i="116"/>
  <c r="C2573" i="116"/>
  <c r="B2573" i="116"/>
  <c r="K2572" i="116"/>
  <c r="J2572" i="116"/>
  <c r="I2572" i="116"/>
  <c r="H2572" i="116"/>
  <c r="G2572" i="116"/>
  <c r="F2572" i="116"/>
  <c r="E2572" i="116"/>
  <c r="D2572" i="116"/>
  <c r="C2572" i="116"/>
  <c r="B2572" i="116"/>
  <c r="K2571" i="116"/>
  <c r="J2571" i="116"/>
  <c r="I2571" i="116"/>
  <c r="H2571" i="116"/>
  <c r="G2571" i="116"/>
  <c r="F2571" i="116"/>
  <c r="E2571" i="116"/>
  <c r="D2571" i="116"/>
  <c r="C2571" i="116"/>
  <c r="B2571" i="116"/>
  <c r="K2570" i="116"/>
  <c r="J2570" i="116"/>
  <c r="I2570" i="116"/>
  <c r="H2570" i="116"/>
  <c r="G2570" i="116"/>
  <c r="F2570" i="116"/>
  <c r="E2570" i="116"/>
  <c r="D2570" i="116"/>
  <c r="C2570" i="116"/>
  <c r="B2570" i="116"/>
  <c r="K2569" i="116"/>
  <c r="J2569" i="116"/>
  <c r="I2569" i="116"/>
  <c r="H2569" i="116"/>
  <c r="G2569" i="116"/>
  <c r="F2569" i="116"/>
  <c r="E2569" i="116"/>
  <c r="D2569" i="116"/>
  <c r="C2569" i="116"/>
  <c r="B2569" i="116"/>
  <c r="K2568" i="116"/>
  <c r="J2568" i="116"/>
  <c r="I2568" i="116"/>
  <c r="H2568" i="116"/>
  <c r="G2568" i="116"/>
  <c r="F2568" i="116"/>
  <c r="E2568" i="116"/>
  <c r="D2568" i="116"/>
  <c r="C2568" i="116"/>
  <c r="B2568" i="116"/>
  <c r="K2567" i="116"/>
  <c r="J2567" i="116"/>
  <c r="I2567" i="116"/>
  <c r="H2567" i="116"/>
  <c r="G2567" i="116"/>
  <c r="F2567" i="116"/>
  <c r="E2567" i="116"/>
  <c r="D2567" i="116"/>
  <c r="C2567" i="116"/>
  <c r="B2567" i="116"/>
  <c r="K2566" i="116"/>
  <c r="J2566" i="116"/>
  <c r="I2566" i="116"/>
  <c r="H2566" i="116"/>
  <c r="G2566" i="116"/>
  <c r="F2566" i="116"/>
  <c r="E2566" i="116"/>
  <c r="D2566" i="116"/>
  <c r="C2566" i="116"/>
  <c r="B2566" i="116"/>
  <c r="K2565" i="116"/>
  <c r="J2565" i="116"/>
  <c r="I2565" i="116"/>
  <c r="H2565" i="116"/>
  <c r="G2565" i="116"/>
  <c r="F2565" i="116"/>
  <c r="E2565" i="116"/>
  <c r="D2565" i="116"/>
  <c r="C2565" i="116"/>
  <c r="B2565" i="116"/>
  <c r="K2564" i="116"/>
  <c r="J2564" i="116"/>
  <c r="I2564" i="116"/>
  <c r="H2564" i="116"/>
  <c r="G2564" i="116"/>
  <c r="F2564" i="116"/>
  <c r="E2564" i="116"/>
  <c r="D2564" i="116"/>
  <c r="C2564" i="116"/>
  <c r="B2564" i="116"/>
  <c r="K2563" i="116"/>
  <c r="J2563" i="116"/>
  <c r="I2563" i="116"/>
  <c r="H2563" i="116"/>
  <c r="G2563" i="116"/>
  <c r="F2563" i="116"/>
  <c r="E2563" i="116"/>
  <c r="D2563" i="116"/>
  <c r="C2563" i="116"/>
  <c r="B2563" i="116"/>
  <c r="K2562" i="116"/>
  <c r="J2562" i="116"/>
  <c r="I2562" i="116"/>
  <c r="H2562" i="116"/>
  <c r="G2562" i="116"/>
  <c r="F2562" i="116"/>
  <c r="E2562" i="116"/>
  <c r="D2562" i="116"/>
  <c r="C2562" i="116"/>
  <c r="B2562" i="116"/>
  <c r="K2561" i="116"/>
  <c r="J2561" i="116"/>
  <c r="I2561" i="116"/>
  <c r="H2561" i="116"/>
  <c r="G2561" i="116"/>
  <c r="F2561" i="116"/>
  <c r="E2561" i="116"/>
  <c r="D2561" i="116"/>
  <c r="C2561" i="116"/>
  <c r="B2561" i="116"/>
  <c r="K2560" i="116"/>
  <c r="J2560" i="116"/>
  <c r="I2560" i="116"/>
  <c r="H2560" i="116"/>
  <c r="G2560" i="116"/>
  <c r="F2560" i="116"/>
  <c r="E2560" i="116"/>
  <c r="D2560" i="116"/>
  <c r="C2560" i="116"/>
  <c r="B2560" i="116"/>
  <c r="K2559" i="116"/>
  <c r="J2559" i="116"/>
  <c r="I2559" i="116"/>
  <c r="H2559" i="116"/>
  <c r="G2559" i="116"/>
  <c r="F2559" i="116"/>
  <c r="E2559" i="116"/>
  <c r="D2559" i="116"/>
  <c r="C2559" i="116"/>
  <c r="B2559" i="116"/>
  <c r="K2558" i="116"/>
  <c r="J2558" i="116"/>
  <c r="I2558" i="116"/>
  <c r="H2558" i="116"/>
  <c r="G2558" i="116"/>
  <c r="F2558" i="116"/>
  <c r="E2558" i="116"/>
  <c r="D2558" i="116"/>
  <c r="C2558" i="116"/>
  <c r="B2558" i="116"/>
  <c r="K2557" i="116"/>
  <c r="J2557" i="116"/>
  <c r="I2557" i="116"/>
  <c r="H2557" i="116"/>
  <c r="G2557" i="116"/>
  <c r="F2557" i="116"/>
  <c r="E2557" i="116"/>
  <c r="D2557" i="116"/>
  <c r="C2557" i="116"/>
  <c r="B2557" i="116"/>
  <c r="K2556" i="116"/>
  <c r="J2556" i="116"/>
  <c r="I2556" i="116"/>
  <c r="H2556" i="116"/>
  <c r="G2556" i="116"/>
  <c r="F2556" i="116"/>
  <c r="E2556" i="116"/>
  <c r="D2556" i="116"/>
  <c r="C2556" i="116"/>
  <c r="B2556" i="116"/>
  <c r="K2555" i="116"/>
  <c r="J2555" i="116"/>
  <c r="I2555" i="116"/>
  <c r="H2555" i="116"/>
  <c r="G2555" i="116"/>
  <c r="F2555" i="116"/>
  <c r="E2555" i="116"/>
  <c r="D2555" i="116"/>
  <c r="C2555" i="116"/>
  <c r="B2555" i="116"/>
  <c r="K2554" i="116"/>
  <c r="J2554" i="116"/>
  <c r="I2554" i="116"/>
  <c r="H2554" i="116"/>
  <c r="G2554" i="116"/>
  <c r="F2554" i="116"/>
  <c r="E2554" i="116"/>
  <c r="D2554" i="116"/>
  <c r="C2554" i="116"/>
  <c r="B2554" i="116"/>
  <c r="K2553" i="116"/>
  <c r="J2553" i="116"/>
  <c r="I2553" i="116"/>
  <c r="H2553" i="116"/>
  <c r="G2553" i="116"/>
  <c r="F2553" i="116"/>
  <c r="E2553" i="116"/>
  <c r="D2553" i="116"/>
  <c r="C2553" i="116"/>
  <c r="B2553" i="116"/>
  <c r="K2552" i="116"/>
  <c r="J2552" i="116"/>
  <c r="I2552" i="116"/>
  <c r="H2552" i="116"/>
  <c r="G2552" i="116"/>
  <c r="F2552" i="116"/>
  <c r="E2552" i="116"/>
  <c r="D2552" i="116"/>
  <c r="C2552" i="116"/>
  <c r="B2552" i="116"/>
  <c r="K2551" i="116"/>
  <c r="J2551" i="116"/>
  <c r="I2551" i="116"/>
  <c r="H2551" i="116"/>
  <c r="G2551" i="116"/>
  <c r="F2551" i="116"/>
  <c r="E2551" i="116"/>
  <c r="D2551" i="116"/>
  <c r="C2551" i="116"/>
  <c r="B2551" i="116"/>
  <c r="K2550" i="116"/>
  <c r="J2550" i="116"/>
  <c r="I2550" i="116"/>
  <c r="H2550" i="116"/>
  <c r="G2550" i="116"/>
  <c r="F2550" i="116"/>
  <c r="E2550" i="116"/>
  <c r="D2550" i="116"/>
  <c r="C2550" i="116"/>
  <c r="B2550" i="116"/>
  <c r="K2549" i="116"/>
  <c r="J2549" i="116"/>
  <c r="I2549" i="116"/>
  <c r="H2549" i="116"/>
  <c r="G2549" i="116"/>
  <c r="F2549" i="116"/>
  <c r="E2549" i="116"/>
  <c r="D2549" i="116"/>
  <c r="C2549" i="116"/>
  <c r="B2549" i="116"/>
  <c r="K2548" i="116"/>
  <c r="J2548" i="116"/>
  <c r="I2548" i="116"/>
  <c r="H2548" i="116"/>
  <c r="G2548" i="116"/>
  <c r="F2548" i="116"/>
  <c r="E2548" i="116"/>
  <c r="D2548" i="116"/>
  <c r="C2548" i="116"/>
  <c r="B2548" i="116"/>
  <c r="K2547" i="116"/>
  <c r="J2547" i="116"/>
  <c r="I2547" i="116"/>
  <c r="H2547" i="116"/>
  <c r="G2547" i="116"/>
  <c r="F2547" i="116"/>
  <c r="E2547" i="116"/>
  <c r="D2547" i="116"/>
  <c r="C2547" i="116"/>
  <c r="B2547" i="116"/>
  <c r="K2546" i="116"/>
  <c r="J2546" i="116"/>
  <c r="I2546" i="116"/>
  <c r="H2546" i="116"/>
  <c r="G2546" i="116"/>
  <c r="F2546" i="116"/>
  <c r="E2546" i="116"/>
  <c r="D2546" i="116"/>
  <c r="C2546" i="116"/>
  <c r="B2546" i="116"/>
  <c r="K2545" i="116"/>
  <c r="J2545" i="116"/>
  <c r="I2545" i="116"/>
  <c r="H2545" i="116"/>
  <c r="G2545" i="116"/>
  <c r="F2545" i="116"/>
  <c r="E2545" i="116"/>
  <c r="D2545" i="116"/>
  <c r="C2545" i="116"/>
  <c r="B2545" i="116"/>
  <c r="K2544" i="116"/>
  <c r="J2544" i="116"/>
  <c r="I2544" i="116"/>
  <c r="H2544" i="116"/>
  <c r="G2544" i="116"/>
  <c r="F2544" i="116"/>
  <c r="E2544" i="116"/>
  <c r="D2544" i="116"/>
  <c r="C2544" i="116"/>
  <c r="B2544" i="116"/>
  <c r="K2543" i="116"/>
  <c r="J2543" i="116"/>
  <c r="I2543" i="116"/>
  <c r="H2543" i="116"/>
  <c r="G2543" i="116"/>
  <c r="F2543" i="116"/>
  <c r="E2543" i="116"/>
  <c r="D2543" i="116"/>
  <c r="C2543" i="116"/>
  <c r="B2543" i="116"/>
  <c r="K2542" i="116"/>
  <c r="J2542" i="116"/>
  <c r="I2542" i="116"/>
  <c r="H2542" i="116"/>
  <c r="G2542" i="116"/>
  <c r="F2542" i="116"/>
  <c r="E2542" i="116"/>
  <c r="D2542" i="116"/>
  <c r="C2542" i="116"/>
  <c r="B2542" i="116"/>
  <c r="K2541" i="116"/>
  <c r="J2541" i="116"/>
  <c r="I2541" i="116"/>
  <c r="H2541" i="116"/>
  <c r="G2541" i="116"/>
  <c r="F2541" i="116"/>
  <c r="E2541" i="116"/>
  <c r="D2541" i="116"/>
  <c r="C2541" i="116"/>
  <c r="B2541" i="116"/>
  <c r="K2540" i="116"/>
  <c r="J2540" i="116"/>
  <c r="I2540" i="116"/>
  <c r="H2540" i="116"/>
  <c r="G2540" i="116"/>
  <c r="F2540" i="116"/>
  <c r="E2540" i="116"/>
  <c r="D2540" i="116"/>
  <c r="C2540" i="116"/>
  <c r="B2540" i="116"/>
  <c r="K2539" i="116"/>
  <c r="J2539" i="116"/>
  <c r="I2539" i="116"/>
  <c r="H2539" i="116"/>
  <c r="G2539" i="116"/>
  <c r="F2539" i="116"/>
  <c r="E2539" i="116"/>
  <c r="D2539" i="116"/>
  <c r="C2539" i="116"/>
  <c r="B2539" i="116"/>
  <c r="K2538" i="116"/>
  <c r="J2538" i="116"/>
  <c r="I2538" i="116"/>
  <c r="H2538" i="116"/>
  <c r="G2538" i="116"/>
  <c r="F2538" i="116"/>
  <c r="E2538" i="116"/>
  <c r="D2538" i="116"/>
  <c r="C2538" i="116"/>
  <c r="B2538" i="116"/>
  <c r="K2537" i="116"/>
  <c r="J2537" i="116"/>
  <c r="I2537" i="116"/>
  <c r="H2537" i="116"/>
  <c r="G2537" i="116"/>
  <c r="F2537" i="116"/>
  <c r="E2537" i="116"/>
  <c r="D2537" i="116"/>
  <c r="C2537" i="116"/>
  <c r="B2537" i="116"/>
  <c r="K2536" i="116"/>
  <c r="J2536" i="116"/>
  <c r="I2536" i="116"/>
  <c r="H2536" i="116"/>
  <c r="G2536" i="116"/>
  <c r="F2536" i="116"/>
  <c r="E2536" i="116"/>
  <c r="D2536" i="116"/>
  <c r="C2536" i="116"/>
  <c r="B2536" i="116"/>
  <c r="K2535" i="116"/>
  <c r="J2535" i="116"/>
  <c r="I2535" i="116"/>
  <c r="H2535" i="116"/>
  <c r="G2535" i="116"/>
  <c r="F2535" i="116"/>
  <c r="E2535" i="116"/>
  <c r="D2535" i="116"/>
  <c r="C2535" i="116"/>
  <c r="B2535" i="116"/>
  <c r="K2534" i="116"/>
  <c r="J2534" i="116"/>
  <c r="I2534" i="116"/>
  <c r="H2534" i="116"/>
  <c r="G2534" i="116"/>
  <c r="F2534" i="116"/>
  <c r="E2534" i="116"/>
  <c r="D2534" i="116"/>
  <c r="C2534" i="116"/>
  <c r="B2534" i="116"/>
  <c r="K2533" i="116"/>
  <c r="J2533" i="116"/>
  <c r="I2533" i="116"/>
  <c r="H2533" i="116"/>
  <c r="G2533" i="116"/>
  <c r="F2533" i="116"/>
  <c r="E2533" i="116"/>
  <c r="D2533" i="116"/>
  <c r="C2533" i="116"/>
  <c r="B2533" i="116"/>
  <c r="K2532" i="116"/>
  <c r="J2532" i="116"/>
  <c r="I2532" i="116"/>
  <c r="H2532" i="116"/>
  <c r="G2532" i="116"/>
  <c r="F2532" i="116"/>
  <c r="E2532" i="116"/>
  <c r="D2532" i="116"/>
  <c r="C2532" i="116"/>
  <c r="B2532" i="116"/>
  <c r="K2531" i="116"/>
  <c r="J2531" i="116"/>
  <c r="I2531" i="116"/>
  <c r="H2531" i="116"/>
  <c r="G2531" i="116"/>
  <c r="F2531" i="116"/>
  <c r="E2531" i="116"/>
  <c r="D2531" i="116"/>
  <c r="C2531" i="116"/>
  <c r="B2531" i="116"/>
  <c r="K2530" i="116"/>
  <c r="J2530" i="116"/>
  <c r="I2530" i="116"/>
  <c r="H2530" i="116"/>
  <c r="G2530" i="116"/>
  <c r="F2530" i="116"/>
  <c r="E2530" i="116"/>
  <c r="D2530" i="116"/>
  <c r="C2530" i="116"/>
  <c r="B2530" i="116"/>
  <c r="K2529" i="116"/>
  <c r="J2529" i="116"/>
  <c r="I2529" i="116"/>
  <c r="H2529" i="116"/>
  <c r="G2529" i="116"/>
  <c r="F2529" i="116"/>
  <c r="E2529" i="116"/>
  <c r="D2529" i="116"/>
  <c r="C2529" i="116"/>
  <c r="B2529" i="116"/>
  <c r="K2528" i="116"/>
  <c r="J2528" i="116"/>
  <c r="I2528" i="116"/>
  <c r="H2528" i="116"/>
  <c r="G2528" i="116"/>
  <c r="F2528" i="116"/>
  <c r="E2528" i="116"/>
  <c r="D2528" i="116"/>
  <c r="C2528" i="116"/>
  <c r="B2528" i="116"/>
  <c r="K2527" i="116"/>
  <c r="J2527" i="116"/>
  <c r="I2527" i="116"/>
  <c r="H2527" i="116"/>
  <c r="G2527" i="116"/>
  <c r="F2527" i="116"/>
  <c r="E2527" i="116"/>
  <c r="D2527" i="116"/>
  <c r="C2527" i="116"/>
  <c r="B2527" i="116"/>
  <c r="K2526" i="116"/>
  <c r="J2526" i="116"/>
  <c r="I2526" i="116"/>
  <c r="H2526" i="116"/>
  <c r="G2526" i="116"/>
  <c r="F2526" i="116"/>
  <c r="E2526" i="116"/>
  <c r="D2526" i="116"/>
  <c r="C2526" i="116"/>
  <c r="B2526" i="116"/>
  <c r="K2525" i="116"/>
  <c r="J2525" i="116"/>
  <c r="I2525" i="116"/>
  <c r="H2525" i="116"/>
  <c r="G2525" i="116"/>
  <c r="F2525" i="116"/>
  <c r="E2525" i="116"/>
  <c r="D2525" i="116"/>
  <c r="C2525" i="116"/>
  <c r="B2525" i="116"/>
  <c r="K2524" i="116"/>
  <c r="J2524" i="116"/>
  <c r="I2524" i="116"/>
  <c r="H2524" i="116"/>
  <c r="G2524" i="116"/>
  <c r="F2524" i="116"/>
  <c r="E2524" i="116"/>
  <c r="D2524" i="116"/>
  <c r="C2524" i="116"/>
  <c r="B2524" i="116"/>
  <c r="K2523" i="116"/>
  <c r="J2523" i="116"/>
  <c r="I2523" i="116"/>
  <c r="H2523" i="116"/>
  <c r="G2523" i="116"/>
  <c r="F2523" i="116"/>
  <c r="E2523" i="116"/>
  <c r="D2523" i="116"/>
  <c r="C2523" i="116"/>
  <c r="B2523" i="116"/>
  <c r="K2522" i="116"/>
  <c r="J2522" i="116"/>
  <c r="I2522" i="116"/>
  <c r="H2522" i="116"/>
  <c r="G2522" i="116"/>
  <c r="F2522" i="116"/>
  <c r="E2522" i="116"/>
  <c r="D2522" i="116"/>
  <c r="C2522" i="116"/>
  <c r="B2522" i="116"/>
  <c r="K2521" i="116"/>
  <c r="J2521" i="116"/>
  <c r="I2521" i="116"/>
  <c r="H2521" i="116"/>
  <c r="G2521" i="116"/>
  <c r="F2521" i="116"/>
  <c r="E2521" i="116"/>
  <c r="D2521" i="116"/>
  <c r="C2521" i="116"/>
  <c r="B2521" i="116"/>
  <c r="K2520" i="116"/>
  <c r="J2520" i="116"/>
  <c r="I2520" i="116"/>
  <c r="H2520" i="116"/>
  <c r="G2520" i="116"/>
  <c r="F2520" i="116"/>
  <c r="E2520" i="116"/>
  <c r="D2520" i="116"/>
  <c r="C2520" i="116"/>
  <c r="B2520" i="116"/>
  <c r="K2519" i="116"/>
  <c r="J2519" i="116"/>
  <c r="I2519" i="116"/>
  <c r="H2519" i="116"/>
  <c r="G2519" i="116"/>
  <c r="F2519" i="116"/>
  <c r="E2519" i="116"/>
  <c r="D2519" i="116"/>
  <c r="C2519" i="116"/>
  <c r="B2519" i="116"/>
  <c r="K2518" i="116"/>
  <c r="J2518" i="116"/>
  <c r="I2518" i="116"/>
  <c r="H2518" i="116"/>
  <c r="G2518" i="116"/>
  <c r="F2518" i="116"/>
  <c r="E2518" i="116"/>
  <c r="D2518" i="116"/>
  <c r="C2518" i="116"/>
  <c r="B2518" i="116"/>
  <c r="K2517" i="116"/>
  <c r="J2517" i="116"/>
  <c r="I2517" i="116"/>
  <c r="H2517" i="116"/>
  <c r="G2517" i="116"/>
  <c r="F2517" i="116"/>
  <c r="E2517" i="116"/>
  <c r="D2517" i="116"/>
  <c r="C2517" i="116"/>
  <c r="B2517" i="116"/>
  <c r="K2516" i="116"/>
  <c r="J2516" i="116"/>
  <c r="I2516" i="116"/>
  <c r="H2516" i="116"/>
  <c r="G2516" i="116"/>
  <c r="F2516" i="116"/>
  <c r="E2516" i="116"/>
  <c r="D2516" i="116"/>
  <c r="C2516" i="116"/>
  <c r="B2516" i="116"/>
  <c r="K2515" i="116"/>
  <c r="J2515" i="116"/>
  <c r="I2515" i="116"/>
  <c r="H2515" i="116"/>
  <c r="G2515" i="116"/>
  <c r="F2515" i="116"/>
  <c r="E2515" i="116"/>
  <c r="D2515" i="116"/>
  <c r="C2515" i="116"/>
  <c r="B2515" i="116"/>
  <c r="K2514" i="116"/>
  <c r="J2514" i="116"/>
  <c r="I2514" i="116"/>
  <c r="H2514" i="116"/>
  <c r="G2514" i="116"/>
  <c r="F2514" i="116"/>
  <c r="E2514" i="116"/>
  <c r="D2514" i="116"/>
  <c r="C2514" i="116"/>
  <c r="B2514" i="116"/>
  <c r="K2513" i="116"/>
  <c r="J2513" i="116"/>
  <c r="I2513" i="116"/>
  <c r="H2513" i="116"/>
  <c r="G2513" i="116"/>
  <c r="F2513" i="116"/>
  <c r="E2513" i="116"/>
  <c r="D2513" i="116"/>
  <c r="C2513" i="116"/>
  <c r="B2513" i="116"/>
  <c r="K2512" i="116"/>
  <c r="J2512" i="116"/>
  <c r="I2512" i="116"/>
  <c r="H2512" i="116"/>
  <c r="G2512" i="116"/>
  <c r="F2512" i="116"/>
  <c r="E2512" i="116"/>
  <c r="D2512" i="116"/>
  <c r="C2512" i="116"/>
  <c r="B2512" i="116"/>
  <c r="K2511" i="116"/>
  <c r="J2511" i="116"/>
  <c r="I2511" i="116"/>
  <c r="H2511" i="116"/>
  <c r="G2511" i="116"/>
  <c r="F2511" i="116"/>
  <c r="E2511" i="116"/>
  <c r="D2511" i="116"/>
  <c r="C2511" i="116"/>
  <c r="B2511" i="116"/>
  <c r="K2510" i="116"/>
  <c r="J2510" i="116"/>
  <c r="I2510" i="116"/>
  <c r="H2510" i="116"/>
  <c r="G2510" i="116"/>
  <c r="F2510" i="116"/>
  <c r="E2510" i="116"/>
  <c r="D2510" i="116"/>
  <c r="C2510" i="116"/>
  <c r="B2510" i="116"/>
  <c r="K2509" i="116"/>
  <c r="J2509" i="116"/>
  <c r="I2509" i="116"/>
  <c r="H2509" i="116"/>
  <c r="G2509" i="116"/>
  <c r="F2509" i="116"/>
  <c r="E2509" i="116"/>
  <c r="D2509" i="116"/>
  <c r="C2509" i="116"/>
  <c r="B2509" i="116"/>
  <c r="K2508" i="116"/>
  <c r="J2508" i="116"/>
  <c r="I2508" i="116"/>
  <c r="H2508" i="116"/>
  <c r="G2508" i="116"/>
  <c r="F2508" i="116"/>
  <c r="E2508" i="116"/>
  <c r="D2508" i="116"/>
  <c r="C2508" i="116"/>
  <c r="B2508" i="116"/>
  <c r="K2507" i="116"/>
  <c r="J2507" i="116"/>
  <c r="I2507" i="116"/>
  <c r="H2507" i="116"/>
  <c r="G2507" i="116"/>
  <c r="F2507" i="116"/>
  <c r="E2507" i="116"/>
  <c r="D2507" i="116"/>
  <c r="C2507" i="116"/>
  <c r="B2507" i="116"/>
  <c r="K2506" i="116"/>
  <c r="J2506" i="116"/>
  <c r="I2506" i="116"/>
  <c r="H2506" i="116"/>
  <c r="G2506" i="116"/>
  <c r="F2506" i="116"/>
  <c r="E2506" i="116"/>
  <c r="D2506" i="116"/>
  <c r="C2506" i="116"/>
  <c r="B2506" i="116"/>
  <c r="K2505" i="116"/>
  <c r="J2505" i="116"/>
  <c r="I2505" i="116"/>
  <c r="H2505" i="116"/>
  <c r="G2505" i="116"/>
  <c r="F2505" i="116"/>
  <c r="E2505" i="116"/>
  <c r="D2505" i="116"/>
  <c r="C2505" i="116"/>
  <c r="B2505" i="116"/>
  <c r="K2504" i="116"/>
  <c r="J2504" i="116"/>
  <c r="I2504" i="116"/>
  <c r="H2504" i="116"/>
  <c r="G2504" i="116"/>
  <c r="F2504" i="116"/>
  <c r="E2504" i="116"/>
  <c r="D2504" i="116"/>
  <c r="C2504" i="116"/>
  <c r="B2504" i="116"/>
  <c r="K2503" i="116"/>
  <c r="J2503" i="116"/>
  <c r="I2503" i="116"/>
  <c r="H2503" i="116"/>
  <c r="G2503" i="116"/>
  <c r="F2503" i="116"/>
  <c r="E2503" i="116"/>
  <c r="D2503" i="116"/>
  <c r="C2503" i="116"/>
  <c r="B2503" i="116"/>
  <c r="K2502" i="116"/>
  <c r="J2502" i="116"/>
  <c r="I2502" i="116"/>
  <c r="H2502" i="116"/>
  <c r="G2502" i="116"/>
  <c r="F2502" i="116"/>
  <c r="E2502" i="116"/>
  <c r="D2502" i="116"/>
  <c r="C2502" i="116"/>
  <c r="B2502" i="116"/>
  <c r="K2501" i="116"/>
  <c r="J2501" i="116"/>
  <c r="I2501" i="116"/>
  <c r="H2501" i="116"/>
  <c r="G2501" i="116"/>
  <c r="F2501" i="116"/>
  <c r="E2501" i="116"/>
  <c r="D2501" i="116"/>
  <c r="C2501" i="116"/>
  <c r="B2501" i="116"/>
  <c r="K2500" i="116"/>
  <c r="J2500" i="116"/>
  <c r="I2500" i="116"/>
  <c r="H2500" i="116"/>
  <c r="G2500" i="116"/>
  <c r="F2500" i="116"/>
  <c r="E2500" i="116"/>
  <c r="D2500" i="116"/>
  <c r="C2500" i="116"/>
  <c r="B2500" i="116"/>
  <c r="K2499" i="116"/>
  <c r="J2499" i="116"/>
  <c r="I2499" i="116"/>
  <c r="H2499" i="116"/>
  <c r="G2499" i="116"/>
  <c r="F2499" i="116"/>
  <c r="E2499" i="116"/>
  <c r="D2499" i="116"/>
  <c r="C2499" i="116"/>
  <c r="B2499" i="116"/>
  <c r="K2498" i="116"/>
  <c r="J2498" i="116"/>
  <c r="I2498" i="116"/>
  <c r="H2498" i="116"/>
  <c r="G2498" i="116"/>
  <c r="F2498" i="116"/>
  <c r="E2498" i="116"/>
  <c r="D2498" i="116"/>
  <c r="C2498" i="116"/>
  <c r="B2498" i="116"/>
  <c r="K2497" i="116"/>
  <c r="J2497" i="116"/>
  <c r="I2497" i="116"/>
  <c r="H2497" i="116"/>
  <c r="G2497" i="116"/>
  <c r="F2497" i="116"/>
  <c r="E2497" i="116"/>
  <c r="D2497" i="116"/>
  <c r="C2497" i="116"/>
  <c r="B2497" i="116"/>
  <c r="K2496" i="116"/>
  <c r="J2496" i="116"/>
  <c r="I2496" i="116"/>
  <c r="H2496" i="116"/>
  <c r="G2496" i="116"/>
  <c r="F2496" i="116"/>
  <c r="E2496" i="116"/>
  <c r="D2496" i="116"/>
  <c r="C2496" i="116"/>
  <c r="B2496" i="116"/>
  <c r="K2495" i="116"/>
  <c r="J2495" i="116"/>
  <c r="I2495" i="116"/>
  <c r="H2495" i="116"/>
  <c r="G2495" i="116"/>
  <c r="F2495" i="116"/>
  <c r="E2495" i="116"/>
  <c r="D2495" i="116"/>
  <c r="C2495" i="116"/>
  <c r="B2495" i="116"/>
  <c r="K2494" i="116"/>
  <c r="J2494" i="116"/>
  <c r="I2494" i="116"/>
  <c r="H2494" i="116"/>
  <c r="G2494" i="116"/>
  <c r="F2494" i="116"/>
  <c r="E2494" i="116"/>
  <c r="D2494" i="116"/>
  <c r="C2494" i="116"/>
  <c r="B2494" i="116"/>
  <c r="K2493" i="116"/>
  <c r="J2493" i="116"/>
  <c r="I2493" i="116"/>
  <c r="H2493" i="116"/>
  <c r="G2493" i="116"/>
  <c r="F2493" i="116"/>
  <c r="E2493" i="116"/>
  <c r="D2493" i="116"/>
  <c r="C2493" i="116"/>
  <c r="B2493" i="116"/>
  <c r="K2492" i="116"/>
  <c r="J2492" i="116"/>
  <c r="I2492" i="116"/>
  <c r="H2492" i="116"/>
  <c r="G2492" i="116"/>
  <c r="F2492" i="116"/>
  <c r="E2492" i="116"/>
  <c r="D2492" i="116"/>
  <c r="C2492" i="116"/>
  <c r="B2492" i="116"/>
  <c r="K2491" i="116"/>
  <c r="J2491" i="116"/>
  <c r="I2491" i="116"/>
  <c r="H2491" i="116"/>
  <c r="G2491" i="116"/>
  <c r="F2491" i="116"/>
  <c r="E2491" i="116"/>
  <c r="D2491" i="116"/>
  <c r="C2491" i="116"/>
  <c r="B2491" i="116"/>
  <c r="K2490" i="116"/>
  <c r="J2490" i="116"/>
  <c r="I2490" i="116"/>
  <c r="H2490" i="116"/>
  <c r="G2490" i="116"/>
  <c r="F2490" i="116"/>
  <c r="E2490" i="116"/>
  <c r="D2490" i="116"/>
  <c r="C2490" i="116"/>
  <c r="B2490" i="116"/>
  <c r="K2489" i="116"/>
  <c r="J2489" i="116"/>
  <c r="I2489" i="116"/>
  <c r="H2489" i="116"/>
  <c r="G2489" i="116"/>
  <c r="F2489" i="116"/>
  <c r="E2489" i="116"/>
  <c r="D2489" i="116"/>
  <c r="C2489" i="116"/>
  <c r="B2489" i="116"/>
  <c r="K2488" i="116"/>
  <c r="J2488" i="116"/>
  <c r="I2488" i="116"/>
  <c r="H2488" i="116"/>
  <c r="G2488" i="116"/>
  <c r="F2488" i="116"/>
  <c r="E2488" i="116"/>
  <c r="D2488" i="116"/>
  <c r="C2488" i="116"/>
  <c r="B2488" i="116"/>
  <c r="K2487" i="116"/>
  <c r="J2487" i="116"/>
  <c r="I2487" i="116"/>
  <c r="H2487" i="116"/>
  <c r="G2487" i="116"/>
  <c r="F2487" i="116"/>
  <c r="E2487" i="116"/>
  <c r="D2487" i="116"/>
  <c r="C2487" i="116"/>
  <c r="B2487" i="116"/>
  <c r="K2486" i="116"/>
  <c r="J2486" i="116"/>
  <c r="I2486" i="116"/>
  <c r="H2486" i="116"/>
  <c r="G2486" i="116"/>
  <c r="F2486" i="116"/>
  <c r="E2486" i="116"/>
  <c r="D2486" i="116"/>
  <c r="C2486" i="116"/>
  <c r="B2486" i="116"/>
  <c r="K2485" i="116"/>
  <c r="J2485" i="116"/>
  <c r="I2485" i="116"/>
  <c r="H2485" i="116"/>
  <c r="G2485" i="116"/>
  <c r="F2485" i="116"/>
  <c r="E2485" i="116"/>
  <c r="D2485" i="116"/>
  <c r="C2485" i="116"/>
  <c r="B2485" i="116"/>
  <c r="K2484" i="116"/>
  <c r="J2484" i="116"/>
  <c r="I2484" i="116"/>
  <c r="H2484" i="116"/>
  <c r="G2484" i="116"/>
  <c r="F2484" i="116"/>
  <c r="E2484" i="116"/>
  <c r="D2484" i="116"/>
  <c r="C2484" i="116"/>
  <c r="B2484" i="116"/>
  <c r="K2483" i="116"/>
  <c r="J2483" i="116"/>
  <c r="I2483" i="116"/>
  <c r="H2483" i="116"/>
  <c r="G2483" i="116"/>
  <c r="F2483" i="116"/>
  <c r="E2483" i="116"/>
  <c r="D2483" i="116"/>
  <c r="C2483" i="116"/>
  <c r="B2483" i="116"/>
  <c r="K2482" i="116"/>
  <c r="J2482" i="116"/>
  <c r="I2482" i="116"/>
  <c r="H2482" i="116"/>
  <c r="G2482" i="116"/>
  <c r="F2482" i="116"/>
  <c r="E2482" i="116"/>
  <c r="D2482" i="116"/>
  <c r="C2482" i="116"/>
  <c r="B2482" i="116"/>
  <c r="K2481" i="116"/>
  <c r="J2481" i="116"/>
  <c r="I2481" i="116"/>
  <c r="H2481" i="116"/>
  <c r="G2481" i="116"/>
  <c r="F2481" i="116"/>
  <c r="E2481" i="116"/>
  <c r="D2481" i="116"/>
  <c r="C2481" i="116"/>
  <c r="B2481" i="116"/>
  <c r="K2480" i="116"/>
  <c r="J2480" i="116"/>
  <c r="I2480" i="116"/>
  <c r="H2480" i="116"/>
  <c r="G2480" i="116"/>
  <c r="F2480" i="116"/>
  <c r="E2480" i="116"/>
  <c r="D2480" i="116"/>
  <c r="C2480" i="116"/>
  <c r="B2480" i="116"/>
  <c r="K2479" i="116"/>
  <c r="J2479" i="116"/>
  <c r="I2479" i="116"/>
  <c r="H2479" i="116"/>
  <c r="G2479" i="116"/>
  <c r="F2479" i="116"/>
  <c r="E2479" i="116"/>
  <c r="D2479" i="116"/>
  <c r="C2479" i="116"/>
  <c r="B2479" i="116"/>
  <c r="K2478" i="116"/>
  <c r="J2478" i="116"/>
  <c r="I2478" i="116"/>
  <c r="H2478" i="116"/>
  <c r="G2478" i="116"/>
  <c r="F2478" i="116"/>
  <c r="E2478" i="116"/>
  <c r="D2478" i="116"/>
  <c r="C2478" i="116"/>
  <c r="B2478" i="116"/>
  <c r="K2477" i="116"/>
  <c r="J2477" i="116"/>
  <c r="I2477" i="116"/>
  <c r="H2477" i="116"/>
  <c r="G2477" i="116"/>
  <c r="F2477" i="116"/>
  <c r="E2477" i="116"/>
  <c r="D2477" i="116"/>
  <c r="C2477" i="116"/>
  <c r="B2477" i="116"/>
  <c r="K2476" i="116"/>
  <c r="J2476" i="116"/>
  <c r="I2476" i="116"/>
  <c r="H2476" i="116"/>
  <c r="G2476" i="116"/>
  <c r="F2476" i="116"/>
  <c r="E2476" i="116"/>
  <c r="D2476" i="116"/>
  <c r="C2476" i="116"/>
  <c r="B2476" i="116"/>
  <c r="K2475" i="116"/>
  <c r="J2475" i="116"/>
  <c r="I2475" i="116"/>
  <c r="H2475" i="116"/>
  <c r="G2475" i="116"/>
  <c r="F2475" i="116"/>
  <c r="E2475" i="116"/>
  <c r="D2475" i="116"/>
  <c r="C2475" i="116"/>
  <c r="B2475" i="116"/>
  <c r="K2474" i="116"/>
  <c r="J2474" i="116"/>
  <c r="I2474" i="116"/>
  <c r="H2474" i="116"/>
  <c r="G2474" i="116"/>
  <c r="F2474" i="116"/>
  <c r="E2474" i="116"/>
  <c r="D2474" i="116"/>
  <c r="C2474" i="116"/>
  <c r="B2474" i="116"/>
  <c r="K2473" i="116"/>
  <c r="J2473" i="116"/>
  <c r="I2473" i="116"/>
  <c r="H2473" i="116"/>
  <c r="G2473" i="116"/>
  <c r="F2473" i="116"/>
  <c r="E2473" i="116"/>
  <c r="D2473" i="116"/>
  <c r="C2473" i="116"/>
  <c r="B2473" i="116"/>
  <c r="K2472" i="116"/>
  <c r="J2472" i="116"/>
  <c r="I2472" i="116"/>
  <c r="H2472" i="116"/>
  <c r="G2472" i="116"/>
  <c r="F2472" i="116"/>
  <c r="E2472" i="116"/>
  <c r="D2472" i="116"/>
  <c r="C2472" i="116"/>
  <c r="B2472" i="116"/>
  <c r="K2471" i="116"/>
  <c r="J2471" i="116"/>
  <c r="I2471" i="116"/>
  <c r="H2471" i="116"/>
  <c r="G2471" i="116"/>
  <c r="F2471" i="116"/>
  <c r="E2471" i="116"/>
  <c r="D2471" i="116"/>
  <c r="C2471" i="116"/>
  <c r="B2471" i="116"/>
  <c r="K2470" i="116"/>
  <c r="J2470" i="116"/>
  <c r="I2470" i="116"/>
  <c r="H2470" i="116"/>
  <c r="G2470" i="116"/>
  <c r="F2470" i="116"/>
  <c r="E2470" i="116"/>
  <c r="D2470" i="116"/>
  <c r="C2470" i="116"/>
  <c r="B2470" i="116"/>
  <c r="K2469" i="116"/>
  <c r="J2469" i="116"/>
  <c r="I2469" i="116"/>
  <c r="H2469" i="116"/>
  <c r="G2469" i="116"/>
  <c r="F2469" i="116"/>
  <c r="E2469" i="116"/>
  <c r="D2469" i="116"/>
  <c r="C2469" i="116"/>
  <c r="B2469" i="116"/>
  <c r="K2468" i="116"/>
  <c r="J2468" i="116"/>
  <c r="I2468" i="116"/>
  <c r="H2468" i="116"/>
  <c r="G2468" i="116"/>
  <c r="F2468" i="116"/>
  <c r="E2468" i="116"/>
  <c r="D2468" i="116"/>
  <c r="C2468" i="116"/>
  <c r="B2468" i="116"/>
  <c r="K2467" i="116"/>
  <c r="J2467" i="116"/>
  <c r="I2467" i="116"/>
  <c r="H2467" i="116"/>
  <c r="G2467" i="116"/>
  <c r="F2467" i="116"/>
  <c r="E2467" i="116"/>
  <c r="D2467" i="116"/>
  <c r="C2467" i="116"/>
  <c r="B2467" i="116"/>
  <c r="K2466" i="116"/>
  <c r="J2466" i="116"/>
  <c r="I2466" i="116"/>
  <c r="H2466" i="116"/>
  <c r="G2466" i="116"/>
  <c r="F2466" i="116"/>
  <c r="E2466" i="116"/>
  <c r="D2466" i="116"/>
  <c r="C2466" i="116"/>
  <c r="B2466" i="116"/>
  <c r="K2465" i="116"/>
  <c r="J2465" i="116"/>
  <c r="I2465" i="116"/>
  <c r="H2465" i="116"/>
  <c r="G2465" i="116"/>
  <c r="F2465" i="116"/>
  <c r="E2465" i="116"/>
  <c r="D2465" i="116"/>
  <c r="C2465" i="116"/>
  <c r="B2465" i="116"/>
  <c r="K2464" i="116"/>
  <c r="J2464" i="116"/>
  <c r="I2464" i="116"/>
  <c r="H2464" i="116"/>
  <c r="G2464" i="116"/>
  <c r="F2464" i="116"/>
  <c r="E2464" i="116"/>
  <c r="D2464" i="116"/>
  <c r="C2464" i="116"/>
  <c r="B2464" i="116"/>
  <c r="K2463" i="116"/>
  <c r="J2463" i="116"/>
  <c r="I2463" i="116"/>
  <c r="H2463" i="116"/>
  <c r="G2463" i="116"/>
  <c r="F2463" i="116"/>
  <c r="E2463" i="116"/>
  <c r="D2463" i="116"/>
  <c r="C2463" i="116"/>
  <c r="B2463" i="116"/>
  <c r="K2462" i="116"/>
  <c r="J2462" i="116"/>
  <c r="I2462" i="116"/>
  <c r="H2462" i="116"/>
  <c r="G2462" i="116"/>
  <c r="F2462" i="116"/>
  <c r="E2462" i="116"/>
  <c r="D2462" i="116"/>
  <c r="C2462" i="116"/>
  <c r="B2462" i="116"/>
  <c r="K2461" i="116"/>
  <c r="J2461" i="116"/>
  <c r="I2461" i="116"/>
  <c r="H2461" i="116"/>
  <c r="G2461" i="116"/>
  <c r="F2461" i="116"/>
  <c r="E2461" i="116"/>
  <c r="D2461" i="116"/>
  <c r="C2461" i="116"/>
  <c r="B2461" i="116"/>
  <c r="K2460" i="116"/>
  <c r="J2460" i="116"/>
  <c r="I2460" i="116"/>
  <c r="H2460" i="116"/>
  <c r="G2460" i="116"/>
  <c r="F2460" i="116"/>
  <c r="E2460" i="116"/>
  <c r="D2460" i="116"/>
  <c r="C2460" i="116"/>
  <c r="B2460" i="116"/>
  <c r="K2459" i="116"/>
  <c r="J2459" i="116"/>
  <c r="I2459" i="116"/>
  <c r="H2459" i="116"/>
  <c r="G2459" i="116"/>
  <c r="F2459" i="116"/>
  <c r="E2459" i="116"/>
  <c r="D2459" i="116"/>
  <c r="C2459" i="116"/>
  <c r="B2459" i="116"/>
  <c r="K2458" i="116"/>
  <c r="J2458" i="116"/>
  <c r="I2458" i="116"/>
  <c r="H2458" i="116"/>
  <c r="G2458" i="116"/>
  <c r="F2458" i="116"/>
  <c r="E2458" i="116"/>
  <c r="D2458" i="116"/>
  <c r="C2458" i="116"/>
  <c r="B2458" i="116"/>
  <c r="K2457" i="116"/>
  <c r="J2457" i="116"/>
  <c r="I2457" i="116"/>
  <c r="H2457" i="116"/>
  <c r="G2457" i="116"/>
  <c r="F2457" i="116"/>
  <c r="E2457" i="116"/>
  <c r="D2457" i="116"/>
  <c r="C2457" i="116"/>
  <c r="B2457" i="116"/>
  <c r="K2456" i="116"/>
  <c r="J2456" i="116"/>
  <c r="I2456" i="116"/>
  <c r="H2456" i="116"/>
  <c r="G2456" i="116"/>
  <c r="F2456" i="116"/>
  <c r="E2456" i="116"/>
  <c r="D2456" i="116"/>
  <c r="C2456" i="116"/>
  <c r="B2456" i="116"/>
  <c r="K2455" i="116"/>
  <c r="J2455" i="116"/>
  <c r="I2455" i="116"/>
  <c r="H2455" i="116"/>
  <c r="G2455" i="116"/>
  <c r="F2455" i="116"/>
  <c r="E2455" i="116"/>
  <c r="D2455" i="116"/>
  <c r="C2455" i="116"/>
  <c r="B2455" i="116"/>
  <c r="K2454" i="116"/>
  <c r="J2454" i="116"/>
  <c r="I2454" i="116"/>
  <c r="H2454" i="116"/>
  <c r="G2454" i="116"/>
  <c r="F2454" i="116"/>
  <c r="E2454" i="116"/>
  <c r="D2454" i="116"/>
  <c r="C2454" i="116"/>
  <c r="B2454" i="116"/>
  <c r="K2453" i="116"/>
  <c r="J2453" i="116"/>
  <c r="I2453" i="116"/>
  <c r="H2453" i="116"/>
  <c r="G2453" i="116"/>
  <c r="F2453" i="116"/>
  <c r="E2453" i="116"/>
  <c r="D2453" i="116"/>
  <c r="C2453" i="116"/>
  <c r="B2453" i="116"/>
  <c r="K2452" i="116"/>
  <c r="J2452" i="116"/>
  <c r="I2452" i="116"/>
  <c r="H2452" i="116"/>
  <c r="G2452" i="116"/>
  <c r="F2452" i="116"/>
  <c r="E2452" i="116"/>
  <c r="D2452" i="116"/>
  <c r="C2452" i="116"/>
  <c r="B2452" i="116"/>
  <c r="K2451" i="116"/>
  <c r="J2451" i="116"/>
  <c r="I2451" i="116"/>
  <c r="H2451" i="116"/>
  <c r="G2451" i="116"/>
  <c r="F2451" i="116"/>
  <c r="E2451" i="116"/>
  <c r="D2451" i="116"/>
  <c r="C2451" i="116"/>
  <c r="B2451" i="116"/>
  <c r="K2450" i="116"/>
  <c r="J2450" i="116"/>
  <c r="I2450" i="116"/>
  <c r="H2450" i="116"/>
  <c r="G2450" i="116"/>
  <c r="F2450" i="116"/>
  <c r="E2450" i="116"/>
  <c r="D2450" i="116"/>
  <c r="C2450" i="116"/>
  <c r="B2450" i="116"/>
  <c r="K2449" i="116"/>
  <c r="J2449" i="116"/>
  <c r="I2449" i="116"/>
  <c r="H2449" i="116"/>
  <c r="G2449" i="116"/>
  <c r="F2449" i="116"/>
  <c r="E2449" i="116"/>
  <c r="D2449" i="116"/>
  <c r="C2449" i="116"/>
  <c r="B2449" i="116"/>
  <c r="K2448" i="116"/>
  <c r="J2448" i="116"/>
  <c r="I2448" i="116"/>
  <c r="H2448" i="116"/>
  <c r="G2448" i="116"/>
  <c r="F2448" i="116"/>
  <c r="E2448" i="116"/>
  <c r="D2448" i="116"/>
  <c r="C2448" i="116"/>
  <c r="B2448" i="116"/>
  <c r="K2447" i="116"/>
  <c r="J2447" i="116"/>
  <c r="I2447" i="116"/>
  <c r="H2447" i="116"/>
  <c r="G2447" i="116"/>
  <c r="F2447" i="116"/>
  <c r="E2447" i="116"/>
  <c r="D2447" i="116"/>
  <c r="C2447" i="116"/>
  <c r="B2447" i="116"/>
  <c r="K2446" i="116"/>
  <c r="J2446" i="116"/>
  <c r="I2446" i="116"/>
  <c r="H2446" i="116"/>
  <c r="G2446" i="116"/>
  <c r="F2446" i="116"/>
  <c r="E2446" i="116"/>
  <c r="D2446" i="116"/>
  <c r="C2446" i="116"/>
  <c r="B2446" i="116"/>
  <c r="K2445" i="116"/>
  <c r="J2445" i="116"/>
  <c r="I2445" i="116"/>
  <c r="H2445" i="116"/>
  <c r="G2445" i="116"/>
  <c r="F2445" i="116"/>
  <c r="E2445" i="116"/>
  <c r="D2445" i="116"/>
  <c r="C2445" i="116"/>
  <c r="B2445" i="116"/>
  <c r="K2444" i="116"/>
  <c r="J2444" i="116"/>
  <c r="I2444" i="116"/>
  <c r="H2444" i="116"/>
  <c r="G2444" i="116"/>
  <c r="F2444" i="116"/>
  <c r="E2444" i="116"/>
  <c r="D2444" i="116"/>
  <c r="C2444" i="116"/>
  <c r="B2444" i="116"/>
  <c r="K2443" i="116"/>
  <c r="J2443" i="116"/>
  <c r="I2443" i="116"/>
  <c r="H2443" i="116"/>
  <c r="G2443" i="116"/>
  <c r="F2443" i="116"/>
  <c r="E2443" i="116"/>
  <c r="D2443" i="116"/>
  <c r="C2443" i="116"/>
  <c r="B2443" i="116"/>
  <c r="K2442" i="116"/>
  <c r="J2442" i="116"/>
  <c r="I2442" i="116"/>
  <c r="H2442" i="116"/>
  <c r="G2442" i="116"/>
  <c r="F2442" i="116"/>
  <c r="E2442" i="116"/>
  <c r="D2442" i="116"/>
  <c r="C2442" i="116"/>
  <c r="B2442" i="116"/>
  <c r="K2441" i="116"/>
  <c r="J2441" i="116"/>
  <c r="I2441" i="116"/>
  <c r="H2441" i="116"/>
  <c r="G2441" i="116"/>
  <c r="F2441" i="116"/>
  <c r="E2441" i="116"/>
  <c r="D2441" i="116"/>
  <c r="C2441" i="116"/>
  <c r="B2441" i="116"/>
  <c r="K2440" i="116"/>
  <c r="J2440" i="116"/>
  <c r="I2440" i="116"/>
  <c r="H2440" i="116"/>
  <c r="G2440" i="116"/>
  <c r="F2440" i="116"/>
  <c r="E2440" i="116"/>
  <c r="D2440" i="116"/>
  <c r="C2440" i="116"/>
  <c r="B2440" i="116"/>
  <c r="K2439" i="116"/>
  <c r="J2439" i="116"/>
  <c r="I2439" i="116"/>
  <c r="H2439" i="116"/>
  <c r="G2439" i="116"/>
  <c r="F2439" i="116"/>
  <c r="E2439" i="116"/>
  <c r="D2439" i="116"/>
  <c r="C2439" i="116"/>
  <c r="B2439" i="116"/>
  <c r="K2438" i="116"/>
  <c r="J2438" i="116"/>
  <c r="I2438" i="116"/>
  <c r="H2438" i="116"/>
  <c r="G2438" i="116"/>
  <c r="F2438" i="116"/>
  <c r="E2438" i="116"/>
  <c r="D2438" i="116"/>
  <c r="C2438" i="116"/>
  <c r="B2438" i="116"/>
  <c r="K2437" i="116"/>
  <c r="J2437" i="116"/>
  <c r="I2437" i="116"/>
  <c r="H2437" i="116"/>
  <c r="G2437" i="116"/>
  <c r="F2437" i="116"/>
  <c r="E2437" i="116"/>
  <c r="D2437" i="116"/>
  <c r="C2437" i="116"/>
  <c r="B2437" i="116"/>
  <c r="K2436" i="116"/>
  <c r="J2436" i="116"/>
  <c r="I2436" i="116"/>
  <c r="H2436" i="116"/>
  <c r="G2436" i="116"/>
  <c r="F2436" i="116"/>
  <c r="E2436" i="116"/>
  <c r="D2436" i="116"/>
  <c r="C2436" i="116"/>
  <c r="B2436" i="116"/>
  <c r="K2435" i="116"/>
  <c r="J2435" i="116"/>
  <c r="I2435" i="116"/>
  <c r="H2435" i="116"/>
  <c r="G2435" i="116"/>
  <c r="F2435" i="116"/>
  <c r="E2435" i="116"/>
  <c r="D2435" i="116"/>
  <c r="C2435" i="116"/>
  <c r="B2435" i="116"/>
  <c r="K2434" i="116"/>
  <c r="J2434" i="116"/>
  <c r="I2434" i="116"/>
  <c r="H2434" i="116"/>
  <c r="G2434" i="116"/>
  <c r="F2434" i="116"/>
  <c r="E2434" i="116"/>
  <c r="D2434" i="116"/>
  <c r="C2434" i="116"/>
  <c r="B2434" i="116"/>
  <c r="K2433" i="116"/>
  <c r="J2433" i="116"/>
  <c r="I2433" i="116"/>
  <c r="H2433" i="116"/>
  <c r="G2433" i="116"/>
  <c r="F2433" i="116"/>
  <c r="E2433" i="116"/>
  <c r="D2433" i="116"/>
  <c r="C2433" i="116"/>
  <c r="B2433" i="116"/>
  <c r="K2432" i="116"/>
  <c r="J2432" i="116"/>
  <c r="I2432" i="116"/>
  <c r="H2432" i="116"/>
  <c r="G2432" i="116"/>
  <c r="F2432" i="116"/>
  <c r="E2432" i="116"/>
  <c r="D2432" i="116"/>
  <c r="C2432" i="116"/>
  <c r="B2432" i="116"/>
  <c r="K2431" i="116"/>
  <c r="J2431" i="116"/>
  <c r="I2431" i="116"/>
  <c r="H2431" i="116"/>
  <c r="G2431" i="116"/>
  <c r="F2431" i="116"/>
  <c r="E2431" i="116"/>
  <c r="D2431" i="116"/>
  <c r="C2431" i="116"/>
  <c r="B2431" i="116"/>
  <c r="K2430" i="116"/>
  <c r="J2430" i="116"/>
  <c r="I2430" i="116"/>
  <c r="H2430" i="116"/>
  <c r="G2430" i="116"/>
  <c r="F2430" i="116"/>
  <c r="E2430" i="116"/>
  <c r="D2430" i="116"/>
  <c r="C2430" i="116"/>
  <c r="B2430" i="116"/>
  <c r="K2429" i="116"/>
  <c r="J2429" i="116"/>
  <c r="I2429" i="116"/>
  <c r="H2429" i="116"/>
  <c r="G2429" i="116"/>
  <c r="F2429" i="116"/>
  <c r="E2429" i="116"/>
  <c r="D2429" i="116"/>
  <c r="C2429" i="116"/>
  <c r="B2429" i="116"/>
  <c r="K2428" i="116"/>
  <c r="J2428" i="116"/>
  <c r="I2428" i="116"/>
  <c r="H2428" i="116"/>
  <c r="G2428" i="116"/>
  <c r="F2428" i="116"/>
  <c r="E2428" i="116"/>
  <c r="D2428" i="116"/>
  <c r="C2428" i="116"/>
  <c r="B2428" i="116"/>
  <c r="K2427" i="116"/>
  <c r="J2427" i="116"/>
  <c r="I2427" i="116"/>
  <c r="H2427" i="116"/>
  <c r="G2427" i="116"/>
  <c r="F2427" i="116"/>
  <c r="E2427" i="116"/>
  <c r="D2427" i="116"/>
  <c r="C2427" i="116"/>
  <c r="B2427" i="116"/>
  <c r="K2426" i="116"/>
  <c r="J2426" i="116"/>
  <c r="I2426" i="116"/>
  <c r="H2426" i="116"/>
  <c r="G2426" i="116"/>
  <c r="F2426" i="116"/>
  <c r="E2426" i="116"/>
  <c r="D2426" i="116"/>
  <c r="C2426" i="116"/>
  <c r="B2426" i="116"/>
  <c r="K2425" i="116"/>
  <c r="J2425" i="116"/>
  <c r="I2425" i="116"/>
  <c r="H2425" i="116"/>
  <c r="G2425" i="116"/>
  <c r="F2425" i="116"/>
  <c r="E2425" i="116"/>
  <c r="D2425" i="116"/>
  <c r="C2425" i="116"/>
  <c r="B2425" i="116"/>
  <c r="K2424" i="116"/>
  <c r="J2424" i="116"/>
  <c r="I2424" i="116"/>
  <c r="H2424" i="116"/>
  <c r="G2424" i="116"/>
  <c r="F2424" i="116"/>
  <c r="E2424" i="116"/>
  <c r="D2424" i="116"/>
  <c r="C2424" i="116"/>
  <c r="B2424" i="116"/>
  <c r="K2423" i="116"/>
  <c r="J2423" i="116"/>
  <c r="I2423" i="116"/>
  <c r="H2423" i="116"/>
  <c r="G2423" i="116"/>
  <c r="F2423" i="116"/>
  <c r="E2423" i="116"/>
  <c r="D2423" i="116"/>
  <c r="C2423" i="116"/>
  <c r="B2423" i="116"/>
  <c r="K2422" i="116"/>
  <c r="J2422" i="116"/>
  <c r="I2422" i="116"/>
  <c r="H2422" i="116"/>
  <c r="G2422" i="116"/>
  <c r="F2422" i="116"/>
  <c r="E2422" i="116"/>
  <c r="D2422" i="116"/>
  <c r="C2422" i="116"/>
  <c r="B2422" i="116"/>
  <c r="K2421" i="116"/>
  <c r="J2421" i="116"/>
  <c r="I2421" i="116"/>
  <c r="H2421" i="116"/>
  <c r="G2421" i="116"/>
  <c r="F2421" i="116"/>
  <c r="E2421" i="116"/>
  <c r="D2421" i="116"/>
  <c r="C2421" i="116"/>
  <c r="B2421" i="116"/>
  <c r="K2420" i="116"/>
  <c r="J2420" i="116"/>
  <c r="I2420" i="116"/>
  <c r="H2420" i="116"/>
  <c r="G2420" i="116"/>
  <c r="F2420" i="116"/>
  <c r="E2420" i="116"/>
  <c r="D2420" i="116"/>
  <c r="C2420" i="116"/>
  <c r="B2420" i="116"/>
  <c r="K2419" i="116"/>
  <c r="J2419" i="116"/>
  <c r="I2419" i="116"/>
  <c r="H2419" i="116"/>
  <c r="G2419" i="116"/>
  <c r="F2419" i="116"/>
  <c r="E2419" i="116"/>
  <c r="D2419" i="116"/>
  <c r="C2419" i="116"/>
  <c r="B2419" i="116"/>
  <c r="K2418" i="116"/>
  <c r="J2418" i="116"/>
  <c r="I2418" i="116"/>
  <c r="H2418" i="116"/>
  <c r="G2418" i="116"/>
  <c r="F2418" i="116"/>
  <c r="E2418" i="116"/>
  <c r="D2418" i="116"/>
  <c r="C2418" i="116"/>
  <c r="B2418" i="116"/>
  <c r="K2417" i="116"/>
  <c r="J2417" i="116"/>
  <c r="I2417" i="116"/>
  <c r="H2417" i="116"/>
  <c r="G2417" i="116"/>
  <c r="F2417" i="116"/>
  <c r="E2417" i="116"/>
  <c r="D2417" i="116"/>
  <c r="C2417" i="116"/>
  <c r="B2417" i="116"/>
  <c r="K2416" i="116"/>
  <c r="J2416" i="116"/>
  <c r="I2416" i="116"/>
  <c r="H2416" i="116"/>
  <c r="G2416" i="116"/>
  <c r="F2416" i="116"/>
  <c r="E2416" i="116"/>
  <c r="D2416" i="116"/>
  <c r="C2416" i="116"/>
  <c r="B2416" i="116"/>
  <c r="K2415" i="116"/>
  <c r="J2415" i="116"/>
  <c r="I2415" i="116"/>
  <c r="H2415" i="116"/>
  <c r="G2415" i="116"/>
  <c r="F2415" i="116"/>
  <c r="E2415" i="116"/>
  <c r="D2415" i="116"/>
  <c r="C2415" i="116"/>
  <c r="B2415" i="116"/>
  <c r="K2414" i="116"/>
  <c r="J2414" i="116"/>
  <c r="I2414" i="116"/>
  <c r="H2414" i="116"/>
  <c r="G2414" i="116"/>
  <c r="F2414" i="116"/>
  <c r="E2414" i="116"/>
  <c r="D2414" i="116"/>
  <c r="C2414" i="116"/>
  <c r="B2414" i="116"/>
  <c r="K2413" i="116"/>
  <c r="J2413" i="116"/>
  <c r="I2413" i="116"/>
  <c r="H2413" i="116"/>
  <c r="G2413" i="116"/>
  <c r="F2413" i="116"/>
  <c r="E2413" i="116"/>
  <c r="D2413" i="116"/>
  <c r="C2413" i="116"/>
  <c r="B2413" i="116"/>
  <c r="K2412" i="116"/>
  <c r="J2412" i="116"/>
  <c r="I2412" i="116"/>
  <c r="H2412" i="116"/>
  <c r="G2412" i="116"/>
  <c r="F2412" i="116"/>
  <c r="E2412" i="116"/>
  <c r="D2412" i="116"/>
  <c r="C2412" i="116"/>
  <c r="B2412" i="116"/>
  <c r="K2411" i="116"/>
  <c r="J2411" i="116"/>
  <c r="I2411" i="116"/>
  <c r="H2411" i="116"/>
  <c r="G2411" i="116"/>
  <c r="F2411" i="116"/>
  <c r="E2411" i="116"/>
  <c r="D2411" i="116"/>
  <c r="C2411" i="116"/>
  <c r="B2411" i="116"/>
  <c r="K2410" i="116"/>
  <c r="J2410" i="116"/>
  <c r="I2410" i="116"/>
  <c r="H2410" i="116"/>
  <c r="G2410" i="116"/>
  <c r="F2410" i="116"/>
  <c r="E2410" i="116"/>
  <c r="D2410" i="116"/>
  <c r="C2410" i="116"/>
  <c r="B2410" i="116"/>
  <c r="K2409" i="116"/>
  <c r="J2409" i="116"/>
  <c r="I2409" i="116"/>
  <c r="H2409" i="116"/>
  <c r="G2409" i="116"/>
  <c r="F2409" i="116"/>
  <c r="E2409" i="116"/>
  <c r="D2409" i="116"/>
  <c r="C2409" i="116"/>
  <c r="B2409" i="116"/>
  <c r="K2408" i="116"/>
  <c r="J2408" i="116"/>
  <c r="I2408" i="116"/>
  <c r="H2408" i="116"/>
  <c r="G2408" i="116"/>
  <c r="F2408" i="116"/>
  <c r="E2408" i="116"/>
  <c r="D2408" i="116"/>
  <c r="C2408" i="116"/>
  <c r="B2408" i="116"/>
  <c r="K2407" i="116"/>
  <c r="J2407" i="116"/>
  <c r="I2407" i="116"/>
  <c r="H2407" i="116"/>
  <c r="G2407" i="116"/>
  <c r="F2407" i="116"/>
  <c r="E2407" i="116"/>
  <c r="D2407" i="116"/>
  <c r="C2407" i="116"/>
  <c r="B2407" i="116"/>
  <c r="K2406" i="116"/>
  <c r="J2406" i="116"/>
  <c r="I2406" i="116"/>
  <c r="H2406" i="116"/>
  <c r="G2406" i="116"/>
  <c r="F2406" i="116"/>
  <c r="E2406" i="116"/>
  <c r="D2406" i="116"/>
  <c r="C2406" i="116"/>
  <c r="B2406" i="116"/>
  <c r="K2405" i="116"/>
  <c r="J2405" i="116"/>
  <c r="I2405" i="116"/>
  <c r="H2405" i="116"/>
  <c r="G2405" i="116"/>
  <c r="F2405" i="116"/>
  <c r="E2405" i="116"/>
  <c r="D2405" i="116"/>
  <c r="C2405" i="116"/>
  <c r="B2405" i="116"/>
  <c r="K2404" i="116"/>
  <c r="J2404" i="116"/>
  <c r="I2404" i="116"/>
  <c r="H2404" i="116"/>
  <c r="G2404" i="116"/>
  <c r="F2404" i="116"/>
  <c r="E2404" i="116"/>
  <c r="D2404" i="116"/>
  <c r="C2404" i="116"/>
  <c r="B2404" i="116"/>
  <c r="K2403" i="116"/>
  <c r="J2403" i="116"/>
  <c r="I2403" i="116"/>
  <c r="H2403" i="116"/>
  <c r="G2403" i="116"/>
  <c r="F2403" i="116"/>
  <c r="E2403" i="116"/>
  <c r="D2403" i="116"/>
  <c r="C2403" i="116"/>
  <c r="B2403" i="116"/>
  <c r="K2402" i="116"/>
  <c r="J2402" i="116"/>
  <c r="I2402" i="116"/>
  <c r="H2402" i="116"/>
  <c r="G2402" i="116"/>
  <c r="F2402" i="116"/>
  <c r="E2402" i="116"/>
  <c r="D2402" i="116"/>
  <c r="C2402" i="116"/>
  <c r="B2402" i="116"/>
  <c r="K2401" i="116"/>
  <c r="J2401" i="116"/>
  <c r="I2401" i="116"/>
  <c r="H2401" i="116"/>
  <c r="G2401" i="116"/>
  <c r="F2401" i="116"/>
  <c r="E2401" i="116"/>
  <c r="D2401" i="116"/>
  <c r="C2401" i="116"/>
  <c r="B2401" i="116"/>
  <c r="K2400" i="116"/>
  <c r="J2400" i="116"/>
  <c r="I2400" i="116"/>
  <c r="H2400" i="116"/>
  <c r="G2400" i="116"/>
  <c r="F2400" i="116"/>
  <c r="E2400" i="116"/>
  <c r="D2400" i="116"/>
  <c r="C2400" i="116"/>
  <c r="B2400" i="116"/>
  <c r="K2399" i="116"/>
  <c r="J2399" i="116"/>
  <c r="I2399" i="116"/>
  <c r="H2399" i="116"/>
  <c r="G2399" i="116"/>
  <c r="F2399" i="116"/>
  <c r="E2399" i="116"/>
  <c r="D2399" i="116"/>
  <c r="C2399" i="116"/>
  <c r="B2399" i="116"/>
  <c r="K2398" i="116"/>
  <c r="J2398" i="116"/>
  <c r="I2398" i="116"/>
  <c r="H2398" i="116"/>
  <c r="G2398" i="116"/>
  <c r="F2398" i="116"/>
  <c r="E2398" i="116"/>
  <c r="D2398" i="116"/>
  <c r="C2398" i="116"/>
  <c r="B2398" i="116"/>
  <c r="K2397" i="116"/>
  <c r="J2397" i="116"/>
  <c r="I2397" i="116"/>
  <c r="H2397" i="116"/>
  <c r="G2397" i="116"/>
  <c r="F2397" i="116"/>
  <c r="E2397" i="116"/>
  <c r="D2397" i="116"/>
  <c r="C2397" i="116"/>
  <c r="B2397" i="116"/>
  <c r="K2396" i="116"/>
  <c r="J2396" i="116"/>
  <c r="I2396" i="116"/>
  <c r="H2396" i="116"/>
  <c r="G2396" i="116"/>
  <c r="F2396" i="116"/>
  <c r="E2396" i="116"/>
  <c r="D2396" i="116"/>
  <c r="C2396" i="116"/>
  <c r="B2396" i="116"/>
  <c r="K2395" i="116"/>
  <c r="J2395" i="116"/>
  <c r="I2395" i="116"/>
  <c r="H2395" i="116"/>
  <c r="G2395" i="116"/>
  <c r="F2395" i="116"/>
  <c r="E2395" i="116"/>
  <c r="D2395" i="116"/>
  <c r="C2395" i="116"/>
  <c r="B2395" i="116"/>
  <c r="K2394" i="116"/>
  <c r="J2394" i="116"/>
  <c r="I2394" i="116"/>
  <c r="H2394" i="116"/>
  <c r="G2394" i="116"/>
  <c r="F2394" i="116"/>
  <c r="E2394" i="116"/>
  <c r="D2394" i="116"/>
  <c r="C2394" i="116"/>
  <c r="B2394" i="116"/>
  <c r="K2393" i="116"/>
  <c r="J2393" i="116"/>
  <c r="I2393" i="116"/>
  <c r="H2393" i="116"/>
  <c r="G2393" i="116"/>
  <c r="F2393" i="116"/>
  <c r="E2393" i="116"/>
  <c r="D2393" i="116"/>
  <c r="C2393" i="116"/>
  <c r="B2393" i="116"/>
  <c r="K2392" i="116"/>
  <c r="J2392" i="116"/>
  <c r="I2392" i="116"/>
  <c r="H2392" i="116"/>
  <c r="G2392" i="116"/>
  <c r="F2392" i="116"/>
  <c r="E2392" i="116"/>
  <c r="D2392" i="116"/>
  <c r="C2392" i="116"/>
  <c r="B2392" i="116"/>
  <c r="K2391" i="116"/>
  <c r="J2391" i="116"/>
  <c r="I2391" i="116"/>
  <c r="H2391" i="116"/>
  <c r="G2391" i="116"/>
  <c r="F2391" i="116"/>
  <c r="E2391" i="116"/>
  <c r="D2391" i="116"/>
  <c r="C2391" i="116"/>
  <c r="B2391" i="116"/>
  <c r="K2390" i="116"/>
  <c r="J2390" i="116"/>
  <c r="I2390" i="116"/>
  <c r="H2390" i="116"/>
  <c r="G2390" i="116"/>
  <c r="F2390" i="116"/>
  <c r="E2390" i="116"/>
  <c r="D2390" i="116"/>
  <c r="C2390" i="116"/>
  <c r="B2390" i="116"/>
  <c r="K2389" i="116"/>
  <c r="J2389" i="116"/>
  <c r="I2389" i="116"/>
  <c r="H2389" i="116"/>
  <c r="G2389" i="116"/>
  <c r="F2389" i="116"/>
  <c r="E2389" i="116"/>
  <c r="D2389" i="116"/>
  <c r="C2389" i="116"/>
  <c r="B2389" i="116"/>
  <c r="K2388" i="116"/>
  <c r="J2388" i="116"/>
  <c r="I2388" i="116"/>
  <c r="H2388" i="116"/>
  <c r="G2388" i="116"/>
  <c r="F2388" i="116"/>
  <c r="E2388" i="116"/>
  <c r="D2388" i="116"/>
  <c r="C2388" i="116"/>
  <c r="B2388" i="116"/>
  <c r="K2387" i="116"/>
  <c r="J2387" i="116"/>
  <c r="I2387" i="116"/>
  <c r="H2387" i="116"/>
  <c r="G2387" i="116"/>
  <c r="F2387" i="116"/>
  <c r="E2387" i="116"/>
  <c r="D2387" i="116"/>
  <c r="C2387" i="116"/>
  <c r="B2387" i="116"/>
  <c r="K2386" i="116"/>
  <c r="J2386" i="116"/>
  <c r="I2386" i="116"/>
  <c r="H2386" i="116"/>
  <c r="G2386" i="116"/>
  <c r="F2386" i="116"/>
  <c r="E2386" i="116"/>
  <c r="D2386" i="116"/>
  <c r="C2386" i="116"/>
  <c r="B2386" i="116"/>
  <c r="K2385" i="116"/>
  <c r="J2385" i="116"/>
  <c r="I2385" i="116"/>
  <c r="H2385" i="116"/>
  <c r="G2385" i="116"/>
  <c r="F2385" i="116"/>
  <c r="E2385" i="116"/>
  <c r="D2385" i="116"/>
  <c r="C2385" i="116"/>
  <c r="B2385" i="116"/>
  <c r="K2384" i="116"/>
  <c r="J2384" i="116"/>
  <c r="I2384" i="116"/>
  <c r="H2384" i="116"/>
  <c r="G2384" i="116"/>
  <c r="F2384" i="116"/>
  <c r="E2384" i="116"/>
  <c r="D2384" i="116"/>
  <c r="C2384" i="116"/>
  <c r="B2384" i="116"/>
  <c r="K2383" i="116"/>
  <c r="J2383" i="116"/>
  <c r="I2383" i="116"/>
  <c r="H2383" i="116"/>
  <c r="G2383" i="116"/>
  <c r="F2383" i="116"/>
  <c r="E2383" i="116"/>
  <c r="D2383" i="116"/>
  <c r="C2383" i="116"/>
  <c r="B2383" i="116"/>
  <c r="K2382" i="116"/>
  <c r="J2382" i="116"/>
  <c r="I2382" i="116"/>
  <c r="H2382" i="116"/>
  <c r="G2382" i="116"/>
  <c r="F2382" i="116"/>
  <c r="E2382" i="116"/>
  <c r="D2382" i="116"/>
  <c r="C2382" i="116"/>
  <c r="B2382" i="116"/>
  <c r="K2381" i="116"/>
  <c r="J2381" i="116"/>
  <c r="I2381" i="116"/>
  <c r="H2381" i="116"/>
  <c r="G2381" i="116"/>
  <c r="F2381" i="116"/>
  <c r="E2381" i="116"/>
  <c r="D2381" i="116"/>
  <c r="C2381" i="116"/>
  <c r="B2381" i="116"/>
  <c r="K2380" i="116"/>
  <c r="J2380" i="116"/>
  <c r="I2380" i="116"/>
  <c r="H2380" i="116"/>
  <c r="G2380" i="116"/>
  <c r="F2380" i="116"/>
  <c r="E2380" i="116"/>
  <c r="D2380" i="116"/>
  <c r="C2380" i="116"/>
  <c r="B2380" i="116"/>
  <c r="K2379" i="116"/>
  <c r="J2379" i="116"/>
  <c r="I2379" i="116"/>
  <c r="H2379" i="116"/>
  <c r="G2379" i="116"/>
  <c r="F2379" i="116"/>
  <c r="E2379" i="116"/>
  <c r="D2379" i="116"/>
  <c r="C2379" i="116"/>
  <c r="B2379" i="116"/>
  <c r="K2378" i="116"/>
  <c r="J2378" i="116"/>
  <c r="I2378" i="116"/>
  <c r="H2378" i="116"/>
  <c r="G2378" i="116"/>
  <c r="F2378" i="116"/>
  <c r="E2378" i="116"/>
  <c r="D2378" i="116"/>
  <c r="C2378" i="116"/>
  <c r="B2378" i="116"/>
  <c r="K2377" i="116"/>
  <c r="J2377" i="116"/>
  <c r="I2377" i="116"/>
  <c r="H2377" i="116"/>
  <c r="G2377" i="116"/>
  <c r="F2377" i="116"/>
  <c r="E2377" i="116"/>
  <c r="D2377" i="116"/>
  <c r="C2377" i="116"/>
  <c r="B2377" i="116"/>
  <c r="K2376" i="116"/>
  <c r="J2376" i="116"/>
  <c r="I2376" i="116"/>
  <c r="H2376" i="116"/>
  <c r="G2376" i="116"/>
  <c r="F2376" i="116"/>
  <c r="E2376" i="116"/>
  <c r="D2376" i="116"/>
  <c r="C2376" i="116"/>
  <c r="B2376" i="116"/>
  <c r="K2375" i="116"/>
  <c r="J2375" i="116"/>
  <c r="I2375" i="116"/>
  <c r="H2375" i="116"/>
  <c r="G2375" i="116"/>
  <c r="F2375" i="116"/>
  <c r="E2375" i="116"/>
  <c r="D2375" i="116"/>
  <c r="C2375" i="116"/>
  <c r="B2375" i="116"/>
  <c r="K2374" i="116"/>
  <c r="J2374" i="116"/>
  <c r="I2374" i="116"/>
  <c r="H2374" i="116"/>
  <c r="G2374" i="116"/>
  <c r="F2374" i="116"/>
  <c r="E2374" i="116"/>
  <c r="D2374" i="116"/>
  <c r="C2374" i="116"/>
  <c r="B2374" i="116"/>
  <c r="K2373" i="116"/>
  <c r="J2373" i="116"/>
  <c r="I2373" i="116"/>
  <c r="H2373" i="116"/>
  <c r="G2373" i="116"/>
  <c r="F2373" i="116"/>
  <c r="E2373" i="116"/>
  <c r="D2373" i="116"/>
  <c r="C2373" i="116"/>
  <c r="B2373" i="116"/>
  <c r="K2372" i="116"/>
  <c r="J2372" i="116"/>
  <c r="I2372" i="116"/>
  <c r="H2372" i="116"/>
  <c r="G2372" i="116"/>
  <c r="F2372" i="116"/>
  <c r="E2372" i="116"/>
  <c r="D2372" i="116"/>
  <c r="C2372" i="116"/>
  <c r="B2372" i="116"/>
  <c r="K2371" i="116"/>
  <c r="J2371" i="116"/>
  <c r="I2371" i="116"/>
  <c r="H2371" i="116"/>
  <c r="G2371" i="116"/>
  <c r="F2371" i="116"/>
  <c r="E2371" i="116"/>
  <c r="D2371" i="116"/>
  <c r="C2371" i="116"/>
  <c r="B2371" i="116"/>
  <c r="K2370" i="116"/>
  <c r="J2370" i="116"/>
  <c r="I2370" i="116"/>
  <c r="H2370" i="116"/>
  <c r="G2370" i="116"/>
  <c r="F2370" i="116"/>
  <c r="E2370" i="116"/>
  <c r="D2370" i="116"/>
  <c r="C2370" i="116"/>
  <c r="B2370" i="116"/>
  <c r="K2369" i="116"/>
  <c r="J2369" i="116"/>
  <c r="I2369" i="116"/>
  <c r="H2369" i="116"/>
  <c r="G2369" i="116"/>
  <c r="F2369" i="116"/>
  <c r="E2369" i="116"/>
  <c r="D2369" i="116"/>
  <c r="C2369" i="116"/>
  <c r="B2369" i="116"/>
  <c r="K2368" i="116"/>
  <c r="J2368" i="116"/>
  <c r="I2368" i="116"/>
  <c r="H2368" i="116"/>
  <c r="G2368" i="116"/>
  <c r="F2368" i="116"/>
  <c r="E2368" i="116"/>
  <c r="D2368" i="116"/>
  <c r="C2368" i="116"/>
  <c r="B2368" i="116"/>
  <c r="K2367" i="116"/>
  <c r="J2367" i="116"/>
  <c r="I2367" i="116"/>
  <c r="H2367" i="116"/>
  <c r="G2367" i="116"/>
  <c r="F2367" i="116"/>
  <c r="E2367" i="116"/>
  <c r="D2367" i="116"/>
  <c r="C2367" i="116"/>
  <c r="B2367" i="116"/>
  <c r="K2366" i="116"/>
  <c r="J2366" i="116"/>
  <c r="I2366" i="116"/>
  <c r="H2366" i="116"/>
  <c r="G2366" i="116"/>
  <c r="F2366" i="116"/>
  <c r="E2366" i="116"/>
  <c r="D2366" i="116"/>
  <c r="C2366" i="116"/>
  <c r="B2366" i="116"/>
  <c r="K2365" i="116"/>
  <c r="J2365" i="116"/>
  <c r="I2365" i="116"/>
  <c r="H2365" i="116"/>
  <c r="G2365" i="116"/>
  <c r="F2365" i="116"/>
  <c r="E2365" i="116"/>
  <c r="D2365" i="116"/>
  <c r="C2365" i="116"/>
  <c r="B2365" i="116"/>
  <c r="K2364" i="116"/>
  <c r="J2364" i="116"/>
  <c r="I2364" i="116"/>
  <c r="H2364" i="116"/>
  <c r="G2364" i="116"/>
  <c r="F2364" i="116"/>
  <c r="E2364" i="116"/>
  <c r="D2364" i="116"/>
  <c r="C2364" i="116"/>
  <c r="B2364" i="116"/>
  <c r="K2363" i="116"/>
  <c r="J2363" i="116"/>
  <c r="I2363" i="116"/>
  <c r="H2363" i="116"/>
  <c r="G2363" i="116"/>
  <c r="F2363" i="116"/>
  <c r="E2363" i="116"/>
  <c r="D2363" i="116"/>
  <c r="C2363" i="116"/>
  <c r="B2363" i="116"/>
  <c r="K2362" i="116"/>
  <c r="J2362" i="116"/>
  <c r="I2362" i="116"/>
  <c r="H2362" i="116"/>
  <c r="G2362" i="116"/>
  <c r="F2362" i="116"/>
  <c r="E2362" i="116"/>
  <c r="D2362" i="116"/>
  <c r="C2362" i="116"/>
  <c r="B2362" i="116"/>
  <c r="K2361" i="116"/>
  <c r="J2361" i="116"/>
  <c r="I2361" i="116"/>
  <c r="H2361" i="116"/>
  <c r="G2361" i="116"/>
  <c r="F2361" i="116"/>
  <c r="E2361" i="116"/>
  <c r="D2361" i="116"/>
  <c r="C2361" i="116"/>
  <c r="B2361" i="116"/>
  <c r="K2360" i="116"/>
  <c r="J2360" i="116"/>
  <c r="I2360" i="116"/>
  <c r="H2360" i="116"/>
  <c r="G2360" i="116"/>
  <c r="F2360" i="116"/>
  <c r="E2360" i="116"/>
  <c r="D2360" i="116"/>
  <c r="C2360" i="116"/>
  <c r="B2360" i="116"/>
  <c r="K2359" i="116"/>
  <c r="J2359" i="116"/>
  <c r="I2359" i="116"/>
  <c r="H2359" i="116"/>
  <c r="G2359" i="116"/>
  <c r="F2359" i="116"/>
  <c r="E2359" i="116"/>
  <c r="D2359" i="116"/>
  <c r="C2359" i="116"/>
  <c r="B2359" i="116"/>
  <c r="K2358" i="116"/>
  <c r="J2358" i="116"/>
  <c r="I2358" i="116"/>
  <c r="H2358" i="116"/>
  <c r="G2358" i="116"/>
  <c r="F2358" i="116"/>
  <c r="E2358" i="116"/>
  <c r="D2358" i="116"/>
  <c r="C2358" i="116"/>
  <c r="B2358" i="116"/>
  <c r="K2357" i="116"/>
  <c r="J2357" i="116"/>
  <c r="I2357" i="116"/>
  <c r="H2357" i="116"/>
  <c r="G2357" i="116"/>
  <c r="F2357" i="116"/>
  <c r="E2357" i="116"/>
  <c r="D2357" i="116"/>
  <c r="C2357" i="116"/>
  <c r="B2357" i="116"/>
  <c r="K2356" i="116"/>
  <c r="J2356" i="116"/>
  <c r="I2356" i="116"/>
  <c r="H2356" i="116"/>
  <c r="G2356" i="116"/>
  <c r="F2356" i="116"/>
  <c r="E2356" i="116"/>
  <c r="D2356" i="116"/>
  <c r="C2356" i="116"/>
  <c r="B2356" i="116"/>
  <c r="K2355" i="116"/>
  <c r="J2355" i="116"/>
  <c r="I2355" i="116"/>
  <c r="H2355" i="116"/>
  <c r="G2355" i="116"/>
  <c r="F2355" i="116"/>
  <c r="E2355" i="116"/>
  <c r="D2355" i="116"/>
  <c r="C2355" i="116"/>
  <c r="B2355" i="116"/>
  <c r="K2354" i="116"/>
  <c r="J2354" i="116"/>
  <c r="I2354" i="116"/>
  <c r="H2354" i="116"/>
  <c r="G2354" i="116"/>
  <c r="F2354" i="116"/>
  <c r="E2354" i="116"/>
  <c r="D2354" i="116"/>
  <c r="C2354" i="116"/>
  <c r="B2354" i="116"/>
  <c r="K2353" i="116"/>
  <c r="J2353" i="116"/>
  <c r="I2353" i="116"/>
  <c r="H2353" i="116"/>
  <c r="G2353" i="116"/>
  <c r="F2353" i="116"/>
  <c r="E2353" i="116"/>
  <c r="D2353" i="116"/>
  <c r="C2353" i="116"/>
  <c r="B2353" i="116"/>
  <c r="K2352" i="116"/>
  <c r="J2352" i="116"/>
  <c r="I2352" i="116"/>
  <c r="H2352" i="116"/>
  <c r="G2352" i="116"/>
  <c r="F2352" i="116"/>
  <c r="E2352" i="116"/>
  <c r="D2352" i="116"/>
  <c r="C2352" i="116"/>
  <c r="B2352" i="116"/>
  <c r="K2351" i="116"/>
  <c r="J2351" i="116"/>
  <c r="I2351" i="116"/>
  <c r="H2351" i="116"/>
  <c r="G2351" i="116"/>
  <c r="F2351" i="116"/>
  <c r="E2351" i="116"/>
  <c r="D2351" i="116"/>
  <c r="C2351" i="116"/>
  <c r="B2351" i="116"/>
  <c r="K2350" i="116"/>
  <c r="J2350" i="116"/>
  <c r="I2350" i="116"/>
  <c r="H2350" i="116"/>
  <c r="G2350" i="116"/>
  <c r="F2350" i="116"/>
  <c r="E2350" i="116"/>
  <c r="D2350" i="116"/>
  <c r="C2350" i="116"/>
  <c r="B2350" i="116"/>
  <c r="K2349" i="116"/>
  <c r="J2349" i="116"/>
  <c r="I2349" i="116"/>
  <c r="H2349" i="116"/>
  <c r="G2349" i="116"/>
  <c r="F2349" i="116"/>
  <c r="E2349" i="116"/>
  <c r="D2349" i="116"/>
  <c r="C2349" i="116"/>
  <c r="B2349" i="116"/>
  <c r="K2348" i="116"/>
  <c r="J2348" i="116"/>
  <c r="I2348" i="116"/>
  <c r="H2348" i="116"/>
  <c r="G2348" i="116"/>
  <c r="F2348" i="116"/>
  <c r="E2348" i="116"/>
  <c r="D2348" i="116"/>
  <c r="C2348" i="116"/>
  <c r="B2348" i="116"/>
  <c r="K2347" i="116"/>
  <c r="J2347" i="116"/>
  <c r="I2347" i="116"/>
  <c r="H2347" i="116"/>
  <c r="G2347" i="116"/>
  <c r="F2347" i="116"/>
  <c r="E2347" i="116"/>
  <c r="D2347" i="116"/>
  <c r="C2347" i="116"/>
  <c r="B2347" i="116"/>
  <c r="K2346" i="116"/>
  <c r="J2346" i="116"/>
  <c r="I2346" i="116"/>
  <c r="H2346" i="116"/>
  <c r="G2346" i="116"/>
  <c r="F2346" i="116"/>
  <c r="E2346" i="116"/>
  <c r="D2346" i="116"/>
  <c r="C2346" i="116"/>
  <c r="B2346" i="116"/>
  <c r="K2345" i="116"/>
  <c r="J2345" i="116"/>
  <c r="I2345" i="116"/>
  <c r="H2345" i="116"/>
  <c r="G2345" i="116"/>
  <c r="F2345" i="116"/>
  <c r="E2345" i="116"/>
  <c r="D2345" i="116"/>
  <c r="C2345" i="116"/>
  <c r="B2345" i="116"/>
  <c r="K2344" i="116"/>
  <c r="J2344" i="116"/>
  <c r="I2344" i="116"/>
  <c r="H2344" i="116"/>
  <c r="G2344" i="116"/>
  <c r="F2344" i="116"/>
  <c r="E2344" i="116"/>
  <c r="D2344" i="116"/>
  <c r="C2344" i="116"/>
  <c r="B2344" i="116"/>
  <c r="K2343" i="116"/>
  <c r="J2343" i="116"/>
  <c r="I2343" i="116"/>
  <c r="H2343" i="116"/>
  <c r="G2343" i="116"/>
  <c r="F2343" i="116"/>
  <c r="E2343" i="116"/>
  <c r="D2343" i="116"/>
  <c r="C2343" i="116"/>
  <c r="B2343" i="116"/>
  <c r="K2342" i="116"/>
  <c r="J2342" i="116"/>
  <c r="I2342" i="116"/>
  <c r="H2342" i="116"/>
  <c r="G2342" i="116"/>
  <c r="F2342" i="116"/>
  <c r="E2342" i="116"/>
  <c r="D2342" i="116"/>
  <c r="C2342" i="116"/>
  <c r="B2342" i="116"/>
  <c r="K2341" i="116"/>
  <c r="J2341" i="116"/>
  <c r="I2341" i="116"/>
  <c r="H2341" i="116"/>
  <c r="G2341" i="116"/>
  <c r="F2341" i="116"/>
  <c r="E2341" i="116"/>
  <c r="D2341" i="116"/>
  <c r="C2341" i="116"/>
  <c r="B2341" i="116"/>
  <c r="K2340" i="116"/>
  <c r="J2340" i="116"/>
  <c r="I2340" i="116"/>
  <c r="H2340" i="116"/>
  <c r="G2340" i="116"/>
  <c r="F2340" i="116"/>
  <c r="E2340" i="116"/>
  <c r="D2340" i="116"/>
  <c r="C2340" i="116"/>
  <c r="B2340" i="116"/>
  <c r="K2339" i="116"/>
  <c r="J2339" i="116"/>
  <c r="I2339" i="116"/>
  <c r="H2339" i="116"/>
  <c r="G2339" i="116"/>
  <c r="F2339" i="116"/>
  <c r="E2339" i="116"/>
  <c r="D2339" i="116"/>
  <c r="C2339" i="116"/>
  <c r="B2339" i="116"/>
  <c r="K2338" i="116"/>
  <c r="J2338" i="116"/>
  <c r="I2338" i="116"/>
  <c r="H2338" i="116"/>
  <c r="G2338" i="116"/>
  <c r="F2338" i="116"/>
  <c r="E2338" i="116"/>
  <c r="D2338" i="116"/>
  <c r="C2338" i="116"/>
  <c r="B2338" i="116"/>
  <c r="K2337" i="116"/>
  <c r="J2337" i="116"/>
  <c r="I2337" i="116"/>
  <c r="H2337" i="116"/>
  <c r="G2337" i="116"/>
  <c r="F2337" i="116"/>
  <c r="E2337" i="116"/>
  <c r="D2337" i="116"/>
  <c r="C2337" i="116"/>
  <c r="B2337" i="116"/>
  <c r="K2336" i="116"/>
  <c r="J2336" i="116"/>
  <c r="I2336" i="116"/>
  <c r="H2336" i="116"/>
  <c r="G2336" i="116"/>
  <c r="F2336" i="116"/>
  <c r="E2336" i="116"/>
  <c r="D2336" i="116"/>
  <c r="C2336" i="116"/>
  <c r="B2336" i="116"/>
  <c r="K2335" i="116"/>
  <c r="J2335" i="116"/>
  <c r="I2335" i="116"/>
  <c r="H2335" i="116"/>
  <c r="G2335" i="116"/>
  <c r="F2335" i="116"/>
  <c r="E2335" i="116"/>
  <c r="D2335" i="116"/>
  <c r="C2335" i="116"/>
  <c r="B2335" i="116"/>
  <c r="K2334" i="116"/>
  <c r="J2334" i="116"/>
  <c r="I2334" i="116"/>
  <c r="H2334" i="116"/>
  <c r="G2334" i="116"/>
  <c r="F2334" i="116"/>
  <c r="E2334" i="116"/>
  <c r="D2334" i="116"/>
  <c r="C2334" i="116"/>
  <c r="B2334" i="116"/>
  <c r="K2333" i="116"/>
  <c r="J2333" i="116"/>
  <c r="I2333" i="116"/>
  <c r="H2333" i="116"/>
  <c r="G2333" i="116"/>
  <c r="F2333" i="116"/>
  <c r="E2333" i="116"/>
  <c r="D2333" i="116"/>
  <c r="C2333" i="116"/>
  <c r="B2333" i="116"/>
  <c r="K2332" i="116"/>
  <c r="J2332" i="116"/>
  <c r="I2332" i="116"/>
  <c r="H2332" i="116"/>
  <c r="G2332" i="116"/>
  <c r="F2332" i="116"/>
  <c r="E2332" i="116"/>
  <c r="D2332" i="116"/>
  <c r="C2332" i="116"/>
  <c r="B2332" i="116"/>
  <c r="K2331" i="116"/>
  <c r="J2331" i="116"/>
  <c r="I2331" i="116"/>
  <c r="H2331" i="116"/>
  <c r="G2331" i="116"/>
  <c r="F2331" i="116"/>
  <c r="E2331" i="116"/>
  <c r="D2331" i="116"/>
  <c r="C2331" i="116"/>
  <c r="B2331" i="116"/>
  <c r="K2330" i="116"/>
  <c r="J2330" i="116"/>
  <c r="I2330" i="116"/>
  <c r="H2330" i="116"/>
  <c r="G2330" i="116"/>
  <c r="F2330" i="116"/>
  <c r="E2330" i="116"/>
  <c r="D2330" i="116"/>
  <c r="C2330" i="116"/>
  <c r="B2330" i="116"/>
  <c r="K2329" i="116"/>
  <c r="J2329" i="116"/>
  <c r="I2329" i="116"/>
  <c r="H2329" i="116"/>
  <c r="G2329" i="116"/>
  <c r="F2329" i="116"/>
  <c r="E2329" i="116"/>
  <c r="D2329" i="116"/>
  <c r="C2329" i="116"/>
  <c r="B2329" i="116"/>
  <c r="K2328" i="116"/>
  <c r="J2328" i="116"/>
  <c r="I2328" i="116"/>
  <c r="H2328" i="116"/>
  <c r="G2328" i="116"/>
  <c r="F2328" i="116"/>
  <c r="E2328" i="116"/>
  <c r="D2328" i="116"/>
  <c r="C2328" i="116"/>
  <c r="B2328" i="116"/>
  <c r="K2327" i="116"/>
  <c r="J2327" i="116"/>
  <c r="I2327" i="116"/>
  <c r="H2327" i="116"/>
  <c r="G2327" i="116"/>
  <c r="F2327" i="116"/>
  <c r="E2327" i="116"/>
  <c r="D2327" i="116"/>
  <c r="C2327" i="116"/>
  <c r="B2327" i="116"/>
  <c r="K2326" i="116"/>
  <c r="J2326" i="116"/>
  <c r="I2326" i="116"/>
  <c r="H2326" i="116"/>
  <c r="G2326" i="116"/>
  <c r="F2326" i="116"/>
  <c r="E2326" i="116"/>
  <c r="D2326" i="116"/>
  <c r="C2326" i="116"/>
  <c r="B2326" i="116"/>
  <c r="K2325" i="116"/>
  <c r="J2325" i="116"/>
  <c r="I2325" i="116"/>
  <c r="H2325" i="116"/>
  <c r="G2325" i="116"/>
  <c r="F2325" i="116"/>
  <c r="E2325" i="116"/>
  <c r="D2325" i="116"/>
  <c r="C2325" i="116"/>
  <c r="B2325" i="116"/>
  <c r="K2324" i="116"/>
  <c r="J2324" i="116"/>
  <c r="I2324" i="116"/>
  <c r="H2324" i="116"/>
  <c r="G2324" i="116"/>
  <c r="F2324" i="116"/>
  <c r="E2324" i="116"/>
  <c r="D2324" i="116"/>
  <c r="C2324" i="116"/>
  <c r="B2324" i="116"/>
  <c r="K2323" i="116"/>
  <c r="J2323" i="116"/>
  <c r="I2323" i="116"/>
  <c r="H2323" i="116"/>
  <c r="G2323" i="116"/>
  <c r="F2323" i="116"/>
  <c r="E2323" i="116"/>
  <c r="D2323" i="116"/>
  <c r="C2323" i="116"/>
  <c r="B2323" i="116"/>
  <c r="K2322" i="116"/>
  <c r="J2322" i="116"/>
  <c r="I2322" i="116"/>
  <c r="H2322" i="116"/>
  <c r="G2322" i="116"/>
  <c r="F2322" i="116"/>
  <c r="E2322" i="116"/>
  <c r="D2322" i="116"/>
  <c r="C2322" i="116"/>
  <c r="B2322" i="116"/>
  <c r="K2321" i="116"/>
  <c r="J2321" i="116"/>
  <c r="I2321" i="116"/>
  <c r="H2321" i="116"/>
  <c r="G2321" i="116"/>
  <c r="F2321" i="116"/>
  <c r="E2321" i="116"/>
  <c r="D2321" i="116"/>
  <c r="C2321" i="116"/>
  <c r="B2321" i="116"/>
  <c r="K2320" i="116"/>
  <c r="J2320" i="116"/>
  <c r="I2320" i="116"/>
  <c r="H2320" i="116"/>
  <c r="G2320" i="116"/>
  <c r="F2320" i="116"/>
  <c r="E2320" i="116"/>
  <c r="D2320" i="116"/>
  <c r="C2320" i="116"/>
  <c r="B2320" i="116"/>
  <c r="K2319" i="116"/>
  <c r="J2319" i="116"/>
  <c r="I2319" i="116"/>
  <c r="H2319" i="116"/>
  <c r="G2319" i="116"/>
  <c r="F2319" i="116"/>
  <c r="E2319" i="116"/>
  <c r="D2319" i="116"/>
  <c r="C2319" i="116"/>
  <c r="B2319" i="116"/>
  <c r="K2318" i="116"/>
  <c r="J2318" i="116"/>
  <c r="I2318" i="116"/>
  <c r="H2318" i="116"/>
  <c r="G2318" i="116"/>
  <c r="F2318" i="116"/>
  <c r="E2318" i="116"/>
  <c r="D2318" i="116"/>
  <c r="C2318" i="116"/>
  <c r="B2318" i="116"/>
  <c r="K2317" i="116"/>
  <c r="J2317" i="116"/>
  <c r="I2317" i="116"/>
  <c r="H2317" i="116"/>
  <c r="G2317" i="116"/>
  <c r="F2317" i="116"/>
  <c r="E2317" i="116"/>
  <c r="D2317" i="116"/>
  <c r="C2317" i="116"/>
  <c r="B2317" i="116"/>
  <c r="K2316" i="116"/>
  <c r="J2316" i="116"/>
  <c r="I2316" i="116"/>
  <c r="H2316" i="116"/>
  <c r="G2316" i="116"/>
  <c r="F2316" i="116"/>
  <c r="E2316" i="116"/>
  <c r="D2316" i="116"/>
  <c r="C2316" i="116"/>
  <c r="B2316" i="116"/>
  <c r="K2315" i="116"/>
  <c r="J2315" i="116"/>
  <c r="I2315" i="116"/>
  <c r="H2315" i="116"/>
  <c r="G2315" i="116"/>
  <c r="F2315" i="116"/>
  <c r="E2315" i="116"/>
  <c r="D2315" i="116"/>
  <c r="C2315" i="116"/>
  <c r="B2315" i="116"/>
  <c r="K2314" i="116"/>
  <c r="J2314" i="116"/>
  <c r="I2314" i="116"/>
  <c r="H2314" i="116"/>
  <c r="G2314" i="116"/>
  <c r="F2314" i="116"/>
  <c r="E2314" i="116"/>
  <c r="D2314" i="116"/>
  <c r="C2314" i="116"/>
  <c r="B2314" i="116"/>
  <c r="K2313" i="116"/>
  <c r="J2313" i="116"/>
  <c r="I2313" i="116"/>
  <c r="H2313" i="116"/>
  <c r="G2313" i="116"/>
  <c r="F2313" i="116"/>
  <c r="E2313" i="116"/>
  <c r="D2313" i="116"/>
  <c r="C2313" i="116"/>
  <c r="B2313" i="116"/>
  <c r="K2312" i="116"/>
  <c r="J2312" i="116"/>
  <c r="I2312" i="116"/>
  <c r="H2312" i="116"/>
  <c r="G2312" i="116"/>
  <c r="F2312" i="116"/>
  <c r="E2312" i="116"/>
  <c r="D2312" i="116"/>
  <c r="C2312" i="116"/>
  <c r="B2312" i="116"/>
  <c r="K2311" i="116"/>
  <c r="J2311" i="116"/>
  <c r="I2311" i="116"/>
  <c r="H2311" i="116"/>
  <c r="G2311" i="116"/>
  <c r="F2311" i="116"/>
  <c r="E2311" i="116"/>
  <c r="D2311" i="116"/>
  <c r="C2311" i="116"/>
  <c r="B2311" i="116"/>
  <c r="K2310" i="116"/>
  <c r="J2310" i="116"/>
  <c r="I2310" i="116"/>
  <c r="H2310" i="116"/>
  <c r="G2310" i="116"/>
  <c r="F2310" i="116"/>
  <c r="E2310" i="116"/>
  <c r="D2310" i="116"/>
  <c r="C2310" i="116"/>
  <c r="B2310" i="116"/>
  <c r="K2309" i="116"/>
  <c r="J2309" i="116"/>
  <c r="I2309" i="116"/>
  <c r="H2309" i="116"/>
  <c r="G2309" i="116"/>
  <c r="F2309" i="116"/>
  <c r="E2309" i="116"/>
  <c r="D2309" i="116"/>
  <c r="C2309" i="116"/>
  <c r="B2309" i="116"/>
  <c r="K2308" i="116"/>
  <c r="J2308" i="116"/>
  <c r="I2308" i="116"/>
  <c r="H2308" i="116"/>
  <c r="G2308" i="116"/>
  <c r="F2308" i="116"/>
  <c r="E2308" i="116"/>
  <c r="D2308" i="116"/>
  <c r="C2308" i="116"/>
  <c r="B2308" i="116"/>
  <c r="K2307" i="116"/>
  <c r="J2307" i="116"/>
  <c r="I2307" i="116"/>
  <c r="H2307" i="116"/>
  <c r="G2307" i="116"/>
  <c r="F2307" i="116"/>
  <c r="E2307" i="116"/>
  <c r="D2307" i="116"/>
  <c r="C2307" i="116"/>
  <c r="B2307" i="116"/>
  <c r="K2306" i="116"/>
  <c r="J2306" i="116"/>
  <c r="I2306" i="116"/>
  <c r="H2306" i="116"/>
  <c r="G2306" i="116"/>
  <c r="F2306" i="116"/>
  <c r="E2306" i="116"/>
  <c r="D2306" i="116"/>
  <c r="C2306" i="116"/>
  <c r="B2306" i="116"/>
  <c r="K2305" i="116"/>
  <c r="J2305" i="116"/>
  <c r="I2305" i="116"/>
  <c r="H2305" i="116"/>
  <c r="G2305" i="116"/>
  <c r="F2305" i="116"/>
  <c r="E2305" i="116"/>
  <c r="D2305" i="116"/>
  <c r="C2305" i="116"/>
  <c r="B2305" i="116"/>
  <c r="K2304" i="116"/>
  <c r="J2304" i="116"/>
  <c r="I2304" i="116"/>
  <c r="H2304" i="116"/>
  <c r="G2304" i="116"/>
  <c r="F2304" i="116"/>
  <c r="E2304" i="116"/>
  <c r="D2304" i="116"/>
  <c r="C2304" i="116"/>
  <c r="B2304" i="116"/>
  <c r="K2303" i="116"/>
  <c r="J2303" i="116"/>
  <c r="I2303" i="116"/>
  <c r="H2303" i="116"/>
  <c r="G2303" i="116"/>
  <c r="F2303" i="116"/>
  <c r="E2303" i="116"/>
  <c r="D2303" i="116"/>
  <c r="C2303" i="116"/>
  <c r="B2303" i="116"/>
  <c r="K2302" i="116"/>
  <c r="J2302" i="116"/>
  <c r="I2302" i="116"/>
  <c r="H2302" i="116"/>
  <c r="G2302" i="116"/>
  <c r="F2302" i="116"/>
  <c r="E2302" i="116"/>
  <c r="D2302" i="116"/>
  <c r="C2302" i="116"/>
  <c r="B2302" i="116"/>
  <c r="K2301" i="116"/>
  <c r="J2301" i="116"/>
  <c r="I2301" i="116"/>
  <c r="H2301" i="116"/>
  <c r="G2301" i="116"/>
  <c r="F2301" i="116"/>
  <c r="E2301" i="116"/>
  <c r="D2301" i="116"/>
  <c r="C2301" i="116"/>
  <c r="B2301" i="116"/>
  <c r="K2300" i="116"/>
  <c r="J2300" i="116"/>
  <c r="I2300" i="116"/>
  <c r="H2300" i="116"/>
  <c r="G2300" i="116"/>
  <c r="F2300" i="116"/>
  <c r="E2300" i="116"/>
  <c r="D2300" i="116"/>
  <c r="C2300" i="116"/>
  <c r="B2300" i="116"/>
  <c r="K2299" i="116"/>
  <c r="J2299" i="116"/>
  <c r="I2299" i="116"/>
  <c r="H2299" i="116"/>
  <c r="G2299" i="116"/>
  <c r="F2299" i="116"/>
  <c r="E2299" i="116"/>
  <c r="D2299" i="116"/>
  <c r="C2299" i="116"/>
  <c r="B2299" i="116"/>
  <c r="K2298" i="116"/>
  <c r="J2298" i="116"/>
  <c r="I2298" i="116"/>
  <c r="H2298" i="116"/>
  <c r="G2298" i="116"/>
  <c r="F2298" i="116"/>
  <c r="E2298" i="116"/>
  <c r="D2298" i="116"/>
  <c r="C2298" i="116"/>
  <c r="B2298" i="116"/>
  <c r="K2297" i="116"/>
  <c r="J2297" i="116"/>
  <c r="I2297" i="116"/>
  <c r="H2297" i="116"/>
  <c r="G2297" i="116"/>
  <c r="F2297" i="116"/>
  <c r="E2297" i="116"/>
  <c r="D2297" i="116"/>
  <c r="C2297" i="116"/>
  <c r="B2297" i="116"/>
  <c r="K2296" i="116"/>
  <c r="J2296" i="116"/>
  <c r="I2296" i="116"/>
  <c r="H2296" i="116"/>
  <c r="G2296" i="116"/>
  <c r="F2296" i="116"/>
  <c r="E2296" i="116"/>
  <c r="D2296" i="116"/>
  <c r="C2296" i="116"/>
  <c r="B2296" i="116"/>
  <c r="K2295" i="116"/>
  <c r="J2295" i="116"/>
  <c r="I2295" i="116"/>
  <c r="H2295" i="116"/>
  <c r="G2295" i="116"/>
  <c r="F2295" i="116"/>
  <c r="E2295" i="116"/>
  <c r="D2295" i="116"/>
  <c r="C2295" i="116"/>
  <c r="B2295" i="116"/>
  <c r="K2294" i="116"/>
  <c r="J2294" i="116"/>
  <c r="I2294" i="116"/>
  <c r="H2294" i="116"/>
  <c r="G2294" i="116"/>
  <c r="F2294" i="116"/>
  <c r="E2294" i="116"/>
  <c r="D2294" i="116"/>
  <c r="C2294" i="116"/>
  <c r="B2294" i="116"/>
  <c r="K2293" i="116"/>
  <c r="J2293" i="116"/>
  <c r="I2293" i="116"/>
  <c r="H2293" i="116"/>
  <c r="G2293" i="116"/>
  <c r="F2293" i="116"/>
  <c r="E2293" i="116"/>
  <c r="D2293" i="116"/>
  <c r="C2293" i="116"/>
  <c r="B2293" i="116"/>
  <c r="K2292" i="116"/>
  <c r="J2292" i="116"/>
  <c r="I2292" i="116"/>
  <c r="H2292" i="116"/>
  <c r="G2292" i="116"/>
  <c r="F2292" i="116"/>
  <c r="E2292" i="116"/>
  <c r="D2292" i="116"/>
  <c r="C2292" i="116"/>
  <c r="B2292" i="116"/>
  <c r="K2291" i="116"/>
  <c r="J2291" i="116"/>
  <c r="I2291" i="116"/>
  <c r="H2291" i="116"/>
  <c r="G2291" i="116"/>
  <c r="F2291" i="116"/>
  <c r="E2291" i="116"/>
  <c r="D2291" i="116"/>
  <c r="C2291" i="116"/>
  <c r="B2291" i="116"/>
  <c r="K2290" i="116"/>
  <c r="J2290" i="116"/>
  <c r="I2290" i="116"/>
  <c r="H2290" i="116"/>
  <c r="G2290" i="116"/>
  <c r="F2290" i="116"/>
  <c r="E2290" i="116"/>
  <c r="D2290" i="116"/>
  <c r="C2290" i="116"/>
  <c r="B2290" i="116"/>
  <c r="K2289" i="116"/>
  <c r="J2289" i="116"/>
  <c r="I2289" i="116"/>
  <c r="H2289" i="116"/>
  <c r="G2289" i="116"/>
  <c r="F2289" i="116"/>
  <c r="E2289" i="116"/>
  <c r="D2289" i="116"/>
  <c r="C2289" i="116"/>
  <c r="B2289" i="116"/>
  <c r="K2288" i="116"/>
  <c r="J2288" i="116"/>
  <c r="I2288" i="116"/>
  <c r="H2288" i="116"/>
  <c r="G2288" i="116"/>
  <c r="F2288" i="116"/>
  <c r="E2288" i="116"/>
  <c r="D2288" i="116"/>
  <c r="C2288" i="116"/>
  <c r="B2288" i="116"/>
  <c r="K2287" i="116"/>
  <c r="J2287" i="116"/>
  <c r="I2287" i="116"/>
  <c r="H2287" i="116"/>
  <c r="G2287" i="116"/>
  <c r="F2287" i="116"/>
  <c r="E2287" i="116"/>
  <c r="D2287" i="116"/>
  <c r="C2287" i="116"/>
  <c r="B2287" i="116"/>
  <c r="K2286" i="116"/>
  <c r="J2286" i="116"/>
  <c r="I2286" i="116"/>
  <c r="H2286" i="116"/>
  <c r="G2286" i="116"/>
  <c r="F2286" i="116"/>
  <c r="E2286" i="116"/>
  <c r="D2286" i="116"/>
  <c r="C2286" i="116"/>
  <c r="B2286" i="116"/>
  <c r="K2285" i="116"/>
  <c r="J2285" i="116"/>
  <c r="I2285" i="116"/>
  <c r="H2285" i="116"/>
  <c r="G2285" i="116"/>
  <c r="F2285" i="116"/>
  <c r="E2285" i="116"/>
  <c r="D2285" i="116"/>
  <c r="C2285" i="116"/>
  <c r="B2285" i="116"/>
  <c r="K2284" i="116"/>
  <c r="J2284" i="116"/>
  <c r="I2284" i="116"/>
  <c r="H2284" i="116"/>
  <c r="G2284" i="116"/>
  <c r="F2284" i="116"/>
  <c r="E2284" i="116"/>
  <c r="D2284" i="116"/>
  <c r="C2284" i="116"/>
  <c r="B2284" i="116"/>
  <c r="K2283" i="116"/>
  <c r="J2283" i="116"/>
  <c r="I2283" i="116"/>
  <c r="H2283" i="116"/>
  <c r="G2283" i="116"/>
  <c r="F2283" i="116"/>
  <c r="E2283" i="116"/>
  <c r="D2283" i="116"/>
  <c r="C2283" i="116"/>
  <c r="B2283" i="116"/>
  <c r="K2282" i="116"/>
  <c r="J2282" i="116"/>
  <c r="I2282" i="116"/>
  <c r="H2282" i="116"/>
  <c r="G2282" i="116"/>
  <c r="F2282" i="116"/>
  <c r="E2282" i="116"/>
  <c r="D2282" i="116"/>
  <c r="C2282" i="116"/>
  <c r="B2282" i="116"/>
  <c r="K2281" i="116"/>
  <c r="J2281" i="116"/>
  <c r="I2281" i="116"/>
  <c r="H2281" i="116"/>
  <c r="G2281" i="116"/>
  <c r="F2281" i="116"/>
  <c r="E2281" i="116"/>
  <c r="D2281" i="116"/>
  <c r="C2281" i="116"/>
  <c r="B2281" i="116"/>
  <c r="K2280" i="116"/>
  <c r="J2280" i="116"/>
  <c r="I2280" i="116"/>
  <c r="H2280" i="116"/>
  <c r="G2280" i="116"/>
  <c r="F2280" i="116"/>
  <c r="E2280" i="116"/>
  <c r="D2280" i="116"/>
  <c r="C2280" i="116"/>
  <c r="B2280" i="116"/>
  <c r="K2279" i="116"/>
  <c r="J2279" i="116"/>
  <c r="I2279" i="116"/>
  <c r="H2279" i="116"/>
  <c r="G2279" i="116"/>
  <c r="F2279" i="116"/>
  <c r="E2279" i="116"/>
  <c r="D2279" i="116"/>
  <c r="C2279" i="116"/>
  <c r="B2279" i="116"/>
  <c r="K2278" i="116"/>
  <c r="J2278" i="116"/>
  <c r="I2278" i="116"/>
  <c r="H2278" i="116"/>
  <c r="G2278" i="116"/>
  <c r="F2278" i="116"/>
  <c r="E2278" i="116"/>
  <c r="D2278" i="116"/>
  <c r="C2278" i="116"/>
  <c r="B2278" i="116"/>
  <c r="K2277" i="116"/>
  <c r="J2277" i="116"/>
  <c r="I2277" i="116"/>
  <c r="H2277" i="116"/>
  <c r="G2277" i="116"/>
  <c r="F2277" i="116"/>
  <c r="E2277" i="116"/>
  <c r="D2277" i="116"/>
  <c r="C2277" i="116"/>
  <c r="B2277" i="116"/>
  <c r="K2276" i="116"/>
  <c r="J2276" i="116"/>
  <c r="I2276" i="116"/>
  <c r="H2276" i="116"/>
  <c r="G2276" i="116"/>
  <c r="F2276" i="116"/>
  <c r="E2276" i="116"/>
  <c r="D2276" i="116"/>
  <c r="C2276" i="116"/>
  <c r="B2276" i="116"/>
  <c r="K2275" i="116"/>
  <c r="J2275" i="116"/>
  <c r="I2275" i="116"/>
  <c r="H2275" i="116"/>
  <c r="G2275" i="116"/>
  <c r="F2275" i="116"/>
  <c r="E2275" i="116"/>
  <c r="D2275" i="116"/>
  <c r="C2275" i="116"/>
  <c r="B2275" i="116"/>
  <c r="K2274" i="116"/>
  <c r="J2274" i="116"/>
  <c r="I2274" i="116"/>
  <c r="H2274" i="116"/>
  <c r="G2274" i="116"/>
  <c r="F2274" i="116"/>
  <c r="E2274" i="116"/>
  <c r="D2274" i="116"/>
  <c r="C2274" i="116"/>
  <c r="B2274" i="116"/>
  <c r="K2273" i="116"/>
  <c r="J2273" i="116"/>
  <c r="I2273" i="116"/>
  <c r="H2273" i="116"/>
  <c r="G2273" i="116"/>
  <c r="F2273" i="116"/>
  <c r="E2273" i="116"/>
  <c r="D2273" i="116"/>
  <c r="C2273" i="116"/>
  <c r="B2273" i="116"/>
  <c r="K2272" i="116"/>
  <c r="J2272" i="116"/>
  <c r="I2272" i="116"/>
  <c r="H2272" i="116"/>
  <c r="G2272" i="116"/>
  <c r="F2272" i="116"/>
  <c r="E2272" i="116"/>
  <c r="D2272" i="116"/>
  <c r="C2272" i="116"/>
  <c r="B2272" i="116"/>
  <c r="K2271" i="116"/>
  <c r="J2271" i="116"/>
  <c r="I2271" i="116"/>
  <c r="H2271" i="116"/>
  <c r="G2271" i="116"/>
  <c r="F2271" i="116"/>
  <c r="E2271" i="116"/>
  <c r="D2271" i="116"/>
  <c r="C2271" i="116"/>
  <c r="B2271" i="116"/>
  <c r="K2270" i="116"/>
  <c r="J2270" i="116"/>
  <c r="I2270" i="116"/>
  <c r="H2270" i="116"/>
  <c r="G2270" i="116"/>
  <c r="F2270" i="116"/>
  <c r="E2270" i="116"/>
  <c r="D2270" i="116"/>
  <c r="C2270" i="116"/>
  <c r="B2270" i="116"/>
  <c r="K2269" i="116"/>
  <c r="J2269" i="116"/>
  <c r="I2269" i="116"/>
  <c r="H2269" i="116"/>
  <c r="G2269" i="116"/>
  <c r="F2269" i="116"/>
  <c r="E2269" i="116"/>
  <c r="D2269" i="116"/>
  <c r="C2269" i="116"/>
  <c r="B2269" i="116"/>
  <c r="K2268" i="116"/>
  <c r="J2268" i="116"/>
  <c r="I2268" i="116"/>
  <c r="H2268" i="116"/>
  <c r="G2268" i="116"/>
  <c r="F2268" i="116"/>
  <c r="E2268" i="116"/>
  <c r="D2268" i="116"/>
  <c r="C2268" i="116"/>
  <c r="B2268" i="116"/>
  <c r="K2267" i="116"/>
  <c r="J2267" i="116"/>
  <c r="I2267" i="116"/>
  <c r="H2267" i="116"/>
  <c r="G2267" i="116"/>
  <c r="F2267" i="116"/>
  <c r="E2267" i="116"/>
  <c r="D2267" i="116"/>
  <c r="C2267" i="116"/>
  <c r="B2267" i="116"/>
  <c r="K2266" i="116"/>
  <c r="J2266" i="116"/>
  <c r="I2266" i="116"/>
  <c r="H2266" i="116"/>
  <c r="G2266" i="116"/>
  <c r="F2266" i="116"/>
  <c r="E2266" i="116"/>
  <c r="D2266" i="116"/>
  <c r="C2266" i="116"/>
  <c r="B2266" i="116"/>
  <c r="K2265" i="116"/>
  <c r="J2265" i="116"/>
  <c r="I2265" i="116"/>
  <c r="H2265" i="116"/>
  <c r="G2265" i="116"/>
  <c r="F2265" i="116"/>
  <c r="E2265" i="116"/>
  <c r="D2265" i="116"/>
  <c r="C2265" i="116"/>
  <c r="B2265" i="116"/>
  <c r="K2264" i="116"/>
  <c r="J2264" i="116"/>
  <c r="I2264" i="116"/>
  <c r="H2264" i="116"/>
  <c r="G2264" i="116"/>
  <c r="F2264" i="116"/>
  <c r="E2264" i="116"/>
  <c r="D2264" i="116"/>
  <c r="C2264" i="116"/>
  <c r="B2264" i="116"/>
  <c r="K2263" i="116"/>
  <c r="J2263" i="116"/>
  <c r="I2263" i="116"/>
  <c r="H2263" i="116"/>
  <c r="G2263" i="116"/>
  <c r="F2263" i="116"/>
  <c r="E2263" i="116"/>
  <c r="D2263" i="116"/>
  <c r="C2263" i="116"/>
  <c r="B2263" i="116"/>
  <c r="K2262" i="116"/>
  <c r="J2262" i="116"/>
  <c r="I2262" i="116"/>
  <c r="H2262" i="116"/>
  <c r="G2262" i="116"/>
  <c r="F2262" i="116"/>
  <c r="E2262" i="116"/>
  <c r="D2262" i="116"/>
  <c r="C2262" i="116"/>
  <c r="B2262" i="116"/>
  <c r="K2261" i="116"/>
  <c r="J2261" i="116"/>
  <c r="I2261" i="116"/>
  <c r="H2261" i="116"/>
  <c r="G2261" i="116"/>
  <c r="F2261" i="116"/>
  <c r="E2261" i="116"/>
  <c r="D2261" i="116"/>
  <c r="C2261" i="116"/>
  <c r="B2261" i="116"/>
  <c r="K2260" i="116"/>
  <c r="J2260" i="116"/>
  <c r="I2260" i="116"/>
  <c r="H2260" i="116"/>
  <c r="G2260" i="116"/>
  <c r="F2260" i="116"/>
  <c r="E2260" i="116"/>
  <c r="D2260" i="116"/>
  <c r="C2260" i="116"/>
  <c r="B2260" i="116"/>
  <c r="K2259" i="116"/>
  <c r="J2259" i="116"/>
  <c r="I2259" i="116"/>
  <c r="H2259" i="116"/>
  <c r="G2259" i="116"/>
  <c r="F2259" i="116"/>
  <c r="E2259" i="116"/>
  <c r="D2259" i="116"/>
  <c r="C2259" i="116"/>
  <c r="B2259" i="116"/>
  <c r="K2258" i="116"/>
  <c r="J2258" i="116"/>
  <c r="I2258" i="116"/>
  <c r="H2258" i="116"/>
  <c r="G2258" i="116"/>
  <c r="F2258" i="116"/>
  <c r="E2258" i="116"/>
  <c r="D2258" i="116"/>
  <c r="C2258" i="116"/>
  <c r="B2258" i="116"/>
  <c r="K2257" i="116"/>
  <c r="J2257" i="116"/>
  <c r="I2257" i="116"/>
  <c r="H2257" i="116"/>
  <c r="G2257" i="116"/>
  <c r="F2257" i="116"/>
  <c r="E2257" i="116"/>
  <c r="D2257" i="116"/>
  <c r="C2257" i="116"/>
  <c r="B2257" i="116"/>
  <c r="K2256" i="116"/>
  <c r="J2256" i="116"/>
  <c r="I2256" i="116"/>
  <c r="H2256" i="116"/>
  <c r="G2256" i="116"/>
  <c r="F2256" i="116"/>
  <c r="E2256" i="116"/>
  <c r="D2256" i="116"/>
  <c r="C2256" i="116"/>
  <c r="B2256" i="116"/>
  <c r="K2255" i="116"/>
  <c r="J2255" i="116"/>
  <c r="I2255" i="116"/>
  <c r="H2255" i="116"/>
  <c r="G2255" i="116"/>
  <c r="F2255" i="116"/>
  <c r="E2255" i="116"/>
  <c r="D2255" i="116"/>
  <c r="C2255" i="116"/>
  <c r="B2255" i="116"/>
  <c r="K2254" i="116"/>
  <c r="J2254" i="116"/>
  <c r="I2254" i="116"/>
  <c r="H2254" i="116"/>
  <c r="G2254" i="116"/>
  <c r="F2254" i="116"/>
  <c r="E2254" i="116"/>
  <c r="D2254" i="116"/>
  <c r="C2254" i="116"/>
  <c r="B2254" i="116"/>
  <c r="K2253" i="116"/>
  <c r="J2253" i="116"/>
  <c r="I2253" i="116"/>
  <c r="H2253" i="116"/>
  <c r="G2253" i="116"/>
  <c r="F2253" i="116"/>
  <c r="E2253" i="116"/>
  <c r="D2253" i="116"/>
  <c r="C2253" i="116"/>
  <c r="B2253" i="116"/>
  <c r="K2252" i="116"/>
  <c r="J2252" i="116"/>
  <c r="I2252" i="116"/>
  <c r="H2252" i="116"/>
  <c r="G2252" i="116"/>
  <c r="F2252" i="116"/>
  <c r="E2252" i="116"/>
  <c r="D2252" i="116"/>
  <c r="C2252" i="116"/>
  <c r="B2252" i="116"/>
  <c r="K2251" i="116"/>
  <c r="J2251" i="116"/>
  <c r="I2251" i="116"/>
  <c r="H2251" i="116"/>
  <c r="G2251" i="116"/>
  <c r="F2251" i="116"/>
  <c r="E2251" i="116"/>
  <c r="D2251" i="116"/>
  <c r="C2251" i="116"/>
  <c r="B2251" i="116"/>
  <c r="K2250" i="116"/>
  <c r="J2250" i="116"/>
  <c r="I2250" i="116"/>
  <c r="H2250" i="116"/>
  <c r="G2250" i="116"/>
  <c r="F2250" i="116"/>
  <c r="E2250" i="116"/>
  <c r="D2250" i="116"/>
  <c r="C2250" i="116"/>
  <c r="B2250" i="116"/>
  <c r="K2249" i="116"/>
  <c r="J2249" i="116"/>
  <c r="I2249" i="116"/>
  <c r="H2249" i="116"/>
  <c r="G2249" i="116"/>
  <c r="F2249" i="116"/>
  <c r="E2249" i="116"/>
  <c r="D2249" i="116"/>
  <c r="C2249" i="116"/>
  <c r="B2249" i="116"/>
  <c r="K2248" i="116"/>
  <c r="J2248" i="116"/>
  <c r="I2248" i="116"/>
  <c r="H2248" i="116"/>
  <c r="G2248" i="116"/>
  <c r="F2248" i="116"/>
  <c r="E2248" i="116"/>
  <c r="D2248" i="116"/>
  <c r="C2248" i="116"/>
  <c r="B2248" i="116"/>
  <c r="K2247" i="116"/>
  <c r="J2247" i="116"/>
  <c r="I2247" i="116"/>
  <c r="H2247" i="116"/>
  <c r="G2247" i="116"/>
  <c r="F2247" i="116"/>
  <c r="E2247" i="116"/>
  <c r="D2247" i="116"/>
  <c r="C2247" i="116"/>
  <c r="B2247" i="116"/>
  <c r="K2246" i="116"/>
  <c r="J2246" i="116"/>
  <c r="I2246" i="116"/>
  <c r="H2246" i="116"/>
  <c r="G2246" i="116"/>
  <c r="F2246" i="116"/>
  <c r="E2246" i="116"/>
  <c r="D2246" i="116"/>
  <c r="C2246" i="116"/>
  <c r="B2246" i="116"/>
  <c r="K2245" i="116"/>
  <c r="J2245" i="116"/>
  <c r="I2245" i="116"/>
  <c r="H2245" i="116"/>
  <c r="G2245" i="116"/>
  <c r="F2245" i="116"/>
  <c r="E2245" i="116"/>
  <c r="D2245" i="116"/>
  <c r="C2245" i="116"/>
  <c r="B2245" i="116"/>
  <c r="K2244" i="116"/>
  <c r="J2244" i="116"/>
  <c r="I2244" i="116"/>
  <c r="H2244" i="116"/>
  <c r="G2244" i="116"/>
  <c r="F2244" i="116"/>
  <c r="E2244" i="116"/>
  <c r="D2244" i="116"/>
  <c r="C2244" i="116"/>
  <c r="B2244" i="116"/>
  <c r="K2243" i="116"/>
  <c r="J2243" i="116"/>
  <c r="I2243" i="116"/>
  <c r="H2243" i="116"/>
  <c r="G2243" i="116"/>
  <c r="F2243" i="116"/>
  <c r="E2243" i="116"/>
  <c r="D2243" i="116"/>
  <c r="C2243" i="116"/>
  <c r="B2243" i="116"/>
  <c r="K2242" i="116"/>
  <c r="J2242" i="116"/>
  <c r="I2242" i="116"/>
  <c r="H2242" i="116"/>
  <c r="G2242" i="116"/>
  <c r="F2242" i="116"/>
  <c r="E2242" i="116"/>
  <c r="D2242" i="116"/>
  <c r="C2242" i="116"/>
  <c r="B2242" i="116"/>
  <c r="K2241" i="116"/>
  <c r="J2241" i="116"/>
  <c r="I2241" i="116"/>
  <c r="H2241" i="116"/>
  <c r="G2241" i="116"/>
  <c r="F2241" i="116"/>
  <c r="E2241" i="116"/>
  <c r="D2241" i="116"/>
  <c r="C2241" i="116"/>
  <c r="B2241" i="116"/>
  <c r="K2240" i="116"/>
  <c r="J2240" i="116"/>
  <c r="I2240" i="116"/>
  <c r="H2240" i="116"/>
  <c r="G2240" i="116"/>
  <c r="F2240" i="116"/>
  <c r="E2240" i="116"/>
  <c r="D2240" i="116"/>
  <c r="C2240" i="116"/>
  <c r="B2240" i="116"/>
  <c r="K2239" i="116"/>
  <c r="J2239" i="116"/>
  <c r="I2239" i="116"/>
  <c r="H2239" i="116"/>
  <c r="G2239" i="116"/>
  <c r="F2239" i="116"/>
  <c r="E2239" i="116"/>
  <c r="D2239" i="116"/>
  <c r="C2239" i="116"/>
  <c r="B2239" i="116"/>
  <c r="K2238" i="116"/>
  <c r="J2238" i="116"/>
  <c r="I2238" i="116"/>
  <c r="H2238" i="116"/>
  <c r="G2238" i="116"/>
  <c r="F2238" i="116"/>
  <c r="E2238" i="116"/>
  <c r="D2238" i="116"/>
  <c r="C2238" i="116"/>
  <c r="B2238" i="116"/>
  <c r="K2237" i="116"/>
  <c r="J2237" i="116"/>
  <c r="I2237" i="116"/>
  <c r="H2237" i="116"/>
  <c r="G2237" i="116"/>
  <c r="F2237" i="116"/>
  <c r="E2237" i="116"/>
  <c r="D2237" i="116"/>
  <c r="C2237" i="116"/>
  <c r="B2237" i="116"/>
  <c r="K2236" i="116"/>
  <c r="J2236" i="116"/>
  <c r="I2236" i="116"/>
  <c r="H2236" i="116"/>
  <c r="G2236" i="116"/>
  <c r="F2236" i="116"/>
  <c r="E2236" i="116"/>
  <c r="D2236" i="116"/>
  <c r="C2236" i="116"/>
  <c r="B2236" i="116"/>
  <c r="K2235" i="116"/>
  <c r="J2235" i="116"/>
  <c r="I2235" i="116"/>
  <c r="H2235" i="116"/>
  <c r="G2235" i="116"/>
  <c r="F2235" i="116"/>
  <c r="E2235" i="116"/>
  <c r="D2235" i="116"/>
  <c r="C2235" i="116"/>
  <c r="B2235" i="116"/>
  <c r="K2234" i="116"/>
  <c r="J2234" i="116"/>
  <c r="I2234" i="116"/>
  <c r="H2234" i="116"/>
  <c r="G2234" i="116"/>
  <c r="F2234" i="116"/>
  <c r="E2234" i="116"/>
  <c r="D2234" i="116"/>
  <c r="C2234" i="116"/>
  <c r="B2234" i="116"/>
  <c r="K2233" i="116"/>
  <c r="J2233" i="116"/>
  <c r="I2233" i="116"/>
  <c r="H2233" i="116"/>
  <c r="G2233" i="116"/>
  <c r="F2233" i="116"/>
  <c r="E2233" i="116"/>
  <c r="D2233" i="116"/>
  <c r="C2233" i="116"/>
  <c r="B2233" i="116"/>
  <c r="K2232" i="116"/>
  <c r="J2232" i="116"/>
  <c r="I2232" i="116"/>
  <c r="H2232" i="116"/>
  <c r="G2232" i="116"/>
  <c r="F2232" i="116"/>
  <c r="E2232" i="116"/>
  <c r="D2232" i="116"/>
  <c r="C2232" i="116"/>
  <c r="B2232" i="116"/>
  <c r="K2231" i="116"/>
  <c r="J2231" i="116"/>
  <c r="I2231" i="116"/>
  <c r="H2231" i="116"/>
  <c r="G2231" i="116"/>
  <c r="F2231" i="116"/>
  <c r="E2231" i="116"/>
  <c r="D2231" i="116"/>
  <c r="C2231" i="116"/>
  <c r="B2231" i="116"/>
  <c r="K2230" i="116"/>
  <c r="J2230" i="116"/>
  <c r="I2230" i="116"/>
  <c r="H2230" i="116"/>
  <c r="G2230" i="116"/>
  <c r="F2230" i="116"/>
  <c r="E2230" i="116"/>
  <c r="D2230" i="116"/>
  <c r="C2230" i="116"/>
  <c r="B2230" i="116"/>
  <c r="K2229" i="116"/>
  <c r="J2229" i="116"/>
  <c r="I2229" i="116"/>
  <c r="H2229" i="116"/>
  <c r="G2229" i="116"/>
  <c r="F2229" i="116"/>
  <c r="E2229" i="116"/>
  <c r="D2229" i="116"/>
  <c r="C2229" i="116"/>
  <c r="B2229" i="116"/>
  <c r="K2228" i="116"/>
  <c r="J2228" i="116"/>
  <c r="I2228" i="116"/>
  <c r="H2228" i="116"/>
  <c r="G2228" i="116"/>
  <c r="F2228" i="116"/>
  <c r="E2228" i="116"/>
  <c r="D2228" i="116"/>
  <c r="C2228" i="116"/>
  <c r="B2228" i="116"/>
  <c r="K2227" i="116"/>
  <c r="J2227" i="116"/>
  <c r="I2227" i="116"/>
  <c r="H2227" i="116"/>
  <c r="G2227" i="116"/>
  <c r="F2227" i="116"/>
  <c r="E2227" i="116"/>
  <c r="D2227" i="116"/>
  <c r="C2227" i="116"/>
  <c r="B2227" i="116"/>
  <c r="K2226" i="116"/>
  <c r="J2226" i="116"/>
  <c r="I2226" i="116"/>
  <c r="H2226" i="116"/>
  <c r="G2226" i="116"/>
  <c r="F2226" i="116"/>
  <c r="E2226" i="116"/>
  <c r="D2226" i="116"/>
  <c r="C2226" i="116"/>
  <c r="B2226" i="116"/>
  <c r="K2225" i="116"/>
  <c r="J2225" i="116"/>
  <c r="I2225" i="116"/>
  <c r="H2225" i="116"/>
  <c r="G2225" i="116"/>
  <c r="F2225" i="116"/>
  <c r="E2225" i="116"/>
  <c r="D2225" i="116"/>
  <c r="C2225" i="116"/>
  <c r="B2225" i="116"/>
  <c r="K2224" i="116"/>
  <c r="J2224" i="116"/>
  <c r="I2224" i="116"/>
  <c r="H2224" i="116"/>
  <c r="G2224" i="116"/>
  <c r="F2224" i="116"/>
  <c r="E2224" i="116"/>
  <c r="D2224" i="116"/>
  <c r="C2224" i="116"/>
  <c r="B2224" i="116"/>
  <c r="K2223" i="116"/>
  <c r="J2223" i="116"/>
  <c r="I2223" i="116"/>
  <c r="H2223" i="116"/>
  <c r="G2223" i="116"/>
  <c r="F2223" i="116"/>
  <c r="E2223" i="116"/>
  <c r="D2223" i="116"/>
  <c r="C2223" i="116"/>
  <c r="B2223" i="116"/>
  <c r="K2222" i="116"/>
  <c r="J2222" i="116"/>
  <c r="I2222" i="116"/>
  <c r="H2222" i="116"/>
  <c r="G2222" i="116"/>
  <c r="F2222" i="116"/>
  <c r="E2222" i="116"/>
  <c r="D2222" i="116"/>
  <c r="C2222" i="116"/>
  <c r="B2222" i="116"/>
  <c r="K2221" i="116"/>
  <c r="J2221" i="116"/>
  <c r="I2221" i="116"/>
  <c r="H2221" i="116"/>
  <c r="G2221" i="116"/>
  <c r="F2221" i="116"/>
  <c r="E2221" i="116"/>
  <c r="D2221" i="116"/>
  <c r="C2221" i="116"/>
  <c r="B2221" i="116"/>
  <c r="K2220" i="116"/>
  <c r="J2220" i="116"/>
  <c r="I2220" i="116"/>
  <c r="H2220" i="116"/>
  <c r="G2220" i="116"/>
  <c r="F2220" i="116"/>
  <c r="E2220" i="116"/>
  <c r="D2220" i="116"/>
  <c r="C2220" i="116"/>
  <c r="B2220" i="116"/>
  <c r="K2219" i="116"/>
  <c r="J2219" i="116"/>
  <c r="I2219" i="116"/>
  <c r="H2219" i="116"/>
  <c r="G2219" i="116"/>
  <c r="F2219" i="116"/>
  <c r="E2219" i="116"/>
  <c r="D2219" i="116"/>
  <c r="C2219" i="116"/>
  <c r="B2219" i="116"/>
  <c r="K2218" i="116"/>
  <c r="J2218" i="116"/>
  <c r="I2218" i="116"/>
  <c r="H2218" i="116"/>
  <c r="G2218" i="116"/>
  <c r="F2218" i="116"/>
  <c r="E2218" i="116"/>
  <c r="D2218" i="116"/>
  <c r="C2218" i="116"/>
  <c r="B2218" i="116"/>
  <c r="K2217" i="116"/>
  <c r="J2217" i="116"/>
  <c r="I2217" i="116"/>
  <c r="H2217" i="116"/>
  <c r="G2217" i="116"/>
  <c r="F2217" i="116"/>
  <c r="E2217" i="116"/>
  <c r="D2217" i="116"/>
  <c r="C2217" i="116"/>
  <c r="B2217" i="116"/>
  <c r="K2216" i="116"/>
  <c r="J2216" i="116"/>
  <c r="I2216" i="116"/>
  <c r="H2216" i="116"/>
  <c r="G2216" i="116"/>
  <c r="F2216" i="116"/>
  <c r="E2216" i="116"/>
  <c r="D2216" i="116"/>
  <c r="C2216" i="116"/>
  <c r="B2216" i="116"/>
  <c r="K2215" i="116"/>
  <c r="J2215" i="116"/>
  <c r="I2215" i="116"/>
  <c r="H2215" i="116"/>
  <c r="G2215" i="116"/>
  <c r="F2215" i="116"/>
  <c r="E2215" i="116"/>
  <c r="D2215" i="116"/>
  <c r="C2215" i="116"/>
  <c r="B2215" i="116"/>
  <c r="K2214" i="116"/>
  <c r="J2214" i="116"/>
  <c r="I2214" i="116"/>
  <c r="H2214" i="116"/>
  <c r="G2214" i="116"/>
  <c r="F2214" i="116"/>
  <c r="E2214" i="116"/>
  <c r="D2214" i="116"/>
  <c r="C2214" i="116"/>
  <c r="B2214" i="116"/>
  <c r="K2213" i="116"/>
  <c r="J2213" i="116"/>
  <c r="I2213" i="116"/>
  <c r="H2213" i="116"/>
  <c r="G2213" i="116"/>
  <c r="F2213" i="116"/>
  <c r="E2213" i="116"/>
  <c r="D2213" i="116"/>
  <c r="C2213" i="116"/>
  <c r="B2213" i="116"/>
  <c r="K2212" i="116"/>
  <c r="J2212" i="116"/>
  <c r="I2212" i="116"/>
  <c r="H2212" i="116"/>
  <c r="G2212" i="116"/>
  <c r="F2212" i="116"/>
  <c r="E2212" i="116"/>
  <c r="D2212" i="116"/>
  <c r="C2212" i="116"/>
  <c r="B2212" i="116"/>
  <c r="K2211" i="116"/>
  <c r="J2211" i="116"/>
  <c r="I2211" i="116"/>
  <c r="H2211" i="116"/>
  <c r="G2211" i="116"/>
  <c r="F2211" i="116"/>
  <c r="E2211" i="116"/>
  <c r="D2211" i="116"/>
  <c r="C2211" i="116"/>
  <c r="B2211" i="116"/>
  <c r="K2210" i="116"/>
  <c r="J2210" i="116"/>
  <c r="I2210" i="116"/>
  <c r="H2210" i="116"/>
  <c r="G2210" i="116"/>
  <c r="F2210" i="116"/>
  <c r="E2210" i="116"/>
  <c r="D2210" i="116"/>
  <c r="C2210" i="116"/>
  <c r="B2210" i="116"/>
  <c r="K2209" i="116"/>
  <c r="J2209" i="116"/>
  <c r="I2209" i="116"/>
  <c r="H2209" i="116"/>
  <c r="G2209" i="116"/>
  <c r="F2209" i="116"/>
  <c r="E2209" i="116"/>
  <c r="D2209" i="116"/>
  <c r="C2209" i="116"/>
  <c r="B2209" i="116"/>
  <c r="K2208" i="116"/>
  <c r="J2208" i="116"/>
  <c r="I2208" i="116"/>
  <c r="H2208" i="116"/>
  <c r="G2208" i="116"/>
  <c r="F2208" i="116"/>
  <c r="E2208" i="116"/>
  <c r="D2208" i="116"/>
  <c r="C2208" i="116"/>
  <c r="B2208" i="116"/>
  <c r="K2207" i="116"/>
  <c r="J2207" i="116"/>
  <c r="I2207" i="116"/>
  <c r="H2207" i="116"/>
  <c r="G2207" i="116"/>
  <c r="F2207" i="116"/>
  <c r="E2207" i="116"/>
  <c r="D2207" i="116"/>
  <c r="C2207" i="116"/>
  <c r="B2207" i="116"/>
  <c r="K2206" i="116"/>
  <c r="J2206" i="116"/>
  <c r="I2206" i="116"/>
  <c r="H2206" i="116"/>
  <c r="G2206" i="116"/>
  <c r="F2206" i="116"/>
  <c r="E2206" i="116"/>
  <c r="D2206" i="116"/>
  <c r="C2206" i="116"/>
  <c r="B2206" i="116"/>
  <c r="K2205" i="116"/>
  <c r="J2205" i="116"/>
  <c r="I2205" i="116"/>
  <c r="H2205" i="116"/>
  <c r="G2205" i="116"/>
  <c r="F2205" i="116"/>
  <c r="E2205" i="116"/>
  <c r="D2205" i="116"/>
  <c r="C2205" i="116"/>
  <c r="B2205" i="116"/>
  <c r="K2204" i="116"/>
  <c r="J2204" i="116"/>
  <c r="I2204" i="116"/>
  <c r="H2204" i="116"/>
  <c r="G2204" i="116"/>
  <c r="F2204" i="116"/>
  <c r="E2204" i="116"/>
  <c r="D2204" i="116"/>
  <c r="C2204" i="116"/>
  <c r="B2204" i="116"/>
  <c r="K2203" i="116"/>
  <c r="J2203" i="116"/>
  <c r="I2203" i="116"/>
  <c r="H2203" i="116"/>
  <c r="G2203" i="116"/>
  <c r="F2203" i="116"/>
  <c r="E2203" i="116"/>
  <c r="D2203" i="116"/>
  <c r="C2203" i="116"/>
  <c r="B2203" i="116"/>
  <c r="K2202" i="116"/>
  <c r="J2202" i="116"/>
  <c r="I2202" i="116"/>
  <c r="H2202" i="116"/>
  <c r="G2202" i="116"/>
  <c r="F2202" i="116"/>
  <c r="E2202" i="116"/>
  <c r="D2202" i="116"/>
  <c r="C2202" i="116"/>
  <c r="B2202" i="116"/>
  <c r="K2201" i="116"/>
  <c r="J2201" i="116"/>
  <c r="I2201" i="116"/>
  <c r="H2201" i="116"/>
  <c r="G2201" i="116"/>
  <c r="F2201" i="116"/>
  <c r="E2201" i="116"/>
  <c r="D2201" i="116"/>
  <c r="C2201" i="116"/>
  <c r="B2201" i="116"/>
  <c r="K2200" i="116"/>
  <c r="J2200" i="116"/>
  <c r="I2200" i="116"/>
  <c r="H2200" i="116"/>
  <c r="G2200" i="116"/>
  <c r="F2200" i="116"/>
  <c r="E2200" i="116"/>
  <c r="D2200" i="116"/>
  <c r="C2200" i="116"/>
  <c r="B2200" i="116"/>
  <c r="K2199" i="116"/>
  <c r="J2199" i="116"/>
  <c r="I2199" i="116"/>
  <c r="H2199" i="116"/>
  <c r="G2199" i="116"/>
  <c r="F2199" i="116"/>
  <c r="E2199" i="116"/>
  <c r="D2199" i="116"/>
  <c r="C2199" i="116"/>
  <c r="B2199" i="116"/>
  <c r="K2198" i="116"/>
  <c r="J2198" i="116"/>
  <c r="I2198" i="116"/>
  <c r="H2198" i="116"/>
  <c r="G2198" i="116"/>
  <c r="F2198" i="116"/>
  <c r="E2198" i="116"/>
  <c r="D2198" i="116"/>
  <c r="C2198" i="116"/>
  <c r="B2198" i="116"/>
  <c r="K2197" i="116"/>
  <c r="J2197" i="116"/>
  <c r="I2197" i="116"/>
  <c r="H2197" i="116"/>
  <c r="G2197" i="116"/>
  <c r="F2197" i="116"/>
  <c r="E2197" i="116"/>
  <c r="D2197" i="116"/>
  <c r="C2197" i="116"/>
  <c r="B2197" i="116"/>
  <c r="K2196" i="116"/>
  <c r="J2196" i="116"/>
  <c r="I2196" i="116"/>
  <c r="H2196" i="116"/>
  <c r="G2196" i="116"/>
  <c r="F2196" i="116"/>
  <c r="E2196" i="116"/>
  <c r="D2196" i="116"/>
  <c r="C2196" i="116"/>
  <c r="B2196" i="116"/>
  <c r="K2195" i="116"/>
  <c r="J2195" i="116"/>
  <c r="I2195" i="116"/>
  <c r="H2195" i="116"/>
  <c r="G2195" i="116"/>
  <c r="F2195" i="116"/>
  <c r="E2195" i="116"/>
  <c r="D2195" i="116"/>
  <c r="C2195" i="116"/>
  <c r="B2195" i="116"/>
  <c r="K2194" i="116"/>
  <c r="J2194" i="116"/>
  <c r="I2194" i="116"/>
  <c r="H2194" i="116"/>
  <c r="G2194" i="116"/>
  <c r="F2194" i="116"/>
  <c r="E2194" i="116"/>
  <c r="D2194" i="116"/>
  <c r="C2194" i="116"/>
  <c r="B2194" i="116"/>
  <c r="K2193" i="116"/>
  <c r="J2193" i="116"/>
  <c r="I2193" i="116"/>
  <c r="H2193" i="116"/>
  <c r="G2193" i="116"/>
  <c r="F2193" i="116"/>
  <c r="E2193" i="116"/>
  <c r="D2193" i="116"/>
  <c r="C2193" i="116"/>
  <c r="B2193" i="116"/>
  <c r="K2192" i="116"/>
  <c r="J2192" i="116"/>
  <c r="I2192" i="116"/>
  <c r="H2192" i="116"/>
  <c r="G2192" i="116"/>
  <c r="F2192" i="116"/>
  <c r="E2192" i="116"/>
  <c r="D2192" i="116"/>
  <c r="C2192" i="116"/>
  <c r="B2192" i="116"/>
  <c r="K2191" i="116"/>
  <c r="J2191" i="116"/>
  <c r="I2191" i="116"/>
  <c r="H2191" i="116"/>
  <c r="G2191" i="116"/>
  <c r="F2191" i="116"/>
  <c r="E2191" i="116"/>
  <c r="D2191" i="116"/>
  <c r="C2191" i="116"/>
  <c r="B2191" i="116"/>
  <c r="K2190" i="116"/>
  <c r="J2190" i="116"/>
  <c r="I2190" i="116"/>
  <c r="H2190" i="116"/>
  <c r="G2190" i="116"/>
  <c r="F2190" i="116"/>
  <c r="E2190" i="116"/>
  <c r="D2190" i="116"/>
  <c r="C2190" i="116"/>
  <c r="B2190" i="116"/>
  <c r="K2189" i="116"/>
  <c r="J2189" i="116"/>
  <c r="I2189" i="116"/>
  <c r="H2189" i="116"/>
  <c r="G2189" i="116"/>
  <c r="F2189" i="116"/>
  <c r="E2189" i="116"/>
  <c r="D2189" i="116"/>
  <c r="C2189" i="116"/>
  <c r="B2189" i="116"/>
  <c r="K2188" i="116"/>
  <c r="J2188" i="116"/>
  <c r="I2188" i="116"/>
  <c r="H2188" i="116"/>
  <c r="G2188" i="116"/>
  <c r="F2188" i="116"/>
  <c r="E2188" i="116"/>
  <c r="D2188" i="116"/>
  <c r="C2188" i="116"/>
  <c r="B2188" i="116"/>
  <c r="K2187" i="116"/>
  <c r="J2187" i="116"/>
  <c r="I2187" i="116"/>
  <c r="H2187" i="116"/>
  <c r="G2187" i="116"/>
  <c r="F2187" i="116"/>
  <c r="E2187" i="116"/>
  <c r="D2187" i="116"/>
  <c r="C2187" i="116"/>
  <c r="B2187" i="116"/>
  <c r="K2186" i="116"/>
  <c r="J2186" i="116"/>
  <c r="I2186" i="116"/>
  <c r="H2186" i="116"/>
  <c r="G2186" i="116"/>
  <c r="F2186" i="116"/>
  <c r="E2186" i="116"/>
  <c r="D2186" i="116"/>
  <c r="C2186" i="116"/>
  <c r="B2186" i="116"/>
  <c r="K2185" i="116"/>
  <c r="J2185" i="116"/>
  <c r="I2185" i="116"/>
  <c r="H2185" i="116"/>
  <c r="G2185" i="116"/>
  <c r="F2185" i="116"/>
  <c r="E2185" i="116"/>
  <c r="D2185" i="116"/>
  <c r="C2185" i="116"/>
  <c r="B2185" i="116"/>
  <c r="K2184" i="116"/>
  <c r="J2184" i="116"/>
  <c r="I2184" i="116"/>
  <c r="H2184" i="116"/>
  <c r="G2184" i="116"/>
  <c r="F2184" i="116"/>
  <c r="E2184" i="116"/>
  <c r="D2184" i="116"/>
  <c r="C2184" i="116"/>
  <c r="B2184" i="116"/>
  <c r="K2183" i="116"/>
  <c r="J2183" i="116"/>
  <c r="I2183" i="116"/>
  <c r="H2183" i="116"/>
  <c r="G2183" i="116"/>
  <c r="F2183" i="116"/>
  <c r="E2183" i="116"/>
  <c r="D2183" i="116"/>
  <c r="C2183" i="116"/>
  <c r="B2183" i="116"/>
  <c r="K2182" i="116"/>
  <c r="J2182" i="116"/>
  <c r="I2182" i="116"/>
  <c r="H2182" i="116"/>
  <c r="G2182" i="116"/>
  <c r="F2182" i="116"/>
  <c r="E2182" i="116"/>
  <c r="D2182" i="116"/>
  <c r="C2182" i="116"/>
  <c r="B2182" i="116"/>
  <c r="K2181" i="116"/>
  <c r="J2181" i="116"/>
  <c r="I2181" i="116"/>
  <c r="H2181" i="116"/>
  <c r="G2181" i="116"/>
  <c r="F2181" i="116"/>
  <c r="E2181" i="116"/>
  <c r="D2181" i="116"/>
  <c r="C2181" i="116"/>
  <c r="B2181" i="116"/>
  <c r="K2180" i="116"/>
  <c r="J2180" i="116"/>
  <c r="I2180" i="116"/>
  <c r="H2180" i="116"/>
  <c r="G2180" i="116"/>
  <c r="F2180" i="116"/>
  <c r="E2180" i="116"/>
  <c r="D2180" i="116"/>
  <c r="C2180" i="116"/>
  <c r="B2180" i="116"/>
  <c r="K2179" i="116"/>
  <c r="J2179" i="116"/>
  <c r="I2179" i="116"/>
  <c r="H2179" i="116"/>
  <c r="G2179" i="116"/>
  <c r="F2179" i="116"/>
  <c r="E2179" i="116"/>
  <c r="D2179" i="116"/>
  <c r="C2179" i="116"/>
  <c r="B2179" i="116"/>
  <c r="K2178" i="116"/>
  <c r="J2178" i="116"/>
  <c r="I2178" i="116"/>
  <c r="H2178" i="116"/>
  <c r="G2178" i="116"/>
  <c r="F2178" i="116"/>
  <c r="E2178" i="116"/>
  <c r="D2178" i="116"/>
  <c r="C2178" i="116"/>
  <c r="B2178" i="116"/>
  <c r="K2177" i="116"/>
  <c r="J2177" i="116"/>
  <c r="I2177" i="116"/>
  <c r="H2177" i="116"/>
  <c r="G2177" i="116"/>
  <c r="F2177" i="116"/>
  <c r="E2177" i="116"/>
  <c r="D2177" i="116"/>
  <c r="C2177" i="116"/>
  <c r="B2177" i="116"/>
  <c r="K2176" i="116"/>
  <c r="J2176" i="116"/>
  <c r="I2176" i="116"/>
  <c r="H2176" i="116"/>
  <c r="G2176" i="116"/>
  <c r="F2176" i="116"/>
  <c r="E2176" i="116"/>
  <c r="D2176" i="116"/>
  <c r="C2176" i="116"/>
  <c r="B2176" i="116"/>
  <c r="K2175" i="116"/>
  <c r="J2175" i="116"/>
  <c r="I2175" i="116"/>
  <c r="H2175" i="116"/>
  <c r="G2175" i="116"/>
  <c r="F2175" i="116"/>
  <c r="E2175" i="116"/>
  <c r="D2175" i="116"/>
  <c r="C2175" i="116"/>
  <c r="B2175" i="116"/>
  <c r="K2174" i="116"/>
  <c r="J2174" i="116"/>
  <c r="I2174" i="116"/>
  <c r="H2174" i="116"/>
  <c r="G2174" i="116"/>
  <c r="F2174" i="116"/>
  <c r="E2174" i="116"/>
  <c r="D2174" i="116"/>
  <c r="C2174" i="116"/>
  <c r="B2174" i="116"/>
  <c r="K2173" i="116"/>
  <c r="J2173" i="116"/>
  <c r="I2173" i="116"/>
  <c r="H2173" i="116"/>
  <c r="G2173" i="116"/>
  <c r="F2173" i="116"/>
  <c r="E2173" i="116"/>
  <c r="D2173" i="116"/>
  <c r="C2173" i="116"/>
  <c r="B2173" i="116"/>
  <c r="K2172" i="116"/>
  <c r="J2172" i="116"/>
  <c r="I2172" i="116"/>
  <c r="H2172" i="116"/>
  <c r="G2172" i="116"/>
  <c r="F2172" i="116"/>
  <c r="E2172" i="116"/>
  <c r="D2172" i="116"/>
  <c r="C2172" i="116"/>
  <c r="B2172" i="116"/>
  <c r="K2171" i="116"/>
  <c r="J2171" i="116"/>
  <c r="I2171" i="116"/>
  <c r="H2171" i="116"/>
  <c r="G2171" i="116"/>
  <c r="F2171" i="116"/>
  <c r="E2171" i="116"/>
  <c r="D2171" i="116"/>
  <c r="C2171" i="116"/>
  <c r="B2171" i="116"/>
  <c r="K2170" i="116"/>
  <c r="J2170" i="116"/>
  <c r="I2170" i="116"/>
  <c r="H2170" i="116"/>
  <c r="G2170" i="116"/>
  <c r="F2170" i="116"/>
  <c r="E2170" i="116"/>
  <c r="D2170" i="116"/>
  <c r="C2170" i="116"/>
  <c r="B2170" i="116"/>
  <c r="K2169" i="116"/>
  <c r="J2169" i="116"/>
  <c r="I2169" i="116"/>
  <c r="H2169" i="116"/>
  <c r="G2169" i="116"/>
  <c r="F2169" i="116"/>
  <c r="E2169" i="116"/>
  <c r="D2169" i="116"/>
  <c r="C2169" i="116"/>
  <c r="B2169" i="116"/>
  <c r="K2168" i="116"/>
  <c r="J2168" i="116"/>
  <c r="I2168" i="116"/>
  <c r="H2168" i="116"/>
  <c r="G2168" i="116"/>
  <c r="F2168" i="116"/>
  <c r="E2168" i="116"/>
  <c r="D2168" i="116"/>
  <c r="C2168" i="116"/>
  <c r="B2168" i="116"/>
  <c r="K2167" i="116"/>
  <c r="J2167" i="116"/>
  <c r="I2167" i="116"/>
  <c r="H2167" i="116"/>
  <c r="G2167" i="116"/>
  <c r="F2167" i="116"/>
  <c r="E2167" i="116"/>
  <c r="D2167" i="116"/>
  <c r="C2167" i="116"/>
  <c r="B2167" i="116"/>
  <c r="K2166" i="116"/>
  <c r="J2166" i="116"/>
  <c r="I2166" i="116"/>
  <c r="H2166" i="116"/>
  <c r="G2166" i="116"/>
  <c r="F2166" i="116"/>
  <c r="E2166" i="116"/>
  <c r="D2166" i="116"/>
  <c r="C2166" i="116"/>
  <c r="B2166" i="116"/>
  <c r="K2165" i="116"/>
  <c r="J2165" i="116"/>
  <c r="I2165" i="116"/>
  <c r="H2165" i="116"/>
  <c r="G2165" i="116"/>
  <c r="F2165" i="116"/>
  <c r="E2165" i="116"/>
  <c r="D2165" i="116"/>
  <c r="C2165" i="116"/>
  <c r="B2165" i="116"/>
  <c r="K2164" i="116"/>
  <c r="J2164" i="116"/>
  <c r="I2164" i="116"/>
  <c r="H2164" i="116"/>
  <c r="G2164" i="116"/>
  <c r="F2164" i="116"/>
  <c r="E2164" i="116"/>
  <c r="D2164" i="116"/>
  <c r="C2164" i="116"/>
  <c r="B2164" i="116"/>
  <c r="K2163" i="116"/>
  <c r="J2163" i="116"/>
  <c r="I2163" i="116"/>
  <c r="H2163" i="116"/>
  <c r="G2163" i="116"/>
  <c r="F2163" i="116"/>
  <c r="E2163" i="116"/>
  <c r="D2163" i="116"/>
  <c r="C2163" i="116"/>
  <c r="B2163" i="116"/>
  <c r="K2162" i="116"/>
  <c r="J2162" i="116"/>
  <c r="I2162" i="116"/>
  <c r="H2162" i="116"/>
  <c r="G2162" i="116"/>
  <c r="F2162" i="116"/>
  <c r="E2162" i="116"/>
  <c r="D2162" i="116"/>
  <c r="C2162" i="116"/>
  <c r="B2162" i="116"/>
  <c r="K2161" i="116"/>
  <c r="J2161" i="116"/>
  <c r="I2161" i="116"/>
  <c r="H2161" i="116"/>
  <c r="G2161" i="116"/>
  <c r="F2161" i="116"/>
  <c r="E2161" i="116"/>
  <c r="D2161" i="116"/>
  <c r="C2161" i="116"/>
  <c r="B2161" i="116"/>
  <c r="K2160" i="116"/>
  <c r="J2160" i="116"/>
  <c r="I2160" i="116"/>
  <c r="H2160" i="116"/>
  <c r="G2160" i="116"/>
  <c r="F2160" i="116"/>
  <c r="E2160" i="116"/>
  <c r="D2160" i="116"/>
  <c r="C2160" i="116"/>
  <c r="B2160" i="116"/>
  <c r="K2159" i="116"/>
  <c r="J2159" i="116"/>
  <c r="I2159" i="116"/>
  <c r="H2159" i="116"/>
  <c r="G2159" i="116"/>
  <c r="F2159" i="116"/>
  <c r="E2159" i="116"/>
  <c r="D2159" i="116"/>
  <c r="C2159" i="116"/>
  <c r="B2159" i="116"/>
  <c r="K2158" i="116"/>
  <c r="J2158" i="116"/>
  <c r="I2158" i="116"/>
  <c r="H2158" i="116"/>
  <c r="G2158" i="116"/>
  <c r="F2158" i="116"/>
  <c r="E2158" i="116"/>
  <c r="D2158" i="116"/>
  <c r="C2158" i="116"/>
  <c r="B2158" i="116"/>
  <c r="K2157" i="116"/>
  <c r="J2157" i="116"/>
  <c r="I2157" i="116"/>
  <c r="H2157" i="116"/>
  <c r="G2157" i="116"/>
  <c r="F2157" i="116"/>
  <c r="E2157" i="116"/>
  <c r="D2157" i="116"/>
  <c r="C2157" i="116"/>
  <c r="B2157" i="116"/>
  <c r="K2156" i="116"/>
  <c r="J2156" i="116"/>
  <c r="I2156" i="116"/>
  <c r="H2156" i="116"/>
  <c r="G2156" i="116"/>
  <c r="F2156" i="116"/>
  <c r="E2156" i="116"/>
  <c r="D2156" i="116"/>
  <c r="C2156" i="116"/>
  <c r="B2156" i="116"/>
  <c r="K2155" i="116"/>
  <c r="J2155" i="116"/>
  <c r="I2155" i="116"/>
  <c r="H2155" i="116"/>
  <c r="G2155" i="116"/>
  <c r="F2155" i="116"/>
  <c r="E2155" i="116"/>
  <c r="D2155" i="116"/>
  <c r="C2155" i="116"/>
  <c r="B2155" i="116"/>
  <c r="K2154" i="116"/>
  <c r="J2154" i="116"/>
  <c r="I2154" i="116"/>
  <c r="H2154" i="116"/>
  <c r="G2154" i="116"/>
  <c r="F2154" i="116"/>
  <c r="E2154" i="116"/>
  <c r="D2154" i="116"/>
  <c r="C2154" i="116"/>
  <c r="B2154" i="116"/>
  <c r="K2153" i="116"/>
  <c r="J2153" i="116"/>
  <c r="I2153" i="116"/>
  <c r="H2153" i="116"/>
  <c r="G2153" i="116"/>
  <c r="F2153" i="116"/>
  <c r="E2153" i="116"/>
  <c r="D2153" i="116"/>
  <c r="C2153" i="116"/>
  <c r="B2153" i="116"/>
  <c r="K2152" i="116"/>
  <c r="J2152" i="116"/>
  <c r="I2152" i="116"/>
  <c r="H2152" i="116"/>
  <c r="G2152" i="116"/>
  <c r="F2152" i="116"/>
  <c r="E2152" i="116"/>
  <c r="D2152" i="116"/>
  <c r="C2152" i="116"/>
  <c r="B2152" i="116"/>
  <c r="K2151" i="116"/>
  <c r="J2151" i="116"/>
  <c r="I2151" i="116"/>
  <c r="H2151" i="116"/>
  <c r="G2151" i="116"/>
  <c r="F2151" i="116"/>
  <c r="E2151" i="116"/>
  <c r="D2151" i="116"/>
  <c r="C2151" i="116"/>
  <c r="B2151" i="116"/>
  <c r="K2150" i="116"/>
  <c r="J2150" i="116"/>
  <c r="I2150" i="116"/>
  <c r="H2150" i="116"/>
  <c r="G2150" i="116"/>
  <c r="F2150" i="116"/>
  <c r="E2150" i="116"/>
  <c r="D2150" i="116"/>
  <c r="C2150" i="116"/>
  <c r="B2150" i="116"/>
  <c r="K2149" i="116"/>
  <c r="J2149" i="116"/>
  <c r="I2149" i="116"/>
  <c r="H2149" i="116"/>
  <c r="G2149" i="116"/>
  <c r="F2149" i="116"/>
  <c r="E2149" i="116"/>
  <c r="D2149" i="116"/>
  <c r="C2149" i="116"/>
  <c r="B2149" i="116"/>
  <c r="K2148" i="116"/>
  <c r="J2148" i="116"/>
  <c r="I2148" i="116"/>
  <c r="H2148" i="116"/>
  <c r="G2148" i="116"/>
  <c r="F2148" i="116"/>
  <c r="E2148" i="116"/>
  <c r="D2148" i="116"/>
  <c r="C2148" i="116"/>
  <c r="B2148" i="116"/>
  <c r="K2147" i="116"/>
  <c r="J2147" i="116"/>
  <c r="I2147" i="116"/>
  <c r="H2147" i="116"/>
  <c r="G2147" i="116"/>
  <c r="F2147" i="116"/>
  <c r="E2147" i="116"/>
  <c r="D2147" i="116"/>
  <c r="C2147" i="116"/>
  <c r="B2147" i="116"/>
  <c r="K2146" i="116"/>
  <c r="J2146" i="116"/>
  <c r="I2146" i="116"/>
  <c r="H2146" i="116"/>
  <c r="G2146" i="116"/>
  <c r="F2146" i="116"/>
  <c r="E2146" i="116"/>
  <c r="D2146" i="116"/>
  <c r="C2146" i="116"/>
  <c r="B2146" i="116"/>
  <c r="K2145" i="116"/>
  <c r="J2145" i="116"/>
  <c r="I2145" i="116"/>
  <c r="H2145" i="116"/>
  <c r="G2145" i="116"/>
  <c r="F2145" i="116"/>
  <c r="E2145" i="116"/>
  <c r="D2145" i="116"/>
  <c r="C2145" i="116"/>
  <c r="B2145" i="116"/>
  <c r="K2144" i="116"/>
  <c r="J2144" i="116"/>
  <c r="I2144" i="116"/>
  <c r="H2144" i="116"/>
  <c r="G2144" i="116"/>
  <c r="F2144" i="116"/>
  <c r="E2144" i="116"/>
  <c r="D2144" i="116"/>
  <c r="C2144" i="116"/>
  <c r="B2144" i="116"/>
  <c r="K2143" i="116"/>
  <c r="J2143" i="116"/>
  <c r="I2143" i="116"/>
  <c r="H2143" i="116"/>
  <c r="G2143" i="116"/>
  <c r="F2143" i="116"/>
  <c r="E2143" i="116"/>
  <c r="D2143" i="116"/>
  <c r="C2143" i="116"/>
  <c r="B2143" i="116"/>
  <c r="K2142" i="116"/>
  <c r="J2142" i="116"/>
  <c r="I2142" i="116"/>
  <c r="H2142" i="116"/>
  <c r="G2142" i="116"/>
  <c r="F2142" i="116"/>
  <c r="E2142" i="116"/>
  <c r="D2142" i="116"/>
  <c r="C2142" i="116"/>
  <c r="B2142" i="116"/>
  <c r="K2141" i="116"/>
  <c r="J2141" i="116"/>
  <c r="I2141" i="116"/>
  <c r="H2141" i="116"/>
  <c r="G2141" i="116"/>
  <c r="F2141" i="116"/>
  <c r="E2141" i="116"/>
  <c r="D2141" i="116"/>
  <c r="C2141" i="116"/>
  <c r="B2141" i="116"/>
  <c r="K2140" i="116"/>
  <c r="J2140" i="116"/>
  <c r="I2140" i="116"/>
  <c r="H2140" i="116"/>
  <c r="G2140" i="116"/>
  <c r="F2140" i="116"/>
  <c r="E2140" i="116"/>
  <c r="D2140" i="116"/>
  <c r="C2140" i="116"/>
  <c r="B2140" i="116"/>
  <c r="K2139" i="116"/>
  <c r="J2139" i="116"/>
  <c r="I2139" i="116"/>
  <c r="H2139" i="116"/>
  <c r="G2139" i="116"/>
  <c r="F2139" i="116"/>
  <c r="E2139" i="116"/>
  <c r="D2139" i="116"/>
  <c r="C2139" i="116"/>
  <c r="B2139" i="116"/>
  <c r="K2138" i="116"/>
  <c r="J2138" i="116"/>
  <c r="I2138" i="116"/>
  <c r="H2138" i="116"/>
  <c r="G2138" i="116"/>
  <c r="F2138" i="116"/>
  <c r="E2138" i="116"/>
  <c r="D2138" i="116"/>
  <c r="C2138" i="116"/>
  <c r="B2138" i="116"/>
  <c r="K2137" i="116"/>
  <c r="J2137" i="116"/>
  <c r="I2137" i="116"/>
  <c r="H2137" i="116"/>
  <c r="G2137" i="116"/>
  <c r="F2137" i="116"/>
  <c r="E2137" i="116"/>
  <c r="D2137" i="116"/>
  <c r="C2137" i="116"/>
  <c r="B2137" i="116"/>
  <c r="K2136" i="116"/>
  <c r="J2136" i="116"/>
  <c r="I2136" i="116"/>
  <c r="H2136" i="116"/>
  <c r="G2136" i="116"/>
  <c r="F2136" i="116"/>
  <c r="E2136" i="116"/>
  <c r="D2136" i="116"/>
  <c r="C2136" i="116"/>
  <c r="B2136" i="116"/>
  <c r="K2135" i="116"/>
  <c r="J2135" i="116"/>
  <c r="I2135" i="116"/>
  <c r="H2135" i="116"/>
  <c r="G2135" i="116"/>
  <c r="F2135" i="116"/>
  <c r="E2135" i="116"/>
  <c r="D2135" i="116"/>
  <c r="C2135" i="116"/>
  <c r="B2135" i="116"/>
  <c r="K2134" i="116"/>
  <c r="J2134" i="116"/>
  <c r="I2134" i="116"/>
  <c r="H2134" i="116"/>
  <c r="G2134" i="116"/>
  <c r="F2134" i="116"/>
  <c r="E2134" i="116"/>
  <c r="D2134" i="116"/>
  <c r="C2134" i="116"/>
  <c r="B2134" i="116"/>
  <c r="K2133" i="116"/>
  <c r="J2133" i="116"/>
  <c r="I2133" i="116"/>
  <c r="H2133" i="116"/>
  <c r="G2133" i="116"/>
  <c r="F2133" i="116"/>
  <c r="E2133" i="116"/>
  <c r="D2133" i="116"/>
  <c r="C2133" i="116"/>
  <c r="B2133" i="116"/>
  <c r="K2132" i="116"/>
  <c r="J2132" i="116"/>
  <c r="I2132" i="116"/>
  <c r="H2132" i="116"/>
  <c r="G2132" i="116"/>
  <c r="F2132" i="116"/>
  <c r="E2132" i="116"/>
  <c r="D2132" i="116"/>
  <c r="C2132" i="116"/>
  <c r="B2132" i="116"/>
  <c r="K2131" i="116"/>
  <c r="J2131" i="116"/>
  <c r="I2131" i="116"/>
  <c r="H2131" i="116"/>
  <c r="G2131" i="116"/>
  <c r="F2131" i="116"/>
  <c r="E2131" i="116"/>
  <c r="D2131" i="116"/>
  <c r="C2131" i="116"/>
  <c r="B2131" i="116"/>
  <c r="K2130" i="116"/>
  <c r="J2130" i="116"/>
  <c r="I2130" i="116"/>
  <c r="H2130" i="116"/>
  <c r="G2130" i="116"/>
  <c r="F2130" i="116"/>
  <c r="E2130" i="116"/>
  <c r="D2130" i="116"/>
  <c r="C2130" i="116"/>
  <c r="B2130" i="116"/>
  <c r="K2129" i="116"/>
  <c r="J2129" i="116"/>
  <c r="I2129" i="116"/>
  <c r="H2129" i="116"/>
  <c r="G2129" i="116"/>
  <c r="F2129" i="116"/>
  <c r="E2129" i="116"/>
  <c r="D2129" i="116"/>
  <c r="C2129" i="116"/>
  <c r="B2129" i="116"/>
  <c r="K2128" i="116"/>
  <c r="J2128" i="116"/>
  <c r="I2128" i="116"/>
  <c r="H2128" i="116"/>
  <c r="G2128" i="116"/>
  <c r="F2128" i="116"/>
  <c r="E2128" i="116"/>
  <c r="D2128" i="116"/>
  <c r="C2128" i="116"/>
  <c r="B2128" i="116"/>
  <c r="K2127" i="116"/>
  <c r="J2127" i="116"/>
  <c r="I2127" i="116"/>
  <c r="H2127" i="116"/>
  <c r="G2127" i="116"/>
  <c r="F2127" i="116"/>
  <c r="E2127" i="116"/>
  <c r="D2127" i="116"/>
  <c r="C2127" i="116"/>
  <c r="B2127" i="116"/>
  <c r="K2126" i="116"/>
  <c r="J2126" i="116"/>
  <c r="I2126" i="116"/>
  <c r="H2126" i="116"/>
  <c r="G2126" i="116"/>
  <c r="F2126" i="116"/>
  <c r="E2126" i="116"/>
  <c r="D2126" i="116"/>
  <c r="C2126" i="116"/>
  <c r="B2126" i="116"/>
  <c r="K2125" i="116"/>
  <c r="J2125" i="116"/>
  <c r="I2125" i="116"/>
  <c r="H2125" i="116"/>
  <c r="G2125" i="116"/>
  <c r="F2125" i="116"/>
  <c r="E2125" i="116"/>
  <c r="D2125" i="116"/>
  <c r="C2125" i="116"/>
  <c r="B2125" i="116"/>
  <c r="K2124" i="116"/>
  <c r="J2124" i="116"/>
  <c r="I2124" i="116"/>
  <c r="H2124" i="116"/>
  <c r="G2124" i="116"/>
  <c r="F2124" i="116"/>
  <c r="E2124" i="116"/>
  <c r="D2124" i="116"/>
  <c r="C2124" i="116"/>
  <c r="B2124" i="116"/>
  <c r="K2123" i="116"/>
  <c r="J2123" i="116"/>
  <c r="I2123" i="116"/>
  <c r="H2123" i="116"/>
  <c r="G2123" i="116"/>
  <c r="F2123" i="116"/>
  <c r="E2123" i="116"/>
  <c r="D2123" i="116"/>
  <c r="C2123" i="116"/>
  <c r="B2123" i="116"/>
  <c r="K2122" i="116"/>
  <c r="J2122" i="116"/>
  <c r="I2122" i="116"/>
  <c r="H2122" i="116"/>
  <c r="G2122" i="116"/>
  <c r="F2122" i="116"/>
  <c r="E2122" i="116"/>
  <c r="D2122" i="116"/>
  <c r="C2122" i="116"/>
  <c r="B2122" i="116"/>
  <c r="K2121" i="116"/>
  <c r="J2121" i="116"/>
  <c r="I2121" i="116"/>
  <c r="H2121" i="116"/>
  <c r="G2121" i="116"/>
  <c r="F2121" i="116"/>
  <c r="E2121" i="116"/>
  <c r="D2121" i="116"/>
  <c r="C2121" i="116"/>
  <c r="B2121" i="116"/>
  <c r="K2120" i="116"/>
  <c r="J2120" i="116"/>
  <c r="I2120" i="116"/>
  <c r="H2120" i="116"/>
  <c r="G2120" i="116"/>
  <c r="F2120" i="116"/>
  <c r="E2120" i="116"/>
  <c r="D2120" i="116"/>
  <c r="C2120" i="116"/>
  <c r="B2120" i="116"/>
  <c r="K2119" i="116"/>
  <c r="J2119" i="116"/>
  <c r="I2119" i="116"/>
  <c r="H2119" i="116"/>
  <c r="G2119" i="116"/>
  <c r="F2119" i="116"/>
  <c r="E2119" i="116"/>
  <c r="D2119" i="116"/>
  <c r="C2119" i="116"/>
  <c r="B2119" i="116"/>
  <c r="K2118" i="116"/>
  <c r="J2118" i="116"/>
  <c r="I2118" i="116"/>
  <c r="H2118" i="116"/>
  <c r="G2118" i="116"/>
  <c r="F2118" i="116"/>
  <c r="E2118" i="116"/>
  <c r="D2118" i="116"/>
  <c r="C2118" i="116"/>
  <c r="B2118" i="116"/>
  <c r="K2117" i="116"/>
  <c r="J2117" i="116"/>
  <c r="I2117" i="116"/>
  <c r="H2117" i="116"/>
  <c r="G2117" i="116"/>
  <c r="F2117" i="116"/>
  <c r="E2117" i="116"/>
  <c r="D2117" i="116"/>
  <c r="C2117" i="116"/>
  <c r="B2117" i="116"/>
  <c r="K2116" i="116"/>
  <c r="J2116" i="116"/>
  <c r="I2116" i="116"/>
  <c r="H2116" i="116"/>
  <c r="G2116" i="116"/>
  <c r="F2116" i="116"/>
  <c r="E2116" i="116"/>
  <c r="D2116" i="116"/>
  <c r="C2116" i="116"/>
  <c r="B2116" i="116"/>
  <c r="K2115" i="116"/>
  <c r="J2115" i="116"/>
  <c r="I2115" i="116"/>
  <c r="H2115" i="116"/>
  <c r="G2115" i="116"/>
  <c r="F2115" i="116"/>
  <c r="E2115" i="116"/>
  <c r="D2115" i="116"/>
  <c r="C2115" i="116"/>
  <c r="B2115" i="116"/>
  <c r="K2114" i="116"/>
  <c r="J2114" i="116"/>
  <c r="I2114" i="116"/>
  <c r="H2114" i="116"/>
  <c r="G2114" i="116"/>
  <c r="F2114" i="116"/>
  <c r="E2114" i="116"/>
  <c r="D2114" i="116"/>
  <c r="C2114" i="116"/>
  <c r="B2114" i="116"/>
  <c r="K2113" i="116"/>
  <c r="J2113" i="116"/>
  <c r="I2113" i="116"/>
  <c r="H2113" i="116"/>
  <c r="G2113" i="116"/>
  <c r="F2113" i="116"/>
  <c r="E2113" i="116"/>
  <c r="D2113" i="116"/>
  <c r="C2113" i="116"/>
  <c r="B2113" i="116"/>
  <c r="K2112" i="116"/>
  <c r="J2112" i="116"/>
  <c r="I2112" i="116"/>
  <c r="H2112" i="116"/>
  <c r="G2112" i="116"/>
  <c r="F2112" i="116"/>
  <c r="E2112" i="116"/>
  <c r="D2112" i="116"/>
  <c r="C2112" i="116"/>
  <c r="B2112" i="116"/>
  <c r="K2111" i="116"/>
  <c r="J2111" i="116"/>
  <c r="I2111" i="116"/>
  <c r="H2111" i="116"/>
  <c r="G2111" i="116"/>
  <c r="F2111" i="116"/>
  <c r="E2111" i="116"/>
  <c r="D2111" i="116"/>
  <c r="C2111" i="116"/>
  <c r="B2111" i="116"/>
  <c r="K2110" i="116"/>
  <c r="J2110" i="116"/>
  <c r="I2110" i="116"/>
  <c r="H2110" i="116"/>
  <c r="G2110" i="116"/>
  <c r="F2110" i="116"/>
  <c r="E2110" i="116"/>
  <c r="D2110" i="116"/>
  <c r="C2110" i="116"/>
  <c r="B2110" i="116"/>
  <c r="K2109" i="116"/>
  <c r="J2109" i="116"/>
  <c r="I2109" i="116"/>
  <c r="H2109" i="116"/>
  <c r="G2109" i="116"/>
  <c r="F2109" i="116"/>
  <c r="E2109" i="116"/>
  <c r="D2109" i="116"/>
  <c r="C2109" i="116"/>
  <c r="B2109" i="116"/>
  <c r="K2108" i="116"/>
  <c r="J2108" i="116"/>
  <c r="I2108" i="116"/>
  <c r="H2108" i="116"/>
  <c r="G2108" i="116"/>
  <c r="F2108" i="116"/>
  <c r="E2108" i="116"/>
  <c r="D2108" i="116"/>
  <c r="C2108" i="116"/>
  <c r="B2108" i="116"/>
  <c r="K2107" i="116"/>
  <c r="J2107" i="116"/>
  <c r="I2107" i="116"/>
  <c r="H2107" i="116"/>
  <c r="G2107" i="116"/>
  <c r="F2107" i="116"/>
  <c r="E2107" i="116"/>
  <c r="D2107" i="116"/>
  <c r="C2107" i="116"/>
  <c r="B2107" i="116"/>
  <c r="K2106" i="116"/>
  <c r="J2106" i="116"/>
  <c r="I2106" i="116"/>
  <c r="H2106" i="116"/>
  <c r="G2106" i="116"/>
  <c r="F2106" i="116"/>
  <c r="E2106" i="116"/>
  <c r="D2106" i="116"/>
  <c r="C2106" i="116"/>
  <c r="B2106" i="116"/>
  <c r="K2105" i="116"/>
  <c r="J2105" i="116"/>
  <c r="I2105" i="116"/>
  <c r="H2105" i="116"/>
  <c r="G2105" i="116"/>
  <c r="F2105" i="116"/>
  <c r="E2105" i="116"/>
  <c r="D2105" i="116"/>
  <c r="C2105" i="116"/>
  <c r="B2105" i="116"/>
  <c r="K2104" i="116"/>
  <c r="J2104" i="116"/>
  <c r="I2104" i="116"/>
  <c r="H2104" i="116"/>
  <c r="G2104" i="116"/>
  <c r="F2104" i="116"/>
  <c r="E2104" i="116"/>
  <c r="D2104" i="116"/>
  <c r="C2104" i="116"/>
  <c r="B2104" i="116"/>
  <c r="K2103" i="116"/>
  <c r="J2103" i="116"/>
  <c r="I2103" i="116"/>
  <c r="H2103" i="116"/>
  <c r="G2103" i="116"/>
  <c r="F2103" i="116"/>
  <c r="E2103" i="116"/>
  <c r="D2103" i="116"/>
  <c r="C2103" i="116"/>
  <c r="B2103" i="116"/>
  <c r="K2102" i="116"/>
  <c r="J2102" i="116"/>
  <c r="I2102" i="116"/>
  <c r="H2102" i="116"/>
  <c r="G2102" i="116"/>
  <c r="F2102" i="116"/>
  <c r="E2102" i="116"/>
  <c r="D2102" i="116"/>
  <c r="C2102" i="116"/>
  <c r="B2102" i="116"/>
  <c r="K2101" i="116"/>
  <c r="J2101" i="116"/>
  <c r="I2101" i="116"/>
  <c r="H2101" i="116"/>
  <c r="G2101" i="116"/>
  <c r="F2101" i="116"/>
  <c r="E2101" i="116"/>
  <c r="D2101" i="116"/>
  <c r="C2101" i="116"/>
  <c r="B2101" i="116"/>
  <c r="K2100" i="116"/>
  <c r="J2100" i="116"/>
  <c r="I2100" i="116"/>
  <c r="H2100" i="116"/>
  <c r="G2100" i="116"/>
  <c r="F2100" i="116"/>
  <c r="E2100" i="116"/>
  <c r="D2100" i="116"/>
  <c r="C2100" i="116"/>
  <c r="B2100" i="116"/>
  <c r="K2099" i="116"/>
  <c r="J2099" i="116"/>
  <c r="I2099" i="116"/>
  <c r="H2099" i="116"/>
  <c r="G2099" i="116"/>
  <c r="F2099" i="116"/>
  <c r="E2099" i="116"/>
  <c r="D2099" i="116"/>
  <c r="C2099" i="116"/>
  <c r="B2099" i="116"/>
  <c r="K2098" i="116"/>
  <c r="J2098" i="116"/>
  <c r="I2098" i="116"/>
  <c r="H2098" i="116"/>
  <c r="G2098" i="116"/>
  <c r="F2098" i="116"/>
  <c r="E2098" i="116"/>
  <c r="D2098" i="116"/>
  <c r="C2098" i="116"/>
  <c r="B2098" i="116"/>
  <c r="K2097" i="116"/>
  <c r="J2097" i="116"/>
  <c r="I2097" i="116"/>
  <c r="H2097" i="116"/>
  <c r="G2097" i="116"/>
  <c r="F2097" i="116"/>
  <c r="E2097" i="116"/>
  <c r="D2097" i="116"/>
  <c r="C2097" i="116"/>
  <c r="B2097" i="116"/>
  <c r="K2096" i="116"/>
  <c r="J2096" i="116"/>
  <c r="I2096" i="116"/>
  <c r="H2096" i="116"/>
  <c r="G2096" i="116"/>
  <c r="F2096" i="116"/>
  <c r="E2096" i="116"/>
  <c r="D2096" i="116"/>
  <c r="C2096" i="116"/>
  <c r="B2096" i="116"/>
  <c r="K2095" i="116"/>
  <c r="J2095" i="116"/>
  <c r="I2095" i="116"/>
  <c r="H2095" i="116"/>
  <c r="G2095" i="116"/>
  <c r="F2095" i="116"/>
  <c r="E2095" i="116"/>
  <c r="D2095" i="116"/>
  <c r="C2095" i="116"/>
  <c r="B2095" i="116"/>
  <c r="K2094" i="116"/>
  <c r="J2094" i="116"/>
  <c r="I2094" i="116"/>
  <c r="H2094" i="116"/>
  <c r="G2094" i="116"/>
  <c r="F2094" i="116"/>
  <c r="E2094" i="116"/>
  <c r="D2094" i="116"/>
  <c r="C2094" i="116"/>
  <c r="B2094" i="116"/>
  <c r="K2093" i="116"/>
  <c r="J2093" i="116"/>
  <c r="I2093" i="116"/>
  <c r="H2093" i="116"/>
  <c r="G2093" i="116"/>
  <c r="F2093" i="116"/>
  <c r="E2093" i="116"/>
  <c r="D2093" i="116"/>
  <c r="C2093" i="116"/>
  <c r="B2093" i="116"/>
  <c r="K2092" i="116"/>
  <c r="J2092" i="116"/>
  <c r="I2092" i="116"/>
  <c r="H2092" i="116"/>
  <c r="G2092" i="116"/>
  <c r="F2092" i="116"/>
  <c r="E2092" i="116"/>
  <c r="D2092" i="116"/>
  <c r="C2092" i="116"/>
  <c r="B2092" i="116"/>
  <c r="K2091" i="116"/>
  <c r="J2091" i="116"/>
  <c r="I2091" i="116"/>
  <c r="H2091" i="116"/>
  <c r="G2091" i="116"/>
  <c r="F2091" i="116"/>
  <c r="E2091" i="116"/>
  <c r="D2091" i="116"/>
  <c r="C2091" i="116"/>
  <c r="B2091" i="116"/>
  <c r="K2090" i="116"/>
  <c r="J2090" i="116"/>
  <c r="I2090" i="116"/>
  <c r="H2090" i="116"/>
  <c r="G2090" i="116"/>
  <c r="F2090" i="116"/>
  <c r="E2090" i="116"/>
  <c r="D2090" i="116"/>
  <c r="C2090" i="116"/>
  <c r="B2090" i="116"/>
  <c r="K2089" i="116"/>
  <c r="J2089" i="116"/>
  <c r="I2089" i="116"/>
  <c r="H2089" i="116"/>
  <c r="G2089" i="116"/>
  <c r="F2089" i="116"/>
  <c r="E2089" i="116"/>
  <c r="D2089" i="116"/>
  <c r="C2089" i="116"/>
  <c r="B2089" i="116"/>
  <c r="K2088" i="116"/>
  <c r="J2088" i="116"/>
  <c r="I2088" i="116"/>
  <c r="H2088" i="116"/>
  <c r="G2088" i="116"/>
  <c r="F2088" i="116"/>
  <c r="E2088" i="116"/>
  <c r="D2088" i="116"/>
  <c r="C2088" i="116"/>
  <c r="B2088" i="116"/>
  <c r="K2087" i="116"/>
  <c r="J2087" i="116"/>
  <c r="I2087" i="116"/>
  <c r="H2087" i="116"/>
  <c r="G2087" i="116"/>
  <c r="F2087" i="116"/>
  <c r="E2087" i="116"/>
  <c r="D2087" i="116"/>
  <c r="C2087" i="116"/>
  <c r="B2087" i="116"/>
  <c r="K2086" i="116"/>
  <c r="J2086" i="116"/>
  <c r="I2086" i="116"/>
  <c r="H2086" i="116"/>
  <c r="G2086" i="116"/>
  <c r="F2086" i="116"/>
  <c r="E2086" i="116"/>
  <c r="D2086" i="116"/>
  <c r="C2086" i="116"/>
  <c r="B2086" i="116"/>
  <c r="K2085" i="116"/>
  <c r="J2085" i="116"/>
  <c r="I2085" i="116"/>
  <c r="H2085" i="116"/>
  <c r="G2085" i="116"/>
  <c r="F2085" i="116"/>
  <c r="E2085" i="116"/>
  <c r="D2085" i="116"/>
  <c r="C2085" i="116"/>
  <c r="B2085" i="116"/>
  <c r="K2084" i="116"/>
  <c r="J2084" i="116"/>
  <c r="I2084" i="116"/>
  <c r="H2084" i="116"/>
  <c r="G2084" i="116"/>
  <c r="F2084" i="116"/>
  <c r="E2084" i="116"/>
  <c r="D2084" i="116"/>
  <c r="C2084" i="116"/>
  <c r="B2084" i="116"/>
  <c r="K2083" i="116"/>
  <c r="J2083" i="116"/>
  <c r="I2083" i="116"/>
  <c r="H2083" i="116"/>
  <c r="G2083" i="116"/>
  <c r="F2083" i="116"/>
  <c r="E2083" i="116"/>
  <c r="D2083" i="116"/>
  <c r="C2083" i="116"/>
  <c r="B2083" i="116"/>
  <c r="K2082" i="116"/>
  <c r="J2082" i="116"/>
  <c r="I2082" i="116"/>
  <c r="H2082" i="116"/>
  <c r="G2082" i="116"/>
  <c r="F2082" i="116"/>
  <c r="E2082" i="116"/>
  <c r="D2082" i="116"/>
  <c r="C2082" i="116"/>
  <c r="B2082" i="116"/>
  <c r="K2081" i="116"/>
  <c r="J2081" i="116"/>
  <c r="I2081" i="116"/>
  <c r="H2081" i="116"/>
  <c r="G2081" i="116"/>
  <c r="F2081" i="116"/>
  <c r="E2081" i="116"/>
  <c r="D2081" i="116"/>
  <c r="C2081" i="116"/>
  <c r="B2081" i="116"/>
  <c r="K2080" i="116"/>
  <c r="J2080" i="116"/>
  <c r="I2080" i="116"/>
  <c r="H2080" i="116"/>
  <c r="G2080" i="116"/>
  <c r="F2080" i="116"/>
  <c r="E2080" i="116"/>
  <c r="D2080" i="116"/>
  <c r="C2080" i="116"/>
  <c r="B2080" i="116"/>
  <c r="K2079" i="116"/>
  <c r="J2079" i="116"/>
  <c r="I2079" i="116"/>
  <c r="H2079" i="116"/>
  <c r="G2079" i="116"/>
  <c r="F2079" i="116"/>
  <c r="E2079" i="116"/>
  <c r="D2079" i="116"/>
  <c r="C2079" i="116"/>
  <c r="B2079" i="116"/>
  <c r="K2078" i="116"/>
  <c r="J2078" i="116"/>
  <c r="I2078" i="116"/>
  <c r="H2078" i="116"/>
  <c r="G2078" i="116"/>
  <c r="F2078" i="116"/>
  <c r="E2078" i="116"/>
  <c r="D2078" i="116"/>
  <c r="C2078" i="116"/>
  <c r="B2078" i="116"/>
  <c r="K2077" i="116"/>
  <c r="J2077" i="116"/>
  <c r="I2077" i="116"/>
  <c r="H2077" i="116"/>
  <c r="G2077" i="116"/>
  <c r="F2077" i="116"/>
  <c r="E2077" i="116"/>
  <c r="D2077" i="116"/>
  <c r="C2077" i="116"/>
  <c r="B2077" i="116"/>
  <c r="K2076" i="116"/>
  <c r="J2076" i="116"/>
  <c r="I2076" i="116"/>
  <c r="H2076" i="116"/>
  <c r="G2076" i="116"/>
  <c r="F2076" i="116"/>
  <c r="E2076" i="116"/>
  <c r="D2076" i="116"/>
  <c r="C2076" i="116"/>
  <c r="B2076" i="116"/>
  <c r="K2075" i="116"/>
  <c r="J2075" i="116"/>
  <c r="I2075" i="116"/>
  <c r="H2075" i="116"/>
  <c r="G2075" i="116"/>
  <c r="F2075" i="116"/>
  <c r="E2075" i="116"/>
  <c r="D2075" i="116"/>
  <c r="C2075" i="116"/>
  <c r="B2075" i="116"/>
  <c r="K2074" i="116"/>
  <c r="J2074" i="116"/>
  <c r="I2074" i="116"/>
  <c r="H2074" i="116"/>
  <c r="G2074" i="116"/>
  <c r="F2074" i="116"/>
  <c r="E2074" i="116"/>
  <c r="D2074" i="116"/>
  <c r="C2074" i="116"/>
  <c r="B2074" i="116"/>
  <c r="K2073" i="116"/>
  <c r="J2073" i="116"/>
  <c r="I2073" i="116"/>
  <c r="H2073" i="116"/>
  <c r="G2073" i="116"/>
  <c r="F2073" i="116"/>
  <c r="E2073" i="116"/>
  <c r="D2073" i="116"/>
  <c r="C2073" i="116"/>
  <c r="B2073" i="116"/>
  <c r="K2072" i="116"/>
  <c r="J2072" i="116"/>
  <c r="I2072" i="116"/>
  <c r="H2072" i="116"/>
  <c r="G2072" i="116"/>
  <c r="F2072" i="116"/>
  <c r="E2072" i="116"/>
  <c r="D2072" i="116"/>
  <c r="C2072" i="116"/>
  <c r="B2072" i="116"/>
  <c r="K2071" i="116"/>
  <c r="J2071" i="116"/>
  <c r="I2071" i="116"/>
  <c r="H2071" i="116"/>
  <c r="G2071" i="116"/>
  <c r="F2071" i="116"/>
  <c r="E2071" i="116"/>
  <c r="D2071" i="116"/>
  <c r="C2071" i="116"/>
  <c r="B2071" i="116"/>
  <c r="K2070" i="116"/>
  <c r="J2070" i="116"/>
  <c r="I2070" i="116"/>
  <c r="H2070" i="116"/>
  <c r="G2070" i="116"/>
  <c r="F2070" i="116"/>
  <c r="E2070" i="116"/>
  <c r="D2070" i="116"/>
  <c r="C2070" i="116"/>
  <c r="B2070" i="116"/>
  <c r="K2069" i="116"/>
  <c r="J2069" i="116"/>
  <c r="I2069" i="116"/>
  <c r="H2069" i="116"/>
  <c r="G2069" i="116"/>
  <c r="F2069" i="116"/>
  <c r="E2069" i="116"/>
  <c r="D2069" i="116"/>
  <c r="C2069" i="116"/>
  <c r="B2069" i="116"/>
  <c r="K2068" i="116"/>
  <c r="J2068" i="116"/>
  <c r="I2068" i="116"/>
  <c r="H2068" i="116"/>
  <c r="G2068" i="116"/>
  <c r="F2068" i="116"/>
  <c r="E2068" i="116"/>
  <c r="D2068" i="116"/>
  <c r="C2068" i="116"/>
  <c r="B2068" i="116"/>
  <c r="K2067" i="116"/>
  <c r="J2067" i="116"/>
  <c r="I2067" i="116"/>
  <c r="H2067" i="116"/>
  <c r="G2067" i="116"/>
  <c r="F2067" i="116"/>
  <c r="E2067" i="116"/>
  <c r="D2067" i="116"/>
  <c r="C2067" i="116"/>
  <c r="B2067" i="116"/>
  <c r="K2066" i="116"/>
  <c r="J2066" i="116"/>
  <c r="I2066" i="116"/>
  <c r="H2066" i="116"/>
  <c r="G2066" i="116"/>
  <c r="F2066" i="116"/>
  <c r="E2066" i="116"/>
  <c r="D2066" i="116"/>
  <c r="C2066" i="116"/>
  <c r="B2066" i="116"/>
  <c r="K2065" i="116"/>
  <c r="J2065" i="116"/>
  <c r="I2065" i="116"/>
  <c r="H2065" i="116"/>
  <c r="G2065" i="116"/>
  <c r="F2065" i="116"/>
  <c r="E2065" i="116"/>
  <c r="D2065" i="116"/>
  <c r="C2065" i="116"/>
  <c r="B2065" i="116"/>
  <c r="K2064" i="116"/>
  <c r="J2064" i="116"/>
  <c r="I2064" i="116"/>
  <c r="H2064" i="116"/>
  <c r="G2064" i="116"/>
  <c r="F2064" i="116"/>
  <c r="E2064" i="116"/>
  <c r="D2064" i="116"/>
  <c r="C2064" i="116"/>
  <c r="B2064" i="116"/>
  <c r="K2063" i="116"/>
  <c r="J2063" i="116"/>
  <c r="I2063" i="116"/>
  <c r="H2063" i="116"/>
  <c r="G2063" i="116"/>
  <c r="F2063" i="116"/>
  <c r="E2063" i="116"/>
  <c r="D2063" i="116"/>
  <c r="C2063" i="116"/>
  <c r="B2063" i="116"/>
  <c r="K2062" i="116"/>
  <c r="J2062" i="116"/>
  <c r="I2062" i="116"/>
  <c r="H2062" i="116"/>
  <c r="G2062" i="116"/>
  <c r="F2062" i="116"/>
  <c r="E2062" i="116"/>
  <c r="D2062" i="116"/>
  <c r="C2062" i="116"/>
  <c r="B2062" i="116"/>
  <c r="K2061" i="116"/>
  <c r="J2061" i="116"/>
  <c r="I2061" i="116"/>
  <c r="H2061" i="116"/>
  <c r="G2061" i="116"/>
  <c r="F2061" i="116"/>
  <c r="E2061" i="116"/>
  <c r="D2061" i="116"/>
  <c r="C2061" i="116"/>
  <c r="B2061" i="116"/>
  <c r="K2060" i="116"/>
  <c r="J2060" i="116"/>
  <c r="I2060" i="116"/>
  <c r="H2060" i="116"/>
  <c r="G2060" i="116"/>
  <c r="F2060" i="116"/>
  <c r="E2060" i="116"/>
  <c r="D2060" i="116"/>
  <c r="C2060" i="116"/>
  <c r="B2060" i="116"/>
  <c r="K2059" i="116"/>
  <c r="J2059" i="116"/>
  <c r="I2059" i="116"/>
  <c r="H2059" i="116"/>
  <c r="G2059" i="116"/>
  <c r="F2059" i="116"/>
  <c r="E2059" i="116"/>
  <c r="D2059" i="116"/>
  <c r="C2059" i="116"/>
  <c r="B2059" i="116"/>
  <c r="K2058" i="116"/>
  <c r="J2058" i="116"/>
  <c r="I2058" i="116"/>
  <c r="H2058" i="116"/>
  <c r="G2058" i="116"/>
  <c r="F2058" i="116"/>
  <c r="E2058" i="116"/>
  <c r="D2058" i="116"/>
  <c r="C2058" i="116"/>
  <c r="B2058" i="116"/>
  <c r="K2057" i="116"/>
  <c r="J2057" i="116"/>
  <c r="I2057" i="116"/>
  <c r="H2057" i="116"/>
  <c r="G2057" i="116"/>
  <c r="F2057" i="116"/>
  <c r="E2057" i="116"/>
  <c r="D2057" i="116"/>
  <c r="C2057" i="116"/>
  <c r="B2057" i="116"/>
  <c r="K2056" i="116"/>
  <c r="J2056" i="116"/>
  <c r="I2056" i="116"/>
  <c r="H2056" i="116"/>
  <c r="G2056" i="116"/>
  <c r="F2056" i="116"/>
  <c r="E2056" i="116"/>
  <c r="D2056" i="116"/>
  <c r="C2056" i="116"/>
  <c r="B2056" i="116"/>
  <c r="K2055" i="116"/>
  <c r="J2055" i="116"/>
  <c r="I2055" i="116"/>
  <c r="H2055" i="116"/>
  <c r="G2055" i="116"/>
  <c r="F2055" i="116"/>
  <c r="E2055" i="116"/>
  <c r="D2055" i="116"/>
  <c r="C2055" i="116"/>
  <c r="B2055" i="116"/>
  <c r="K2054" i="116"/>
  <c r="J2054" i="116"/>
  <c r="I2054" i="116"/>
  <c r="H2054" i="116"/>
  <c r="G2054" i="116"/>
  <c r="F2054" i="116"/>
  <c r="E2054" i="116"/>
  <c r="D2054" i="116"/>
  <c r="C2054" i="116"/>
  <c r="B2054" i="116"/>
  <c r="K2053" i="116"/>
  <c r="J2053" i="116"/>
  <c r="I2053" i="116"/>
  <c r="H2053" i="116"/>
  <c r="G2053" i="116"/>
  <c r="F2053" i="116"/>
  <c r="E2053" i="116"/>
  <c r="D2053" i="116"/>
  <c r="C2053" i="116"/>
  <c r="B2053" i="116"/>
  <c r="K2052" i="116"/>
  <c r="J2052" i="116"/>
  <c r="I2052" i="116"/>
  <c r="H2052" i="116"/>
  <c r="G2052" i="116"/>
  <c r="F2052" i="116"/>
  <c r="E2052" i="116"/>
  <c r="D2052" i="116"/>
  <c r="C2052" i="116"/>
  <c r="B2052" i="116"/>
  <c r="K2051" i="116"/>
  <c r="J2051" i="116"/>
  <c r="I2051" i="116"/>
  <c r="H2051" i="116"/>
  <c r="G2051" i="116"/>
  <c r="F2051" i="116"/>
  <c r="E2051" i="116"/>
  <c r="D2051" i="116"/>
  <c r="C2051" i="116"/>
  <c r="B2051" i="116"/>
  <c r="K2050" i="116"/>
  <c r="J2050" i="116"/>
  <c r="I2050" i="116"/>
  <c r="H2050" i="116"/>
  <c r="G2050" i="116"/>
  <c r="F2050" i="116"/>
  <c r="E2050" i="116"/>
  <c r="D2050" i="116"/>
  <c r="C2050" i="116"/>
  <c r="B2050" i="116"/>
  <c r="K2049" i="116"/>
  <c r="J2049" i="116"/>
  <c r="I2049" i="116"/>
  <c r="H2049" i="116"/>
  <c r="G2049" i="116"/>
  <c r="F2049" i="116"/>
  <c r="E2049" i="116"/>
  <c r="D2049" i="116"/>
  <c r="C2049" i="116"/>
  <c r="B2049" i="116"/>
  <c r="K2048" i="116"/>
  <c r="J2048" i="116"/>
  <c r="I2048" i="116"/>
  <c r="H2048" i="116"/>
  <c r="G2048" i="116"/>
  <c r="F2048" i="116"/>
  <c r="E2048" i="116"/>
  <c r="D2048" i="116"/>
  <c r="C2048" i="116"/>
  <c r="B2048" i="116"/>
  <c r="K2047" i="116"/>
  <c r="J2047" i="116"/>
  <c r="I2047" i="116"/>
  <c r="H2047" i="116"/>
  <c r="G2047" i="116"/>
  <c r="F2047" i="116"/>
  <c r="E2047" i="116"/>
  <c r="D2047" i="116"/>
  <c r="C2047" i="116"/>
  <c r="B2047" i="116"/>
  <c r="K2046" i="116"/>
  <c r="J2046" i="116"/>
  <c r="I2046" i="116"/>
  <c r="H2046" i="116"/>
  <c r="G2046" i="116"/>
  <c r="F2046" i="116"/>
  <c r="E2046" i="116"/>
  <c r="D2046" i="116"/>
  <c r="C2046" i="116"/>
  <c r="B2046" i="116"/>
  <c r="K2045" i="116"/>
  <c r="J2045" i="116"/>
  <c r="I2045" i="116"/>
  <c r="H2045" i="116"/>
  <c r="G2045" i="116"/>
  <c r="F2045" i="116"/>
  <c r="E2045" i="116"/>
  <c r="D2045" i="116"/>
  <c r="C2045" i="116"/>
  <c r="B2045" i="116"/>
  <c r="K2044" i="116"/>
  <c r="J2044" i="116"/>
  <c r="I2044" i="116"/>
  <c r="H2044" i="116"/>
  <c r="G2044" i="116"/>
  <c r="F2044" i="116"/>
  <c r="E2044" i="116"/>
  <c r="D2044" i="116"/>
  <c r="C2044" i="116"/>
  <c r="B2044" i="116"/>
  <c r="K2043" i="116"/>
  <c r="J2043" i="116"/>
  <c r="I2043" i="116"/>
  <c r="H2043" i="116"/>
  <c r="G2043" i="116"/>
  <c r="F2043" i="116"/>
  <c r="E2043" i="116"/>
  <c r="D2043" i="116"/>
  <c r="C2043" i="116"/>
  <c r="B2043" i="116"/>
  <c r="K2042" i="116"/>
  <c r="J2042" i="116"/>
  <c r="I2042" i="116"/>
  <c r="H2042" i="116"/>
  <c r="G2042" i="116"/>
  <c r="F2042" i="116"/>
  <c r="E2042" i="116"/>
  <c r="D2042" i="116"/>
  <c r="C2042" i="116"/>
  <c r="B2042" i="116"/>
  <c r="K2041" i="116"/>
  <c r="J2041" i="116"/>
  <c r="I2041" i="116"/>
  <c r="H2041" i="116"/>
  <c r="G2041" i="116"/>
  <c r="F2041" i="116"/>
  <c r="E2041" i="116"/>
  <c r="D2041" i="116"/>
  <c r="C2041" i="116"/>
  <c r="B2041" i="116"/>
  <c r="K2040" i="116"/>
  <c r="J2040" i="116"/>
  <c r="I2040" i="116"/>
  <c r="H2040" i="116"/>
  <c r="G2040" i="116"/>
  <c r="F2040" i="116"/>
  <c r="E2040" i="116"/>
  <c r="D2040" i="116"/>
  <c r="C2040" i="116"/>
  <c r="B2040" i="116"/>
  <c r="K2039" i="116"/>
  <c r="J2039" i="116"/>
  <c r="I2039" i="116"/>
  <c r="H2039" i="116"/>
  <c r="G2039" i="116"/>
  <c r="F2039" i="116"/>
  <c r="E2039" i="116"/>
  <c r="D2039" i="116"/>
  <c r="C2039" i="116"/>
  <c r="B2039" i="116"/>
  <c r="K2038" i="116"/>
  <c r="J2038" i="116"/>
  <c r="I2038" i="116"/>
  <c r="H2038" i="116"/>
  <c r="G2038" i="116"/>
  <c r="F2038" i="116"/>
  <c r="E2038" i="116"/>
  <c r="D2038" i="116"/>
  <c r="C2038" i="116"/>
  <c r="B2038" i="116"/>
  <c r="K2037" i="116"/>
  <c r="J2037" i="116"/>
  <c r="I2037" i="116"/>
  <c r="H2037" i="116"/>
  <c r="G2037" i="116"/>
  <c r="F2037" i="116"/>
  <c r="E2037" i="116"/>
  <c r="D2037" i="116"/>
  <c r="C2037" i="116"/>
  <c r="B2037" i="116"/>
  <c r="K2036" i="116"/>
  <c r="J2036" i="116"/>
  <c r="I2036" i="116"/>
  <c r="H2036" i="116"/>
  <c r="G2036" i="116"/>
  <c r="F2036" i="116"/>
  <c r="E2036" i="116"/>
  <c r="D2036" i="116"/>
  <c r="C2036" i="116"/>
  <c r="B2036" i="116"/>
  <c r="K2035" i="116"/>
  <c r="J2035" i="116"/>
  <c r="I2035" i="116"/>
  <c r="H2035" i="116"/>
  <c r="G2035" i="116"/>
  <c r="F2035" i="116"/>
  <c r="E2035" i="116"/>
  <c r="D2035" i="116"/>
  <c r="C2035" i="116"/>
  <c r="B2035" i="116"/>
  <c r="K2034" i="116"/>
  <c r="J2034" i="116"/>
  <c r="I2034" i="116"/>
  <c r="H2034" i="116"/>
  <c r="G2034" i="116"/>
  <c r="F2034" i="116"/>
  <c r="E2034" i="116"/>
  <c r="D2034" i="116"/>
  <c r="C2034" i="116"/>
  <c r="B2034" i="116"/>
  <c r="K2033" i="116"/>
  <c r="J2033" i="116"/>
  <c r="I2033" i="116"/>
  <c r="H2033" i="116"/>
  <c r="G2033" i="116"/>
  <c r="F2033" i="116"/>
  <c r="E2033" i="116"/>
  <c r="D2033" i="116"/>
  <c r="C2033" i="116"/>
  <c r="B2033" i="116"/>
  <c r="K2032" i="116"/>
  <c r="J2032" i="116"/>
  <c r="I2032" i="116"/>
  <c r="H2032" i="116"/>
  <c r="G2032" i="116"/>
  <c r="F2032" i="116"/>
  <c r="E2032" i="116"/>
  <c r="D2032" i="116"/>
  <c r="C2032" i="116"/>
  <c r="B2032" i="116"/>
  <c r="K2031" i="116"/>
  <c r="J2031" i="116"/>
  <c r="I2031" i="116"/>
  <c r="H2031" i="116"/>
  <c r="G2031" i="116"/>
  <c r="F2031" i="116"/>
  <c r="E2031" i="116"/>
  <c r="D2031" i="116"/>
  <c r="C2031" i="116"/>
  <c r="B2031" i="116"/>
  <c r="K2030" i="116"/>
  <c r="J2030" i="116"/>
  <c r="I2030" i="116"/>
  <c r="H2030" i="116"/>
  <c r="G2030" i="116"/>
  <c r="F2030" i="116"/>
  <c r="E2030" i="116"/>
  <c r="D2030" i="116"/>
  <c r="C2030" i="116"/>
  <c r="B2030" i="116"/>
  <c r="K2029" i="116"/>
  <c r="J2029" i="116"/>
  <c r="I2029" i="116"/>
  <c r="H2029" i="116"/>
  <c r="G2029" i="116"/>
  <c r="F2029" i="116"/>
  <c r="E2029" i="116"/>
  <c r="D2029" i="116"/>
  <c r="C2029" i="116"/>
  <c r="B2029" i="116"/>
  <c r="K2028" i="116"/>
  <c r="J2028" i="116"/>
  <c r="I2028" i="116"/>
  <c r="H2028" i="116"/>
  <c r="G2028" i="116"/>
  <c r="F2028" i="116"/>
  <c r="E2028" i="116"/>
  <c r="D2028" i="116"/>
  <c r="C2028" i="116"/>
  <c r="B2028" i="116"/>
  <c r="K2027" i="116"/>
  <c r="J2027" i="116"/>
  <c r="I2027" i="116"/>
  <c r="H2027" i="116"/>
  <c r="G2027" i="116"/>
  <c r="F2027" i="116"/>
  <c r="E2027" i="116"/>
  <c r="D2027" i="116"/>
  <c r="C2027" i="116"/>
  <c r="B2027" i="116"/>
  <c r="K2026" i="116"/>
  <c r="J2026" i="116"/>
  <c r="I2026" i="116"/>
  <c r="H2026" i="116"/>
  <c r="G2026" i="116"/>
  <c r="F2026" i="116"/>
  <c r="E2026" i="116"/>
  <c r="D2026" i="116"/>
  <c r="C2026" i="116"/>
  <c r="B2026" i="116"/>
  <c r="K2025" i="116"/>
  <c r="J2025" i="116"/>
  <c r="I2025" i="116"/>
  <c r="H2025" i="116"/>
  <c r="G2025" i="116"/>
  <c r="F2025" i="116"/>
  <c r="E2025" i="116"/>
  <c r="D2025" i="116"/>
  <c r="C2025" i="116"/>
  <c r="B2025" i="116"/>
  <c r="K2024" i="116"/>
  <c r="J2024" i="116"/>
  <c r="I2024" i="116"/>
  <c r="H2024" i="116"/>
  <c r="G2024" i="116"/>
  <c r="F2024" i="116"/>
  <c r="E2024" i="116"/>
  <c r="D2024" i="116"/>
  <c r="C2024" i="116"/>
  <c r="B2024" i="116"/>
  <c r="K2023" i="116"/>
  <c r="J2023" i="116"/>
  <c r="I2023" i="116"/>
  <c r="H2023" i="116"/>
  <c r="G2023" i="116"/>
  <c r="F2023" i="116"/>
  <c r="E2023" i="116"/>
  <c r="D2023" i="116"/>
  <c r="C2023" i="116"/>
  <c r="B2023" i="116"/>
  <c r="K2022" i="116"/>
  <c r="J2022" i="116"/>
  <c r="I2022" i="116"/>
  <c r="H2022" i="116"/>
  <c r="G2022" i="116"/>
  <c r="F2022" i="116"/>
  <c r="E2022" i="116"/>
  <c r="D2022" i="116"/>
  <c r="C2022" i="116"/>
  <c r="B2022" i="116"/>
  <c r="K2021" i="116"/>
  <c r="J2021" i="116"/>
  <c r="I2021" i="116"/>
  <c r="H2021" i="116"/>
  <c r="G2021" i="116"/>
  <c r="F2021" i="116"/>
  <c r="E2021" i="116"/>
  <c r="D2021" i="116"/>
  <c r="C2021" i="116"/>
  <c r="B2021" i="116"/>
  <c r="K2020" i="116"/>
  <c r="J2020" i="116"/>
  <c r="I2020" i="116"/>
  <c r="H2020" i="116"/>
  <c r="G2020" i="116"/>
  <c r="F2020" i="116"/>
  <c r="E2020" i="116"/>
  <c r="D2020" i="116"/>
  <c r="C2020" i="116"/>
  <c r="B2020" i="116"/>
  <c r="K2019" i="116"/>
  <c r="J2019" i="116"/>
  <c r="I2019" i="116"/>
  <c r="H2019" i="116"/>
  <c r="G2019" i="116"/>
  <c r="F2019" i="116"/>
  <c r="E2019" i="116"/>
  <c r="D2019" i="116"/>
  <c r="C2019" i="116"/>
  <c r="B2019" i="116"/>
  <c r="K2018" i="116"/>
  <c r="J2018" i="116"/>
  <c r="I2018" i="116"/>
  <c r="H2018" i="116"/>
  <c r="G2018" i="116"/>
  <c r="F2018" i="116"/>
  <c r="E2018" i="116"/>
  <c r="D2018" i="116"/>
  <c r="C2018" i="116"/>
  <c r="B2018" i="116"/>
  <c r="K2017" i="116"/>
  <c r="J2017" i="116"/>
  <c r="I2017" i="116"/>
  <c r="H2017" i="116"/>
  <c r="G2017" i="116"/>
  <c r="F2017" i="116"/>
  <c r="E2017" i="116"/>
  <c r="D2017" i="116"/>
  <c r="C2017" i="116"/>
  <c r="B2017" i="116"/>
  <c r="K2016" i="116"/>
  <c r="J2016" i="116"/>
  <c r="I2016" i="116"/>
  <c r="H2016" i="116"/>
  <c r="G2016" i="116"/>
  <c r="F2016" i="116"/>
  <c r="E2016" i="116"/>
  <c r="D2016" i="116"/>
  <c r="C2016" i="116"/>
  <c r="B2016" i="116"/>
  <c r="K2015" i="116"/>
  <c r="J2015" i="116"/>
  <c r="I2015" i="116"/>
  <c r="H2015" i="116"/>
  <c r="G2015" i="116"/>
  <c r="F2015" i="116"/>
  <c r="E2015" i="116"/>
  <c r="D2015" i="116"/>
  <c r="C2015" i="116"/>
  <c r="B2015" i="116"/>
  <c r="K2014" i="116"/>
  <c r="J2014" i="116"/>
  <c r="I2014" i="116"/>
  <c r="H2014" i="116"/>
  <c r="G2014" i="116"/>
  <c r="F2014" i="116"/>
  <c r="E2014" i="116"/>
  <c r="D2014" i="116"/>
  <c r="C2014" i="116"/>
  <c r="B2014" i="116"/>
  <c r="K2013" i="116"/>
  <c r="J2013" i="116"/>
  <c r="I2013" i="116"/>
  <c r="H2013" i="116"/>
  <c r="G2013" i="116"/>
  <c r="F2013" i="116"/>
  <c r="E2013" i="116"/>
  <c r="D2013" i="116"/>
  <c r="C2013" i="116"/>
  <c r="B2013" i="116"/>
  <c r="K2012" i="116"/>
  <c r="J2012" i="116"/>
  <c r="I2012" i="116"/>
  <c r="H2012" i="116"/>
  <c r="G2012" i="116"/>
  <c r="F2012" i="116"/>
  <c r="E2012" i="116"/>
  <c r="D2012" i="116"/>
  <c r="C2012" i="116"/>
  <c r="B2012" i="116"/>
  <c r="K2011" i="116"/>
  <c r="J2011" i="116"/>
  <c r="I2011" i="116"/>
  <c r="H2011" i="116"/>
  <c r="G2011" i="116"/>
  <c r="F2011" i="116"/>
  <c r="E2011" i="116"/>
  <c r="D2011" i="116"/>
  <c r="C2011" i="116"/>
  <c r="B2011" i="116"/>
  <c r="K2010" i="116"/>
  <c r="J2010" i="116"/>
  <c r="I2010" i="116"/>
  <c r="H2010" i="116"/>
  <c r="G2010" i="116"/>
  <c r="F2010" i="116"/>
  <c r="E2010" i="116"/>
  <c r="D2010" i="116"/>
  <c r="C2010" i="116"/>
  <c r="B2010" i="116"/>
  <c r="K2009" i="116"/>
  <c r="J2009" i="116"/>
  <c r="I2009" i="116"/>
  <c r="H2009" i="116"/>
  <c r="G2009" i="116"/>
  <c r="F2009" i="116"/>
  <c r="E2009" i="116"/>
  <c r="D2009" i="116"/>
  <c r="C2009" i="116"/>
  <c r="B2009" i="116"/>
  <c r="K2008" i="116"/>
  <c r="J2008" i="116"/>
  <c r="I2008" i="116"/>
  <c r="H2008" i="116"/>
  <c r="G2008" i="116"/>
  <c r="F2008" i="116"/>
  <c r="E2008" i="116"/>
  <c r="D2008" i="116"/>
  <c r="C2008" i="116"/>
  <c r="B2008" i="116"/>
  <c r="K2007" i="116"/>
  <c r="J2007" i="116"/>
  <c r="I2007" i="116"/>
  <c r="H2007" i="116"/>
  <c r="G2007" i="116"/>
  <c r="F2007" i="116"/>
  <c r="E2007" i="116"/>
  <c r="D2007" i="116"/>
  <c r="C2007" i="116"/>
  <c r="B2007" i="116"/>
  <c r="K2006" i="116"/>
  <c r="J2006" i="116"/>
  <c r="I2006" i="116"/>
  <c r="H2006" i="116"/>
  <c r="G2006" i="116"/>
  <c r="F2006" i="116"/>
  <c r="E2006" i="116"/>
  <c r="D2006" i="116"/>
  <c r="C2006" i="116"/>
  <c r="B2006" i="116"/>
  <c r="K2005" i="116"/>
  <c r="J2005" i="116"/>
  <c r="I2005" i="116"/>
  <c r="H2005" i="116"/>
  <c r="G2005" i="116"/>
  <c r="F2005" i="116"/>
  <c r="E2005" i="116"/>
  <c r="D2005" i="116"/>
  <c r="C2005" i="116"/>
  <c r="B2005" i="116"/>
  <c r="K2004" i="116"/>
  <c r="J2004" i="116"/>
  <c r="I2004" i="116"/>
  <c r="H2004" i="116"/>
  <c r="G2004" i="116"/>
  <c r="F2004" i="116"/>
  <c r="E2004" i="116"/>
  <c r="D2004" i="116"/>
  <c r="C2004" i="116"/>
  <c r="B2004" i="116"/>
  <c r="K2003" i="116"/>
  <c r="J2003" i="116"/>
  <c r="I2003" i="116"/>
  <c r="H2003" i="116"/>
  <c r="G2003" i="116"/>
  <c r="F2003" i="116"/>
  <c r="E2003" i="116"/>
  <c r="D2003" i="116"/>
  <c r="C2003" i="116"/>
  <c r="B2003" i="116"/>
  <c r="K2002" i="116"/>
  <c r="J2002" i="116"/>
  <c r="I2002" i="116"/>
  <c r="H2002" i="116"/>
  <c r="G2002" i="116"/>
  <c r="F2002" i="116"/>
  <c r="E2002" i="116"/>
  <c r="D2002" i="116"/>
  <c r="C2002" i="116"/>
  <c r="B2002" i="116"/>
  <c r="K2001" i="116"/>
  <c r="J2001" i="116"/>
  <c r="I2001" i="116"/>
  <c r="H2001" i="116"/>
  <c r="G2001" i="116"/>
  <c r="F2001" i="116"/>
  <c r="E2001" i="116"/>
  <c r="D2001" i="116"/>
  <c r="C2001" i="116"/>
  <c r="B2001" i="116"/>
  <c r="K2000" i="116"/>
  <c r="J2000" i="116"/>
  <c r="I2000" i="116"/>
  <c r="H2000" i="116"/>
  <c r="G2000" i="116"/>
  <c r="F2000" i="116"/>
  <c r="E2000" i="116"/>
  <c r="D2000" i="116"/>
  <c r="C2000" i="116"/>
  <c r="B2000" i="116"/>
  <c r="K1999" i="116"/>
  <c r="J1999" i="116"/>
  <c r="I1999" i="116"/>
  <c r="H1999" i="116"/>
  <c r="G1999" i="116"/>
  <c r="F1999" i="116"/>
  <c r="E1999" i="116"/>
  <c r="D1999" i="116"/>
  <c r="C1999" i="116"/>
  <c r="B1999" i="116"/>
  <c r="K1998" i="116"/>
  <c r="J1998" i="116"/>
  <c r="I1998" i="116"/>
  <c r="H1998" i="116"/>
  <c r="G1998" i="116"/>
  <c r="F1998" i="116"/>
  <c r="E1998" i="116"/>
  <c r="D1998" i="116"/>
  <c r="C1998" i="116"/>
  <c r="B1998" i="116"/>
  <c r="K1997" i="116"/>
  <c r="J1997" i="116"/>
  <c r="I1997" i="116"/>
  <c r="H1997" i="116"/>
  <c r="G1997" i="116"/>
  <c r="F1997" i="116"/>
  <c r="E1997" i="116"/>
  <c r="D1997" i="116"/>
  <c r="C1997" i="116"/>
  <c r="B1997" i="116"/>
  <c r="K1996" i="116"/>
  <c r="J1996" i="116"/>
  <c r="I1996" i="116"/>
  <c r="H1996" i="116"/>
  <c r="G1996" i="116"/>
  <c r="F1996" i="116"/>
  <c r="E1996" i="116"/>
  <c r="D1996" i="116"/>
  <c r="C1996" i="116"/>
  <c r="B1996" i="116"/>
  <c r="K1995" i="116"/>
  <c r="J1995" i="116"/>
  <c r="I1995" i="116"/>
  <c r="H1995" i="116"/>
  <c r="G1995" i="116"/>
  <c r="F1995" i="116"/>
  <c r="E1995" i="116"/>
  <c r="D1995" i="116"/>
  <c r="C1995" i="116"/>
  <c r="B1995" i="116"/>
  <c r="K1994" i="116"/>
  <c r="J1994" i="116"/>
  <c r="I1994" i="116"/>
  <c r="H1994" i="116"/>
  <c r="G1994" i="116"/>
  <c r="F1994" i="116"/>
  <c r="E1994" i="116"/>
  <c r="D1994" i="116"/>
  <c r="C1994" i="116"/>
  <c r="B1994" i="116"/>
  <c r="K1993" i="116"/>
  <c r="J1993" i="116"/>
  <c r="I1993" i="116"/>
  <c r="H1993" i="116"/>
  <c r="G1993" i="116"/>
  <c r="F1993" i="116"/>
  <c r="E1993" i="116"/>
  <c r="D1993" i="116"/>
  <c r="C1993" i="116"/>
  <c r="B1993" i="116"/>
  <c r="K1992" i="116"/>
  <c r="J1992" i="116"/>
  <c r="I1992" i="116"/>
  <c r="H1992" i="116"/>
  <c r="G1992" i="116"/>
  <c r="F1992" i="116"/>
  <c r="E1992" i="116"/>
  <c r="D1992" i="116"/>
  <c r="C1992" i="116"/>
  <c r="B1992" i="116"/>
  <c r="K1991" i="116"/>
  <c r="J1991" i="116"/>
  <c r="I1991" i="116"/>
  <c r="H1991" i="116"/>
  <c r="G1991" i="116"/>
  <c r="F1991" i="116"/>
  <c r="E1991" i="116"/>
  <c r="D1991" i="116"/>
  <c r="C1991" i="116"/>
  <c r="B1991" i="116"/>
  <c r="K1990" i="116"/>
  <c r="J1990" i="116"/>
  <c r="I1990" i="116"/>
  <c r="H1990" i="116"/>
  <c r="G1990" i="116"/>
  <c r="F1990" i="116"/>
  <c r="E1990" i="116"/>
  <c r="D1990" i="116"/>
  <c r="C1990" i="116"/>
  <c r="B1990" i="116"/>
  <c r="K1989" i="116"/>
  <c r="J1989" i="116"/>
  <c r="I1989" i="116"/>
  <c r="H1989" i="116"/>
  <c r="G1989" i="116"/>
  <c r="F1989" i="116"/>
  <c r="E1989" i="116"/>
  <c r="D1989" i="116"/>
  <c r="C1989" i="116"/>
  <c r="B1989" i="116"/>
  <c r="K1988" i="116"/>
  <c r="J1988" i="116"/>
  <c r="I1988" i="116"/>
  <c r="H1988" i="116"/>
  <c r="G1988" i="116"/>
  <c r="F1988" i="116"/>
  <c r="E1988" i="116"/>
  <c r="D1988" i="116"/>
  <c r="C1988" i="116"/>
  <c r="B1988" i="116"/>
  <c r="K1987" i="116"/>
  <c r="J1987" i="116"/>
  <c r="I1987" i="116"/>
  <c r="H1987" i="116"/>
  <c r="G1987" i="116"/>
  <c r="F1987" i="116"/>
  <c r="E1987" i="116"/>
  <c r="D1987" i="116"/>
  <c r="C1987" i="116"/>
  <c r="B1987" i="116"/>
  <c r="K1986" i="116"/>
  <c r="J1986" i="116"/>
  <c r="I1986" i="116"/>
  <c r="H1986" i="116"/>
  <c r="G1986" i="116"/>
  <c r="F1986" i="116"/>
  <c r="E1986" i="116"/>
  <c r="D1986" i="116"/>
  <c r="C1986" i="116"/>
  <c r="B1986" i="116"/>
  <c r="K1985" i="116"/>
  <c r="J1985" i="116"/>
  <c r="I1985" i="116"/>
  <c r="H1985" i="116"/>
  <c r="G1985" i="116"/>
  <c r="F1985" i="116"/>
  <c r="E1985" i="116"/>
  <c r="D1985" i="116"/>
  <c r="C1985" i="116"/>
  <c r="B1985" i="116"/>
  <c r="K1984" i="116"/>
  <c r="J1984" i="116"/>
  <c r="I1984" i="116"/>
  <c r="H1984" i="116"/>
  <c r="G1984" i="116"/>
  <c r="F1984" i="116"/>
  <c r="E1984" i="116"/>
  <c r="D1984" i="116"/>
  <c r="C1984" i="116"/>
  <c r="B1984" i="116"/>
  <c r="K1983" i="116"/>
  <c r="J1983" i="116"/>
  <c r="I1983" i="116"/>
  <c r="H1983" i="116"/>
  <c r="G1983" i="116"/>
  <c r="F1983" i="116"/>
  <c r="E1983" i="116"/>
  <c r="D1983" i="116"/>
  <c r="C1983" i="116"/>
  <c r="B1983" i="116"/>
  <c r="K1982" i="116"/>
  <c r="J1982" i="116"/>
  <c r="I1982" i="116"/>
  <c r="H1982" i="116"/>
  <c r="G1982" i="116"/>
  <c r="F1982" i="116"/>
  <c r="E1982" i="116"/>
  <c r="D1982" i="116"/>
  <c r="C1982" i="116"/>
  <c r="B1982" i="116"/>
  <c r="K1981" i="116"/>
  <c r="J1981" i="116"/>
  <c r="I1981" i="116"/>
  <c r="H1981" i="116"/>
  <c r="G1981" i="116"/>
  <c r="F1981" i="116"/>
  <c r="E1981" i="116"/>
  <c r="D1981" i="116"/>
  <c r="C1981" i="116"/>
  <c r="B1981" i="116"/>
  <c r="K1980" i="116"/>
  <c r="J1980" i="116"/>
  <c r="I1980" i="116"/>
  <c r="H1980" i="116"/>
  <c r="G1980" i="116"/>
  <c r="F1980" i="116"/>
  <c r="E1980" i="116"/>
  <c r="D1980" i="116"/>
  <c r="C1980" i="116"/>
  <c r="B1980" i="116"/>
  <c r="K1979" i="116"/>
  <c r="J1979" i="116"/>
  <c r="I1979" i="116"/>
  <c r="H1979" i="116"/>
  <c r="G1979" i="116"/>
  <c r="F1979" i="116"/>
  <c r="E1979" i="116"/>
  <c r="D1979" i="116"/>
  <c r="C1979" i="116"/>
  <c r="B1979" i="116"/>
  <c r="K1978" i="116"/>
  <c r="J1978" i="116"/>
  <c r="I1978" i="116"/>
  <c r="H1978" i="116"/>
  <c r="G1978" i="116"/>
  <c r="F1978" i="116"/>
  <c r="E1978" i="116"/>
  <c r="D1978" i="116"/>
  <c r="C1978" i="116"/>
  <c r="B1978" i="116"/>
  <c r="K1977" i="116"/>
  <c r="J1977" i="116"/>
  <c r="I1977" i="116"/>
  <c r="H1977" i="116"/>
  <c r="G1977" i="116"/>
  <c r="F1977" i="116"/>
  <c r="E1977" i="116"/>
  <c r="D1977" i="116"/>
  <c r="C1977" i="116"/>
  <c r="B1977" i="116"/>
  <c r="K1976" i="116"/>
  <c r="J1976" i="116"/>
  <c r="I1976" i="116"/>
  <c r="H1976" i="116"/>
  <c r="G1976" i="116"/>
  <c r="F1976" i="116"/>
  <c r="E1976" i="116"/>
  <c r="D1976" i="116"/>
  <c r="C1976" i="116"/>
  <c r="B1976" i="116"/>
  <c r="K1975" i="116"/>
  <c r="J1975" i="116"/>
  <c r="I1975" i="116"/>
  <c r="H1975" i="116"/>
  <c r="G1975" i="116"/>
  <c r="F1975" i="116"/>
  <c r="E1975" i="116"/>
  <c r="D1975" i="116"/>
  <c r="C1975" i="116"/>
  <c r="B1975" i="116"/>
  <c r="K1974" i="116"/>
  <c r="J1974" i="116"/>
  <c r="I1974" i="116"/>
  <c r="H1974" i="116"/>
  <c r="G1974" i="116"/>
  <c r="F1974" i="116"/>
  <c r="E1974" i="116"/>
  <c r="D1974" i="116"/>
  <c r="C1974" i="116"/>
  <c r="B1974" i="116"/>
  <c r="K1973" i="116"/>
  <c r="J1973" i="116"/>
  <c r="I1973" i="116"/>
  <c r="H1973" i="116"/>
  <c r="G1973" i="116"/>
  <c r="F1973" i="116"/>
  <c r="E1973" i="116"/>
  <c r="D1973" i="116"/>
  <c r="C1973" i="116"/>
  <c r="B1973" i="116"/>
  <c r="K1972" i="116"/>
  <c r="J1972" i="116"/>
  <c r="I1972" i="116"/>
  <c r="H1972" i="116"/>
  <c r="G1972" i="116"/>
  <c r="F1972" i="116"/>
  <c r="E1972" i="116"/>
  <c r="D1972" i="116"/>
  <c r="C1972" i="116"/>
  <c r="B1972" i="116"/>
  <c r="K1971" i="116"/>
  <c r="J1971" i="116"/>
  <c r="I1971" i="116"/>
  <c r="H1971" i="116"/>
  <c r="G1971" i="116"/>
  <c r="F1971" i="116"/>
  <c r="E1971" i="116"/>
  <c r="D1971" i="116"/>
  <c r="C1971" i="116"/>
  <c r="B1971" i="116"/>
  <c r="K1970" i="116"/>
  <c r="J1970" i="116"/>
  <c r="I1970" i="116"/>
  <c r="H1970" i="116"/>
  <c r="G1970" i="116"/>
  <c r="F1970" i="116"/>
  <c r="E1970" i="116"/>
  <c r="D1970" i="116"/>
  <c r="C1970" i="116"/>
  <c r="B1970" i="116"/>
  <c r="K1969" i="116"/>
  <c r="J1969" i="116"/>
  <c r="I1969" i="116"/>
  <c r="H1969" i="116"/>
  <c r="G1969" i="116"/>
  <c r="F1969" i="116"/>
  <c r="E1969" i="116"/>
  <c r="D1969" i="116"/>
  <c r="C1969" i="116"/>
  <c r="B1969" i="116"/>
  <c r="K1968" i="116"/>
  <c r="J1968" i="116"/>
  <c r="I1968" i="116"/>
  <c r="H1968" i="116"/>
  <c r="G1968" i="116"/>
  <c r="F1968" i="116"/>
  <c r="E1968" i="116"/>
  <c r="D1968" i="116"/>
  <c r="C1968" i="116"/>
  <c r="B1968" i="116"/>
  <c r="K1967" i="116"/>
  <c r="J1967" i="116"/>
  <c r="I1967" i="116"/>
  <c r="H1967" i="116"/>
  <c r="G1967" i="116"/>
  <c r="F1967" i="116"/>
  <c r="E1967" i="116"/>
  <c r="D1967" i="116"/>
  <c r="C1967" i="116"/>
  <c r="B1967" i="116"/>
  <c r="K1966" i="116"/>
  <c r="J1966" i="116"/>
  <c r="I1966" i="116"/>
  <c r="H1966" i="116"/>
  <c r="G1966" i="116"/>
  <c r="F1966" i="116"/>
  <c r="E1966" i="116"/>
  <c r="D1966" i="116"/>
  <c r="C1966" i="116"/>
  <c r="B1966" i="116"/>
  <c r="K1965" i="116"/>
  <c r="J1965" i="116"/>
  <c r="I1965" i="116"/>
  <c r="H1965" i="116"/>
  <c r="G1965" i="116"/>
  <c r="F1965" i="116"/>
  <c r="E1965" i="116"/>
  <c r="D1965" i="116"/>
  <c r="C1965" i="116"/>
  <c r="B1965" i="116"/>
  <c r="K1964" i="116"/>
  <c r="J1964" i="116"/>
  <c r="I1964" i="116"/>
  <c r="H1964" i="116"/>
  <c r="G1964" i="116"/>
  <c r="F1964" i="116"/>
  <c r="E1964" i="116"/>
  <c r="D1964" i="116"/>
  <c r="C1964" i="116"/>
  <c r="B1964" i="116"/>
  <c r="K1963" i="116"/>
  <c r="J1963" i="116"/>
  <c r="I1963" i="116"/>
  <c r="H1963" i="116"/>
  <c r="G1963" i="116"/>
  <c r="F1963" i="116"/>
  <c r="E1963" i="116"/>
  <c r="D1963" i="116"/>
  <c r="C1963" i="116"/>
  <c r="B1963" i="116"/>
  <c r="K1962" i="116"/>
  <c r="J1962" i="116"/>
  <c r="I1962" i="116"/>
  <c r="H1962" i="116"/>
  <c r="G1962" i="116"/>
  <c r="F1962" i="116"/>
  <c r="E1962" i="116"/>
  <c r="D1962" i="116"/>
  <c r="C1962" i="116"/>
  <c r="B1962" i="116"/>
  <c r="K1961" i="116"/>
  <c r="J1961" i="116"/>
  <c r="I1961" i="116"/>
  <c r="H1961" i="116"/>
  <c r="G1961" i="116"/>
  <c r="F1961" i="116"/>
  <c r="E1961" i="116"/>
  <c r="D1961" i="116"/>
  <c r="C1961" i="116"/>
  <c r="B1961" i="116"/>
  <c r="K1960" i="116"/>
  <c r="J1960" i="116"/>
  <c r="I1960" i="116"/>
  <c r="H1960" i="116"/>
  <c r="G1960" i="116"/>
  <c r="F1960" i="116"/>
  <c r="E1960" i="116"/>
  <c r="D1960" i="116"/>
  <c r="C1960" i="116"/>
  <c r="B1960" i="116"/>
  <c r="K1959" i="116"/>
  <c r="J1959" i="116"/>
  <c r="I1959" i="116"/>
  <c r="H1959" i="116"/>
  <c r="G1959" i="116"/>
  <c r="F1959" i="116"/>
  <c r="E1959" i="116"/>
  <c r="D1959" i="116"/>
  <c r="C1959" i="116"/>
  <c r="B1959" i="116"/>
  <c r="K1958" i="116"/>
  <c r="J1958" i="116"/>
  <c r="I1958" i="116"/>
  <c r="H1958" i="116"/>
  <c r="G1958" i="116"/>
  <c r="F1958" i="116"/>
  <c r="E1958" i="116"/>
  <c r="D1958" i="116"/>
  <c r="C1958" i="116"/>
  <c r="B1958" i="116"/>
  <c r="K1957" i="116"/>
  <c r="J1957" i="116"/>
  <c r="I1957" i="116"/>
  <c r="H1957" i="116"/>
  <c r="G1957" i="116"/>
  <c r="F1957" i="116"/>
  <c r="E1957" i="116"/>
  <c r="D1957" i="116"/>
  <c r="C1957" i="116"/>
  <c r="B1957" i="116"/>
  <c r="K1956" i="116"/>
  <c r="J1956" i="116"/>
  <c r="I1956" i="116"/>
  <c r="H1956" i="116"/>
  <c r="G1956" i="116"/>
  <c r="F1956" i="116"/>
  <c r="E1956" i="116"/>
  <c r="D1956" i="116"/>
  <c r="C1956" i="116"/>
  <c r="B1956" i="116"/>
  <c r="K1955" i="116"/>
  <c r="J1955" i="116"/>
  <c r="I1955" i="116"/>
  <c r="H1955" i="116"/>
  <c r="G1955" i="116"/>
  <c r="F1955" i="116"/>
  <c r="E1955" i="116"/>
  <c r="D1955" i="116"/>
  <c r="C1955" i="116"/>
  <c r="B1955" i="116"/>
  <c r="K1954" i="116"/>
  <c r="J1954" i="116"/>
  <c r="I1954" i="116"/>
  <c r="H1954" i="116"/>
  <c r="G1954" i="116"/>
  <c r="F1954" i="116"/>
  <c r="E1954" i="116"/>
  <c r="D1954" i="116"/>
  <c r="C1954" i="116"/>
  <c r="B1954" i="116"/>
  <c r="K1953" i="116"/>
  <c r="J1953" i="116"/>
  <c r="I1953" i="116"/>
  <c r="H1953" i="116"/>
  <c r="G1953" i="116"/>
  <c r="F1953" i="116"/>
  <c r="E1953" i="116"/>
  <c r="D1953" i="116"/>
  <c r="C1953" i="116"/>
  <c r="B1953" i="116"/>
  <c r="K1952" i="116"/>
  <c r="J1952" i="116"/>
  <c r="I1952" i="116"/>
  <c r="H1952" i="116"/>
  <c r="G1952" i="116"/>
  <c r="F1952" i="116"/>
  <c r="E1952" i="116"/>
  <c r="D1952" i="116"/>
  <c r="C1952" i="116"/>
  <c r="B1952" i="116"/>
  <c r="K1951" i="116"/>
  <c r="J1951" i="116"/>
  <c r="I1951" i="116"/>
  <c r="H1951" i="116"/>
  <c r="G1951" i="116"/>
  <c r="F1951" i="116"/>
  <c r="E1951" i="116"/>
  <c r="D1951" i="116"/>
  <c r="C1951" i="116"/>
  <c r="B1951" i="116"/>
  <c r="K1950" i="116"/>
  <c r="J1950" i="116"/>
  <c r="I1950" i="116"/>
  <c r="H1950" i="116"/>
  <c r="G1950" i="116"/>
  <c r="F1950" i="116"/>
  <c r="E1950" i="116"/>
  <c r="D1950" i="116"/>
  <c r="C1950" i="116"/>
  <c r="B1950" i="116"/>
  <c r="K1949" i="116"/>
  <c r="J1949" i="116"/>
  <c r="I1949" i="116"/>
  <c r="H1949" i="116"/>
  <c r="G1949" i="116"/>
  <c r="F1949" i="116"/>
  <c r="E1949" i="116"/>
  <c r="D1949" i="116"/>
  <c r="C1949" i="116"/>
  <c r="B1949" i="116"/>
  <c r="K1948" i="116"/>
  <c r="J1948" i="116"/>
  <c r="I1948" i="116"/>
  <c r="H1948" i="116"/>
  <c r="G1948" i="116"/>
  <c r="F1948" i="116"/>
  <c r="E1948" i="116"/>
  <c r="D1948" i="116"/>
  <c r="C1948" i="116"/>
  <c r="B1948" i="116"/>
  <c r="K1947" i="116"/>
  <c r="J1947" i="116"/>
  <c r="I1947" i="116"/>
  <c r="H1947" i="116"/>
  <c r="G1947" i="116"/>
  <c r="F1947" i="116"/>
  <c r="E1947" i="116"/>
  <c r="D1947" i="116"/>
  <c r="C1947" i="116"/>
  <c r="B1947" i="116"/>
  <c r="K1946" i="116"/>
  <c r="J1946" i="116"/>
  <c r="I1946" i="116"/>
  <c r="H1946" i="116"/>
  <c r="G1946" i="116"/>
  <c r="F1946" i="116"/>
  <c r="E1946" i="116"/>
  <c r="D1946" i="116"/>
  <c r="C1946" i="116"/>
  <c r="B1946" i="116"/>
  <c r="K1945" i="116"/>
  <c r="J1945" i="116"/>
  <c r="I1945" i="116"/>
  <c r="H1945" i="116"/>
  <c r="G1945" i="116"/>
  <c r="F1945" i="116"/>
  <c r="E1945" i="116"/>
  <c r="D1945" i="116"/>
  <c r="C1945" i="116"/>
  <c r="B1945" i="116"/>
  <c r="K1944" i="116"/>
  <c r="J1944" i="116"/>
  <c r="I1944" i="116"/>
  <c r="H1944" i="116"/>
  <c r="G1944" i="116"/>
  <c r="F1944" i="116"/>
  <c r="E1944" i="116"/>
  <c r="D1944" i="116"/>
  <c r="C1944" i="116"/>
  <c r="B1944" i="116"/>
  <c r="K1943" i="116"/>
  <c r="J1943" i="116"/>
  <c r="I1943" i="116"/>
  <c r="H1943" i="116"/>
  <c r="G1943" i="116"/>
  <c r="F1943" i="116"/>
  <c r="E1943" i="116"/>
  <c r="D1943" i="116"/>
  <c r="C1943" i="116"/>
  <c r="B1943" i="116"/>
  <c r="K1942" i="116"/>
  <c r="J1942" i="116"/>
  <c r="I1942" i="116"/>
  <c r="H1942" i="116"/>
  <c r="G1942" i="116"/>
  <c r="F1942" i="116"/>
  <c r="E1942" i="116"/>
  <c r="D1942" i="116"/>
  <c r="C1942" i="116"/>
  <c r="B1942" i="116"/>
  <c r="K1941" i="116"/>
  <c r="J1941" i="116"/>
  <c r="I1941" i="116"/>
  <c r="H1941" i="116"/>
  <c r="G1941" i="116"/>
  <c r="F1941" i="116"/>
  <c r="E1941" i="116"/>
  <c r="D1941" i="116"/>
  <c r="C1941" i="116"/>
  <c r="B1941" i="116"/>
  <c r="K1940" i="116"/>
  <c r="J1940" i="116"/>
  <c r="I1940" i="116"/>
  <c r="H1940" i="116"/>
  <c r="G1940" i="116"/>
  <c r="F1940" i="116"/>
  <c r="E1940" i="116"/>
  <c r="D1940" i="116"/>
  <c r="C1940" i="116"/>
  <c r="B1940" i="116"/>
  <c r="K1939" i="116"/>
  <c r="J1939" i="116"/>
  <c r="I1939" i="116"/>
  <c r="H1939" i="116"/>
  <c r="G1939" i="116"/>
  <c r="F1939" i="116"/>
  <c r="E1939" i="116"/>
  <c r="D1939" i="116"/>
  <c r="C1939" i="116"/>
  <c r="B1939" i="116"/>
  <c r="K1938" i="116"/>
  <c r="J1938" i="116"/>
  <c r="I1938" i="116"/>
  <c r="H1938" i="116"/>
  <c r="G1938" i="116"/>
  <c r="F1938" i="116"/>
  <c r="E1938" i="116"/>
  <c r="D1938" i="116"/>
  <c r="C1938" i="116"/>
  <c r="B1938" i="116"/>
  <c r="K1937" i="116"/>
  <c r="J1937" i="116"/>
  <c r="I1937" i="116"/>
  <c r="H1937" i="116"/>
  <c r="G1937" i="116"/>
  <c r="F1937" i="116"/>
  <c r="E1937" i="116"/>
  <c r="D1937" i="116"/>
  <c r="C1937" i="116"/>
  <c r="B1937" i="116"/>
  <c r="K1936" i="116"/>
  <c r="J1936" i="116"/>
  <c r="I1936" i="116"/>
  <c r="H1936" i="116"/>
  <c r="G1936" i="116"/>
  <c r="F1936" i="116"/>
  <c r="E1936" i="116"/>
  <c r="D1936" i="116"/>
  <c r="C1936" i="116"/>
  <c r="B1936" i="116"/>
  <c r="K1935" i="116"/>
  <c r="J1935" i="116"/>
  <c r="I1935" i="116"/>
  <c r="H1935" i="116"/>
  <c r="G1935" i="116"/>
  <c r="F1935" i="116"/>
  <c r="E1935" i="116"/>
  <c r="D1935" i="116"/>
  <c r="C1935" i="116"/>
  <c r="B1935" i="116"/>
  <c r="K1934" i="116"/>
  <c r="J1934" i="116"/>
  <c r="I1934" i="116"/>
  <c r="H1934" i="116"/>
  <c r="G1934" i="116"/>
  <c r="F1934" i="116"/>
  <c r="E1934" i="116"/>
  <c r="D1934" i="116"/>
  <c r="C1934" i="116"/>
  <c r="B1934" i="116"/>
  <c r="K1933" i="116"/>
  <c r="J1933" i="116"/>
  <c r="I1933" i="116"/>
  <c r="H1933" i="116"/>
  <c r="G1933" i="116"/>
  <c r="F1933" i="116"/>
  <c r="E1933" i="116"/>
  <c r="D1933" i="116"/>
  <c r="C1933" i="116"/>
  <c r="B1933" i="116"/>
  <c r="K1932" i="116"/>
  <c r="J1932" i="116"/>
  <c r="I1932" i="116"/>
  <c r="H1932" i="116"/>
  <c r="G1932" i="116"/>
  <c r="F1932" i="116"/>
  <c r="E1932" i="116"/>
  <c r="D1932" i="116"/>
  <c r="C1932" i="116"/>
  <c r="B1932" i="116"/>
  <c r="K1931" i="116"/>
  <c r="J1931" i="116"/>
  <c r="I1931" i="116"/>
  <c r="H1931" i="116"/>
  <c r="G1931" i="116"/>
  <c r="F1931" i="116"/>
  <c r="E1931" i="116"/>
  <c r="D1931" i="116"/>
  <c r="C1931" i="116"/>
  <c r="B1931" i="116"/>
  <c r="K1930" i="116"/>
  <c r="J1930" i="116"/>
  <c r="I1930" i="116"/>
  <c r="H1930" i="116"/>
  <c r="G1930" i="116"/>
  <c r="F1930" i="116"/>
  <c r="E1930" i="116"/>
  <c r="D1930" i="116"/>
  <c r="C1930" i="116"/>
  <c r="B1930" i="116"/>
  <c r="K1929" i="116"/>
  <c r="J1929" i="116"/>
  <c r="I1929" i="116"/>
  <c r="H1929" i="116"/>
  <c r="G1929" i="116"/>
  <c r="F1929" i="116"/>
  <c r="E1929" i="116"/>
  <c r="D1929" i="116"/>
  <c r="C1929" i="116"/>
  <c r="B1929" i="116"/>
  <c r="K1928" i="116"/>
  <c r="J1928" i="116"/>
  <c r="I1928" i="116"/>
  <c r="H1928" i="116"/>
  <c r="G1928" i="116"/>
  <c r="F1928" i="116"/>
  <c r="E1928" i="116"/>
  <c r="D1928" i="116"/>
  <c r="C1928" i="116"/>
  <c r="B1928" i="116"/>
  <c r="K1927" i="116"/>
  <c r="J1927" i="116"/>
  <c r="I1927" i="116"/>
  <c r="H1927" i="116"/>
  <c r="G1927" i="116"/>
  <c r="F1927" i="116"/>
  <c r="E1927" i="116"/>
  <c r="D1927" i="116"/>
  <c r="C1927" i="116"/>
  <c r="B1927" i="116"/>
  <c r="K1926" i="116"/>
  <c r="J1926" i="116"/>
  <c r="I1926" i="116"/>
  <c r="H1926" i="116"/>
  <c r="G1926" i="116"/>
  <c r="F1926" i="116"/>
  <c r="E1926" i="116"/>
  <c r="D1926" i="116"/>
  <c r="C1926" i="116"/>
  <c r="B1926" i="116"/>
  <c r="K1925" i="116"/>
  <c r="J1925" i="116"/>
  <c r="I1925" i="116"/>
  <c r="H1925" i="116"/>
  <c r="G1925" i="116"/>
  <c r="F1925" i="116"/>
  <c r="E1925" i="116"/>
  <c r="D1925" i="116"/>
  <c r="C1925" i="116"/>
  <c r="B1925" i="116"/>
  <c r="K1924" i="116"/>
  <c r="J1924" i="116"/>
  <c r="I1924" i="116"/>
  <c r="H1924" i="116"/>
  <c r="G1924" i="116"/>
  <c r="F1924" i="116"/>
  <c r="E1924" i="116"/>
  <c r="D1924" i="116"/>
  <c r="C1924" i="116"/>
  <c r="B1924" i="116"/>
  <c r="K1923" i="116"/>
  <c r="J1923" i="116"/>
  <c r="I1923" i="116"/>
  <c r="H1923" i="116"/>
  <c r="G1923" i="116"/>
  <c r="F1923" i="116"/>
  <c r="E1923" i="116"/>
  <c r="D1923" i="116"/>
  <c r="C1923" i="116"/>
  <c r="B1923" i="116"/>
  <c r="K1922" i="116"/>
  <c r="J1922" i="116"/>
  <c r="I1922" i="116"/>
  <c r="H1922" i="116"/>
  <c r="G1922" i="116"/>
  <c r="F1922" i="116"/>
  <c r="E1922" i="116"/>
  <c r="D1922" i="116"/>
  <c r="C1922" i="116"/>
  <c r="B1922" i="116"/>
  <c r="K1921" i="116"/>
  <c r="J1921" i="116"/>
  <c r="I1921" i="116"/>
  <c r="H1921" i="116"/>
  <c r="G1921" i="116"/>
  <c r="F1921" i="116"/>
  <c r="E1921" i="116"/>
  <c r="D1921" i="116"/>
  <c r="C1921" i="116"/>
  <c r="B1921" i="116"/>
  <c r="K1920" i="116"/>
  <c r="J1920" i="116"/>
  <c r="I1920" i="116"/>
  <c r="H1920" i="116"/>
  <c r="G1920" i="116"/>
  <c r="F1920" i="116"/>
  <c r="E1920" i="116"/>
  <c r="D1920" i="116"/>
  <c r="C1920" i="116"/>
  <c r="B1920" i="116"/>
  <c r="K1919" i="116"/>
  <c r="J1919" i="116"/>
  <c r="I1919" i="116"/>
  <c r="H1919" i="116"/>
  <c r="G1919" i="116"/>
  <c r="F1919" i="116"/>
  <c r="E1919" i="116"/>
  <c r="D1919" i="116"/>
  <c r="C1919" i="116"/>
  <c r="B1919" i="116"/>
  <c r="K1918" i="116"/>
  <c r="J1918" i="116"/>
  <c r="I1918" i="116"/>
  <c r="H1918" i="116"/>
  <c r="G1918" i="116"/>
  <c r="F1918" i="116"/>
  <c r="E1918" i="116"/>
  <c r="D1918" i="116"/>
  <c r="C1918" i="116"/>
  <c r="B1918" i="116"/>
  <c r="K1917" i="116"/>
  <c r="J1917" i="116"/>
  <c r="I1917" i="116"/>
  <c r="H1917" i="116"/>
  <c r="G1917" i="116"/>
  <c r="F1917" i="116"/>
  <c r="E1917" i="116"/>
  <c r="D1917" i="116"/>
  <c r="C1917" i="116"/>
  <c r="B1917" i="116"/>
  <c r="K1916" i="116"/>
  <c r="J1916" i="116"/>
  <c r="I1916" i="116"/>
  <c r="H1916" i="116"/>
  <c r="G1916" i="116"/>
  <c r="F1916" i="116"/>
  <c r="E1916" i="116"/>
  <c r="D1916" i="116"/>
  <c r="C1916" i="116"/>
  <c r="B1916" i="116"/>
  <c r="K1915" i="116"/>
  <c r="J1915" i="116"/>
  <c r="I1915" i="116"/>
  <c r="H1915" i="116"/>
  <c r="G1915" i="116"/>
  <c r="F1915" i="116"/>
  <c r="E1915" i="116"/>
  <c r="D1915" i="116"/>
  <c r="C1915" i="116"/>
  <c r="B1915" i="116"/>
  <c r="K1914" i="116"/>
  <c r="J1914" i="116"/>
  <c r="I1914" i="116"/>
  <c r="H1914" i="116"/>
  <c r="G1914" i="116"/>
  <c r="F1914" i="116"/>
  <c r="E1914" i="116"/>
  <c r="D1914" i="116"/>
  <c r="C1914" i="116"/>
  <c r="B1914" i="116"/>
  <c r="K1913" i="116"/>
  <c r="J1913" i="116"/>
  <c r="I1913" i="116"/>
  <c r="H1913" i="116"/>
  <c r="G1913" i="116"/>
  <c r="F1913" i="116"/>
  <c r="E1913" i="116"/>
  <c r="D1913" i="116"/>
  <c r="C1913" i="116"/>
  <c r="B1913" i="116"/>
  <c r="K1912" i="116"/>
  <c r="J1912" i="116"/>
  <c r="I1912" i="116"/>
  <c r="H1912" i="116"/>
  <c r="G1912" i="116"/>
  <c r="F1912" i="116"/>
  <c r="E1912" i="116"/>
  <c r="D1912" i="116"/>
  <c r="C1912" i="116"/>
  <c r="B1912" i="116"/>
  <c r="K1911" i="116"/>
  <c r="J1911" i="116"/>
  <c r="I1911" i="116"/>
  <c r="H1911" i="116"/>
  <c r="G1911" i="116"/>
  <c r="F1911" i="116"/>
  <c r="E1911" i="116"/>
  <c r="D1911" i="116"/>
  <c r="C1911" i="116"/>
  <c r="B1911" i="116"/>
  <c r="K1910" i="116"/>
  <c r="J1910" i="116"/>
  <c r="I1910" i="116"/>
  <c r="H1910" i="116"/>
  <c r="G1910" i="116"/>
  <c r="F1910" i="116"/>
  <c r="E1910" i="116"/>
  <c r="D1910" i="116"/>
  <c r="C1910" i="116"/>
  <c r="B1910" i="116"/>
  <c r="K1909" i="116"/>
  <c r="J1909" i="116"/>
  <c r="I1909" i="116"/>
  <c r="H1909" i="116"/>
  <c r="G1909" i="116"/>
  <c r="F1909" i="116"/>
  <c r="E1909" i="116"/>
  <c r="D1909" i="116"/>
  <c r="C1909" i="116"/>
  <c r="B1909" i="116"/>
  <c r="K1908" i="116"/>
  <c r="J1908" i="116"/>
  <c r="I1908" i="116"/>
  <c r="H1908" i="116"/>
  <c r="G1908" i="116"/>
  <c r="F1908" i="116"/>
  <c r="E1908" i="116"/>
  <c r="D1908" i="116"/>
  <c r="C1908" i="116"/>
  <c r="B1908" i="116"/>
  <c r="K1907" i="116"/>
  <c r="J1907" i="116"/>
  <c r="I1907" i="116"/>
  <c r="H1907" i="116"/>
  <c r="G1907" i="116"/>
  <c r="F1907" i="116"/>
  <c r="E1907" i="116"/>
  <c r="D1907" i="116"/>
  <c r="C1907" i="116"/>
  <c r="B1907" i="116"/>
  <c r="K1906" i="116"/>
  <c r="J1906" i="116"/>
  <c r="I1906" i="116"/>
  <c r="H1906" i="116"/>
  <c r="G1906" i="116"/>
  <c r="F1906" i="116"/>
  <c r="E1906" i="116"/>
  <c r="D1906" i="116"/>
  <c r="C1906" i="116"/>
  <c r="B1906" i="116"/>
  <c r="K1905" i="116"/>
  <c r="J1905" i="116"/>
  <c r="I1905" i="116"/>
  <c r="H1905" i="116"/>
  <c r="G1905" i="116"/>
  <c r="F1905" i="116"/>
  <c r="E1905" i="116"/>
  <c r="D1905" i="116"/>
  <c r="C1905" i="116"/>
  <c r="B1905" i="116"/>
  <c r="K1904" i="116"/>
  <c r="J1904" i="116"/>
  <c r="I1904" i="116"/>
  <c r="H1904" i="116"/>
  <c r="G1904" i="116"/>
  <c r="F1904" i="116"/>
  <c r="E1904" i="116"/>
  <c r="D1904" i="116"/>
  <c r="C1904" i="116"/>
  <c r="B1904" i="116"/>
  <c r="K1903" i="116"/>
  <c r="J1903" i="116"/>
  <c r="I1903" i="116"/>
  <c r="H1903" i="116"/>
  <c r="G1903" i="116"/>
  <c r="F1903" i="116"/>
  <c r="E1903" i="116"/>
  <c r="D1903" i="116"/>
  <c r="C1903" i="116"/>
  <c r="B1903" i="116"/>
  <c r="K1902" i="116"/>
  <c r="J1902" i="116"/>
  <c r="I1902" i="116"/>
  <c r="H1902" i="116"/>
  <c r="G1902" i="116"/>
  <c r="F1902" i="116"/>
  <c r="E1902" i="116"/>
  <c r="D1902" i="116"/>
  <c r="C1902" i="116"/>
  <c r="B1902" i="116"/>
  <c r="K1901" i="116"/>
  <c r="J1901" i="116"/>
  <c r="I1901" i="116"/>
  <c r="H1901" i="116"/>
  <c r="G1901" i="116"/>
  <c r="F1901" i="116"/>
  <c r="E1901" i="116"/>
  <c r="D1901" i="116"/>
  <c r="C1901" i="116"/>
  <c r="B1901" i="116"/>
  <c r="K1900" i="116"/>
  <c r="J1900" i="116"/>
  <c r="I1900" i="116"/>
  <c r="H1900" i="116"/>
  <c r="G1900" i="116"/>
  <c r="F1900" i="116"/>
  <c r="E1900" i="116"/>
  <c r="D1900" i="116"/>
  <c r="C1900" i="116"/>
  <c r="B1900" i="116"/>
  <c r="K1899" i="116"/>
  <c r="J1899" i="116"/>
  <c r="I1899" i="116"/>
  <c r="H1899" i="116"/>
  <c r="G1899" i="116"/>
  <c r="F1899" i="116"/>
  <c r="E1899" i="116"/>
  <c r="D1899" i="116"/>
  <c r="C1899" i="116"/>
  <c r="B1899" i="116"/>
  <c r="K1898" i="116"/>
  <c r="J1898" i="116"/>
  <c r="I1898" i="116"/>
  <c r="H1898" i="116"/>
  <c r="G1898" i="116"/>
  <c r="F1898" i="116"/>
  <c r="E1898" i="116"/>
  <c r="D1898" i="116"/>
  <c r="C1898" i="116"/>
  <c r="B1898" i="116"/>
  <c r="K1897" i="116"/>
  <c r="J1897" i="116"/>
  <c r="I1897" i="116"/>
  <c r="H1897" i="116"/>
  <c r="G1897" i="116"/>
  <c r="F1897" i="116"/>
  <c r="E1897" i="116"/>
  <c r="D1897" i="116"/>
  <c r="C1897" i="116"/>
  <c r="B1897" i="116"/>
  <c r="K1896" i="116"/>
  <c r="J1896" i="116"/>
  <c r="I1896" i="116"/>
  <c r="H1896" i="116"/>
  <c r="G1896" i="116"/>
  <c r="F1896" i="116"/>
  <c r="E1896" i="116"/>
  <c r="D1896" i="116"/>
  <c r="C1896" i="116"/>
  <c r="B1896" i="116"/>
  <c r="K1895" i="116"/>
  <c r="J1895" i="116"/>
  <c r="I1895" i="116"/>
  <c r="H1895" i="116"/>
  <c r="G1895" i="116"/>
  <c r="F1895" i="116"/>
  <c r="E1895" i="116"/>
  <c r="D1895" i="116"/>
  <c r="C1895" i="116"/>
  <c r="B1895" i="116"/>
  <c r="K1894" i="116"/>
  <c r="J1894" i="116"/>
  <c r="I1894" i="116"/>
  <c r="H1894" i="116"/>
  <c r="G1894" i="116"/>
  <c r="F1894" i="116"/>
  <c r="E1894" i="116"/>
  <c r="D1894" i="116"/>
  <c r="C1894" i="116"/>
  <c r="B1894" i="116"/>
  <c r="K1893" i="116"/>
  <c r="J1893" i="116"/>
  <c r="I1893" i="116"/>
  <c r="H1893" i="116"/>
  <c r="G1893" i="116"/>
  <c r="F1893" i="116"/>
  <c r="E1893" i="116"/>
  <c r="D1893" i="116"/>
  <c r="C1893" i="116"/>
  <c r="B1893" i="116"/>
  <c r="K1892" i="116"/>
  <c r="J1892" i="116"/>
  <c r="I1892" i="116"/>
  <c r="H1892" i="116"/>
  <c r="G1892" i="116"/>
  <c r="F1892" i="116"/>
  <c r="E1892" i="116"/>
  <c r="D1892" i="116"/>
  <c r="C1892" i="116"/>
  <c r="B1892" i="116"/>
  <c r="K1891" i="116"/>
  <c r="J1891" i="116"/>
  <c r="I1891" i="116"/>
  <c r="H1891" i="116"/>
  <c r="G1891" i="116"/>
  <c r="F1891" i="116"/>
  <c r="E1891" i="116"/>
  <c r="D1891" i="116"/>
  <c r="C1891" i="116"/>
  <c r="B1891" i="116"/>
  <c r="K1890" i="116"/>
  <c r="J1890" i="116"/>
  <c r="I1890" i="116"/>
  <c r="H1890" i="116"/>
  <c r="G1890" i="116"/>
  <c r="F1890" i="116"/>
  <c r="E1890" i="116"/>
  <c r="D1890" i="116"/>
  <c r="C1890" i="116"/>
  <c r="B1890" i="116"/>
  <c r="K1889" i="116"/>
  <c r="J1889" i="116"/>
  <c r="I1889" i="116"/>
  <c r="H1889" i="116"/>
  <c r="G1889" i="116"/>
  <c r="F1889" i="116"/>
  <c r="E1889" i="116"/>
  <c r="D1889" i="116"/>
  <c r="C1889" i="116"/>
  <c r="B1889" i="116"/>
  <c r="K1888" i="116"/>
  <c r="J1888" i="116"/>
  <c r="I1888" i="116"/>
  <c r="H1888" i="116"/>
  <c r="G1888" i="116"/>
  <c r="F1888" i="116"/>
  <c r="E1888" i="116"/>
  <c r="D1888" i="116"/>
  <c r="C1888" i="116"/>
  <c r="B1888" i="116"/>
  <c r="K1887" i="116"/>
  <c r="J1887" i="116"/>
  <c r="I1887" i="116"/>
  <c r="H1887" i="116"/>
  <c r="G1887" i="116"/>
  <c r="F1887" i="116"/>
  <c r="E1887" i="116"/>
  <c r="D1887" i="116"/>
  <c r="C1887" i="116"/>
  <c r="B1887" i="116"/>
  <c r="K1886" i="116"/>
  <c r="J1886" i="116"/>
  <c r="I1886" i="116"/>
  <c r="H1886" i="116"/>
  <c r="G1886" i="116"/>
  <c r="F1886" i="116"/>
  <c r="E1886" i="116"/>
  <c r="D1886" i="116"/>
  <c r="C1886" i="116"/>
  <c r="B1886" i="116"/>
  <c r="K1885" i="116"/>
  <c r="J1885" i="116"/>
  <c r="I1885" i="116"/>
  <c r="H1885" i="116"/>
  <c r="G1885" i="116"/>
  <c r="F1885" i="116"/>
  <c r="E1885" i="116"/>
  <c r="D1885" i="116"/>
  <c r="C1885" i="116"/>
  <c r="B1885" i="116"/>
  <c r="K1884" i="116"/>
  <c r="J1884" i="116"/>
  <c r="I1884" i="116"/>
  <c r="H1884" i="116"/>
  <c r="G1884" i="116"/>
  <c r="F1884" i="116"/>
  <c r="E1884" i="116"/>
  <c r="D1884" i="116"/>
  <c r="C1884" i="116"/>
  <c r="B1884" i="116"/>
  <c r="K1883" i="116"/>
  <c r="J1883" i="116"/>
  <c r="I1883" i="116"/>
  <c r="H1883" i="116"/>
  <c r="G1883" i="116"/>
  <c r="F1883" i="116"/>
  <c r="E1883" i="116"/>
  <c r="D1883" i="116"/>
  <c r="C1883" i="116"/>
  <c r="B1883" i="116"/>
  <c r="K1882" i="116"/>
  <c r="J1882" i="116"/>
  <c r="I1882" i="116"/>
  <c r="H1882" i="116"/>
  <c r="G1882" i="116"/>
  <c r="F1882" i="116"/>
  <c r="E1882" i="116"/>
  <c r="D1882" i="116"/>
  <c r="C1882" i="116"/>
  <c r="B1882" i="116"/>
  <c r="K1881" i="116"/>
  <c r="J1881" i="116"/>
  <c r="I1881" i="116"/>
  <c r="H1881" i="116"/>
  <c r="G1881" i="116"/>
  <c r="F1881" i="116"/>
  <c r="E1881" i="116"/>
  <c r="D1881" i="116"/>
  <c r="C1881" i="116"/>
  <c r="B1881" i="116"/>
  <c r="K1880" i="116"/>
  <c r="J1880" i="116"/>
  <c r="I1880" i="116"/>
  <c r="H1880" i="116"/>
  <c r="G1880" i="116"/>
  <c r="F1880" i="116"/>
  <c r="E1880" i="116"/>
  <c r="D1880" i="116"/>
  <c r="C1880" i="116"/>
  <c r="B1880" i="116"/>
  <c r="K1879" i="116"/>
  <c r="J1879" i="116"/>
  <c r="I1879" i="116"/>
  <c r="H1879" i="116"/>
  <c r="G1879" i="116"/>
  <c r="F1879" i="116"/>
  <c r="E1879" i="116"/>
  <c r="D1879" i="116"/>
  <c r="C1879" i="116"/>
  <c r="B1879" i="116"/>
  <c r="K1878" i="116"/>
  <c r="J1878" i="116"/>
  <c r="I1878" i="116"/>
  <c r="H1878" i="116"/>
  <c r="G1878" i="116"/>
  <c r="F1878" i="116"/>
  <c r="E1878" i="116"/>
  <c r="D1878" i="116"/>
  <c r="C1878" i="116"/>
  <c r="B1878" i="116"/>
  <c r="K1877" i="116"/>
  <c r="J1877" i="116"/>
  <c r="I1877" i="116"/>
  <c r="H1877" i="116"/>
  <c r="G1877" i="116"/>
  <c r="F1877" i="116"/>
  <c r="E1877" i="116"/>
  <c r="D1877" i="116"/>
  <c r="C1877" i="116"/>
  <c r="B1877" i="116"/>
  <c r="K1876" i="116"/>
  <c r="J1876" i="116"/>
  <c r="I1876" i="116"/>
  <c r="H1876" i="116"/>
  <c r="G1876" i="116"/>
  <c r="F1876" i="116"/>
  <c r="E1876" i="116"/>
  <c r="D1876" i="116"/>
  <c r="C1876" i="116"/>
  <c r="B1876" i="116"/>
  <c r="K1875" i="116"/>
  <c r="J1875" i="116"/>
  <c r="I1875" i="116"/>
  <c r="H1875" i="116"/>
  <c r="G1875" i="116"/>
  <c r="F1875" i="116"/>
  <c r="E1875" i="116"/>
  <c r="D1875" i="116"/>
  <c r="C1875" i="116"/>
  <c r="B1875" i="116"/>
  <c r="K1874" i="116"/>
  <c r="J1874" i="116"/>
  <c r="I1874" i="116"/>
  <c r="H1874" i="116"/>
  <c r="G1874" i="116"/>
  <c r="F1874" i="116"/>
  <c r="E1874" i="116"/>
  <c r="D1874" i="116"/>
  <c r="C1874" i="116"/>
  <c r="B1874" i="116"/>
  <c r="K1873" i="116"/>
  <c r="J1873" i="116"/>
  <c r="I1873" i="116"/>
  <c r="H1873" i="116"/>
  <c r="G1873" i="116"/>
  <c r="F1873" i="116"/>
  <c r="E1873" i="116"/>
  <c r="D1873" i="116"/>
  <c r="C1873" i="116"/>
  <c r="B1873" i="116"/>
  <c r="K1872" i="116"/>
  <c r="J1872" i="116"/>
  <c r="I1872" i="116"/>
  <c r="H1872" i="116"/>
  <c r="G1872" i="116"/>
  <c r="F1872" i="116"/>
  <c r="E1872" i="116"/>
  <c r="D1872" i="116"/>
  <c r="C1872" i="116"/>
  <c r="B1872" i="116"/>
  <c r="K1871" i="116"/>
  <c r="J1871" i="116"/>
  <c r="I1871" i="116"/>
  <c r="H1871" i="116"/>
  <c r="G1871" i="116"/>
  <c r="F1871" i="116"/>
  <c r="E1871" i="116"/>
  <c r="D1871" i="116"/>
  <c r="C1871" i="116"/>
  <c r="B1871" i="116"/>
  <c r="K1870" i="116"/>
  <c r="J1870" i="116"/>
  <c r="I1870" i="116"/>
  <c r="H1870" i="116"/>
  <c r="G1870" i="116"/>
  <c r="F1870" i="116"/>
  <c r="E1870" i="116"/>
  <c r="D1870" i="116"/>
  <c r="C1870" i="116"/>
  <c r="B1870" i="116"/>
  <c r="K1869" i="116"/>
  <c r="J1869" i="116"/>
  <c r="I1869" i="116"/>
  <c r="H1869" i="116"/>
  <c r="G1869" i="116"/>
  <c r="F1869" i="116"/>
  <c r="E1869" i="116"/>
  <c r="D1869" i="116"/>
  <c r="C1869" i="116"/>
  <c r="B1869" i="116"/>
  <c r="K1868" i="116"/>
  <c r="J1868" i="116"/>
  <c r="I1868" i="116"/>
  <c r="H1868" i="116"/>
  <c r="G1868" i="116"/>
  <c r="F1868" i="116"/>
  <c r="E1868" i="116"/>
  <c r="D1868" i="116"/>
  <c r="C1868" i="116"/>
  <c r="B1868" i="116"/>
  <c r="K1867" i="116"/>
  <c r="J1867" i="116"/>
  <c r="I1867" i="116"/>
  <c r="H1867" i="116"/>
  <c r="G1867" i="116"/>
  <c r="F1867" i="116"/>
  <c r="E1867" i="116"/>
  <c r="D1867" i="116"/>
  <c r="C1867" i="116"/>
  <c r="B1867" i="116"/>
  <c r="K1866" i="116"/>
  <c r="J1866" i="116"/>
  <c r="I1866" i="116"/>
  <c r="H1866" i="116"/>
  <c r="G1866" i="116"/>
  <c r="F1866" i="116"/>
  <c r="E1866" i="116"/>
  <c r="D1866" i="116"/>
  <c r="C1866" i="116"/>
  <c r="B1866" i="116"/>
  <c r="K1865" i="116"/>
  <c r="J1865" i="116"/>
  <c r="I1865" i="116"/>
  <c r="H1865" i="116"/>
  <c r="G1865" i="116"/>
  <c r="F1865" i="116"/>
  <c r="E1865" i="116"/>
  <c r="D1865" i="116"/>
  <c r="C1865" i="116"/>
  <c r="B1865" i="116"/>
  <c r="K1864" i="116"/>
  <c r="J1864" i="116"/>
  <c r="I1864" i="116"/>
  <c r="H1864" i="116"/>
  <c r="G1864" i="116"/>
  <c r="F1864" i="116"/>
  <c r="E1864" i="116"/>
  <c r="D1864" i="116"/>
  <c r="C1864" i="116"/>
  <c r="B1864" i="116"/>
  <c r="K1863" i="116"/>
  <c r="J1863" i="116"/>
  <c r="I1863" i="116"/>
  <c r="H1863" i="116"/>
  <c r="G1863" i="116"/>
  <c r="F1863" i="116"/>
  <c r="E1863" i="116"/>
  <c r="D1863" i="116"/>
  <c r="C1863" i="116"/>
  <c r="B1863" i="116"/>
  <c r="K1862" i="116"/>
  <c r="J1862" i="116"/>
  <c r="I1862" i="116"/>
  <c r="H1862" i="116"/>
  <c r="G1862" i="116"/>
  <c r="F1862" i="116"/>
  <c r="E1862" i="116"/>
  <c r="D1862" i="116"/>
  <c r="C1862" i="116"/>
  <c r="B1862" i="116"/>
  <c r="K1861" i="116"/>
  <c r="J1861" i="116"/>
  <c r="I1861" i="116"/>
  <c r="H1861" i="116"/>
  <c r="G1861" i="116"/>
  <c r="F1861" i="116"/>
  <c r="E1861" i="116"/>
  <c r="D1861" i="116"/>
  <c r="C1861" i="116"/>
  <c r="B1861" i="116"/>
  <c r="K1860" i="116"/>
  <c r="J1860" i="116"/>
  <c r="I1860" i="116"/>
  <c r="H1860" i="116"/>
  <c r="G1860" i="116"/>
  <c r="F1860" i="116"/>
  <c r="E1860" i="116"/>
  <c r="D1860" i="116"/>
  <c r="C1860" i="116"/>
  <c r="B1860" i="116"/>
  <c r="K1859" i="116"/>
  <c r="J1859" i="116"/>
  <c r="I1859" i="116"/>
  <c r="H1859" i="116"/>
  <c r="G1859" i="116"/>
  <c r="F1859" i="116"/>
  <c r="E1859" i="116"/>
  <c r="D1859" i="116"/>
  <c r="C1859" i="116"/>
  <c r="B1859" i="116"/>
  <c r="K1858" i="116"/>
  <c r="J1858" i="116"/>
  <c r="I1858" i="116"/>
  <c r="H1858" i="116"/>
  <c r="G1858" i="116"/>
  <c r="F1858" i="116"/>
  <c r="E1858" i="116"/>
  <c r="D1858" i="116"/>
  <c r="C1858" i="116"/>
  <c r="B1858" i="116"/>
  <c r="K1857" i="116"/>
  <c r="J1857" i="116"/>
  <c r="I1857" i="116"/>
  <c r="H1857" i="116"/>
  <c r="G1857" i="116"/>
  <c r="F1857" i="116"/>
  <c r="E1857" i="116"/>
  <c r="D1857" i="116"/>
  <c r="C1857" i="116"/>
  <c r="B1857" i="116"/>
  <c r="K1856" i="116"/>
  <c r="J1856" i="116"/>
  <c r="I1856" i="116"/>
  <c r="H1856" i="116"/>
  <c r="G1856" i="116"/>
  <c r="F1856" i="116"/>
  <c r="E1856" i="116"/>
  <c r="D1856" i="116"/>
  <c r="C1856" i="116"/>
  <c r="B1856" i="116"/>
  <c r="K1855" i="116"/>
  <c r="J1855" i="116"/>
  <c r="I1855" i="116"/>
  <c r="H1855" i="116"/>
  <c r="G1855" i="116"/>
  <c r="F1855" i="116"/>
  <c r="E1855" i="116"/>
  <c r="D1855" i="116"/>
  <c r="C1855" i="116"/>
  <c r="B1855" i="116"/>
  <c r="K1854" i="116"/>
  <c r="J1854" i="116"/>
  <c r="I1854" i="116"/>
  <c r="H1854" i="116"/>
  <c r="G1854" i="116"/>
  <c r="F1854" i="116"/>
  <c r="E1854" i="116"/>
  <c r="D1854" i="116"/>
  <c r="C1854" i="116"/>
  <c r="B1854" i="116"/>
  <c r="K1853" i="116"/>
  <c r="J1853" i="116"/>
  <c r="I1853" i="116"/>
  <c r="H1853" i="116"/>
  <c r="G1853" i="116"/>
  <c r="F1853" i="116"/>
  <c r="E1853" i="116"/>
  <c r="D1853" i="116"/>
  <c r="C1853" i="116"/>
  <c r="B1853" i="116"/>
  <c r="K1852" i="116"/>
  <c r="J1852" i="116"/>
  <c r="I1852" i="116"/>
  <c r="H1852" i="116"/>
  <c r="G1852" i="116"/>
  <c r="F1852" i="116"/>
  <c r="E1852" i="116"/>
  <c r="D1852" i="116"/>
  <c r="C1852" i="116"/>
  <c r="B1852" i="116"/>
  <c r="K1851" i="116"/>
  <c r="J1851" i="116"/>
  <c r="I1851" i="116"/>
  <c r="H1851" i="116"/>
  <c r="G1851" i="116"/>
  <c r="F1851" i="116"/>
  <c r="E1851" i="116"/>
  <c r="D1851" i="116"/>
  <c r="C1851" i="116"/>
  <c r="B1851" i="116"/>
  <c r="K1850" i="116"/>
  <c r="J1850" i="116"/>
  <c r="I1850" i="116"/>
  <c r="H1850" i="116"/>
  <c r="G1850" i="116"/>
  <c r="F1850" i="116"/>
  <c r="E1850" i="116"/>
  <c r="D1850" i="116"/>
  <c r="C1850" i="116"/>
  <c r="B1850" i="116"/>
  <c r="K1849" i="116"/>
  <c r="J1849" i="116"/>
  <c r="I1849" i="116"/>
  <c r="H1849" i="116"/>
  <c r="G1849" i="116"/>
  <c r="F1849" i="116"/>
  <c r="E1849" i="116"/>
  <c r="D1849" i="116"/>
  <c r="C1849" i="116"/>
  <c r="B1849" i="116"/>
  <c r="K1848" i="116"/>
  <c r="J1848" i="116"/>
  <c r="I1848" i="116"/>
  <c r="H1848" i="116"/>
  <c r="G1848" i="116"/>
  <c r="F1848" i="116"/>
  <c r="E1848" i="116"/>
  <c r="D1848" i="116"/>
  <c r="C1848" i="116"/>
  <c r="B1848" i="116"/>
  <c r="K1847" i="116"/>
  <c r="J1847" i="116"/>
  <c r="I1847" i="116"/>
  <c r="H1847" i="116"/>
  <c r="G1847" i="116"/>
  <c r="F1847" i="116"/>
  <c r="E1847" i="116"/>
  <c r="D1847" i="116"/>
  <c r="C1847" i="116"/>
  <c r="B1847" i="116"/>
  <c r="K1846" i="116"/>
  <c r="J1846" i="116"/>
  <c r="I1846" i="116"/>
  <c r="H1846" i="116"/>
  <c r="G1846" i="116"/>
  <c r="F1846" i="116"/>
  <c r="E1846" i="116"/>
  <c r="D1846" i="116"/>
  <c r="C1846" i="116"/>
  <c r="B1846" i="116"/>
  <c r="K1845" i="116"/>
  <c r="J1845" i="116"/>
  <c r="I1845" i="116"/>
  <c r="H1845" i="116"/>
  <c r="G1845" i="116"/>
  <c r="F1845" i="116"/>
  <c r="E1845" i="116"/>
  <c r="D1845" i="116"/>
  <c r="C1845" i="116"/>
  <c r="B1845" i="116"/>
  <c r="K1844" i="116"/>
  <c r="J1844" i="116"/>
  <c r="I1844" i="116"/>
  <c r="H1844" i="116"/>
  <c r="G1844" i="116"/>
  <c r="F1844" i="116"/>
  <c r="E1844" i="116"/>
  <c r="D1844" i="116"/>
  <c r="C1844" i="116"/>
  <c r="B1844" i="116"/>
  <c r="K1843" i="116"/>
  <c r="J1843" i="116"/>
  <c r="I1843" i="116"/>
  <c r="H1843" i="116"/>
  <c r="G1843" i="116"/>
  <c r="F1843" i="116"/>
  <c r="E1843" i="116"/>
  <c r="D1843" i="116"/>
  <c r="C1843" i="116"/>
  <c r="B1843" i="116"/>
  <c r="K1842" i="116"/>
  <c r="J1842" i="116"/>
  <c r="I1842" i="116"/>
  <c r="H1842" i="116"/>
  <c r="G1842" i="116"/>
  <c r="F1842" i="116"/>
  <c r="E1842" i="116"/>
  <c r="D1842" i="116"/>
  <c r="C1842" i="116"/>
  <c r="B1842" i="116"/>
  <c r="K1841" i="116"/>
  <c r="J1841" i="116"/>
  <c r="I1841" i="116"/>
  <c r="H1841" i="116"/>
  <c r="G1841" i="116"/>
  <c r="F1841" i="116"/>
  <c r="E1841" i="116"/>
  <c r="D1841" i="116"/>
  <c r="C1841" i="116"/>
  <c r="B1841" i="116"/>
  <c r="K1840" i="116"/>
  <c r="J1840" i="116"/>
  <c r="I1840" i="116"/>
  <c r="H1840" i="116"/>
  <c r="G1840" i="116"/>
  <c r="F1840" i="116"/>
  <c r="E1840" i="116"/>
  <c r="D1840" i="116"/>
  <c r="C1840" i="116"/>
  <c r="B1840" i="116"/>
  <c r="K1839" i="116"/>
  <c r="J1839" i="116"/>
  <c r="I1839" i="116"/>
  <c r="H1839" i="116"/>
  <c r="G1839" i="116"/>
  <c r="F1839" i="116"/>
  <c r="E1839" i="116"/>
  <c r="D1839" i="116"/>
  <c r="C1839" i="116"/>
  <c r="B1839" i="116"/>
  <c r="K1838" i="116"/>
  <c r="J1838" i="116"/>
  <c r="I1838" i="116"/>
  <c r="H1838" i="116"/>
  <c r="G1838" i="116"/>
  <c r="F1838" i="116"/>
  <c r="E1838" i="116"/>
  <c r="D1838" i="116"/>
  <c r="C1838" i="116"/>
  <c r="B1838" i="116"/>
  <c r="K1837" i="116"/>
  <c r="J1837" i="116"/>
  <c r="I1837" i="116"/>
  <c r="H1837" i="116"/>
  <c r="G1837" i="116"/>
  <c r="F1837" i="116"/>
  <c r="E1837" i="116"/>
  <c r="D1837" i="116"/>
  <c r="C1837" i="116"/>
  <c r="B1837" i="116"/>
  <c r="K1836" i="116"/>
  <c r="J1836" i="116"/>
  <c r="I1836" i="116"/>
  <c r="H1836" i="116"/>
  <c r="G1836" i="116"/>
  <c r="F1836" i="116"/>
  <c r="E1836" i="116"/>
  <c r="D1836" i="116"/>
  <c r="C1836" i="116"/>
  <c r="B1836" i="116"/>
  <c r="K1835" i="116"/>
  <c r="J1835" i="116"/>
  <c r="I1835" i="116"/>
  <c r="H1835" i="116"/>
  <c r="G1835" i="116"/>
  <c r="F1835" i="116"/>
  <c r="E1835" i="116"/>
  <c r="D1835" i="116"/>
  <c r="C1835" i="116"/>
  <c r="B1835" i="116"/>
  <c r="K1834" i="116"/>
  <c r="J1834" i="116"/>
  <c r="I1834" i="116"/>
  <c r="H1834" i="116"/>
  <c r="G1834" i="116"/>
  <c r="F1834" i="116"/>
  <c r="E1834" i="116"/>
  <c r="D1834" i="116"/>
  <c r="C1834" i="116"/>
  <c r="B1834" i="116"/>
  <c r="K1833" i="116"/>
  <c r="J1833" i="116"/>
  <c r="I1833" i="116"/>
  <c r="H1833" i="116"/>
  <c r="G1833" i="116"/>
  <c r="F1833" i="116"/>
  <c r="E1833" i="116"/>
  <c r="D1833" i="116"/>
  <c r="C1833" i="116"/>
  <c r="B1833" i="116"/>
  <c r="K1832" i="116"/>
  <c r="J1832" i="116"/>
  <c r="I1832" i="116"/>
  <c r="H1832" i="116"/>
  <c r="G1832" i="116"/>
  <c r="F1832" i="116"/>
  <c r="E1832" i="116"/>
  <c r="D1832" i="116"/>
  <c r="C1832" i="116"/>
  <c r="B1832" i="116"/>
  <c r="K1831" i="116"/>
  <c r="J1831" i="116"/>
  <c r="I1831" i="116"/>
  <c r="H1831" i="116"/>
  <c r="G1831" i="116"/>
  <c r="F1831" i="116"/>
  <c r="E1831" i="116"/>
  <c r="D1831" i="116"/>
  <c r="C1831" i="116"/>
  <c r="B1831" i="116"/>
  <c r="K1830" i="116"/>
  <c r="J1830" i="116"/>
  <c r="I1830" i="116"/>
  <c r="H1830" i="116"/>
  <c r="G1830" i="116"/>
  <c r="F1830" i="116"/>
  <c r="E1830" i="116"/>
  <c r="D1830" i="116"/>
  <c r="C1830" i="116"/>
  <c r="B1830" i="116"/>
  <c r="K1829" i="116"/>
  <c r="J1829" i="116"/>
  <c r="I1829" i="116"/>
  <c r="H1829" i="116"/>
  <c r="G1829" i="116"/>
  <c r="F1829" i="116"/>
  <c r="E1829" i="116"/>
  <c r="D1829" i="116"/>
  <c r="C1829" i="116"/>
  <c r="B1829" i="116"/>
  <c r="K1828" i="116"/>
  <c r="J1828" i="116"/>
  <c r="I1828" i="116"/>
  <c r="H1828" i="116"/>
  <c r="G1828" i="116"/>
  <c r="F1828" i="116"/>
  <c r="E1828" i="116"/>
  <c r="D1828" i="116"/>
  <c r="C1828" i="116"/>
  <c r="B1828" i="116"/>
  <c r="K1827" i="116"/>
  <c r="J1827" i="116"/>
  <c r="I1827" i="116"/>
  <c r="H1827" i="116"/>
  <c r="G1827" i="116"/>
  <c r="F1827" i="116"/>
  <c r="E1827" i="116"/>
  <c r="D1827" i="116"/>
  <c r="C1827" i="116"/>
  <c r="B1827" i="116"/>
  <c r="K1826" i="116"/>
  <c r="J1826" i="116"/>
  <c r="I1826" i="116"/>
  <c r="H1826" i="116"/>
  <c r="G1826" i="116"/>
  <c r="F1826" i="116"/>
  <c r="E1826" i="116"/>
  <c r="D1826" i="116"/>
  <c r="C1826" i="116"/>
  <c r="B1826" i="116"/>
  <c r="K1825" i="116"/>
  <c r="J1825" i="116"/>
  <c r="I1825" i="116"/>
  <c r="H1825" i="116"/>
  <c r="G1825" i="116"/>
  <c r="F1825" i="116"/>
  <c r="E1825" i="116"/>
  <c r="D1825" i="116"/>
  <c r="C1825" i="116"/>
  <c r="B1825" i="116"/>
  <c r="K1824" i="116"/>
  <c r="J1824" i="116"/>
  <c r="I1824" i="116"/>
  <c r="H1824" i="116"/>
  <c r="G1824" i="116"/>
  <c r="F1824" i="116"/>
  <c r="E1824" i="116"/>
  <c r="D1824" i="116"/>
  <c r="C1824" i="116"/>
  <c r="B1824" i="116"/>
  <c r="K1823" i="116"/>
  <c r="J1823" i="116"/>
  <c r="I1823" i="116"/>
  <c r="H1823" i="116"/>
  <c r="G1823" i="116"/>
  <c r="F1823" i="116"/>
  <c r="E1823" i="116"/>
  <c r="D1823" i="116"/>
  <c r="C1823" i="116"/>
  <c r="B1823" i="116"/>
  <c r="K1822" i="116"/>
  <c r="J1822" i="116"/>
  <c r="I1822" i="116"/>
  <c r="H1822" i="116"/>
  <c r="G1822" i="116"/>
  <c r="F1822" i="116"/>
  <c r="E1822" i="116"/>
  <c r="D1822" i="116"/>
  <c r="C1822" i="116"/>
  <c r="B1822" i="116"/>
  <c r="K1821" i="116"/>
  <c r="J1821" i="116"/>
  <c r="I1821" i="116"/>
  <c r="H1821" i="116"/>
  <c r="G1821" i="116"/>
  <c r="F1821" i="116"/>
  <c r="E1821" i="116"/>
  <c r="D1821" i="116"/>
  <c r="C1821" i="116"/>
  <c r="B1821" i="116"/>
  <c r="K1820" i="116"/>
  <c r="J1820" i="116"/>
  <c r="I1820" i="116"/>
  <c r="H1820" i="116"/>
  <c r="G1820" i="116"/>
  <c r="F1820" i="116"/>
  <c r="E1820" i="116"/>
  <c r="D1820" i="116"/>
  <c r="C1820" i="116"/>
  <c r="B1820" i="116"/>
  <c r="K1819" i="116"/>
  <c r="J1819" i="116"/>
  <c r="I1819" i="116"/>
  <c r="H1819" i="116"/>
  <c r="G1819" i="116"/>
  <c r="F1819" i="116"/>
  <c r="E1819" i="116"/>
  <c r="D1819" i="116"/>
  <c r="C1819" i="116"/>
  <c r="B1819" i="116"/>
  <c r="K1818" i="116"/>
  <c r="J1818" i="116"/>
  <c r="I1818" i="116"/>
  <c r="H1818" i="116"/>
  <c r="G1818" i="116"/>
  <c r="F1818" i="116"/>
  <c r="E1818" i="116"/>
  <c r="D1818" i="116"/>
  <c r="C1818" i="116"/>
  <c r="B1818" i="116"/>
  <c r="K1817" i="116"/>
  <c r="J1817" i="116"/>
  <c r="I1817" i="116"/>
  <c r="H1817" i="116"/>
  <c r="G1817" i="116"/>
  <c r="F1817" i="116"/>
  <c r="E1817" i="116"/>
  <c r="D1817" i="116"/>
  <c r="C1817" i="116"/>
  <c r="B1817" i="116"/>
  <c r="K1816" i="116"/>
  <c r="J1816" i="116"/>
  <c r="I1816" i="116"/>
  <c r="H1816" i="116"/>
  <c r="G1816" i="116"/>
  <c r="F1816" i="116"/>
  <c r="E1816" i="116"/>
  <c r="D1816" i="116"/>
  <c r="C1816" i="116"/>
  <c r="B1816" i="116"/>
  <c r="K1815" i="116"/>
  <c r="J1815" i="116"/>
  <c r="I1815" i="116"/>
  <c r="H1815" i="116"/>
  <c r="G1815" i="116"/>
  <c r="F1815" i="116"/>
  <c r="E1815" i="116"/>
  <c r="D1815" i="116"/>
  <c r="C1815" i="116"/>
  <c r="B1815" i="116"/>
  <c r="K1814" i="116"/>
  <c r="J1814" i="116"/>
  <c r="I1814" i="116"/>
  <c r="H1814" i="116"/>
  <c r="G1814" i="116"/>
  <c r="F1814" i="116"/>
  <c r="E1814" i="116"/>
  <c r="D1814" i="116"/>
  <c r="C1814" i="116"/>
  <c r="B1814" i="116"/>
  <c r="K1813" i="116"/>
  <c r="J1813" i="116"/>
  <c r="I1813" i="116"/>
  <c r="H1813" i="116"/>
  <c r="G1813" i="116"/>
  <c r="F1813" i="116"/>
  <c r="E1813" i="116"/>
  <c r="D1813" i="116"/>
  <c r="C1813" i="116"/>
  <c r="B1813" i="116"/>
  <c r="K1812" i="116"/>
  <c r="J1812" i="116"/>
  <c r="I1812" i="116"/>
  <c r="H1812" i="116"/>
  <c r="G1812" i="116"/>
  <c r="F1812" i="116"/>
  <c r="E1812" i="116"/>
  <c r="D1812" i="116"/>
  <c r="C1812" i="116"/>
  <c r="B1812" i="116"/>
  <c r="K1811" i="116"/>
  <c r="J1811" i="116"/>
  <c r="I1811" i="116"/>
  <c r="H1811" i="116"/>
  <c r="G1811" i="116"/>
  <c r="F1811" i="116"/>
  <c r="E1811" i="116"/>
  <c r="D1811" i="116"/>
  <c r="C1811" i="116"/>
  <c r="B1811" i="116"/>
  <c r="K1810" i="116"/>
  <c r="J1810" i="116"/>
  <c r="I1810" i="116"/>
  <c r="H1810" i="116"/>
  <c r="G1810" i="116"/>
  <c r="F1810" i="116"/>
  <c r="E1810" i="116"/>
  <c r="D1810" i="116"/>
  <c r="C1810" i="116"/>
  <c r="B1810" i="116"/>
  <c r="K1809" i="116"/>
  <c r="J1809" i="116"/>
  <c r="I1809" i="116"/>
  <c r="H1809" i="116"/>
  <c r="G1809" i="116"/>
  <c r="F1809" i="116"/>
  <c r="E1809" i="116"/>
  <c r="D1809" i="116"/>
  <c r="C1809" i="116"/>
  <c r="B1809" i="116"/>
  <c r="K1808" i="116"/>
  <c r="J1808" i="116"/>
  <c r="I1808" i="116"/>
  <c r="H1808" i="116"/>
  <c r="G1808" i="116"/>
  <c r="F1808" i="116"/>
  <c r="E1808" i="116"/>
  <c r="D1808" i="116"/>
  <c r="C1808" i="116"/>
  <c r="B1808" i="116"/>
  <c r="K1807" i="116"/>
  <c r="J1807" i="116"/>
  <c r="I1807" i="116"/>
  <c r="H1807" i="116"/>
  <c r="G1807" i="116"/>
  <c r="F1807" i="116"/>
  <c r="E1807" i="116"/>
  <c r="D1807" i="116"/>
  <c r="C1807" i="116"/>
  <c r="B1807" i="116"/>
  <c r="K1806" i="116"/>
  <c r="J1806" i="116"/>
  <c r="I1806" i="116"/>
  <c r="H1806" i="116"/>
  <c r="G1806" i="116"/>
  <c r="F1806" i="116"/>
  <c r="E1806" i="116"/>
  <c r="D1806" i="116"/>
  <c r="C1806" i="116"/>
  <c r="B1806" i="116"/>
  <c r="K1805" i="116"/>
  <c r="J1805" i="116"/>
  <c r="I1805" i="116"/>
  <c r="H1805" i="116"/>
  <c r="G1805" i="116"/>
  <c r="F1805" i="116"/>
  <c r="E1805" i="116"/>
  <c r="D1805" i="116"/>
  <c r="C1805" i="116"/>
  <c r="B1805" i="116"/>
  <c r="K1804" i="116"/>
  <c r="J1804" i="116"/>
  <c r="I1804" i="116"/>
  <c r="H1804" i="116"/>
  <c r="G1804" i="116"/>
  <c r="F1804" i="116"/>
  <c r="E1804" i="116"/>
  <c r="D1804" i="116"/>
  <c r="C1804" i="116"/>
  <c r="B1804" i="116"/>
  <c r="K1803" i="116"/>
  <c r="J1803" i="116"/>
  <c r="I1803" i="116"/>
  <c r="H1803" i="116"/>
  <c r="G1803" i="116"/>
  <c r="F1803" i="116"/>
  <c r="E1803" i="116"/>
  <c r="D1803" i="116"/>
  <c r="C1803" i="116"/>
  <c r="B1803" i="116"/>
  <c r="K1802" i="116"/>
  <c r="J1802" i="116"/>
  <c r="I1802" i="116"/>
  <c r="H1802" i="116"/>
  <c r="G1802" i="116"/>
  <c r="F1802" i="116"/>
  <c r="E1802" i="116"/>
  <c r="D1802" i="116"/>
  <c r="C1802" i="116"/>
  <c r="B1802" i="116"/>
  <c r="K1801" i="116"/>
  <c r="J1801" i="116"/>
  <c r="I1801" i="116"/>
  <c r="H1801" i="116"/>
  <c r="G1801" i="116"/>
  <c r="F1801" i="116"/>
  <c r="E1801" i="116"/>
  <c r="D1801" i="116"/>
  <c r="C1801" i="116"/>
  <c r="B1801" i="116"/>
  <c r="K1800" i="116"/>
  <c r="J1800" i="116"/>
  <c r="I1800" i="116"/>
  <c r="H1800" i="116"/>
  <c r="G1800" i="116"/>
  <c r="F1800" i="116"/>
  <c r="E1800" i="116"/>
  <c r="D1800" i="116"/>
  <c r="C1800" i="116"/>
  <c r="B1800" i="116"/>
  <c r="K1799" i="116"/>
  <c r="J1799" i="116"/>
  <c r="I1799" i="116"/>
  <c r="H1799" i="116"/>
  <c r="G1799" i="116"/>
  <c r="F1799" i="116"/>
  <c r="E1799" i="116"/>
  <c r="D1799" i="116"/>
  <c r="C1799" i="116"/>
  <c r="B1799" i="116"/>
  <c r="K1798" i="116"/>
  <c r="J1798" i="116"/>
  <c r="I1798" i="116"/>
  <c r="H1798" i="116"/>
  <c r="G1798" i="116"/>
  <c r="F1798" i="116"/>
  <c r="E1798" i="116"/>
  <c r="D1798" i="116"/>
  <c r="C1798" i="116"/>
  <c r="B1798" i="116"/>
  <c r="K1797" i="116"/>
  <c r="J1797" i="116"/>
  <c r="I1797" i="116"/>
  <c r="H1797" i="116"/>
  <c r="G1797" i="116"/>
  <c r="F1797" i="116"/>
  <c r="E1797" i="116"/>
  <c r="D1797" i="116"/>
  <c r="C1797" i="116"/>
  <c r="B1797" i="116"/>
  <c r="K1796" i="116"/>
  <c r="J1796" i="116"/>
  <c r="I1796" i="116"/>
  <c r="H1796" i="116"/>
  <c r="G1796" i="116"/>
  <c r="F1796" i="116"/>
  <c r="E1796" i="116"/>
  <c r="D1796" i="116"/>
  <c r="C1796" i="116"/>
  <c r="B1796" i="116"/>
  <c r="K1795" i="116"/>
  <c r="J1795" i="116"/>
  <c r="I1795" i="116"/>
  <c r="H1795" i="116"/>
  <c r="G1795" i="116"/>
  <c r="F1795" i="116"/>
  <c r="E1795" i="116"/>
  <c r="D1795" i="116"/>
  <c r="C1795" i="116"/>
  <c r="B1795" i="116"/>
  <c r="K1794" i="116"/>
  <c r="J1794" i="116"/>
  <c r="I1794" i="116"/>
  <c r="H1794" i="116"/>
  <c r="G1794" i="116"/>
  <c r="F1794" i="116"/>
  <c r="E1794" i="116"/>
  <c r="D1794" i="116"/>
  <c r="C1794" i="116"/>
  <c r="B1794" i="116"/>
  <c r="K1793" i="116"/>
  <c r="J1793" i="116"/>
  <c r="I1793" i="116"/>
  <c r="H1793" i="116"/>
  <c r="G1793" i="116"/>
  <c r="F1793" i="116"/>
  <c r="E1793" i="116"/>
  <c r="D1793" i="116"/>
  <c r="C1793" i="116"/>
  <c r="B1793" i="116"/>
  <c r="K1792" i="116"/>
  <c r="J1792" i="116"/>
  <c r="I1792" i="116"/>
  <c r="H1792" i="116"/>
  <c r="G1792" i="116"/>
  <c r="F1792" i="116"/>
  <c r="E1792" i="116"/>
  <c r="D1792" i="116"/>
  <c r="C1792" i="116"/>
  <c r="B1792" i="116"/>
  <c r="K1791" i="116"/>
  <c r="J1791" i="116"/>
  <c r="I1791" i="116"/>
  <c r="H1791" i="116"/>
  <c r="G1791" i="116"/>
  <c r="F1791" i="116"/>
  <c r="E1791" i="116"/>
  <c r="D1791" i="116"/>
  <c r="C1791" i="116"/>
  <c r="B1791" i="116"/>
  <c r="K1790" i="116"/>
  <c r="J1790" i="116"/>
  <c r="I1790" i="116"/>
  <c r="H1790" i="116"/>
  <c r="G1790" i="116"/>
  <c r="F1790" i="116"/>
  <c r="E1790" i="116"/>
  <c r="D1790" i="116"/>
  <c r="C1790" i="116"/>
  <c r="B1790" i="116"/>
  <c r="K1789" i="116"/>
  <c r="J1789" i="116"/>
  <c r="I1789" i="116"/>
  <c r="H1789" i="116"/>
  <c r="G1789" i="116"/>
  <c r="F1789" i="116"/>
  <c r="E1789" i="116"/>
  <c r="D1789" i="116"/>
  <c r="C1789" i="116"/>
  <c r="B1789" i="116"/>
  <c r="K1788" i="116"/>
  <c r="J1788" i="116"/>
  <c r="I1788" i="116"/>
  <c r="H1788" i="116"/>
  <c r="G1788" i="116"/>
  <c r="F1788" i="116"/>
  <c r="E1788" i="116"/>
  <c r="D1788" i="116"/>
  <c r="C1788" i="116"/>
  <c r="B1788" i="116"/>
  <c r="K1787" i="116"/>
  <c r="J1787" i="116"/>
  <c r="I1787" i="116"/>
  <c r="H1787" i="116"/>
  <c r="G1787" i="116"/>
  <c r="F1787" i="116"/>
  <c r="E1787" i="116"/>
  <c r="D1787" i="116"/>
  <c r="C1787" i="116"/>
  <c r="B1787" i="116"/>
  <c r="K1786" i="116"/>
  <c r="J1786" i="116"/>
  <c r="I1786" i="116"/>
  <c r="H1786" i="116"/>
  <c r="G1786" i="116"/>
  <c r="F1786" i="116"/>
  <c r="E1786" i="116"/>
  <c r="D1786" i="116"/>
  <c r="C1786" i="116"/>
  <c r="B1786" i="116"/>
  <c r="K1785" i="116"/>
  <c r="J1785" i="116"/>
  <c r="I1785" i="116"/>
  <c r="H1785" i="116"/>
  <c r="G1785" i="116"/>
  <c r="F1785" i="116"/>
  <c r="E1785" i="116"/>
  <c r="D1785" i="116"/>
  <c r="C1785" i="116"/>
  <c r="B1785" i="116"/>
  <c r="K1784" i="116"/>
  <c r="J1784" i="116"/>
  <c r="I1784" i="116"/>
  <c r="H1784" i="116"/>
  <c r="G1784" i="116"/>
  <c r="F1784" i="116"/>
  <c r="E1784" i="116"/>
  <c r="D1784" i="116"/>
  <c r="C1784" i="116"/>
  <c r="B1784" i="116"/>
  <c r="K1783" i="116"/>
  <c r="J1783" i="116"/>
  <c r="I1783" i="116"/>
  <c r="H1783" i="116"/>
  <c r="G1783" i="116"/>
  <c r="F1783" i="116"/>
  <c r="E1783" i="116"/>
  <c r="D1783" i="116"/>
  <c r="C1783" i="116"/>
  <c r="B1783" i="116"/>
  <c r="K1782" i="116"/>
  <c r="J1782" i="116"/>
  <c r="I1782" i="116"/>
  <c r="H1782" i="116"/>
  <c r="G1782" i="116"/>
  <c r="F1782" i="116"/>
  <c r="E1782" i="116"/>
  <c r="D1782" i="116"/>
  <c r="C1782" i="116"/>
  <c r="B1782" i="116"/>
  <c r="K1781" i="116"/>
  <c r="J1781" i="116"/>
  <c r="I1781" i="116"/>
  <c r="H1781" i="116"/>
  <c r="G1781" i="116"/>
  <c r="F1781" i="116"/>
  <c r="E1781" i="116"/>
  <c r="D1781" i="116"/>
  <c r="C1781" i="116"/>
  <c r="B1781" i="116"/>
  <c r="K1780" i="116"/>
  <c r="J1780" i="116"/>
  <c r="I1780" i="116"/>
  <c r="H1780" i="116"/>
  <c r="G1780" i="116"/>
  <c r="F1780" i="116"/>
  <c r="E1780" i="116"/>
  <c r="D1780" i="116"/>
  <c r="C1780" i="116"/>
  <c r="B1780" i="116"/>
  <c r="K1779" i="116"/>
  <c r="J1779" i="116"/>
  <c r="I1779" i="116"/>
  <c r="H1779" i="116"/>
  <c r="G1779" i="116"/>
  <c r="F1779" i="116"/>
  <c r="E1779" i="116"/>
  <c r="D1779" i="116"/>
  <c r="C1779" i="116"/>
  <c r="B1779" i="116"/>
  <c r="K1778" i="116"/>
  <c r="J1778" i="116"/>
  <c r="I1778" i="116"/>
  <c r="H1778" i="116"/>
  <c r="G1778" i="116"/>
  <c r="F1778" i="116"/>
  <c r="E1778" i="116"/>
  <c r="D1778" i="116"/>
  <c r="C1778" i="116"/>
  <c r="B1778" i="116"/>
  <c r="K1777" i="116"/>
  <c r="J1777" i="116"/>
  <c r="I1777" i="116"/>
  <c r="H1777" i="116"/>
  <c r="G1777" i="116"/>
  <c r="F1777" i="116"/>
  <c r="E1777" i="116"/>
  <c r="D1777" i="116"/>
  <c r="C1777" i="116"/>
  <c r="B1777" i="116"/>
  <c r="K1776" i="116"/>
  <c r="J1776" i="116"/>
  <c r="I1776" i="116"/>
  <c r="H1776" i="116"/>
  <c r="G1776" i="116"/>
  <c r="F1776" i="116"/>
  <c r="E1776" i="116"/>
  <c r="D1776" i="116"/>
  <c r="C1776" i="116"/>
  <c r="B1776" i="116"/>
  <c r="K1775" i="116"/>
  <c r="J1775" i="116"/>
  <c r="I1775" i="116"/>
  <c r="H1775" i="116"/>
  <c r="G1775" i="116"/>
  <c r="F1775" i="116"/>
  <c r="E1775" i="116"/>
  <c r="D1775" i="116"/>
  <c r="C1775" i="116"/>
  <c r="B1775" i="116"/>
  <c r="K1774" i="116"/>
  <c r="J1774" i="116"/>
  <c r="I1774" i="116"/>
  <c r="H1774" i="116"/>
  <c r="G1774" i="116"/>
  <c r="F1774" i="116"/>
  <c r="E1774" i="116"/>
  <c r="D1774" i="116"/>
  <c r="C1774" i="116"/>
  <c r="B1774" i="116"/>
  <c r="K1773" i="116"/>
  <c r="J1773" i="116"/>
  <c r="I1773" i="116"/>
  <c r="H1773" i="116"/>
  <c r="G1773" i="116"/>
  <c r="F1773" i="116"/>
  <c r="E1773" i="116"/>
  <c r="D1773" i="116"/>
  <c r="C1773" i="116"/>
  <c r="B1773" i="116"/>
  <c r="K1772" i="116"/>
  <c r="J1772" i="116"/>
  <c r="I1772" i="116"/>
  <c r="H1772" i="116"/>
  <c r="G1772" i="116"/>
  <c r="F1772" i="116"/>
  <c r="E1772" i="116"/>
  <c r="D1772" i="116"/>
  <c r="C1772" i="116"/>
  <c r="B1772" i="116"/>
  <c r="K1771" i="116"/>
  <c r="J1771" i="116"/>
  <c r="I1771" i="116"/>
  <c r="H1771" i="116"/>
  <c r="G1771" i="116"/>
  <c r="F1771" i="116"/>
  <c r="E1771" i="116"/>
  <c r="D1771" i="116"/>
  <c r="C1771" i="116"/>
  <c r="B1771" i="116"/>
  <c r="K1770" i="116"/>
  <c r="J1770" i="116"/>
  <c r="I1770" i="116"/>
  <c r="H1770" i="116"/>
  <c r="G1770" i="116"/>
  <c r="F1770" i="116"/>
  <c r="E1770" i="116"/>
  <c r="D1770" i="116"/>
  <c r="C1770" i="116"/>
  <c r="B1770" i="116"/>
  <c r="K1769" i="116"/>
  <c r="J1769" i="116"/>
  <c r="I1769" i="116"/>
  <c r="H1769" i="116"/>
  <c r="G1769" i="116"/>
  <c r="F1769" i="116"/>
  <c r="E1769" i="116"/>
  <c r="D1769" i="116"/>
  <c r="C1769" i="116"/>
  <c r="B1769" i="116"/>
  <c r="K1768" i="116"/>
  <c r="J1768" i="116"/>
  <c r="I1768" i="116"/>
  <c r="H1768" i="116"/>
  <c r="G1768" i="116"/>
  <c r="F1768" i="116"/>
  <c r="E1768" i="116"/>
  <c r="D1768" i="116"/>
  <c r="C1768" i="116"/>
  <c r="B1768" i="116"/>
  <c r="K1767" i="116"/>
  <c r="J1767" i="116"/>
  <c r="I1767" i="116"/>
  <c r="H1767" i="116"/>
  <c r="G1767" i="116"/>
  <c r="F1767" i="116"/>
  <c r="E1767" i="116"/>
  <c r="D1767" i="116"/>
  <c r="C1767" i="116"/>
  <c r="B1767" i="116"/>
  <c r="K1766" i="116"/>
  <c r="J1766" i="116"/>
  <c r="I1766" i="116"/>
  <c r="H1766" i="116"/>
  <c r="G1766" i="116"/>
  <c r="F1766" i="116"/>
  <c r="E1766" i="116"/>
  <c r="D1766" i="116"/>
  <c r="C1766" i="116"/>
  <c r="B1766" i="116"/>
  <c r="K1765" i="116"/>
  <c r="J1765" i="116"/>
  <c r="I1765" i="116"/>
  <c r="H1765" i="116"/>
  <c r="G1765" i="116"/>
  <c r="F1765" i="116"/>
  <c r="E1765" i="116"/>
  <c r="D1765" i="116"/>
  <c r="C1765" i="116"/>
  <c r="B1765" i="116"/>
  <c r="K1764" i="116"/>
  <c r="J1764" i="116"/>
  <c r="I1764" i="116"/>
  <c r="H1764" i="116"/>
  <c r="G1764" i="116"/>
  <c r="F1764" i="116"/>
  <c r="E1764" i="116"/>
  <c r="D1764" i="116"/>
  <c r="C1764" i="116"/>
  <c r="B1764" i="116"/>
  <c r="K1763" i="116"/>
  <c r="J1763" i="116"/>
  <c r="I1763" i="116"/>
  <c r="H1763" i="116"/>
  <c r="G1763" i="116"/>
  <c r="F1763" i="116"/>
  <c r="E1763" i="116"/>
  <c r="D1763" i="116"/>
  <c r="C1763" i="116"/>
  <c r="B1763" i="116"/>
  <c r="K1762" i="116"/>
  <c r="J1762" i="116"/>
  <c r="I1762" i="116"/>
  <c r="H1762" i="116"/>
  <c r="G1762" i="116"/>
  <c r="F1762" i="116"/>
  <c r="E1762" i="116"/>
  <c r="D1762" i="116"/>
  <c r="C1762" i="116"/>
  <c r="B1762" i="116"/>
  <c r="K1761" i="116"/>
  <c r="J1761" i="116"/>
  <c r="I1761" i="116"/>
  <c r="H1761" i="116"/>
  <c r="G1761" i="116"/>
  <c r="F1761" i="116"/>
  <c r="E1761" i="116"/>
  <c r="D1761" i="116"/>
  <c r="C1761" i="116"/>
  <c r="B1761" i="116"/>
  <c r="K1760" i="116"/>
  <c r="J1760" i="116"/>
  <c r="I1760" i="116"/>
  <c r="H1760" i="116"/>
  <c r="G1760" i="116"/>
  <c r="F1760" i="116"/>
  <c r="E1760" i="116"/>
  <c r="D1760" i="116"/>
  <c r="C1760" i="116"/>
  <c r="B1760" i="116"/>
  <c r="K1759" i="116"/>
  <c r="J1759" i="116"/>
  <c r="I1759" i="116"/>
  <c r="H1759" i="116"/>
  <c r="G1759" i="116"/>
  <c r="F1759" i="116"/>
  <c r="E1759" i="116"/>
  <c r="D1759" i="116"/>
  <c r="C1759" i="116"/>
  <c r="B1759" i="116"/>
  <c r="K1758" i="116"/>
  <c r="J1758" i="116"/>
  <c r="I1758" i="116"/>
  <c r="H1758" i="116"/>
  <c r="G1758" i="116"/>
  <c r="F1758" i="116"/>
  <c r="E1758" i="116"/>
  <c r="D1758" i="116"/>
  <c r="C1758" i="116"/>
  <c r="B1758" i="116"/>
  <c r="K1757" i="116"/>
  <c r="J1757" i="116"/>
  <c r="I1757" i="116"/>
  <c r="H1757" i="116"/>
  <c r="G1757" i="116"/>
  <c r="F1757" i="116"/>
  <c r="E1757" i="116"/>
  <c r="D1757" i="116"/>
  <c r="C1757" i="116"/>
  <c r="B1757" i="116"/>
  <c r="K1756" i="116"/>
  <c r="J1756" i="116"/>
  <c r="I1756" i="116"/>
  <c r="H1756" i="116"/>
  <c r="G1756" i="116"/>
  <c r="F1756" i="116"/>
  <c r="E1756" i="116"/>
  <c r="D1756" i="116"/>
  <c r="C1756" i="116"/>
  <c r="B1756" i="116"/>
  <c r="K1755" i="116"/>
  <c r="J1755" i="116"/>
  <c r="I1755" i="116"/>
  <c r="H1755" i="116"/>
  <c r="G1755" i="116"/>
  <c r="F1755" i="116"/>
  <c r="E1755" i="116"/>
  <c r="D1755" i="116"/>
  <c r="C1755" i="116"/>
  <c r="B1755" i="116"/>
  <c r="K1754" i="116"/>
  <c r="J1754" i="116"/>
  <c r="I1754" i="116"/>
  <c r="H1754" i="116"/>
  <c r="G1754" i="116"/>
  <c r="F1754" i="116"/>
  <c r="E1754" i="116"/>
  <c r="D1754" i="116"/>
  <c r="C1754" i="116"/>
  <c r="B1754" i="116"/>
  <c r="K1753" i="116"/>
  <c r="J1753" i="116"/>
  <c r="I1753" i="116"/>
  <c r="H1753" i="116"/>
  <c r="G1753" i="116"/>
  <c r="F1753" i="116"/>
  <c r="E1753" i="116"/>
  <c r="D1753" i="116"/>
  <c r="C1753" i="116"/>
  <c r="B1753" i="116"/>
  <c r="K1752" i="116"/>
  <c r="J1752" i="116"/>
  <c r="I1752" i="116"/>
  <c r="H1752" i="116"/>
  <c r="G1752" i="116"/>
  <c r="F1752" i="116"/>
  <c r="E1752" i="116"/>
  <c r="D1752" i="116"/>
  <c r="C1752" i="116"/>
  <c r="B1752" i="116"/>
  <c r="K1751" i="116"/>
  <c r="J1751" i="116"/>
  <c r="I1751" i="116"/>
  <c r="H1751" i="116"/>
  <c r="G1751" i="116"/>
  <c r="F1751" i="116"/>
  <c r="E1751" i="116"/>
  <c r="D1751" i="116"/>
  <c r="C1751" i="116"/>
  <c r="B1751" i="116"/>
  <c r="K1750" i="116"/>
  <c r="J1750" i="116"/>
  <c r="I1750" i="116"/>
  <c r="H1750" i="116"/>
  <c r="G1750" i="116"/>
  <c r="F1750" i="116"/>
  <c r="E1750" i="116"/>
  <c r="D1750" i="116"/>
  <c r="C1750" i="116"/>
  <c r="B1750" i="116"/>
  <c r="K1749" i="116"/>
  <c r="J1749" i="116"/>
  <c r="I1749" i="116"/>
  <c r="H1749" i="116"/>
  <c r="G1749" i="116"/>
  <c r="F1749" i="116"/>
  <c r="E1749" i="116"/>
  <c r="D1749" i="116"/>
  <c r="C1749" i="116"/>
  <c r="B1749" i="116"/>
  <c r="K1748" i="116"/>
  <c r="J1748" i="116"/>
  <c r="I1748" i="116"/>
  <c r="H1748" i="116"/>
  <c r="G1748" i="116"/>
  <c r="F1748" i="116"/>
  <c r="E1748" i="116"/>
  <c r="D1748" i="116"/>
  <c r="C1748" i="116"/>
  <c r="B1748" i="116"/>
  <c r="K1747" i="116"/>
  <c r="J1747" i="116"/>
  <c r="I1747" i="116"/>
  <c r="H1747" i="116"/>
  <c r="G1747" i="116"/>
  <c r="F1747" i="116"/>
  <c r="E1747" i="116"/>
  <c r="D1747" i="116"/>
  <c r="C1747" i="116"/>
  <c r="B1747" i="116"/>
  <c r="K1746" i="116"/>
  <c r="J1746" i="116"/>
  <c r="I1746" i="116"/>
  <c r="H1746" i="116"/>
  <c r="G1746" i="116"/>
  <c r="F1746" i="116"/>
  <c r="E1746" i="116"/>
  <c r="D1746" i="116"/>
  <c r="C1746" i="116"/>
  <c r="B1746" i="116"/>
  <c r="K1745" i="116"/>
  <c r="J1745" i="116"/>
  <c r="I1745" i="116"/>
  <c r="H1745" i="116"/>
  <c r="G1745" i="116"/>
  <c r="F1745" i="116"/>
  <c r="E1745" i="116"/>
  <c r="D1745" i="116"/>
  <c r="C1745" i="116"/>
  <c r="B1745" i="116"/>
  <c r="K1744" i="116"/>
  <c r="J1744" i="116"/>
  <c r="I1744" i="116"/>
  <c r="H1744" i="116"/>
  <c r="G1744" i="116"/>
  <c r="F1744" i="116"/>
  <c r="E1744" i="116"/>
  <c r="D1744" i="116"/>
  <c r="C1744" i="116"/>
  <c r="B1744" i="116"/>
  <c r="K1743" i="116"/>
  <c r="J1743" i="116"/>
  <c r="I1743" i="116"/>
  <c r="H1743" i="116"/>
  <c r="G1743" i="116"/>
  <c r="F1743" i="116"/>
  <c r="E1743" i="116"/>
  <c r="D1743" i="116"/>
  <c r="C1743" i="116"/>
  <c r="B1743" i="116"/>
  <c r="K1742" i="116"/>
  <c r="J1742" i="116"/>
  <c r="I1742" i="116"/>
  <c r="H1742" i="116"/>
  <c r="G1742" i="116"/>
  <c r="F1742" i="116"/>
  <c r="E1742" i="116"/>
  <c r="D1742" i="116"/>
  <c r="C1742" i="116"/>
  <c r="B1742" i="116"/>
  <c r="K1741" i="116"/>
  <c r="J1741" i="116"/>
  <c r="I1741" i="116"/>
  <c r="H1741" i="116"/>
  <c r="G1741" i="116"/>
  <c r="F1741" i="116"/>
  <c r="E1741" i="116"/>
  <c r="D1741" i="116"/>
  <c r="C1741" i="116"/>
  <c r="B1741" i="116"/>
  <c r="K1740" i="116"/>
  <c r="J1740" i="116"/>
  <c r="I1740" i="116"/>
  <c r="H1740" i="116"/>
  <c r="G1740" i="116"/>
  <c r="F1740" i="116"/>
  <c r="E1740" i="116"/>
  <c r="D1740" i="116"/>
  <c r="C1740" i="116"/>
  <c r="B1740" i="116"/>
  <c r="K1739" i="116"/>
  <c r="J1739" i="116"/>
  <c r="I1739" i="116"/>
  <c r="H1739" i="116"/>
  <c r="G1739" i="116"/>
  <c r="F1739" i="116"/>
  <c r="E1739" i="116"/>
  <c r="D1739" i="116"/>
  <c r="C1739" i="116"/>
  <c r="B1739" i="116"/>
  <c r="K1738" i="116"/>
  <c r="J1738" i="116"/>
  <c r="I1738" i="116"/>
  <c r="H1738" i="116"/>
  <c r="G1738" i="116"/>
  <c r="F1738" i="116"/>
  <c r="E1738" i="116"/>
  <c r="D1738" i="116"/>
  <c r="C1738" i="116"/>
  <c r="B1738" i="116"/>
  <c r="K1737" i="116"/>
  <c r="J1737" i="116"/>
  <c r="I1737" i="116"/>
  <c r="H1737" i="116"/>
  <c r="G1737" i="116"/>
  <c r="F1737" i="116"/>
  <c r="E1737" i="116"/>
  <c r="D1737" i="116"/>
  <c r="C1737" i="116"/>
  <c r="B1737" i="116"/>
  <c r="K1736" i="116"/>
  <c r="J1736" i="116"/>
  <c r="I1736" i="116"/>
  <c r="H1736" i="116"/>
  <c r="G1736" i="116"/>
  <c r="F1736" i="116"/>
  <c r="E1736" i="116"/>
  <c r="D1736" i="116"/>
  <c r="C1736" i="116"/>
  <c r="B1736" i="116"/>
  <c r="K1735" i="116"/>
  <c r="J1735" i="116"/>
  <c r="I1735" i="116"/>
  <c r="H1735" i="116"/>
  <c r="G1735" i="116"/>
  <c r="F1735" i="116"/>
  <c r="E1735" i="116"/>
  <c r="D1735" i="116"/>
  <c r="C1735" i="116"/>
  <c r="B1735" i="116"/>
  <c r="K1734" i="116"/>
  <c r="J1734" i="116"/>
  <c r="I1734" i="116"/>
  <c r="H1734" i="116"/>
  <c r="G1734" i="116"/>
  <c r="F1734" i="116"/>
  <c r="E1734" i="116"/>
  <c r="D1734" i="116"/>
  <c r="C1734" i="116"/>
  <c r="B1734" i="116"/>
  <c r="K1733" i="116"/>
  <c r="J1733" i="116"/>
  <c r="I1733" i="116"/>
  <c r="H1733" i="116"/>
  <c r="G1733" i="116"/>
  <c r="F1733" i="116"/>
  <c r="E1733" i="116"/>
  <c r="D1733" i="116"/>
  <c r="C1733" i="116"/>
  <c r="B1733" i="116"/>
  <c r="K1732" i="116"/>
  <c r="J1732" i="116"/>
  <c r="I1732" i="116"/>
  <c r="H1732" i="116"/>
  <c r="G1732" i="116"/>
  <c r="F1732" i="116"/>
  <c r="E1732" i="116"/>
  <c r="D1732" i="116"/>
  <c r="C1732" i="116"/>
  <c r="B1732" i="116"/>
  <c r="K1731" i="116"/>
  <c r="J1731" i="116"/>
  <c r="I1731" i="116"/>
  <c r="H1731" i="116"/>
  <c r="G1731" i="116"/>
  <c r="F1731" i="116"/>
  <c r="E1731" i="116"/>
  <c r="D1731" i="116"/>
  <c r="C1731" i="116"/>
  <c r="B1731" i="116"/>
  <c r="K1730" i="116"/>
  <c r="J1730" i="116"/>
  <c r="I1730" i="116"/>
  <c r="H1730" i="116"/>
  <c r="G1730" i="116"/>
  <c r="F1730" i="116"/>
  <c r="E1730" i="116"/>
  <c r="D1730" i="116"/>
  <c r="C1730" i="116"/>
  <c r="B1730" i="116"/>
  <c r="K1729" i="116"/>
  <c r="J1729" i="116"/>
  <c r="I1729" i="116"/>
  <c r="H1729" i="116"/>
  <c r="G1729" i="116"/>
  <c r="F1729" i="116"/>
  <c r="E1729" i="116"/>
  <c r="D1729" i="116"/>
  <c r="C1729" i="116"/>
  <c r="B1729" i="116"/>
  <c r="K1728" i="116"/>
  <c r="J1728" i="116"/>
  <c r="I1728" i="116"/>
  <c r="H1728" i="116"/>
  <c r="G1728" i="116"/>
  <c r="F1728" i="116"/>
  <c r="E1728" i="116"/>
  <c r="D1728" i="116"/>
  <c r="C1728" i="116"/>
  <c r="B1728" i="116"/>
  <c r="K1727" i="116"/>
  <c r="J1727" i="116"/>
  <c r="I1727" i="116"/>
  <c r="H1727" i="116"/>
  <c r="G1727" i="116"/>
  <c r="F1727" i="116"/>
  <c r="E1727" i="116"/>
  <c r="D1727" i="116"/>
  <c r="C1727" i="116"/>
  <c r="B1727" i="116"/>
  <c r="K1726" i="116"/>
  <c r="J1726" i="116"/>
  <c r="I1726" i="116"/>
  <c r="H1726" i="116"/>
  <c r="G1726" i="116"/>
  <c r="F1726" i="116"/>
  <c r="E1726" i="116"/>
  <c r="D1726" i="116"/>
  <c r="C1726" i="116"/>
  <c r="B1726" i="116"/>
  <c r="K1725" i="116"/>
  <c r="J1725" i="116"/>
  <c r="I1725" i="116"/>
  <c r="H1725" i="116"/>
  <c r="G1725" i="116"/>
  <c r="F1725" i="116"/>
  <c r="E1725" i="116"/>
  <c r="D1725" i="116"/>
  <c r="C1725" i="116"/>
  <c r="B1725" i="116"/>
  <c r="K1724" i="116"/>
  <c r="J1724" i="116"/>
  <c r="I1724" i="116"/>
  <c r="H1724" i="116"/>
  <c r="G1724" i="116"/>
  <c r="F1724" i="116"/>
  <c r="E1724" i="116"/>
  <c r="D1724" i="116"/>
  <c r="C1724" i="116"/>
  <c r="B1724" i="116"/>
  <c r="K1723" i="116"/>
  <c r="J1723" i="116"/>
  <c r="I1723" i="116"/>
  <c r="H1723" i="116"/>
  <c r="G1723" i="116"/>
  <c r="F1723" i="116"/>
  <c r="E1723" i="116"/>
  <c r="D1723" i="116"/>
  <c r="C1723" i="116"/>
  <c r="B1723" i="116"/>
  <c r="K1722" i="116"/>
  <c r="J1722" i="116"/>
  <c r="I1722" i="116"/>
  <c r="H1722" i="116"/>
  <c r="G1722" i="116"/>
  <c r="F1722" i="116"/>
  <c r="E1722" i="116"/>
  <c r="D1722" i="116"/>
  <c r="C1722" i="116"/>
  <c r="B1722" i="116"/>
  <c r="K1721" i="116"/>
  <c r="J1721" i="116"/>
  <c r="I1721" i="116"/>
  <c r="H1721" i="116"/>
  <c r="G1721" i="116"/>
  <c r="F1721" i="116"/>
  <c r="E1721" i="116"/>
  <c r="D1721" i="116"/>
  <c r="C1721" i="116"/>
  <c r="B1721" i="116"/>
  <c r="K1720" i="116"/>
  <c r="J1720" i="116"/>
  <c r="I1720" i="116"/>
  <c r="H1720" i="116"/>
  <c r="G1720" i="116"/>
  <c r="F1720" i="116"/>
  <c r="E1720" i="116"/>
  <c r="D1720" i="116"/>
  <c r="C1720" i="116"/>
  <c r="B1720" i="116"/>
  <c r="K1719" i="116"/>
  <c r="J1719" i="116"/>
  <c r="I1719" i="116"/>
  <c r="H1719" i="116"/>
  <c r="G1719" i="116"/>
  <c r="F1719" i="116"/>
  <c r="E1719" i="116"/>
  <c r="D1719" i="116"/>
  <c r="C1719" i="116"/>
  <c r="B1719" i="116"/>
  <c r="K1718" i="116"/>
  <c r="J1718" i="116"/>
  <c r="I1718" i="116"/>
  <c r="H1718" i="116"/>
  <c r="G1718" i="116"/>
  <c r="F1718" i="116"/>
  <c r="E1718" i="116"/>
  <c r="D1718" i="116"/>
  <c r="C1718" i="116"/>
  <c r="B1718" i="116"/>
  <c r="K1717" i="116"/>
  <c r="J1717" i="116"/>
  <c r="I1717" i="116"/>
  <c r="H1717" i="116"/>
  <c r="G1717" i="116"/>
  <c r="F1717" i="116"/>
  <c r="E1717" i="116"/>
  <c r="D1717" i="116"/>
  <c r="C1717" i="116"/>
  <c r="B1717" i="116"/>
  <c r="K1716" i="116"/>
  <c r="J1716" i="116"/>
  <c r="I1716" i="116"/>
  <c r="H1716" i="116"/>
  <c r="G1716" i="116"/>
  <c r="F1716" i="116"/>
  <c r="E1716" i="116"/>
  <c r="D1716" i="116"/>
  <c r="C1716" i="116"/>
  <c r="B1716" i="116"/>
  <c r="K1715" i="116"/>
  <c r="J1715" i="116"/>
  <c r="I1715" i="116"/>
  <c r="H1715" i="116"/>
  <c r="G1715" i="116"/>
  <c r="F1715" i="116"/>
  <c r="E1715" i="116"/>
  <c r="D1715" i="116"/>
  <c r="C1715" i="116"/>
  <c r="B1715" i="116"/>
  <c r="K1714" i="116"/>
  <c r="J1714" i="116"/>
  <c r="I1714" i="116"/>
  <c r="H1714" i="116"/>
  <c r="G1714" i="116"/>
  <c r="F1714" i="116"/>
  <c r="E1714" i="116"/>
  <c r="D1714" i="116"/>
  <c r="C1714" i="116"/>
  <c r="B1714" i="116"/>
  <c r="K1713" i="116"/>
  <c r="J1713" i="116"/>
  <c r="I1713" i="116"/>
  <c r="H1713" i="116"/>
  <c r="G1713" i="116"/>
  <c r="F1713" i="116"/>
  <c r="E1713" i="116"/>
  <c r="D1713" i="116"/>
  <c r="C1713" i="116"/>
  <c r="B1713" i="116"/>
  <c r="K1712" i="116"/>
  <c r="J1712" i="116"/>
  <c r="I1712" i="116"/>
  <c r="H1712" i="116"/>
  <c r="G1712" i="116"/>
  <c r="F1712" i="116"/>
  <c r="E1712" i="116"/>
  <c r="D1712" i="116"/>
  <c r="C1712" i="116"/>
  <c r="B1712" i="116"/>
  <c r="K1711" i="116"/>
  <c r="J1711" i="116"/>
  <c r="I1711" i="116"/>
  <c r="H1711" i="116"/>
  <c r="G1711" i="116"/>
  <c r="F1711" i="116"/>
  <c r="E1711" i="116"/>
  <c r="D1711" i="116"/>
  <c r="C1711" i="116"/>
  <c r="B1711" i="116"/>
  <c r="K1710" i="116"/>
  <c r="J1710" i="116"/>
  <c r="I1710" i="116"/>
  <c r="H1710" i="116"/>
  <c r="G1710" i="116"/>
  <c r="F1710" i="116"/>
  <c r="E1710" i="116"/>
  <c r="D1710" i="116"/>
  <c r="C1710" i="116"/>
  <c r="B1710" i="116"/>
  <c r="K1709" i="116"/>
  <c r="J1709" i="116"/>
  <c r="I1709" i="116"/>
  <c r="H1709" i="116"/>
  <c r="G1709" i="116"/>
  <c r="F1709" i="116"/>
  <c r="E1709" i="116"/>
  <c r="D1709" i="116"/>
  <c r="C1709" i="116"/>
  <c r="B1709" i="116"/>
  <c r="K1708" i="116"/>
  <c r="J1708" i="116"/>
  <c r="I1708" i="116"/>
  <c r="H1708" i="116"/>
  <c r="G1708" i="116"/>
  <c r="F1708" i="116"/>
  <c r="E1708" i="116"/>
  <c r="D1708" i="116"/>
  <c r="C1708" i="116"/>
  <c r="B1708" i="116"/>
  <c r="K1707" i="116"/>
  <c r="J1707" i="116"/>
  <c r="I1707" i="116"/>
  <c r="H1707" i="116"/>
  <c r="G1707" i="116"/>
  <c r="F1707" i="116"/>
  <c r="E1707" i="116"/>
  <c r="D1707" i="116"/>
  <c r="C1707" i="116"/>
  <c r="B1707" i="116"/>
  <c r="K1706" i="116"/>
  <c r="J1706" i="116"/>
  <c r="I1706" i="116"/>
  <c r="H1706" i="116"/>
  <c r="G1706" i="116"/>
  <c r="F1706" i="116"/>
  <c r="E1706" i="116"/>
  <c r="D1706" i="116"/>
  <c r="C1706" i="116"/>
  <c r="B1706" i="116"/>
  <c r="K1705" i="116"/>
  <c r="J1705" i="116"/>
  <c r="I1705" i="116"/>
  <c r="H1705" i="116"/>
  <c r="G1705" i="116"/>
  <c r="F1705" i="116"/>
  <c r="E1705" i="116"/>
  <c r="D1705" i="116"/>
  <c r="C1705" i="116"/>
  <c r="B1705" i="116"/>
  <c r="K1704" i="116"/>
  <c r="J1704" i="116"/>
  <c r="I1704" i="116"/>
  <c r="H1704" i="116"/>
  <c r="G1704" i="116"/>
  <c r="F1704" i="116"/>
  <c r="E1704" i="116"/>
  <c r="D1704" i="116"/>
  <c r="C1704" i="116"/>
  <c r="B1704" i="116"/>
  <c r="K1703" i="116"/>
  <c r="J1703" i="116"/>
  <c r="I1703" i="116"/>
  <c r="H1703" i="116"/>
  <c r="G1703" i="116"/>
  <c r="F1703" i="116"/>
  <c r="E1703" i="116"/>
  <c r="D1703" i="116"/>
  <c r="C1703" i="116"/>
  <c r="B1703" i="116"/>
  <c r="K1702" i="116"/>
  <c r="J1702" i="116"/>
  <c r="I1702" i="116"/>
  <c r="H1702" i="116"/>
  <c r="G1702" i="116"/>
  <c r="F1702" i="116"/>
  <c r="E1702" i="116"/>
  <c r="D1702" i="116"/>
  <c r="C1702" i="116"/>
  <c r="B1702" i="116"/>
  <c r="K1701" i="116"/>
  <c r="J1701" i="116"/>
  <c r="I1701" i="116"/>
  <c r="H1701" i="116"/>
  <c r="G1701" i="116"/>
  <c r="F1701" i="116"/>
  <c r="E1701" i="116"/>
  <c r="D1701" i="116"/>
  <c r="C1701" i="116"/>
  <c r="B1701" i="116"/>
  <c r="K1700" i="116"/>
  <c r="J1700" i="116"/>
  <c r="I1700" i="116"/>
  <c r="H1700" i="116"/>
  <c r="G1700" i="116"/>
  <c r="F1700" i="116"/>
  <c r="E1700" i="116"/>
  <c r="D1700" i="116"/>
  <c r="C1700" i="116"/>
  <c r="B1700" i="116"/>
  <c r="K1699" i="116"/>
  <c r="J1699" i="116"/>
  <c r="I1699" i="116"/>
  <c r="H1699" i="116"/>
  <c r="G1699" i="116"/>
  <c r="F1699" i="116"/>
  <c r="E1699" i="116"/>
  <c r="D1699" i="116"/>
  <c r="C1699" i="116"/>
  <c r="B1699" i="116"/>
  <c r="K1698" i="116"/>
  <c r="J1698" i="116"/>
  <c r="I1698" i="116"/>
  <c r="H1698" i="116"/>
  <c r="G1698" i="116"/>
  <c r="F1698" i="116"/>
  <c r="E1698" i="116"/>
  <c r="D1698" i="116"/>
  <c r="C1698" i="116"/>
  <c r="B1698" i="116"/>
  <c r="K1697" i="116"/>
  <c r="J1697" i="116"/>
  <c r="I1697" i="116"/>
  <c r="H1697" i="116"/>
  <c r="G1697" i="116"/>
  <c r="F1697" i="116"/>
  <c r="E1697" i="116"/>
  <c r="D1697" i="116"/>
  <c r="C1697" i="116"/>
  <c r="B1697" i="116"/>
  <c r="K1696" i="116"/>
  <c r="J1696" i="116"/>
  <c r="I1696" i="116"/>
  <c r="H1696" i="116"/>
  <c r="G1696" i="116"/>
  <c r="F1696" i="116"/>
  <c r="E1696" i="116"/>
  <c r="D1696" i="116"/>
  <c r="C1696" i="116"/>
  <c r="B1696" i="116"/>
  <c r="K1695" i="116"/>
  <c r="J1695" i="116"/>
  <c r="I1695" i="116"/>
  <c r="H1695" i="116"/>
  <c r="G1695" i="116"/>
  <c r="F1695" i="116"/>
  <c r="E1695" i="116"/>
  <c r="D1695" i="116"/>
  <c r="C1695" i="116"/>
  <c r="B1695" i="116"/>
  <c r="K1694" i="116"/>
  <c r="J1694" i="116"/>
  <c r="I1694" i="116"/>
  <c r="H1694" i="116"/>
  <c r="G1694" i="116"/>
  <c r="F1694" i="116"/>
  <c r="E1694" i="116"/>
  <c r="D1694" i="116"/>
  <c r="C1694" i="116"/>
  <c r="B1694" i="116"/>
  <c r="K1693" i="116"/>
  <c r="J1693" i="116"/>
  <c r="I1693" i="116"/>
  <c r="H1693" i="116"/>
  <c r="G1693" i="116"/>
  <c r="F1693" i="116"/>
  <c r="E1693" i="116"/>
  <c r="D1693" i="116"/>
  <c r="C1693" i="116"/>
  <c r="B1693" i="116"/>
  <c r="K1692" i="116"/>
  <c r="J1692" i="116"/>
  <c r="I1692" i="116"/>
  <c r="H1692" i="116"/>
  <c r="G1692" i="116"/>
  <c r="F1692" i="116"/>
  <c r="E1692" i="116"/>
  <c r="D1692" i="116"/>
  <c r="C1692" i="116"/>
  <c r="B1692" i="116"/>
  <c r="K1691" i="116"/>
  <c r="J1691" i="116"/>
  <c r="I1691" i="116"/>
  <c r="H1691" i="116"/>
  <c r="G1691" i="116"/>
  <c r="F1691" i="116"/>
  <c r="E1691" i="116"/>
  <c r="D1691" i="116"/>
  <c r="C1691" i="116"/>
  <c r="B1691" i="116"/>
  <c r="K1690" i="116"/>
  <c r="J1690" i="116"/>
  <c r="I1690" i="116"/>
  <c r="H1690" i="116"/>
  <c r="G1690" i="116"/>
  <c r="F1690" i="116"/>
  <c r="E1690" i="116"/>
  <c r="D1690" i="116"/>
  <c r="C1690" i="116"/>
  <c r="B1690" i="116"/>
  <c r="K1689" i="116"/>
  <c r="J1689" i="116"/>
  <c r="I1689" i="116"/>
  <c r="H1689" i="116"/>
  <c r="G1689" i="116"/>
  <c r="F1689" i="116"/>
  <c r="E1689" i="116"/>
  <c r="D1689" i="116"/>
  <c r="C1689" i="116"/>
  <c r="B1689" i="116"/>
  <c r="K1688" i="116"/>
  <c r="J1688" i="116"/>
  <c r="I1688" i="116"/>
  <c r="H1688" i="116"/>
  <c r="G1688" i="116"/>
  <c r="F1688" i="116"/>
  <c r="E1688" i="116"/>
  <c r="D1688" i="116"/>
  <c r="C1688" i="116"/>
  <c r="B1688" i="116"/>
  <c r="K1687" i="116"/>
  <c r="J1687" i="116"/>
  <c r="I1687" i="116"/>
  <c r="H1687" i="116"/>
  <c r="G1687" i="116"/>
  <c r="F1687" i="116"/>
  <c r="E1687" i="116"/>
  <c r="D1687" i="116"/>
  <c r="C1687" i="116"/>
  <c r="B1687" i="116"/>
  <c r="K1686" i="116"/>
  <c r="J1686" i="116"/>
  <c r="I1686" i="116"/>
  <c r="H1686" i="116"/>
  <c r="G1686" i="116"/>
  <c r="F1686" i="116"/>
  <c r="E1686" i="116"/>
  <c r="D1686" i="116"/>
  <c r="C1686" i="116"/>
  <c r="B1686" i="116"/>
  <c r="K1685" i="116"/>
  <c r="J1685" i="116"/>
  <c r="I1685" i="116"/>
  <c r="H1685" i="116"/>
  <c r="G1685" i="116"/>
  <c r="F1685" i="116"/>
  <c r="E1685" i="116"/>
  <c r="D1685" i="116"/>
  <c r="C1685" i="116"/>
  <c r="B1685" i="116"/>
  <c r="K1684" i="116"/>
  <c r="J1684" i="116"/>
  <c r="I1684" i="116"/>
  <c r="H1684" i="116"/>
  <c r="G1684" i="116"/>
  <c r="F1684" i="116"/>
  <c r="E1684" i="116"/>
  <c r="D1684" i="116"/>
  <c r="C1684" i="116"/>
  <c r="B1684" i="116"/>
  <c r="K1683" i="116"/>
  <c r="J1683" i="116"/>
  <c r="I1683" i="116"/>
  <c r="H1683" i="116"/>
  <c r="G1683" i="116"/>
  <c r="F1683" i="116"/>
  <c r="E1683" i="116"/>
  <c r="D1683" i="116"/>
  <c r="C1683" i="116"/>
  <c r="B1683" i="116"/>
  <c r="K1682" i="116"/>
  <c r="J1682" i="116"/>
  <c r="I1682" i="116"/>
  <c r="H1682" i="116"/>
  <c r="G1682" i="116"/>
  <c r="F1682" i="116"/>
  <c r="E1682" i="116"/>
  <c r="D1682" i="116"/>
  <c r="C1682" i="116"/>
  <c r="B1682" i="116"/>
  <c r="K1681" i="116"/>
  <c r="J1681" i="116"/>
  <c r="I1681" i="116"/>
  <c r="H1681" i="116"/>
  <c r="G1681" i="116"/>
  <c r="F1681" i="116"/>
  <c r="E1681" i="116"/>
  <c r="D1681" i="116"/>
  <c r="C1681" i="116"/>
  <c r="B1681" i="116"/>
  <c r="K1680" i="116"/>
  <c r="J1680" i="116"/>
  <c r="I1680" i="116"/>
  <c r="H1680" i="116"/>
  <c r="G1680" i="116"/>
  <c r="F1680" i="116"/>
  <c r="E1680" i="116"/>
  <c r="D1680" i="116"/>
  <c r="C1680" i="116"/>
  <c r="B1680" i="116"/>
  <c r="K1679" i="116"/>
  <c r="J1679" i="116"/>
  <c r="I1679" i="116"/>
  <c r="H1679" i="116"/>
  <c r="G1679" i="116"/>
  <c r="F1679" i="116"/>
  <c r="E1679" i="116"/>
  <c r="D1679" i="116"/>
  <c r="C1679" i="116"/>
  <c r="B1679" i="116"/>
  <c r="K1678" i="116"/>
  <c r="J1678" i="116"/>
  <c r="I1678" i="116"/>
  <c r="H1678" i="116"/>
  <c r="G1678" i="116"/>
  <c r="F1678" i="116"/>
  <c r="E1678" i="116"/>
  <c r="D1678" i="116"/>
  <c r="C1678" i="116"/>
  <c r="B1678" i="116"/>
  <c r="K1677" i="116"/>
  <c r="J1677" i="116"/>
  <c r="I1677" i="116"/>
  <c r="H1677" i="116"/>
  <c r="G1677" i="116"/>
  <c r="F1677" i="116"/>
  <c r="E1677" i="116"/>
  <c r="D1677" i="116"/>
  <c r="C1677" i="116"/>
  <c r="B1677" i="116"/>
  <c r="K1676" i="116"/>
  <c r="J1676" i="116"/>
  <c r="I1676" i="116"/>
  <c r="H1676" i="116"/>
  <c r="G1676" i="116"/>
  <c r="F1676" i="116"/>
  <c r="E1676" i="116"/>
  <c r="D1676" i="116"/>
  <c r="C1676" i="116"/>
  <c r="B1676" i="116"/>
  <c r="K1675" i="116"/>
  <c r="J1675" i="116"/>
  <c r="I1675" i="116"/>
  <c r="H1675" i="116"/>
  <c r="G1675" i="116"/>
  <c r="F1675" i="116"/>
  <c r="E1675" i="116"/>
  <c r="D1675" i="116"/>
  <c r="C1675" i="116"/>
  <c r="B1675" i="116"/>
  <c r="K1674" i="116"/>
  <c r="J1674" i="116"/>
  <c r="I1674" i="116"/>
  <c r="H1674" i="116"/>
  <c r="G1674" i="116"/>
  <c r="F1674" i="116"/>
  <c r="E1674" i="116"/>
  <c r="D1674" i="116"/>
  <c r="C1674" i="116"/>
  <c r="B1674" i="116"/>
  <c r="K1673" i="116"/>
  <c r="J1673" i="116"/>
  <c r="I1673" i="116"/>
  <c r="H1673" i="116"/>
  <c r="G1673" i="116"/>
  <c r="F1673" i="116"/>
  <c r="E1673" i="116"/>
  <c r="D1673" i="116"/>
  <c r="C1673" i="116"/>
  <c r="B1673" i="116"/>
  <c r="K1672" i="116"/>
  <c r="J1672" i="116"/>
  <c r="I1672" i="116"/>
  <c r="H1672" i="116"/>
  <c r="G1672" i="116"/>
  <c r="F1672" i="116"/>
  <c r="E1672" i="116"/>
  <c r="D1672" i="116"/>
  <c r="C1672" i="116"/>
  <c r="B1672" i="116"/>
  <c r="K1671" i="116"/>
  <c r="J1671" i="116"/>
  <c r="I1671" i="116"/>
  <c r="H1671" i="116"/>
  <c r="G1671" i="116"/>
  <c r="F1671" i="116"/>
  <c r="E1671" i="116"/>
  <c r="D1671" i="116"/>
  <c r="C1671" i="116"/>
  <c r="B1671" i="116"/>
  <c r="K1670" i="116"/>
  <c r="J1670" i="116"/>
  <c r="I1670" i="116"/>
  <c r="H1670" i="116"/>
  <c r="G1670" i="116"/>
  <c r="F1670" i="116"/>
  <c r="E1670" i="116"/>
  <c r="D1670" i="116"/>
  <c r="C1670" i="116"/>
  <c r="B1670" i="116"/>
  <c r="K1669" i="116"/>
  <c r="J1669" i="116"/>
  <c r="I1669" i="116"/>
  <c r="H1669" i="116"/>
  <c r="G1669" i="116"/>
  <c r="F1669" i="116"/>
  <c r="E1669" i="116"/>
  <c r="D1669" i="116"/>
  <c r="C1669" i="116"/>
  <c r="B1669" i="116"/>
  <c r="K1668" i="116"/>
  <c r="J1668" i="116"/>
  <c r="I1668" i="116"/>
  <c r="H1668" i="116"/>
  <c r="G1668" i="116"/>
  <c r="F1668" i="116"/>
  <c r="E1668" i="116"/>
  <c r="D1668" i="116"/>
  <c r="C1668" i="116"/>
  <c r="B1668" i="116"/>
  <c r="K1667" i="116"/>
  <c r="J1667" i="116"/>
  <c r="I1667" i="116"/>
  <c r="H1667" i="116"/>
  <c r="G1667" i="116"/>
  <c r="F1667" i="116"/>
  <c r="E1667" i="116"/>
  <c r="D1667" i="116"/>
  <c r="C1667" i="116"/>
  <c r="B1667" i="116"/>
  <c r="K1666" i="116"/>
  <c r="J1666" i="116"/>
  <c r="I1666" i="116"/>
  <c r="H1666" i="116"/>
  <c r="G1666" i="116"/>
  <c r="F1666" i="116"/>
  <c r="E1666" i="116"/>
  <c r="D1666" i="116"/>
  <c r="C1666" i="116"/>
  <c r="B1666" i="116"/>
  <c r="K1665" i="116"/>
  <c r="J1665" i="116"/>
  <c r="I1665" i="116"/>
  <c r="H1665" i="116"/>
  <c r="G1665" i="116"/>
  <c r="F1665" i="116"/>
  <c r="E1665" i="116"/>
  <c r="D1665" i="116"/>
  <c r="C1665" i="116"/>
  <c r="B1665" i="116"/>
  <c r="K1664" i="116"/>
  <c r="J1664" i="116"/>
  <c r="I1664" i="116"/>
  <c r="H1664" i="116"/>
  <c r="G1664" i="116"/>
  <c r="F1664" i="116"/>
  <c r="E1664" i="116"/>
  <c r="D1664" i="116"/>
  <c r="C1664" i="116"/>
  <c r="B1664" i="116"/>
  <c r="K1663" i="116"/>
  <c r="J1663" i="116"/>
  <c r="I1663" i="116"/>
  <c r="H1663" i="116"/>
  <c r="G1663" i="116"/>
  <c r="F1663" i="116"/>
  <c r="E1663" i="116"/>
  <c r="D1663" i="116"/>
  <c r="C1663" i="116"/>
  <c r="B1663" i="116"/>
  <c r="K1662" i="116"/>
  <c r="J1662" i="116"/>
  <c r="I1662" i="116"/>
  <c r="H1662" i="116"/>
  <c r="G1662" i="116"/>
  <c r="F1662" i="116"/>
  <c r="E1662" i="116"/>
  <c r="D1662" i="116"/>
  <c r="C1662" i="116"/>
  <c r="B1662" i="116"/>
  <c r="K1661" i="116"/>
  <c r="J1661" i="116"/>
  <c r="I1661" i="116"/>
  <c r="H1661" i="116"/>
  <c r="G1661" i="116"/>
  <c r="F1661" i="116"/>
  <c r="E1661" i="116"/>
  <c r="D1661" i="116"/>
  <c r="C1661" i="116"/>
  <c r="B1661" i="116"/>
  <c r="K1660" i="116"/>
  <c r="J1660" i="116"/>
  <c r="I1660" i="116"/>
  <c r="H1660" i="116"/>
  <c r="G1660" i="116"/>
  <c r="F1660" i="116"/>
  <c r="E1660" i="116"/>
  <c r="D1660" i="116"/>
  <c r="C1660" i="116"/>
  <c r="B1660" i="116"/>
  <c r="K1659" i="116"/>
  <c r="J1659" i="116"/>
  <c r="I1659" i="116"/>
  <c r="H1659" i="116"/>
  <c r="G1659" i="116"/>
  <c r="F1659" i="116"/>
  <c r="E1659" i="116"/>
  <c r="D1659" i="116"/>
  <c r="C1659" i="116"/>
  <c r="B1659" i="116"/>
  <c r="K1658" i="116"/>
  <c r="J1658" i="116"/>
  <c r="I1658" i="116"/>
  <c r="H1658" i="116"/>
  <c r="G1658" i="116"/>
  <c r="F1658" i="116"/>
  <c r="E1658" i="116"/>
  <c r="D1658" i="116"/>
  <c r="C1658" i="116"/>
  <c r="B1658" i="116"/>
  <c r="K1657" i="116"/>
  <c r="J1657" i="116"/>
  <c r="I1657" i="116"/>
  <c r="H1657" i="116"/>
  <c r="G1657" i="116"/>
  <c r="F1657" i="116"/>
  <c r="E1657" i="116"/>
  <c r="D1657" i="116"/>
  <c r="C1657" i="116"/>
  <c r="B1657" i="116"/>
  <c r="K1656" i="116"/>
  <c r="J1656" i="116"/>
  <c r="I1656" i="116"/>
  <c r="H1656" i="116"/>
  <c r="G1656" i="116"/>
  <c r="F1656" i="116"/>
  <c r="E1656" i="116"/>
  <c r="D1656" i="116"/>
  <c r="C1656" i="116"/>
  <c r="B1656" i="116"/>
  <c r="K1655" i="116"/>
  <c r="J1655" i="116"/>
  <c r="I1655" i="116"/>
  <c r="H1655" i="116"/>
  <c r="G1655" i="116"/>
  <c r="F1655" i="116"/>
  <c r="E1655" i="116"/>
  <c r="D1655" i="116"/>
  <c r="C1655" i="116"/>
  <c r="B1655" i="116"/>
  <c r="K1654" i="116"/>
  <c r="J1654" i="116"/>
  <c r="I1654" i="116"/>
  <c r="H1654" i="116"/>
  <c r="G1654" i="116"/>
  <c r="F1654" i="116"/>
  <c r="E1654" i="116"/>
  <c r="D1654" i="116"/>
  <c r="C1654" i="116"/>
  <c r="B1654" i="116"/>
  <c r="K1653" i="116"/>
  <c r="J1653" i="116"/>
  <c r="I1653" i="116"/>
  <c r="H1653" i="116"/>
  <c r="G1653" i="116"/>
  <c r="F1653" i="116"/>
  <c r="E1653" i="116"/>
  <c r="D1653" i="116"/>
  <c r="C1653" i="116"/>
  <c r="B1653" i="116"/>
  <c r="K1652" i="116"/>
  <c r="J1652" i="116"/>
  <c r="I1652" i="116"/>
  <c r="H1652" i="116"/>
  <c r="G1652" i="116"/>
  <c r="F1652" i="116"/>
  <c r="E1652" i="116"/>
  <c r="D1652" i="116"/>
  <c r="C1652" i="116"/>
  <c r="B1652" i="116"/>
  <c r="K1651" i="116"/>
  <c r="J1651" i="116"/>
  <c r="I1651" i="116"/>
  <c r="H1651" i="116"/>
  <c r="G1651" i="116"/>
  <c r="F1651" i="116"/>
  <c r="E1651" i="116"/>
  <c r="D1651" i="116"/>
  <c r="C1651" i="116"/>
  <c r="B1651" i="116"/>
  <c r="K1650" i="116"/>
  <c r="J1650" i="116"/>
  <c r="I1650" i="116"/>
  <c r="H1650" i="116"/>
  <c r="G1650" i="116"/>
  <c r="F1650" i="116"/>
  <c r="E1650" i="116"/>
  <c r="D1650" i="116"/>
  <c r="C1650" i="116"/>
  <c r="B1650" i="116"/>
  <c r="K1649" i="116"/>
  <c r="J1649" i="116"/>
  <c r="I1649" i="116"/>
  <c r="H1649" i="116"/>
  <c r="G1649" i="116"/>
  <c r="F1649" i="116"/>
  <c r="E1649" i="116"/>
  <c r="D1649" i="116"/>
  <c r="C1649" i="116"/>
  <c r="B1649" i="116"/>
  <c r="K1648" i="116"/>
  <c r="J1648" i="116"/>
  <c r="I1648" i="116"/>
  <c r="H1648" i="116"/>
  <c r="G1648" i="116"/>
  <c r="F1648" i="116"/>
  <c r="E1648" i="116"/>
  <c r="D1648" i="116"/>
  <c r="C1648" i="116"/>
  <c r="B1648" i="116"/>
  <c r="K1647" i="116"/>
  <c r="J1647" i="116"/>
  <c r="I1647" i="116"/>
  <c r="H1647" i="116"/>
  <c r="G1647" i="116"/>
  <c r="F1647" i="116"/>
  <c r="E1647" i="116"/>
  <c r="D1647" i="116"/>
  <c r="C1647" i="116"/>
  <c r="B1647" i="116"/>
  <c r="K1646" i="116"/>
  <c r="J1646" i="116"/>
  <c r="I1646" i="116"/>
  <c r="H1646" i="116"/>
  <c r="G1646" i="116"/>
  <c r="F1646" i="116"/>
  <c r="E1646" i="116"/>
  <c r="D1646" i="116"/>
  <c r="C1646" i="116"/>
  <c r="B1646" i="116"/>
  <c r="K1645" i="116"/>
  <c r="J1645" i="116"/>
  <c r="I1645" i="116"/>
  <c r="H1645" i="116"/>
  <c r="G1645" i="116"/>
  <c r="F1645" i="116"/>
  <c r="E1645" i="116"/>
  <c r="D1645" i="116"/>
  <c r="C1645" i="116"/>
  <c r="B1645" i="116"/>
  <c r="K1644" i="116"/>
  <c r="J1644" i="116"/>
  <c r="I1644" i="116"/>
  <c r="H1644" i="116"/>
  <c r="G1644" i="116"/>
  <c r="F1644" i="116"/>
  <c r="E1644" i="116"/>
  <c r="D1644" i="116"/>
  <c r="C1644" i="116"/>
  <c r="B1644" i="116"/>
  <c r="K1643" i="116"/>
  <c r="J1643" i="116"/>
  <c r="I1643" i="116"/>
  <c r="H1643" i="116"/>
  <c r="G1643" i="116"/>
  <c r="F1643" i="116"/>
  <c r="E1643" i="116"/>
  <c r="D1643" i="116"/>
  <c r="C1643" i="116"/>
  <c r="B1643" i="116"/>
  <c r="K1642" i="116"/>
  <c r="J1642" i="116"/>
  <c r="I1642" i="116"/>
  <c r="H1642" i="116"/>
  <c r="G1642" i="116"/>
  <c r="F1642" i="116"/>
  <c r="E1642" i="116"/>
  <c r="D1642" i="116"/>
  <c r="C1642" i="116"/>
  <c r="B1642" i="116"/>
  <c r="K1641" i="116"/>
  <c r="J1641" i="116"/>
  <c r="I1641" i="116"/>
  <c r="H1641" i="116"/>
  <c r="G1641" i="116"/>
  <c r="F1641" i="116"/>
  <c r="E1641" i="116"/>
  <c r="D1641" i="116"/>
  <c r="C1641" i="116"/>
  <c r="B1641" i="116"/>
  <c r="K1640" i="116"/>
  <c r="J1640" i="116"/>
  <c r="I1640" i="116"/>
  <c r="H1640" i="116"/>
  <c r="G1640" i="116"/>
  <c r="F1640" i="116"/>
  <c r="E1640" i="116"/>
  <c r="D1640" i="116"/>
  <c r="C1640" i="116"/>
  <c r="B1640" i="116"/>
  <c r="K1639" i="116"/>
  <c r="J1639" i="116"/>
  <c r="I1639" i="116"/>
  <c r="H1639" i="116"/>
  <c r="G1639" i="116"/>
  <c r="F1639" i="116"/>
  <c r="E1639" i="116"/>
  <c r="D1639" i="116"/>
  <c r="C1639" i="116"/>
  <c r="B1639" i="116"/>
  <c r="K1638" i="116"/>
  <c r="J1638" i="116"/>
  <c r="I1638" i="116"/>
  <c r="H1638" i="116"/>
  <c r="G1638" i="116"/>
  <c r="F1638" i="116"/>
  <c r="E1638" i="116"/>
  <c r="D1638" i="116"/>
  <c r="C1638" i="116"/>
  <c r="B1638" i="116"/>
  <c r="K1637" i="116"/>
  <c r="J1637" i="116"/>
  <c r="I1637" i="116"/>
  <c r="H1637" i="116"/>
  <c r="G1637" i="116"/>
  <c r="F1637" i="116"/>
  <c r="E1637" i="116"/>
  <c r="D1637" i="116"/>
  <c r="C1637" i="116"/>
  <c r="B1637" i="116"/>
  <c r="K1636" i="116"/>
  <c r="J1636" i="116"/>
  <c r="I1636" i="116"/>
  <c r="H1636" i="116"/>
  <c r="G1636" i="116"/>
  <c r="F1636" i="116"/>
  <c r="E1636" i="116"/>
  <c r="D1636" i="116"/>
  <c r="C1636" i="116"/>
  <c r="B1636" i="116"/>
  <c r="K1635" i="116"/>
  <c r="J1635" i="116"/>
  <c r="I1635" i="116"/>
  <c r="H1635" i="116"/>
  <c r="G1635" i="116"/>
  <c r="F1635" i="116"/>
  <c r="E1635" i="116"/>
  <c r="D1635" i="116"/>
  <c r="C1635" i="116"/>
  <c r="B1635" i="116"/>
  <c r="K1634" i="116"/>
  <c r="J1634" i="116"/>
  <c r="I1634" i="116"/>
  <c r="H1634" i="116"/>
  <c r="G1634" i="116"/>
  <c r="F1634" i="116"/>
  <c r="E1634" i="116"/>
  <c r="D1634" i="116"/>
  <c r="C1634" i="116"/>
  <c r="B1634" i="116"/>
  <c r="K1633" i="116"/>
  <c r="J1633" i="116"/>
  <c r="I1633" i="116"/>
  <c r="H1633" i="116"/>
  <c r="G1633" i="116"/>
  <c r="F1633" i="116"/>
  <c r="E1633" i="116"/>
  <c r="D1633" i="116"/>
  <c r="C1633" i="116"/>
  <c r="B1633" i="116"/>
  <c r="K1632" i="116"/>
  <c r="J1632" i="116"/>
  <c r="I1632" i="116"/>
  <c r="H1632" i="116"/>
  <c r="G1632" i="116"/>
  <c r="F1632" i="116"/>
  <c r="E1632" i="116"/>
  <c r="D1632" i="116"/>
  <c r="C1632" i="116"/>
  <c r="B1632" i="116"/>
  <c r="K1631" i="116"/>
  <c r="J1631" i="116"/>
  <c r="I1631" i="116"/>
  <c r="H1631" i="116"/>
  <c r="G1631" i="116"/>
  <c r="F1631" i="116"/>
  <c r="E1631" i="116"/>
  <c r="D1631" i="116"/>
  <c r="C1631" i="116"/>
  <c r="B1631" i="116"/>
  <c r="K1630" i="116"/>
  <c r="J1630" i="116"/>
  <c r="I1630" i="116"/>
  <c r="H1630" i="116"/>
  <c r="G1630" i="116"/>
  <c r="F1630" i="116"/>
  <c r="E1630" i="116"/>
  <c r="D1630" i="116"/>
  <c r="C1630" i="116"/>
  <c r="B1630" i="116"/>
  <c r="K1629" i="116"/>
  <c r="J1629" i="116"/>
  <c r="I1629" i="116"/>
  <c r="H1629" i="116"/>
  <c r="G1629" i="116"/>
  <c r="F1629" i="116"/>
  <c r="E1629" i="116"/>
  <c r="D1629" i="116"/>
  <c r="C1629" i="116"/>
  <c r="B1629" i="116"/>
  <c r="K1628" i="116"/>
  <c r="J1628" i="116"/>
  <c r="I1628" i="116"/>
  <c r="H1628" i="116"/>
  <c r="G1628" i="116"/>
  <c r="F1628" i="116"/>
  <c r="E1628" i="116"/>
  <c r="D1628" i="116"/>
  <c r="C1628" i="116"/>
  <c r="B1628" i="116"/>
  <c r="K1627" i="116"/>
  <c r="J1627" i="116"/>
  <c r="I1627" i="116"/>
  <c r="H1627" i="116"/>
  <c r="G1627" i="116"/>
  <c r="F1627" i="116"/>
  <c r="E1627" i="116"/>
  <c r="D1627" i="116"/>
  <c r="C1627" i="116"/>
  <c r="B1627" i="116"/>
  <c r="K1626" i="116"/>
  <c r="J1626" i="116"/>
  <c r="I1626" i="116"/>
  <c r="H1626" i="116"/>
  <c r="G1626" i="116"/>
  <c r="F1626" i="116"/>
  <c r="E1626" i="116"/>
  <c r="D1626" i="116"/>
  <c r="C1626" i="116"/>
  <c r="B1626" i="116"/>
  <c r="K1625" i="116"/>
  <c r="J1625" i="116"/>
  <c r="I1625" i="116"/>
  <c r="H1625" i="116"/>
  <c r="G1625" i="116"/>
  <c r="F1625" i="116"/>
  <c r="E1625" i="116"/>
  <c r="D1625" i="116"/>
  <c r="C1625" i="116"/>
  <c r="B1625" i="116"/>
  <c r="K1624" i="116"/>
  <c r="J1624" i="116"/>
  <c r="I1624" i="116"/>
  <c r="H1624" i="116"/>
  <c r="G1624" i="116"/>
  <c r="F1624" i="116"/>
  <c r="E1624" i="116"/>
  <c r="D1624" i="116"/>
  <c r="C1624" i="116"/>
  <c r="B1624" i="116"/>
  <c r="K1623" i="116"/>
  <c r="J1623" i="116"/>
  <c r="I1623" i="116"/>
  <c r="H1623" i="116"/>
  <c r="G1623" i="116"/>
  <c r="F1623" i="116"/>
  <c r="E1623" i="116"/>
  <c r="D1623" i="116"/>
  <c r="C1623" i="116"/>
  <c r="B1623" i="116"/>
  <c r="K1622" i="116"/>
  <c r="J1622" i="116"/>
  <c r="I1622" i="116"/>
  <c r="H1622" i="116"/>
  <c r="G1622" i="116"/>
  <c r="F1622" i="116"/>
  <c r="E1622" i="116"/>
  <c r="D1622" i="116"/>
  <c r="C1622" i="116"/>
  <c r="B1622" i="116"/>
  <c r="K1621" i="116"/>
  <c r="J1621" i="116"/>
  <c r="I1621" i="116"/>
  <c r="H1621" i="116"/>
  <c r="G1621" i="116"/>
  <c r="F1621" i="116"/>
  <c r="E1621" i="116"/>
  <c r="D1621" i="116"/>
  <c r="C1621" i="116"/>
  <c r="B1621" i="116"/>
  <c r="K1620" i="116"/>
  <c r="J1620" i="116"/>
  <c r="I1620" i="116"/>
  <c r="H1620" i="116"/>
  <c r="G1620" i="116"/>
  <c r="F1620" i="116"/>
  <c r="E1620" i="116"/>
  <c r="D1620" i="116"/>
  <c r="C1620" i="116"/>
  <c r="B1620" i="116"/>
  <c r="K1619" i="116"/>
  <c r="J1619" i="116"/>
  <c r="I1619" i="116"/>
  <c r="H1619" i="116"/>
  <c r="G1619" i="116"/>
  <c r="F1619" i="116"/>
  <c r="E1619" i="116"/>
  <c r="D1619" i="116"/>
  <c r="C1619" i="116"/>
  <c r="B1619" i="116"/>
  <c r="K1618" i="116"/>
  <c r="J1618" i="116"/>
  <c r="I1618" i="116"/>
  <c r="H1618" i="116"/>
  <c r="G1618" i="116"/>
  <c r="F1618" i="116"/>
  <c r="E1618" i="116"/>
  <c r="D1618" i="116"/>
  <c r="C1618" i="116"/>
  <c r="B1618" i="116"/>
  <c r="K1617" i="116"/>
  <c r="J1617" i="116"/>
  <c r="I1617" i="116"/>
  <c r="H1617" i="116"/>
  <c r="G1617" i="116"/>
  <c r="F1617" i="116"/>
  <c r="E1617" i="116"/>
  <c r="D1617" i="116"/>
  <c r="C1617" i="116"/>
  <c r="B1617" i="116"/>
  <c r="K1616" i="116"/>
  <c r="J1616" i="116"/>
  <c r="I1616" i="116"/>
  <c r="H1616" i="116"/>
  <c r="G1616" i="116"/>
  <c r="F1616" i="116"/>
  <c r="E1616" i="116"/>
  <c r="D1616" i="116"/>
  <c r="C1616" i="116"/>
  <c r="B1616" i="116"/>
  <c r="K1615" i="116"/>
  <c r="J1615" i="116"/>
  <c r="I1615" i="116"/>
  <c r="H1615" i="116"/>
  <c r="G1615" i="116"/>
  <c r="F1615" i="116"/>
  <c r="E1615" i="116"/>
  <c r="D1615" i="116"/>
  <c r="C1615" i="116"/>
  <c r="B1615" i="116"/>
  <c r="K1614" i="116"/>
  <c r="J1614" i="116"/>
  <c r="I1614" i="116"/>
  <c r="H1614" i="116"/>
  <c r="G1614" i="116"/>
  <c r="F1614" i="116"/>
  <c r="E1614" i="116"/>
  <c r="D1614" i="116"/>
  <c r="C1614" i="116"/>
  <c r="B1614" i="116"/>
  <c r="K1613" i="116"/>
  <c r="J1613" i="116"/>
  <c r="I1613" i="116"/>
  <c r="H1613" i="116"/>
  <c r="G1613" i="116"/>
  <c r="F1613" i="116"/>
  <c r="E1613" i="116"/>
  <c r="D1613" i="116"/>
  <c r="C1613" i="116"/>
  <c r="B1613" i="116"/>
  <c r="K1612" i="116"/>
  <c r="J1612" i="116"/>
  <c r="I1612" i="116"/>
  <c r="H1612" i="116"/>
  <c r="G1612" i="116"/>
  <c r="F1612" i="116"/>
  <c r="E1612" i="116"/>
  <c r="D1612" i="116"/>
  <c r="C1612" i="116"/>
  <c r="B1612" i="116"/>
  <c r="K1611" i="116"/>
  <c r="J1611" i="116"/>
  <c r="I1611" i="116"/>
  <c r="H1611" i="116"/>
  <c r="G1611" i="116"/>
  <c r="F1611" i="116"/>
  <c r="E1611" i="116"/>
  <c r="D1611" i="116"/>
  <c r="C1611" i="116"/>
  <c r="B1611" i="116"/>
  <c r="K1610" i="116"/>
  <c r="J1610" i="116"/>
  <c r="I1610" i="116"/>
  <c r="H1610" i="116"/>
  <c r="G1610" i="116"/>
  <c r="F1610" i="116"/>
  <c r="E1610" i="116"/>
  <c r="D1610" i="116"/>
  <c r="C1610" i="116"/>
  <c r="B1610" i="116"/>
  <c r="K1609" i="116"/>
  <c r="J1609" i="116"/>
  <c r="I1609" i="116"/>
  <c r="H1609" i="116"/>
  <c r="G1609" i="116"/>
  <c r="F1609" i="116"/>
  <c r="E1609" i="116"/>
  <c r="D1609" i="116"/>
  <c r="C1609" i="116"/>
  <c r="B1609" i="116"/>
  <c r="K1608" i="116"/>
  <c r="J1608" i="116"/>
  <c r="I1608" i="116"/>
  <c r="H1608" i="116"/>
  <c r="G1608" i="116"/>
  <c r="F1608" i="116"/>
  <c r="E1608" i="116"/>
  <c r="D1608" i="116"/>
  <c r="C1608" i="116"/>
  <c r="B1608" i="116"/>
  <c r="K1607" i="116"/>
  <c r="J1607" i="116"/>
  <c r="I1607" i="116"/>
  <c r="H1607" i="116"/>
  <c r="G1607" i="116"/>
  <c r="F1607" i="116"/>
  <c r="E1607" i="116"/>
  <c r="D1607" i="116"/>
  <c r="C1607" i="116"/>
  <c r="B1607" i="116"/>
  <c r="K1606" i="116"/>
  <c r="J1606" i="116"/>
  <c r="I1606" i="116"/>
  <c r="H1606" i="116"/>
  <c r="G1606" i="116"/>
  <c r="F1606" i="116"/>
  <c r="E1606" i="116"/>
  <c r="D1606" i="116"/>
  <c r="C1606" i="116"/>
  <c r="B1606" i="116"/>
  <c r="K1605" i="116"/>
  <c r="J1605" i="116"/>
  <c r="I1605" i="116"/>
  <c r="H1605" i="116"/>
  <c r="G1605" i="116"/>
  <c r="F1605" i="116"/>
  <c r="E1605" i="116"/>
  <c r="D1605" i="116"/>
  <c r="C1605" i="116"/>
  <c r="B1605" i="116"/>
  <c r="K1604" i="116"/>
  <c r="J1604" i="116"/>
  <c r="I1604" i="116"/>
  <c r="H1604" i="116"/>
  <c r="G1604" i="116"/>
  <c r="F1604" i="116"/>
  <c r="E1604" i="116"/>
  <c r="D1604" i="116"/>
  <c r="C1604" i="116"/>
  <c r="B1604" i="116"/>
  <c r="K1603" i="116"/>
  <c r="J1603" i="116"/>
  <c r="I1603" i="116"/>
  <c r="H1603" i="116"/>
  <c r="G1603" i="116"/>
  <c r="F1603" i="116"/>
  <c r="E1603" i="116"/>
  <c r="D1603" i="116"/>
  <c r="C1603" i="116"/>
  <c r="B1603" i="116"/>
  <c r="K1602" i="116"/>
  <c r="J1602" i="116"/>
  <c r="I1602" i="116"/>
  <c r="H1602" i="116"/>
  <c r="G1602" i="116"/>
  <c r="F1602" i="116"/>
  <c r="E1602" i="116"/>
  <c r="D1602" i="116"/>
  <c r="C1602" i="116"/>
  <c r="B1602" i="116"/>
  <c r="K1601" i="116"/>
  <c r="J1601" i="116"/>
  <c r="I1601" i="116"/>
  <c r="H1601" i="116"/>
  <c r="G1601" i="116"/>
  <c r="F1601" i="116"/>
  <c r="E1601" i="116"/>
  <c r="D1601" i="116"/>
  <c r="C1601" i="116"/>
  <c r="B1601" i="116"/>
  <c r="K1600" i="116"/>
  <c r="J1600" i="116"/>
  <c r="I1600" i="116"/>
  <c r="H1600" i="116"/>
  <c r="G1600" i="116"/>
  <c r="F1600" i="116"/>
  <c r="E1600" i="116"/>
  <c r="D1600" i="116"/>
  <c r="C1600" i="116"/>
  <c r="B1600" i="116"/>
  <c r="K1599" i="116"/>
  <c r="J1599" i="116"/>
  <c r="I1599" i="116"/>
  <c r="H1599" i="116"/>
  <c r="G1599" i="116"/>
  <c r="F1599" i="116"/>
  <c r="E1599" i="116"/>
  <c r="D1599" i="116"/>
  <c r="C1599" i="116"/>
  <c r="B1599" i="116"/>
  <c r="K1598" i="116"/>
  <c r="J1598" i="116"/>
  <c r="I1598" i="116"/>
  <c r="H1598" i="116"/>
  <c r="G1598" i="116"/>
  <c r="F1598" i="116"/>
  <c r="E1598" i="116"/>
  <c r="D1598" i="116"/>
  <c r="C1598" i="116"/>
  <c r="B1598" i="116"/>
  <c r="K1597" i="116"/>
  <c r="J1597" i="116"/>
  <c r="I1597" i="116"/>
  <c r="H1597" i="116"/>
  <c r="G1597" i="116"/>
  <c r="F1597" i="116"/>
  <c r="E1597" i="116"/>
  <c r="D1597" i="116"/>
  <c r="C1597" i="116"/>
  <c r="B1597" i="116"/>
  <c r="K1596" i="116"/>
  <c r="J1596" i="116"/>
  <c r="I1596" i="116"/>
  <c r="H1596" i="116"/>
  <c r="G1596" i="116"/>
  <c r="F1596" i="116"/>
  <c r="E1596" i="116"/>
  <c r="D1596" i="116"/>
  <c r="C1596" i="116"/>
  <c r="B1596" i="116"/>
  <c r="K1595" i="116"/>
  <c r="J1595" i="116"/>
  <c r="I1595" i="116"/>
  <c r="H1595" i="116"/>
  <c r="G1595" i="116"/>
  <c r="F1595" i="116"/>
  <c r="E1595" i="116"/>
  <c r="D1595" i="116"/>
  <c r="C1595" i="116"/>
  <c r="B1595" i="116"/>
  <c r="K1594" i="116"/>
  <c r="J1594" i="116"/>
  <c r="I1594" i="116"/>
  <c r="H1594" i="116"/>
  <c r="G1594" i="116"/>
  <c r="F1594" i="116"/>
  <c r="E1594" i="116"/>
  <c r="D1594" i="116"/>
  <c r="C1594" i="116"/>
  <c r="B1594" i="116"/>
  <c r="K1593" i="116"/>
  <c r="J1593" i="116"/>
  <c r="I1593" i="116"/>
  <c r="H1593" i="116"/>
  <c r="G1593" i="116"/>
  <c r="F1593" i="116"/>
  <c r="E1593" i="116"/>
  <c r="D1593" i="116"/>
  <c r="C1593" i="116"/>
  <c r="B1593" i="116"/>
  <c r="K1592" i="116"/>
  <c r="J1592" i="116"/>
  <c r="I1592" i="116"/>
  <c r="H1592" i="116"/>
  <c r="G1592" i="116"/>
  <c r="F1592" i="116"/>
  <c r="E1592" i="116"/>
  <c r="D1592" i="116"/>
  <c r="C1592" i="116"/>
  <c r="B1592" i="116"/>
  <c r="K1591" i="116"/>
  <c r="J1591" i="116"/>
  <c r="I1591" i="116"/>
  <c r="H1591" i="116"/>
  <c r="G1591" i="116"/>
  <c r="F1591" i="116"/>
  <c r="E1591" i="116"/>
  <c r="D1591" i="116"/>
  <c r="C1591" i="116"/>
  <c r="B1591" i="116"/>
  <c r="K1590" i="116"/>
  <c r="J1590" i="116"/>
  <c r="I1590" i="116"/>
  <c r="H1590" i="116"/>
  <c r="G1590" i="116"/>
  <c r="F1590" i="116"/>
  <c r="E1590" i="116"/>
  <c r="D1590" i="116"/>
  <c r="C1590" i="116"/>
  <c r="B1590" i="116"/>
  <c r="K1589" i="116"/>
  <c r="J1589" i="116"/>
  <c r="I1589" i="116"/>
  <c r="H1589" i="116"/>
  <c r="G1589" i="116"/>
  <c r="F1589" i="116"/>
  <c r="E1589" i="116"/>
  <c r="D1589" i="116"/>
  <c r="C1589" i="116"/>
  <c r="B1589" i="116"/>
  <c r="K1588" i="116"/>
  <c r="J1588" i="116"/>
  <c r="I1588" i="116"/>
  <c r="H1588" i="116"/>
  <c r="G1588" i="116"/>
  <c r="F1588" i="116"/>
  <c r="E1588" i="116"/>
  <c r="D1588" i="116"/>
  <c r="C1588" i="116"/>
  <c r="B1588" i="116"/>
  <c r="K1587" i="116"/>
  <c r="J1587" i="116"/>
  <c r="I1587" i="116"/>
  <c r="H1587" i="116"/>
  <c r="G1587" i="116"/>
  <c r="F1587" i="116"/>
  <c r="E1587" i="116"/>
  <c r="D1587" i="116"/>
  <c r="C1587" i="116"/>
  <c r="B1587" i="116"/>
  <c r="K1586" i="116"/>
  <c r="J1586" i="116"/>
  <c r="I1586" i="116"/>
  <c r="H1586" i="116"/>
  <c r="G1586" i="116"/>
  <c r="F1586" i="116"/>
  <c r="E1586" i="116"/>
  <c r="D1586" i="116"/>
  <c r="C1586" i="116"/>
  <c r="B1586" i="116"/>
  <c r="K1585" i="116"/>
  <c r="J1585" i="116"/>
  <c r="I1585" i="116"/>
  <c r="H1585" i="116"/>
  <c r="G1585" i="116"/>
  <c r="F1585" i="116"/>
  <c r="E1585" i="116"/>
  <c r="D1585" i="116"/>
  <c r="C1585" i="116"/>
  <c r="B1585" i="116"/>
  <c r="K1584" i="116"/>
  <c r="J1584" i="116"/>
  <c r="I1584" i="116"/>
  <c r="H1584" i="116"/>
  <c r="G1584" i="116"/>
  <c r="F1584" i="116"/>
  <c r="E1584" i="116"/>
  <c r="D1584" i="116"/>
  <c r="C1584" i="116"/>
  <c r="B1584" i="116"/>
  <c r="K1583" i="116"/>
  <c r="J1583" i="116"/>
  <c r="I1583" i="116"/>
  <c r="H1583" i="116"/>
  <c r="G1583" i="116"/>
  <c r="F1583" i="116"/>
  <c r="E1583" i="116"/>
  <c r="D1583" i="116"/>
  <c r="C1583" i="116"/>
  <c r="B1583" i="116"/>
  <c r="K1582" i="116"/>
  <c r="J1582" i="116"/>
  <c r="I1582" i="116"/>
  <c r="H1582" i="116"/>
  <c r="G1582" i="116"/>
  <c r="F1582" i="116"/>
  <c r="E1582" i="116"/>
  <c r="D1582" i="116"/>
  <c r="C1582" i="116"/>
  <c r="B1582" i="116"/>
  <c r="K1581" i="116"/>
  <c r="J1581" i="116"/>
  <c r="I1581" i="116"/>
  <c r="H1581" i="116"/>
  <c r="G1581" i="116"/>
  <c r="F1581" i="116"/>
  <c r="E1581" i="116"/>
  <c r="D1581" i="116"/>
  <c r="C1581" i="116"/>
  <c r="B1581" i="116"/>
  <c r="K1580" i="116"/>
  <c r="J1580" i="116"/>
  <c r="I1580" i="116"/>
  <c r="H1580" i="116"/>
  <c r="G1580" i="116"/>
  <c r="F1580" i="116"/>
  <c r="E1580" i="116"/>
  <c r="D1580" i="116"/>
  <c r="C1580" i="116"/>
  <c r="B1580" i="116"/>
  <c r="K1579" i="116"/>
  <c r="J1579" i="116"/>
  <c r="I1579" i="116"/>
  <c r="H1579" i="116"/>
  <c r="G1579" i="116"/>
  <c r="F1579" i="116"/>
  <c r="E1579" i="116"/>
  <c r="D1579" i="116"/>
  <c r="C1579" i="116"/>
  <c r="B1579" i="116"/>
  <c r="K1578" i="116"/>
  <c r="J1578" i="116"/>
  <c r="I1578" i="116"/>
  <c r="H1578" i="116"/>
  <c r="G1578" i="116"/>
  <c r="F1578" i="116"/>
  <c r="E1578" i="116"/>
  <c r="D1578" i="116"/>
  <c r="C1578" i="116"/>
  <c r="B1578" i="116"/>
  <c r="K1577" i="116"/>
  <c r="J1577" i="116"/>
  <c r="I1577" i="116"/>
  <c r="H1577" i="116"/>
  <c r="G1577" i="116"/>
  <c r="F1577" i="116"/>
  <c r="E1577" i="116"/>
  <c r="D1577" i="116"/>
  <c r="C1577" i="116"/>
  <c r="B1577" i="116"/>
  <c r="K1576" i="116"/>
  <c r="J1576" i="116"/>
  <c r="I1576" i="116"/>
  <c r="H1576" i="116"/>
  <c r="G1576" i="116"/>
  <c r="F1576" i="116"/>
  <c r="E1576" i="116"/>
  <c r="D1576" i="116"/>
  <c r="C1576" i="116"/>
  <c r="B1576" i="116"/>
  <c r="K1575" i="116"/>
  <c r="J1575" i="116"/>
  <c r="I1575" i="116"/>
  <c r="H1575" i="116"/>
  <c r="G1575" i="116"/>
  <c r="F1575" i="116"/>
  <c r="E1575" i="116"/>
  <c r="D1575" i="116"/>
  <c r="C1575" i="116"/>
  <c r="B1575" i="116"/>
  <c r="K1574" i="116"/>
  <c r="J1574" i="116"/>
  <c r="I1574" i="116"/>
  <c r="H1574" i="116"/>
  <c r="G1574" i="116"/>
  <c r="F1574" i="116"/>
  <c r="E1574" i="116"/>
  <c r="D1574" i="116"/>
  <c r="C1574" i="116"/>
  <c r="B1574" i="116"/>
  <c r="K1573" i="116"/>
  <c r="J1573" i="116"/>
  <c r="I1573" i="116"/>
  <c r="H1573" i="116"/>
  <c r="G1573" i="116"/>
  <c r="F1573" i="116"/>
  <c r="E1573" i="116"/>
  <c r="D1573" i="116"/>
  <c r="C1573" i="116"/>
  <c r="B1573" i="116"/>
  <c r="K1572" i="116"/>
  <c r="J1572" i="116"/>
  <c r="I1572" i="116"/>
  <c r="H1572" i="116"/>
  <c r="G1572" i="116"/>
  <c r="F1572" i="116"/>
  <c r="E1572" i="116"/>
  <c r="D1572" i="116"/>
  <c r="C1572" i="116"/>
  <c r="B1572" i="116"/>
  <c r="K1571" i="116"/>
  <c r="J1571" i="116"/>
  <c r="I1571" i="116"/>
  <c r="H1571" i="116"/>
  <c r="G1571" i="116"/>
  <c r="F1571" i="116"/>
  <c r="E1571" i="116"/>
  <c r="D1571" i="116"/>
  <c r="C1571" i="116"/>
  <c r="B1571" i="116"/>
  <c r="K1570" i="116"/>
  <c r="J1570" i="116"/>
  <c r="I1570" i="116"/>
  <c r="H1570" i="116"/>
  <c r="G1570" i="116"/>
  <c r="F1570" i="116"/>
  <c r="E1570" i="116"/>
  <c r="D1570" i="116"/>
  <c r="C1570" i="116"/>
  <c r="B1570" i="116"/>
  <c r="K1569" i="116"/>
  <c r="J1569" i="116"/>
  <c r="I1569" i="116"/>
  <c r="H1569" i="116"/>
  <c r="G1569" i="116"/>
  <c r="F1569" i="116"/>
  <c r="E1569" i="116"/>
  <c r="D1569" i="116"/>
  <c r="C1569" i="116"/>
  <c r="B1569" i="116"/>
  <c r="K1568" i="116"/>
  <c r="J1568" i="116"/>
  <c r="I1568" i="116"/>
  <c r="H1568" i="116"/>
  <c r="G1568" i="116"/>
  <c r="F1568" i="116"/>
  <c r="E1568" i="116"/>
  <c r="D1568" i="116"/>
  <c r="C1568" i="116"/>
  <c r="B1568" i="116"/>
  <c r="K1567" i="116"/>
  <c r="J1567" i="116"/>
  <c r="I1567" i="116"/>
  <c r="H1567" i="116"/>
  <c r="G1567" i="116"/>
  <c r="F1567" i="116"/>
  <c r="E1567" i="116"/>
  <c r="D1567" i="116"/>
  <c r="C1567" i="116"/>
  <c r="B1567" i="116"/>
  <c r="K1566" i="116"/>
  <c r="J1566" i="116"/>
  <c r="I1566" i="116"/>
  <c r="H1566" i="116"/>
  <c r="G1566" i="116"/>
  <c r="F1566" i="116"/>
  <c r="E1566" i="116"/>
  <c r="D1566" i="116"/>
  <c r="C1566" i="116"/>
  <c r="B1566" i="116"/>
  <c r="K1565" i="116"/>
  <c r="J1565" i="116"/>
  <c r="I1565" i="116"/>
  <c r="H1565" i="116"/>
  <c r="G1565" i="116"/>
  <c r="F1565" i="116"/>
  <c r="E1565" i="116"/>
  <c r="D1565" i="116"/>
  <c r="C1565" i="116"/>
  <c r="B1565" i="116"/>
  <c r="K1564" i="116"/>
  <c r="J1564" i="116"/>
  <c r="I1564" i="116"/>
  <c r="H1564" i="116"/>
  <c r="G1564" i="116"/>
  <c r="F1564" i="116"/>
  <c r="E1564" i="116"/>
  <c r="D1564" i="116"/>
  <c r="C1564" i="116"/>
  <c r="B1564" i="116"/>
  <c r="K1563" i="116"/>
  <c r="J1563" i="116"/>
  <c r="I1563" i="116"/>
  <c r="H1563" i="116"/>
  <c r="G1563" i="116"/>
  <c r="F1563" i="116"/>
  <c r="E1563" i="116"/>
  <c r="D1563" i="116"/>
  <c r="C1563" i="116"/>
  <c r="B1563" i="116"/>
  <c r="K1562" i="116"/>
  <c r="J1562" i="116"/>
  <c r="I1562" i="116"/>
  <c r="H1562" i="116"/>
  <c r="G1562" i="116"/>
  <c r="F1562" i="116"/>
  <c r="E1562" i="116"/>
  <c r="D1562" i="116"/>
  <c r="C1562" i="116"/>
  <c r="B1562" i="116"/>
  <c r="K1561" i="116"/>
  <c r="J1561" i="116"/>
  <c r="I1561" i="116"/>
  <c r="H1561" i="116"/>
  <c r="G1561" i="116"/>
  <c r="F1561" i="116"/>
  <c r="E1561" i="116"/>
  <c r="D1561" i="116"/>
  <c r="C1561" i="116"/>
  <c r="B1561" i="116"/>
  <c r="K1560" i="116"/>
  <c r="J1560" i="116"/>
  <c r="I1560" i="116"/>
  <c r="H1560" i="116"/>
  <c r="G1560" i="116"/>
  <c r="F1560" i="116"/>
  <c r="E1560" i="116"/>
  <c r="D1560" i="116"/>
  <c r="C1560" i="116"/>
  <c r="B1560" i="116"/>
  <c r="K1559" i="116"/>
  <c r="J1559" i="116"/>
  <c r="I1559" i="116"/>
  <c r="H1559" i="116"/>
  <c r="G1559" i="116"/>
  <c r="F1559" i="116"/>
  <c r="E1559" i="116"/>
  <c r="D1559" i="116"/>
  <c r="C1559" i="116"/>
  <c r="B1559" i="116"/>
  <c r="K1558" i="116"/>
  <c r="J1558" i="116"/>
  <c r="I1558" i="116"/>
  <c r="H1558" i="116"/>
  <c r="G1558" i="116"/>
  <c r="F1558" i="116"/>
  <c r="E1558" i="116"/>
  <c r="D1558" i="116"/>
  <c r="C1558" i="116"/>
  <c r="B1558" i="116"/>
  <c r="K1557" i="116"/>
  <c r="J1557" i="116"/>
  <c r="I1557" i="116"/>
  <c r="H1557" i="116"/>
  <c r="G1557" i="116"/>
  <c r="F1557" i="116"/>
  <c r="E1557" i="116"/>
  <c r="D1557" i="116"/>
  <c r="C1557" i="116"/>
  <c r="B1557" i="116"/>
  <c r="K1556" i="116"/>
  <c r="J1556" i="116"/>
  <c r="I1556" i="116"/>
  <c r="H1556" i="116"/>
  <c r="G1556" i="116"/>
  <c r="F1556" i="116"/>
  <c r="E1556" i="116"/>
  <c r="D1556" i="116"/>
  <c r="C1556" i="116"/>
  <c r="B1556" i="116"/>
  <c r="K1555" i="116"/>
  <c r="J1555" i="116"/>
  <c r="I1555" i="116"/>
  <c r="H1555" i="116"/>
  <c r="G1555" i="116"/>
  <c r="F1555" i="116"/>
  <c r="E1555" i="116"/>
  <c r="D1555" i="116"/>
  <c r="C1555" i="116"/>
  <c r="B1555" i="116"/>
  <c r="K1554" i="116"/>
  <c r="J1554" i="116"/>
  <c r="I1554" i="116"/>
  <c r="H1554" i="116"/>
  <c r="G1554" i="116"/>
  <c r="F1554" i="116"/>
  <c r="E1554" i="116"/>
  <c r="D1554" i="116"/>
  <c r="C1554" i="116"/>
  <c r="B1554" i="116"/>
  <c r="K1553" i="116"/>
  <c r="J1553" i="116"/>
  <c r="I1553" i="116"/>
  <c r="H1553" i="116"/>
  <c r="G1553" i="116"/>
  <c r="F1553" i="116"/>
  <c r="E1553" i="116"/>
  <c r="D1553" i="116"/>
  <c r="C1553" i="116"/>
  <c r="B1553" i="116"/>
  <c r="K1552" i="116"/>
  <c r="J1552" i="116"/>
  <c r="I1552" i="116"/>
  <c r="H1552" i="116"/>
  <c r="G1552" i="116"/>
  <c r="F1552" i="116"/>
  <c r="E1552" i="116"/>
  <c r="D1552" i="116"/>
  <c r="C1552" i="116"/>
  <c r="B1552" i="116"/>
  <c r="K1551" i="116"/>
  <c r="J1551" i="116"/>
  <c r="I1551" i="116"/>
  <c r="H1551" i="116"/>
  <c r="G1551" i="116"/>
  <c r="F1551" i="116"/>
  <c r="E1551" i="116"/>
  <c r="D1551" i="116"/>
  <c r="C1551" i="116"/>
  <c r="B1551" i="116"/>
  <c r="K1550" i="116"/>
  <c r="J1550" i="116"/>
  <c r="I1550" i="116"/>
  <c r="H1550" i="116"/>
  <c r="G1550" i="116"/>
  <c r="F1550" i="116"/>
  <c r="E1550" i="116"/>
  <c r="D1550" i="116"/>
  <c r="C1550" i="116"/>
  <c r="B1550" i="116"/>
  <c r="K1549" i="116"/>
  <c r="J1549" i="116"/>
  <c r="I1549" i="116"/>
  <c r="H1549" i="116"/>
  <c r="G1549" i="116"/>
  <c r="F1549" i="116"/>
  <c r="E1549" i="116"/>
  <c r="D1549" i="116"/>
  <c r="C1549" i="116"/>
  <c r="B1549" i="116"/>
  <c r="K1548" i="116"/>
  <c r="J1548" i="116"/>
  <c r="I1548" i="116"/>
  <c r="H1548" i="116"/>
  <c r="G1548" i="116"/>
  <c r="F1548" i="116"/>
  <c r="E1548" i="116"/>
  <c r="D1548" i="116"/>
  <c r="C1548" i="116"/>
  <c r="B1548" i="116"/>
  <c r="K1547" i="116"/>
  <c r="J1547" i="116"/>
  <c r="I1547" i="116"/>
  <c r="H1547" i="116"/>
  <c r="G1547" i="116"/>
  <c r="F1547" i="116"/>
  <c r="E1547" i="116"/>
  <c r="D1547" i="116"/>
  <c r="C1547" i="116"/>
  <c r="B1547" i="116"/>
  <c r="K1546" i="116"/>
  <c r="J1546" i="116"/>
  <c r="I1546" i="116"/>
  <c r="H1546" i="116"/>
  <c r="G1546" i="116"/>
  <c r="F1546" i="116"/>
  <c r="E1546" i="116"/>
  <c r="D1546" i="116"/>
  <c r="C1546" i="116"/>
  <c r="B1546" i="116"/>
  <c r="K1545" i="116"/>
  <c r="J1545" i="116"/>
  <c r="I1545" i="116"/>
  <c r="H1545" i="116"/>
  <c r="G1545" i="116"/>
  <c r="F1545" i="116"/>
  <c r="E1545" i="116"/>
  <c r="D1545" i="116"/>
  <c r="C1545" i="116"/>
  <c r="B1545" i="116"/>
  <c r="K1544" i="116"/>
  <c r="J1544" i="116"/>
  <c r="I1544" i="116"/>
  <c r="H1544" i="116"/>
  <c r="G1544" i="116"/>
  <c r="F1544" i="116"/>
  <c r="E1544" i="116"/>
  <c r="D1544" i="116"/>
  <c r="C1544" i="116"/>
  <c r="B1544" i="116"/>
  <c r="K1543" i="116"/>
  <c r="J1543" i="116"/>
  <c r="I1543" i="116"/>
  <c r="H1543" i="116"/>
  <c r="G1543" i="116"/>
  <c r="F1543" i="116"/>
  <c r="E1543" i="116"/>
  <c r="D1543" i="116"/>
  <c r="C1543" i="116"/>
  <c r="B1543" i="116"/>
  <c r="K1542" i="116"/>
  <c r="J1542" i="116"/>
  <c r="I1542" i="116"/>
  <c r="H1542" i="116"/>
  <c r="G1542" i="116"/>
  <c r="F1542" i="116"/>
  <c r="E1542" i="116"/>
  <c r="D1542" i="116"/>
  <c r="C1542" i="116"/>
  <c r="B1542" i="116"/>
  <c r="K1541" i="116"/>
  <c r="J1541" i="116"/>
  <c r="I1541" i="116"/>
  <c r="H1541" i="116"/>
  <c r="G1541" i="116"/>
  <c r="F1541" i="116"/>
  <c r="E1541" i="116"/>
  <c r="D1541" i="116"/>
  <c r="C1541" i="116"/>
  <c r="B1541" i="116"/>
  <c r="K1540" i="116"/>
  <c r="J1540" i="116"/>
  <c r="I1540" i="116"/>
  <c r="H1540" i="116"/>
  <c r="G1540" i="116"/>
  <c r="F1540" i="116"/>
  <c r="E1540" i="116"/>
  <c r="D1540" i="116"/>
  <c r="C1540" i="116"/>
  <c r="B1540" i="116"/>
  <c r="K1539" i="116"/>
  <c r="J1539" i="116"/>
  <c r="I1539" i="116"/>
  <c r="H1539" i="116"/>
  <c r="G1539" i="116"/>
  <c r="F1539" i="116"/>
  <c r="E1539" i="116"/>
  <c r="D1539" i="116"/>
  <c r="C1539" i="116"/>
  <c r="B1539" i="116"/>
  <c r="K1538" i="116"/>
  <c r="J1538" i="116"/>
  <c r="I1538" i="116"/>
  <c r="H1538" i="116"/>
  <c r="G1538" i="116"/>
  <c r="F1538" i="116"/>
  <c r="E1538" i="116"/>
  <c r="D1538" i="116"/>
  <c r="C1538" i="116"/>
  <c r="B1538" i="116"/>
  <c r="K1537" i="116"/>
  <c r="J1537" i="116"/>
  <c r="I1537" i="116"/>
  <c r="H1537" i="116"/>
  <c r="G1537" i="116"/>
  <c r="F1537" i="116"/>
  <c r="E1537" i="116"/>
  <c r="D1537" i="116"/>
  <c r="C1537" i="116"/>
  <c r="B1537" i="116"/>
  <c r="K1536" i="116"/>
  <c r="J1536" i="116"/>
  <c r="I1536" i="116"/>
  <c r="H1536" i="116"/>
  <c r="G1536" i="116"/>
  <c r="F1536" i="116"/>
  <c r="E1536" i="116"/>
  <c r="D1536" i="116"/>
  <c r="C1536" i="116"/>
  <c r="B1536" i="116"/>
  <c r="K1535" i="116"/>
  <c r="J1535" i="116"/>
  <c r="I1535" i="116"/>
  <c r="H1535" i="116"/>
  <c r="G1535" i="116"/>
  <c r="F1535" i="116"/>
  <c r="E1535" i="116"/>
  <c r="D1535" i="116"/>
  <c r="C1535" i="116"/>
  <c r="B1535" i="116"/>
  <c r="K1534" i="116"/>
  <c r="J1534" i="116"/>
  <c r="I1534" i="116"/>
  <c r="H1534" i="116"/>
  <c r="G1534" i="116"/>
  <c r="F1534" i="116"/>
  <c r="E1534" i="116"/>
  <c r="D1534" i="116"/>
  <c r="C1534" i="116"/>
  <c r="B1534" i="116"/>
  <c r="K1533" i="116"/>
  <c r="J1533" i="116"/>
  <c r="I1533" i="116"/>
  <c r="H1533" i="116"/>
  <c r="G1533" i="116"/>
  <c r="F1533" i="116"/>
  <c r="E1533" i="116"/>
  <c r="D1533" i="116"/>
  <c r="C1533" i="116"/>
  <c r="B1533" i="116"/>
  <c r="K1532" i="116"/>
  <c r="J1532" i="116"/>
  <c r="I1532" i="116"/>
  <c r="H1532" i="116"/>
  <c r="G1532" i="116"/>
  <c r="F1532" i="116"/>
  <c r="E1532" i="116"/>
  <c r="D1532" i="116"/>
  <c r="C1532" i="116"/>
  <c r="B1532" i="116"/>
  <c r="K1531" i="116"/>
  <c r="J1531" i="116"/>
  <c r="I1531" i="116"/>
  <c r="H1531" i="116"/>
  <c r="G1531" i="116"/>
  <c r="F1531" i="116"/>
  <c r="E1531" i="116"/>
  <c r="D1531" i="116"/>
  <c r="C1531" i="116"/>
  <c r="B1531" i="116"/>
  <c r="K1530" i="116"/>
  <c r="J1530" i="116"/>
  <c r="I1530" i="116"/>
  <c r="H1530" i="116"/>
  <c r="G1530" i="116"/>
  <c r="F1530" i="116"/>
  <c r="E1530" i="116"/>
  <c r="D1530" i="116"/>
  <c r="C1530" i="116"/>
  <c r="B1530" i="116"/>
  <c r="K1529" i="116"/>
  <c r="J1529" i="116"/>
  <c r="I1529" i="116"/>
  <c r="H1529" i="116"/>
  <c r="G1529" i="116"/>
  <c r="F1529" i="116"/>
  <c r="E1529" i="116"/>
  <c r="D1529" i="116"/>
  <c r="C1529" i="116"/>
  <c r="B1529" i="116"/>
  <c r="K1528" i="116"/>
  <c r="J1528" i="116"/>
  <c r="I1528" i="116"/>
  <c r="H1528" i="116"/>
  <c r="G1528" i="116"/>
  <c r="F1528" i="116"/>
  <c r="E1528" i="116"/>
  <c r="D1528" i="116"/>
  <c r="C1528" i="116"/>
  <c r="B1528" i="116"/>
  <c r="K1527" i="116"/>
  <c r="J1527" i="116"/>
  <c r="I1527" i="116"/>
  <c r="H1527" i="116"/>
  <c r="G1527" i="116"/>
  <c r="F1527" i="116"/>
  <c r="E1527" i="116"/>
  <c r="D1527" i="116"/>
  <c r="C1527" i="116"/>
  <c r="B1527" i="116"/>
  <c r="K1526" i="116"/>
  <c r="J1526" i="116"/>
  <c r="I1526" i="116"/>
  <c r="H1526" i="116"/>
  <c r="G1526" i="116"/>
  <c r="F1526" i="116"/>
  <c r="E1526" i="116"/>
  <c r="D1526" i="116"/>
  <c r="C1526" i="116"/>
  <c r="B1526" i="116"/>
  <c r="K1525" i="116"/>
  <c r="J1525" i="116"/>
  <c r="I1525" i="116"/>
  <c r="H1525" i="116"/>
  <c r="G1525" i="116"/>
  <c r="F1525" i="116"/>
  <c r="E1525" i="116"/>
  <c r="D1525" i="116"/>
  <c r="C1525" i="116"/>
  <c r="B1525" i="116"/>
  <c r="K1524" i="116"/>
  <c r="J1524" i="116"/>
  <c r="I1524" i="116"/>
  <c r="H1524" i="116"/>
  <c r="G1524" i="116"/>
  <c r="F1524" i="116"/>
  <c r="E1524" i="116"/>
  <c r="D1524" i="116"/>
  <c r="C1524" i="116"/>
  <c r="B1524" i="116"/>
  <c r="K1523" i="116"/>
  <c r="J1523" i="116"/>
  <c r="I1523" i="116"/>
  <c r="H1523" i="116"/>
  <c r="G1523" i="116"/>
  <c r="F1523" i="116"/>
  <c r="E1523" i="116"/>
  <c r="D1523" i="116"/>
  <c r="C1523" i="116"/>
  <c r="B1523" i="116"/>
  <c r="K1522" i="116"/>
  <c r="J1522" i="116"/>
  <c r="I1522" i="116"/>
  <c r="H1522" i="116"/>
  <c r="G1522" i="116"/>
  <c r="F1522" i="116"/>
  <c r="E1522" i="116"/>
  <c r="D1522" i="116"/>
  <c r="C1522" i="116"/>
  <c r="B1522" i="116"/>
  <c r="K1521" i="116"/>
  <c r="J1521" i="116"/>
  <c r="I1521" i="116"/>
  <c r="H1521" i="116"/>
  <c r="G1521" i="116"/>
  <c r="F1521" i="116"/>
  <c r="E1521" i="116"/>
  <c r="D1521" i="116"/>
  <c r="C1521" i="116"/>
  <c r="B1521" i="116"/>
  <c r="K1520" i="116"/>
  <c r="J1520" i="116"/>
  <c r="I1520" i="116"/>
  <c r="H1520" i="116"/>
  <c r="G1520" i="116"/>
  <c r="F1520" i="116"/>
  <c r="E1520" i="116"/>
  <c r="D1520" i="116"/>
  <c r="C1520" i="116"/>
  <c r="B1520" i="116"/>
  <c r="K1519" i="116"/>
  <c r="J1519" i="116"/>
  <c r="I1519" i="116"/>
  <c r="H1519" i="116"/>
  <c r="G1519" i="116"/>
  <c r="F1519" i="116"/>
  <c r="E1519" i="116"/>
  <c r="D1519" i="116"/>
  <c r="C1519" i="116"/>
  <c r="B1519" i="116"/>
  <c r="K1518" i="116"/>
  <c r="J1518" i="116"/>
  <c r="I1518" i="116"/>
  <c r="H1518" i="116"/>
  <c r="G1518" i="116"/>
  <c r="F1518" i="116"/>
  <c r="E1518" i="116"/>
  <c r="D1518" i="116"/>
  <c r="C1518" i="116"/>
  <c r="B1518" i="116"/>
  <c r="K1517" i="116"/>
  <c r="J1517" i="116"/>
  <c r="I1517" i="116"/>
  <c r="H1517" i="116"/>
  <c r="G1517" i="116"/>
  <c r="F1517" i="116"/>
  <c r="E1517" i="116"/>
  <c r="D1517" i="116"/>
  <c r="C1517" i="116"/>
  <c r="B1517" i="116"/>
  <c r="K1516" i="116"/>
  <c r="J1516" i="116"/>
  <c r="I1516" i="116"/>
  <c r="H1516" i="116"/>
  <c r="G1516" i="116"/>
  <c r="F1516" i="116"/>
  <c r="E1516" i="116"/>
  <c r="D1516" i="116"/>
  <c r="C1516" i="116"/>
  <c r="B1516" i="116"/>
  <c r="K1515" i="116"/>
  <c r="J1515" i="116"/>
  <c r="I1515" i="116"/>
  <c r="H1515" i="116"/>
  <c r="G1515" i="116"/>
  <c r="F1515" i="116"/>
  <c r="E1515" i="116"/>
  <c r="D1515" i="116"/>
  <c r="C1515" i="116"/>
  <c r="B1515" i="116"/>
  <c r="K1514" i="116"/>
  <c r="J1514" i="116"/>
  <c r="I1514" i="116"/>
  <c r="H1514" i="116"/>
  <c r="G1514" i="116"/>
  <c r="F1514" i="116"/>
  <c r="E1514" i="116"/>
  <c r="D1514" i="116"/>
  <c r="C1514" i="116"/>
  <c r="B1514" i="116"/>
  <c r="K1513" i="116"/>
  <c r="J1513" i="116"/>
  <c r="I1513" i="116"/>
  <c r="H1513" i="116"/>
  <c r="G1513" i="116"/>
  <c r="F1513" i="116"/>
  <c r="E1513" i="116"/>
  <c r="D1513" i="116"/>
  <c r="C1513" i="116"/>
  <c r="B1513" i="116"/>
  <c r="K1512" i="116"/>
  <c r="J1512" i="116"/>
  <c r="I1512" i="116"/>
  <c r="H1512" i="116"/>
  <c r="G1512" i="116"/>
  <c r="F1512" i="116"/>
  <c r="E1512" i="116"/>
  <c r="D1512" i="116"/>
  <c r="C1512" i="116"/>
  <c r="B1512" i="116"/>
  <c r="K1511" i="116"/>
  <c r="J1511" i="116"/>
  <c r="I1511" i="116"/>
  <c r="H1511" i="116"/>
  <c r="G1511" i="116"/>
  <c r="F1511" i="116"/>
  <c r="E1511" i="116"/>
  <c r="D1511" i="116"/>
  <c r="C1511" i="116"/>
  <c r="B1511" i="116"/>
  <c r="K1510" i="116"/>
  <c r="J1510" i="116"/>
  <c r="I1510" i="116"/>
  <c r="H1510" i="116"/>
  <c r="G1510" i="116"/>
  <c r="F1510" i="116"/>
  <c r="E1510" i="116"/>
  <c r="D1510" i="116"/>
  <c r="C1510" i="116"/>
  <c r="B1510" i="116"/>
  <c r="K1509" i="116"/>
  <c r="J1509" i="116"/>
  <c r="I1509" i="116"/>
  <c r="H1509" i="116"/>
  <c r="G1509" i="116"/>
  <c r="F1509" i="116"/>
  <c r="E1509" i="116"/>
  <c r="D1509" i="116"/>
  <c r="C1509" i="116"/>
  <c r="B1509" i="116"/>
  <c r="K1508" i="116"/>
  <c r="J1508" i="116"/>
  <c r="I1508" i="116"/>
  <c r="H1508" i="116"/>
  <c r="G1508" i="116"/>
  <c r="F1508" i="116"/>
  <c r="E1508" i="116"/>
  <c r="D1508" i="116"/>
  <c r="C1508" i="116"/>
  <c r="B1508" i="116"/>
  <c r="K1507" i="116"/>
  <c r="J1507" i="116"/>
  <c r="I1507" i="116"/>
  <c r="H1507" i="116"/>
  <c r="G1507" i="116"/>
  <c r="F1507" i="116"/>
  <c r="E1507" i="116"/>
  <c r="D1507" i="116"/>
  <c r="C1507" i="116"/>
  <c r="B1507" i="116"/>
  <c r="K1506" i="116"/>
  <c r="J1506" i="116"/>
  <c r="I1506" i="116"/>
  <c r="H1506" i="116"/>
  <c r="G1506" i="116"/>
  <c r="F1506" i="116"/>
  <c r="E1506" i="116"/>
  <c r="D1506" i="116"/>
  <c r="C1506" i="116"/>
  <c r="B1506" i="116"/>
  <c r="K1505" i="116"/>
  <c r="J1505" i="116"/>
  <c r="I1505" i="116"/>
  <c r="H1505" i="116"/>
  <c r="G1505" i="116"/>
  <c r="F1505" i="116"/>
  <c r="E1505" i="116"/>
  <c r="D1505" i="116"/>
  <c r="C1505" i="116"/>
  <c r="B1505" i="116"/>
  <c r="K1504" i="116"/>
  <c r="J1504" i="116"/>
  <c r="I1504" i="116"/>
  <c r="H1504" i="116"/>
  <c r="G1504" i="116"/>
  <c r="F1504" i="116"/>
  <c r="E1504" i="116"/>
  <c r="D1504" i="116"/>
  <c r="C1504" i="116"/>
  <c r="B1504" i="116"/>
  <c r="K1503" i="116"/>
  <c r="J1503" i="116"/>
  <c r="I1503" i="116"/>
  <c r="H1503" i="116"/>
  <c r="G1503" i="116"/>
  <c r="F1503" i="116"/>
  <c r="E1503" i="116"/>
  <c r="D1503" i="116"/>
  <c r="C1503" i="116"/>
  <c r="B1503" i="116"/>
  <c r="K1502" i="116"/>
  <c r="J1502" i="116"/>
  <c r="I1502" i="116"/>
  <c r="H1502" i="116"/>
  <c r="G1502" i="116"/>
  <c r="F1502" i="116"/>
  <c r="E1502" i="116"/>
  <c r="D1502" i="116"/>
  <c r="C1502" i="116"/>
  <c r="B1502" i="116"/>
  <c r="K1501" i="116"/>
  <c r="J1501" i="116"/>
  <c r="I1501" i="116"/>
  <c r="H1501" i="116"/>
  <c r="G1501" i="116"/>
  <c r="F1501" i="116"/>
  <c r="E1501" i="116"/>
  <c r="D1501" i="116"/>
  <c r="C1501" i="116"/>
  <c r="B1501" i="116"/>
  <c r="K1500" i="116"/>
  <c r="J1500" i="116"/>
  <c r="I1500" i="116"/>
  <c r="H1500" i="116"/>
  <c r="G1500" i="116"/>
  <c r="F1500" i="116"/>
  <c r="E1500" i="116"/>
  <c r="D1500" i="116"/>
  <c r="C1500" i="116"/>
  <c r="B1500" i="116"/>
  <c r="K1499" i="116"/>
  <c r="J1499" i="116"/>
  <c r="I1499" i="116"/>
  <c r="H1499" i="116"/>
  <c r="G1499" i="116"/>
  <c r="F1499" i="116"/>
  <c r="E1499" i="116"/>
  <c r="D1499" i="116"/>
  <c r="C1499" i="116"/>
  <c r="B1499" i="116"/>
  <c r="K1498" i="116"/>
  <c r="J1498" i="116"/>
  <c r="I1498" i="116"/>
  <c r="H1498" i="116"/>
  <c r="G1498" i="116"/>
  <c r="F1498" i="116"/>
  <c r="E1498" i="116"/>
  <c r="D1498" i="116"/>
  <c r="C1498" i="116"/>
  <c r="B1498" i="116"/>
  <c r="K1497" i="116"/>
  <c r="J1497" i="116"/>
  <c r="I1497" i="116"/>
  <c r="H1497" i="116"/>
  <c r="G1497" i="116"/>
  <c r="F1497" i="116"/>
  <c r="E1497" i="116"/>
  <c r="D1497" i="116"/>
  <c r="C1497" i="116"/>
  <c r="B1497" i="116"/>
  <c r="K1496" i="116"/>
  <c r="J1496" i="116"/>
  <c r="I1496" i="116"/>
  <c r="H1496" i="116"/>
  <c r="G1496" i="116"/>
  <c r="F1496" i="116"/>
  <c r="E1496" i="116"/>
  <c r="D1496" i="116"/>
  <c r="C1496" i="116"/>
  <c r="B1496" i="116"/>
  <c r="K1495" i="116"/>
  <c r="J1495" i="116"/>
  <c r="I1495" i="116"/>
  <c r="H1495" i="116"/>
  <c r="G1495" i="116"/>
  <c r="F1495" i="116"/>
  <c r="E1495" i="116"/>
  <c r="D1495" i="116"/>
  <c r="C1495" i="116"/>
  <c r="B1495" i="116"/>
  <c r="K1494" i="116"/>
  <c r="J1494" i="116"/>
  <c r="I1494" i="116"/>
  <c r="H1494" i="116"/>
  <c r="G1494" i="116"/>
  <c r="F1494" i="116"/>
  <c r="E1494" i="116"/>
  <c r="D1494" i="116"/>
  <c r="C1494" i="116"/>
  <c r="B1494" i="116"/>
  <c r="K1493" i="116"/>
  <c r="J1493" i="116"/>
  <c r="I1493" i="116"/>
  <c r="H1493" i="116"/>
  <c r="G1493" i="116"/>
  <c r="F1493" i="116"/>
  <c r="E1493" i="116"/>
  <c r="D1493" i="116"/>
  <c r="C1493" i="116"/>
  <c r="B1493" i="116"/>
  <c r="K1492" i="116"/>
  <c r="J1492" i="116"/>
  <c r="I1492" i="116"/>
  <c r="H1492" i="116"/>
  <c r="G1492" i="116"/>
  <c r="F1492" i="116"/>
  <c r="E1492" i="116"/>
  <c r="D1492" i="116"/>
  <c r="C1492" i="116"/>
  <c r="B1492" i="116"/>
  <c r="K1491" i="116"/>
  <c r="J1491" i="116"/>
  <c r="I1491" i="116"/>
  <c r="H1491" i="116"/>
  <c r="G1491" i="116"/>
  <c r="F1491" i="116"/>
  <c r="E1491" i="116"/>
  <c r="D1491" i="116"/>
  <c r="C1491" i="116"/>
  <c r="B1491" i="116"/>
  <c r="K1490" i="116"/>
  <c r="J1490" i="116"/>
  <c r="I1490" i="116"/>
  <c r="H1490" i="116"/>
  <c r="G1490" i="116"/>
  <c r="F1490" i="116"/>
  <c r="E1490" i="116"/>
  <c r="D1490" i="116"/>
  <c r="C1490" i="116"/>
  <c r="B1490" i="116"/>
  <c r="K1489" i="116"/>
  <c r="J1489" i="116"/>
  <c r="I1489" i="116"/>
  <c r="H1489" i="116"/>
  <c r="G1489" i="116"/>
  <c r="F1489" i="116"/>
  <c r="E1489" i="116"/>
  <c r="D1489" i="116"/>
  <c r="C1489" i="116"/>
  <c r="B1489" i="116"/>
  <c r="K1488" i="116"/>
  <c r="J1488" i="116"/>
  <c r="I1488" i="116"/>
  <c r="H1488" i="116"/>
  <c r="G1488" i="116"/>
  <c r="F1488" i="116"/>
  <c r="E1488" i="116"/>
  <c r="D1488" i="116"/>
  <c r="C1488" i="116"/>
  <c r="B1488" i="116"/>
  <c r="K1487" i="116"/>
  <c r="J1487" i="116"/>
  <c r="I1487" i="116"/>
  <c r="H1487" i="116"/>
  <c r="G1487" i="116"/>
  <c r="F1487" i="116"/>
  <c r="E1487" i="116"/>
  <c r="D1487" i="116"/>
  <c r="C1487" i="116"/>
  <c r="B1487" i="116"/>
  <c r="K1486" i="116"/>
  <c r="J1486" i="116"/>
  <c r="I1486" i="116"/>
  <c r="H1486" i="116"/>
  <c r="G1486" i="116"/>
  <c r="F1486" i="116"/>
  <c r="E1486" i="116"/>
  <c r="D1486" i="116"/>
  <c r="C1486" i="116"/>
  <c r="B1486" i="116"/>
  <c r="K1485" i="116"/>
  <c r="J1485" i="116"/>
  <c r="I1485" i="116"/>
  <c r="H1485" i="116"/>
  <c r="G1485" i="116"/>
  <c r="F1485" i="116"/>
  <c r="E1485" i="116"/>
  <c r="D1485" i="116"/>
  <c r="C1485" i="116"/>
  <c r="B1485" i="116"/>
  <c r="K1484" i="116"/>
  <c r="J1484" i="116"/>
  <c r="I1484" i="116"/>
  <c r="H1484" i="116"/>
  <c r="G1484" i="116"/>
  <c r="F1484" i="116"/>
  <c r="E1484" i="116"/>
  <c r="D1484" i="116"/>
  <c r="C1484" i="116"/>
  <c r="B1484" i="116"/>
  <c r="K1483" i="116"/>
  <c r="J1483" i="116"/>
  <c r="I1483" i="116"/>
  <c r="H1483" i="116"/>
  <c r="G1483" i="116"/>
  <c r="F1483" i="116"/>
  <c r="E1483" i="116"/>
  <c r="D1483" i="116"/>
  <c r="C1483" i="116"/>
  <c r="B1483" i="116"/>
  <c r="K1482" i="116"/>
  <c r="J1482" i="116"/>
  <c r="I1482" i="116"/>
  <c r="H1482" i="116"/>
  <c r="G1482" i="116"/>
  <c r="F1482" i="116"/>
  <c r="E1482" i="116"/>
  <c r="D1482" i="116"/>
  <c r="C1482" i="116"/>
  <c r="B1482" i="116"/>
  <c r="K1481" i="116"/>
  <c r="J1481" i="116"/>
  <c r="I1481" i="116"/>
  <c r="H1481" i="116"/>
  <c r="G1481" i="116"/>
  <c r="F1481" i="116"/>
  <c r="E1481" i="116"/>
  <c r="D1481" i="116"/>
  <c r="C1481" i="116"/>
  <c r="B1481" i="116"/>
  <c r="K1480" i="116"/>
  <c r="J1480" i="116"/>
  <c r="I1480" i="116"/>
  <c r="H1480" i="116"/>
  <c r="G1480" i="116"/>
  <c r="F1480" i="116"/>
  <c r="E1480" i="116"/>
  <c r="D1480" i="116"/>
  <c r="C1480" i="116"/>
  <c r="B1480" i="116"/>
  <c r="K1479" i="116"/>
  <c r="J1479" i="116"/>
  <c r="I1479" i="116"/>
  <c r="H1479" i="116"/>
  <c r="G1479" i="116"/>
  <c r="F1479" i="116"/>
  <c r="E1479" i="116"/>
  <c r="D1479" i="116"/>
  <c r="C1479" i="116"/>
  <c r="B1479" i="116"/>
  <c r="K1478" i="116"/>
  <c r="J1478" i="116"/>
  <c r="I1478" i="116"/>
  <c r="H1478" i="116"/>
  <c r="G1478" i="116"/>
  <c r="F1478" i="116"/>
  <c r="E1478" i="116"/>
  <c r="D1478" i="116"/>
  <c r="C1478" i="116"/>
  <c r="B1478" i="116"/>
  <c r="K1477" i="116"/>
  <c r="J1477" i="116"/>
  <c r="I1477" i="116"/>
  <c r="H1477" i="116"/>
  <c r="G1477" i="116"/>
  <c r="F1477" i="116"/>
  <c r="E1477" i="116"/>
  <c r="D1477" i="116"/>
  <c r="C1477" i="116"/>
  <c r="B1477" i="116"/>
  <c r="K1476" i="116"/>
  <c r="J1476" i="116"/>
  <c r="I1476" i="116"/>
  <c r="H1476" i="116"/>
  <c r="G1476" i="116"/>
  <c r="F1476" i="116"/>
  <c r="E1476" i="116"/>
  <c r="D1476" i="116"/>
  <c r="C1476" i="116"/>
  <c r="B1476" i="116"/>
  <c r="K1475" i="116"/>
  <c r="J1475" i="116"/>
  <c r="I1475" i="116"/>
  <c r="H1475" i="116"/>
  <c r="G1475" i="116"/>
  <c r="F1475" i="116"/>
  <c r="E1475" i="116"/>
  <c r="D1475" i="116"/>
  <c r="C1475" i="116"/>
  <c r="B1475" i="116"/>
  <c r="K1474" i="116"/>
  <c r="J1474" i="116"/>
  <c r="I1474" i="116"/>
  <c r="H1474" i="116"/>
  <c r="G1474" i="116"/>
  <c r="F1474" i="116"/>
  <c r="E1474" i="116"/>
  <c r="D1474" i="116"/>
  <c r="C1474" i="116"/>
  <c r="B1474" i="116"/>
  <c r="K1473" i="116"/>
  <c r="J1473" i="116"/>
  <c r="I1473" i="116"/>
  <c r="H1473" i="116"/>
  <c r="G1473" i="116"/>
  <c r="F1473" i="116"/>
  <c r="E1473" i="116"/>
  <c r="D1473" i="116"/>
  <c r="C1473" i="116"/>
  <c r="B1473" i="116"/>
  <c r="K1472" i="116"/>
  <c r="J1472" i="116"/>
  <c r="I1472" i="116"/>
  <c r="H1472" i="116"/>
  <c r="G1472" i="116"/>
  <c r="F1472" i="116"/>
  <c r="E1472" i="116"/>
  <c r="D1472" i="116"/>
  <c r="C1472" i="116"/>
  <c r="B1472" i="116"/>
  <c r="K1471" i="116"/>
  <c r="J1471" i="116"/>
  <c r="I1471" i="116"/>
  <c r="H1471" i="116"/>
  <c r="G1471" i="116"/>
  <c r="F1471" i="116"/>
  <c r="E1471" i="116"/>
  <c r="D1471" i="116"/>
  <c r="C1471" i="116"/>
  <c r="B1471" i="116"/>
  <c r="K1470" i="116"/>
  <c r="J1470" i="116"/>
  <c r="I1470" i="116"/>
  <c r="H1470" i="116"/>
  <c r="G1470" i="116"/>
  <c r="F1470" i="116"/>
  <c r="E1470" i="116"/>
  <c r="D1470" i="116"/>
  <c r="C1470" i="116"/>
  <c r="B1470" i="116"/>
  <c r="K1469" i="116"/>
  <c r="J1469" i="116"/>
  <c r="I1469" i="116"/>
  <c r="H1469" i="116"/>
  <c r="G1469" i="116"/>
  <c r="F1469" i="116"/>
  <c r="E1469" i="116"/>
  <c r="D1469" i="116"/>
  <c r="C1469" i="116"/>
  <c r="B1469" i="116"/>
  <c r="K1468" i="116"/>
  <c r="J1468" i="116"/>
  <c r="I1468" i="116"/>
  <c r="H1468" i="116"/>
  <c r="G1468" i="116"/>
  <c r="F1468" i="116"/>
  <c r="E1468" i="116"/>
  <c r="D1468" i="116"/>
  <c r="C1468" i="116"/>
  <c r="B1468" i="116"/>
  <c r="K1467" i="116"/>
  <c r="J1467" i="116"/>
  <c r="I1467" i="116"/>
  <c r="H1467" i="116"/>
  <c r="G1467" i="116"/>
  <c r="F1467" i="116"/>
  <c r="E1467" i="116"/>
  <c r="D1467" i="116"/>
  <c r="C1467" i="116"/>
  <c r="B1467" i="116"/>
  <c r="K1466" i="116"/>
  <c r="J1466" i="116"/>
  <c r="I1466" i="116"/>
  <c r="H1466" i="116"/>
  <c r="G1466" i="116"/>
  <c r="F1466" i="116"/>
  <c r="E1466" i="116"/>
  <c r="D1466" i="116"/>
  <c r="C1466" i="116"/>
  <c r="B1466" i="116"/>
  <c r="K1465" i="116"/>
  <c r="J1465" i="116"/>
  <c r="I1465" i="116"/>
  <c r="H1465" i="116"/>
  <c r="G1465" i="116"/>
  <c r="F1465" i="116"/>
  <c r="E1465" i="116"/>
  <c r="D1465" i="116"/>
  <c r="C1465" i="116"/>
  <c r="B1465" i="116"/>
  <c r="K1464" i="116"/>
  <c r="J1464" i="116"/>
  <c r="I1464" i="116"/>
  <c r="H1464" i="116"/>
  <c r="G1464" i="116"/>
  <c r="F1464" i="116"/>
  <c r="E1464" i="116"/>
  <c r="D1464" i="116"/>
  <c r="C1464" i="116"/>
  <c r="B1464" i="116"/>
  <c r="K1463" i="116"/>
  <c r="J1463" i="116"/>
  <c r="I1463" i="116"/>
  <c r="H1463" i="116"/>
  <c r="G1463" i="116"/>
  <c r="F1463" i="116"/>
  <c r="E1463" i="116"/>
  <c r="D1463" i="116"/>
  <c r="C1463" i="116"/>
  <c r="B1463" i="116"/>
  <c r="K1462" i="116"/>
  <c r="J1462" i="116"/>
  <c r="I1462" i="116"/>
  <c r="H1462" i="116"/>
  <c r="G1462" i="116"/>
  <c r="F1462" i="116"/>
  <c r="E1462" i="116"/>
  <c r="D1462" i="116"/>
  <c r="C1462" i="116"/>
  <c r="B1462" i="116"/>
  <c r="K1461" i="116"/>
  <c r="J1461" i="116"/>
  <c r="I1461" i="116"/>
  <c r="H1461" i="116"/>
  <c r="G1461" i="116"/>
  <c r="F1461" i="116"/>
  <c r="E1461" i="116"/>
  <c r="D1461" i="116"/>
  <c r="C1461" i="116"/>
  <c r="B1461" i="116"/>
  <c r="K1460" i="116"/>
  <c r="J1460" i="116"/>
  <c r="I1460" i="116"/>
  <c r="H1460" i="116"/>
  <c r="G1460" i="116"/>
  <c r="F1460" i="116"/>
  <c r="E1460" i="116"/>
  <c r="D1460" i="116"/>
  <c r="C1460" i="116"/>
  <c r="B1460" i="116"/>
  <c r="K1459" i="116"/>
  <c r="J1459" i="116"/>
  <c r="I1459" i="116"/>
  <c r="H1459" i="116"/>
  <c r="G1459" i="116"/>
  <c r="F1459" i="116"/>
  <c r="E1459" i="116"/>
  <c r="D1459" i="116"/>
  <c r="C1459" i="116"/>
  <c r="B1459" i="116"/>
  <c r="K1458" i="116"/>
  <c r="J1458" i="116"/>
  <c r="I1458" i="116"/>
  <c r="H1458" i="116"/>
  <c r="G1458" i="116"/>
  <c r="F1458" i="116"/>
  <c r="E1458" i="116"/>
  <c r="D1458" i="116"/>
  <c r="C1458" i="116"/>
  <c r="B1458" i="116"/>
  <c r="K1457" i="116"/>
  <c r="J1457" i="116"/>
  <c r="I1457" i="116"/>
  <c r="H1457" i="116"/>
  <c r="G1457" i="116"/>
  <c r="F1457" i="116"/>
  <c r="E1457" i="116"/>
  <c r="D1457" i="116"/>
  <c r="C1457" i="116"/>
  <c r="B1457" i="116"/>
  <c r="K1456" i="116"/>
  <c r="J1456" i="116"/>
  <c r="I1456" i="116"/>
  <c r="H1456" i="116"/>
  <c r="G1456" i="116"/>
  <c r="F1456" i="116"/>
  <c r="E1456" i="116"/>
  <c r="D1456" i="116"/>
  <c r="C1456" i="116"/>
  <c r="B1456" i="116"/>
  <c r="K1455" i="116"/>
  <c r="J1455" i="116"/>
  <c r="I1455" i="116"/>
  <c r="H1455" i="116"/>
  <c r="G1455" i="116"/>
  <c r="F1455" i="116"/>
  <c r="E1455" i="116"/>
  <c r="D1455" i="116"/>
  <c r="C1455" i="116"/>
  <c r="B1455" i="116"/>
  <c r="K1454" i="116"/>
  <c r="J1454" i="116"/>
  <c r="I1454" i="116"/>
  <c r="H1454" i="116"/>
  <c r="G1454" i="116"/>
  <c r="F1454" i="116"/>
  <c r="E1454" i="116"/>
  <c r="D1454" i="116"/>
  <c r="C1454" i="116"/>
  <c r="B1454" i="116"/>
  <c r="K1453" i="116"/>
  <c r="J1453" i="116"/>
  <c r="I1453" i="116"/>
  <c r="H1453" i="116"/>
  <c r="G1453" i="116"/>
  <c r="F1453" i="116"/>
  <c r="E1453" i="116"/>
  <c r="D1453" i="116"/>
  <c r="C1453" i="116"/>
  <c r="B1453" i="116"/>
  <c r="K1452" i="116"/>
  <c r="J1452" i="116"/>
  <c r="I1452" i="116"/>
  <c r="H1452" i="116"/>
  <c r="G1452" i="116"/>
  <c r="F1452" i="116"/>
  <c r="E1452" i="116"/>
  <c r="D1452" i="116"/>
  <c r="C1452" i="116"/>
  <c r="B1452" i="116"/>
  <c r="K1451" i="116"/>
  <c r="J1451" i="116"/>
  <c r="I1451" i="116"/>
  <c r="H1451" i="116"/>
  <c r="G1451" i="116"/>
  <c r="F1451" i="116"/>
  <c r="E1451" i="116"/>
  <c r="D1451" i="116"/>
  <c r="C1451" i="116"/>
  <c r="B1451" i="116"/>
  <c r="K1450" i="116"/>
  <c r="J1450" i="116"/>
  <c r="I1450" i="116"/>
  <c r="H1450" i="116"/>
  <c r="G1450" i="116"/>
  <c r="F1450" i="116"/>
  <c r="E1450" i="116"/>
  <c r="D1450" i="116"/>
  <c r="C1450" i="116"/>
  <c r="B1450" i="116"/>
  <c r="K1449" i="116"/>
  <c r="J1449" i="116"/>
  <c r="I1449" i="116"/>
  <c r="H1449" i="116"/>
  <c r="G1449" i="116"/>
  <c r="F1449" i="116"/>
  <c r="E1449" i="116"/>
  <c r="D1449" i="116"/>
  <c r="C1449" i="116"/>
  <c r="B1449" i="116"/>
  <c r="K1448" i="116"/>
  <c r="J1448" i="116"/>
  <c r="I1448" i="116"/>
  <c r="H1448" i="116"/>
  <c r="G1448" i="116"/>
  <c r="F1448" i="116"/>
  <c r="E1448" i="116"/>
  <c r="D1448" i="116"/>
  <c r="C1448" i="116"/>
  <c r="B1448" i="116"/>
  <c r="K1447" i="116"/>
  <c r="J1447" i="116"/>
  <c r="I1447" i="116"/>
  <c r="H1447" i="116"/>
  <c r="G1447" i="116"/>
  <c r="F1447" i="116"/>
  <c r="E1447" i="116"/>
  <c r="D1447" i="116"/>
  <c r="C1447" i="116"/>
  <c r="B1447" i="116"/>
  <c r="K1446" i="116"/>
  <c r="J1446" i="116"/>
  <c r="I1446" i="116"/>
  <c r="H1446" i="116"/>
  <c r="G1446" i="116"/>
  <c r="F1446" i="116"/>
  <c r="E1446" i="116"/>
  <c r="D1446" i="116"/>
  <c r="C1446" i="116"/>
  <c r="B1446" i="116"/>
  <c r="K1445" i="116"/>
  <c r="J1445" i="116"/>
  <c r="I1445" i="116"/>
  <c r="H1445" i="116"/>
  <c r="G1445" i="116"/>
  <c r="F1445" i="116"/>
  <c r="E1445" i="116"/>
  <c r="D1445" i="116"/>
  <c r="C1445" i="116"/>
  <c r="B1445" i="116"/>
  <c r="K1444" i="116"/>
  <c r="J1444" i="116"/>
  <c r="I1444" i="116"/>
  <c r="H1444" i="116"/>
  <c r="G1444" i="116"/>
  <c r="F1444" i="116"/>
  <c r="E1444" i="116"/>
  <c r="D1444" i="116"/>
  <c r="C1444" i="116"/>
  <c r="B1444" i="116"/>
  <c r="K1443" i="116"/>
  <c r="J1443" i="116"/>
  <c r="I1443" i="116"/>
  <c r="H1443" i="116"/>
  <c r="G1443" i="116"/>
  <c r="F1443" i="116"/>
  <c r="E1443" i="116"/>
  <c r="D1443" i="116"/>
  <c r="C1443" i="116"/>
  <c r="B1443" i="116"/>
  <c r="K1442" i="116"/>
  <c r="J1442" i="116"/>
  <c r="I1442" i="116"/>
  <c r="H1442" i="116"/>
  <c r="G1442" i="116"/>
  <c r="F1442" i="116"/>
  <c r="E1442" i="116"/>
  <c r="D1442" i="116"/>
  <c r="C1442" i="116"/>
  <c r="B1442" i="116"/>
  <c r="K1441" i="116"/>
  <c r="J1441" i="116"/>
  <c r="I1441" i="116"/>
  <c r="H1441" i="116"/>
  <c r="G1441" i="116"/>
  <c r="F1441" i="116"/>
  <c r="E1441" i="116"/>
  <c r="D1441" i="116"/>
  <c r="C1441" i="116"/>
  <c r="B1441" i="116"/>
  <c r="K1440" i="116"/>
  <c r="J1440" i="116"/>
  <c r="I1440" i="116"/>
  <c r="H1440" i="116"/>
  <c r="G1440" i="116"/>
  <c r="F1440" i="116"/>
  <c r="E1440" i="116"/>
  <c r="D1440" i="116"/>
  <c r="C1440" i="116"/>
  <c r="B1440" i="116"/>
  <c r="K1439" i="116"/>
  <c r="J1439" i="116"/>
  <c r="I1439" i="116"/>
  <c r="H1439" i="116"/>
  <c r="G1439" i="116"/>
  <c r="F1439" i="116"/>
  <c r="E1439" i="116"/>
  <c r="D1439" i="116"/>
  <c r="C1439" i="116"/>
  <c r="B1439" i="116"/>
  <c r="K1438" i="116"/>
  <c r="J1438" i="116"/>
  <c r="I1438" i="116"/>
  <c r="H1438" i="116"/>
  <c r="G1438" i="116"/>
  <c r="F1438" i="116"/>
  <c r="E1438" i="116"/>
  <c r="D1438" i="116"/>
  <c r="C1438" i="116"/>
  <c r="B1438" i="116"/>
  <c r="K1437" i="116"/>
  <c r="J1437" i="116"/>
  <c r="I1437" i="116"/>
  <c r="H1437" i="116"/>
  <c r="G1437" i="116"/>
  <c r="F1437" i="116"/>
  <c r="E1437" i="116"/>
  <c r="D1437" i="116"/>
  <c r="C1437" i="116"/>
  <c r="B1437" i="116"/>
  <c r="K1436" i="116"/>
  <c r="J1436" i="116"/>
  <c r="I1436" i="116"/>
  <c r="H1436" i="116"/>
  <c r="G1436" i="116"/>
  <c r="F1436" i="116"/>
  <c r="E1436" i="116"/>
  <c r="D1436" i="116"/>
  <c r="C1436" i="116"/>
  <c r="B1436" i="116"/>
  <c r="K1435" i="116"/>
  <c r="J1435" i="116"/>
  <c r="I1435" i="116"/>
  <c r="H1435" i="116"/>
  <c r="G1435" i="116"/>
  <c r="F1435" i="116"/>
  <c r="E1435" i="116"/>
  <c r="D1435" i="116"/>
  <c r="C1435" i="116"/>
  <c r="B1435" i="116"/>
  <c r="K1434" i="116"/>
  <c r="J1434" i="116"/>
  <c r="I1434" i="116"/>
  <c r="H1434" i="116"/>
  <c r="G1434" i="116"/>
  <c r="F1434" i="116"/>
  <c r="E1434" i="116"/>
  <c r="D1434" i="116"/>
  <c r="C1434" i="116"/>
  <c r="B1434" i="116"/>
  <c r="K1433" i="116"/>
  <c r="J1433" i="116"/>
  <c r="I1433" i="116"/>
  <c r="H1433" i="116"/>
  <c r="G1433" i="116"/>
  <c r="F1433" i="116"/>
  <c r="E1433" i="116"/>
  <c r="D1433" i="116"/>
  <c r="C1433" i="116"/>
  <c r="B1433" i="116"/>
  <c r="K1432" i="116"/>
  <c r="J1432" i="116"/>
  <c r="I1432" i="116"/>
  <c r="H1432" i="116"/>
  <c r="G1432" i="116"/>
  <c r="F1432" i="116"/>
  <c r="E1432" i="116"/>
  <c r="D1432" i="116"/>
  <c r="C1432" i="116"/>
  <c r="B1432" i="116"/>
  <c r="K1431" i="116"/>
  <c r="J1431" i="116"/>
  <c r="I1431" i="116"/>
  <c r="H1431" i="116"/>
  <c r="G1431" i="116"/>
  <c r="F1431" i="116"/>
  <c r="E1431" i="116"/>
  <c r="D1431" i="116"/>
  <c r="C1431" i="116"/>
  <c r="B1431" i="116"/>
  <c r="K1430" i="116"/>
  <c r="J1430" i="116"/>
  <c r="I1430" i="116"/>
  <c r="H1430" i="116"/>
  <c r="G1430" i="116"/>
  <c r="F1430" i="116"/>
  <c r="E1430" i="116"/>
  <c r="D1430" i="116"/>
  <c r="C1430" i="116"/>
  <c r="B1430" i="116"/>
  <c r="K1429" i="116"/>
  <c r="J1429" i="116"/>
  <c r="I1429" i="116"/>
  <c r="H1429" i="116"/>
  <c r="G1429" i="116"/>
  <c r="F1429" i="116"/>
  <c r="E1429" i="116"/>
  <c r="D1429" i="116"/>
  <c r="C1429" i="116"/>
  <c r="B1429" i="116"/>
  <c r="K1428" i="116"/>
  <c r="J1428" i="116"/>
  <c r="I1428" i="116"/>
  <c r="H1428" i="116"/>
  <c r="G1428" i="116"/>
  <c r="F1428" i="116"/>
  <c r="E1428" i="116"/>
  <c r="D1428" i="116"/>
  <c r="C1428" i="116"/>
  <c r="B1428" i="116"/>
  <c r="K1427" i="116"/>
  <c r="J1427" i="116"/>
  <c r="I1427" i="116"/>
  <c r="H1427" i="116"/>
  <c r="G1427" i="116"/>
  <c r="F1427" i="116"/>
  <c r="E1427" i="116"/>
  <c r="D1427" i="116"/>
  <c r="C1427" i="116"/>
  <c r="B1427" i="116"/>
  <c r="K1426" i="116"/>
  <c r="J1426" i="116"/>
  <c r="I1426" i="116"/>
  <c r="H1426" i="116"/>
  <c r="G1426" i="116"/>
  <c r="F1426" i="116"/>
  <c r="E1426" i="116"/>
  <c r="D1426" i="116"/>
  <c r="C1426" i="116"/>
  <c r="B1426" i="116"/>
  <c r="K1425" i="116"/>
  <c r="J1425" i="116"/>
  <c r="I1425" i="116"/>
  <c r="H1425" i="116"/>
  <c r="G1425" i="116"/>
  <c r="F1425" i="116"/>
  <c r="E1425" i="116"/>
  <c r="D1425" i="116"/>
  <c r="C1425" i="116"/>
  <c r="B1425" i="116"/>
  <c r="K1424" i="116"/>
  <c r="J1424" i="116"/>
  <c r="I1424" i="116"/>
  <c r="H1424" i="116"/>
  <c r="G1424" i="116"/>
  <c r="F1424" i="116"/>
  <c r="E1424" i="116"/>
  <c r="D1424" i="116"/>
  <c r="C1424" i="116"/>
  <c r="B1424" i="116"/>
  <c r="K1423" i="116"/>
  <c r="J1423" i="116"/>
  <c r="I1423" i="116"/>
  <c r="H1423" i="116"/>
  <c r="G1423" i="116"/>
  <c r="F1423" i="116"/>
  <c r="E1423" i="116"/>
  <c r="D1423" i="116"/>
  <c r="C1423" i="116"/>
  <c r="B1423" i="116"/>
  <c r="K1422" i="116"/>
  <c r="J1422" i="116"/>
  <c r="I1422" i="116"/>
  <c r="H1422" i="116"/>
  <c r="G1422" i="116"/>
  <c r="F1422" i="116"/>
  <c r="E1422" i="116"/>
  <c r="D1422" i="116"/>
  <c r="C1422" i="116"/>
  <c r="B1422" i="116"/>
  <c r="K1421" i="116"/>
  <c r="J1421" i="116"/>
  <c r="I1421" i="116"/>
  <c r="H1421" i="116"/>
  <c r="G1421" i="116"/>
  <c r="F1421" i="116"/>
  <c r="E1421" i="116"/>
  <c r="D1421" i="116"/>
  <c r="C1421" i="116"/>
  <c r="B1421" i="116"/>
  <c r="K1420" i="116"/>
  <c r="J1420" i="116"/>
  <c r="I1420" i="116"/>
  <c r="H1420" i="116"/>
  <c r="G1420" i="116"/>
  <c r="F1420" i="116"/>
  <c r="E1420" i="116"/>
  <c r="D1420" i="116"/>
  <c r="C1420" i="116"/>
  <c r="B1420" i="116"/>
  <c r="K1419" i="116"/>
  <c r="J1419" i="116"/>
  <c r="I1419" i="116"/>
  <c r="H1419" i="116"/>
  <c r="G1419" i="116"/>
  <c r="F1419" i="116"/>
  <c r="E1419" i="116"/>
  <c r="D1419" i="116"/>
  <c r="C1419" i="116"/>
  <c r="B1419" i="116"/>
  <c r="K1418" i="116"/>
  <c r="J1418" i="116"/>
  <c r="I1418" i="116"/>
  <c r="H1418" i="116"/>
  <c r="G1418" i="116"/>
  <c r="F1418" i="116"/>
  <c r="E1418" i="116"/>
  <c r="D1418" i="116"/>
  <c r="C1418" i="116"/>
  <c r="B1418" i="116"/>
  <c r="K1417" i="116"/>
  <c r="J1417" i="116"/>
  <c r="I1417" i="116"/>
  <c r="H1417" i="116"/>
  <c r="G1417" i="116"/>
  <c r="F1417" i="116"/>
  <c r="E1417" i="116"/>
  <c r="D1417" i="116"/>
  <c r="C1417" i="116"/>
  <c r="B1417" i="116"/>
  <c r="K1416" i="116"/>
  <c r="J1416" i="116"/>
  <c r="I1416" i="116"/>
  <c r="H1416" i="116"/>
  <c r="G1416" i="116"/>
  <c r="F1416" i="116"/>
  <c r="E1416" i="116"/>
  <c r="D1416" i="116"/>
  <c r="C1416" i="116"/>
  <c r="B1416" i="116"/>
  <c r="K1415" i="116"/>
  <c r="J1415" i="116"/>
  <c r="I1415" i="116"/>
  <c r="H1415" i="116"/>
  <c r="G1415" i="116"/>
  <c r="F1415" i="116"/>
  <c r="E1415" i="116"/>
  <c r="D1415" i="116"/>
  <c r="C1415" i="116"/>
  <c r="B1415" i="116"/>
  <c r="K1414" i="116"/>
  <c r="J1414" i="116"/>
  <c r="I1414" i="116"/>
  <c r="H1414" i="116"/>
  <c r="G1414" i="116"/>
  <c r="F1414" i="116"/>
  <c r="E1414" i="116"/>
  <c r="D1414" i="116"/>
  <c r="C1414" i="116"/>
  <c r="B1414" i="116"/>
  <c r="K1413" i="116"/>
  <c r="J1413" i="116"/>
  <c r="I1413" i="116"/>
  <c r="H1413" i="116"/>
  <c r="G1413" i="116"/>
  <c r="F1413" i="116"/>
  <c r="E1413" i="116"/>
  <c r="D1413" i="116"/>
  <c r="C1413" i="116"/>
  <c r="B1413" i="116"/>
  <c r="K1412" i="116"/>
  <c r="J1412" i="116"/>
  <c r="I1412" i="116"/>
  <c r="H1412" i="116"/>
  <c r="G1412" i="116"/>
  <c r="F1412" i="116"/>
  <c r="E1412" i="116"/>
  <c r="D1412" i="116"/>
  <c r="C1412" i="116"/>
  <c r="B1412" i="116"/>
  <c r="K1411" i="116"/>
  <c r="J1411" i="116"/>
  <c r="I1411" i="116"/>
  <c r="H1411" i="116"/>
  <c r="G1411" i="116"/>
  <c r="F1411" i="116"/>
  <c r="E1411" i="116"/>
  <c r="D1411" i="116"/>
  <c r="C1411" i="116"/>
  <c r="B1411" i="116"/>
  <c r="K1410" i="116"/>
  <c r="J1410" i="116"/>
  <c r="I1410" i="116"/>
  <c r="H1410" i="116"/>
  <c r="G1410" i="116"/>
  <c r="F1410" i="116"/>
  <c r="E1410" i="116"/>
  <c r="D1410" i="116"/>
  <c r="C1410" i="116"/>
  <c r="B1410" i="116"/>
  <c r="K1409" i="116"/>
  <c r="J1409" i="116"/>
  <c r="I1409" i="116"/>
  <c r="H1409" i="116"/>
  <c r="G1409" i="116"/>
  <c r="F1409" i="116"/>
  <c r="E1409" i="116"/>
  <c r="D1409" i="116"/>
  <c r="C1409" i="116"/>
  <c r="B1409" i="116"/>
  <c r="K1408" i="116"/>
  <c r="J1408" i="116"/>
  <c r="I1408" i="116"/>
  <c r="H1408" i="116"/>
  <c r="G1408" i="116"/>
  <c r="F1408" i="116"/>
  <c r="E1408" i="116"/>
  <c r="D1408" i="116"/>
  <c r="C1408" i="116"/>
  <c r="B1408" i="116"/>
  <c r="K1407" i="116"/>
  <c r="J1407" i="116"/>
  <c r="I1407" i="116"/>
  <c r="H1407" i="116"/>
  <c r="G1407" i="116"/>
  <c r="F1407" i="116"/>
  <c r="E1407" i="116"/>
  <c r="D1407" i="116"/>
  <c r="C1407" i="116"/>
  <c r="B1407" i="116"/>
  <c r="K1406" i="116"/>
  <c r="J1406" i="116"/>
  <c r="I1406" i="116"/>
  <c r="H1406" i="116"/>
  <c r="G1406" i="116"/>
  <c r="F1406" i="116"/>
  <c r="E1406" i="116"/>
  <c r="D1406" i="116"/>
  <c r="C1406" i="116"/>
  <c r="B1406" i="116"/>
  <c r="K1405" i="116"/>
  <c r="J1405" i="116"/>
  <c r="I1405" i="116"/>
  <c r="H1405" i="116"/>
  <c r="G1405" i="116"/>
  <c r="F1405" i="116"/>
  <c r="E1405" i="116"/>
  <c r="D1405" i="116"/>
  <c r="C1405" i="116"/>
  <c r="B1405" i="116"/>
  <c r="K1404" i="116"/>
  <c r="J1404" i="116"/>
  <c r="I1404" i="116"/>
  <c r="H1404" i="116"/>
  <c r="G1404" i="116"/>
  <c r="F1404" i="116"/>
  <c r="E1404" i="116"/>
  <c r="D1404" i="116"/>
  <c r="C1404" i="116"/>
  <c r="B1404" i="116"/>
  <c r="K1403" i="116"/>
  <c r="J1403" i="116"/>
  <c r="I1403" i="116"/>
  <c r="H1403" i="116"/>
  <c r="G1403" i="116"/>
  <c r="F1403" i="116"/>
  <c r="E1403" i="116"/>
  <c r="D1403" i="116"/>
  <c r="C1403" i="116"/>
  <c r="B1403" i="116"/>
  <c r="K1402" i="116"/>
  <c r="J1402" i="116"/>
  <c r="I1402" i="116"/>
  <c r="H1402" i="116"/>
  <c r="G1402" i="116"/>
  <c r="F1402" i="116"/>
  <c r="E1402" i="116"/>
  <c r="D1402" i="116"/>
  <c r="C1402" i="116"/>
  <c r="B1402" i="116"/>
  <c r="K1401" i="116"/>
  <c r="J1401" i="116"/>
  <c r="I1401" i="116"/>
  <c r="H1401" i="116"/>
  <c r="G1401" i="116"/>
  <c r="F1401" i="116"/>
  <c r="E1401" i="116"/>
  <c r="D1401" i="116"/>
  <c r="C1401" i="116"/>
  <c r="B1401" i="116"/>
  <c r="K1400" i="116"/>
  <c r="J1400" i="116"/>
  <c r="I1400" i="116"/>
  <c r="H1400" i="116"/>
  <c r="G1400" i="116"/>
  <c r="F1400" i="116"/>
  <c r="E1400" i="116"/>
  <c r="D1400" i="116"/>
  <c r="C1400" i="116"/>
  <c r="B1400" i="116"/>
  <c r="K1399" i="116"/>
  <c r="J1399" i="116"/>
  <c r="I1399" i="116"/>
  <c r="H1399" i="116"/>
  <c r="G1399" i="116"/>
  <c r="F1399" i="116"/>
  <c r="E1399" i="116"/>
  <c r="D1399" i="116"/>
  <c r="C1399" i="116"/>
  <c r="B1399" i="116"/>
  <c r="K1398" i="116"/>
  <c r="J1398" i="116"/>
  <c r="I1398" i="116"/>
  <c r="H1398" i="116"/>
  <c r="G1398" i="116"/>
  <c r="F1398" i="116"/>
  <c r="E1398" i="116"/>
  <c r="D1398" i="116"/>
  <c r="C1398" i="116"/>
  <c r="B1398" i="116"/>
  <c r="K1397" i="116"/>
  <c r="J1397" i="116"/>
  <c r="I1397" i="116"/>
  <c r="H1397" i="116"/>
  <c r="G1397" i="116"/>
  <c r="F1397" i="116"/>
  <c r="E1397" i="116"/>
  <c r="D1397" i="116"/>
  <c r="C1397" i="116"/>
  <c r="B1397" i="116"/>
  <c r="K1396" i="116"/>
  <c r="J1396" i="116"/>
  <c r="I1396" i="116"/>
  <c r="H1396" i="116"/>
  <c r="G1396" i="116"/>
  <c r="F1396" i="116"/>
  <c r="E1396" i="116"/>
  <c r="D1396" i="116"/>
  <c r="C1396" i="116"/>
  <c r="B1396" i="116"/>
  <c r="K1395" i="116"/>
  <c r="J1395" i="116"/>
  <c r="I1395" i="116"/>
  <c r="H1395" i="116"/>
  <c r="G1395" i="116"/>
  <c r="F1395" i="116"/>
  <c r="E1395" i="116"/>
  <c r="D1395" i="116"/>
  <c r="C1395" i="116"/>
  <c r="B1395" i="116"/>
  <c r="K1394" i="116"/>
  <c r="J1394" i="116"/>
  <c r="I1394" i="116"/>
  <c r="H1394" i="116"/>
  <c r="G1394" i="116"/>
  <c r="F1394" i="116"/>
  <c r="E1394" i="116"/>
  <c r="D1394" i="116"/>
  <c r="C1394" i="116"/>
  <c r="B1394" i="116"/>
  <c r="K1393" i="116"/>
  <c r="J1393" i="116"/>
  <c r="I1393" i="116"/>
  <c r="H1393" i="116"/>
  <c r="G1393" i="116"/>
  <c r="F1393" i="116"/>
  <c r="E1393" i="116"/>
  <c r="D1393" i="116"/>
  <c r="C1393" i="116"/>
  <c r="B1393" i="116"/>
  <c r="K1392" i="116"/>
  <c r="J1392" i="116"/>
  <c r="I1392" i="116"/>
  <c r="H1392" i="116"/>
  <c r="G1392" i="116"/>
  <c r="F1392" i="116"/>
  <c r="E1392" i="116"/>
  <c r="D1392" i="116"/>
  <c r="C1392" i="116"/>
  <c r="B1392" i="116"/>
  <c r="K1391" i="116"/>
  <c r="J1391" i="116"/>
  <c r="I1391" i="116"/>
  <c r="H1391" i="116"/>
  <c r="G1391" i="116"/>
  <c r="F1391" i="116"/>
  <c r="E1391" i="116"/>
  <c r="D1391" i="116"/>
  <c r="C1391" i="116"/>
  <c r="B1391" i="116"/>
  <c r="K1390" i="116"/>
  <c r="J1390" i="116"/>
  <c r="I1390" i="116"/>
  <c r="H1390" i="116"/>
  <c r="G1390" i="116"/>
  <c r="F1390" i="116"/>
  <c r="E1390" i="116"/>
  <c r="D1390" i="116"/>
  <c r="C1390" i="116"/>
  <c r="B1390" i="116"/>
  <c r="K1389" i="116"/>
  <c r="J1389" i="116"/>
  <c r="I1389" i="116"/>
  <c r="H1389" i="116"/>
  <c r="G1389" i="116"/>
  <c r="F1389" i="116"/>
  <c r="E1389" i="116"/>
  <c r="D1389" i="116"/>
  <c r="C1389" i="116"/>
  <c r="B1389" i="116"/>
  <c r="K1388" i="116"/>
  <c r="J1388" i="116"/>
  <c r="I1388" i="116"/>
  <c r="H1388" i="116"/>
  <c r="G1388" i="116"/>
  <c r="F1388" i="116"/>
  <c r="E1388" i="116"/>
  <c r="D1388" i="116"/>
  <c r="C1388" i="116"/>
  <c r="B1388" i="116"/>
  <c r="K1387" i="116"/>
  <c r="J1387" i="116"/>
  <c r="I1387" i="116"/>
  <c r="H1387" i="116"/>
  <c r="G1387" i="116"/>
  <c r="F1387" i="116"/>
  <c r="E1387" i="116"/>
  <c r="D1387" i="116"/>
  <c r="C1387" i="116"/>
  <c r="B1387" i="116"/>
  <c r="K1386" i="116"/>
  <c r="J1386" i="116"/>
  <c r="I1386" i="116"/>
  <c r="H1386" i="116"/>
  <c r="G1386" i="116"/>
  <c r="F1386" i="116"/>
  <c r="E1386" i="116"/>
  <c r="D1386" i="116"/>
  <c r="C1386" i="116"/>
  <c r="B1386" i="116"/>
  <c r="K1385" i="116"/>
  <c r="J1385" i="116"/>
  <c r="I1385" i="116"/>
  <c r="H1385" i="116"/>
  <c r="G1385" i="116"/>
  <c r="F1385" i="116"/>
  <c r="E1385" i="116"/>
  <c r="D1385" i="116"/>
  <c r="C1385" i="116"/>
  <c r="B1385" i="116"/>
  <c r="K1384" i="116"/>
  <c r="J1384" i="116"/>
  <c r="I1384" i="116"/>
  <c r="H1384" i="116"/>
  <c r="G1384" i="116"/>
  <c r="F1384" i="116"/>
  <c r="E1384" i="116"/>
  <c r="D1384" i="116"/>
  <c r="C1384" i="116"/>
  <c r="B1384" i="116"/>
  <c r="K1383" i="116"/>
  <c r="J1383" i="116"/>
  <c r="I1383" i="116"/>
  <c r="H1383" i="116"/>
  <c r="G1383" i="116"/>
  <c r="F1383" i="116"/>
  <c r="E1383" i="116"/>
  <c r="D1383" i="116"/>
  <c r="C1383" i="116"/>
  <c r="B1383" i="116"/>
  <c r="K1382" i="116"/>
  <c r="J1382" i="116"/>
  <c r="I1382" i="116"/>
  <c r="H1382" i="116"/>
  <c r="G1382" i="116"/>
  <c r="F1382" i="116"/>
  <c r="E1382" i="116"/>
  <c r="D1382" i="116"/>
  <c r="C1382" i="116"/>
  <c r="B1382" i="116"/>
  <c r="K1381" i="116"/>
  <c r="J1381" i="116"/>
  <c r="I1381" i="116"/>
  <c r="H1381" i="116"/>
  <c r="G1381" i="116"/>
  <c r="F1381" i="116"/>
  <c r="E1381" i="116"/>
  <c r="D1381" i="116"/>
  <c r="C1381" i="116"/>
  <c r="B1381" i="116"/>
  <c r="K1380" i="116"/>
  <c r="J1380" i="116"/>
  <c r="I1380" i="116"/>
  <c r="H1380" i="116"/>
  <c r="G1380" i="116"/>
  <c r="F1380" i="116"/>
  <c r="E1380" i="116"/>
  <c r="D1380" i="116"/>
  <c r="C1380" i="116"/>
  <c r="B1380" i="116"/>
  <c r="K1379" i="116"/>
  <c r="J1379" i="116"/>
  <c r="I1379" i="116"/>
  <c r="H1379" i="116"/>
  <c r="G1379" i="116"/>
  <c r="F1379" i="116"/>
  <c r="E1379" i="116"/>
  <c r="D1379" i="116"/>
  <c r="C1379" i="116"/>
  <c r="B1379" i="116"/>
  <c r="K1378" i="116"/>
  <c r="J1378" i="116"/>
  <c r="I1378" i="116"/>
  <c r="H1378" i="116"/>
  <c r="G1378" i="116"/>
  <c r="F1378" i="116"/>
  <c r="E1378" i="116"/>
  <c r="D1378" i="116"/>
  <c r="C1378" i="116"/>
  <c r="B1378" i="116"/>
  <c r="K1377" i="116"/>
  <c r="J1377" i="116"/>
  <c r="I1377" i="116"/>
  <c r="H1377" i="116"/>
  <c r="G1377" i="116"/>
  <c r="F1377" i="116"/>
  <c r="E1377" i="116"/>
  <c r="D1377" i="116"/>
  <c r="C1377" i="116"/>
  <c r="B1377" i="116"/>
  <c r="K1376" i="116"/>
  <c r="J1376" i="116"/>
  <c r="I1376" i="116"/>
  <c r="H1376" i="116"/>
  <c r="G1376" i="116"/>
  <c r="F1376" i="116"/>
  <c r="E1376" i="116"/>
  <c r="D1376" i="116"/>
  <c r="C1376" i="116"/>
  <c r="B1376" i="116"/>
  <c r="K1375" i="116"/>
  <c r="J1375" i="116"/>
  <c r="I1375" i="116"/>
  <c r="H1375" i="116"/>
  <c r="G1375" i="116"/>
  <c r="F1375" i="116"/>
  <c r="E1375" i="116"/>
  <c r="D1375" i="116"/>
  <c r="C1375" i="116"/>
  <c r="B1375" i="116"/>
  <c r="K1374" i="116"/>
  <c r="J1374" i="116"/>
  <c r="I1374" i="116"/>
  <c r="H1374" i="116"/>
  <c r="G1374" i="116"/>
  <c r="F1374" i="116"/>
  <c r="E1374" i="116"/>
  <c r="D1374" i="116"/>
  <c r="C1374" i="116"/>
  <c r="B1374" i="116"/>
  <c r="K1373" i="116"/>
  <c r="J1373" i="116"/>
  <c r="I1373" i="116"/>
  <c r="H1373" i="116"/>
  <c r="G1373" i="116"/>
  <c r="F1373" i="116"/>
  <c r="E1373" i="116"/>
  <c r="D1373" i="116"/>
  <c r="C1373" i="116"/>
  <c r="B1373" i="116"/>
  <c r="K1372" i="116"/>
  <c r="J1372" i="116"/>
  <c r="I1372" i="116"/>
  <c r="H1372" i="116"/>
  <c r="G1372" i="116"/>
  <c r="F1372" i="116"/>
  <c r="E1372" i="116"/>
  <c r="D1372" i="116"/>
  <c r="C1372" i="116"/>
  <c r="B1372" i="116"/>
  <c r="K1371" i="116"/>
  <c r="J1371" i="116"/>
  <c r="I1371" i="116"/>
  <c r="H1371" i="116"/>
  <c r="G1371" i="116"/>
  <c r="F1371" i="116"/>
  <c r="E1371" i="116"/>
  <c r="D1371" i="116"/>
  <c r="C1371" i="116"/>
  <c r="B1371" i="116"/>
  <c r="K1370" i="116"/>
  <c r="J1370" i="116"/>
  <c r="I1370" i="116"/>
  <c r="H1370" i="116"/>
  <c r="G1370" i="116"/>
  <c r="F1370" i="116"/>
  <c r="E1370" i="116"/>
  <c r="D1370" i="116"/>
  <c r="C1370" i="116"/>
  <c r="B1370" i="116"/>
  <c r="K1369" i="116"/>
  <c r="J1369" i="116"/>
  <c r="I1369" i="116"/>
  <c r="H1369" i="116"/>
  <c r="G1369" i="116"/>
  <c r="F1369" i="116"/>
  <c r="E1369" i="116"/>
  <c r="D1369" i="116"/>
  <c r="C1369" i="116"/>
  <c r="B1369" i="116"/>
  <c r="K1368" i="116"/>
  <c r="J1368" i="116"/>
  <c r="I1368" i="116"/>
  <c r="H1368" i="116"/>
  <c r="G1368" i="116"/>
  <c r="F1368" i="116"/>
  <c r="E1368" i="116"/>
  <c r="D1368" i="116"/>
  <c r="C1368" i="116"/>
  <c r="B1368" i="116"/>
  <c r="K1367" i="116"/>
  <c r="J1367" i="116"/>
  <c r="I1367" i="116"/>
  <c r="H1367" i="116"/>
  <c r="G1367" i="116"/>
  <c r="F1367" i="116"/>
  <c r="E1367" i="116"/>
  <c r="D1367" i="116"/>
  <c r="C1367" i="116"/>
  <c r="B1367" i="116"/>
  <c r="K1366" i="116"/>
  <c r="J1366" i="116"/>
  <c r="I1366" i="116"/>
  <c r="H1366" i="116"/>
  <c r="G1366" i="116"/>
  <c r="F1366" i="116"/>
  <c r="E1366" i="116"/>
  <c r="D1366" i="116"/>
  <c r="C1366" i="116"/>
  <c r="B1366" i="116"/>
  <c r="K1365" i="116"/>
  <c r="J1365" i="116"/>
  <c r="I1365" i="116"/>
  <c r="H1365" i="116"/>
  <c r="G1365" i="116"/>
  <c r="F1365" i="116"/>
  <c r="E1365" i="116"/>
  <c r="D1365" i="116"/>
  <c r="C1365" i="116"/>
  <c r="B1365" i="116"/>
  <c r="K1364" i="116"/>
  <c r="J1364" i="116"/>
  <c r="I1364" i="116"/>
  <c r="H1364" i="116"/>
  <c r="G1364" i="116"/>
  <c r="F1364" i="116"/>
  <c r="E1364" i="116"/>
  <c r="D1364" i="116"/>
  <c r="C1364" i="116"/>
  <c r="B1364" i="116"/>
  <c r="K1363" i="116"/>
  <c r="J1363" i="116"/>
  <c r="I1363" i="116"/>
  <c r="H1363" i="116"/>
  <c r="G1363" i="116"/>
  <c r="F1363" i="116"/>
  <c r="E1363" i="116"/>
  <c r="D1363" i="116"/>
  <c r="C1363" i="116"/>
  <c r="B1363" i="116"/>
  <c r="K1362" i="116"/>
  <c r="J1362" i="116"/>
  <c r="I1362" i="116"/>
  <c r="H1362" i="116"/>
  <c r="G1362" i="116"/>
  <c r="F1362" i="116"/>
  <c r="E1362" i="116"/>
  <c r="D1362" i="116"/>
  <c r="C1362" i="116"/>
  <c r="B1362" i="116"/>
  <c r="K1361" i="116"/>
  <c r="J1361" i="116"/>
  <c r="I1361" i="116"/>
  <c r="H1361" i="116"/>
  <c r="G1361" i="116"/>
  <c r="F1361" i="116"/>
  <c r="E1361" i="116"/>
  <c r="D1361" i="116"/>
  <c r="C1361" i="116"/>
  <c r="B1361" i="116"/>
  <c r="K1360" i="116"/>
  <c r="J1360" i="116"/>
  <c r="I1360" i="116"/>
  <c r="H1360" i="116"/>
  <c r="G1360" i="116"/>
  <c r="F1360" i="116"/>
  <c r="E1360" i="116"/>
  <c r="D1360" i="116"/>
  <c r="C1360" i="116"/>
  <c r="B1360" i="116"/>
  <c r="K1359" i="116"/>
  <c r="J1359" i="116"/>
  <c r="I1359" i="116"/>
  <c r="H1359" i="116"/>
  <c r="G1359" i="116"/>
  <c r="F1359" i="116"/>
  <c r="E1359" i="116"/>
  <c r="D1359" i="116"/>
  <c r="C1359" i="116"/>
  <c r="B1359" i="116"/>
  <c r="K1358" i="116"/>
  <c r="J1358" i="116"/>
  <c r="I1358" i="116"/>
  <c r="H1358" i="116"/>
  <c r="G1358" i="116"/>
  <c r="F1358" i="116"/>
  <c r="E1358" i="116"/>
  <c r="D1358" i="116"/>
  <c r="C1358" i="116"/>
  <c r="B1358" i="116"/>
  <c r="K1357" i="116"/>
  <c r="J1357" i="116"/>
  <c r="I1357" i="116"/>
  <c r="H1357" i="116"/>
  <c r="G1357" i="116"/>
  <c r="F1357" i="116"/>
  <c r="E1357" i="116"/>
  <c r="D1357" i="116"/>
  <c r="C1357" i="116"/>
  <c r="B1357" i="116"/>
  <c r="K1356" i="116"/>
  <c r="J1356" i="116"/>
  <c r="I1356" i="116"/>
  <c r="H1356" i="116"/>
  <c r="G1356" i="116"/>
  <c r="F1356" i="116"/>
  <c r="E1356" i="116"/>
  <c r="D1356" i="116"/>
  <c r="C1356" i="116"/>
  <c r="B1356" i="116"/>
  <c r="K1355" i="116"/>
  <c r="J1355" i="116"/>
  <c r="I1355" i="116"/>
  <c r="H1355" i="116"/>
  <c r="G1355" i="116"/>
  <c r="F1355" i="116"/>
  <c r="E1355" i="116"/>
  <c r="D1355" i="116"/>
  <c r="C1355" i="116"/>
  <c r="B1355" i="116"/>
  <c r="K1354" i="116"/>
  <c r="J1354" i="116"/>
  <c r="I1354" i="116"/>
  <c r="H1354" i="116"/>
  <c r="G1354" i="116"/>
  <c r="F1354" i="116"/>
  <c r="E1354" i="116"/>
  <c r="D1354" i="116"/>
  <c r="C1354" i="116"/>
  <c r="B1354" i="116"/>
  <c r="K1353" i="116"/>
  <c r="J1353" i="116"/>
  <c r="I1353" i="116"/>
  <c r="H1353" i="116"/>
  <c r="G1353" i="116"/>
  <c r="F1353" i="116"/>
  <c r="E1353" i="116"/>
  <c r="D1353" i="116"/>
  <c r="C1353" i="116"/>
  <c r="B1353" i="116"/>
  <c r="K1352" i="116"/>
  <c r="J1352" i="116"/>
  <c r="I1352" i="116"/>
  <c r="H1352" i="116"/>
  <c r="G1352" i="116"/>
  <c r="F1352" i="116"/>
  <c r="E1352" i="116"/>
  <c r="D1352" i="116"/>
  <c r="C1352" i="116"/>
  <c r="B1352" i="116"/>
  <c r="K1351" i="116"/>
  <c r="J1351" i="116"/>
  <c r="I1351" i="116"/>
  <c r="H1351" i="116"/>
  <c r="G1351" i="116"/>
  <c r="F1351" i="116"/>
  <c r="E1351" i="116"/>
  <c r="D1351" i="116"/>
  <c r="C1351" i="116"/>
  <c r="B1351" i="116"/>
  <c r="K1350" i="116"/>
  <c r="J1350" i="116"/>
  <c r="I1350" i="116"/>
  <c r="H1350" i="116"/>
  <c r="G1350" i="116"/>
  <c r="F1350" i="116"/>
  <c r="E1350" i="116"/>
  <c r="D1350" i="116"/>
  <c r="C1350" i="116"/>
  <c r="B1350" i="116"/>
  <c r="K1349" i="116"/>
  <c r="J1349" i="116"/>
  <c r="I1349" i="116"/>
  <c r="H1349" i="116"/>
  <c r="G1349" i="116"/>
  <c r="F1349" i="116"/>
  <c r="E1349" i="116"/>
  <c r="D1349" i="116"/>
  <c r="C1349" i="116"/>
  <c r="B1349" i="116"/>
  <c r="K1348" i="116"/>
  <c r="J1348" i="116"/>
  <c r="I1348" i="116"/>
  <c r="H1348" i="116"/>
  <c r="G1348" i="116"/>
  <c r="F1348" i="116"/>
  <c r="E1348" i="116"/>
  <c r="D1348" i="116"/>
  <c r="C1348" i="116"/>
  <c r="B1348" i="116"/>
  <c r="K1347" i="116"/>
  <c r="J1347" i="116"/>
  <c r="I1347" i="116"/>
  <c r="H1347" i="116"/>
  <c r="G1347" i="116"/>
  <c r="F1347" i="116"/>
  <c r="E1347" i="116"/>
  <c r="D1347" i="116"/>
  <c r="C1347" i="116"/>
  <c r="B1347" i="116"/>
  <c r="K1346" i="116"/>
  <c r="J1346" i="116"/>
  <c r="I1346" i="116"/>
  <c r="H1346" i="116"/>
  <c r="G1346" i="116"/>
  <c r="F1346" i="116"/>
  <c r="E1346" i="116"/>
  <c r="D1346" i="116"/>
  <c r="C1346" i="116"/>
  <c r="B1346" i="116"/>
  <c r="K1345" i="116"/>
  <c r="J1345" i="116"/>
  <c r="I1345" i="116"/>
  <c r="H1345" i="116"/>
  <c r="G1345" i="116"/>
  <c r="F1345" i="116"/>
  <c r="E1345" i="116"/>
  <c r="D1345" i="116"/>
  <c r="C1345" i="116"/>
  <c r="B1345" i="116"/>
  <c r="K1344" i="116"/>
  <c r="J1344" i="116"/>
  <c r="I1344" i="116"/>
  <c r="H1344" i="116"/>
  <c r="G1344" i="116"/>
  <c r="F1344" i="116"/>
  <c r="E1344" i="116"/>
  <c r="D1344" i="116"/>
  <c r="C1344" i="116"/>
  <c r="B1344" i="116"/>
  <c r="K1343" i="116"/>
  <c r="J1343" i="116"/>
  <c r="I1343" i="116"/>
  <c r="H1343" i="116"/>
  <c r="G1343" i="116"/>
  <c r="F1343" i="116"/>
  <c r="E1343" i="116"/>
  <c r="D1343" i="116"/>
  <c r="C1343" i="116"/>
  <c r="B1343" i="116"/>
  <c r="K1342" i="116"/>
  <c r="J1342" i="116"/>
  <c r="I1342" i="116"/>
  <c r="H1342" i="116"/>
  <c r="G1342" i="116"/>
  <c r="F1342" i="116"/>
  <c r="E1342" i="116"/>
  <c r="D1342" i="116"/>
  <c r="C1342" i="116"/>
  <c r="B1342" i="116"/>
  <c r="K1341" i="116"/>
  <c r="J1341" i="116"/>
  <c r="I1341" i="116"/>
  <c r="H1341" i="116"/>
  <c r="G1341" i="116"/>
  <c r="F1341" i="116"/>
  <c r="E1341" i="116"/>
  <c r="D1341" i="116"/>
  <c r="C1341" i="116"/>
  <c r="B1341" i="116"/>
  <c r="K1340" i="116"/>
  <c r="J1340" i="116"/>
  <c r="I1340" i="116"/>
  <c r="H1340" i="116"/>
  <c r="G1340" i="116"/>
  <c r="F1340" i="116"/>
  <c r="E1340" i="116"/>
  <c r="D1340" i="116"/>
  <c r="C1340" i="116"/>
  <c r="B1340" i="116"/>
  <c r="K1339" i="116"/>
  <c r="J1339" i="116"/>
  <c r="I1339" i="116"/>
  <c r="H1339" i="116"/>
  <c r="G1339" i="116"/>
  <c r="F1339" i="116"/>
  <c r="E1339" i="116"/>
  <c r="D1339" i="116"/>
  <c r="C1339" i="116"/>
  <c r="B1339" i="116"/>
  <c r="K1338" i="116"/>
  <c r="J1338" i="116"/>
  <c r="I1338" i="116"/>
  <c r="H1338" i="116"/>
  <c r="G1338" i="116"/>
  <c r="F1338" i="116"/>
  <c r="E1338" i="116"/>
  <c r="D1338" i="116"/>
  <c r="C1338" i="116"/>
  <c r="B1338" i="116"/>
  <c r="K1337" i="116"/>
  <c r="J1337" i="116"/>
  <c r="I1337" i="116"/>
  <c r="H1337" i="116"/>
  <c r="G1337" i="116"/>
  <c r="F1337" i="116"/>
  <c r="E1337" i="116"/>
  <c r="D1337" i="116"/>
  <c r="C1337" i="116"/>
  <c r="B1337" i="116"/>
  <c r="K1336" i="116"/>
  <c r="J1336" i="116"/>
  <c r="I1336" i="116"/>
  <c r="H1336" i="116"/>
  <c r="G1336" i="116"/>
  <c r="F1336" i="116"/>
  <c r="E1336" i="116"/>
  <c r="D1336" i="116"/>
  <c r="C1336" i="116"/>
  <c r="B1336" i="116"/>
  <c r="K1335" i="116"/>
  <c r="J1335" i="116"/>
  <c r="I1335" i="116"/>
  <c r="H1335" i="116"/>
  <c r="G1335" i="116"/>
  <c r="F1335" i="116"/>
  <c r="E1335" i="116"/>
  <c r="D1335" i="116"/>
  <c r="C1335" i="116"/>
  <c r="B1335" i="116"/>
  <c r="K1334" i="116"/>
  <c r="J1334" i="116"/>
  <c r="I1334" i="116"/>
  <c r="H1334" i="116"/>
  <c r="G1334" i="116"/>
  <c r="F1334" i="116"/>
  <c r="E1334" i="116"/>
  <c r="D1334" i="116"/>
  <c r="C1334" i="116"/>
  <c r="B1334" i="116"/>
  <c r="K1333" i="116"/>
  <c r="J1333" i="116"/>
  <c r="I1333" i="116"/>
  <c r="H1333" i="116"/>
  <c r="G1333" i="116"/>
  <c r="F1333" i="116"/>
  <c r="E1333" i="116"/>
  <c r="D1333" i="116"/>
  <c r="C1333" i="116"/>
  <c r="B1333" i="116"/>
  <c r="K1332" i="116"/>
  <c r="J1332" i="116"/>
  <c r="I1332" i="116"/>
  <c r="H1332" i="116"/>
  <c r="G1332" i="116"/>
  <c r="F1332" i="116"/>
  <c r="E1332" i="116"/>
  <c r="D1332" i="116"/>
  <c r="C1332" i="116"/>
  <c r="B1332" i="116"/>
  <c r="K1331" i="116"/>
  <c r="J1331" i="116"/>
  <c r="I1331" i="116"/>
  <c r="H1331" i="116"/>
  <c r="G1331" i="116"/>
  <c r="F1331" i="116"/>
  <c r="E1331" i="116"/>
  <c r="D1331" i="116"/>
  <c r="C1331" i="116"/>
  <c r="B1331" i="116"/>
  <c r="K1330" i="116"/>
  <c r="J1330" i="116"/>
  <c r="I1330" i="116"/>
  <c r="H1330" i="116"/>
  <c r="G1330" i="116"/>
  <c r="F1330" i="116"/>
  <c r="E1330" i="116"/>
  <c r="D1330" i="116"/>
  <c r="C1330" i="116"/>
  <c r="B1330" i="116"/>
  <c r="K1329" i="116"/>
  <c r="J1329" i="116"/>
  <c r="I1329" i="116"/>
  <c r="H1329" i="116"/>
  <c r="G1329" i="116"/>
  <c r="F1329" i="116"/>
  <c r="E1329" i="116"/>
  <c r="D1329" i="116"/>
  <c r="C1329" i="116"/>
  <c r="B1329" i="116"/>
  <c r="K1328" i="116"/>
  <c r="J1328" i="116"/>
  <c r="I1328" i="116"/>
  <c r="H1328" i="116"/>
  <c r="G1328" i="116"/>
  <c r="F1328" i="116"/>
  <c r="E1328" i="116"/>
  <c r="D1328" i="116"/>
  <c r="C1328" i="116"/>
  <c r="B1328" i="116"/>
  <c r="K1327" i="116"/>
  <c r="J1327" i="116"/>
  <c r="I1327" i="116"/>
  <c r="H1327" i="116"/>
  <c r="G1327" i="116"/>
  <c r="F1327" i="116"/>
  <c r="E1327" i="116"/>
  <c r="D1327" i="116"/>
  <c r="C1327" i="116"/>
  <c r="B1327" i="116"/>
  <c r="K1326" i="116"/>
  <c r="J1326" i="116"/>
  <c r="I1326" i="116"/>
  <c r="H1326" i="116"/>
  <c r="G1326" i="116"/>
  <c r="F1326" i="116"/>
  <c r="E1326" i="116"/>
  <c r="D1326" i="116"/>
  <c r="C1326" i="116"/>
  <c r="B1326" i="116"/>
  <c r="K1325" i="116"/>
  <c r="J1325" i="116"/>
  <c r="I1325" i="116"/>
  <c r="H1325" i="116"/>
  <c r="G1325" i="116"/>
  <c r="F1325" i="116"/>
  <c r="E1325" i="116"/>
  <c r="D1325" i="116"/>
  <c r="C1325" i="116"/>
  <c r="B1325" i="116"/>
  <c r="K1324" i="116"/>
  <c r="J1324" i="116"/>
  <c r="I1324" i="116"/>
  <c r="H1324" i="116"/>
  <c r="G1324" i="116"/>
  <c r="F1324" i="116"/>
  <c r="E1324" i="116"/>
  <c r="D1324" i="116"/>
  <c r="C1324" i="116"/>
  <c r="B1324" i="116"/>
  <c r="K1323" i="116"/>
  <c r="J1323" i="116"/>
  <c r="I1323" i="116"/>
  <c r="H1323" i="116"/>
  <c r="G1323" i="116"/>
  <c r="F1323" i="116"/>
  <c r="E1323" i="116"/>
  <c r="D1323" i="116"/>
  <c r="C1323" i="116"/>
  <c r="B1323" i="116"/>
  <c r="K1322" i="116"/>
  <c r="J1322" i="116"/>
  <c r="I1322" i="116"/>
  <c r="H1322" i="116"/>
  <c r="G1322" i="116"/>
  <c r="F1322" i="116"/>
  <c r="E1322" i="116"/>
  <c r="D1322" i="116"/>
  <c r="C1322" i="116"/>
  <c r="B1322" i="116"/>
  <c r="K1321" i="116"/>
  <c r="J1321" i="116"/>
  <c r="I1321" i="116"/>
  <c r="H1321" i="116"/>
  <c r="G1321" i="116"/>
  <c r="F1321" i="116"/>
  <c r="E1321" i="116"/>
  <c r="D1321" i="116"/>
  <c r="C1321" i="116"/>
  <c r="B1321" i="116"/>
  <c r="K1320" i="116"/>
  <c r="J1320" i="116"/>
  <c r="I1320" i="116"/>
  <c r="H1320" i="116"/>
  <c r="G1320" i="116"/>
  <c r="F1320" i="116"/>
  <c r="E1320" i="116"/>
  <c r="D1320" i="116"/>
  <c r="C1320" i="116"/>
  <c r="B1320" i="116"/>
  <c r="K1319" i="116"/>
  <c r="J1319" i="116"/>
  <c r="I1319" i="116"/>
  <c r="H1319" i="116"/>
  <c r="G1319" i="116"/>
  <c r="F1319" i="116"/>
  <c r="E1319" i="116"/>
  <c r="D1319" i="116"/>
  <c r="C1319" i="116"/>
  <c r="B1319" i="116"/>
  <c r="K1318" i="116"/>
  <c r="J1318" i="116"/>
  <c r="I1318" i="116"/>
  <c r="H1318" i="116"/>
  <c r="G1318" i="116"/>
  <c r="F1318" i="116"/>
  <c r="E1318" i="116"/>
  <c r="D1318" i="116"/>
  <c r="C1318" i="116"/>
  <c r="B1318" i="116"/>
  <c r="K1317" i="116"/>
  <c r="J1317" i="116"/>
  <c r="I1317" i="116"/>
  <c r="H1317" i="116"/>
  <c r="G1317" i="116"/>
  <c r="F1317" i="116"/>
  <c r="E1317" i="116"/>
  <c r="D1317" i="116"/>
  <c r="C1317" i="116"/>
  <c r="B1317" i="116"/>
  <c r="K1316" i="116"/>
  <c r="J1316" i="116"/>
  <c r="I1316" i="116"/>
  <c r="H1316" i="116"/>
  <c r="G1316" i="116"/>
  <c r="F1316" i="116"/>
  <c r="E1316" i="116"/>
  <c r="D1316" i="116"/>
  <c r="C1316" i="116"/>
  <c r="B1316" i="116"/>
  <c r="K1315" i="116"/>
  <c r="J1315" i="116"/>
  <c r="I1315" i="116"/>
  <c r="H1315" i="116"/>
  <c r="G1315" i="116"/>
  <c r="F1315" i="116"/>
  <c r="E1315" i="116"/>
  <c r="D1315" i="116"/>
  <c r="C1315" i="116"/>
  <c r="B1315" i="116"/>
  <c r="K1314" i="116"/>
  <c r="J1314" i="116"/>
  <c r="I1314" i="116"/>
  <c r="H1314" i="116"/>
  <c r="G1314" i="116"/>
  <c r="F1314" i="116"/>
  <c r="E1314" i="116"/>
  <c r="D1314" i="116"/>
  <c r="C1314" i="116"/>
  <c r="B1314" i="116"/>
  <c r="K1313" i="116"/>
  <c r="J1313" i="116"/>
  <c r="I1313" i="116"/>
  <c r="H1313" i="116"/>
  <c r="G1313" i="116"/>
  <c r="F1313" i="116"/>
  <c r="E1313" i="116"/>
  <c r="D1313" i="116"/>
  <c r="C1313" i="116"/>
  <c r="B1313" i="116"/>
  <c r="K1312" i="116"/>
  <c r="J1312" i="116"/>
  <c r="I1312" i="116"/>
  <c r="H1312" i="116"/>
  <c r="G1312" i="116"/>
  <c r="F1312" i="116"/>
  <c r="E1312" i="116"/>
  <c r="D1312" i="116"/>
  <c r="C1312" i="116"/>
  <c r="B1312" i="116"/>
  <c r="K1311" i="116"/>
  <c r="J1311" i="116"/>
  <c r="I1311" i="116"/>
  <c r="H1311" i="116"/>
  <c r="G1311" i="116"/>
  <c r="F1311" i="116"/>
  <c r="E1311" i="116"/>
  <c r="D1311" i="116"/>
  <c r="C1311" i="116"/>
  <c r="B1311" i="116"/>
  <c r="K1310" i="116"/>
  <c r="J1310" i="116"/>
  <c r="I1310" i="116"/>
  <c r="H1310" i="116"/>
  <c r="G1310" i="116"/>
  <c r="F1310" i="116"/>
  <c r="E1310" i="116"/>
  <c r="D1310" i="116"/>
  <c r="C1310" i="116"/>
  <c r="B1310" i="116"/>
  <c r="K1309" i="116"/>
  <c r="J1309" i="116"/>
  <c r="I1309" i="116"/>
  <c r="H1309" i="116"/>
  <c r="G1309" i="116"/>
  <c r="F1309" i="116"/>
  <c r="E1309" i="116"/>
  <c r="D1309" i="116"/>
  <c r="C1309" i="116"/>
  <c r="B1309" i="116"/>
  <c r="K1308" i="116"/>
  <c r="J1308" i="116"/>
  <c r="I1308" i="116"/>
  <c r="H1308" i="116"/>
  <c r="G1308" i="116"/>
  <c r="F1308" i="116"/>
  <c r="E1308" i="116"/>
  <c r="D1308" i="116"/>
  <c r="C1308" i="116"/>
  <c r="B1308" i="116"/>
  <c r="K1307" i="116"/>
  <c r="J1307" i="116"/>
  <c r="I1307" i="116"/>
  <c r="H1307" i="116"/>
  <c r="G1307" i="116"/>
  <c r="F1307" i="116"/>
  <c r="E1307" i="116"/>
  <c r="D1307" i="116"/>
  <c r="C1307" i="116"/>
  <c r="B1307" i="116"/>
  <c r="K1306" i="116"/>
  <c r="J1306" i="116"/>
  <c r="I1306" i="116"/>
  <c r="H1306" i="116"/>
  <c r="G1306" i="116"/>
  <c r="F1306" i="116"/>
  <c r="E1306" i="116"/>
  <c r="D1306" i="116"/>
  <c r="C1306" i="116"/>
  <c r="B1306" i="116"/>
  <c r="K1305" i="116"/>
  <c r="J1305" i="116"/>
  <c r="I1305" i="116"/>
  <c r="H1305" i="116"/>
  <c r="G1305" i="116"/>
  <c r="F1305" i="116"/>
  <c r="E1305" i="116"/>
  <c r="D1305" i="116"/>
  <c r="C1305" i="116"/>
  <c r="B1305" i="116"/>
  <c r="K1304" i="116"/>
  <c r="J1304" i="116"/>
  <c r="I1304" i="116"/>
  <c r="H1304" i="116"/>
  <c r="G1304" i="116"/>
  <c r="F1304" i="116"/>
  <c r="E1304" i="116"/>
  <c r="D1304" i="116"/>
  <c r="C1304" i="116"/>
  <c r="B1304" i="116"/>
  <c r="K1303" i="116"/>
  <c r="J1303" i="116"/>
  <c r="I1303" i="116"/>
  <c r="H1303" i="116"/>
  <c r="G1303" i="116"/>
  <c r="F1303" i="116"/>
  <c r="E1303" i="116"/>
  <c r="D1303" i="116"/>
  <c r="C1303" i="116"/>
  <c r="B1303" i="116"/>
  <c r="K1302" i="116"/>
  <c r="J1302" i="116"/>
  <c r="I1302" i="116"/>
  <c r="H1302" i="116"/>
  <c r="G1302" i="116"/>
  <c r="F1302" i="116"/>
  <c r="E1302" i="116"/>
  <c r="D1302" i="116"/>
  <c r="C1302" i="116"/>
  <c r="B1302" i="116"/>
  <c r="K1301" i="116"/>
  <c r="J1301" i="116"/>
  <c r="I1301" i="116"/>
  <c r="H1301" i="116"/>
  <c r="G1301" i="116"/>
  <c r="F1301" i="116"/>
  <c r="E1301" i="116"/>
  <c r="D1301" i="116"/>
  <c r="C1301" i="116"/>
  <c r="B1301" i="116"/>
  <c r="K1300" i="116"/>
  <c r="J1300" i="116"/>
  <c r="I1300" i="116"/>
  <c r="H1300" i="116"/>
  <c r="G1300" i="116"/>
  <c r="F1300" i="116"/>
  <c r="E1300" i="116"/>
  <c r="D1300" i="116"/>
  <c r="C1300" i="116"/>
  <c r="B1300" i="116"/>
  <c r="K1299" i="116"/>
  <c r="J1299" i="116"/>
  <c r="I1299" i="116"/>
  <c r="H1299" i="116"/>
  <c r="G1299" i="116"/>
  <c r="F1299" i="116"/>
  <c r="E1299" i="116"/>
  <c r="D1299" i="116"/>
  <c r="C1299" i="116"/>
  <c r="B1299" i="116"/>
  <c r="K1298" i="116"/>
  <c r="J1298" i="116"/>
  <c r="I1298" i="116"/>
  <c r="H1298" i="116"/>
  <c r="G1298" i="116"/>
  <c r="F1298" i="116"/>
  <c r="E1298" i="116"/>
  <c r="D1298" i="116"/>
  <c r="C1298" i="116"/>
  <c r="B1298" i="116"/>
  <c r="K1297" i="116"/>
  <c r="J1297" i="116"/>
  <c r="I1297" i="116"/>
  <c r="H1297" i="116"/>
  <c r="G1297" i="116"/>
  <c r="F1297" i="116"/>
  <c r="E1297" i="116"/>
  <c r="D1297" i="116"/>
  <c r="C1297" i="116"/>
  <c r="B1297" i="116"/>
  <c r="K1296" i="116"/>
  <c r="J1296" i="116"/>
  <c r="I1296" i="116"/>
  <c r="H1296" i="116"/>
  <c r="G1296" i="116"/>
  <c r="F1296" i="116"/>
  <c r="E1296" i="116"/>
  <c r="D1296" i="116"/>
  <c r="C1296" i="116"/>
  <c r="B1296" i="116"/>
  <c r="K1295" i="116"/>
  <c r="J1295" i="116"/>
  <c r="I1295" i="116"/>
  <c r="H1295" i="116"/>
  <c r="G1295" i="116"/>
  <c r="F1295" i="116"/>
  <c r="E1295" i="116"/>
  <c r="D1295" i="116"/>
  <c r="C1295" i="116"/>
  <c r="B1295" i="116"/>
  <c r="K1294" i="116"/>
  <c r="J1294" i="116"/>
  <c r="I1294" i="116"/>
  <c r="H1294" i="116"/>
  <c r="G1294" i="116"/>
  <c r="F1294" i="116"/>
  <c r="E1294" i="116"/>
  <c r="D1294" i="116"/>
  <c r="C1294" i="116"/>
  <c r="B1294" i="116"/>
  <c r="K1293" i="116"/>
  <c r="J1293" i="116"/>
  <c r="I1293" i="116"/>
  <c r="H1293" i="116"/>
  <c r="G1293" i="116"/>
  <c r="F1293" i="116"/>
  <c r="E1293" i="116"/>
  <c r="D1293" i="116"/>
  <c r="C1293" i="116"/>
  <c r="B1293" i="116"/>
  <c r="K1292" i="116"/>
  <c r="J1292" i="116"/>
  <c r="I1292" i="116"/>
  <c r="H1292" i="116"/>
  <c r="G1292" i="116"/>
  <c r="F1292" i="116"/>
  <c r="E1292" i="116"/>
  <c r="D1292" i="116"/>
  <c r="C1292" i="116"/>
  <c r="B1292" i="116"/>
  <c r="K1291" i="116"/>
  <c r="J1291" i="116"/>
  <c r="I1291" i="116"/>
  <c r="H1291" i="116"/>
  <c r="G1291" i="116"/>
  <c r="F1291" i="116"/>
  <c r="E1291" i="116"/>
  <c r="D1291" i="116"/>
  <c r="C1291" i="116"/>
  <c r="B1291" i="116"/>
  <c r="K1290" i="116"/>
  <c r="J1290" i="116"/>
  <c r="I1290" i="116"/>
  <c r="H1290" i="116"/>
  <c r="G1290" i="116"/>
  <c r="F1290" i="116"/>
  <c r="E1290" i="116"/>
  <c r="D1290" i="116"/>
  <c r="C1290" i="116"/>
  <c r="B1290" i="116"/>
  <c r="K1289" i="116"/>
  <c r="J1289" i="116"/>
  <c r="I1289" i="116"/>
  <c r="H1289" i="116"/>
  <c r="G1289" i="116"/>
  <c r="F1289" i="116"/>
  <c r="E1289" i="116"/>
  <c r="D1289" i="116"/>
  <c r="C1289" i="116"/>
  <c r="B1289" i="116"/>
  <c r="K1288" i="116"/>
  <c r="J1288" i="116"/>
  <c r="I1288" i="116"/>
  <c r="H1288" i="116"/>
  <c r="G1288" i="116"/>
  <c r="F1288" i="116"/>
  <c r="E1288" i="116"/>
  <c r="D1288" i="116"/>
  <c r="C1288" i="116"/>
  <c r="B1288" i="116"/>
  <c r="K1287" i="116"/>
  <c r="J1287" i="116"/>
  <c r="I1287" i="116"/>
  <c r="H1287" i="116"/>
  <c r="G1287" i="116"/>
  <c r="F1287" i="116"/>
  <c r="E1287" i="116"/>
  <c r="D1287" i="116"/>
  <c r="C1287" i="116"/>
  <c r="B1287" i="116"/>
  <c r="K1286" i="116"/>
  <c r="J1286" i="116"/>
  <c r="I1286" i="116"/>
  <c r="H1286" i="116"/>
  <c r="G1286" i="116"/>
  <c r="F1286" i="116"/>
  <c r="E1286" i="116"/>
  <c r="D1286" i="116"/>
  <c r="C1286" i="116"/>
  <c r="B1286" i="116"/>
  <c r="K1285" i="116"/>
  <c r="J1285" i="116"/>
  <c r="I1285" i="116"/>
  <c r="H1285" i="116"/>
  <c r="G1285" i="116"/>
  <c r="F1285" i="116"/>
  <c r="E1285" i="116"/>
  <c r="D1285" i="116"/>
  <c r="C1285" i="116"/>
  <c r="B1285" i="116"/>
  <c r="K1284" i="116"/>
  <c r="J1284" i="116"/>
  <c r="I1284" i="116"/>
  <c r="H1284" i="116"/>
  <c r="G1284" i="116"/>
  <c r="F1284" i="116"/>
  <c r="E1284" i="116"/>
  <c r="D1284" i="116"/>
  <c r="C1284" i="116"/>
  <c r="B1284" i="116"/>
  <c r="K1283" i="116"/>
  <c r="J1283" i="116"/>
  <c r="I1283" i="116"/>
  <c r="H1283" i="116"/>
  <c r="G1283" i="116"/>
  <c r="F1283" i="116"/>
  <c r="E1283" i="116"/>
  <c r="D1283" i="116"/>
  <c r="C1283" i="116"/>
  <c r="B1283" i="116"/>
  <c r="K1282" i="116"/>
  <c r="J1282" i="116"/>
  <c r="I1282" i="116"/>
  <c r="H1282" i="116"/>
  <c r="G1282" i="116"/>
  <c r="F1282" i="116"/>
  <c r="E1282" i="116"/>
  <c r="D1282" i="116"/>
  <c r="C1282" i="116"/>
  <c r="B1282" i="116"/>
  <c r="K1281" i="116"/>
  <c r="J1281" i="116"/>
  <c r="I1281" i="116"/>
  <c r="H1281" i="116"/>
  <c r="G1281" i="116"/>
  <c r="F1281" i="116"/>
  <c r="E1281" i="116"/>
  <c r="D1281" i="116"/>
  <c r="C1281" i="116"/>
  <c r="B1281" i="116"/>
  <c r="K1280" i="116"/>
  <c r="J1280" i="116"/>
  <c r="I1280" i="116"/>
  <c r="H1280" i="116"/>
  <c r="G1280" i="116"/>
  <c r="F1280" i="116"/>
  <c r="E1280" i="116"/>
  <c r="D1280" i="116"/>
  <c r="C1280" i="116"/>
  <c r="B1280" i="116"/>
  <c r="K1279" i="116"/>
  <c r="J1279" i="116"/>
  <c r="I1279" i="116"/>
  <c r="H1279" i="116"/>
  <c r="G1279" i="116"/>
  <c r="F1279" i="116"/>
  <c r="E1279" i="116"/>
  <c r="D1279" i="116"/>
  <c r="C1279" i="116"/>
  <c r="B1279" i="116"/>
  <c r="K1278" i="116"/>
  <c r="J1278" i="116"/>
  <c r="I1278" i="116"/>
  <c r="H1278" i="116"/>
  <c r="G1278" i="116"/>
  <c r="F1278" i="116"/>
  <c r="E1278" i="116"/>
  <c r="D1278" i="116"/>
  <c r="C1278" i="116"/>
  <c r="B1278" i="116"/>
  <c r="K1277" i="116"/>
  <c r="J1277" i="116"/>
  <c r="I1277" i="116"/>
  <c r="H1277" i="116"/>
  <c r="G1277" i="116"/>
  <c r="F1277" i="116"/>
  <c r="E1277" i="116"/>
  <c r="D1277" i="116"/>
  <c r="C1277" i="116"/>
  <c r="B1277" i="116"/>
  <c r="K1276" i="116"/>
  <c r="J1276" i="116"/>
  <c r="I1276" i="116"/>
  <c r="H1276" i="116"/>
  <c r="G1276" i="116"/>
  <c r="F1276" i="116"/>
  <c r="E1276" i="116"/>
  <c r="D1276" i="116"/>
  <c r="C1276" i="116"/>
  <c r="B1276" i="116"/>
  <c r="K1275" i="116"/>
  <c r="J1275" i="116"/>
  <c r="I1275" i="116"/>
  <c r="H1275" i="116"/>
  <c r="G1275" i="116"/>
  <c r="F1275" i="116"/>
  <c r="E1275" i="116"/>
  <c r="D1275" i="116"/>
  <c r="C1275" i="116"/>
  <c r="B1275" i="116"/>
  <c r="K1274" i="116"/>
  <c r="J1274" i="116"/>
  <c r="I1274" i="116"/>
  <c r="H1274" i="116"/>
  <c r="G1274" i="116"/>
  <c r="F1274" i="116"/>
  <c r="E1274" i="116"/>
  <c r="D1274" i="116"/>
  <c r="C1274" i="116"/>
  <c r="B1274" i="116"/>
  <c r="K1273" i="116"/>
  <c r="J1273" i="116"/>
  <c r="I1273" i="116"/>
  <c r="H1273" i="116"/>
  <c r="G1273" i="116"/>
  <c r="F1273" i="116"/>
  <c r="E1273" i="116"/>
  <c r="D1273" i="116"/>
  <c r="C1273" i="116"/>
  <c r="B1273" i="116"/>
  <c r="K1272" i="116"/>
  <c r="J1272" i="116"/>
  <c r="I1272" i="116"/>
  <c r="H1272" i="116"/>
  <c r="G1272" i="116"/>
  <c r="F1272" i="116"/>
  <c r="E1272" i="116"/>
  <c r="D1272" i="116"/>
  <c r="C1272" i="116"/>
  <c r="B1272" i="116"/>
  <c r="K1271" i="116"/>
  <c r="J1271" i="116"/>
  <c r="I1271" i="116"/>
  <c r="H1271" i="116"/>
  <c r="G1271" i="116"/>
  <c r="F1271" i="116"/>
  <c r="E1271" i="116"/>
  <c r="D1271" i="116"/>
  <c r="C1271" i="116"/>
  <c r="B1271" i="116"/>
  <c r="K1270" i="116"/>
  <c r="J1270" i="116"/>
  <c r="I1270" i="116"/>
  <c r="H1270" i="116"/>
  <c r="G1270" i="116"/>
  <c r="F1270" i="116"/>
  <c r="E1270" i="116"/>
  <c r="D1270" i="116"/>
  <c r="C1270" i="116"/>
  <c r="B1270" i="116"/>
  <c r="K1269" i="116"/>
  <c r="J1269" i="116"/>
  <c r="I1269" i="116"/>
  <c r="H1269" i="116"/>
  <c r="G1269" i="116"/>
  <c r="F1269" i="116"/>
  <c r="E1269" i="116"/>
  <c r="D1269" i="116"/>
  <c r="C1269" i="116"/>
  <c r="B1269" i="116"/>
  <c r="K1268" i="116"/>
  <c r="J1268" i="116"/>
  <c r="I1268" i="116"/>
  <c r="H1268" i="116"/>
  <c r="G1268" i="116"/>
  <c r="F1268" i="116"/>
  <c r="E1268" i="116"/>
  <c r="D1268" i="116"/>
  <c r="C1268" i="116"/>
  <c r="B1268" i="116"/>
  <c r="K1267" i="116"/>
  <c r="J1267" i="116"/>
  <c r="I1267" i="116"/>
  <c r="H1267" i="116"/>
  <c r="G1267" i="116"/>
  <c r="F1267" i="116"/>
  <c r="E1267" i="116"/>
  <c r="D1267" i="116"/>
  <c r="C1267" i="116"/>
  <c r="B1267" i="116"/>
  <c r="K1266" i="116"/>
  <c r="J1266" i="116"/>
  <c r="I1266" i="116"/>
  <c r="H1266" i="116"/>
  <c r="G1266" i="116"/>
  <c r="F1266" i="116"/>
  <c r="E1266" i="116"/>
  <c r="D1266" i="116"/>
  <c r="C1266" i="116"/>
  <c r="B1266" i="116"/>
  <c r="K1265" i="116"/>
  <c r="J1265" i="116"/>
  <c r="I1265" i="116"/>
  <c r="H1265" i="116"/>
  <c r="G1265" i="116"/>
  <c r="F1265" i="116"/>
  <c r="E1265" i="116"/>
  <c r="D1265" i="116"/>
  <c r="C1265" i="116"/>
  <c r="B1265" i="116"/>
  <c r="K1264" i="116"/>
  <c r="J1264" i="116"/>
  <c r="I1264" i="116"/>
  <c r="H1264" i="116"/>
  <c r="G1264" i="116"/>
  <c r="F1264" i="116"/>
  <c r="E1264" i="116"/>
  <c r="D1264" i="116"/>
  <c r="C1264" i="116"/>
  <c r="B1264" i="116"/>
  <c r="K1263" i="116"/>
  <c r="J1263" i="116"/>
  <c r="I1263" i="116"/>
  <c r="H1263" i="116"/>
  <c r="G1263" i="116"/>
  <c r="F1263" i="116"/>
  <c r="E1263" i="116"/>
  <c r="D1263" i="116"/>
  <c r="C1263" i="116"/>
  <c r="B1263" i="116"/>
  <c r="K1262" i="116"/>
  <c r="J1262" i="116"/>
  <c r="I1262" i="116"/>
  <c r="H1262" i="116"/>
  <c r="G1262" i="116"/>
  <c r="F1262" i="116"/>
  <c r="E1262" i="116"/>
  <c r="D1262" i="116"/>
  <c r="C1262" i="116"/>
  <c r="B1262" i="116"/>
  <c r="K1261" i="116"/>
  <c r="J1261" i="116"/>
  <c r="I1261" i="116"/>
  <c r="H1261" i="116"/>
  <c r="G1261" i="116"/>
  <c r="F1261" i="116"/>
  <c r="E1261" i="116"/>
  <c r="D1261" i="116"/>
  <c r="C1261" i="116"/>
  <c r="B1261" i="116"/>
  <c r="K1260" i="116"/>
  <c r="J1260" i="116"/>
  <c r="I1260" i="116"/>
  <c r="H1260" i="116"/>
  <c r="G1260" i="116"/>
  <c r="F1260" i="116"/>
  <c r="E1260" i="116"/>
  <c r="D1260" i="116"/>
  <c r="C1260" i="116"/>
  <c r="B1260" i="116"/>
  <c r="K1259" i="116"/>
  <c r="J1259" i="116"/>
  <c r="I1259" i="116"/>
  <c r="H1259" i="116"/>
  <c r="G1259" i="116"/>
  <c r="F1259" i="116"/>
  <c r="E1259" i="116"/>
  <c r="D1259" i="116"/>
  <c r="C1259" i="116"/>
  <c r="B1259" i="116"/>
  <c r="K1258" i="116"/>
  <c r="J1258" i="116"/>
  <c r="I1258" i="116"/>
  <c r="H1258" i="116"/>
  <c r="G1258" i="116"/>
  <c r="F1258" i="116"/>
  <c r="E1258" i="116"/>
  <c r="D1258" i="116"/>
  <c r="C1258" i="116"/>
  <c r="B1258" i="116"/>
  <c r="K1257" i="116"/>
  <c r="J1257" i="116"/>
  <c r="I1257" i="116"/>
  <c r="H1257" i="116"/>
  <c r="G1257" i="116"/>
  <c r="F1257" i="116"/>
  <c r="E1257" i="116"/>
  <c r="D1257" i="116"/>
  <c r="C1257" i="116"/>
  <c r="B1257" i="116"/>
  <c r="K1256" i="116"/>
  <c r="J1256" i="116"/>
  <c r="I1256" i="116"/>
  <c r="H1256" i="116"/>
  <c r="G1256" i="116"/>
  <c r="F1256" i="116"/>
  <c r="E1256" i="116"/>
  <c r="D1256" i="116"/>
  <c r="C1256" i="116"/>
  <c r="B1256" i="116"/>
  <c r="K1255" i="116"/>
  <c r="J1255" i="116"/>
  <c r="I1255" i="116"/>
  <c r="H1255" i="116"/>
  <c r="G1255" i="116"/>
  <c r="F1255" i="116"/>
  <c r="E1255" i="116"/>
  <c r="D1255" i="116"/>
  <c r="C1255" i="116"/>
  <c r="B1255" i="116"/>
  <c r="K1254" i="116"/>
  <c r="J1254" i="116"/>
  <c r="I1254" i="116"/>
  <c r="H1254" i="116"/>
  <c r="G1254" i="116"/>
  <c r="F1254" i="116"/>
  <c r="E1254" i="116"/>
  <c r="D1254" i="116"/>
  <c r="C1254" i="116"/>
  <c r="B1254" i="116"/>
  <c r="K1253" i="116"/>
  <c r="J1253" i="116"/>
  <c r="I1253" i="116"/>
  <c r="H1253" i="116"/>
  <c r="G1253" i="116"/>
  <c r="F1253" i="116"/>
  <c r="E1253" i="116"/>
  <c r="D1253" i="116"/>
  <c r="C1253" i="116"/>
  <c r="B1253" i="116"/>
  <c r="K1252" i="116"/>
  <c r="J1252" i="116"/>
  <c r="I1252" i="116"/>
  <c r="H1252" i="116"/>
  <c r="G1252" i="116"/>
  <c r="F1252" i="116"/>
  <c r="E1252" i="116"/>
  <c r="D1252" i="116"/>
  <c r="C1252" i="116"/>
  <c r="B1252" i="116"/>
  <c r="K1251" i="116"/>
  <c r="J1251" i="116"/>
  <c r="I1251" i="116"/>
  <c r="H1251" i="116"/>
  <c r="G1251" i="116"/>
  <c r="F1251" i="116"/>
  <c r="E1251" i="116"/>
  <c r="D1251" i="116"/>
  <c r="C1251" i="116"/>
  <c r="B1251" i="116"/>
  <c r="K1250" i="116"/>
  <c r="J1250" i="116"/>
  <c r="I1250" i="116"/>
  <c r="H1250" i="116"/>
  <c r="G1250" i="116"/>
  <c r="F1250" i="116"/>
  <c r="E1250" i="116"/>
  <c r="D1250" i="116"/>
  <c r="C1250" i="116"/>
  <c r="B1250" i="116"/>
  <c r="K1249" i="116"/>
  <c r="J1249" i="116"/>
  <c r="I1249" i="116"/>
  <c r="H1249" i="116"/>
  <c r="G1249" i="116"/>
  <c r="F1249" i="116"/>
  <c r="E1249" i="116"/>
  <c r="D1249" i="116"/>
  <c r="C1249" i="116"/>
  <c r="B1249" i="116"/>
  <c r="K1248" i="116"/>
  <c r="J1248" i="116"/>
  <c r="I1248" i="116"/>
  <c r="H1248" i="116"/>
  <c r="G1248" i="116"/>
  <c r="F1248" i="116"/>
  <c r="E1248" i="116"/>
  <c r="D1248" i="116"/>
  <c r="C1248" i="116"/>
  <c r="B1248" i="116"/>
  <c r="K1247" i="116"/>
  <c r="J1247" i="116"/>
  <c r="I1247" i="116"/>
  <c r="H1247" i="116"/>
  <c r="G1247" i="116"/>
  <c r="F1247" i="116"/>
  <c r="E1247" i="116"/>
  <c r="D1247" i="116"/>
  <c r="C1247" i="116"/>
  <c r="B1247" i="116"/>
  <c r="K1246" i="116"/>
  <c r="J1246" i="116"/>
  <c r="I1246" i="116"/>
  <c r="H1246" i="116"/>
  <c r="G1246" i="116"/>
  <c r="F1246" i="116"/>
  <c r="E1246" i="116"/>
  <c r="D1246" i="116"/>
  <c r="C1246" i="116"/>
  <c r="B1246" i="116"/>
  <c r="K1245" i="116"/>
  <c r="J1245" i="116"/>
  <c r="I1245" i="116"/>
  <c r="H1245" i="116"/>
  <c r="G1245" i="116"/>
  <c r="F1245" i="116"/>
  <c r="E1245" i="116"/>
  <c r="D1245" i="116"/>
  <c r="C1245" i="116"/>
  <c r="B1245" i="116"/>
  <c r="K1244" i="116"/>
  <c r="J1244" i="116"/>
  <c r="I1244" i="116"/>
  <c r="H1244" i="116"/>
  <c r="G1244" i="116"/>
  <c r="F1244" i="116"/>
  <c r="E1244" i="116"/>
  <c r="D1244" i="116"/>
  <c r="C1244" i="116"/>
  <c r="B1244" i="116"/>
  <c r="K1243" i="116"/>
  <c r="J1243" i="116"/>
  <c r="I1243" i="116"/>
  <c r="H1243" i="116"/>
  <c r="G1243" i="116"/>
  <c r="F1243" i="116"/>
  <c r="E1243" i="116"/>
  <c r="D1243" i="116"/>
  <c r="C1243" i="116"/>
  <c r="B1243" i="116"/>
  <c r="K1242" i="116"/>
  <c r="J1242" i="116"/>
  <c r="I1242" i="116"/>
  <c r="H1242" i="116"/>
  <c r="G1242" i="116"/>
  <c r="F1242" i="116"/>
  <c r="E1242" i="116"/>
  <c r="D1242" i="116"/>
  <c r="C1242" i="116"/>
  <c r="B1242" i="116"/>
  <c r="K1241" i="116"/>
  <c r="J1241" i="116"/>
  <c r="I1241" i="116"/>
  <c r="H1241" i="116"/>
  <c r="G1241" i="116"/>
  <c r="F1241" i="116"/>
  <c r="E1241" i="116"/>
  <c r="D1241" i="116"/>
  <c r="C1241" i="116"/>
  <c r="B1241" i="116"/>
  <c r="K1240" i="116"/>
  <c r="J1240" i="116"/>
  <c r="I1240" i="116"/>
  <c r="H1240" i="116"/>
  <c r="G1240" i="116"/>
  <c r="F1240" i="116"/>
  <c r="E1240" i="116"/>
  <c r="D1240" i="116"/>
  <c r="C1240" i="116"/>
  <c r="B1240" i="116"/>
  <c r="K1239" i="116"/>
  <c r="J1239" i="116"/>
  <c r="I1239" i="116"/>
  <c r="H1239" i="116"/>
  <c r="G1239" i="116"/>
  <c r="F1239" i="116"/>
  <c r="E1239" i="116"/>
  <c r="D1239" i="116"/>
  <c r="C1239" i="116"/>
  <c r="B1239" i="116"/>
  <c r="K1238" i="116"/>
  <c r="J1238" i="116"/>
  <c r="I1238" i="116"/>
  <c r="H1238" i="116"/>
  <c r="G1238" i="116"/>
  <c r="F1238" i="116"/>
  <c r="E1238" i="116"/>
  <c r="D1238" i="116"/>
  <c r="C1238" i="116"/>
  <c r="B1238" i="116"/>
  <c r="K1237" i="116"/>
  <c r="J1237" i="116"/>
  <c r="I1237" i="116"/>
  <c r="H1237" i="116"/>
  <c r="G1237" i="116"/>
  <c r="F1237" i="116"/>
  <c r="E1237" i="116"/>
  <c r="D1237" i="116"/>
  <c r="C1237" i="116"/>
  <c r="B1237" i="116"/>
  <c r="K1236" i="116"/>
  <c r="J1236" i="116"/>
  <c r="I1236" i="116"/>
  <c r="H1236" i="116"/>
  <c r="G1236" i="116"/>
  <c r="F1236" i="116"/>
  <c r="E1236" i="116"/>
  <c r="D1236" i="116"/>
  <c r="C1236" i="116"/>
  <c r="B1236" i="116"/>
  <c r="K1235" i="116"/>
  <c r="J1235" i="116"/>
  <c r="I1235" i="116"/>
  <c r="H1235" i="116"/>
  <c r="G1235" i="116"/>
  <c r="F1235" i="116"/>
  <c r="E1235" i="116"/>
  <c r="D1235" i="116"/>
  <c r="C1235" i="116"/>
  <c r="B1235" i="116"/>
  <c r="K1234" i="116"/>
  <c r="J1234" i="116"/>
  <c r="I1234" i="116"/>
  <c r="H1234" i="116"/>
  <c r="G1234" i="116"/>
  <c r="F1234" i="116"/>
  <c r="E1234" i="116"/>
  <c r="D1234" i="116"/>
  <c r="C1234" i="116"/>
  <c r="B1234" i="116"/>
  <c r="K1233" i="116"/>
  <c r="J1233" i="116"/>
  <c r="I1233" i="116"/>
  <c r="H1233" i="116"/>
  <c r="G1233" i="116"/>
  <c r="F1233" i="116"/>
  <c r="E1233" i="116"/>
  <c r="D1233" i="116"/>
  <c r="C1233" i="116"/>
  <c r="B1233" i="116"/>
  <c r="K1232" i="116"/>
  <c r="J1232" i="116"/>
  <c r="I1232" i="116"/>
  <c r="H1232" i="116"/>
  <c r="G1232" i="116"/>
  <c r="F1232" i="116"/>
  <c r="E1232" i="116"/>
  <c r="D1232" i="116"/>
  <c r="C1232" i="116"/>
  <c r="B1232" i="116"/>
  <c r="K1231" i="116"/>
  <c r="J1231" i="116"/>
  <c r="I1231" i="116"/>
  <c r="H1231" i="116"/>
  <c r="G1231" i="116"/>
  <c r="F1231" i="116"/>
  <c r="E1231" i="116"/>
  <c r="D1231" i="116"/>
  <c r="C1231" i="116"/>
  <c r="B1231" i="116"/>
  <c r="K1230" i="116"/>
  <c r="J1230" i="116"/>
  <c r="I1230" i="116"/>
  <c r="H1230" i="116"/>
  <c r="G1230" i="116"/>
  <c r="F1230" i="116"/>
  <c r="E1230" i="116"/>
  <c r="D1230" i="116"/>
  <c r="C1230" i="116"/>
  <c r="B1230" i="116"/>
  <c r="K1229" i="116"/>
  <c r="J1229" i="116"/>
  <c r="I1229" i="116"/>
  <c r="H1229" i="116"/>
  <c r="G1229" i="116"/>
  <c r="F1229" i="116"/>
  <c r="E1229" i="116"/>
  <c r="D1229" i="116"/>
  <c r="C1229" i="116"/>
  <c r="B1229" i="116"/>
  <c r="K1228" i="116"/>
  <c r="J1228" i="116"/>
  <c r="I1228" i="116"/>
  <c r="H1228" i="116"/>
  <c r="G1228" i="116"/>
  <c r="F1228" i="116"/>
  <c r="E1228" i="116"/>
  <c r="D1228" i="116"/>
  <c r="C1228" i="116"/>
  <c r="B1228" i="116"/>
  <c r="K1227" i="116"/>
  <c r="J1227" i="116"/>
  <c r="I1227" i="116"/>
  <c r="H1227" i="116"/>
  <c r="G1227" i="116"/>
  <c r="F1227" i="116"/>
  <c r="E1227" i="116"/>
  <c r="D1227" i="116"/>
  <c r="C1227" i="116"/>
  <c r="B1227" i="116"/>
  <c r="K1226" i="116"/>
  <c r="J1226" i="116"/>
  <c r="I1226" i="116"/>
  <c r="H1226" i="116"/>
  <c r="G1226" i="116"/>
  <c r="F1226" i="116"/>
  <c r="E1226" i="116"/>
  <c r="D1226" i="116"/>
  <c r="C1226" i="116"/>
  <c r="B1226" i="116"/>
  <c r="K1225" i="116"/>
  <c r="J1225" i="116"/>
  <c r="I1225" i="116"/>
  <c r="H1225" i="116"/>
  <c r="G1225" i="116"/>
  <c r="F1225" i="116"/>
  <c r="E1225" i="116"/>
  <c r="D1225" i="116"/>
  <c r="C1225" i="116"/>
  <c r="B1225" i="116"/>
  <c r="K1224" i="116"/>
  <c r="J1224" i="116"/>
  <c r="I1224" i="116"/>
  <c r="H1224" i="116"/>
  <c r="G1224" i="116"/>
  <c r="F1224" i="116"/>
  <c r="E1224" i="116"/>
  <c r="D1224" i="116"/>
  <c r="C1224" i="116"/>
  <c r="B1224" i="116"/>
  <c r="K1223" i="116"/>
  <c r="J1223" i="116"/>
  <c r="I1223" i="116"/>
  <c r="H1223" i="116"/>
  <c r="G1223" i="116"/>
  <c r="F1223" i="116"/>
  <c r="E1223" i="116"/>
  <c r="D1223" i="116"/>
  <c r="C1223" i="116"/>
  <c r="B1223" i="116"/>
  <c r="K1222" i="116"/>
  <c r="J1222" i="116"/>
  <c r="I1222" i="116"/>
  <c r="H1222" i="116"/>
  <c r="G1222" i="116"/>
  <c r="F1222" i="116"/>
  <c r="E1222" i="116"/>
  <c r="D1222" i="116"/>
  <c r="C1222" i="116"/>
  <c r="B1222" i="116"/>
  <c r="K1221" i="116"/>
  <c r="J1221" i="116"/>
  <c r="I1221" i="116"/>
  <c r="H1221" i="116"/>
  <c r="G1221" i="116"/>
  <c r="F1221" i="116"/>
  <c r="E1221" i="116"/>
  <c r="D1221" i="116"/>
  <c r="C1221" i="116"/>
  <c r="B1221" i="116"/>
  <c r="K1220" i="116"/>
  <c r="J1220" i="116"/>
  <c r="I1220" i="116"/>
  <c r="H1220" i="116"/>
  <c r="G1220" i="116"/>
  <c r="F1220" i="116"/>
  <c r="E1220" i="116"/>
  <c r="D1220" i="116"/>
  <c r="C1220" i="116"/>
  <c r="B1220" i="116"/>
  <c r="K1219" i="116"/>
  <c r="J1219" i="116"/>
  <c r="I1219" i="116"/>
  <c r="H1219" i="116"/>
  <c r="G1219" i="116"/>
  <c r="F1219" i="116"/>
  <c r="E1219" i="116"/>
  <c r="D1219" i="116"/>
  <c r="C1219" i="116"/>
  <c r="B1219" i="116"/>
  <c r="K1218" i="116"/>
  <c r="J1218" i="116"/>
  <c r="I1218" i="116"/>
  <c r="H1218" i="116"/>
  <c r="G1218" i="116"/>
  <c r="F1218" i="116"/>
  <c r="E1218" i="116"/>
  <c r="D1218" i="116"/>
  <c r="C1218" i="116"/>
  <c r="B1218" i="116"/>
  <c r="K1217" i="116"/>
  <c r="J1217" i="116"/>
  <c r="I1217" i="116"/>
  <c r="H1217" i="116"/>
  <c r="G1217" i="116"/>
  <c r="F1217" i="116"/>
  <c r="E1217" i="116"/>
  <c r="D1217" i="116"/>
  <c r="C1217" i="116"/>
  <c r="B1217" i="116"/>
  <c r="K1216" i="116"/>
  <c r="J1216" i="116"/>
  <c r="I1216" i="116"/>
  <c r="H1216" i="116"/>
  <c r="G1216" i="116"/>
  <c r="F1216" i="116"/>
  <c r="E1216" i="116"/>
  <c r="D1216" i="116"/>
  <c r="C1216" i="116"/>
  <c r="B1216" i="116"/>
  <c r="K1215" i="116"/>
  <c r="J1215" i="116"/>
  <c r="I1215" i="116"/>
  <c r="H1215" i="116"/>
  <c r="G1215" i="116"/>
  <c r="F1215" i="116"/>
  <c r="E1215" i="116"/>
  <c r="D1215" i="116"/>
  <c r="C1215" i="116"/>
  <c r="B1215" i="116"/>
  <c r="K1214" i="116"/>
  <c r="J1214" i="116"/>
  <c r="I1214" i="116"/>
  <c r="H1214" i="116"/>
  <c r="G1214" i="116"/>
  <c r="F1214" i="116"/>
  <c r="E1214" i="116"/>
  <c r="D1214" i="116"/>
  <c r="C1214" i="116"/>
  <c r="B1214" i="116"/>
  <c r="K1213" i="116"/>
  <c r="J1213" i="116"/>
  <c r="I1213" i="116"/>
  <c r="H1213" i="116"/>
  <c r="G1213" i="116"/>
  <c r="F1213" i="116"/>
  <c r="E1213" i="116"/>
  <c r="D1213" i="116"/>
  <c r="C1213" i="116"/>
  <c r="B1213" i="116"/>
  <c r="K1212" i="116"/>
  <c r="J1212" i="116"/>
  <c r="I1212" i="116"/>
  <c r="H1212" i="116"/>
  <c r="G1212" i="116"/>
  <c r="F1212" i="116"/>
  <c r="E1212" i="116"/>
  <c r="D1212" i="116"/>
  <c r="C1212" i="116"/>
  <c r="B1212" i="116"/>
  <c r="K1211" i="116"/>
  <c r="J1211" i="116"/>
  <c r="I1211" i="116"/>
  <c r="H1211" i="116"/>
  <c r="G1211" i="116"/>
  <c r="F1211" i="116"/>
  <c r="E1211" i="116"/>
  <c r="D1211" i="116"/>
  <c r="C1211" i="116"/>
  <c r="B1211" i="116"/>
  <c r="K1210" i="116"/>
  <c r="J1210" i="116"/>
  <c r="I1210" i="116"/>
  <c r="H1210" i="116"/>
  <c r="G1210" i="116"/>
  <c r="F1210" i="116"/>
  <c r="E1210" i="116"/>
  <c r="D1210" i="116"/>
  <c r="C1210" i="116"/>
  <c r="B1210" i="116"/>
  <c r="K1209" i="116"/>
  <c r="J1209" i="116"/>
  <c r="I1209" i="116"/>
  <c r="H1209" i="116"/>
  <c r="G1209" i="116"/>
  <c r="F1209" i="116"/>
  <c r="E1209" i="116"/>
  <c r="D1209" i="116"/>
  <c r="C1209" i="116"/>
  <c r="B1209" i="116"/>
  <c r="K1208" i="116"/>
  <c r="J1208" i="116"/>
  <c r="I1208" i="116"/>
  <c r="H1208" i="116"/>
  <c r="G1208" i="116"/>
  <c r="F1208" i="116"/>
  <c r="E1208" i="116"/>
  <c r="D1208" i="116"/>
  <c r="C1208" i="116"/>
  <c r="B1208" i="116"/>
  <c r="K1207" i="116"/>
  <c r="J1207" i="116"/>
  <c r="I1207" i="116"/>
  <c r="H1207" i="116"/>
  <c r="G1207" i="116"/>
  <c r="F1207" i="116"/>
  <c r="E1207" i="116"/>
  <c r="D1207" i="116"/>
  <c r="C1207" i="116"/>
  <c r="B1207" i="116"/>
  <c r="K1206" i="116"/>
  <c r="J1206" i="116"/>
  <c r="I1206" i="116"/>
  <c r="H1206" i="116"/>
  <c r="G1206" i="116"/>
  <c r="F1206" i="116"/>
  <c r="E1206" i="116"/>
  <c r="D1206" i="116"/>
  <c r="C1206" i="116"/>
  <c r="B1206" i="116"/>
  <c r="K1205" i="116"/>
  <c r="J1205" i="116"/>
  <c r="I1205" i="116"/>
  <c r="H1205" i="116"/>
  <c r="G1205" i="116"/>
  <c r="F1205" i="116"/>
  <c r="E1205" i="116"/>
  <c r="D1205" i="116"/>
  <c r="C1205" i="116"/>
  <c r="B1205" i="116"/>
  <c r="K1204" i="116"/>
  <c r="J1204" i="116"/>
  <c r="I1204" i="116"/>
  <c r="H1204" i="116"/>
  <c r="G1204" i="116"/>
  <c r="F1204" i="116"/>
  <c r="E1204" i="116"/>
  <c r="D1204" i="116"/>
  <c r="C1204" i="116"/>
  <c r="B1204" i="116"/>
  <c r="K1203" i="116"/>
  <c r="J1203" i="116"/>
  <c r="I1203" i="116"/>
  <c r="H1203" i="116"/>
  <c r="G1203" i="116"/>
  <c r="F1203" i="116"/>
  <c r="E1203" i="116"/>
  <c r="D1203" i="116"/>
  <c r="C1203" i="116"/>
  <c r="B1203" i="116"/>
  <c r="K1202" i="116"/>
  <c r="J1202" i="116"/>
  <c r="I1202" i="116"/>
  <c r="H1202" i="116"/>
  <c r="G1202" i="116"/>
  <c r="F1202" i="116"/>
  <c r="E1202" i="116"/>
  <c r="D1202" i="116"/>
  <c r="C1202" i="116"/>
  <c r="B1202" i="116"/>
  <c r="K1201" i="116"/>
  <c r="J1201" i="116"/>
  <c r="I1201" i="116"/>
  <c r="H1201" i="116"/>
  <c r="G1201" i="116"/>
  <c r="F1201" i="116"/>
  <c r="E1201" i="116"/>
  <c r="D1201" i="116"/>
  <c r="C1201" i="116"/>
  <c r="B1201" i="116"/>
  <c r="K1200" i="116"/>
  <c r="J1200" i="116"/>
  <c r="I1200" i="116"/>
  <c r="H1200" i="116"/>
  <c r="G1200" i="116"/>
  <c r="F1200" i="116"/>
  <c r="E1200" i="116"/>
  <c r="D1200" i="116"/>
  <c r="C1200" i="116"/>
  <c r="B1200" i="116"/>
  <c r="K1199" i="116"/>
  <c r="J1199" i="116"/>
  <c r="I1199" i="116"/>
  <c r="H1199" i="116"/>
  <c r="G1199" i="116"/>
  <c r="F1199" i="116"/>
  <c r="E1199" i="116"/>
  <c r="D1199" i="116"/>
  <c r="C1199" i="116"/>
  <c r="B1199" i="116"/>
  <c r="K1198" i="116"/>
  <c r="J1198" i="116"/>
  <c r="I1198" i="116"/>
  <c r="H1198" i="116"/>
  <c r="G1198" i="116"/>
  <c r="F1198" i="116"/>
  <c r="E1198" i="116"/>
  <c r="D1198" i="116"/>
  <c r="C1198" i="116"/>
  <c r="B1198" i="116"/>
  <c r="K1197" i="116"/>
  <c r="J1197" i="116"/>
  <c r="I1197" i="116"/>
  <c r="H1197" i="116"/>
  <c r="G1197" i="116"/>
  <c r="F1197" i="116"/>
  <c r="E1197" i="116"/>
  <c r="D1197" i="116"/>
  <c r="C1197" i="116"/>
  <c r="B1197" i="116"/>
  <c r="K1196" i="116"/>
  <c r="J1196" i="116"/>
  <c r="I1196" i="116"/>
  <c r="H1196" i="116"/>
  <c r="G1196" i="116"/>
  <c r="F1196" i="116"/>
  <c r="E1196" i="116"/>
  <c r="D1196" i="116"/>
  <c r="C1196" i="116"/>
  <c r="B1196" i="116"/>
  <c r="K1195" i="116"/>
  <c r="J1195" i="116"/>
  <c r="I1195" i="116"/>
  <c r="H1195" i="116"/>
  <c r="G1195" i="116"/>
  <c r="F1195" i="116"/>
  <c r="E1195" i="116"/>
  <c r="D1195" i="116"/>
  <c r="C1195" i="116"/>
  <c r="B1195" i="116"/>
  <c r="K1194" i="116"/>
  <c r="J1194" i="116"/>
  <c r="I1194" i="116"/>
  <c r="H1194" i="116"/>
  <c r="G1194" i="116"/>
  <c r="F1194" i="116"/>
  <c r="E1194" i="116"/>
  <c r="D1194" i="116"/>
  <c r="C1194" i="116"/>
  <c r="B1194" i="116"/>
  <c r="K1193" i="116"/>
  <c r="J1193" i="116"/>
  <c r="I1193" i="116"/>
  <c r="H1193" i="116"/>
  <c r="G1193" i="116"/>
  <c r="F1193" i="116"/>
  <c r="E1193" i="116"/>
  <c r="D1193" i="116"/>
  <c r="C1193" i="116"/>
  <c r="B1193" i="116"/>
  <c r="K1192" i="116"/>
  <c r="J1192" i="116"/>
  <c r="I1192" i="116"/>
  <c r="H1192" i="116"/>
  <c r="G1192" i="116"/>
  <c r="F1192" i="116"/>
  <c r="E1192" i="116"/>
  <c r="D1192" i="116"/>
  <c r="C1192" i="116"/>
  <c r="B1192" i="116"/>
  <c r="K1191" i="116"/>
  <c r="J1191" i="116"/>
  <c r="I1191" i="116"/>
  <c r="H1191" i="116"/>
  <c r="G1191" i="116"/>
  <c r="F1191" i="116"/>
  <c r="E1191" i="116"/>
  <c r="D1191" i="116"/>
  <c r="C1191" i="116"/>
  <c r="B1191" i="116"/>
  <c r="K1190" i="116"/>
  <c r="J1190" i="116"/>
  <c r="I1190" i="116"/>
  <c r="H1190" i="116"/>
  <c r="G1190" i="116"/>
  <c r="F1190" i="116"/>
  <c r="E1190" i="116"/>
  <c r="D1190" i="116"/>
  <c r="C1190" i="116"/>
  <c r="B1190" i="116"/>
  <c r="K1189" i="116"/>
  <c r="J1189" i="116"/>
  <c r="I1189" i="116"/>
  <c r="H1189" i="116"/>
  <c r="G1189" i="116"/>
  <c r="F1189" i="116"/>
  <c r="E1189" i="116"/>
  <c r="D1189" i="116"/>
  <c r="C1189" i="116"/>
  <c r="B1189" i="116"/>
  <c r="K1188" i="116"/>
  <c r="J1188" i="116"/>
  <c r="I1188" i="116"/>
  <c r="H1188" i="116"/>
  <c r="G1188" i="116"/>
  <c r="F1188" i="116"/>
  <c r="E1188" i="116"/>
  <c r="D1188" i="116"/>
  <c r="C1188" i="116"/>
  <c r="B1188" i="116"/>
  <c r="K1187" i="116"/>
  <c r="J1187" i="116"/>
  <c r="I1187" i="116"/>
  <c r="H1187" i="116"/>
  <c r="G1187" i="116"/>
  <c r="F1187" i="116"/>
  <c r="E1187" i="116"/>
  <c r="D1187" i="116"/>
  <c r="C1187" i="116"/>
  <c r="B1187" i="116"/>
  <c r="K1186" i="116"/>
  <c r="J1186" i="116"/>
  <c r="I1186" i="116"/>
  <c r="H1186" i="116"/>
  <c r="G1186" i="116"/>
  <c r="F1186" i="116"/>
  <c r="E1186" i="116"/>
  <c r="D1186" i="116"/>
  <c r="C1186" i="116"/>
  <c r="B1186" i="116"/>
  <c r="K1185" i="116"/>
  <c r="J1185" i="116"/>
  <c r="I1185" i="116"/>
  <c r="H1185" i="116"/>
  <c r="G1185" i="116"/>
  <c r="F1185" i="116"/>
  <c r="E1185" i="116"/>
  <c r="D1185" i="116"/>
  <c r="C1185" i="116"/>
  <c r="B1185" i="116"/>
  <c r="K1184" i="116"/>
  <c r="J1184" i="116"/>
  <c r="I1184" i="116"/>
  <c r="H1184" i="116"/>
  <c r="G1184" i="116"/>
  <c r="F1184" i="116"/>
  <c r="E1184" i="116"/>
  <c r="D1184" i="116"/>
  <c r="C1184" i="116"/>
  <c r="B1184" i="116"/>
  <c r="K1183" i="116"/>
  <c r="J1183" i="116"/>
  <c r="I1183" i="116"/>
  <c r="H1183" i="116"/>
  <c r="G1183" i="116"/>
  <c r="F1183" i="116"/>
  <c r="E1183" i="116"/>
  <c r="D1183" i="116"/>
  <c r="C1183" i="116"/>
  <c r="B1183" i="116"/>
  <c r="K1182" i="116"/>
  <c r="J1182" i="116"/>
  <c r="I1182" i="116"/>
  <c r="H1182" i="116"/>
  <c r="G1182" i="116"/>
  <c r="F1182" i="116"/>
  <c r="E1182" i="116"/>
  <c r="D1182" i="116"/>
  <c r="C1182" i="116"/>
  <c r="B1182" i="116"/>
  <c r="K1181" i="116"/>
  <c r="J1181" i="116"/>
  <c r="I1181" i="116"/>
  <c r="H1181" i="116"/>
  <c r="G1181" i="116"/>
  <c r="F1181" i="116"/>
  <c r="E1181" i="116"/>
  <c r="D1181" i="116"/>
  <c r="C1181" i="116"/>
  <c r="B1181" i="116"/>
  <c r="K1180" i="116"/>
  <c r="J1180" i="116"/>
  <c r="I1180" i="116"/>
  <c r="H1180" i="116"/>
  <c r="G1180" i="116"/>
  <c r="F1180" i="116"/>
  <c r="E1180" i="116"/>
  <c r="D1180" i="116"/>
  <c r="C1180" i="116"/>
  <c r="B1180" i="116"/>
  <c r="K1179" i="116"/>
  <c r="J1179" i="116"/>
  <c r="I1179" i="116"/>
  <c r="H1179" i="116"/>
  <c r="G1179" i="116"/>
  <c r="F1179" i="116"/>
  <c r="E1179" i="116"/>
  <c r="D1179" i="116"/>
  <c r="C1179" i="116"/>
  <c r="B1179" i="116"/>
  <c r="K1178" i="116"/>
  <c r="J1178" i="116"/>
  <c r="I1178" i="116"/>
  <c r="H1178" i="116"/>
  <c r="G1178" i="116"/>
  <c r="F1178" i="116"/>
  <c r="E1178" i="116"/>
  <c r="D1178" i="116"/>
  <c r="C1178" i="116"/>
  <c r="B1178" i="116"/>
  <c r="K1177" i="116"/>
  <c r="J1177" i="116"/>
  <c r="I1177" i="116"/>
  <c r="H1177" i="116"/>
  <c r="G1177" i="116"/>
  <c r="F1177" i="116"/>
  <c r="E1177" i="116"/>
  <c r="D1177" i="116"/>
  <c r="C1177" i="116"/>
  <c r="B1177" i="116"/>
  <c r="K1176" i="116"/>
  <c r="J1176" i="116"/>
  <c r="I1176" i="116"/>
  <c r="H1176" i="116"/>
  <c r="G1176" i="116"/>
  <c r="F1176" i="116"/>
  <c r="E1176" i="116"/>
  <c r="D1176" i="116"/>
  <c r="C1176" i="116"/>
  <c r="B1176" i="116"/>
  <c r="K1175" i="116"/>
  <c r="J1175" i="116"/>
  <c r="I1175" i="116"/>
  <c r="H1175" i="116"/>
  <c r="G1175" i="116"/>
  <c r="F1175" i="116"/>
  <c r="E1175" i="116"/>
  <c r="D1175" i="116"/>
  <c r="C1175" i="116"/>
  <c r="B1175" i="116"/>
  <c r="K1174" i="116"/>
  <c r="J1174" i="116"/>
  <c r="I1174" i="116"/>
  <c r="H1174" i="116"/>
  <c r="G1174" i="116"/>
  <c r="F1174" i="116"/>
  <c r="E1174" i="116"/>
  <c r="D1174" i="116"/>
  <c r="C1174" i="116"/>
  <c r="B1174" i="116"/>
  <c r="K1173" i="116"/>
  <c r="J1173" i="116"/>
  <c r="I1173" i="116"/>
  <c r="H1173" i="116"/>
  <c r="G1173" i="116"/>
  <c r="F1173" i="116"/>
  <c r="E1173" i="116"/>
  <c r="D1173" i="116"/>
  <c r="C1173" i="116"/>
  <c r="B1173" i="116"/>
  <c r="K1172" i="116"/>
  <c r="J1172" i="116"/>
  <c r="I1172" i="116"/>
  <c r="H1172" i="116"/>
  <c r="G1172" i="116"/>
  <c r="F1172" i="116"/>
  <c r="E1172" i="116"/>
  <c r="D1172" i="116"/>
  <c r="C1172" i="116"/>
  <c r="B1172" i="116"/>
  <c r="K1171" i="116"/>
  <c r="J1171" i="116"/>
  <c r="I1171" i="116"/>
  <c r="H1171" i="116"/>
  <c r="G1171" i="116"/>
  <c r="F1171" i="116"/>
  <c r="E1171" i="116"/>
  <c r="D1171" i="116"/>
  <c r="C1171" i="116"/>
  <c r="B1171" i="116"/>
  <c r="K1170" i="116"/>
  <c r="J1170" i="116"/>
  <c r="I1170" i="116"/>
  <c r="H1170" i="116"/>
  <c r="G1170" i="116"/>
  <c r="F1170" i="116"/>
  <c r="E1170" i="116"/>
  <c r="D1170" i="116"/>
  <c r="C1170" i="116"/>
  <c r="B1170" i="116"/>
  <c r="K1169" i="116"/>
  <c r="J1169" i="116"/>
  <c r="I1169" i="116"/>
  <c r="H1169" i="116"/>
  <c r="G1169" i="116"/>
  <c r="F1169" i="116"/>
  <c r="E1169" i="116"/>
  <c r="D1169" i="116"/>
  <c r="C1169" i="116"/>
  <c r="B1169" i="116"/>
  <c r="K1168" i="116"/>
  <c r="J1168" i="116"/>
  <c r="I1168" i="116"/>
  <c r="H1168" i="116"/>
  <c r="G1168" i="116"/>
  <c r="F1168" i="116"/>
  <c r="E1168" i="116"/>
  <c r="D1168" i="116"/>
  <c r="C1168" i="116"/>
  <c r="B1168" i="116"/>
  <c r="K1167" i="116"/>
  <c r="J1167" i="116"/>
  <c r="I1167" i="116"/>
  <c r="H1167" i="116"/>
  <c r="G1167" i="116"/>
  <c r="F1167" i="116"/>
  <c r="E1167" i="116"/>
  <c r="D1167" i="116"/>
  <c r="C1167" i="116"/>
  <c r="B1167" i="116"/>
  <c r="K1166" i="116"/>
  <c r="J1166" i="116"/>
  <c r="I1166" i="116"/>
  <c r="H1166" i="116"/>
  <c r="G1166" i="116"/>
  <c r="F1166" i="116"/>
  <c r="E1166" i="116"/>
  <c r="D1166" i="116"/>
  <c r="C1166" i="116"/>
  <c r="B1166" i="116"/>
  <c r="K1165" i="116"/>
  <c r="J1165" i="116"/>
  <c r="I1165" i="116"/>
  <c r="H1165" i="116"/>
  <c r="G1165" i="116"/>
  <c r="F1165" i="116"/>
  <c r="E1165" i="116"/>
  <c r="D1165" i="116"/>
  <c r="C1165" i="116"/>
  <c r="B1165" i="116"/>
  <c r="K1164" i="116"/>
  <c r="J1164" i="116"/>
  <c r="I1164" i="116"/>
  <c r="H1164" i="116"/>
  <c r="G1164" i="116"/>
  <c r="F1164" i="116"/>
  <c r="E1164" i="116"/>
  <c r="D1164" i="116"/>
  <c r="C1164" i="116"/>
  <c r="B1164" i="116"/>
  <c r="K1163" i="116"/>
  <c r="J1163" i="116"/>
  <c r="I1163" i="116"/>
  <c r="H1163" i="116"/>
  <c r="G1163" i="116"/>
  <c r="F1163" i="116"/>
  <c r="E1163" i="116"/>
  <c r="D1163" i="116"/>
  <c r="C1163" i="116"/>
  <c r="B1163" i="116"/>
  <c r="K1162" i="116"/>
  <c r="J1162" i="116"/>
  <c r="I1162" i="116"/>
  <c r="H1162" i="116"/>
  <c r="G1162" i="116"/>
  <c r="F1162" i="116"/>
  <c r="E1162" i="116"/>
  <c r="D1162" i="116"/>
  <c r="C1162" i="116"/>
  <c r="B1162" i="116"/>
  <c r="K1161" i="116"/>
  <c r="J1161" i="116"/>
  <c r="I1161" i="116"/>
  <c r="H1161" i="116"/>
  <c r="G1161" i="116"/>
  <c r="F1161" i="116"/>
  <c r="E1161" i="116"/>
  <c r="D1161" i="116"/>
  <c r="C1161" i="116"/>
  <c r="B1161" i="116"/>
  <c r="K1160" i="116"/>
  <c r="J1160" i="116"/>
  <c r="I1160" i="116"/>
  <c r="H1160" i="116"/>
  <c r="G1160" i="116"/>
  <c r="F1160" i="116"/>
  <c r="E1160" i="116"/>
  <c r="D1160" i="116"/>
  <c r="C1160" i="116"/>
  <c r="B1160" i="116"/>
  <c r="K1159" i="116"/>
  <c r="J1159" i="116"/>
  <c r="I1159" i="116"/>
  <c r="H1159" i="116"/>
  <c r="G1159" i="116"/>
  <c r="F1159" i="116"/>
  <c r="E1159" i="116"/>
  <c r="D1159" i="116"/>
  <c r="C1159" i="116"/>
  <c r="B1159" i="116"/>
  <c r="K1158" i="116"/>
  <c r="J1158" i="116"/>
  <c r="I1158" i="116"/>
  <c r="H1158" i="116"/>
  <c r="G1158" i="116"/>
  <c r="F1158" i="116"/>
  <c r="E1158" i="116"/>
  <c r="D1158" i="116"/>
  <c r="C1158" i="116"/>
  <c r="B1158" i="116"/>
  <c r="K1157" i="116"/>
  <c r="J1157" i="116"/>
  <c r="I1157" i="116"/>
  <c r="H1157" i="116"/>
  <c r="G1157" i="116"/>
  <c r="F1157" i="116"/>
  <c r="E1157" i="116"/>
  <c r="D1157" i="116"/>
  <c r="C1157" i="116"/>
  <c r="B1157" i="116"/>
  <c r="K1156" i="116"/>
  <c r="J1156" i="116"/>
  <c r="I1156" i="116"/>
  <c r="H1156" i="116"/>
  <c r="G1156" i="116"/>
  <c r="F1156" i="116"/>
  <c r="E1156" i="116"/>
  <c r="D1156" i="116"/>
  <c r="C1156" i="116"/>
  <c r="B1156" i="116"/>
  <c r="K1155" i="116"/>
  <c r="J1155" i="116"/>
  <c r="I1155" i="116"/>
  <c r="H1155" i="116"/>
  <c r="G1155" i="116"/>
  <c r="F1155" i="116"/>
  <c r="E1155" i="116"/>
  <c r="D1155" i="116"/>
  <c r="C1155" i="116"/>
  <c r="B1155" i="116"/>
  <c r="K1154" i="116"/>
  <c r="J1154" i="116"/>
  <c r="I1154" i="116"/>
  <c r="H1154" i="116"/>
  <c r="G1154" i="116"/>
  <c r="F1154" i="116"/>
  <c r="E1154" i="116"/>
  <c r="D1154" i="116"/>
  <c r="C1154" i="116"/>
  <c r="B1154" i="116"/>
  <c r="K1153" i="116"/>
  <c r="J1153" i="116"/>
  <c r="I1153" i="116"/>
  <c r="H1153" i="116"/>
  <c r="G1153" i="116"/>
  <c r="F1153" i="116"/>
  <c r="E1153" i="116"/>
  <c r="D1153" i="116"/>
  <c r="C1153" i="116"/>
  <c r="B1153" i="116"/>
  <c r="K1152" i="116"/>
  <c r="J1152" i="116"/>
  <c r="I1152" i="116"/>
  <c r="H1152" i="116"/>
  <c r="G1152" i="116"/>
  <c r="F1152" i="116"/>
  <c r="E1152" i="116"/>
  <c r="D1152" i="116"/>
  <c r="C1152" i="116"/>
  <c r="B1152" i="116"/>
  <c r="K1151" i="116"/>
  <c r="J1151" i="116"/>
  <c r="I1151" i="116"/>
  <c r="H1151" i="116"/>
  <c r="G1151" i="116"/>
  <c r="F1151" i="116"/>
  <c r="E1151" i="116"/>
  <c r="D1151" i="116"/>
  <c r="C1151" i="116"/>
  <c r="B1151" i="116"/>
  <c r="K1150" i="116"/>
  <c r="J1150" i="116"/>
  <c r="I1150" i="116"/>
  <c r="H1150" i="116"/>
  <c r="G1150" i="116"/>
  <c r="F1150" i="116"/>
  <c r="E1150" i="116"/>
  <c r="D1150" i="116"/>
  <c r="C1150" i="116"/>
  <c r="B1150" i="116"/>
  <c r="K1149" i="116"/>
  <c r="J1149" i="116"/>
  <c r="I1149" i="116"/>
  <c r="H1149" i="116"/>
  <c r="G1149" i="116"/>
  <c r="F1149" i="116"/>
  <c r="E1149" i="116"/>
  <c r="D1149" i="116"/>
  <c r="C1149" i="116"/>
  <c r="B1149" i="116"/>
  <c r="K1148" i="116"/>
  <c r="J1148" i="116"/>
  <c r="I1148" i="116"/>
  <c r="H1148" i="116"/>
  <c r="G1148" i="116"/>
  <c r="F1148" i="116"/>
  <c r="E1148" i="116"/>
  <c r="D1148" i="116"/>
  <c r="C1148" i="116"/>
  <c r="B1148" i="116"/>
  <c r="K1147" i="116"/>
  <c r="J1147" i="116"/>
  <c r="I1147" i="116"/>
  <c r="H1147" i="116"/>
  <c r="G1147" i="116"/>
  <c r="F1147" i="116"/>
  <c r="E1147" i="116"/>
  <c r="D1147" i="116"/>
  <c r="C1147" i="116"/>
  <c r="B1147" i="116"/>
  <c r="K1146" i="116"/>
  <c r="J1146" i="116"/>
  <c r="I1146" i="116"/>
  <c r="H1146" i="116"/>
  <c r="G1146" i="116"/>
  <c r="F1146" i="116"/>
  <c r="E1146" i="116"/>
  <c r="D1146" i="116"/>
  <c r="C1146" i="116"/>
  <c r="B1146" i="116"/>
  <c r="K1145" i="116"/>
  <c r="J1145" i="116"/>
  <c r="I1145" i="116"/>
  <c r="H1145" i="116"/>
  <c r="G1145" i="116"/>
  <c r="F1145" i="116"/>
  <c r="E1145" i="116"/>
  <c r="D1145" i="116"/>
  <c r="C1145" i="116"/>
  <c r="B1145" i="116"/>
  <c r="K1144" i="116"/>
  <c r="J1144" i="116"/>
  <c r="I1144" i="116"/>
  <c r="H1144" i="116"/>
  <c r="G1144" i="116"/>
  <c r="F1144" i="116"/>
  <c r="E1144" i="116"/>
  <c r="D1144" i="116"/>
  <c r="C1144" i="116"/>
  <c r="B1144" i="116"/>
  <c r="K1143" i="116"/>
  <c r="J1143" i="116"/>
  <c r="I1143" i="116"/>
  <c r="H1143" i="116"/>
  <c r="G1143" i="116"/>
  <c r="F1143" i="116"/>
  <c r="E1143" i="116"/>
  <c r="D1143" i="116"/>
  <c r="C1143" i="116"/>
  <c r="B1143" i="116"/>
  <c r="K1142" i="116"/>
  <c r="J1142" i="116"/>
  <c r="I1142" i="116"/>
  <c r="H1142" i="116"/>
  <c r="G1142" i="116"/>
  <c r="F1142" i="116"/>
  <c r="E1142" i="116"/>
  <c r="D1142" i="116"/>
  <c r="C1142" i="116"/>
  <c r="B1142" i="116"/>
  <c r="K1141" i="116"/>
  <c r="J1141" i="116"/>
  <c r="I1141" i="116"/>
  <c r="H1141" i="116"/>
  <c r="G1141" i="116"/>
  <c r="F1141" i="116"/>
  <c r="E1141" i="116"/>
  <c r="D1141" i="116"/>
  <c r="C1141" i="116"/>
  <c r="B1141" i="116"/>
  <c r="K1140" i="116"/>
  <c r="J1140" i="116"/>
  <c r="I1140" i="116"/>
  <c r="H1140" i="116"/>
  <c r="G1140" i="116"/>
  <c r="F1140" i="116"/>
  <c r="E1140" i="116"/>
  <c r="D1140" i="116"/>
  <c r="C1140" i="116"/>
  <c r="B1140" i="116"/>
  <c r="K1139" i="116"/>
  <c r="J1139" i="116"/>
  <c r="I1139" i="116"/>
  <c r="H1139" i="116"/>
  <c r="G1139" i="116"/>
  <c r="F1139" i="116"/>
  <c r="E1139" i="116"/>
  <c r="D1139" i="116"/>
  <c r="C1139" i="116"/>
  <c r="B1139" i="116"/>
  <c r="K1138" i="116"/>
  <c r="J1138" i="116"/>
  <c r="I1138" i="116"/>
  <c r="H1138" i="116"/>
  <c r="G1138" i="116"/>
  <c r="F1138" i="116"/>
  <c r="E1138" i="116"/>
  <c r="D1138" i="116"/>
  <c r="C1138" i="116"/>
  <c r="B1138" i="116"/>
  <c r="K1137" i="116"/>
  <c r="J1137" i="116"/>
  <c r="I1137" i="116"/>
  <c r="H1137" i="116"/>
  <c r="G1137" i="116"/>
  <c r="F1137" i="116"/>
  <c r="E1137" i="116"/>
  <c r="D1137" i="116"/>
  <c r="C1137" i="116"/>
  <c r="B1137" i="116"/>
  <c r="K1136" i="116"/>
  <c r="J1136" i="116"/>
  <c r="I1136" i="116"/>
  <c r="H1136" i="116"/>
  <c r="G1136" i="116"/>
  <c r="F1136" i="116"/>
  <c r="E1136" i="116"/>
  <c r="D1136" i="116"/>
  <c r="C1136" i="116"/>
  <c r="B1136" i="116"/>
  <c r="K1135" i="116"/>
  <c r="J1135" i="116"/>
  <c r="I1135" i="116"/>
  <c r="H1135" i="116"/>
  <c r="G1135" i="116"/>
  <c r="F1135" i="116"/>
  <c r="E1135" i="116"/>
  <c r="D1135" i="116"/>
  <c r="C1135" i="116"/>
  <c r="B1135" i="116"/>
  <c r="K1134" i="116"/>
  <c r="J1134" i="116"/>
  <c r="I1134" i="116"/>
  <c r="H1134" i="116"/>
  <c r="G1134" i="116"/>
  <c r="F1134" i="116"/>
  <c r="E1134" i="116"/>
  <c r="D1134" i="116"/>
  <c r="C1134" i="116"/>
  <c r="B1134" i="116"/>
  <c r="K1133" i="116"/>
  <c r="J1133" i="116"/>
  <c r="I1133" i="116"/>
  <c r="H1133" i="116"/>
  <c r="G1133" i="116"/>
  <c r="F1133" i="116"/>
  <c r="E1133" i="116"/>
  <c r="D1133" i="116"/>
  <c r="C1133" i="116"/>
  <c r="B1133" i="116"/>
  <c r="K1132" i="116"/>
  <c r="J1132" i="116"/>
  <c r="I1132" i="116"/>
  <c r="H1132" i="116"/>
  <c r="G1132" i="116"/>
  <c r="F1132" i="116"/>
  <c r="E1132" i="116"/>
  <c r="D1132" i="116"/>
  <c r="C1132" i="116"/>
  <c r="B1132" i="116"/>
  <c r="K1131" i="116"/>
  <c r="J1131" i="116"/>
  <c r="I1131" i="116"/>
  <c r="H1131" i="116"/>
  <c r="G1131" i="116"/>
  <c r="F1131" i="116"/>
  <c r="E1131" i="116"/>
  <c r="D1131" i="116"/>
  <c r="C1131" i="116"/>
  <c r="B1131" i="116"/>
  <c r="K1130" i="116"/>
  <c r="J1130" i="116"/>
  <c r="I1130" i="116"/>
  <c r="H1130" i="116"/>
  <c r="G1130" i="116"/>
  <c r="F1130" i="116"/>
  <c r="E1130" i="116"/>
  <c r="D1130" i="116"/>
  <c r="C1130" i="116"/>
  <c r="B1130" i="116"/>
  <c r="K1129" i="116"/>
  <c r="J1129" i="116"/>
  <c r="I1129" i="116"/>
  <c r="H1129" i="116"/>
  <c r="G1129" i="116"/>
  <c r="F1129" i="116"/>
  <c r="E1129" i="116"/>
  <c r="D1129" i="116"/>
  <c r="C1129" i="116"/>
  <c r="B1129" i="116"/>
  <c r="K1128" i="116"/>
  <c r="J1128" i="116"/>
  <c r="I1128" i="116"/>
  <c r="H1128" i="116"/>
  <c r="G1128" i="116"/>
  <c r="F1128" i="116"/>
  <c r="E1128" i="116"/>
  <c r="D1128" i="116"/>
  <c r="C1128" i="116"/>
  <c r="B1128" i="116"/>
  <c r="K1127" i="116"/>
  <c r="J1127" i="116"/>
  <c r="I1127" i="116"/>
  <c r="H1127" i="116"/>
  <c r="G1127" i="116"/>
  <c r="F1127" i="116"/>
  <c r="E1127" i="116"/>
  <c r="D1127" i="116"/>
  <c r="C1127" i="116"/>
  <c r="B1127" i="116"/>
  <c r="K1126" i="116"/>
  <c r="J1126" i="116"/>
  <c r="I1126" i="116"/>
  <c r="H1126" i="116"/>
  <c r="G1126" i="116"/>
  <c r="F1126" i="116"/>
  <c r="E1126" i="116"/>
  <c r="D1126" i="116"/>
  <c r="C1126" i="116"/>
  <c r="B1126" i="116"/>
  <c r="K1125" i="116"/>
  <c r="J1125" i="116"/>
  <c r="I1125" i="116"/>
  <c r="H1125" i="116"/>
  <c r="G1125" i="116"/>
  <c r="F1125" i="116"/>
  <c r="E1125" i="116"/>
  <c r="D1125" i="116"/>
  <c r="C1125" i="116"/>
  <c r="B1125" i="116"/>
  <c r="K1124" i="116"/>
  <c r="J1124" i="116"/>
  <c r="I1124" i="116"/>
  <c r="H1124" i="116"/>
  <c r="G1124" i="116"/>
  <c r="F1124" i="116"/>
  <c r="E1124" i="116"/>
  <c r="D1124" i="116"/>
  <c r="C1124" i="116"/>
  <c r="B1124" i="116"/>
  <c r="K1123" i="116"/>
  <c r="J1123" i="116"/>
  <c r="I1123" i="116"/>
  <c r="H1123" i="116"/>
  <c r="G1123" i="116"/>
  <c r="F1123" i="116"/>
  <c r="E1123" i="116"/>
  <c r="D1123" i="116"/>
  <c r="C1123" i="116"/>
  <c r="B1123" i="116"/>
  <c r="K1122" i="116"/>
  <c r="J1122" i="116"/>
  <c r="I1122" i="116"/>
  <c r="H1122" i="116"/>
  <c r="G1122" i="116"/>
  <c r="F1122" i="116"/>
  <c r="E1122" i="116"/>
  <c r="D1122" i="116"/>
  <c r="C1122" i="116"/>
  <c r="B1122" i="116"/>
  <c r="K1121" i="116"/>
  <c r="J1121" i="116"/>
  <c r="I1121" i="116"/>
  <c r="H1121" i="116"/>
  <c r="G1121" i="116"/>
  <c r="F1121" i="116"/>
  <c r="E1121" i="116"/>
  <c r="D1121" i="116"/>
  <c r="C1121" i="116"/>
  <c r="B1121" i="116"/>
  <c r="K1120" i="116"/>
  <c r="J1120" i="116"/>
  <c r="I1120" i="116"/>
  <c r="H1120" i="116"/>
  <c r="G1120" i="116"/>
  <c r="F1120" i="116"/>
  <c r="E1120" i="116"/>
  <c r="D1120" i="116"/>
  <c r="C1120" i="116"/>
  <c r="B1120" i="116"/>
  <c r="K1119" i="116"/>
  <c r="J1119" i="116"/>
  <c r="I1119" i="116"/>
  <c r="H1119" i="116"/>
  <c r="G1119" i="116"/>
  <c r="F1119" i="116"/>
  <c r="E1119" i="116"/>
  <c r="D1119" i="116"/>
  <c r="C1119" i="116"/>
  <c r="B1119" i="116"/>
  <c r="K1118" i="116"/>
  <c r="J1118" i="116"/>
  <c r="I1118" i="116"/>
  <c r="H1118" i="116"/>
  <c r="G1118" i="116"/>
  <c r="F1118" i="116"/>
  <c r="E1118" i="116"/>
  <c r="D1118" i="116"/>
  <c r="C1118" i="116"/>
  <c r="B1118" i="116"/>
  <c r="K1117" i="116"/>
  <c r="J1117" i="116"/>
  <c r="I1117" i="116"/>
  <c r="H1117" i="116"/>
  <c r="G1117" i="116"/>
  <c r="F1117" i="116"/>
  <c r="E1117" i="116"/>
  <c r="D1117" i="116"/>
  <c r="C1117" i="116"/>
  <c r="B1117" i="116"/>
  <c r="K1116" i="116"/>
  <c r="J1116" i="116"/>
  <c r="I1116" i="116"/>
  <c r="H1116" i="116"/>
  <c r="G1116" i="116"/>
  <c r="F1116" i="116"/>
  <c r="E1116" i="116"/>
  <c r="D1116" i="116"/>
  <c r="C1116" i="116"/>
  <c r="B1116" i="116"/>
  <c r="K1115" i="116"/>
  <c r="J1115" i="116"/>
  <c r="I1115" i="116"/>
  <c r="H1115" i="116"/>
  <c r="G1115" i="116"/>
  <c r="F1115" i="116"/>
  <c r="E1115" i="116"/>
  <c r="D1115" i="116"/>
  <c r="C1115" i="116"/>
  <c r="B1115" i="116"/>
  <c r="K1114" i="116"/>
  <c r="J1114" i="116"/>
  <c r="I1114" i="116"/>
  <c r="H1114" i="116"/>
  <c r="G1114" i="116"/>
  <c r="F1114" i="116"/>
  <c r="E1114" i="116"/>
  <c r="D1114" i="116"/>
  <c r="C1114" i="116"/>
  <c r="B1114" i="116"/>
  <c r="K1113" i="116"/>
  <c r="J1113" i="116"/>
  <c r="I1113" i="116"/>
  <c r="H1113" i="116"/>
  <c r="G1113" i="116"/>
  <c r="F1113" i="116"/>
  <c r="E1113" i="116"/>
  <c r="D1113" i="116"/>
  <c r="C1113" i="116"/>
  <c r="B1113" i="116"/>
  <c r="K1112" i="116"/>
  <c r="J1112" i="116"/>
  <c r="I1112" i="116"/>
  <c r="H1112" i="116"/>
  <c r="G1112" i="116"/>
  <c r="F1112" i="116"/>
  <c r="E1112" i="116"/>
  <c r="D1112" i="116"/>
  <c r="C1112" i="116"/>
  <c r="B1112" i="116"/>
  <c r="K1111" i="116"/>
  <c r="J1111" i="116"/>
  <c r="I1111" i="116"/>
  <c r="H1111" i="116"/>
  <c r="G1111" i="116"/>
  <c r="F1111" i="116"/>
  <c r="E1111" i="116"/>
  <c r="D1111" i="116"/>
  <c r="C1111" i="116"/>
  <c r="B1111" i="116"/>
  <c r="K1110" i="116"/>
  <c r="J1110" i="116"/>
  <c r="I1110" i="116"/>
  <c r="H1110" i="116"/>
  <c r="G1110" i="116"/>
  <c r="F1110" i="116"/>
  <c r="E1110" i="116"/>
  <c r="D1110" i="116"/>
  <c r="C1110" i="116"/>
  <c r="B1110" i="116"/>
  <c r="K1109" i="116"/>
  <c r="J1109" i="116"/>
  <c r="I1109" i="116"/>
  <c r="H1109" i="116"/>
  <c r="G1109" i="116"/>
  <c r="F1109" i="116"/>
  <c r="E1109" i="116"/>
  <c r="D1109" i="116"/>
  <c r="C1109" i="116"/>
  <c r="B1109" i="116"/>
  <c r="K1108" i="116"/>
  <c r="J1108" i="116"/>
  <c r="I1108" i="116"/>
  <c r="H1108" i="116"/>
  <c r="G1108" i="116"/>
  <c r="F1108" i="116"/>
  <c r="E1108" i="116"/>
  <c r="D1108" i="116"/>
  <c r="C1108" i="116"/>
  <c r="B1108" i="116"/>
  <c r="K1107" i="116"/>
  <c r="J1107" i="116"/>
  <c r="I1107" i="116"/>
  <c r="H1107" i="116"/>
  <c r="G1107" i="116"/>
  <c r="F1107" i="116"/>
  <c r="E1107" i="116"/>
  <c r="D1107" i="116"/>
  <c r="C1107" i="116"/>
  <c r="B1107" i="116"/>
  <c r="K1106" i="116"/>
  <c r="J1106" i="116"/>
  <c r="I1106" i="116"/>
  <c r="H1106" i="116"/>
  <c r="G1106" i="116"/>
  <c r="F1106" i="116"/>
  <c r="E1106" i="116"/>
  <c r="D1106" i="116"/>
  <c r="C1106" i="116"/>
  <c r="B1106" i="116"/>
  <c r="K1105" i="116"/>
  <c r="J1105" i="116"/>
  <c r="I1105" i="116"/>
  <c r="H1105" i="116"/>
  <c r="G1105" i="116"/>
  <c r="F1105" i="116"/>
  <c r="E1105" i="116"/>
  <c r="D1105" i="116"/>
  <c r="C1105" i="116"/>
  <c r="B1105" i="116"/>
  <c r="K1104" i="116"/>
  <c r="J1104" i="116"/>
  <c r="I1104" i="116"/>
  <c r="H1104" i="116"/>
  <c r="G1104" i="116"/>
  <c r="F1104" i="116"/>
  <c r="E1104" i="116"/>
  <c r="D1104" i="116"/>
  <c r="C1104" i="116"/>
  <c r="B1104" i="116"/>
  <c r="K1103" i="116"/>
  <c r="J1103" i="116"/>
  <c r="I1103" i="116"/>
  <c r="H1103" i="116"/>
  <c r="G1103" i="116"/>
  <c r="F1103" i="116"/>
  <c r="E1103" i="116"/>
  <c r="D1103" i="116"/>
  <c r="C1103" i="116"/>
  <c r="B1103" i="116"/>
  <c r="K1102" i="116"/>
  <c r="J1102" i="116"/>
  <c r="I1102" i="116"/>
  <c r="H1102" i="116"/>
  <c r="G1102" i="116"/>
  <c r="F1102" i="116"/>
  <c r="E1102" i="116"/>
  <c r="D1102" i="116"/>
  <c r="C1102" i="116"/>
  <c r="B1102" i="116"/>
  <c r="K1101" i="116"/>
  <c r="J1101" i="116"/>
  <c r="I1101" i="116"/>
  <c r="H1101" i="116"/>
  <c r="G1101" i="116"/>
  <c r="F1101" i="116"/>
  <c r="E1101" i="116"/>
  <c r="D1101" i="116"/>
  <c r="C1101" i="116"/>
  <c r="B1101" i="116"/>
  <c r="K1100" i="116"/>
  <c r="J1100" i="116"/>
  <c r="I1100" i="116"/>
  <c r="H1100" i="116"/>
  <c r="G1100" i="116"/>
  <c r="F1100" i="116"/>
  <c r="E1100" i="116"/>
  <c r="D1100" i="116"/>
  <c r="C1100" i="116"/>
  <c r="B1100" i="116"/>
  <c r="K1099" i="116"/>
  <c r="J1099" i="116"/>
  <c r="I1099" i="116"/>
  <c r="H1099" i="116"/>
  <c r="G1099" i="116"/>
  <c r="F1099" i="116"/>
  <c r="E1099" i="116"/>
  <c r="D1099" i="116"/>
  <c r="C1099" i="116"/>
  <c r="B1099" i="116"/>
  <c r="K1098" i="116"/>
  <c r="J1098" i="116"/>
  <c r="I1098" i="116"/>
  <c r="H1098" i="116"/>
  <c r="G1098" i="116"/>
  <c r="F1098" i="116"/>
  <c r="E1098" i="116"/>
  <c r="D1098" i="116"/>
  <c r="C1098" i="116"/>
  <c r="B1098" i="116"/>
  <c r="K1097" i="116"/>
  <c r="J1097" i="116"/>
  <c r="I1097" i="116"/>
  <c r="H1097" i="116"/>
  <c r="G1097" i="116"/>
  <c r="F1097" i="116"/>
  <c r="E1097" i="116"/>
  <c r="D1097" i="116"/>
  <c r="C1097" i="116"/>
  <c r="B1097" i="116"/>
  <c r="K1096" i="116"/>
  <c r="J1096" i="116"/>
  <c r="I1096" i="116"/>
  <c r="H1096" i="116"/>
  <c r="G1096" i="116"/>
  <c r="F1096" i="116"/>
  <c r="E1096" i="116"/>
  <c r="D1096" i="116"/>
  <c r="C1096" i="116"/>
  <c r="B1096" i="116"/>
  <c r="K1095" i="116"/>
  <c r="J1095" i="116"/>
  <c r="I1095" i="116"/>
  <c r="H1095" i="116"/>
  <c r="G1095" i="116"/>
  <c r="F1095" i="116"/>
  <c r="E1095" i="116"/>
  <c r="D1095" i="116"/>
  <c r="C1095" i="116"/>
  <c r="B1095" i="116"/>
  <c r="K1094" i="116"/>
  <c r="J1094" i="116"/>
  <c r="I1094" i="116"/>
  <c r="H1094" i="116"/>
  <c r="G1094" i="116"/>
  <c r="F1094" i="116"/>
  <c r="E1094" i="116"/>
  <c r="D1094" i="116"/>
  <c r="C1094" i="116"/>
  <c r="B1094" i="116"/>
  <c r="K1093" i="116"/>
  <c r="J1093" i="116"/>
  <c r="I1093" i="116"/>
  <c r="H1093" i="116"/>
  <c r="G1093" i="116"/>
  <c r="F1093" i="116"/>
  <c r="E1093" i="116"/>
  <c r="D1093" i="116"/>
  <c r="C1093" i="116"/>
  <c r="B1093" i="116"/>
  <c r="K1092" i="116"/>
  <c r="J1092" i="116"/>
  <c r="I1092" i="116"/>
  <c r="H1092" i="116"/>
  <c r="G1092" i="116"/>
  <c r="F1092" i="116"/>
  <c r="E1092" i="116"/>
  <c r="D1092" i="116"/>
  <c r="C1092" i="116"/>
  <c r="B1092" i="116"/>
  <c r="K1091" i="116"/>
  <c r="J1091" i="116"/>
  <c r="I1091" i="116"/>
  <c r="H1091" i="116"/>
  <c r="G1091" i="116"/>
  <c r="F1091" i="116"/>
  <c r="E1091" i="116"/>
  <c r="D1091" i="116"/>
  <c r="C1091" i="116"/>
  <c r="B1091" i="116"/>
  <c r="K1090" i="116"/>
  <c r="J1090" i="116"/>
  <c r="I1090" i="116"/>
  <c r="H1090" i="116"/>
  <c r="G1090" i="116"/>
  <c r="F1090" i="116"/>
  <c r="E1090" i="116"/>
  <c r="D1090" i="116"/>
  <c r="C1090" i="116"/>
  <c r="B1090" i="116"/>
  <c r="K1089" i="116"/>
  <c r="J1089" i="116"/>
  <c r="I1089" i="116"/>
  <c r="H1089" i="116"/>
  <c r="G1089" i="116"/>
  <c r="F1089" i="116"/>
  <c r="E1089" i="116"/>
  <c r="D1089" i="116"/>
  <c r="C1089" i="116"/>
  <c r="B1089" i="116"/>
  <c r="K1088" i="116"/>
  <c r="J1088" i="116"/>
  <c r="I1088" i="116"/>
  <c r="H1088" i="116"/>
  <c r="G1088" i="116"/>
  <c r="F1088" i="116"/>
  <c r="E1088" i="116"/>
  <c r="D1088" i="116"/>
  <c r="C1088" i="116"/>
  <c r="B1088" i="116"/>
  <c r="K1087" i="116"/>
  <c r="J1087" i="116"/>
  <c r="I1087" i="116"/>
  <c r="H1087" i="116"/>
  <c r="G1087" i="116"/>
  <c r="F1087" i="116"/>
  <c r="E1087" i="116"/>
  <c r="D1087" i="116"/>
  <c r="C1087" i="116"/>
  <c r="B1087" i="116"/>
  <c r="K1086" i="116"/>
  <c r="J1086" i="116"/>
  <c r="I1086" i="116"/>
  <c r="H1086" i="116"/>
  <c r="G1086" i="116"/>
  <c r="F1086" i="116"/>
  <c r="E1086" i="116"/>
  <c r="D1086" i="116"/>
  <c r="C1086" i="116"/>
  <c r="B1086" i="116"/>
  <c r="K1085" i="116"/>
  <c r="J1085" i="116"/>
  <c r="I1085" i="116"/>
  <c r="H1085" i="116"/>
  <c r="G1085" i="116"/>
  <c r="F1085" i="116"/>
  <c r="E1085" i="116"/>
  <c r="D1085" i="116"/>
  <c r="C1085" i="116"/>
  <c r="B1085" i="116"/>
  <c r="K1084" i="116"/>
  <c r="J1084" i="116"/>
  <c r="I1084" i="116"/>
  <c r="H1084" i="116"/>
  <c r="G1084" i="116"/>
  <c r="F1084" i="116"/>
  <c r="E1084" i="116"/>
  <c r="D1084" i="116"/>
  <c r="C1084" i="116"/>
  <c r="B1084" i="116"/>
  <c r="K1083" i="116"/>
  <c r="J1083" i="116"/>
  <c r="I1083" i="116"/>
  <c r="H1083" i="116"/>
  <c r="G1083" i="116"/>
  <c r="F1083" i="116"/>
  <c r="E1083" i="116"/>
  <c r="D1083" i="116"/>
  <c r="C1083" i="116"/>
  <c r="B1083" i="116"/>
  <c r="K1082" i="116"/>
  <c r="J1082" i="116"/>
  <c r="I1082" i="116"/>
  <c r="H1082" i="116"/>
  <c r="G1082" i="116"/>
  <c r="F1082" i="116"/>
  <c r="E1082" i="116"/>
  <c r="D1082" i="116"/>
  <c r="C1082" i="116"/>
  <c r="B1082" i="116"/>
  <c r="K1081" i="116"/>
  <c r="J1081" i="116"/>
  <c r="I1081" i="116"/>
  <c r="H1081" i="116"/>
  <c r="G1081" i="116"/>
  <c r="F1081" i="116"/>
  <c r="E1081" i="116"/>
  <c r="D1081" i="116"/>
  <c r="C1081" i="116"/>
  <c r="B1081" i="116"/>
  <c r="K1080" i="116"/>
  <c r="J1080" i="116"/>
  <c r="I1080" i="116"/>
  <c r="H1080" i="116"/>
  <c r="G1080" i="116"/>
  <c r="F1080" i="116"/>
  <c r="E1080" i="116"/>
  <c r="D1080" i="116"/>
  <c r="C1080" i="116"/>
  <c r="B1080" i="116"/>
  <c r="K1079" i="116"/>
  <c r="J1079" i="116"/>
  <c r="I1079" i="116"/>
  <c r="H1079" i="116"/>
  <c r="G1079" i="116"/>
  <c r="F1079" i="116"/>
  <c r="E1079" i="116"/>
  <c r="D1079" i="116"/>
  <c r="C1079" i="116"/>
  <c r="B1079" i="116"/>
  <c r="K1078" i="116"/>
  <c r="J1078" i="116"/>
  <c r="I1078" i="116"/>
  <c r="H1078" i="116"/>
  <c r="G1078" i="116"/>
  <c r="F1078" i="116"/>
  <c r="E1078" i="116"/>
  <c r="D1078" i="116"/>
  <c r="C1078" i="116"/>
  <c r="B1078" i="116"/>
  <c r="K1077" i="116"/>
  <c r="J1077" i="116"/>
  <c r="I1077" i="116"/>
  <c r="H1077" i="116"/>
  <c r="G1077" i="116"/>
  <c r="F1077" i="116"/>
  <c r="E1077" i="116"/>
  <c r="D1077" i="116"/>
  <c r="C1077" i="116"/>
  <c r="B1077" i="116"/>
  <c r="K1076" i="116"/>
  <c r="J1076" i="116"/>
  <c r="I1076" i="116"/>
  <c r="H1076" i="116"/>
  <c r="G1076" i="116"/>
  <c r="F1076" i="116"/>
  <c r="E1076" i="116"/>
  <c r="D1076" i="116"/>
  <c r="C1076" i="116"/>
  <c r="B1076" i="116"/>
  <c r="K1075" i="116"/>
  <c r="J1075" i="116"/>
  <c r="I1075" i="116"/>
  <c r="H1075" i="116"/>
  <c r="G1075" i="116"/>
  <c r="F1075" i="116"/>
  <c r="E1075" i="116"/>
  <c r="D1075" i="116"/>
  <c r="C1075" i="116"/>
  <c r="B1075" i="116"/>
  <c r="K1074" i="116"/>
  <c r="J1074" i="116"/>
  <c r="I1074" i="116"/>
  <c r="H1074" i="116"/>
  <c r="G1074" i="116"/>
  <c r="F1074" i="116"/>
  <c r="E1074" i="116"/>
  <c r="D1074" i="116"/>
  <c r="C1074" i="116"/>
  <c r="B1074" i="116"/>
  <c r="K1073" i="116"/>
  <c r="J1073" i="116"/>
  <c r="I1073" i="116"/>
  <c r="H1073" i="116"/>
  <c r="G1073" i="116"/>
  <c r="F1073" i="116"/>
  <c r="E1073" i="116"/>
  <c r="D1073" i="116"/>
  <c r="C1073" i="116"/>
  <c r="B1073" i="116"/>
  <c r="K1072" i="116"/>
  <c r="J1072" i="116"/>
  <c r="I1072" i="116"/>
  <c r="H1072" i="116"/>
  <c r="G1072" i="116"/>
  <c r="F1072" i="116"/>
  <c r="E1072" i="116"/>
  <c r="D1072" i="116"/>
  <c r="C1072" i="116"/>
  <c r="B1072" i="116"/>
  <c r="K1071" i="116"/>
  <c r="J1071" i="116"/>
  <c r="I1071" i="116"/>
  <c r="H1071" i="116"/>
  <c r="G1071" i="116"/>
  <c r="F1071" i="116"/>
  <c r="E1071" i="116"/>
  <c r="D1071" i="116"/>
  <c r="C1071" i="116"/>
  <c r="B1071" i="116"/>
  <c r="K1070" i="116"/>
  <c r="J1070" i="116"/>
  <c r="I1070" i="116"/>
  <c r="H1070" i="116"/>
  <c r="G1070" i="116"/>
  <c r="F1070" i="116"/>
  <c r="E1070" i="116"/>
  <c r="D1070" i="116"/>
  <c r="C1070" i="116"/>
  <c r="B1070" i="116"/>
  <c r="K1069" i="116"/>
  <c r="J1069" i="116"/>
  <c r="I1069" i="116"/>
  <c r="H1069" i="116"/>
  <c r="G1069" i="116"/>
  <c r="F1069" i="116"/>
  <c r="E1069" i="116"/>
  <c r="D1069" i="116"/>
  <c r="C1069" i="116"/>
  <c r="B1069" i="116"/>
  <c r="K1068" i="116"/>
  <c r="J1068" i="116"/>
  <c r="I1068" i="116"/>
  <c r="H1068" i="116"/>
  <c r="G1068" i="116"/>
  <c r="F1068" i="116"/>
  <c r="E1068" i="116"/>
  <c r="D1068" i="116"/>
  <c r="C1068" i="116"/>
  <c r="B1068" i="116"/>
  <c r="K1067" i="116"/>
  <c r="J1067" i="116"/>
  <c r="I1067" i="116"/>
  <c r="H1067" i="116"/>
  <c r="G1067" i="116"/>
  <c r="F1067" i="116"/>
  <c r="E1067" i="116"/>
  <c r="D1067" i="116"/>
  <c r="C1067" i="116"/>
  <c r="B1067" i="116"/>
  <c r="K1066" i="116"/>
  <c r="J1066" i="116"/>
  <c r="I1066" i="116"/>
  <c r="H1066" i="116"/>
  <c r="G1066" i="116"/>
  <c r="F1066" i="116"/>
  <c r="E1066" i="116"/>
  <c r="D1066" i="116"/>
  <c r="C1066" i="116"/>
  <c r="B1066" i="116"/>
  <c r="K1065" i="116"/>
  <c r="J1065" i="116"/>
  <c r="I1065" i="116"/>
  <c r="H1065" i="116"/>
  <c r="G1065" i="116"/>
  <c r="F1065" i="116"/>
  <c r="E1065" i="116"/>
  <c r="D1065" i="116"/>
  <c r="C1065" i="116"/>
  <c r="B1065" i="116"/>
  <c r="K1064" i="116"/>
  <c r="J1064" i="116"/>
  <c r="I1064" i="116"/>
  <c r="H1064" i="116"/>
  <c r="G1064" i="116"/>
  <c r="F1064" i="116"/>
  <c r="E1064" i="116"/>
  <c r="D1064" i="116"/>
  <c r="C1064" i="116"/>
  <c r="B1064" i="116"/>
  <c r="K1063" i="116"/>
  <c r="J1063" i="116"/>
  <c r="I1063" i="116"/>
  <c r="H1063" i="116"/>
  <c r="G1063" i="116"/>
  <c r="F1063" i="116"/>
  <c r="E1063" i="116"/>
  <c r="D1063" i="116"/>
  <c r="C1063" i="116"/>
  <c r="B1063" i="116"/>
  <c r="K1062" i="116"/>
  <c r="J1062" i="116"/>
  <c r="I1062" i="116"/>
  <c r="H1062" i="116"/>
  <c r="G1062" i="116"/>
  <c r="F1062" i="116"/>
  <c r="E1062" i="116"/>
  <c r="D1062" i="116"/>
  <c r="C1062" i="116"/>
  <c r="B1062" i="116"/>
  <c r="K1061" i="116"/>
  <c r="J1061" i="116"/>
  <c r="I1061" i="116"/>
  <c r="H1061" i="116"/>
  <c r="G1061" i="116"/>
  <c r="F1061" i="116"/>
  <c r="E1061" i="116"/>
  <c r="D1061" i="116"/>
  <c r="C1061" i="116"/>
  <c r="B1061" i="116"/>
  <c r="K1060" i="116"/>
  <c r="J1060" i="116"/>
  <c r="I1060" i="116"/>
  <c r="H1060" i="116"/>
  <c r="G1060" i="116"/>
  <c r="F1060" i="116"/>
  <c r="E1060" i="116"/>
  <c r="D1060" i="116"/>
  <c r="C1060" i="116"/>
  <c r="B1060" i="116"/>
  <c r="K1059" i="116"/>
  <c r="J1059" i="116"/>
  <c r="I1059" i="116"/>
  <c r="H1059" i="116"/>
  <c r="G1059" i="116"/>
  <c r="F1059" i="116"/>
  <c r="E1059" i="116"/>
  <c r="D1059" i="116"/>
  <c r="C1059" i="116"/>
  <c r="B1059" i="116"/>
  <c r="K1058" i="116"/>
  <c r="J1058" i="116"/>
  <c r="I1058" i="116"/>
  <c r="H1058" i="116"/>
  <c r="G1058" i="116"/>
  <c r="F1058" i="116"/>
  <c r="E1058" i="116"/>
  <c r="D1058" i="116"/>
  <c r="C1058" i="116"/>
  <c r="B1058" i="116"/>
  <c r="K1057" i="116"/>
  <c r="J1057" i="116"/>
  <c r="I1057" i="116"/>
  <c r="H1057" i="116"/>
  <c r="G1057" i="116"/>
  <c r="F1057" i="116"/>
  <c r="E1057" i="116"/>
  <c r="D1057" i="116"/>
  <c r="C1057" i="116"/>
  <c r="B1057" i="116"/>
  <c r="K1056" i="116"/>
  <c r="J1056" i="116"/>
  <c r="I1056" i="116"/>
  <c r="H1056" i="116"/>
  <c r="G1056" i="116"/>
  <c r="F1056" i="116"/>
  <c r="E1056" i="116"/>
  <c r="D1056" i="116"/>
  <c r="C1056" i="116"/>
  <c r="B1056" i="116"/>
  <c r="K1055" i="116"/>
  <c r="J1055" i="116"/>
  <c r="I1055" i="116"/>
  <c r="H1055" i="116"/>
  <c r="G1055" i="116"/>
  <c r="F1055" i="116"/>
  <c r="E1055" i="116"/>
  <c r="D1055" i="116"/>
  <c r="C1055" i="116"/>
  <c r="B1055" i="116"/>
  <c r="K1054" i="116"/>
  <c r="J1054" i="116"/>
  <c r="I1054" i="116"/>
  <c r="H1054" i="116"/>
  <c r="G1054" i="116"/>
  <c r="F1054" i="116"/>
  <c r="E1054" i="116"/>
  <c r="D1054" i="116"/>
  <c r="C1054" i="116"/>
  <c r="B1054" i="116"/>
  <c r="K1053" i="116"/>
  <c r="J1053" i="116"/>
  <c r="I1053" i="116"/>
  <c r="H1053" i="116"/>
  <c r="G1053" i="116"/>
  <c r="F1053" i="116"/>
  <c r="E1053" i="116"/>
  <c r="D1053" i="116"/>
  <c r="C1053" i="116"/>
  <c r="B1053" i="116"/>
  <c r="K1052" i="116"/>
  <c r="J1052" i="116"/>
  <c r="I1052" i="116"/>
  <c r="H1052" i="116"/>
  <c r="G1052" i="116"/>
  <c r="F1052" i="116"/>
  <c r="E1052" i="116"/>
  <c r="D1052" i="116"/>
  <c r="C1052" i="116"/>
  <c r="B1052" i="116"/>
  <c r="K1051" i="116"/>
  <c r="J1051" i="116"/>
  <c r="I1051" i="116"/>
  <c r="H1051" i="116"/>
  <c r="G1051" i="116"/>
  <c r="F1051" i="116"/>
  <c r="E1051" i="116"/>
  <c r="D1051" i="116"/>
  <c r="C1051" i="116"/>
  <c r="B1051" i="116"/>
  <c r="K1050" i="116"/>
  <c r="J1050" i="116"/>
  <c r="I1050" i="116"/>
  <c r="H1050" i="116"/>
  <c r="G1050" i="116"/>
  <c r="F1050" i="116"/>
  <c r="E1050" i="116"/>
  <c r="D1050" i="116"/>
  <c r="C1050" i="116"/>
  <c r="B1050" i="116"/>
  <c r="K1049" i="116"/>
  <c r="J1049" i="116"/>
  <c r="I1049" i="116"/>
  <c r="H1049" i="116"/>
  <c r="G1049" i="116"/>
  <c r="F1049" i="116"/>
  <c r="E1049" i="116"/>
  <c r="D1049" i="116"/>
  <c r="C1049" i="116"/>
  <c r="B1049" i="116"/>
  <c r="K1048" i="116"/>
  <c r="J1048" i="116"/>
  <c r="I1048" i="116"/>
  <c r="H1048" i="116"/>
  <c r="G1048" i="116"/>
  <c r="F1048" i="116"/>
  <c r="E1048" i="116"/>
  <c r="D1048" i="116"/>
  <c r="C1048" i="116"/>
  <c r="B1048" i="116"/>
  <c r="K1047" i="116"/>
  <c r="J1047" i="116"/>
  <c r="I1047" i="116"/>
  <c r="H1047" i="116"/>
  <c r="G1047" i="116"/>
  <c r="F1047" i="116"/>
  <c r="E1047" i="116"/>
  <c r="D1047" i="116"/>
  <c r="C1047" i="116"/>
  <c r="B1047" i="116"/>
  <c r="K1046" i="116"/>
  <c r="J1046" i="116"/>
  <c r="I1046" i="116"/>
  <c r="H1046" i="116"/>
  <c r="G1046" i="116"/>
  <c r="F1046" i="116"/>
  <c r="E1046" i="116"/>
  <c r="D1046" i="116"/>
  <c r="C1046" i="116"/>
  <c r="B1046" i="116"/>
  <c r="K1045" i="116"/>
  <c r="J1045" i="116"/>
  <c r="I1045" i="116"/>
  <c r="H1045" i="116"/>
  <c r="G1045" i="116"/>
  <c r="F1045" i="116"/>
  <c r="E1045" i="116"/>
  <c r="D1045" i="116"/>
  <c r="C1045" i="116"/>
  <c r="B1045" i="116"/>
  <c r="K1044" i="116"/>
  <c r="J1044" i="116"/>
  <c r="I1044" i="116"/>
  <c r="H1044" i="116"/>
  <c r="G1044" i="116"/>
  <c r="F1044" i="116"/>
  <c r="E1044" i="116"/>
  <c r="D1044" i="116"/>
  <c r="C1044" i="116"/>
  <c r="B1044" i="116"/>
  <c r="K1043" i="116"/>
  <c r="J1043" i="116"/>
  <c r="I1043" i="116"/>
  <c r="H1043" i="116"/>
  <c r="G1043" i="116"/>
  <c r="F1043" i="116"/>
  <c r="E1043" i="116"/>
  <c r="D1043" i="116"/>
  <c r="C1043" i="116"/>
  <c r="B1043" i="116"/>
  <c r="K1042" i="116"/>
  <c r="J1042" i="116"/>
  <c r="I1042" i="116"/>
  <c r="H1042" i="116"/>
  <c r="G1042" i="116"/>
  <c r="F1042" i="116"/>
  <c r="E1042" i="116"/>
  <c r="D1042" i="116"/>
  <c r="C1042" i="116"/>
  <c r="B1042" i="116"/>
  <c r="K1041" i="116"/>
  <c r="J1041" i="116"/>
  <c r="I1041" i="116"/>
  <c r="H1041" i="116"/>
  <c r="G1041" i="116"/>
  <c r="F1041" i="116"/>
  <c r="E1041" i="116"/>
  <c r="D1041" i="116"/>
  <c r="C1041" i="116"/>
  <c r="B1041" i="116"/>
  <c r="K1040" i="116"/>
  <c r="J1040" i="116"/>
  <c r="I1040" i="116"/>
  <c r="H1040" i="116"/>
  <c r="G1040" i="116"/>
  <c r="F1040" i="116"/>
  <c r="E1040" i="116"/>
  <c r="D1040" i="116"/>
  <c r="C1040" i="116"/>
  <c r="B1040" i="116"/>
  <c r="K1039" i="116"/>
  <c r="J1039" i="116"/>
  <c r="I1039" i="116"/>
  <c r="H1039" i="116"/>
  <c r="G1039" i="116"/>
  <c r="F1039" i="116"/>
  <c r="E1039" i="116"/>
  <c r="D1039" i="116"/>
  <c r="C1039" i="116"/>
  <c r="B1039" i="116"/>
  <c r="K1038" i="116"/>
  <c r="J1038" i="116"/>
  <c r="I1038" i="116"/>
  <c r="H1038" i="116"/>
  <c r="G1038" i="116"/>
  <c r="F1038" i="116"/>
  <c r="E1038" i="116"/>
  <c r="D1038" i="116"/>
  <c r="C1038" i="116"/>
  <c r="B1038" i="116"/>
  <c r="K1037" i="116"/>
  <c r="J1037" i="116"/>
  <c r="I1037" i="116"/>
  <c r="H1037" i="116"/>
  <c r="G1037" i="116"/>
  <c r="F1037" i="116"/>
  <c r="E1037" i="116"/>
  <c r="D1037" i="116"/>
  <c r="C1037" i="116"/>
  <c r="B1037" i="116"/>
  <c r="K1036" i="116"/>
  <c r="J1036" i="116"/>
  <c r="I1036" i="116"/>
  <c r="H1036" i="116"/>
  <c r="G1036" i="116"/>
  <c r="F1036" i="116"/>
  <c r="E1036" i="116"/>
  <c r="D1036" i="116"/>
  <c r="C1036" i="116"/>
  <c r="B1036" i="116"/>
  <c r="K1035" i="116"/>
  <c r="J1035" i="116"/>
  <c r="I1035" i="116"/>
  <c r="H1035" i="116"/>
  <c r="G1035" i="116"/>
  <c r="F1035" i="116"/>
  <c r="E1035" i="116"/>
  <c r="D1035" i="116"/>
  <c r="C1035" i="116"/>
  <c r="B1035" i="116"/>
  <c r="K1034" i="116"/>
  <c r="J1034" i="116"/>
  <c r="I1034" i="116"/>
  <c r="H1034" i="116"/>
  <c r="G1034" i="116"/>
  <c r="F1034" i="116"/>
  <c r="E1034" i="116"/>
  <c r="D1034" i="116"/>
  <c r="C1034" i="116"/>
  <c r="B1034" i="116"/>
  <c r="K1033" i="116"/>
  <c r="J1033" i="116"/>
  <c r="I1033" i="116"/>
  <c r="H1033" i="116"/>
  <c r="G1033" i="116"/>
  <c r="F1033" i="116"/>
  <c r="E1033" i="116"/>
  <c r="D1033" i="116"/>
  <c r="C1033" i="116"/>
  <c r="B1033" i="116"/>
  <c r="K1032" i="116"/>
  <c r="J1032" i="116"/>
  <c r="I1032" i="116"/>
  <c r="H1032" i="116"/>
  <c r="G1032" i="116"/>
  <c r="F1032" i="116"/>
  <c r="E1032" i="116"/>
  <c r="D1032" i="116"/>
  <c r="C1032" i="116"/>
  <c r="B1032" i="116"/>
  <c r="K1031" i="116"/>
  <c r="J1031" i="116"/>
  <c r="I1031" i="116"/>
  <c r="H1031" i="116"/>
  <c r="G1031" i="116"/>
  <c r="F1031" i="116"/>
  <c r="E1031" i="116"/>
  <c r="D1031" i="116"/>
  <c r="C1031" i="116"/>
  <c r="B1031" i="116"/>
  <c r="K1030" i="116"/>
  <c r="J1030" i="116"/>
  <c r="I1030" i="116"/>
  <c r="H1030" i="116"/>
  <c r="G1030" i="116"/>
  <c r="F1030" i="116"/>
  <c r="E1030" i="116"/>
  <c r="D1030" i="116"/>
  <c r="C1030" i="116"/>
  <c r="B1030" i="116"/>
  <c r="K1029" i="116"/>
  <c r="J1029" i="116"/>
  <c r="I1029" i="116"/>
  <c r="H1029" i="116"/>
  <c r="G1029" i="116"/>
  <c r="F1029" i="116"/>
  <c r="E1029" i="116"/>
  <c r="D1029" i="116"/>
  <c r="C1029" i="116"/>
  <c r="B1029" i="116"/>
  <c r="K1028" i="116"/>
  <c r="J1028" i="116"/>
  <c r="I1028" i="116"/>
  <c r="H1028" i="116"/>
  <c r="G1028" i="116"/>
  <c r="F1028" i="116"/>
  <c r="E1028" i="116"/>
  <c r="D1028" i="116"/>
  <c r="C1028" i="116"/>
  <c r="B1028" i="116"/>
  <c r="K1027" i="116"/>
  <c r="J1027" i="116"/>
  <c r="I1027" i="116"/>
  <c r="H1027" i="116"/>
  <c r="G1027" i="116"/>
  <c r="F1027" i="116"/>
  <c r="E1027" i="116"/>
  <c r="D1027" i="116"/>
  <c r="C1027" i="116"/>
  <c r="B1027" i="116"/>
  <c r="K1026" i="116"/>
  <c r="J1026" i="116"/>
  <c r="I1026" i="116"/>
  <c r="H1026" i="116"/>
  <c r="G1026" i="116"/>
  <c r="F1026" i="116"/>
  <c r="E1026" i="116"/>
  <c r="D1026" i="116"/>
  <c r="C1026" i="116"/>
  <c r="B1026" i="116"/>
  <c r="K1025" i="116"/>
  <c r="J1025" i="116"/>
  <c r="I1025" i="116"/>
  <c r="H1025" i="116"/>
  <c r="G1025" i="116"/>
  <c r="F1025" i="116"/>
  <c r="E1025" i="116"/>
  <c r="D1025" i="116"/>
  <c r="C1025" i="116"/>
  <c r="B1025" i="116"/>
  <c r="K1024" i="116"/>
  <c r="J1024" i="116"/>
  <c r="I1024" i="116"/>
  <c r="H1024" i="116"/>
  <c r="G1024" i="116"/>
  <c r="F1024" i="116"/>
  <c r="E1024" i="116"/>
  <c r="D1024" i="116"/>
  <c r="C1024" i="116"/>
  <c r="B1024" i="116"/>
  <c r="K1023" i="116"/>
  <c r="J1023" i="116"/>
  <c r="I1023" i="116"/>
  <c r="H1023" i="116"/>
  <c r="G1023" i="116"/>
  <c r="F1023" i="116"/>
  <c r="E1023" i="116"/>
  <c r="D1023" i="116"/>
  <c r="C1023" i="116"/>
  <c r="B1023" i="116"/>
  <c r="K1022" i="116"/>
  <c r="J1022" i="116"/>
  <c r="I1022" i="116"/>
  <c r="H1022" i="116"/>
  <c r="G1022" i="116"/>
  <c r="F1022" i="116"/>
  <c r="E1022" i="116"/>
  <c r="D1022" i="116"/>
  <c r="C1022" i="116"/>
  <c r="B1022" i="116"/>
  <c r="K1021" i="116"/>
  <c r="J1021" i="116"/>
  <c r="I1021" i="116"/>
  <c r="H1021" i="116"/>
  <c r="G1021" i="116"/>
  <c r="F1021" i="116"/>
  <c r="E1021" i="116"/>
  <c r="D1021" i="116"/>
  <c r="C1021" i="116"/>
  <c r="B1021" i="116"/>
  <c r="K1020" i="116"/>
  <c r="J1020" i="116"/>
  <c r="I1020" i="116"/>
  <c r="H1020" i="116"/>
  <c r="G1020" i="116"/>
  <c r="F1020" i="116"/>
  <c r="E1020" i="116"/>
  <c r="D1020" i="116"/>
  <c r="C1020" i="116"/>
  <c r="B1020" i="116"/>
  <c r="K1019" i="116"/>
  <c r="J1019" i="116"/>
  <c r="I1019" i="116"/>
  <c r="H1019" i="116"/>
  <c r="G1019" i="116"/>
  <c r="F1019" i="116"/>
  <c r="E1019" i="116"/>
  <c r="D1019" i="116"/>
  <c r="C1019" i="116"/>
  <c r="B1019" i="116"/>
  <c r="K1018" i="116"/>
  <c r="J1018" i="116"/>
  <c r="I1018" i="116"/>
  <c r="H1018" i="116"/>
  <c r="G1018" i="116"/>
  <c r="F1018" i="116"/>
  <c r="E1018" i="116"/>
  <c r="D1018" i="116"/>
  <c r="C1018" i="116"/>
  <c r="B1018" i="116"/>
  <c r="K1017" i="116"/>
  <c r="J1017" i="116"/>
  <c r="I1017" i="116"/>
  <c r="H1017" i="116"/>
  <c r="G1017" i="116"/>
  <c r="F1017" i="116"/>
  <c r="E1017" i="116"/>
  <c r="D1017" i="116"/>
  <c r="C1017" i="116"/>
  <c r="B1017" i="116"/>
  <c r="K1016" i="116"/>
  <c r="J1016" i="116"/>
  <c r="I1016" i="116"/>
  <c r="H1016" i="116"/>
  <c r="G1016" i="116"/>
  <c r="F1016" i="116"/>
  <c r="E1016" i="116"/>
  <c r="D1016" i="116"/>
  <c r="C1016" i="116"/>
  <c r="B1016" i="116"/>
  <c r="K1015" i="116"/>
  <c r="J1015" i="116"/>
  <c r="I1015" i="116"/>
  <c r="H1015" i="116"/>
  <c r="G1015" i="116"/>
  <c r="F1015" i="116"/>
  <c r="E1015" i="116"/>
  <c r="D1015" i="116"/>
  <c r="C1015" i="116"/>
  <c r="B1015" i="116"/>
  <c r="K1014" i="116"/>
  <c r="J1014" i="116"/>
  <c r="I1014" i="116"/>
  <c r="H1014" i="116"/>
  <c r="G1014" i="116"/>
  <c r="F1014" i="116"/>
  <c r="E1014" i="116"/>
  <c r="D1014" i="116"/>
  <c r="C1014" i="116"/>
  <c r="B1014" i="116"/>
  <c r="K1013" i="116"/>
  <c r="J1013" i="116"/>
  <c r="I1013" i="116"/>
  <c r="H1013" i="116"/>
  <c r="G1013" i="116"/>
  <c r="F1013" i="116"/>
  <c r="E1013" i="116"/>
  <c r="D1013" i="116"/>
  <c r="C1013" i="116"/>
  <c r="B1013" i="116"/>
  <c r="K1012" i="116"/>
  <c r="J1012" i="116"/>
  <c r="I1012" i="116"/>
  <c r="H1012" i="116"/>
  <c r="G1012" i="116"/>
  <c r="F1012" i="116"/>
  <c r="E1012" i="116"/>
  <c r="D1012" i="116"/>
  <c r="C1012" i="116"/>
  <c r="B1012" i="116"/>
  <c r="K1011" i="116"/>
  <c r="J1011" i="116"/>
  <c r="I1011" i="116"/>
  <c r="H1011" i="116"/>
  <c r="G1011" i="116"/>
  <c r="F1011" i="116"/>
  <c r="E1011" i="116"/>
  <c r="D1011" i="116"/>
  <c r="C1011" i="116"/>
  <c r="B1011" i="116"/>
  <c r="K1010" i="116"/>
  <c r="J1010" i="116"/>
  <c r="I1010" i="116"/>
  <c r="H1010" i="116"/>
  <c r="G1010" i="116"/>
  <c r="F1010" i="116"/>
  <c r="E1010" i="116"/>
  <c r="D1010" i="116"/>
  <c r="C1010" i="116"/>
  <c r="B1010" i="116"/>
  <c r="K1009" i="116"/>
  <c r="J1009" i="116"/>
  <c r="I1009" i="116"/>
  <c r="H1009" i="116"/>
  <c r="G1009" i="116"/>
  <c r="F1009" i="116"/>
  <c r="E1009" i="116"/>
  <c r="D1009" i="116"/>
  <c r="C1009" i="116"/>
  <c r="B1009" i="116"/>
  <c r="K1008" i="116"/>
  <c r="J1008" i="116"/>
  <c r="I1008" i="116"/>
  <c r="H1008" i="116"/>
  <c r="G1008" i="116"/>
  <c r="F1008" i="116"/>
  <c r="E1008" i="116"/>
  <c r="D1008" i="116"/>
  <c r="C1008" i="116"/>
  <c r="B1008" i="116"/>
  <c r="K1007" i="116"/>
  <c r="J1007" i="116"/>
  <c r="I1007" i="116"/>
  <c r="H1007" i="116"/>
  <c r="G1007" i="116"/>
  <c r="F1007" i="116"/>
  <c r="E1007" i="116"/>
  <c r="D1007" i="116"/>
  <c r="C1007" i="116"/>
  <c r="B1007" i="116"/>
  <c r="K1006" i="116"/>
  <c r="J1006" i="116"/>
  <c r="I1006" i="116"/>
  <c r="H1006" i="116"/>
  <c r="G1006" i="116"/>
  <c r="F1006" i="116"/>
  <c r="E1006" i="116"/>
  <c r="D1006" i="116"/>
  <c r="C1006" i="116"/>
  <c r="B1006" i="116"/>
  <c r="K1005" i="116"/>
  <c r="J1005" i="116"/>
  <c r="I1005" i="116"/>
  <c r="H1005" i="116"/>
  <c r="G1005" i="116"/>
  <c r="F1005" i="116"/>
  <c r="E1005" i="116"/>
  <c r="D1005" i="116"/>
  <c r="C1005" i="116"/>
  <c r="B1005" i="116"/>
  <c r="K1004" i="116"/>
  <c r="J1004" i="116"/>
  <c r="I1004" i="116"/>
  <c r="H1004" i="116"/>
  <c r="G1004" i="116"/>
  <c r="F1004" i="116"/>
  <c r="E1004" i="116"/>
  <c r="D1004" i="116"/>
  <c r="C1004" i="116"/>
  <c r="B1004" i="116"/>
  <c r="K1003" i="116"/>
  <c r="J1003" i="116"/>
  <c r="I1003" i="116"/>
  <c r="H1003" i="116"/>
  <c r="G1003" i="116"/>
  <c r="F1003" i="116"/>
  <c r="E1003" i="116"/>
  <c r="D1003" i="116"/>
  <c r="C1003" i="116"/>
  <c r="B1003" i="116"/>
  <c r="K1002" i="116"/>
  <c r="J1002" i="116"/>
  <c r="I1002" i="116"/>
  <c r="H1002" i="116"/>
  <c r="G1002" i="116"/>
  <c r="F1002" i="116"/>
  <c r="E1002" i="116"/>
  <c r="D1002" i="116"/>
  <c r="C1002" i="116"/>
  <c r="B1002" i="116"/>
  <c r="K1001" i="116"/>
  <c r="J1001" i="116"/>
  <c r="I1001" i="116"/>
  <c r="H1001" i="116"/>
  <c r="G1001" i="116"/>
  <c r="F1001" i="116"/>
  <c r="E1001" i="116"/>
  <c r="D1001" i="116"/>
  <c r="C1001" i="116"/>
  <c r="B1001" i="116"/>
  <c r="K1000" i="116"/>
  <c r="J1000" i="116"/>
  <c r="I1000" i="116"/>
  <c r="H1000" i="116"/>
  <c r="G1000" i="116"/>
  <c r="F1000" i="116"/>
  <c r="E1000" i="116"/>
  <c r="D1000" i="116"/>
  <c r="C1000" i="116"/>
  <c r="B1000" i="116"/>
  <c r="K999" i="116"/>
  <c r="J999" i="116"/>
  <c r="I999" i="116"/>
  <c r="H999" i="116"/>
  <c r="G999" i="116"/>
  <c r="F999" i="116"/>
  <c r="E999" i="116"/>
  <c r="D999" i="116"/>
  <c r="C999" i="116"/>
  <c r="B999" i="116"/>
  <c r="K998" i="116"/>
  <c r="J998" i="116"/>
  <c r="I998" i="116"/>
  <c r="H998" i="116"/>
  <c r="G998" i="116"/>
  <c r="F998" i="116"/>
  <c r="E998" i="116"/>
  <c r="D998" i="116"/>
  <c r="C998" i="116"/>
  <c r="B998" i="116"/>
  <c r="K997" i="116"/>
  <c r="J997" i="116"/>
  <c r="I997" i="116"/>
  <c r="H997" i="116"/>
  <c r="G997" i="116"/>
  <c r="F997" i="116"/>
  <c r="E997" i="116"/>
  <c r="D997" i="116"/>
  <c r="C997" i="116"/>
  <c r="B997" i="116"/>
  <c r="K996" i="116"/>
  <c r="J996" i="116"/>
  <c r="I996" i="116"/>
  <c r="H996" i="116"/>
  <c r="G996" i="116"/>
  <c r="F996" i="116"/>
  <c r="E996" i="116"/>
  <c r="D996" i="116"/>
  <c r="C996" i="116"/>
  <c r="B996" i="116"/>
  <c r="K995" i="116"/>
  <c r="J995" i="116"/>
  <c r="I995" i="116"/>
  <c r="H995" i="116"/>
  <c r="G995" i="116"/>
  <c r="F995" i="116"/>
  <c r="E995" i="116"/>
  <c r="D995" i="116"/>
  <c r="C995" i="116"/>
  <c r="B995" i="116"/>
  <c r="K994" i="116"/>
  <c r="J994" i="116"/>
  <c r="I994" i="116"/>
  <c r="H994" i="116"/>
  <c r="G994" i="116"/>
  <c r="F994" i="116"/>
  <c r="E994" i="116"/>
  <c r="D994" i="116"/>
  <c r="C994" i="116"/>
  <c r="B994" i="116"/>
  <c r="K993" i="116"/>
  <c r="J993" i="116"/>
  <c r="I993" i="116"/>
  <c r="H993" i="116"/>
  <c r="G993" i="116"/>
  <c r="F993" i="116"/>
  <c r="E993" i="116"/>
  <c r="D993" i="116"/>
  <c r="C993" i="116"/>
  <c r="B993" i="116"/>
  <c r="K992" i="116"/>
  <c r="J992" i="116"/>
  <c r="I992" i="116"/>
  <c r="H992" i="116"/>
  <c r="G992" i="116"/>
  <c r="F992" i="116"/>
  <c r="E992" i="116"/>
  <c r="D992" i="116"/>
  <c r="C992" i="116"/>
  <c r="B992" i="116"/>
  <c r="K991" i="116"/>
  <c r="J991" i="116"/>
  <c r="I991" i="116"/>
  <c r="H991" i="116"/>
  <c r="G991" i="116"/>
  <c r="F991" i="116"/>
  <c r="E991" i="116"/>
  <c r="D991" i="116"/>
  <c r="C991" i="116"/>
  <c r="B991" i="116"/>
  <c r="K990" i="116"/>
  <c r="J990" i="116"/>
  <c r="I990" i="116"/>
  <c r="H990" i="116"/>
  <c r="G990" i="116"/>
  <c r="F990" i="116"/>
  <c r="E990" i="116"/>
  <c r="D990" i="116"/>
  <c r="C990" i="116"/>
  <c r="B990" i="116"/>
  <c r="K989" i="116"/>
  <c r="J989" i="116"/>
  <c r="I989" i="116"/>
  <c r="H989" i="116"/>
  <c r="G989" i="116"/>
  <c r="F989" i="116"/>
  <c r="E989" i="116"/>
  <c r="D989" i="116"/>
  <c r="C989" i="116"/>
  <c r="B989" i="116"/>
  <c r="K988" i="116"/>
  <c r="J988" i="116"/>
  <c r="I988" i="116"/>
  <c r="H988" i="116"/>
  <c r="G988" i="116"/>
  <c r="F988" i="116"/>
  <c r="E988" i="116"/>
  <c r="D988" i="116"/>
  <c r="C988" i="116"/>
  <c r="B988" i="116"/>
  <c r="K987" i="116"/>
  <c r="J987" i="116"/>
  <c r="I987" i="116"/>
  <c r="H987" i="116"/>
  <c r="G987" i="116"/>
  <c r="F987" i="116"/>
  <c r="E987" i="116"/>
  <c r="D987" i="116"/>
  <c r="C987" i="116"/>
  <c r="B987" i="116"/>
  <c r="K986" i="116"/>
  <c r="J986" i="116"/>
  <c r="I986" i="116"/>
  <c r="H986" i="116"/>
  <c r="G986" i="116"/>
  <c r="F986" i="116"/>
  <c r="E986" i="116"/>
  <c r="D986" i="116"/>
  <c r="C986" i="116"/>
  <c r="B986" i="116"/>
  <c r="K985" i="116"/>
  <c r="J985" i="116"/>
  <c r="I985" i="116"/>
  <c r="H985" i="116"/>
  <c r="G985" i="116"/>
  <c r="F985" i="116"/>
  <c r="E985" i="116"/>
  <c r="D985" i="116"/>
  <c r="C985" i="116"/>
  <c r="B985" i="116"/>
  <c r="K984" i="116"/>
  <c r="J984" i="116"/>
  <c r="I984" i="116"/>
  <c r="H984" i="116"/>
  <c r="G984" i="116"/>
  <c r="F984" i="116"/>
  <c r="E984" i="116"/>
  <c r="D984" i="116"/>
  <c r="C984" i="116"/>
  <c r="B984" i="116"/>
  <c r="K983" i="116"/>
  <c r="J983" i="116"/>
  <c r="I983" i="116"/>
  <c r="H983" i="116"/>
  <c r="G983" i="116"/>
  <c r="F983" i="116"/>
  <c r="E983" i="116"/>
  <c r="D983" i="116"/>
  <c r="C983" i="116"/>
  <c r="B983" i="116"/>
  <c r="K982" i="116"/>
  <c r="J982" i="116"/>
  <c r="I982" i="116"/>
  <c r="H982" i="116"/>
  <c r="G982" i="116"/>
  <c r="F982" i="116"/>
  <c r="E982" i="116"/>
  <c r="D982" i="116"/>
  <c r="C982" i="116"/>
  <c r="B982" i="116"/>
  <c r="K981" i="116"/>
  <c r="J981" i="116"/>
  <c r="I981" i="116"/>
  <c r="H981" i="116"/>
  <c r="G981" i="116"/>
  <c r="F981" i="116"/>
  <c r="E981" i="116"/>
  <c r="D981" i="116"/>
  <c r="C981" i="116"/>
  <c r="B981" i="116"/>
  <c r="K980" i="116"/>
  <c r="J980" i="116"/>
  <c r="I980" i="116"/>
  <c r="H980" i="116"/>
  <c r="G980" i="116"/>
  <c r="F980" i="116"/>
  <c r="E980" i="116"/>
  <c r="D980" i="116"/>
  <c r="C980" i="116"/>
  <c r="B980" i="116"/>
  <c r="K979" i="116"/>
  <c r="J979" i="116"/>
  <c r="I979" i="116"/>
  <c r="H979" i="116"/>
  <c r="G979" i="116"/>
  <c r="F979" i="116"/>
  <c r="E979" i="116"/>
  <c r="D979" i="116"/>
  <c r="C979" i="116"/>
  <c r="B979" i="116"/>
  <c r="K978" i="116"/>
  <c r="J978" i="116"/>
  <c r="I978" i="116"/>
  <c r="H978" i="116"/>
  <c r="G978" i="116"/>
  <c r="F978" i="116"/>
  <c r="E978" i="116"/>
  <c r="D978" i="116"/>
  <c r="C978" i="116"/>
  <c r="B978" i="116"/>
  <c r="K977" i="116"/>
  <c r="J977" i="116"/>
  <c r="I977" i="116"/>
  <c r="H977" i="116"/>
  <c r="G977" i="116"/>
  <c r="F977" i="116"/>
  <c r="E977" i="116"/>
  <c r="D977" i="116"/>
  <c r="C977" i="116"/>
  <c r="B977" i="116"/>
  <c r="K976" i="116"/>
  <c r="J976" i="116"/>
  <c r="I976" i="116"/>
  <c r="H976" i="116"/>
  <c r="G976" i="116"/>
  <c r="F976" i="116"/>
  <c r="E976" i="116"/>
  <c r="D976" i="116"/>
  <c r="C976" i="116"/>
  <c r="B976" i="116"/>
  <c r="K975" i="116"/>
  <c r="J975" i="116"/>
  <c r="I975" i="116"/>
  <c r="H975" i="116"/>
  <c r="G975" i="116"/>
  <c r="F975" i="116"/>
  <c r="E975" i="116"/>
  <c r="D975" i="116"/>
  <c r="C975" i="116"/>
  <c r="B975" i="116"/>
  <c r="K974" i="116"/>
  <c r="J974" i="116"/>
  <c r="I974" i="116"/>
  <c r="H974" i="116"/>
  <c r="G974" i="116"/>
  <c r="F974" i="116"/>
  <c r="E974" i="116"/>
  <c r="D974" i="116"/>
  <c r="C974" i="116"/>
  <c r="B974" i="116"/>
  <c r="K973" i="116"/>
  <c r="J973" i="116"/>
  <c r="I973" i="116"/>
  <c r="H973" i="116"/>
  <c r="G973" i="116"/>
  <c r="F973" i="116"/>
  <c r="E973" i="116"/>
  <c r="D973" i="116"/>
  <c r="C973" i="116"/>
  <c r="B973" i="116"/>
  <c r="K972" i="116"/>
  <c r="J972" i="116"/>
  <c r="I972" i="116"/>
  <c r="H972" i="116"/>
  <c r="G972" i="116"/>
  <c r="F972" i="116"/>
  <c r="E972" i="116"/>
  <c r="D972" i="116"/>
  <c r="C972" i="116"/>
  <c r="B972" i="116"/>
  <c r="K971" i="116"/>
  <c r="J971" i="116"/>
  <c r="I971" i="116"/>
  <c r="H971" i="116"/>
  <c r="G971" i="116"/>
  <c r="F971" i="116"/>
  <c r="E971" i="116"/>
  <c r="D971" i="116"/>
  <c r="C971" i="116"/>
  <c r="B971" i="116"/>
  <c r="K970" i="116"/>
  <c r="J970" i="116"/>
  <c r="I970" i="116"/>
  <c r="H970" i="116"/>
  <c r="G970" i="116"/>
  <c r="F970" i="116"/>
  <c r="E970" i="116"/>
  <c r="D970" i="116"/>
  <c r="C970" i="116"/>
  <c r="B970" i="116"/>
  <c r="K969" i="116"/>
  <c r="J969" i="116"/>
  <c r="I969" i="116"/>
  <c r="H969" i="116"/>
  <c r="G969" i="116"/>
  <c r="F969" i="116"/>
  <c r="E969" i="116"/>
  <c r="D969" i="116"/>
  <c r="C969" i="116"/>
  <c r="B969" i="116"/>
  <c r="K968" i="116"/>
  <c r="J968" i="116"/>
  <c r="I968" i="116"/>
  <c r="H968" i="116"/>
  <c r="G968" i="116"/>
  <c r="F968" i="116"/>
  <c r="E968" i="116"/>
  <c r="D968" i="116"/>
  <c r="C968" i="116"/>
  <c r="B968" i="116"/>
  <c r="K967" i="116"/>
  <c r="J967" i="116"/>
  <c r="I967" i="116"/>
  <c r="H967" i="116"/>
  <c r="G967" i="116"/>
  <c r="F967" i="116"/>
  <c r="E967" i="116"/>
  <c r="D967" i="116"/>
  <c r="C967" i="116"/>
  <c r="B967" i="116"/>
  <c r="K966" i="116"/>
  <c r="J966" i="116"/>
  <c r="I966" i="116"/>
  <c r="H966" i="116"/>
  <c r="G966" i="116"/>
  <c r="F966" i="116"/>
  <c r="E966" i="116"/>
  <c r="D966" i="116"/>
  <c r="C966" i="116"/>
  <c r="B966" i="116"/>
  <c r="K965" i="116"/>
  <c r="J965" i="116"/>
  <c r="I965" i="116"/>
  <c r="H965" i="116"/>
  <c r="G965" i="116"/>
  <c r="F965" i="116"/>
  <c r="E965" i="116"/>
  <c r="D965" i="116"/>
  <c r="C965" i="116"/>
  <c r="B965" i="116"/>
  <c r="K964" i="116"/>
  <c r="J964" i="116"/>
  <c r="I964" i="116"/>
  <c r="H964" i="116"/>
  <c r="G964" i="116"/>
  <c r="F964" i="116"/>
  <c r="E964" i="116"/>
  <c r="D964" i="116"/>
  <c r="C964" i="116"/>
  <c r="B964" i="116"/>
  <c r="K963" i="116"/>
  <c r="J963" i="116"/>
  <c r="I963" i="116"/>
  <c r="H963" i="116"/>
  <c r="G963" i="116"/>
  <c r="F963" i="116"/>
  <c r="E963" i="116"/>
  <c r="D963" i="116"/>
  <c r="C963" i="116"/>
  <c r="B963" i="116"/>
  <c r="K962" i="116"/>
  <c r="J962" i="116"/>
  <c r="I962" i="116"/>
  <c r="H962" i="116"/>
  <c r="G962" i="116"/>
  <c r="F962" i="116"/>
  <c r="E962" i="116"/>
  <c r="D962" i="116"/>
  <c r="C962" i="116"/>
  <c r="B962" i="116"/>
  <c r="K961" i="116"/>
  <c r="J961" i="116"/>
  <c r="I961" i="116"/>
  <c r="H961" i="116"/>
  <c r="G961" i="116"/>
  <c r="F961" i="116"/>
  <c r="E961" i="116"/>
  <c r="D961" i="116"/>
  <c r="C961" i="116"/>
  <c r="B961" i="116"/>
  <c r="K960" i="116"/>
  <c r="J960" i="116"/>
  <c r="I960" i="116"/>
  <c r="H960" i="116"/>
  <c r="G960" i="116"/>
  <c r="F960" i="116"/>
  <c r="E960" i="116"/>
  <c r="D960" i="116"/>
  <c r="C960" i="116"/>
  <c r="B960" i="116"/>
  <c r="K959" i="116"/>
  <c r="J959" i="116"/>
  <c r="I959" i="116"/>
  <c r="H959" i="116"/>
  <c r="G959" i="116"/>
  <c r="F959" i="116"/>
  <c r="E959" i="116"/>
  <c r="D959" i="116"/>
  <c r="C959" i="116"/>
  <c r="B959" i="116"/>
  <c r="K958" i="116"/>
  <c r="J958" i="116"/>
  <c r="I958" i="116"/>
  <c r="H958" i="116"/>
  <c r="G958" i="116"/>
  <c r="F958" i="116"/>
  <c r="E958" i="116"/>
  <c r="D958" i="116"/>
  <c r="C958" i="116"/>
  <c r="B958" i="116"/>
  <c r="K957" i="116"/>
  <c r="J957" i="116"/>
  <c r="I957" i="116"/>
  <c r="H957" i="116"/>
  <c r="G957" i="116"/>
  <c r="F957" i="116"/>
  <c r="E957" i="116"/>
  <c r="D957" i="116"/>
  <c r="C957" i="116"/>
  <c r="B957" i="116"/>
  <c r="K956" i="116"/>
  <c r="J956" i="116"/>
  <c r="I956" i="116"/>
  <c r="H956" i="116"/>
  <c r="G956" i="116"/>
  <c r="F956" i="116"/>
  <c r="E956" i="116"/>
  <c r="D956" i="116"/>
  <c r="C956" i="116"/>
  <c r="B956" i="116"/>
  <c r="K955" i="116"/>
  <c r="J955" i="116"/>
  <c r="I955" i="116"/>
  <c r="H955" i="116"/>
  <c r="G955" i="116"/>
  <c r="F955" i="116"/>
  <c r="E955" i="116"/>
  <c r="D955" i="116"/>
  <c r="C955" i="116"/>
  <c r="B955" i="116"/>
  <c r="K954" i="116"/>
  <c r="J954" i="116"/>
  <c r="I954" i="116"/>
  <c r="H954" i="116"/>
  <c r="G954" i="116"/>
  <c r="F954" i="116"/>
  <c r="E954" i="116"/>
  <c r="D954" i="116"/>
  <c r="C954" i="116"/>
  <c r="B954" i="116"/>
  <c r="K953" i="116"/>
  <c r="J953" i="116"/>
  <c r="I953" i="116"/>
  <c r="H953" i="116"/>
  <c r="G953" i="116"/>
  <c r="F953" i="116"/>
  <c r="E953" i="116"/>
  <c r="D953" i="116"/>
  <c r="C953" i="116"/>
  <c r="B953" i="116"/>
  <c r="K952" i="116"/>
  <c r="J952" i="116"/>
  <c r="I952" i="116"/>
  <c r="H952" i="116"/>
  <c r="G952" i="116"/>
  <c r="F952" i="116"/>
  <c r="E952" i="116"/>
  <c r="D952" i="116"/>
  <c r="C952" i="116"/>
  <c r="B952" i="116"/>
  <c r="K951" i="116"/>
  <c r="J951" i="116"/>
  <c r="I951" i="116"/>
  <c r="H951" i="116"/>
  <c r="G951" i="116"/>
  <c r="F951" i="116"/>
  <c r="E951" i="116"/>
  <c r="D951" i="116"/>
  <c r="C951" i="116"/>
  <c r="B951" i="116"/>
  <c r="K950" i="116"/>
  <c r="J950" i="116"/>
  <c r="I950" i="116"/>
  <c r="H950" i="116"/>
  <c r="G950" i="116"/>
  <c r="F950" i="116"/>
  <c r="E950" i="116"/>
  <c r="D950" i="116"/>
  <c r="C950" i="116"/>
  <c r="B950" i="116"/>
  <c r="K949" i="116"/>
  <c r="J949" i="116"/>
  <c r="I949" i="116"/>
  <c r="H949" i="116"/>
  <c r="G949" i="116"/>
  <c r="F949" i="116"/>
  <c r="E949" i="116"/>
  <c r="D949" i="116"/>
  <c r="C949" i="116"/>
  <c r="B949" i="116"/>
  <c r="K948" i="116"/>
  <c r="J948" i="116"/>
  <c r="I948" i="116"/>
  <c r="H948" i="116"/>
  <c r="G948" i="116"/>
  <c r="F948" i="116"/>
  <c r="E948" i="116"/>
  <c r="D948" i="116"/>
  <c r="C948" i="116"/>
  <c r="B948" i="116"/>
  <c r="K947" i="116"/>
  <c r="J947" i="116"/>
  <c r="I947" i="116"/>
  <c r="H947" i="116"/>
  <c r="G947" i="116"/>
  <c r="F947" i="116"/>
  <c r="E947" i="116"/>
  <c r="D947" i="116"/>
  <c r="C947" i="116"/>
  <c r="B947" i="116"/>
  <c r="K946" i="116"/>
  <c r="J946" i="116"/>
  <c r="I946" i="116"/>
  <c r="H946" i="116"/>
  <c r="G946" i="116"/>
  <c r="F946" i="116"/>
  <c r="E946" i="116"/>
  <c r="D946" i="116"/>
  <c r="C946" i="116"/>
  <c r="B946" i="116"/>
  <c r="K945" i="116"/>
  <c r="J945" i="116"/>
  <c r="I945" i="116"/>
  <c r="H945" i="116"/>
  <c r="G945" i="116"/>
  <c r="F945" i="116"/>
  <c r="E945" i="116"/>
  <c r="D945" i="116"/>
  <c r="C945" i="116"/>
  <c r="B945" i="116"/>
  <c r="K944" i="116"/>
  <c r="J944" i="116"/>
  <c r="I944" i="116"/>
  <c r="H944" i="116"/>
  <c r="G944" i="116"/>
  <c r="F944" i="116"/>
  <c r="E944" i="116"/>
  <c r="D944" i="116"/>
  <c r="C944" i="116"/>
  <c r="B944" i="116"/>
  <c r="K943" i="116"/>
  <c r="J943" i="116"/>
  <c r="I943" i="116"/>
  <c r="H943" i="116"/>
  <c r="G943" i="116"/>
  <c r="F943" i="116"/>
  <c r="E943" i="116"/>
  <c r="D943" i="116"/>
  <c r="C943" i="116"/>
  <c r="B943" i="116"/>
  <c r="K942" i="116"/>
  <c r="J942" i="116"/>
  <c r="I942" i="116"/>
  <c r="H942" i="116"/>
  <c r="G942" i="116"/>
  <c r="F942" i="116"/>
  <c r="E942" i="116"/>
  <c r="D942" i="116"/>
  <c r="C942" i="116"/>
  <c r="B942" i="116"/>
  <c r="K941" i="116"/>
  <c r="J941" i="116"/>
  <c r="I941" i="116"/>
  <c r="H941" i="116"/>
  <c r="G941" i="116"/>
  <c r="F941" i="116"/>
  <c r="E941" i="116"/>
  <c r="D941" i="116"/>
  <c r="C941" i="116"/>
  <c r="B941" i="116"/>
  <c r="K940" i="116"/>
  <c r="J940" i="116"/>
  <c r="I940" i="116"/>
  <c r="H940" i="116"/>
  <c r="G940" i="116"/>
  <c r="F940" i="116"/>
  <c r="E940" i="116"/>
  <c r="D940" i="116"/>
  <c r="C940" i="116"/>
  <c r="B940" i="116"/>
  <c r="K939" i="116"/>
  <c r="J939" i="116"/>
  <c r="I939" i="116"/>
  <c r="H939" i="116"/>
  <c r="G939" i="116"/>
  <c r="F939" i="116"/>
  <c r="E939" i="116"/>
  <c r="D939" i="116"/>
  <c r="C939" i="116"/>
  <c r="B939" i="116"/>
  <c r="K938" i="116"/>
  <c r="J938" i="116"/>
  <c r="I938" i="116"/>
  <c r="H938" i="116"/>
  <c r="G938" i="116"/>
  <c r="F938" i="116"/>
  <c r="E938" i="116"/>
  <c r="D938" i="116"/>
  <c r="C938" i="116"/>
  <c r="B938" i="116"/>
  <c r="K937" i="116"/>
  <c r="J937" i="116"/>
  <c r="I937" i="116"/>
  <c r="H937" i="116"/>
  <c r="G937" i="116"/>
  <c r="F937" i="116"/>
  <c r="E937" i="116"/>
  <c r="D937" i="116"/>
  <c r="C937" i="116"/>
  <c r="B937" i="116"/>
  <c r="K936" i="116"/>
  <c r="J936" i="116"/>
  <c r="I936" i="116"/>
  <c r="H936" i="116"/>
  <c r="G936" i="116"/>
  <c r="F936" i="116"/>
  <c r="E936" i="116"/>
  <c r="D936" i="116"/>
  <c r="C936" i="116"/>
  <c r="B936" i="116"/>
  <c r="K935" i="116"/>
  <c r="J935" i="116"/>
  <c r="I935" i="116"/>
  <c r="H935" i="116"/>
  <c r="G935" i="116"/>
  <c r="F935" i="116"/>
  <c r="E935" i="116"/>
  <c r="D935" i="116"/>
  <c r="C935" i="116"/>
  <c r="B935" i="116"/>
  <c r="K934" i="116"/>
  <c r="J934" i="116"/>
  <c r="I934" i="116"/>
  <c r="H934" i="116"/>
  <c r="G934" i="116"/>
  <c r="F934" i="116"/>
  <c r="E934" i="116"/>
  <c r="D934" i="116"/>
  <c r="C934" i="116"/>
  <c r="B934" i="116"/>
  <c r="K933" i="116"/>
  <c r="J933" i="116"/>
  <c r="I933" i="116"/>
  <c r="H933" i="116"/>
  <c r="G933" i="116"/>
  <c r="F933" i="116"/>
  <c r="E933" i="116"/>
  <c r="D933" i="116"/>
  <c r="C933" i="116"/>
  <c r="B933" i="116"/>
  <c r="K932" i="116"/>
  <c r="J932" i="116"/>
  <c r="I932" i="116"/>
  <c r="H932" i="116"/>
  <c r="G932" i="116"/>
  <c r="F932" i="116"/>
  <c r="E932" i="116"/>
  <c r="D932" i="116"/>
  <c r="C932" i="116"/>
  <c r="B932" i="116"/>
  <c r="K931" i="116"/>
  <c r="J931" i="116"/>
  <c r="I931" i="116"/>
  <c r="H931" i="116"/>
  <c r="G931" i="116"/>
  <c r="F931" i="116"/>
  <c r="E931" i="116"/>
  <c r="D931" i="116"/>
  <c r="C931" i="116"/>
  <c r="B931" i="116"/>
  <c r="K930" i="116"/>
  <c r="J930" i="116"/>
  <c r="I930" i="116"/>
  <c r="H930" i="116"/>
  <c r="G930" i="116"/>
  <c r="F930" i="116"/>
  <c r="E930" i="116"/>
  <c r="D930" i="116"/>
  <c r="C930" i="116"/>
  <c r="B930" i="116"/>
  <c r="K929" i="116"/>
  <c r="J929" i="116"/>
  <c r="I929" i="116"/>
  <c r="H929" i="116"/>
  <c r="G929" i="116"/>
  <c r="F929" i="116"/>
  <c r="E929" i="116"/>
  <c r="D929" i="116"/>
  <c r="C929" i="116"/>
  <c r="B929" i="116"/>
  <c r="K928" i="116"/>
  <c r="J928" i="116"/>
  <c r="I928" i="116"/>
  <c r="H928" i="116"/>
  <c r="G928" i="116"/>
  <c r="F928" i="116"/>
  <c r="E928" i="116"/>
  <c r="D928" i="116"/>
  <c r="C928" i="116"/>
  <c r="B928" i="116"/>
  <c r="K927" i="116"/>
  <c r="J927" i="116"/>
  <c r="I927" i="116"/>
  <c r="H927" i="116"/>
  <c r="G927" i="116"/>
  <c r="F927" i="116"/>
  <c r="E927" i="116"/>
  <c r="D927" i="116"/>
  <c r="C927" i="116"/>
  <c r="B927" i="116"/>
  <c r="K926" i="116"/>
  <c r="J926" i="116"/>
  <c r="I926" i="116"/>
  <c r="H926" i="116"/>
  <c r="G926" i="116"/>
  <c r="F926" i="116"/>
  <c r="E926" i="116"/>
  <c r="D926" i="116"/>
  <c r="C926" i="116"/>
  <c r="B926" i="116"/>
  <c r="K925" i="116"/>
  <c r="J925" i="116"/>
  <c r="I925" i="116"/>
  <c r="H925" i="116"/>
  <c r="G925" i="116"/>
  <c r="F925" i="116"/>
  <c r="E925" i="116"/>
  <c r="D925" i="116"/>
  <c r="C925" i="116"/>
  <c r="B925" i="116"/>
  <c r="K924" i="116"/>
  <c r="J924" i="116"/>
  <c r="I924" i="116"/>
  <c r="H924" i="116"/>
  <c r="G924" i="116"/>
  <c r="F924" i="116"/>
  <c r="E924" i="116"/>
  <c r="D924" i="116"/>
  <c r="C924" i="116"/>
  <c r="B924" i="116"/>
  <c r="K923" i="116"/>
  <c r="J923" i="116"/>
  <c r="I923" i="116"/>
  <c r="H923" i="116"/>
  <c r="G923" i="116"/>
  <c r="F923" i="116"/>
  <c r="E923" i="116"/>
  <c r="D923" i="116"/>
  <c r="C923" i="116"/>
  <c r="B923" i="116"/>
  <c r="K922" i="116"/>
  <c r="J922" i="116"/>
  <c r="I922" i="116"/>
  <c r="H922" i="116"/>
  <c r="G922" i="116"/>
  <c r="F922" i="116"/>
  <c r="E922" i="116"/>
  <c r="D922" i="116"/>
  <c r="C922" i="116"/>
  <c r="B922" i="116"/>
  <c r="K921" i="116"/>
  <c r="J921" i="116"/>
  <c r="I921" i="116"/>
  <c r="H921" i="116"/>
  <c r="G921" i="116"/>
  <c r="F921" i="116"/>
  <c r="E921" i="116"/>
  <c r="D921" i="116"/>
  <c r="C921" i="116"/>
  <c r="B921" i="116"/>
  <c r="K920" i="116"/>
  <c r="J920" i="116"/>
  <c r="I920" i="116"/>
  <c r="H920" i="116"/>
  <c r="G920" i="116"/>
  <c r="F920" i="116"/>
  <c r="E920" i="116"/>
  <c r="D920" i="116"/>
  <c r="C920" i="116"/>
  <c r="B920" i="116"/>
  <c r="K919" i="116"/>
  <c r="J919" i="116"/>
  <c r="I919" i="116"/>
  <c r="H919" i="116"/>
  <c r="G919" i="116"/>
  <c r="F919" i="116"/>
  <c r="E919" i="116"/>
  <c r="D919" i="116"/>
  <c r="C919" i="116"/>
  <c r="B919" i="116"/>
  <c r="K918" i="116"/>
  <c r="J918" i="116"/>
  <c r="I918" i="116"/>
  <c r="H918" i="116"/>
  <c r="G918" i="116"/>
  <c r="F918" i="116"/>
  <c r="E918" i="116"/>
  <c r="D918" i="116"/>
  <c r="C918" i="116"/>
  <c r="B918" i="116"/>
  <c r="K917" i="116"/>
  <c r="J917" i="116"/>
  <c r="I917" i="116"/>
  <c r="H917" i="116"/>
  <c r="G917" i="116"/>
  <c r="F917" i="116"/>
  <c r="E917" i="116"/>
  <c r="D917" i="116"/>
  <c r="C917" i="116"/>
  <c r="B917" i="116"/>
  <c r="K916" i="116"/>
  <c r="J916" i="116"/>
  <c r="I916" i="116"/>
  <c r="H916" i="116"/>
  <c r="G916" i="116"/>
  <c r="F916" i="116"/>
  <c r="E916" i="116"/>
  <c r="D916" i="116"/>
  <c r="C916" i="116"/>
  <c r="B916" i="116"/>
  <c r="K915" i="116"/>
  <c r="J915" i="116"/>
  <c r="I915" i="116"/>
  <c r="H915" i="116"/>
  <c r="G915" i="116"/>
  <c r="F915" i="116"/>
  <c r="E915" i="116"/>
  <c r="D915" i="116"/>
  <c r="C915" i="116"/>
  <c r="B915" i="116"/>
  <c r="K914" i="116"/>
  <c r="J914" i="116"/>
  <c r="I914" i="116"/>
  <c r="H914" i="116"/>
  <c r="G914" i="116"/>
  <c r="F914" i="116"/>
  <c r="E914" i="116"/>
  <c r="D914" i="116"/>
  <c r="C914" i="116"/>
  <c r="B914" i="116"/>
  <c r="K913" i="116"/>
  <c r="J913" i="116"/>
  <c r="I913" i="116"/>
  <c r="H913" i="116"/>
  <c r="G913" i="116"/>
  <c r="F913" i="116"/>
  <c r="E913" i="116"/>
  <c r="D913" i="116"/>
  <c r="C913" i="116"/>
  <c r="B913" i="116"/>
  <c r="K912" i="116"/>
  <c r="J912" i="116"/>
  <c r="I912" i="116"/>
  <c r="H912" i="116"/>
  <c r="G912" i="116"/>
  <c r="F912" i="116"/>
  <c r="E912" i="116"/>
  <c r="D912" i="116"/>
  <c r="C912" i="116"/>
  <c r="B912" i="116"/>
  <c r="K911" i="116"/>
  <c r="J911" i="116"/>
  <c r="I911" i="116"/>
  <c r="H911" i="116"/>
  <c r="G911" i="116"/>
  <c r="F911" i="116"/>
  <c r="E911" i="116"/>
  <c r="D911" i="116"/>
  <c r="C911" i="116"/>
  <c r="B911" i="116"/>
  <c r="K910" i="116"/>
  <c r="J910" i="116"/>
  <c r="I910" i="116"/>
  <c r="H910" i="116"/>
  <c r="G910" i="116"/>
  <c r="F910" i="116"/>
  <c r="E910" i="116"/>
  <c r="D910" i="116"/>
  <c r="C910" i="116"/>
  <c r="B910" i="116"/>
  <c r="K909" i="116"/>
  <c r="J909" i="116"/>
  <c r="I909" i="116"/>
  <c r="H909" i="116"/>
  <c r="G909" i="116"/>
  <c r="F909" i="116"/>
  <c r="E909" i="116"/>
  <c r="D909" i="116"/>
  <c r="C909" i="116"/>
  <c r="B909" i="116"/>
  <c r="K908" i="116"/>
  <c r="J908" i="116"/>
  <c r="I908" i="116"/>
  <c r="H908" i="116"/>
  <c r="G908" i="116"/>
  <c r="F908" i="116"/>
  <c r="E908" i="116"/>
  <c r="D908" i="116"/>
  <c r="C908" i="116"/>
  <c r="B908" i="116"/>
  <c r="K907" i="116"/>
  <c r="J907" i="116"/>
  <c r="I907" i="116"/>
  <c r="H907" i="116"/>
  <c r="G907" i="116"/>
  <c r="F907" i="116"/>
  <c r="E907" i="116"/>
  <c r="D907" i="116"/>
  <c r="C907" i="116"/>
  <c r="B907" i="116"/>
  <c r="K906" i="116"/>
  <c r="J906" i="116"/>
  <c r="I906" i="116"/>
  <c r="H906" i="116"/>
  <c r="G906" i="116"/>
  <c r="F906" i="116"/>
  <c r="E906" i="116"/>
  <c r="D906" i="116"/>
  <c r="C906" i="116"/>
  <c r="B906" i="116"/>
  <c r="K905" i="116"/>
  <c r="J905" i="116"/>
  <c r="I905" i="116"/>
  <c r="H905" i="116"/>
  <c r="G905" i="116"/>
  <c r="F905" i="116"/>
  <c r="E905" i="116"/>
  <c r="D905" i="116"/>
  <c r="C905" i="116"/>
  <c r="B905" i="116"/>
  <c r="K904" i="116"/>
  <c r="J904" i="116"/>
  <c r="I904" i="116"/>
  <c r="H904" i="116"/>
  <c r="G904" i="116"/>
  <c r="F904" i="116"/>
  <c r="E904" i="116"/>
  <c r="D904" i="116"/>
  <c r="C904" i="116"/>
  <c r="B904" i="116"/>
  <c r="K903" i="116"/>
  <c r="J903" i="116"/>
  <c r="I903" i="116"/>
  <c r="H903" i="116"/>
  <c r="G903" i="116"/>
  <c r="F903" i="116"/>
  <c r="E903" i="116"/>
  <c r="D903" i="116"/>
  <c r="C903" i="116"/>
  <c r="B903" i="116"/>
  <c r="K902" i="116"/>
  <c r="J902" i="116"/>
  <c r="I902" i="116"/>
  <c r="H902" i="116"/>
  <c r="G902" i="116"/>
  <c r="F902" i="116"/>
  <c r="E902" i="116"/>
  <c r="D902" i="116"/>
  <c r="C902" i="116"/>
  <c r="B902" i="116"/>
  <c r="K901" i="116"/>
  <c r="J901" i="116"/>
  <c r="I901" i="116"/>
  <c r="H901" i="116"/>
  <c r="G901" i="116"/>
  <c r="F901" i="116"/>
  <c r="E901" i="116"/>
  <c r="D901" i="116"/>
  <c r="C901" i="116"/>
  <c r="B901" i="116"/>
  <c r="K900" i="116"/>
  <c r="J900" i="116"/>
  <c r="I900" i="116"/>
  <c r="H900" i="116"/>
  <c r="G900" i="116"/>
  <c r="F900" i="116"/>
  <c r="E900" i="116"/>
  <c r="D900" i="116"/>
  <c r="C900" i="116"/>
  <c r="B900" i="116"/>
  <c r="K899" i="116"/>
  <c r="J899" i="116"/>
  <c r="I899" i="116"/>
  <c r="H899" i="116"/>
  <c r="G899" i="116"/>
  <c r="F899" i="116"/>
  <c r="E899" i="116"/>
  <c r="D899" i="116"/>
  <c r="C899" i="116"/>
  <c r="B899" i="116"/>
  <c r="K898" i="116"/>
  <c r="J898" i="116"/>
  <c r="I898" i="116"/>
  <c r="H898" i="116"/>
  <c r="G898" i="116"/>
  <c r="F898" i="116"/>
  <c r="E898" i="116"/>
  <c r="D898" i="116"/>
  <c r="C898" i="116"/>
  <c r="B898" i="116"/>
  <c r="K897" i="116"/>
  <c r="J897" i="116"/>
  <c r="I897" i="116"/>
  <c r="H897" i="116"/>
  <c r="G897" i="116"/>
  <c r="F897" i="116"/>
  <c r="E897" i="116"/>
  <c r="D897" i="116"/>
  <c r="C897" i="116"/>
  <c r="B897" i="116"/>
  <c r="K896" i="116"/>
  <c r="J896" i="116"/>
  <c r="I896" i="116"/>
  <c r="H896" i="116"/>
  <c r="G896" i="116"/>
  <c r="F896" i="116"/>
  <c r="E896" i="116"/>
  <c r="D896" i="116"/>
  <c r="C896" i="116"/>
  <c r="B896" i="116"/>
  <c r="K895" i="116"/>
  <c r="J895" i="116"/>
  <c r="I895" i="116"/>
  <c r="H895" i="116"/>
  <c r="G895" i="116"/>
  <c r="F895" i="116"/>
  <c r="E895" i="116"/>
  <c r="D895" i="116"/>
  <c r="C895" i="116"/>
  <c r="B895" i="116"/>
  <c r="K894" i="116"/>
  <c r="J894" i="116"/>
  <c r="I894" i="116"/>
  <c r="H894" i="116"/>
  <c r="G894" i="116"/>
  <c r="F894" i="116"/>
  <c r="E894" i="116"/>
  <c r="D894" i="116"/>
  <c r="C894" i="116"/>
  <c r="B894" i="116"/>
  <c r="K893" i="116"/>
  <c r="J893" i="116"/>
  <c r="I893" i="116"/>
  <c r="H893" i="116"/>
  <c r="G893" i="116"/>
  <c r="F893" i="116"/>
  <c r="E893" i="116"/>
  <c r="D893" i="116"/>
  <c r="C893" i="116"/>
  <c r="B893" i="116"/>
  <c r="K892" i="116"/>
  <c r="J892" i="116"/>
  <c r="I892" i="116"/>
  <c r="H892" i="116"/>
  <c r="G892" i="116"/>
  <c r="F892" i="116"/>
  <c r="E892" i="116"/>
  <c r="D892" i="116"/>
  <c r="C892" i="116"/>
  <c r="B892" i="116"/>
  <c r="K891" i="116"/>
  <c r="J891" i="116"/>
  <c r="I891" i="116"/>
  <c r="H891" i="116"/>
  <c r="G891" i="116"/>
  <c r="F891" i="116"/>
  <c r="E891" i="116"/>
  <c r="D891" i="116"/>
  <c r="C891" i="116"/>
  <c r="B891" i="116"/>
  <c r="K890" i="116"/>
  <c r="J890" i="116"/>
  <c r="I890" i="116"/>
  <c r="H890" i="116"/>
  <c r="G890" i="116"/>
  <c r="F890" i="116"/>
  <c r="E890" i="116"/>
  <c r="D890" i="116"/>
  <c r="C890" i="116"/>
  <c r="B890" i="116"/>
  <c r="K889" i="116"/>
  <c r="J889" i="116"/>
  <c r="I889" i="116"/>
  <c r="H889" i="116"/>
  <c r="G889" i="116"/>
  <c r="F889" i="116"/>
  <c r="E889" i="116"/>
  <c r="D889" i="116"/>
  <c r="C889" i="116"/>
  <c r="B889" i="116"/>
  <c r="K888" i="116"/>
  <c r="J888" i="116"/>
  <c r="I888" i="116"/>
  <c r="H888" i="116"/>
  <c r="G888" i="116"/>
  <c r="F888" i="116"/>
  <c r="E888" i="116"/>
  <c r="D888" i="116"/>
  <c r="C888" i="116"/>
  <c r="B888" i="116"/>
  <c r="K887" i="116"/>
  <c r="J887" i="116"/>
  <c r="I887" i="116"/>
  <c r="H887" i="116"/>
  <c r="G887" i="116"/>
  <c r="F887" i="116"/>
  <c r="E887" i="116"/>
  <c r="D887" i="116"/>
  <c r="C887" i="116"/>
  <c r="B887" i="116"/>
  <c r="K886" i="116"/>
  <c r="J886" i="116"/>
  <c r="I886" i="116"/>
  <c r="H886" i="116"/>
  <c r="G886" i="116"/>
  <c r="F886" i="116"/>
  <c r="E886" i="116"/>
  <c r="D886" i="116"/>
  <c r="C886" i="116"/>
  <c r="B886" i="116"/>
  <c r="K885" i="116"/>
  <c r="J885" i="116"/>
  <c r="I885" i="116"/>
  <c r="H885" i="116"/>
  <c r="G885" i="116"/>
  <c r="F885" i="116"/>
  <c r="E885" i="116"/>
  <c r="D885" i="116"/>
  <c r="C885" i="116"/>
  <c r="B885" i="116"/>
  <c r="K884" i="116"/>
  <c r="J884" i="116"/>
  <c r="I884" i="116"/>
  <c r="H884" i="116"/>
  <c r="G884" i="116"/>
  <c r="F884" i="116"/>
  <c r="E884" i="116"/>
  <c r="D884" i="116"/>
  <c r="C884" i="116"/>
  <c r="B884" i="116"/>
  <c r="K883" i="116"/>
  <c r="J883" i="116"/>
  <c r="I883" i="116"/>
  <c r="H883" i="116"/>
  <c r="G883" i="116"/>
  <c r="F883" i="116"/>
  <c r="E883" i="116"/>
  <c r="D883" i="116"/>
  <c r="C883" i="116"/>
  <c r="B883" i="116"/>
  <c r="K882" i="116"/>
  <c r="J882" i="116"/>
  <c r="I882" i="116"/>
  <c r="H882" i="116"/>
  <c r="G882" i="116"/>
  <c r="F882" i="116"/>
  <c r="E882" i="116"/>
  <c r="D882" i="116"/>
  <c r="C882" i="116"/>
  <c r="B882" i="116"/>
  <c r="K881" i="116"/>
  <c r="J881" i="116"/>
  <c r="I881" i="116"/>
  <c r="H881" i="116"/>
  <c r="G881" i="116"/>
  <c r="F881" i="116"/>
  <c r="E881" i="116"/>
  <c r="D881" i="116"/>
  <c r="C881" i="116"/>
  <c r="B881" i="116"/>
  <c r="K880" i="116"/>
  <c r="J880" i="116"/>
  <c r="I880" i="116"/>
  <c r="H880" i="116"/>
  <c r="G880" i="116"/>
  <c r="F880" i="116"/>
  <c r="E880" i="116"/>
  <c r="D880" i="116"/>
  <c r="C880" i="116"/>
  <c r="B880" i="116"/>
  <c r="K879" i="116"/>
  <c r="J879" i="116"/>
  <c r="I879" i="116"/>
  <c r="H879" i="116"/>
  <c r="G879" i="116"/>
  <c r="F879" i="116"/>
  <c r="E879" i="116"/>
  <c r="D879" i="116"/>
  <c r="C879" i="116"/>
  <c r="B879" i="116"/>
  <c r="K878" i="116"/>
  <c r="J878" i="116"/>
  <c r="I878" i="116"/>
  <c r="H878" i="116"/>
  <c r="G878" i="116"/>
  <c r="F878" i="116"/>
  <c r="E878" i="116"/>
  <c r="D878" i="116"/>
  <c r="C878" i="116"/>
  <c r="B878" i="116"/>
  <c r="K877" i="116"/>
  <c r="J877" i="116"/>
  <c r="I877" i="116"/>
  <c r="H877" i="116"/>
  <c r="G877" i="116"/>
  <c r="F877" i="116"/>
  <c r="E877" i="116"/>
  <c r="D877" i="116"/>
  <c r="C877" i="116"/>
  <c r="B877" i="116"/>
  <c r="K876" i="116"/>
  <c r="J876" i="116"/>
  <c r="I876" i="116"/>
  <c r="H876" i="116"/>
  <c r="G876" i="116"/>
  <c r="F876" i="116"/>
  <c r="E876" i="116"/>
  <c r="D876" i="116"/>
  <c r="C876" i="116"/>
  <c r="B876" i="116"/>
  <c r="K875" i="116"/>
  <c r="J875" i="116"/>
  <c r="I875" i="116"/>
  <c r="H875" i="116"/>
  <c r="G875" i="116"/>
  <c r="F875" i="116"/>
  <c r="E875" i="116"/>
  <c r="D875" i="116"/>
  <c r="C875" i="116"/>
  <c r="B875" i="116"/>
  <c r="K874" i="116"/>
  <c r="J874" i="116"/>
  <c r="I874" i="116"/>
  <c r="H874" i="116"/>
  <c r="G874" i="116"/>
  <c r="F874" i="116"/>
  <c r="E874" i="116"/>
  <c r="D874" i="116"/>
  <c r="C874" i="116"/>
  <c r="B874" i="116"/>
  <c r="K873" i="116"/>
  <c r="J873" i="116"/>
  <c r="I873" i="116"/>
  <c r="H873" i="116"/>
  <c r="G873" i="116"/>
  <c r="F873" i="116"/>
  <c r="E873" i="116"/>
  <c r="D873" i="116"/>
  <c r="C873" i="116"/>
  <c r="B873" i="116"/>
  <c r="K872" i="116"/>
  <c r="J872" i="116"/>
  <c r="I872" i="116"/>
  <c r="H872" i="116"/>
  <c r="G872" i="116"/>
  <c r="F872" i="116"/>
  <c r="E872" i="116"/>
  <c r="D872" i="116"/>
  <c r="C872" i="116"/>
  <c r="B872" i="116"/>
  <c r="K871" i="116"/>
  <c r="J871" i="116"/>
  <c r="I871" i="116"/>
  <c r="H871" i="116"/>
  <c r="G871" i="116"/>
  <c r="F871" i="116"/>
  <c r="E871" i="116"/>
  <c r="D871" i="116"/>
  <c r="C871" i="116"/>
  <c r="B871" i="116"/>
  <c r="K870" i="116"/>
  <c r="J870" i="116"/>
  <c r="I870" i="116"/>
  <c r="H870" i="116"/>
  <c r="G870" i="116"/>
  <c r="F870" i="116"/>
  <c r="E870" i="116"/>
  <c r="D870" i="116"/>
  <c r="C870" i="116"/>
  <c r="B870" i="116"/>
  <c r="K869" i="116"/>
  <c r="J869" i="116"/>
  <c r="I869" i="116"/>
  <c r="H869" i="116"/>
  <c r="G869" i="116"/>
  <c r="F869" i="116"/>
  <c r="E869" i="116"/>
  <c r="D869" i="116"/>
  <c r="C869" i="116"/>
  <c r="B869" i="116"/>
  <c r="K868" i="116"/>
  <c r="J868" i="116"/>
  <c r="I868" i="116"/>
  <c r="H868" i="116"/>
  <c r="G868" i="116"/>
  <c r="F868" i="116"/>
  <c r="E868" i="116"/>
  <c r="D868" i="116"/>
  <c r="C868" i="116"/>
  <c r="B868" i="116"/>
  <c r="K867" i="116"/>
  <c r="J867" i="116"/>
  <c r="I867" i="116"/>
  <c r="H867" i="116"/>
  <c r="G867" i="116"/>
  <c r="F867" i="116"/>
  <c r="E867" i="116"/>
  <c r="D867" i="116"/>
  <c r="C867" i="116"/>
  <c r="B867" i="116"/>
  <c r="K866" i="116"/>
  <c r="J866" i="116"/>
  <c r="I866" i="116"/>
  <c r="H866" i="116"/>
  <c r="G866" i="116"/>
  <c r="F866" i="116"/>
  <c r="E866" i="116"/>
  <c r="D866" i="116"/>
  <c r="C866" i="116"/>
  <c r="B866" i="116"/>
  <c r="K865" i="116"/>
  <c r="J865" i="116"/>
  <c r="I865" i="116"/>
  <c r="H865" i="116"/>
  <c r="G865" i="116"/>
  <c r="F865" i="116"/>
  <c r="E865" i="116"/>
  <c r="D865" i="116"/>
  <c r="C865" i="116"/>
  <c r="B865" i="116"/>
  <c r="K864" i="116"/>
  <c r="J864" i="116"/>
  <c r="I864" i="116"/>
  <c r="H864" i="116"/>
  <c r="G864" i="116"/>
  <c r="F864" i="116"/>
  <c r="E864" i="116"/>
  <c r="D864" i="116"/>
  <c r="C864" i="116"/>
  <c r="B864" i="116"/>
  <c r="K863" i="116"/>
  <c r="J863" i="116"/>
  <c r="I863" i="116"/>
  <c r="H863" i="116"/>
  <c r="G863" i="116"/>
  <c r="F863" i="116"/>
  <c r="E863" i="116"/>
  <c r="D863" i="116"/>
  <c r="C863" i="116"/>
  <c r="B863" i="116"/>
  <c r="K862" i="116"/>
  <c r="J862" i="116"/>
  <c r="I862" i="116"/>
  <c r="H862" i="116"/>
  <c r="G862" i="116"/>
  <c r="F862" i="116"/>
  <c r="E862" i="116"/>
  <c r="D862" i="116"/>
  <c r="C862" i="116"/>
  <c r="B862" i="116"/>
  <c r="K861" i="116"/>
  <c r="J861" i="116"/>
  <c r="I861" i="116"/>
  <c r="H861" i="116"/>
  <c r="G861" i="116"/>
  <c r="F861" i="116"/>
  <c r="E861" i="116"/>
  <c r="D861" i="116"/>
  <c r="C861" i="116"/>
  <c r="B861" i="116"/>
  <c r="K860" i="116"/>
  <c r="J860" i="116"/>
  <c r="I860" i="116"/>
  <c r="H860" i="116"/>
  <c r="G860" i="116"/>
  <c r="F860" i="116"/>
  <c r="E860" i="116"/>
  <c r="D860" i="116"/>
  <c r="C860" i="116"/>
  <c r="B860" i="116"/>
  <c r="K859" i="116"/>
  <c r="J859" i="116"/>
  <c r="I859" i="116"/>
  <c r="H859" i="116"/>
  <c r="G859" i="116"/>
  <c r="F859" i="116"/>
  <c r="E859" i="116"/>
  <c r="D859" i="116"/>
  <c r="C859" i="116"/>
  <c r="B859" i="116"/>
  <c r="K858" i="116"/>
  <c r="J858" i="116"/>
  <c r="I858" i="116"/>
  <c r="H858" i="116"/>
  <c r="G858" i="116"/>
  <c r="F858" i="116"/>
  <c r="E858" i="116"/>
  <c r="D858" i="116"/>
  <c r="C858" i="116"/>
  <c r="B858" i="116"/>
  <c r="K857" i="116"/>
  <c r="J857" i="116"/>
  <c r="I857" i="116"/>
  <c r="H857" i="116"/>
  <c r="G857" i="116"/>
  <c r="F857" i="116"/>
  <c r="E857" i="116"/>
  <c r="D857" i="116"/>
  <c r="C857" i="116"/>
  <c r="B857" i="116"/>
  <c r="K856" i="116"/>
  <c r="J856" i="116"/>
  <c r="I856" i="116"/>
  <c r="H856" i="116"/>
  <c r="G856" i="116"/>
  <c r="F856" i="116"/>
  <c r="E856" i="116"/>
  <c r="D856" i="116"/>
  <c r="C856" i="116"/>
  <c r="B856" i="116"/>
  <c r="K855" i="116"/>
  <c r="J855" i="116"/>
  <c r="I855" i="116"/>
  <c r="H855" i="116"/>
  <c r="G855" i="116"/>
  <c r="F855" i="116"/>
  <c r="E855" i="116"/>
  <c r="D855" i="116"/>
  <c r="C855" i="116"/>
  <c r="B855" i="116"/>
  <c r="K854" i="116"/>
  <c r="J854" i="116"/>
  <c r="I854" i="116"/>
  <c r="H854" i="116"/>
  <c r="G854" i="116"/>
  <c r="F854" i="116"/>
  <c r="E854" i="116"/>
  <c r="D854" i="116"/>
  <c r="C854" i="116"/>
  <c r="B854" i="116"/>
  <c r="K853" i="116"/>
  <c r="J853" i="116"/>
  <c r="I853" i="116"/>
  <c r="H853" i="116"/>
  <c r="G853" i="116"/>
  <c r="F853" i="116"/>
  <c r="E853" i="116"/>
  <c r="D853" i="116"/>
  <c r="C853" i="116"/>
  <c r="B853" i="116"/>
  <c r="K852" i="116"/>
  <c r="J852" i="116"/>
  <c r="I852" i="116"/>
  <c r="H852" i="116"/>
  <c r="G852" i="116"/>
  <c r="F852" i="116"/>
  <c r="E852" i="116"/>
  <c r="D852" i="116"/>
  <c r="C852" i="116"/>
  <c r="B852" i="116"/>
  <c r="K851" i="116"/>
  <c r="J851" i="116"/>
  <c r="I851" i="116"/>
  <c r="H851" i="116"/>
  <c r="G851" i="116"/>
  <c r="F851" i="116"/>
  <c r="E851" i="116"/>
  <c r="D851" i="116"/>
  <c r="C851" i="116"/>
  <c r="B851" i="116"/>
  <c r="K850" i="116"/>
  <c r="J850" i="116"/>
  <c r="I850" i="116"/>
  <c r="H850" i="116"/>
  <c r="G850" i="116"/>
  <c r="F850" i="116"/>
  <c r="E850" i="116"/>
  <c r="D850" i="116"/>
  <c r="C850" i="116"/>
  <c r="B850" i="116"/>
  <c r="K849" i="116"/>
  <c r="J849" i="116"/>
  <c r="I849" i="116"/>
  <c r="H849" i="116"/>
  <c r="G849" i="116"/>
  <c r="F849" i="116"/>
  <c r="E849" i="116"/>
  <c r="D849" i="116"/>
  <c r="C849" i="116"/>
  <c r="B849" i="116"/>
  <c r="K848" i="116"/>
  <c r="J848" i="116"/>
  <c r="I848" i="116"/>
  <c r="H848" i="116"/>
  <c r="G848" i="116"/>
  <c r="F848" i="116"/>
  <c r="E848" i="116"/>
  <c r="D848" i="116"/>
  <c r="C848" i="116"/>
  <c r="B848" i="116"/>
  <c r="K847" i="116"/>
  <c r="J847" i="116"/>
  <c r="I847" i="116"/>
  <c r="H847" i="116"/>
  <c r="G847" i="116"/>
  <c r="F847" i="116"/>
  <c r="E847" i="116"/>
  <c r="D847" i="116"/>
  <c r="C847" i="116"/>
  <c r="B847" i="116"/>
  <c r="K846" i="116"/>
  <c r="J846" i="116"/>
  <c r="I846" i="116"/>
  <c r="H846" i="116"/>
  <c r="G846" i="116"/>
  <c r="F846" i="116"/>
  <c r="E846" i="116"/>
  <c r="D846" i="116"/>
  <c r="C846" i="116"/>
  <c r="B846" i="116"/>
  <c r="K845" i="116"/>
  <c r="J845" i="116"/>
  <c r="I845" i="116"/>
  <c r="H845" i="116"/>
  <c r="G845" i="116"/>
  <c r="F845" i="116"/>
  <c r="E845" i="116"/>
  <c r="D845" i="116"/>
  <c r="C845" i="116"/>
  <c r="B845" i="116"/>
  <c r="K844" i="116"/>
  <c r="J844" i="116"/>
  <c r="I844" i="116"/>
  <c r="H844" i="116"/>
  <c r="G844" i="116"/>
  <c r="F844" i="116"/>
  <c r="E844" i="116"/>
  <c r="D844" i="116"/>
  <c r="C844" i="116"/>
  <c r="B844" i="116"/>
  <c r="K843" i="116"/>
  <c r="J843" i="116"/>
  <c r="I843" i="116"/>
  <c r="H843" i="116"/>
  <c r="G843" i="116"/>
  <c r="F843" i="116"/>
  <c r="E843" i="116"/>
  <c r="D843" i="116"/>
  <c r="C843" i="116"/>
  <c r="B843" i="116"/>
  <c r="K842" i="116"/>
  <c r="J842" i="116"/>
  <c r="I842" i="116"/>
  <c r="H842" i="116"/>
  <c r="G842" i="116"/>
  <c r="F842" i="116"/>
  <c r="E842" i="116"/>
  <c r="D842" i="116"/>
  <c r="C842" i="116"/>
  <c r="B842" i="116"/>
  <c r="K841" i="116"/>
  <c r="J841" i="116"/>
  <c r="I841" i="116"/>
  <c r="H841" i="116"/>
  <c r="G841" i="116"/>
  <c r="F841" i="116"/>
  <c r="E841" i="116"/>
  <c r="D841" i="116"/>
  <c r="C841" i="116"/>
  <c r="B841" i="116"/>
  <c r="K840" i="116"/>
  <c r="J840" i="116"/>
  <c r="I840" i="116"/>
  <c r="H840" i="116"/>
  <c r="G840" i="116"/>
  <c r="F840" i="116"/>
  <c r="E840" i="116"/>
  <c r="D840" i="116"/>
  <c r="C840" i="116"/>
  <c r="B840" i="116"/>
  <c r="K839" i="116"/>
  <c r="J839" i="116"/>
  <c r="I839" i="116"/>
  <c r="H839" i="116"/>
  <c r="G839" i="116"/>
  <c r="F839" i="116"/>
  <c r="E839" i="116"/>
  <c r="D839" i="116"/>
  <c r="C839" i="116"/>
  <c r="B839" i="116"/>
  <c r="K838" i="116"/>
  <c r="J838" i="116"/>
  <c r="I838" i="116"/>
  <c r="H838" i="116"/>
  <c r="G838" i="116"/>
  <c r="F838" i="116"/>
  <c r="E838" i="116"/>
  <c r="D838" i="116"/>
  <c r="C838" i="116"/>
  <c r="B838" i="116"/>
  <c r="K837" i="116"/>
  <c r="J837" i="116"/>
  <c r="I837" i="116"/>
  <c r="H837" i="116"/>
  <c r="G837" i="116"/>
  <c r="F837" i="116"/>
  <c r="E837" i="116"/>
  <c r="D837" i="116"/>
  <c r="C837" i="116"/>
  <c r="B837" i="116"/>
  <c r="K836" i="116"/>
  <c r="J836" i="116"/>
  <c r="I836" i="116"/>
  <c r="H836" i="116"/>
  <c r="G836" i="116"/>
  <c r="F836" i="116"/>
  <c r="E836" i="116"/>
  <c r="D836" i="116"/>
  <c r="C836" i="116"/>
  <c r="B836" i="116"/>
  <c r="K835" i="116"/>
  <c r="J835" i="116"/>
  <c r="I835" i="116"/>
  <c r="H835" i="116"/>
  <c r="G835" i="116"/>
  <c r="F835" i="116"/>
  <c r="E835" i="116"/>
  <c r="D835" i="116"/>
  <c r="C835" i="116"/>
  <c r="B835" i="116"/>
  <c r="K834" i="116"/>
  <c r="J834" i="116"/>
  <c r="I834" i="116"/>
  <c r="H834" i="116"/>
  <c r="G834" i="116"/>
  <c r="F834" i="116"/>
  <c r="E834" i="116"/>
  <c r="D834" i="116"/>
  <c r="C834" i="116"/>
  <c r="B834" i="116"/>
  <c r="K833" i="116"/>
  <c r="J833" i="116"/>
  <c r="I833" i="116"/>
  <c r="H833" i="116"/>
  <c r="G833" i="116"/>
  <c r="F833" i="116"/>
  <c r="E833" i="116"/>
  <c r="D833" i="116"/>
  <c r="C833" i="116"/>
  <c r="B833" i="116"/>
  <c r="K832" i="116"/>
  <c r="J832" i="116"/>
  <c r="I832" i="116"/>
  <c r="H832" i="116"/>
  <c r="G832" i="116"/>
  <c r="F832" i="116"/>
  <c r="E832" i="116"/>
  <c r="D832" i="116"/>
  <c r="C832" i="116"/>
  <c r="B832" i="116"/>
  <c r="K831" i="116"/>
  <c r="J831" i="116"/>
  <c r="I831" i="116"/>
  <c r="H831" i="116"/>
  <c r="G831" i="116"/>
  <c r="F831" i="116"/>
  <c r="E831" i="116"/>
  <c r="D831" i="116"/>
  <c r="C831" i="116"/>
  <c r="B831" i="116"/>
  <c r="K830" i="116"/>
  <c r="J830" i="116"/>
  <c r="I830" i="116"/>
  <c r="H830" i="116"/>
  <c r="G830" i="116"/>
  <c r="F830" i="116"/>
  <c r="E830" i="116"/>
  <c r="D830" i="116"/>
  <c r="C830" i="116"/>
  <c r="B830" i="116"/>
  <c r="K829" i="116"/>
  <c r="J829" i="116"/>
  <c r="I829" i="116"/>
  <c r="H829" i="116"/>
  <c r="G829" i="116"/>
  <c r="F829" i="116"/>
  <c r="E829" i="116"/>
  <c r="D829" i="116"/>
  <c r="C829" i="116"/>
  <c r="B829" i="116"/>
  <c r="K828" i="116"/>
  <c r="J828" i="116"/>
  <c r="I828" i="116"/>
  <c r="H828" i="116"/>
  <c r="G828" i="116"/>
  <c r="F828" i="116"/>
  <c r="E828" i="116"/>
  <c r="D828" i="116"/>
  <c r="C828" i="116"/>
  <c r="B828" i="116"/>
  <c r="K827" i="116"/>
  <c r="J827" i="116"/>
  <c r="I827" i="116"/>
  <c r="H827" i="116"/>
  <c r="G827" i="116"/>
  <c r="F827" i="116"/>
  <c r="E827" i="116"/>
  <c r="D827" i="116"/>
  <c r="C827" i="116"/>
  <c r="B827" i="116"/>
  <c r="K826" i="116"/>
  <c r="J826" i="116"/>
  <c r="I826" i="116"/>
  <c r="H826" i="116"/>
  <c r="G826" i="116"/>
  <c r="F826" i="116"/>
  <c r="E826" i="116"/>
  <c r="D826" i="116"/>
  <c r="C826" i="116"/>
  <c r="B826" i="116"/>
  <c r="K825" i="116"/>
  <c r="J825" i="116"/>
  <c r="I825" i="116"/>
  <c r="H825" i="116"/>
  <c r="G825" i="116"/>
  <c r="F825" i="116"/>
  <c r="E825" i="116"/>
  <c r="D825" i="116"/>
  <c r="C825" i="116"/>
  <c r="B825" i="116"/>
  <c r="K824" i="116"/>
  <c r="J824" i="116"/>
  <c r="I824" i="116"/>
  <c r="H824" i="116"/>
  <c r="G824" i="116"/>
  <c r="F824" i="116"/>
  <c r="E824" i="116"/>
  <c r="D824" i="116"/>
  <c r="C824" i="116"/>
  <c r="B824" i="116"/>
  <c r="K823" i="116"/>
  <c r="J823" i="116"/>
  <c r="I823" i="116"/>
  <c r="H823" i="116"/>
  <c r="G823" i="116"/>
  <c r="F823" i="116"/>
  <c r="E823" i="116"/>
  <c r="D823" i="116"/>
  <c r="C823" i="116"/>
  <c r="B823" i="116"/>
  <c r="K822" i="116"/>
  <c r="J822" i="116"/>
  <c r="I822" i="116"/>
  <c r="H822" i="116"/>
  <c r="G822" i="116"/>
  <c r="F822" i="116"/>
  <c r="E822" i="116"/>
  <c r="D822" i="116"/>
  <c r="C822" i="116"/>
  <c r="B822" i="116"/>
  <c r="K821" i="116"/>
  <c r="J821" i="116"/>
  <c r="I821" i="116"/>
  <c r="H821" i="116"/>
  <c r="G821" i="116"/>
  <c r="F821" i="116"/>
  <c r="E821" i="116"/>
  <c r="D821" i="116"/>
  <c r="C821" i="116"/>
  <c r="B821" i="116"/>
  <c r="K820" i="116"/>
  <c r="J820" i="116"/>
  <c r="I820" i="116"/>
  <c r="H820" i="116"/>
  <c r="G820" i="116"/>
  <c r="F820" i="116"/>
  <c r="E820" i="116"/>
  <c r="D820" i="116"/>
  <c r="C820" i="116"/>
  <c r="B820" i="116"/>
  <c r="K819" i="116"/>
  <c r="J819" i="116"/>
  <c r="I819" i="116"/>
  <c r="H819" i="116"/>
  <c r="G819" i="116"/>
  <c r="F819" i="116"/>
  <c r="E819" i="116"/>
  <c r="D819" i="116"/>
  <c r="C819" i="116"/>
  <c r="B819" i="116"/>
  <c r="K818" i="116"/>
  <c r="J818" i="116"/>
  <c r="I818" i="116"/>
  <c r="H818" i="116"/>
  <c r="G818" i="116"/>
  <c r="F818" i="116"/>
  <c r="E818" i="116"/>
  <c r="D818" i="116"/>
  <c r="C818" i="116"/>
  <c r="B818" i="116"/>
  <c r="K817" i="116"/>
  <c r="J817" i="116"/>
  <c r="I817" i="116"/>
  <c r="H817" i="116"/>
  <c r="G817" i="116"/>
  <c r="F817" i="116"/>
  <c r="E817" i="116"/>
  <c r="D817" i="116"/>
  <c r="C817" i="116"/>
  <c r="B817" i="116"/>
  <c r="K816" i="116"/>
  <c r="J816" i="116"/>
  <c r="I816" i="116"/>
  <c r="H816" i="116"/>
  <c r="G816" i="116"/>
  <c r="F816" i="116"/>
  <c r="E816" i="116"/>
  <c r="D816" i="116"/>
  <c r="C816" i="116"/>
  <c r="B816" i="116"/>
  <c r="K815" i="116"/>
  <c r="J815" i="116"/>
  <c r="I815" i="116"/>
  <c r="H815" i="116"/>
  <c r="G815" i="116"/>
  <c r="F815" i="116"/>
  <c r="E815" i="116"/>
  <c r="D815" i="116"/>
  <c r="C815" i="116"/>
  <c r="B815" i="116"/>
  <c r="K814" i="116"/>
  <c r="J814" i="116"/>
  <c r="I814" i="116"/>
  <c r="H814" i="116"/>
  <c r="G814" i="116"/>
  <c r="F814" i="116"/>
  <c r="E814" i="116"/>
  <c r="D814" i="116"/>
  <c r="C814" i="116"/>
  <c r="B814" i="116"/>
  <c r="K813" i="116"/>
  <c r="J813" i="116"/>
  <c r="I813" i="116"/>
  <c r="H813" i="116"/>
  <c r="G813" i="116"/>
  <c r="F813" i="116"/>
  <c r="E813" i="116"/>
  <c r="D813" i="116"/>
  <c r="C813" i="116"/>
  <c r="B813" i="116"/>
  <c r="K812" i="116"/>
  <c r="J812" i="116"/>
  <c r="I812" i="116"/>
  <c r="H812" i="116"/>
  <c r="G812" i="116"/>
  <c r="F812" i="116"/>
  <c r="E812" i="116"/>
  <c r="D812" i="116"/>
  <c r="C812" i="116"/>
  <c r="B812" i="116"/>
  <c r="K811" i="116"/>
  <c r="J811" i="116"/>
  <c r="I811" i="116"/>
  <c r="H811" i="116"/>
  <c r="G811" i="116"/>
  <c r="F811" i="116"/>
  <c r="E811" i="116"/>
  <c r="D811" i="116"/>
  <c r="C811" i="116"/>
  <c r="B811" i="116"/>
  <c r="K810" i="116"/>
  <c r="J810" i="116"/>
  <c r="I810" i="116"/>
  <c r="H810" i="116"/>
  <c r="G810" i="116"/>
  <c r="F810" i="116"/>
  <c r="E810" i="116"/>
  <c r="D810" i="116"/>
  <c r="C810" i="116"/>
  <c r="B810" i="116"/>
  <c r="K809" i="116"/>
  <c r="J809" i="116"/>
  <c r="I809" i="116"/>
  <c r="H809" i="116"/>
  <c r="G809" i="116"/>
  <c r="F809" i="116"/>
  <c r="E809" i="116"/>
  <c r="D809" i="116"/>
  <c r="C809" i="116"/>
  <c r="B809" i="116"/>
  <c r="K808" i="116"/>
  <c r="J808" i="116"/>
  <c r="I808" i="116"/>
  <c r="H808" i="116"/>
  <c r="G808" i="116"/>
  <c r="F808" i="116"/>
  <c r="E808" i="116"/>
  <c r="D808" i="116"/>
  <c r="C808" i="116"/>
  <c r="B808" i="116"/>
  <c r="K807" i="116"/>
  <c r="J807" i="116"/>
  <c r="I807" i="116"/>
  <c r="H807" i="116"/>
  <c r="G807" i="116"/>
  <c r="F807" i="116"/>
  <c r="E807" i="116"/>
  <c r="D807" i="116"/>
  <c r="C807" i="116"/>
  <c r="B807" i="116"/>
  <c r="K806" i="116"/>
  <c r="J806" i="116"/>
  <c r="I806" i="116"/>
  <c r="H806" i="116"/>
  <c r="G806" i="116"/>
  <c r="F806" i="116"/>
  <c r="E806" i="116"/>
  <c r="D806" i="116"/>
  <c r="C806" i="116"/>
  <c r="B806" i="116"/>
  <c r="K805" i="116"/>
  <c r="J805" i="116"/>
  <c r="I805" i="116"/>
  <c r="H805" i="116"/>
  <c r="G805" i="116"/>
  <c r="F805" i="116"/>
  <c r="E805" i="116"/>
  <c r="D805" i="116"/>
  <c r="C805" i="116"/>
  <c r="B805" i="116"/>
  <c r="K804" i="116"/>
  <c r="J804" i="116"/>
  <c r="I804" i="116"/>
  <c r="H804" i="116"/>
  <c r="G804" i="116"/>
  <c r="F804" i="116"/>
  <c r="E804" i="116"/>
  <c r="D804" i="116"/>
  <c r="C804" i="116"/>
  <c r="B804" i="116"/>
  <c r="K803" i="116"/>
  <c r="J803" i="116"/>
  <c r="I803" i="116"/>
  <c r="H803" i="116"/>
  <c r="G803" i="116"/>
  <c r="F803" i="116"/>
  <c r="E803" i="116"/>
  <c r="D803" i="116"/>
  <c r="C803" i="116"/>
  <c r="B803" i="116"/>
  <c r="K802" i="116"/>
  <c r="J802" i="116"/>
  <c r="I802" i="116"/>
  <c r="H802" i="116"/>
  <c r="G802" i="116"/>
  <c r="F802" i="116"/>
  <c r="E802" i="116"/>
  <c r="D802" i="116"/>
  <c r="C802" i="116"/>
  <c r="B802" i="116"/>
  <c r="K801" i="116"/>
  <c r="J801" i="116"/>
  <c r="I801" i="116"/>
  <c r="H801" i="116"/>
  <c r="G801" i="116"/>
  <c r="F801" i="116"/>
  <c r="E801" i="116"/>
  <c r="D801" i="116"/>
  <c r="C801" i="116"/>
  <c r="B801" i="116"/>
  <c r="K800" i="116"/>
  <c r="J800" i="116"/>
  <c r="I800" i="116"/>
  <c r="H800" i="116"/>
  <c r="G800" i="116"/>
  <c r="F800" i="116"/>
  <c r="E800" i="116"/>
  <c r="D800" i="116"/>
  <c r="C800" i="116"/>
  <c r="B800" i="116"/>
  <c r="K799" i="116"/>
  <c r="J799" i="116"/>
  <c r="I799" i="116"/>
  <c r="H799" i="116"/>
  <c r="G799" i="116"/>
  <c r="F799" i="116"/>
  <c r="E799" i="116"/>
  <c r="D799" i="116"/>
  <c r="C799" i="116"/>
  <c r="B799" i="116"/>
  <c r="K798" i="116"/>
  <c r="J798" i="116"/>
  <c r="I798" i="116"/>
  <c r="H798" i="116"/>
  <c r="G798" i="116"/>
  <c r="F798" i="116"/>
  <c r="E798" i="116"/>
  <c r="D798" i="116"/>
  <c r="C798" i="116"/>
  <c r="B798" i="116"/>
  <c r="K797" i="116"/>
  <c r="J797" i="116"/>
  <c r="I797" i="116"/>
  <c r="H797" i="116"/>
  <c r="G797" i="116"/>
  <c r="F797" i="116"/>
  <c r="E797" i="116"/>
  <c r="D797" i="116"/>
  <c r="C797" i="116"/>
  <c r="B797" i="116"/>
  <c r="K796" i="116"/>
  <c r="J796" i="116"/>
  <c r="I796" i="116"/>
  <c r="H796" i="116"/>
  <c r="G796" i="116"/>
  <c r="F796" i="116"/>
  <c r="E796" i="116"/>
  <c r="D796" i="116"/>
  <c r="C796" i="116"/>
  <c r="B796" i="116"/>
  <c r="K795" i="116"/>
  <c r="J795" i="116"/>
  <c r="I795" i="116"/>
  <c r="H795" i="116"/>
  <c r="G795" i="116"/>
  <c r="F795" i="116"/>
  <c r="E795" i="116"/>
  <c r="D795" i="116"/>
  <c r="C795" i="116"/>
  <c r="B795" i="116"/>
  <c r="K794" i="116"/>
  <c r="J794" i="116"/>
  <c r="I794" i="116"/>
  <c r="H794" i="116"/>
  <c r="G794" i="116"/>
  <c r="F794" i="116"/>
  <c r="E794" i="116"/>
  <c r="D794" i="116"/>
  <c r="C794" i="116"/>
  <c r="B794" i="116"/>
  <c r="K793" i="116"/>
  <c r="J793" i="116"/>
  <c r="I793" i="116"/>
  <c r="H793" i="116"/>
  <c r="G793" i="116"/>
  <c r="F793" i="116"/>
  <c r="E793" i="116"/>
  <c r="D793" i="116"/>
  <c r="C793" i="116"/>
  <c r="B793" i="116"/>
  <c r="K792" i="116"/>
  <c r="J792" i="116"/>
  <c r="I792" i="116"/>
  <c r="H792" i="116"/>
  <c r="G792" i="116"/>
  <c r="F792" i="116"/>
  <c r="E792" i="116"/>
  <c r="D792" i="116"/>
  <c r="C792" i="116"/>
  <c r="B792" i="116"/>
  <c r="K791" i="116"/>
  <c r="J791" i="116"/>
  <c r="I791" i="116"/>
  <c r="H791" i="116"/>
  <c r="G791" i="116"/>
  <c r="F791" i="116"/>
  <c r="E791" i="116"/>
  <c r="D791" i="116"/>
  <c r="C791" i="116"/>
  <c r="B791" i="116"/>
  <c r="K790" i="116"/>
  <c r="J790" i="116"/>
  <c r="I790" i="116"/>
  <c r="H790" i="116"/>
  <c r="G790" i="116"/>
  <c r="F790" i="116"/>
  <c r="E790" i="116"/>
  <c r="D790" i="116"/>
  <c r="C790" i="116"/>
  <c r="B790" i="116"/>
  <c r="K789" i="116"/>
  <c r="J789" i="116"/>
  <c r="I789" i="116"/>
  <c r="H789" i="116"/>
  <c r="G789" i="116"/>
  <c r="F789" i="116"/>
  <c r="E789" i="116"/>
  <c r="D789" i="116"/>
  <c r="C789" i="116"/>
  <c r="B789" i="116"/>
  <c r="K788" i="116"/>
  <c r="J788" i="116"/>
  <c r="I788" i="116"/>
  <c r="H788" i="116"/>
  <c r="G788" i="116"/>
  <c r="F788" i="116"/>
  <c r="E788" i="116"/>
  <c r="D788" i="116"/>
  <c r="C788" i="116"/>
  <c r="B788" i="116"/>
  <c r="K787" i="116"/>
  <c r="J787" i="116"/>
  <c r="I787" i="116"/>
  <c r="H787" i="116"/>
  <c r="G787" i="116"/>
  <c r="F787" i="116"/>
  <c r="E787" i="116"/>
  <c r="D787" i="116"/>
  <c r="C787" i="116"/>
  <c r="B787" i="116"/>
  <c r="K786" i="116"/>
  <c r="J786" i="116"/>
  <c r="I786" i="116"/>
  <c r="H786" i="116"/>
  <c r="G786" i="116"/>
  <c r="F786" i="116"/>
  <c r="E786" i="116"/>
  <c r="D786" i="116"/>
  <c r="C786" i="116"/>
  <c r="B786" i="116"/>
  <c r="K785" i="116"/>
  <c r="J785" i="116"/>
  <c r="I785" i="116"/>
  <c r="H785" i="116"/>
  <c r="G785" i="116"/>
  <c r="F785" i="116"/>
  <c r="E785" i="116"/>
  <c r="D785" i="116"/>
  <c r="C785" i="116"/>
  <c r="B785" i="116"/>
  <c r="K784" i="116"/>
  <c r="J784" i="116"/>
  <c r="I784" i="116"/>
  <c r="H784" i="116"/>
  <c r="G784" i="116"/>
  <c r="F784" i="116"/>
  <c r="E784" i="116"/>
  <c r="D784" i="116"/>
  <c r="C784" i="116"/>
  <c r="B784" i="116"/>
  <c r="K783" i="116"/>
  <c r="J783" i="116"/>
  <c r="I783" i="116"/>
  <c r="H783" i="116"/>
  <c r="G783" i="116"/>
  <c r="F783" i="116"/>
  <c r="E783" i="116"/>
  <c r="D783" i="116"/>
  <c r="C783" i="116"/>
  <c r="B783" i="116"/>
  <c r="K782" i="116"/>
  <c r="J782" i="116"/>
  <c r="I782" i="116"/>
  <c r="H782" i="116"/>
  <c r="G782" i="116"/>
  <c r="F782" i="116"/>
  <c r="E782" i="116"/>
  <c r="D782" i="116"/>
  <c r="C782" i="116"/>
  <c r="B782" i="116"/>
  <c r="K781" i="116"/>
  <c r="J781" i="116"/>
  <c r="I781" i="116"/>
  <c r="H781" i="116"/>
  <c r="G781" i="116"/>
  <c r="F781" i="116"/>
  <c r="E781" i="116"/>
  <c r="D781" i="116"/>
  <c r="C781" i="116"/>
  <c r="B781" i="116"/>
  <c r="K780" i="116"/>
  <c r="J780" i="116"/>
  <c r="I780" i="116"/>
  <c r="H780" i="116"/>
  <c r="G780" i="116"/>
  <c r="F780" i="116"/>
  <c r="E780" i="116"/>
  <c r="D780" i="116"/>
  <c r="C780" i="116"/>
  <c r="B780" i="116"/>
  <c r="K779" i="116"/>
  <c r="J779" i="116"/>
  <c r="I779" i="116"/>
  <c r="H779" i="116"/>
  <c r="G779" i="116"/>
  <c r="F779" i="116"/>
  <c r="E779" i="116"/>
  <c r="D779" i="116"/>
  <c r="C779" i="116"/>
  <c r="B779" i="116"/>
  <c r="K778" i="116"/>
  <c r="J778" i="116"/>
  <c r="I778" i="116"/>
  <c r="H778" i="116"/>
  <c r="G778" i="116"/>
  <c r="F778" i="116"/>
  <c r="E778" i="116"/>
  <c r="D778" i="116"/>
  <c r="C778" i="116"/>
  <c r="B778" i="116"/>
  <c r="K777" i="116"/>
  <c r="J777" i="116"/>
  <c r="I777" i="116"/>
  <c r="H777" i="116"/>
  <c r="G777" i="116"/>
  <c r="F777" i="116"/>
  <c r="E777" i="116"/>
  <c r="D777" i="116"/>
  <c r="C777" i="116"/>
  <c r="B777" i="116"/>
  <c r="K776" i="116"/>
  <c r="J776" i="116"/>
  <c r="I776" i="116"/>
  <c r="H776" i="116"/>
  <c r="G776" i="116"/>
  <c r="F776" i="116"/>
  <c r="E776" i="116"/>
  <c r="D776" i="116"/>
  <c r="C776" i="116"/>
  <c r="B776" i="116"/>
  <c r="K775" i="116"/>
  <c r="J775" i="116"/>
  <c r="I775" i="116"/>
  <c r="H775" i="116"/>
  <c r="G775" i="116"/>
  <c r="F775" i="116"/>
  <c r="E775" i="116"/>
  <c r="D775" i="116"/>
  <c r="C775" i="116"/>
  <c r="B775" i="116"/>
  <c r="K774" i="116"/>
  <c r="J774" i="116"/>
  <c r="I774" i="116"/>
  <c r="H774" i="116"/>
  <c r="G774" i="116"/>
  <c r="F774" i="116"/>
  <c r="E774" i="116"/>
  <c r="D774" i="116"/>
  <c r="C774" i="116"/>
  <c r="B774" i="116"/>
  <c r="K773" i="116"/>
  <c r="J773" i="116"/>
  <c r="I773" i="116"/>
  <c r="H773" i="116"/>
  <c r="G773" i="116"/>
  <c r="F773" i="116"/>
  <c r="E773" i="116"/>
  <c r="D773" i="116"/>
  <c r="C773" i="116"/>
  <c r="B773" i="116"/>
  <c r="K772" i="116"/>
  <c r="J772" i="116"/>
  <c r="I772" i="116"/>
  <c r="H772" i="116"/>
  <c r="G772" i="116"/>
  <c r="F772" i="116"/>
  <c r="E772" i="116"/>
  <c r="D772" i="116"/>
  <c r="C772" i="116"/>
  <c r="B772" i="116"/>
  <c r="K771" i="116"/>
  <c r="J771" i="116"/>
  <c r="I771" i="116"/>
  <c r="H771" i="116"/>
  <c r="G771" i="116"/>
  <c r="F771" i="116"/>
  <c r="E771" i="116"/>
  <c r="D771" i="116"/>
  <c r="C771" i="116"/>
  <c r="B771" i="116"/>
  <c r="K770" i="116"/>
  <c r="J770" i="116"/>
  <c r="I770" i="116"/>
  <c r="H770" i="116"/>
  <c r="G770" i="116"/>
  <c r="F770" i="116"/>
  <c r="E770" i="116"/>
  <c r="D770" i="116"/>
  <c r="C770" i="116"/>
  <c r="B770" i="116"/>
  <c r="K769" i="116"/>
  <c r="J769" i="116"/>
  <c r="I769" i="116"/>
  <c r="H769" i="116"/>
  <c r="G769" i="116"/>
  <c r="F769" i="116"/>
  <c r="E769" i="116"/>
  <c r="D769" i="116"/>
  <c r="C769" i="116"/>
  <c r="B769" i="116"/>
  <c r="K768" i="116"/>
  <c r="J768" i="116"/>
  <c r="I768" i="116"/>
  <c r="H768" i="116"/>
  <c r="G768" i="116"/>
  <c r="F768" i="116"/>
  <c r="E768" i="116"/>
  <c r="D768" i="116"/>
  <c r="C768" i="116"/>
  <c r="B768" i="116"/>
  <c r="K767" i="116"/>
  <c r="J767" i="116"/>
  <c r="I767" i="116"/>
  <c r="H767" i="116"/>
  <c r="G767" i="116"/>
  <c r="F767" i="116"/>
  <c r="E767" i="116"/>
  <c r="D767" i="116"/>
  <c r="C767" i="116"/>
  <c r="B767" i="116"/>
  <c r="K766" i="116"/>
  <c r="J766" i="116"/>
  <c r="I766" i="116"/>
  <c r="H766" i="116"/>
  <c r="G766" i="116"/>
  <c r="F766" i="116"/>
  <c r="E766" i="116"/>
  <c r="D766" i="116"/>
  <c r="C766" i="116"/>
  <c r="B766" i="116"/>
  <c r="K765" i="116"/>
  <c r="J765" i="116"/>
  <c r="I765" i="116"/>
  <c r="H765" i="116"/>
  <c r="G765" i="116"/>
  <c r="F765" i="116"/>
  <c r="E765" i="116"/>
  <c r="D765" i="116"/>
  <c r="C765" i="116"/>
  <c r="B765" i="116"/>
  <c r="K764" i="116"/>
  <c r="J764" i="116"/>
  <c r="I764" i="116"/>
  <c r="H764" i="116"/>
  <c r="G764" i="116"/>
  <c r="F764" i="116"/>
  <c r="E764" i="116"/>
  <c r="D764" i="116"/>
  <c r="C764" i="116"/>
  <c r="B764" i="116"/>
  <c r="K763" i="116"/>
  <c r="J763" i="116"/>
  <c r="I763" i="116"/>
  <c r="H763" i="116"/>
  <c r="G763" i="116"/>
  <c r="F763" i="116"/>
  <c r="E763" i="116"/>
  <c r="D763" i="116"/>
  <c r="C763" i="116"/>
  <c r="B763" i="116"/>
  <c r="K762" i="116"/>
  <c r="J762" i="116"/>
  <c r="I762" i="116"/>
  <c r="H762" i="116"/>
  <c r="G762" i="116"/>
  <c r="F762" i="116"/>
  <c r="E762" i="116"/>
  <c r="D762" i="116"/>
  <c r="C762" i="116"/>
  <c r="B762" i="116"/>
  <c r="K761" i="116"/>
  <c r="J761" i="116"/>
  <c r="I761" i="116"/>
  <c r="H761" i="116"/>
  <c r="G761" i="116"/>
  <c r="F761" i="116"/>
  <c r="E761" i="116"/>
  <c r="D761" i="116"/>
  <c r="C761" i="116"/>
  <c r="B761" i="116"/>
  <c r="K760" i="116"/>
  <c r="J760" i="116"/>
  <c r="I760" i="116"/>
  <c r="H760" i="116"/>
  <c r="G760" i="116"/>
  <c r="F760" i="116"/>
  <c r="E760" i="116"/>
  <c r="D760" i="116"/>
  <c r="C760" i="116"/>
  <c r="B760" i="116"/>
  <c r="K759" i="116"/>
  <c r="J759" i="116"/>
  <c r="I759" i="116"/>
  <c r="H759" i="116"/>
  <c r="G759" i="116"/>
  <c r="F759" i="116"/>
  <c r="E759" i="116"/>
  <c r="D759" i="116"/>
  <c r="C759" i="116"/>
  <c r="B759" i="116"/>
  <c r="K758" i="116"/>
  <c r="J758" i="116"/>
  <c r="I758" i="116"/>
  <c r="H758" i="116"/>
  <c r="G758" i="116"/>
  <c r="F758" i="116"/>
  <c r="E758" i="116"/>
  <c r="D758" i="116"/>
  <c r="C758" i="116"/>
  <c r="B758" i="116"/>
  <c r="K757" i="116"/>
  <c r="J757" i="116"/>
  <c r="I757" i="116"/>
  <c r="H757" i="116"/>
  <c r="G757" i="116"/>
  <c r="F757" i="116"/>
  <c r="E757" i="116"/>
  <c r="D757" i="116"/>
  <c r="C757" i="116"/>
  <c r="B757" i="116"/>
  <c r="K756" i="116"/>
  <c r="J756" i="116"/>
  <c r="I756" i="116"/>
  <c r="H756" i="116"/>
  <c r="G756" i="116"/>
  <c r="F756" i="116"/>
  <c r="E756" i="116"/>
  <c r="D756" i="116"/>
  <c r="C756" i="116"/>
  <c r="B756" i="116"/>
  <c r="K755" i="116"/>
  <c r="J755" i="116"/>
  <c r="I755" i="116"/>
  <c r="H755" i="116"/>
  <c r="G755" i="116"/>
  <c r="F755" i="116"/>
  <c r="E755" i="116"/>
  <c r="D755" i="116"/>
  <c r="C755" i="116"/>
  <c r="B755" i="116"/>
  <c r="K754" i="116"/>
  <c r="J754" i="116"/>
  <c r="I754" i="116"/>
  <c r="H754" i="116"/>
  <c r="G754" i="116"/>
  <c r="F754" i="116"/>
  <c r="E754" i="116"/>
  <c r="D754" i="116"/>
  <c r="C754" i="116"/>
  <c r="B754" i="116"/>
  <c r="K753" i="116"/>
  <c r="J753" i="116"/>
  <c r="I753" i="116"/>
  <c r="H753" i="116"/>
  <c r="G753" i="116"/>
  <c r="F753" i="116"/>
  <c r="E753" i="116"/>
  <c r="D753" i="116"/>
  <c r="C753" i="116"/>
  <c r="B753" i="116"/>
  <c r="K752" i="116"/>
  <c r="J752" i="116"/>
  <c r="I752" i="116"/>
  <c r="H752" i="116"/>
  <c r="G752" i="116"/>
  <c r="F752" i="116"/>
  <c r="E752" i="116"/>
  <c r="D752" i="116"/>
  <c r="C752" i="116"/>
  <c r="B752" i="116"/>
  <c r="K751" i="116"/>
  <c r="J751" i="116"/>
  <c r="I751" i="116"/>
  <c r="H751" i="116"/>
  <c r="G751" i="116"/>
  <c r="F751" i="116"/>
  <c r="E751" i="116"/>
  <c r="D751" i="116"/>
  <c r="C751" i="116"/>
  <c r="B751" i="116"/>
  <c r="K750" i="116"/>
  <c r="J750" i="116"/>
  <c r="I750" i="116"/>
  <c r="H750" i="116"/>
  <c r="G750" i="116"/>
  <c r="F750" i="116"/>
  <c r="E750" i="116"/>
  <c r="D750" i="116"/>
  <c r="C750" i="116"/>
  <c r="B750" i="116"/>
  <c r="K749" i="116"/>
  <c r="J749" i="116"/>
  <c r="I749" i="116"/>
  <c r="H749" i="116"/>
  <c r="G749" i="116"/>
  <c r="F749" i="116"/>
  <c r="E749" i="116"/>
  <c r="D749" i="116"/>
  <c r="C749" i="116"/>
  <c r="B749" i="116"/>
  <c r="K748" i="116"/>
  <c r="J748" i="116"/>
  <c r="I748" i="116"/>
  <c r="H748" i="116"/>
  <c r="G748" i="116"/>
  <c r="F748" i="116"/>
  <c r="E748" i="116"/>
  <c r="D748" i="116"/>
  <c r="C748" i="116"/>
  <c r="B748" i="116"/>
  <c r="K747" i="116"/>
  <c r="J747" i="116"/>
  <c r="I747" i="116"/>
  <c r="H747" i="116"/>
  <c r="G747" i="116"/>
  <c r="F747" i="116"/>
  <c r="E747" i="116"/>
  <c r="D747" i="116"/>
  <c r="C747" i="116"/>
  <c r="B747" i="116"/>
  <c r="K746" i="116"/>
  <c r="J746" i="116"/>
  <c r="I746" i="116"/>
  <c r="H746" i="116"/>
  <c r="G746" i="116"/>
  <c r="F746" i="116"/>
  <c r="E746" i="116"/>
  <c r="D746" i="116"/>
  <c r="C746" i="116"/>
  <c r="B746" i="116"/>
  <c r="K745" i="116"/>
  <c r="J745" i="116"/>
  <c r="I745" i="116"/>
  <c r="H745" i="116"/>
  <c r="G745" i="116"/>
  <c r="F745" i="116"/>
  <c r="E745" i="116"/>
  <c r="D745" i="116"/>
  <c r="C745" i="116"/>
  <c r="B745" i="116"/>
  <c r="K744" i="116"/>
  <c r="J744" i="116"/>
  <c r="I744" i="116"/>
  <c r="H744" i="116"/>
  <c r="G744" i="116"/>
  <c r="F744" i="116"/>
  <c r="E744" i="116"/>
  <c r="D744" i="116"/>
  <c r="C744" i="116"/>
  <c r="B744" i="116"/>
  <c r="K743" i="116"/>
  <c r="J743" i="116"/>
  <c r="I743" i="116"/>
  <c r="H743" i="116"/>
  <c r="G743" i="116"/>
  <c r="F743" i="116"/>
  <c r="E743" i="116"/>
  <c r="D743" i="116"/>
  <c r="C743" i="116"/>
  <c r="B743" i="116"/>
  <c r="K742" i="116"/>
  <c r="J742" i="116"/>
  <c r="I742" i="116"/>
  <c r="H742" i="116"/>
  <c r="G742" i="116"/>
  <c r="F742" i="116"/>
  <c r="E742" i="116"/>
  <c r="D742" i="116"/>
  <c r="C742" i="116"/>
  <c r="B742" i="116"/>
  <c r="K741" i="116"/>
  <c r="J741" i="116"/>
  <c r="I741" i="116"/>
  <c r="H741" i="116"/>
  <c r="G741" i="116"/>
  <c r="F741" i="116"/>
  <c r="E741" i="116"/>
  <c r="D741" i="116"/>
  <c r="C741" i="116"/>
  <c r="B741" i="116"/>
  <c r="K740" i="116"/>
  <c r="J740" i="116"/>
  <c r="I740" i="116"/>
  <c r="H740" i="116"/>
  <c r="G740" i="116"/>
  <c r="F740" i="116"/>
  <c r="E740" i="116"/>
  <c r="D740" i="116"/>
  <c r="C740" i="116"/>
  <c r="B740" i="116"/>
  <c r="K739" i="116"/>
  <c r="J739" i="116"/>
  <c r="I739" i="116"/>
  <c r="H739" i="116"/>
  <c r="G739" i="116"/>
  <c r="F739" i="116"/>
  <c r="E739" i="116"/>
  <c r="D739" i="116"/>
  <c r="C739" i="116"/>
  <c r="B739" i="116"/>
  <c r="K738" i="116"/>
  <c r="J738" i="116"/>
  <c r="I738" i="116"/>
  <c r="H738" i="116"/>
  <c r="G738" i="116"/>
  <c r="F738" i="116"/>
  <c r="E738" i="116"/>
  <c r="D738" i="116"/>
  <c r="C738" i="116"/>
  <c r="B738" i="116"/>
  <c r="K737" i="116"/>
  <c r="J737" i="116"/>
  <c r="I737" i="116"/>
  <c r="H737" i="116"/>
  <c r="G737" i="116"/>
  <c r="F737" i="116"/>
  <c r="E737" i="116"/>
  <c r="D737" i="116"/>
  <c r="C737" i="116"/>
  <c r="B737" i="116"/>
  <c r="K736" i="116"/>
  <c r="J736" i="116"/>
  <c r="I736" i="116"/>
  <c r="H736" i="116"/>
  <c r="G736" i="116"/>
  <c r="F736" i="116"/>
  <c r="E736" i="116"/>
  <c r="D736" i="116"/>
  <c r="C736" i="116"/>
  <c r="B736" i="116"/>
  <c r="K735" i="116"/>
  <c r="J735" i="116"/>
  <c r="I735" i="116"/>
  <c r="H735" i="116"/>
  <c r="G735" i="116"/>
  <c r="F735" i="116"/>
  <c r="E735" i="116"/>
  <c r="D735" i="116"/>
  <c r="C735" i="116"/>
  <c r="B735" i="116"/>
  <c r="K734" i="116"/>
  <c r="J734" i="116"/>
  <c r="I734" i="116"/>
  <c r="H734" i="116"/>
  <c r="G734" i="116"/>
  <c r="F734" i="116"/>
  <c r="E734" i="116"/>
  <c r="D734" i="116"/>
  <c r="C734" i="116"/>
  <c r="B734" i="116"/>
  <c r="K733" i="116"/>
  <c r="J733" i="116"/>
  <c r="I733" i="116"/>
  <c r="H733" i="116"/>
  <c r="G733" i="116"/>
  <c r="F733" i="116"/>
  <c r="E733" i="116"/>
  <c r="D733" i="116"/>
  <c r="C733" i="116"/>
  <c r="B733" i="116"/>
  <c r="K732" i="116"/>
  <c r="J732" i="116"/>
  <c r="I732" i="116"/>
  <c r="H732" i="116"/>
  <c r="G732" i="116"/>
  <c r="F732" i="116"/>
  <c r="E732" i="116"/>
  <c r="D732" i="116"/>
  <c r="C732" i="116"/>
  <c r="B732" i="116"/>
  <c r="K731" i="116"/>
  <c r="J731" i="116"/>
  <c r="I731" i="116"/>
  <c r="H731" i="116"/>
  <c r="G731" i="116"/>
  <c r="F731" i="116"/>
  <c r="E731" i="116"/>
  <c r="D731" i="116"/>
  <c r="C731" i="116"/>
  <c r="B731" i="116"/>
  <c r="K730" i="116"/>
  <c r="J730" i="116"/>
  <c r="I730" i="116"/>
  <c r="H730" i="116"/>
  <c r="G730" i="116"/>
  <c r="F730" i="116"/>
  <c r="E730" i="116"/>
  <c r="D730" i="116"/>
  <c r="C730" i="116"/>
  <c r="B730" i="116"/>
  <c r="K729" i="116"/>
  <c r="J729" i="116"/>
  <c r="I729" i="116"/>
  <c r="H729" i="116"/>
  <c r="G729" i="116"/>
  <c r="F729" i="116"/>
  <c r="E729" i="116"/>
  <c r="D729" i="116"/>
  <c r="C729" i="116"/>
  <c r="B729" i="116"/>
  <c r="K728" i="116"/>
  <c r="J728" i="116"/>
  <c r="I728" i="116"/>
  <c r="H728" i="116"/>
  <c r="G728" i="116"/>
  <c r="F728" i="116"/>
  <c r="E728" i="116"/>
  <c r="D728" i="116"/>
  <c r="C728" i="116"/>
  <c r="B728" i="116"/>
  <c r="K727" i="116"/>
  <c r="J727" i="116"/>
  <c r="I727" i="116"/>
  <c r="H727" i="116"/>
  <c r="G727" i="116"/>
  <c r="F727" i="116"/>
  <c r="E727" i="116"/>
  <c r="D727" i="116"/>
  <c r="C727" i="116"/>
  <c r="B727" i="116"/>
  <c r="K726" i="116"/>
  <c r="J726" i="116"/>
  <c r="I726" i="116"/>
  <c r="H726" i="116"/>
  <c r="G726" i="116"/>
  <c r="F726" i="116"/>
  <c r="E726" i="116"/>
  <c r="D726" i="116"/>
  <c r="C726" i="116"/>
  <c r="B726" i="116"/>
  <c r="K725" i="116"/>
  <c r="J725" i="116"/>
  <c r="I725" i="116"/>
  <c r="H725" i="116"/>
  <c r="G725" i="116"/>
  <c r="F725" i="116"/>
  <c r="E725" i="116"/>
  <c r="D725" i="116"/>
  <c r="C725" i="116"/>
  <c r="B725" i="116"/>
  <c r="K724" i="116"/>
  <c r="J724" i="116"/>
  <c r="I724" i="116"/>
  <c r="H724" i="116"/>
  <c r="G724" i="116"/>
  <c r="F724" i="116"/>
  <c r="E724" i="116"/>
  <c r="D724" i="116"/>
  <c r="C724" i="116"/>
  <c r="B724" i="116"/>
  <c r="K723" i="116"/>
  <c r="J723" i="116"/>
  <c r="I723" i="116"/>
  <c r="H723" i="116"/>
  <c r="G723" i="116"/>
  <c r="F723" i="116"/>
  <c r="E723" i="116"/>
  <c r="D723" i="116"/>
  <c r="C723" i="116"/>
  <c r="B723" i="116"/>
  <c r="K722" i="116"/>
  <c r="J722" i="116"/>
  <c r="I722" i="116"/>
  <c r="H722" i="116"/>
  <c r="G722" i="116"/>
  <c r="F722" i="116"/>
  <c r="E722" i="116"/>
  <c r="D722" i="116"/>
  <c r="C722" i="116"/>
  <c r="B722" i="116"/>
  <c r="K721" i="116"/>
  <c r="J721" i="116"/>
  <c r="I721" i="116"/>
  <c r="H721" i="116"/>
  <c r="G721" i="116"/>
  <c r="F721" i="116"/>
  <c r="E721" i="116"/>
  <c r="D721" i="116"/>
  <c r="C721" i="116"/>
  <c r="B721" i="116"/>
  <c r="K720" i="116"/>
  <c r="J720" i="116"/>
  <c r="I720" i="116"/>
  <c r="H720" i="116"/>
  <c r="G720" i="116"/>
  <c r="F720" i="116"/>
  <c r="E720" i="116"/>
  <c r="D720" i="116"/>
  <c r="C720" i="116"/>
  <c r="B720" i="116"/>
  <c r="K719" i="116"/>
  <c r="J719" i="116"/>
  <c r="I719" i="116"/>
  <c r="H719" i="116"/>
  <c r="G719" i="116"/>
  <c r="F719" i="116"/>
  <c r="E719" i="116"/>
  <c r="D719" i="116"/>
  <c r="C719" i="116"/>
  <c r="B719" i="116"/>
  <c r="K718" i="116"/>
  <c r="J718" i="116"/>
  <c r="I718" i="116"/>
  <c r="H718" i="116"/>
  <c r="G718" i="116"/>
  <c r="F718" i="116"/>
  <c r="E718" i="116"/>
  <c r="D718" i="116"/>
  <c r="C718" i="116"/>
  <c r="B718" i="116"/>
  <c r="K717" i="116"/>
  <c r="J717" i="116"/>
  <c r="I717" i="116"/>
  <c r="H717" i="116"/>
  <c r="G717" i="116"/>
  <c r="F717" i="116"/>
  <c r="E717" i="116"/>
  <c r="D717" i="116"/>
  <c r="C717" i="116"/>
  <c r="B717" i="116"/>
  <c r="K716" i="116"/>
  <c r="J716" i="116"/>
  <c r="I716" i="116"/>
  <c r="H716" i="116"/>
  <c r="G716" i="116"/>
  <c r="F716" i="116"/>
  <c r="E716" i="116"/>
  <c r="D716" i="116"/>
  <c r="C716" i="116"/>
  <c r="B716" i="116"/>
  <c r="K715" i="116"/>
  <c r="J715" i="116"/>
  <c r="I715" i="116"/>
  <c r="H715" i="116"/>
  <c r="G715" i="116"/>
  <c r="F715" i="116"/>
  <c r="E715" i="116"/>
  <c r="D715" i="116"/>
  <c r="C715" i="116"/>
  <c r="B715" i="116"/>
  <c r="K714" i="116"/>
  <c r="J714" i="116"/>
  <c r="I714" i="116"/>
  <c r="H714" i="116"/>
  <c r="G714" i="116"/>
  <c r="F714" i="116"/>
  <c r="E714" i="116"/>
  <c r="D714" i="116"/>
  <c r="C714" i="116"/>
  <c r="B714" i="116"/>
  <c r="K713" i="116"/>
  <c r="J713" i="116"/>
  <c r="I713" i="116"/>
  <c r="H713" i="116"/>
  <c r="G713" i="116"/>
  <c r="F713" i="116"/>
  <c r="E713" i="116"/>
  <c r="D713" i="116"/>
  <c r="C713" i="116"/>
  <c r="B713" i="116"/>
  <c r="K712" i="116"/>
  <c r="J712" i="116"/>
  <c r="I712" i="116"/>
  <c r="H712" i="116"/>
  <c r="G712" i="116"/>
  <c r="F712" i="116"/>
  <c r="E712" i="116"/>
  <c r="D712" i="116"/>
  <c r="C712" i="116"/>
  <c r="B712" i="116"/>
  <c r="K711" i="116"/>
  <c r="J711" i="116"/>
  <c r="I711" i="116"/>
  <c r="H711" i="116"/>
  <c r="G711" i="116"/>
  <c r="F711" i="116"/>
  <c r="E711" i="116"/>
  <c r="D711" i="116"/>
  <c r="C711" i="116"/>
  <c r="B711" i="116"/>
  <c r="K710" i="116"/>
  <c r="J710" i="116"/>
  <c r="I710" i="116"/>
  <c r="H710" i="116"/>
  <c r="G710" i="116"/>
  <c r="F710" i="116"/>
  <c r="E710" i="116"/>
  <c r="D710" i="116"/>
  <c r="C710" i="116"/>
  <c r="B710" i="116"/>
  <c r="K709" i="116"/>
  <c r="J709" i="116"/>
  <c r="I709" i="116"/>
  <c r="H709" i="116"/>
  <c r="G709" i="116"/>
  <c r="F709" i="116"/>
  <c r="E709" i="116"/>
  <c r="D709" i="116"/>
  <c r="C709" i="116"/>
  <c r="B709" i="116"/>
  <c r="K708" i="116"/>
  <c r="J708" i="116"/>
  <c r="I708" i="116"/>
  <c r="H708" i="116"/>
  <c r="G708" i="116"/>
  <c r="F708" i="116"/>
  <c r="E708" i="116"/>
  <c r="D708" i="116"/>
  <c r="C708" i="116"/>
  <c r="B708" i="116"/>
  <c r="K707" i="116"/>
  <c r="J707" i="116"/>
  <c r="I707" i="116"/>
  <c r="H707" i="116"/>
  <c r="G707" i="116"/>
  <c r="F707" i="116"/>
  <c r="E707" i="116"/>
  <c r="D707" i="116"/>
  <c r="C707" i="116"/>
  <c r="B707" i="116"/>
  <c r="K706" i="116"/>
  <c r="J706" i="116"/>
  <c r="I706" i="116"/>
  <c r="H706" i="116"/>
  <c r="G706" i="116"/>
  <c r="F706" i="116"/>
  <c r="E706" i="116"/>
  <c r="D706" i="116"/>
  <c r="C706" i="116"/>
  <c r="B706" i="116"/>
  <c r="K705" i="116"/>
  <c r="J705" i="116"/>
  <c r="I705" i="116"/>
  <c r="H705" i="116"/>
  <c r="G705" i="116"/>
  <c r="F705" i="116"/>
  <c r="E705" i="116"/>
  <c r="D705" i="116"/>
  <c r="C705" i="116"/>
  <c r="B705" i="116"/>
  <c r="K704" i="116"/>
  <c r="J704" i="116"/>
  <c r="I704" i="116"/>
  <c r="H704" i="116"/>
  <c r="G704" i="116"/>
  <c r="F704" i="116"/>
  <c r="E704" i="116"/>
  <c r="D704" i="116"/>
  <c r="C704" i="116"/>
  <c r="B704" i="116"/>
  <c r="K703" i="116"/>
  <c r="J703" i="116"/>
  <c r="I703" i="116"/>
  <c r="H703" i="116"/>
  <c r="G703" i="116"/>
  <c r="F703" i="116"/>
  <c r="E703" i="116"/>
  <c r="D703" i="116"/>
  <c r="C703" i="116"/>
  <c r="B703" i="116"/>
  <c r="K702" i="116"/>
  <c r="J702" i="116"/>
  <c r="I702" i="116"/>
  <c r="H702" i="116"/>
  <c r="G702" i="116"/>
  <c r="F702" i="116"/>
  <c r="E702" i="116"/>
  <c r="D702" i="116"/>
  <c r="C702" i="116"/>
  <c r="B702" i="116"/>
  <c r="K701" i="116"/>
  <c r="J701" i="116"/>
  <c r="I701" i="116"/>
  <c r="H701" i="116"/>
  <c r="G701" i="116"/>
  <c r="F701" i="116"/>
  <c r="E701" i="116"/>
  <c r="D701" i="116"/>
  <c r="C701" i="116"/>
  <c r="B701" i="116"/>
  <c r="K700" i="116"/>
  <c r="J700" i="116"/>
  <c r="I700" i="116"/>
  <c r="H700" i="116"/>
  <c r="G700" i="116"/>
  <c r="F700" i="116"/>
  <c r="E700" i="116"/>
  <c r="D700" i="116"/>
  <c r="C700" i="116"/>
  <c r="B700" i="116"/>
  <c r="K699" i="116"/>
  <c r="J699" i="116"/>
  <c r="I699" i="116"/>
  <c r="H699" i="116"/>
  <c r="G699" i="116"/>
  <c r="F699" i="116"/>
  <c r="E699" i="116"/>
  <c r="D699" i="116"/>
  <c r="C699" i="116"/>
  <c r="B699" i="116"/>
  <c r="K698" i="116"/>
  <c r="J698" i="116"/>
  <c r="I698" i="116"/>
  <c r="H698" i="116"/>
  <c r="G698" i="116"/>
  <c r="F698" i="116"/>
  <c r="E698" i="116"/>
  <c r="D698" i="116"/>
  <c r="C698" i="116"/>
  <c r="B698" i="116"/>
  <c r="K697" i="116"/>
  <c r="J697" i="116"/>
  <c r="I697" i="116"/>
  <c r="H697" i="116"/>
  <c r="G697" i="116"/>
  <c r="F697" i="116"/>
  <c r="E697" i="116"/>
  <c r="D697" i="116"/>
  <c r="C697" i="116"/>
  <c r="B697" i="116"/>
  <c r="K696" i="116"/>
  <c r="J696" i="116"/>
  <c r="I696" i="116"/>
  <c r="H696" i="116"/>
  <c r="G696" i="116"/>
  <c r="F696" i="116"/>
  <c r="E696" i="116"/>
  <c r="D696" i="116"/>
  <c r="C696" i="116"/>
  <c r="B696" i="116"/>
  <c r="K695" i="116"/>
  <c r="J695" i="116"/>
  <c r="I695" i="116"/>
  <c r="H695" i="116"/>
  <c r="G695" i="116"/>
  <c r="F695" i="116"/>
  <c r="E695" i="116"/>
  <c r="D695" i="116"/>
  <c r="C695" i="116"/>
  <c r="B695" i="116"/>
  <c r="K694" i="116"/>
  <c r="J694" i="116"/>
  <c r="I694" i="116"/>
  <c r="H694" i="116"/>
  <c r="G694" i="116"/>
  <c r="F694" i="116"/>
  <c r="E694" i="116"/>
  <c r="D694" i="116"/>
  <c r="C694" i="116"/>
  <c r="B694" i="116"/>
  <c r="K693" i="116"/>
  <c r="J693" i="116"/>
  <c r="I693" i="116"/>
  <c r="H693" i="116"/>
  <c r="G693" i="116"/>
  <c r="F693" i="116"/>
  <c r="E693" i="116"/>
  <c r="D693" i="116"/>
  <c r="C693" i="116"/>
  <c r="B693" i="116"/>
  <c r="K692" i="116"/>
  <c r="J692" i="116"/>
  <c r="I692" i="116"/>
  <c r="H692" i="116"/>
  <c r="G692" i="116"/>
  <c r="F692" i="116"/>
  <c r="E692" i="116"/>
  <c r="D692" i="116"/>
  <c r="C692" i="116"/>
  <c r="B692" i="116"/>
  <c r="K691" i="116"/>
  <c r="J691" i="116"/>
  <c r="I691" i="116"/>
  <c r="H691" i="116"/>
  <c r="G691" i="116"/>
  <c r="F691" i="116"/>
  <c r="E691" i="116"/>
  <c r="D691" i="116"/>
  <c r="C691" i="116"/>
  <c r="B691" i="116"/>
  <c r="K690" i="116"/>
  <c r="J690" i="116"/>
  <c r="I690" i="116"/>
  <c r="H690" i="116"/>
  <c r="G690" i="116"/>
  <c r="F690" i="116"/>
  <c r="E690" i="116"/>
  <c r="D690" i="116"/>
  <c r="C690" i="116"/>
  <c r="B690" i="116"/>
  <c r="K689" i="116"/>
  <c r="J689" i="116"/>
  <c r="I689" i="116"/>
  <c r="H689" i="116"/>
  <c r="G689" i="116"/>
  <c r="F689" i="116"/>
  <c r="E689" i="116"/>
  <c r="D689" i="116"/>
  <c r="C689" i="116"/>
  <c r="B689" i="116"/>
  <c r="K688" i="116"/>
  <c r="J688" i="116"/>
  <c r="I688" i="116"/>
  <c r="H688" i="116"/>
  <c r="G688" i="116"/>
  <c r="F688" i="116"/>
  <c r="E688" i="116"/>
  <c r="D688" i="116"/>
  <c r="C688" i="116"/>
  <c r="B688" i="116"/>
  <c r="K687" i="116"/>
  <c r="J687" i="116"/>
  <c r="I687" i="116"/>
  <c r="H687" i="116"/>
  <c r="G687" i="116"/>
  <c r="F687" i="116"/>
  <c r="E687" i="116"/>
  <c r="D687" i="116"/>
  <c r="C687" i="116"/>
  <c r="B687" i="116"/>
  <c r="K686" i="116"/>
  <c r="J686" i="116"/>
  <c r="I686" i="116"/>
  <c r="H686" i="116"/>
  <c r="G686" i="116"/>
  <c r="F686" i="116"/>
  <c r="E686" i="116"/>
  <c r="D686" i="116"/>
  <c r="C686" i="116"/>
  <c r="B686" i="116"/>
  <c r="K685" i="116"/>
  <c r="J685" i="116"/>
  <c r="I685" i="116"/>
  <c r="H685" i="116"/>
  <c r="G685" i="116"/>
  <c r="F685" i="116"/>
  <c r="E685" i="116"/>
  <c r="D685" i="116"/>
  <c r="C685" i="116"/>
  <c r="B685" i="116"/>
  <c r="K684" i="116"/>
  <c r="J684" i="116"/>
  <c r="I684" i="116"/>
  <c r="H684" i="116"/>
  <c r="G684" i="116"/>
  <c r="F684" i="116"/>
  <c r="E684" i="116"/>
  <c r="D684" i="116"/>
  <c r="C684" i="116"/>
  <c r="B684" i="116"/>
  <c r="K683" i="116"/>
  <c r="J683" i="116"/>
  <c r="I683" i="116"/>
  <c r="H683" i="116"/>
  <c r="G683" i="116"/>
  <c r="F683" i="116"/>
  <c r="E683" i="116"/>
  <c r="D683" i="116"/>
  <c r="C683" i="116"/>
  <c r="B683" i="116"/>
  <c r="K682" i="116"/>
  <c r="J682" i="116"/>
  <c r="I682" i="116"/>
  <c r="H682" i="116"/>
  <c r="G682" i="116"/>
  <c r="F682" i="116"/>
  <c r="E682" i="116"/>
  <c r="D682" i="116"/>
  <c r="C682" i="116"/>
  <c r="B682" i="116"/>
  <c r="K681" i="116"/>
  <c r="J681" i="116"/>
  <c r="I681" i="116"/>
  <c r="H681" i="116"/>
  <c r="G681" i="116"/>
  <c r="F681" i="116"/>
  <c r="E681" i="116"/>
  <c r="D681" i="116"/>
  <c r="C681" i="116"/>
  <c r="B681" i="116"/>
  <c r="K680" i="116"/>
  <c r="J680" i="116"/>
  <c r="I680" i="116"/>
  <c r="H680" i="116"/>
  <c r="G680" i="116"/>
  <c r="F680" i="116"/>
  <c r="E680" i="116"/>
  <c r="D680" i="116"/>
  <c r="C680" i="116"/>
  <c r="B680" i="116"/>
  <c r="K679" i="116"/>
  <c r="J679" i="116"/>
  <c r="I679" i="116"/>
  <c r="H679" i="116"/>
  <c r="G679" i="116"/>
  <c r="F679" i="116"/>
  <c r="E679" i="116"/>
  <c r="D679" i="116"/>
  <c r="C679" i="116"/>
  <c r="B679" i="116"/>
  <c r="K678" i="116"/>
  <c r="J678" i="116"/>
  <c r="I678" i="116"/>
  <c r="H678" i="116"/>
  <c r="G678" i="116"/>
  <c r="F678" i="116"/>
  <c r="E678" i="116"/>
  <c r="D678" i="116"/>
  <c r="C678" i="116"/>
  <c r="B678" i="116"/>
  <c r="K677" i="116"/>
  <c r="J677" i="116"/>
  <c r="I677" i="116"/>
  <c r="H677" i="116"/>
  <c r="G677" i="116"/>
  <c r="F677" i="116"/>
  <c r="E677" i="116"/>
  <c r="D677" i="116"/>
  <c r="C677" i="116"/>
  <c r="B677" i="116"/>
  <c r="K676" i="116"/>
  <c r="J676" i="116"/>
  <c r="I676" i="116"/>
  <c r="H676" i="116"/>
  <c r="G676" i="116"/>
  <c r="F676" i="116"/>
  <c r="E676" i="116"/>
  <c r="D676" i="116"/>
  <c r="C676" i="116"/>
  <c r="B676" i="116"/>
  <c r="K675" i="116"/>
  <c r="J675" i="116"/>
  <c r="I675" i="116"/>
  <c r="H675" i="116"/>
  <c r="G675" i="116"/>
  <c r="F675" i="116"/>
  <c r="E675" i="116"/>
  <c r="D675" i="116"/>
  <c r="C675" i="116"/>
  <c r="B675" i="116"/>
  <c r="K674" i="116"/>
  <c r="J674" i="116"/>
  <c r="I674" i="116"/>
  <c r="H674" i="116"/>
  <c r="G674" i="116"/>
  <c r="F674" i="116"/>
  <c r="E674" i="116"/>
  <c r="D674" i="116"/>
  <c r="C674" i="116"/>
  <c r="B674" i="116"/>
  <c r="K673" i="116"/>
  <c r="J673" i="116"/>
  <c r="I673" i="116"/>
  <c r="H673" i="116"/>
  <c r="G673" i="116"/>
  <c r="F673" i="116"/>
  <c r="E673" i="116"/>
  <c r="D673" i="116"/>
  <c r="C673" i="116"/>
  <c r="B673" i="116"/>
  <c r="K672" i="116"/>
  <c r="J672" i="116"/>
  <c r="I672" i="116"/>
  <c r="H672" i="116"/>
  <c r="G672" i="116"/>
  <c r="F672" i="116"/>
  <c r="E672" i="116"/>
  <c r="D672" i="116"/>
  <c r="C672" i="116"/>
  <c r="B672" i="116"/>
  <c r="K671" i="116"/>
  <c r="J671" i="116"/>
  <c r="I671" i="116"/>
  <c r="H671" i="116"/>
  <c r="G671" i="116"/>
  <c r="F671" i="116"/>
  <c r="E671" i="116"/>
  <c r="D671" i="116"/>
  <c r="C671" i="116"/>
  <c r="B671" i="116"/>
  <c r="K670" i="116"/>
  <c r="J670" i="116"/>
  <c r="I670" i="116"/>
  <c r="H670" i="116"/>
  <c r="G670" i="116"/>
  <c r="F670" i="116"/>
  <c r="E670" i="116"/>
  <c r="D670" i="116"/>
  <c r="C670" i="116"/>
  <c r="B670" i="116"/>
  <c r="K669" i="116"/>
  <c r="J669" i="116"/>
  <c r="I669" i="116"/>
  <c r="H669" i="116"/>
  <c r="G669" i="116"/>
  <c r="F669" i="116"/>
  <c r="E669" i="116"/>
  <c r="D669" i="116"/>
  <c r="C669" i="116"/>
  <c r="B669" i="116"/>
  <c r="K668" i="116"/>
  <c r="J668" i="116"/>
  <c r="I668" i="116"/>
  <c r="H668" i="116"/>
  <c r="G668" i="116"/>
  <c r="F668" i="116"/>
  <c r="E668" i="116"/>
  <c r="D668" i="116"/>
  <c r="C668" i="116"/>
  <c r="B668" i="116"/>
  <c r="K667" i="116"/>
  <c r="J667" i="116"/>
  <c r="I667" i="116"/>
  <c r="H667" i="116"/>
  <c r="G667" i="116"/>
  <c r="F667" i="116"/>
  <c r="E667" i="116"/>
  <c r="D667" i="116"/>
  <c r="C667" i="116"/>
  <c r="B667" i="116"/>
  <c r="K666" i="116"/>
  <c r="J666" i="116"/>
  <c r="I666" i="116"/>
  <c r="H666" i="116"/>
  <c r="G666" i="116"/>
  <c r="F666" i="116"/>
  <c r="E666" i="116"/>
  <c r="D666" i="116"/>
  <c r="C666" i="116"/>
  <c r="B666" i="116"/>
  <c r="K665" i="116"/>
  <c r="J665" i="116"/>
  <c r="I665" i="116"/>
  <c r="H665" i="116"/>
  <c r="G665" i="116"/>
  <c r="F665" i="116"/>
  <c r="E665" i="116"/>
  <c r="D665" i="116"/>
  <c r="C665" i="116"/>
  <c r="B665" i="116"/>
  <c r="K664" i="116"/>
  <c r="J664" i="116"/>
  <c r="I664" i="116"/>
  <c r="H664" i="116"/>
  <c r="G664" i="116"/>
  <c r="F664" i="116"/>
  <c r="E664" i="116"/>
  <c r="D664" i="116"/>
  <c r="C664" i="116"/>
  <c r="B664" i="116"/>
  <c r="K663" i="116"/>
  <c r="J663" i="116"/>
  <c r="I663" i="116"/>
  <c r="H663" i="116"/>
  <c r="G663" i="116"/>
  <c r="F663" i="116"/>
  <c r="E663" i="116"/>
  <c r="D663" i="116"/>
  <c r="C663" i="116"/>
  <c r="B663" i="116"/>
  <c r="K662" i="116"/>
  <c r="J662" i="116"/>
  <c r="I662" i="116"/>
  <c r="H662" i="116"/>
  <c r="G662" i="116"/>
  <c r="F662" i="116"/>
  <c r="E662" i="116"/>
  <c r="D662" i="116"/>
  <c r="C662" i="116"/>
  <c r="B662" i="116"/>
  <c r="K661" i="116"/>
  <c r="J661" i="116"/>
  <c r="I661" i="116"/>
  <c r="H661" i="116"/>
  <c r="G661" i="116"/>
  <c r="F661" i="116"/>
  <c r="E661" i="116"/>
  <c r="D661" i="116"/>
  <c r="C661" i="116"/>
  <c r="B661" i="116"/>
  <c r="K660" i="116"/>
  <c r="J660" i="116"/>
  <c r="I660" i="116"/>
  <c r="H660" i="116"/>
  <c r="G660" i="116"/>
  <c r="F660" i="116"/>
  <c r="E660" i="116"/>
  <c r="D660" i="116"/>
  <c r="C660" i="116"/>
  <c r="B660" i="116"/>
  <c r="K659" i="116"/>
  <c r="J659" i="116"/>
  <c r="I659" i="116"/>
  <c r="H659" i="116"/>
  <c r="G659" i="116"/>
  <c r="F659" i="116"/>
  <c r="E659" i="116"/>
  <c r="D659" i="116"/>
  <c r="C659" i="116"/>
  <c r="B659" i="116"/>
  <c r="K658" i="116"/>
  <c r="J658" i="116"/>
  <c r="I658" i="116"/>
  <c r="H658" i="116"/>
  <c r="G658" i="116"/>
  <c r="F658" i="116"/>
  <c r="E658" i="116"/>
  <c r="D658" i="116"/>
  <c r="C658" i="116"/>
  <c r="B658" i="116"/>
  <c r="K657" i="116"/>
  <c r="J657" i="116"/>
  <c r="I657" i="116"/>
  <c r="H657" i="116"/>
  <c r="G657" i="116"/>
  <c r="F657" i="116"/>
  <c r="E657" i="116"/>
  <c r="D657" i="116"/>
  <c r="C657" i="116"/>
  <c r="B657" i="116"/>
  <c r="K656" i="116"/>
  <c r="J656" i="116"/>
  <c r="I656" i="116"/>
  <c r="H656" i="116"/>
  <c r="G656" i="116"/>
  <c r="F656" i="116"/>
  <c r="E656" i="116"/>
  <c r="D656" i="116"/>
  <c r="C656" i="116"/>
  <c r="B656" i="116"/>
  <c r="K655" i="116"/>
  <c r="J655" i="116"/>
  <c r="I655" i="116"/>
  <c r="H655" i="116"/>
  <c r="G655" i="116"/>
  <c r="F655" i="116"/>
  <c r="E655" i="116"/>
  <c r="D655" i="116"/>
  <c r="C655" i="116"/>
  <c r="B655" i="116"/>
  <c r="K654" i="116"/>
  <c r="J654" i="116"/>
  <c r="I654" i="116"/>
  <c r="H654" i="116"/>
  <c r="G654" i="116"/>
  <c r="F654" i="116"/>
  <c r="E654" i="116"/>
  <c r="D654" i="116"/>
  <c r="C654" i="116"/>
  <c r="B654" i="116"/>
  <c r="K653" i="116"/>
  <c r="J653" i="116"/>
  <c r="I653" i="116"/>
  <c r="H653" i="116"/>
  <c r="G653" i="116"/>
  <c r="F653" i="116"/>
  <c r="E653" i="116"/>
  <c r="D653" i="116"/>
  <c r="C653" i="116"/>
  <c r="B653" i="116"/>
  <c r="K652" i="116"/>
  <c r="J652" i="116"/>
  <c r="I652" i="116"/>
  <c r="H652" i="116"/>
  <c r="G652" i="116"/>
  <c r="F652" i="116"/>
  <c r="E652" i="116"/>
  <c r="D652" i="116"/>
  <c r="C652" i="116"/>
  <c r="B652" i="116"/>
  <c r="K651" i="116"/>
  <c r="J651" i="116"/>
  <c r="I651" i="116"/>
  <c r="H651" i="116"/>
  <c r="G651" i="116"/>
  <c r="F651" i="116"/>
  <c r="E651" i="116"/>
  <c r="D651" i="116"/>
  <c r="C651" i="116"/>
  <c r="B651" i="116"/>
  <c r="K650" i="116"/>
  <c r="J650" i="116"/>
  <c r="I650" i="116"/>
  <c r="H650" i="116"/>
  <c r="G650" i="116"/>
  <c r="F650" i="116"/>
  <c r="E650" i="116"/>
  <c r="D650" i="116"/>
  <c r="C650" i="116"/>
  <c r="B650" i="116"/>
  <c r="K649" i="116"/>
  <c r="J649" i="116"/>
  <c r="I649" i="116"/>
  <c r="H649" i="116"/>
  <c r="G649" i="116"/>
  <c r="F649" i="116"/>
  <c r="E649" i="116"/>
  <c r="D649" i="116"/>
  <c r="C649" i="116"/>
  <c r="B649" i="116"/>
  <c r="K648" i="116"/>
  <c r="J648" i="116"/>
  <c r="I648" i="116"/>
  <c r="H648" i="116"/>
  <c r="G648" i="116"/>
  <c r="F648" i="116"/>
  <c r="E648" i="116"/>
  <c r="D648" i="116"/>
  <c r="C648" i="116"/>
  <c r="B648" i="116"/>
  <c r="K647" i="116"/>
  <c r="J647" i="116"/>
  <c r="I647" i="116"/>
  <c r="H647" i="116"/>
  <c r="G647" i="116"/>
  <c r="F647" i="116"/>
  <c r="E647" i="116"/>
  <c r="D647" i="116"/>
  <c r="C647" i="116"/>
  <c r="B647" i="116"/>
  <c r="K646" i="116"/>
  <c r="J646" i="116"/>
  <c r="I646" i="116"/>
  <c r="H646" i="116"/>
  <c r="G646" i="116"/>
  <c r="F646" i="116"/>
  <c r="E646" i="116"/>
  <c r="D646" i="116"/>
  <c r="C646" i="116"/>
  <c r="B646" i="116"/>
  <c r="K645" i="116"/>
  <c r="J645" i="116"/>
  <c r="I645" i="116"/>
  <c r="H645" i="116"/>
  <c r="G645" i="116"/>
  <c r="F645" i="116"/>
  <c r="E645" i="116"/>
  <c r="D645" i="116"/>
  <c r="C645" i="116"/>
  <c r="B645" i="116"/>
  <c r="K644" i="116"/>
  <c r="J644" i="116"/>
  <c r="I644" i="116"/>
  <c r="H644" i="116"/>
  <c r="G644" i="116"/>
  <c r="F644" i="116"/>
  <c r="E644" i="116"/>
  <c r="D644" i="116"/>
  <c r="C644" i="116"/>
  <c r="B644" i="116"/>
  <c r="K643" i="116"/>
  <c r="J643" i="116"/>
  <c r="I643" i="116"/>
  <c r="H643" i="116"/>
  <c r="G643" i="116"/>
  <c r="F643" i="116"/>
  <c r="E643" i="116"/>
  <c r="D643" i="116"/>
  <c r="C643" i="116"/>
  <c r="B643" i="116"/>
  <c r="K642" i="116"/>
  <c r="J642" i="116"/>
  <c r="I642" i="116"/>
  <c r="H642" i="116"/>
  <c r="G642" i="116"/>
  <c r="F642" i="116"/>
  <c r="E642" i="116"/>
  <c r="D642" i="116"/>
  <c r="C642" i="116"/>
  <c r="B642" i="116"/>
  <c r="K641" i="116"/>
  <c r="J641" i="116"/>
  <c r="I641" i="116"/>
  <c r="H641" i="116"/>
  <c r="G641" i="116"/>
  <c r="F641" i="116"/>
  <c r="E641" i="116"/>
  <c r="D641" i="116"/>
  <c r="C641" i="116"/>
  <c r="B641" i="116"/>
  <c r="K640" i="116"/>
  <c r="J640" i="116"/>
  <c r="I640" i="116"/>
  <c r="H640" i="116"/>
  <c r="G640" i="116"/>
  <c r="F640" i="116"/>
  <c r="E640" i="116"/>
  <c r="D640" i="116"/>
  <c r="C640" i="116"/>
  <c r="B640" i="116"/>
  <c r="K639" i="116"/>
  <c r="J639" i="116"/>
  <c r="I639" i="116"/>
  <c r="H639" i="116"/>
  <c r="G639" i="116"/>
  <c r="F639" i="116"/>
  <c r="E639" i="116"/>
  <c r="D639" i="116"/>
  <c r="C639" i="116"/>
  <c r="B639" i="116"/>
  <c r="K638" i="116"/>
  <c r="J638" i="116"/>
  <c r="I638" i="116"/>
  <c r="H638" i="116"/>
  <c r="G638" i="116"/>
  <c r="F638" i="116"/>
  <c r="E638" i="116"/>
  <c r="D638" i="116"/>
  <c r="C638" i="116"/>
  <c r="B638" i="116"/>
  <c r="K637" i="116"/>
  <c r="J637" i="116"/>
  <c r="I637" i="116"/>
  <c r="H637" i="116"/>
  <c r="G637" i="116"/>
  <c r="F637" i="116"/>
  <c r="E637" i="116"/>
  <c r="D637" i="116"/>
  <c r="C637" i="116"/>
  <c r="B637" i="116"/>
  <c r="K636" i="116"/>
  <c r="J636" i="116"/>
  <c r="I636" i="116"/>
  <c r="H636" i="116"/>
  <c r="G636" i="116"/>
  <c r="F636" i="116"/>
  <c r="E636" i="116"/>
  <c r="D636" i="116"/>
  <c r="C636" i="116"/>
  <c r="B636" i="116"/>
  <c r="K635" i="116"/>
  <c r="J635" i="116"/>
  <c r="I635" i="116"/>
  <c r="H635" i="116"/>
  <c r="G635" i="116"/>
  <c r="F635" i="116"/>
  <c r="E635" i="116"/>
  <c r="D635" i="116"/>
  <c r="C635" i="116"/>
  <c r="B635" i="116"/>
  <c r="K634" i="116"/>
  <c r="J634" i="116"/>
  <c r="I634" i="116"/>
  <c r="H634" i="116"/>
  <c r="G634" i="116"/>
  <c r="F634" i="116"/>
  <c r="E634" i="116"/>
  <c r="D634" i="116"/>
  <c r="C634" i="116"/>
  <c r="B634" i="116"/>
  <c r="K633" i="116"/>
  <c r="J633" i="116"/>
  <c r="I633" i="116"/>
  <c r="H633" i="116"/>
  <c r="G633" i="116"/>
  <c r="F633" i="116"/>
  <c r="E633" i="116"/>
  <c r="D633" i="116"/>
  <c r="C633" i="116"/>
  <c r="B633" i="116"/>
  <c r="K632" i="116"/>
  <c r="J632" i="116"/>
  <c r="I632" i="116"/>
  <c r="H632" i="116"/>
  <c r="G632" i="116"/>
  <c r="F632" i="116"/>
  <c r="E632" i="116"/>
  <c r="D632" i="116"/>
  <c r="C632" i="116"/>
  <c r="B632" i="116"/>
  <c r="K631" i="116"/>
  <c r="J631" i="116"/>
  <c r="I631" i="116"/>
  <c r="H631" i="116"/>
  <c r="G631" i="116"/>
  <c r="F631" i="116"/>
  <c r="E631" i="116"/>
  <c r="D631" i="116"/>
  <c r="C631" i="116"/>
  <c r="B631" i="116"/>
  <c r="K630" i="116"/>
  <c r="J630" i="116"/>
  <c r="I630" i="116"/>
  <c r="H630" i="116"/>
  <c r="G630" i="116"/>
  <c r="F630" i="116"/>
  <c r="E630" i="116"/>
  <c r="D630" i="116"/>
  <c r="C630" i="116"/>
  <c r="B630" i="116"/>
  <c r="K629" i="116"/>
  <c r="J629" i="116"/>
  <c r="I629" i="116"/>
  <c r="H629" i="116"/>
  <c r="G629" i="116"/>
  <c r="F629" i="116"/>
  <c r="E629" i="116"/>
  <c r="D629" i="116"/>
  <c r="C629" i="116"/>
  <c r="B629" i="116"/>
  <c r="K628" i="116"/>
  <c r="J628" i="116"/>
  <c r="I628" i="116"/>
  <c r="H628" i="116"/>
  <c r="G628" i="116"/>
  <c r="F628" i="116"/>
  <c r="E628" i="116"/>
  <c r="D628" i="116"/>
  <c r="C628" i="116"/>
  <c r="B628" i="116"/>
  <c r="K627" i="116"/>
  <c r="J627" i="116"/>
  <c r="I627" i="116"/>
  <c r="H627" i="116"/>
  <c r="G627" i="116"/>
  <c r="F627" i="116"/>
  <c r="E627" i="116"/>
  <c r="D627" i="116"/>
  <c r="C627" i="116"/>
  <c r="B627" i="116"/>
  <c r="K626" i="116"/>
  <c r="J626" i="116"/>
  <c r="I626" i="116"/>
  <c r="H626" i="116"/>
  <c r="G626" i="116"/>
  <c r="F626" i="116"/>
  <c r="E626" i="116"/>
  <c r="D626" i="116"/>
  <c r="C626" i="116"/>
  <c r="B626" i="116"/>
  <c r="K625" i="116"/>
  <c r="J625" i="116"/>
  <c r="I625" i="116"/>
  <c r="H625" i="116"/>
  <c r="G625" i="116"/>
  <c r="F625" i="116"/>
  <c r="E625" i="116"/>
  <c r="D625" i="116"/>
  <c r="C625" i="116"/>
  <c r="B625" i="116"/>
  <c r="K624" i="116"/>
  <c r="J624" i="116"/>
  <c r="I624" i="116"/>
  <c r="H624" i="116"/>
  <c r="G624" i="116"/>
  <c r="F624" i="116"/>
  <c r="E624" i="116"/>
  <c r="D624" i="116"/>
  <c r="C624" i="116"/>
  <c r="B624" i="116"/>
  <c r="K623" i="116"/>
  <c r="J623" i="116"/>
  <c r="I623" i="116"/>
  <c r="H623" i="116"/>
  <c r="G623" i="116"/>
  <c r="F623" i="116"/>
  <c r="E623" i="116"/>
  <c r="D623" i="116"/>
  <c r="C623" i="116"/>
  <c r="B623" i="116"/>
  <c r="K622" i="116"/>
  <c r="J622" i="116"/>
  <c r="I622" i="116"/>
  <c r="H622" i="116"/>
  <c r="G622" i="116"/>
  <c r="F622" i="116"/>
  <c r="E622" i="116"/>
  <c r="D622" i="116"/>
  <c r="C622" i="116"/>
  <c r="B622" i="116"/>
  <c r="K621" i="116"/>
  <c r="J621" i="116"/>
  <c r="I621" i="116"/>
  <c r="H621" i="116"/>
  <c r="G621" i="116"/>
  <c r="F621" i="116"/>
  <c r="E621" i="116"/>
  <c r="D621" i="116"/>
  <c r="C621" i="116"/>
  <c r="B621" i="116"/>
  <c r="K620" i="116"/>
  <c r="J620" i="116"/>
  <c r="I620" i="116"/>
  <c r="H620" i="116"/>
  <c r="G620" i="116"/>
  <c r="F620" i="116"/>
  <c r="E620" i="116"/>
  <c r="D620" i="116"/>
  <c r="C620" i="116"/>
  <c r="B620" i="116"/>
  <c r="K619" i="116"/>
  <c r="J619" i="116"/>
  <c r="I619" i="116"/>
  <c r="H619" i="116"/>
  <c r="G619" i="116"/>
  <c r="F619" i="116"/>
  <c r="E619" i="116"/>
  <c r="D619" i="116"/>
  <c r="C619" i="116"/>
  <c r="B619" i="116"/>
  <c r="K618" i="116"/>
  <c r="J618" i="116"/>
  <c r="I618" i="116"/>
  <c r="H618" i="116"/>
  <c r="G618" i="116"/>
  <c r="F618" i="116"/>
  <c r="E618" i="116"/>
  <c r="D618" i="116"/>
  <c r="C618" i="116"/>
  <c r="B618" i="116"/>
  <c r="K617" i="116"/>
  <c r="J617" i="116"/>
  <c r="I617" i="116"/>
  <c r="H617" i="116"/>
  <c r="G617" i="116"/>
  <c r="F617" i="116"/>
  <c r="E617" i="116"/>
  <c r="D617" i="116"/>
  <c r="C617" i="116"/>
  <c r="B617" i="116"/>
  <c r="K616" i="116"/>
  <c r="J616" i="116"/>
  <c r="I616" i="116"/>
  <c r="H616" i="116"/>
  <c r="G616" i="116"/>
  <c r="F616" i="116"/>
  <c r="E616" i="116"/>
  <c r="D616" i="116"/>
  <c r="C616" i="116"/>
  <c r="B616" i="116"/>
  <c r="K615" i="116"/>
  <c r="J615" i="116"/>
  <c r="I615" i="116"/>
  <c r="H615" i="116"/>
  <c r="G615" i="116"/>
  <c r="F615" i="116"/>
  <c r="E615" i="116"/>
  <c r="D615" i="116"/>
  <c r="C615" i="116"/>
  <c r="B615" i="116"/>
  <c r="K614" i="116"/>
  <c r="J614" i="116"/>
  <c r="I614" i="116"/>
  <c r="H614" i="116"/>
  <c r="G614" i="116"/>
  <c r="F614" i="116"/>
  <c r="E614" i="116"/>
  <c r="D614" i="116"/>
  <c r="C614" i="116"/>
  <c r="B614" i="116"/>
  <c r="K613" i="116"/>
  <c r="J613" i="116"/>
  <c r="I613" i="116"/>
  <c r="H613" i="116"/>
  <c r="G613" i="116"/>
  <c r="F613" i="116"/>
  <c r="E613" i="116"/>
  <c r="D613" i="116"/>
  <c r="C613" i="116"/>
  <c r="B613" i="116"/>
  <c r="K612" i="116"/>
  <c r="J612" i="116"/>
  <c r="I612" i="116"/>
  <c r="H612" i="116"/>
  <c r="G612" i="116"/>
  <c r="F612" i="116"/>
  <c r="E612" i="116"/>
  <c r="D612" i="116"/>
  <c r="C612" i="116"/>
  <c r="B612" i="116"/>
  <c r="K611" i="116"/>
  <c r="J611" i="116"/>
  <c r="I611" i="116"/>
  <c r="H611" i="116"/>
  <c r="G611" i="116"/>
  <c r="F611" i="116"/>
  <c r="E611" i="116"/>
  <c r="D611" i="116"/>
  <c r="C611" i="116"/>
  <c r="B611" i="116"/>
  <c r="K610" i="116"/>
  <c r="J610" i="116"/>
  <c r="I610" i="116"/>
  <c r="H610" i="116"/>
  <c r="G610" i="116"/>
  <c r="F610" i="116"/>
  <c r="E610" i="116"/>
  <c r="D610" i="116"/>
  <c r="C610" i="116"/>
  <c r="B610" i="116"/>
  <c r="K609" i="116"/>
  <c r="J609" i="116"/>
  <c r="I609" i="116"/>
  <c r="H609" i="116"/>
  <c r="G609" i="116"/>
  <c r="F609" i="116"/>
  <c r="E609" i="116"/>
  <c r="D609" i="116"/>
  <c r="C609" i="116"/>
  <c r="B609" i="116"/>
  <c r="K608" i="116"/>
  <c r="J608" i="116"/>
  <c r="I608" i="116"/>
  <c r="H608" i="116"/>
  <c r="G608" i="116"/>
  <c r="F608" i="116"/>
  <c r="E608" i="116"/>
  <c r="D608" i="116"/>
  <c r="C608" i="116"/>
  <c r="B608" i="116"/>
  <c r="K607" i="116"/>
  <c r="J607" i="116"/>
  <c r="I607" i="116"/>
  <c r="H607" i="116"/>
  <c r="G607" i="116"/>
  <c r="F607" i="116"/>
  <c r="E607" i="116"/>
  <c r="D607" i="116"/>
  <c r="C607" i="116"/>
  <c r="B607" i="116"/>
  <c r="K606" i="116"/>
  <c r="J606" i="116"/>
  <c r="I606" i="116"/>
  <c r="H606" i="116"/>
  <c r="G606" i="116"/>
  <c r="F606" i="116"/>
  <c r="E606" i="116"/>
  <c r="D606" i="116"/>
  <c r="C606" i="116"/>
  <c r="B606" i="116"/>
  <c r="K605" i="116"/>
  <c r="J605" i="116"/>
  <c r="I605" i="116"/>
  <c r="H605" i="116"/>
  <c r="G605" i="116"/>
  <c r="F605" i="116"/>
  <c r="E605" i="116"/>
  <c r="D605" i="116"/>
  <c r="C605" i="116"/>
  <c r="B605" i="116"/>
  <c r="K604" i="116"/>
  <c r="J604" i="116"/>
  <c r="I604" i="116"/>
  <c r="H604" i="116"/>
  <c r="G604" i="116"/>
  <c r="F604" i="116"/>
  <c r="E604" i="116"/>
  <c r="D604" i="116"/>
  <c r="C604" i="116"/>
  <c r="B604" i="116"/>
  <c r="K603" i="116"/>
  <c r="J603" i="116"/>
  <c r="I603" i="116"/>
  <c r="H603" i="116"/>
  <c r="G603" i="116"/>
  <c r="F603" i="116"/>
  <c r="E603" i="116"/>
  <c r="D603" i="116"/>
  <c r="C603" i="116"/>
  <c r="B603" i="116"/>
  <c r="K602" i="116"/>
  <c r="J602" i="116"/>
  <c r="I602" i="116"/>
  <c r="H602" i="116"/>
  <c r="G602" i="116"/>
  <c r="F602" i="116"/>
  <c r="E602" i="116"/>
  <c r="D602" i="116"/>
  <c r="C602" i="116"/>
  <c r="B602" i="116"/>
  <c r="K601" i="116"/>
  <c r="J601" i="116"/>
  <c r="I601" i="116"/>
  <c r="H601" i="116"/>
  <c r="G601" i="116"/>
  <c r="F601" i="116"/>
  <c r="E601" i="116"/>
  <c r="D601" i="116"/>
  <c r="C601" i="116"/>
  <c r="B601" i="116"/>
  <c r="K600" i="116"/>
  <c r="J600" i="116"/>
  <c r="I600" i="116"/>
  <c r="H600" i="116"/>
  <c r="G600" i="116"/>
  <c r="F600" i="116"/>
  <c r="E600" i="116"/>
  <c r="D600" i="116"/>
  <c r="C600" i="116"/>
  <c r="B600" i="116"/>
  <c r="K599" i="116"/>
  <c r="J599" i="116"/>
  <c r="I599" i="116"/>
  <c r="H599" i="116"/>
  <c r="G599" i="116"/>
  <c r="F599" i="116"/>
  <c r="E599" i="116"/>
  <c r="D599" i="116"/>
  <c r="C599" i="116"/>
  <c r="B599" i="116"/>
  <c r="K598" i="116"/>
  <c r="J598" i="116"/>
  <c r="I598" i="116"/>
  <c r="H598" i="116"/>
  <c r="G598" i="116"/>
  <c r="F598" i="116"/>
  <c r="E598" i="116"/>
  <c r="D598" i="116"/>
  <c r="C598" i="116"/>
  <c r="B598" i="116"/>
  <c r="K597" i="116"/>
  <c r="J597" i="116"/>
  <c r="I597" i="116"/>
  <c r="H597" i="116"/>
  <c r="G597" i="116"/>
  <c r="F597" i="116"/>
  <c r="E597" i="116"/>
  <c r="D597" i="116"/>
  <c r="C597" i="116"/>
  <c r="B597" i="116"/>
  <c r="K596" i="116"/>
  <c r="J596" i="116"/>
  <c r="I596" i="116"/>
  <c r="H596" i="116"/>
  <c r="G596" i="116"/>
  <c r="F596" i="116"/>
  <c r="E596" i="116"/>
  <c r="D596" i="116"/>
  <c r="C596" i="116"/>
  <c r="B596" i="116"/>
  <c r="K595" i="116"/>
  <c r="J595" i="116"/>
  <c r="I595" i="116"/>
  <c r="H595" i="116"/>
  <c r="G595" i="116"/>
  <c r="F595" i="116"/>
  <c r="E595" i="116"/>
  <c r="D595" i="116"/>
  <c r="C595" i="116"/>
  <c r="B595" i="116"/>
  <c r="K594" i="116"/>
  <c r="J594" i="116"/>
  <c r="I594" i="116"/>
  <c r="H594" i="116"/>
  <c r="G594" i="116"/>
  <c r="F594" i="116"/>
  <c r="E594" i="116"/>
  <c r="D594" i="116"/>
  <c r="C594" i="116"/>
  <c r="B594" i="116"/>
  <c r="K593" i="116"/>
  <c r="J593" i="116"/>
  <c r="I593" i="116"/>
  <c r="H593" i="116"/>
  <c r="G593" i="116"/>
  <c r="F593" i="116"/>
  <c r="E593" i="116"/>
  <c r="D593" i="116"/>
  <c r="C593" i="116"/>
  <c r="B593" i="116"/>
  <c r="K592" i="116"/>
  <c r="J592" i="116"/>
  <c r="I592" i="116"/>
  <c r="H592" i="116"/>
  <c r="G592" i="116"/>
  <c r="F592" i="116"/>
  <c r="E592" i="116"/>
  <c r="D592" i="116"/>
  <c r="C592" i="116"/>
  <c r="B592" i="116"/>
  <c r="K591" i="116"/>
  <c r="J591" i="116"/>
  <c r="I591" i="116"/>
  <c r="H591" i="116"/>
  <c r="G591" i="116"/>
  <c r="F591" i="116"/>
  <c r="E591" i="116"/>
  <c r="D591" i="116"/>
  <c r="C591" i="116"/>
  <c r="B591" i="116"/>
  <c r="K590" i="116"/>
  <c r="J590" i="116"/>
  <c r="I590" i="116"/>
  <c r="H590" i="116"/>
  <c r="G590" i="116"/>
  <c r="F590" i="116"/>
  <c r="E590" i="116"/>
  <c r="D590" i="116"/>
  <c r="C590" i="116"/>
  <c r="B590" i="116"/>
  <c r="K589" i="116"/>
  <c r="J589" i="116"/>
  <c r="I589" i="116"/>
  <c r="H589" i="116"/>
  <c r="G589" i="116"/>
  <c r="F589" i="116"/>
  <c r="E589" i="116"/>
  <c r="D589" i="116"/>
  <c r="C589" i="116"/>
  <c r="B589" i="116"/>
  <c r="K588" i="116"/>
  <c r="J588" i="116"/>
  <c r="I588" i="116"/>
  <c r="H588" i="116"/>
  <c r="G588" i="116"/>
  <c r="F588" i="116"/>
  <c r="E588" i="116"/>
  <c r="D588" i="116"/>
  <c r="C588" i="116"/>
  <c r="B588" i="116"/>
  <c r="K587" i="116"/>
  <c r="J587" i="116"/>
  <c r="I587" i="116"/>
  <c r="H587" i="116"/>
  <c r="G587" i="116"/>
  <c r="F587" i="116"/>
  <c r="E587" i="116"/>
  <c r="D587" i="116"/>
  <c r="C587" i="116"/>
  <c r="B587" i="116"/>
  <c r="K586" i="116"/>
  <c r="J586" i="116"/>
  <c r="I586" i="116"/>
  <c r="H586" i="116"/>
  <c r="G586" i="116"/>
  <c r="F586" i="116"/>
  <c r="E586" i="116"/>
  <c r="D586" i="116"/>
  <c r="C586" i="116"/>
  <c r="B586" i="116"/>
  <c r="K585" i="116"/>
  <c r="J585" i="116"/>
  <c r="I585" i="116"/>
  <c r="H585" i="116"/>
  <c r="G585" i="116"/>
  <c r="F585" i="116"/>
  <c r="E585" i="116"/>
  <c r="D585" i="116"/>
  <c r="C585" i="116"/>
  <c r="B585" i="116"/>
  <c r="K584" i="116"/>
  <c r="J584" i="116"/>
  <c r="I584" i="116"/>
  <c r="H584" i="116"/>
  <c r="G584" i="116"/>
  <c r="F584" i="116"/>
  <c r="E584" i="116"/>
  <c r="D584" i="116"/>
  <c r="C584" i="116"/>
  <c r="B584" i="116"/>
  <c r="K583" i="116"/>
  <c r="J583" i="116"/>
  <c r="I583" i="116"/>
  <c r="H583" i="116"/>
  <c r="G583" i="116"/>
  <c r="F583" i="116"/>
  <c r="E583" i="116"/>
  <c r="D583" i="116"/>
  <c r="C583" i="116"/>
  <c r="B583" i="116"/>
  <c r="K582" i="116"/>
  <c r="J582" i="116"/>
  <c r="I582" i="116"/>
  <c r="H582" i="116"/>
  <c r="G582" i="116"/>
  <c r="F582" i="116"/>
  <c r="E582" i="116"/>
  <c r="D582" i="116"/>
  <c r="C582" i="116"/>
  <c r="B582" i="116"/>
  <c r="K581" i="116"/>
  <c r="J581" i="116"/>
  <c r="I581" i="116"/>
  <c r="H581" i="116"/>
  <c r="G581" i="116"/>
  <c r="F581" i="116"/>
  <c r="E581" i="116"/>
  <c r="D581" i="116"/>
  <c r="C581" i="116"/>
  <c r="B581" i="116"/>
  <c r="K580" i="116"/>
  <c r="J580" i="116"/>
  <c r="I580" i="116"/>
  <c r="H580" i="116"/>
  <c r="G580" i="116"/>
  <c r="F580" i="116"/>
  <c r="E580" i="116"/>
  <c r="D580" i="116"/>
  <c r="C580" i="116"/>
  <c r="B580" i="116"/>
  <c r="K579" i="116"/>
  <c r="J579" i="116"/>
  <c r="I579" i="116"/>
  <c r="H579" i="116"/>
  <c r="G579" i="116"/>
  <c r="F579" i="116"/>
  <c r="E579" i="116"/>
  <c r="D579" i="116"/>
  <c r="C579" i="116"/>
  <c r="B579" i="116"/>
  <c r="K578" i="116"/>
  <c r="J578" i="116"/>
  <c r="I578" i="116"/>
  <c r="H578" i="116"/>
  <c r="G578" i="116"/>
  <c r="F578" i="116"/>
  <c r="E578" i="116"/>
  <c r="D578" i="116"/>
  <c r="C578" i="116"/>
  <c r="B578" i="116"/>
  <c r="K577" i="116"/>
  <c r="J577" i="116"/>
  <c r="I577" i="116"/>
  <c r="H577" i="116"/>
  <c r="G577" i="116"/>
  <c r="F577" i="116"/>
  <c r="E577" i="116"/>
  <c r="D577" i="116"/>
  <c r="C577" i="116"/>
  <c r="B577" i="116"/>
  <c r="K576" i="116"/>
  <c r="J576" i="116"/>
  <c r="I576" i="116"/>
  <c r="H576" i="116"/>
  <c r="G576" i="116"/>
  <c r="F576" i="116"/>
  <c r="E576" i="116"/>
  <c r="D576" i="116"/>
  <c r="C576" i="116"/>
  <c r="B576" i="116"/>
  <c r="K575" i="116"/>
  <c r="J575" i="116"/>
  <c r="I575" i="116"/>
  <c r="H575" i="116"/>
  <c r="G575" i="116"/>
  <c r="F575" i="116"/>
  <c r="E575" i="116"/>
  <c r="D575" i="116"/>
  <c r="C575" i="116"/>
  <c r="B575" i="116"/>
  <c r="K574" i="116"/>
  <c r="J574" i="116"/>
  <c r="I574" i="116"/>
  <c r="H574" i="116"/>
  <c r="G574" i="116"/>
  <c r="F574" i="116"/>
  <c r="E574" i="116"/>
  <c r="D574" i="116"/>
  <c r="C574" i="116"/>
  <c r="B574" i="116"/>
  <c r="K573" i="116"/>
  <c r="J573" i="116"/>
  <c r="I573" i="116"/>
  <c r="H573" i="116"/>
  <c r="G573" i="116"/>
  <c r="F573" i="116"/>
  <c r="E573" i="116"/>
  <c r="D573" i="116"/>
  <c r="C573" i="116"/>
  <c r="B573" i="116"/>
  <c r="K572" i="116"/>
  <c r="J572" i="116"/>
  <c r="I572" i="116"/>
  <c r="H572" i="116"/>
  <c r="G572" i="116"/>
  <c r="F572" i="116"/>
  <c r="E572" i="116"/>
  <c r="D572" i="116"/>
  <c r="C572" i="116"/>
  <c r="B572" i="116"/>
  <c r="K571" i="116"/>
  <c r="J571" i="116"/>
  <c r="I571" i="116"/>
  <c r="H571" i="116"/>
  <c r="G571" i="116"/>
  <c r="F571" i="116"/>
  <c r="E571" i="116"/>
  <c r="D571" i="116"/>
  <c r="C571" i="116"/>
  <c r="B571" i="116"/>
  <c r="K570" i="116"/>
  <c r="J570" i="116"/>
  <c r="I570" i="116"/>
  <c r="H570" i="116"/>
  <c r="G570" i="116"/>
  <c r="F570" i="116"/>
  <c r="E570" i="116"/>
  <c r="D570" i="116"/>
  <c r="C570" i="116"/>
  <c r="B570" i="116"/>
  <c r="K569" i="116"/>
  <c r="J569" i="116"/>
  <c r="I569" i="116"/>
  <c r="H569" i="116"/>
  <c r="G569" i="116"/>
  <c r="F569" i="116"/>
  <c r="E569" i="116"/>
  <c r="D569" i="116"/>
  <c r="C569" i="116"/>
  <c r="B569" i="116"/>
  <c r="K568" i="116"/>
  <c r="J568" i="116"/>
  <c r="I568" i="116"/>
  <c r="H568" i="116"/>
  <c r="G568" i="116"/>
  <c r="F568" i="116"/>
  <c r="E568" i="116"/>
  <c r="D568" i="116"/>
  <c r="C568" i="116"/>
  <c r="B568" i="116"/>
  <c r="K567" i="116"/>
  <c r="J567" i="116"/>
  <c r="I567" i="116"/>
  <c r="H567" i="116"/>
  <c r="G567" i="116"/>
  <c r="F567" i="116"/>
  <c r="E567" i="116"/>
  <c r="D567" i="116"/>
  <c r="C567" i="116"/>
  <c r="B567" i="116"/>
  <c r="K566" i="116"/>
  <c r="J566" i="116"/>
  <c r="I566" i="116"/>
  <c r="H566" i="116"/>
  <c r="G566" i="116"/>
  <c r="F566" i="116"/>
  <c r="E566" i="116"/>
  <c r="D566" i="116"/>
  <c r="C566" i="116"/>
  <c r="B566" i="116"/>
  <c r="K565" i="116"/>
  <c r="J565" i="116"/>
  <c r="I565" i="116"/>
  <c r="H565" i="116"/>
  <c r="G565" i="116"/>
  <c r="F565" i="116"/>
  <c r="E565" i="116"/>
  <c r="D565" i="116"/>
  <c r="C565" i="116"/>
  <c r="B565" i="116"/>
  <c r="K564" i="116"/>
  <c r="J564" i="116"/>
  <c r="I564" i="116"/>
  <c r="H564" i="116"/>
  <c r="G564" i="116"/>
  <c r="F564" i="116"/>
  <c r="E564" i="116"/>
  <c r="D564" i="116"/>
  <c r="C564" i="116"/>
  <c r="B564" i="116"/>
  <c r="K563" i="116"/>
  <c r="J563" i="116"/>
  <c r="I563" i="116"/>
  <c r="H563" i="116"/>
  <c r="G563" i="116"/>
  <c r="F563" i="116"/>
  <c r="E563" i="116"/>
  <c r="D563" i="116"/>
  <c r="C563" i="116"/>
  <c r="B563" i="116"/>
  <c r="K562" i="116"/>
  <c r="J562" i="116"/>
  <c r="I562" i="116"/>
  <c r="H562" i="116"/>
  <c r="G562" i="116"/>
  <c r="F562" i="116"/>
  <c r="E562" i="116"/>
  <c r="D562" i="116"/>
  <c r="C562" i="116"/>
  <c r="B562" i="116"/>
  <c r="K561" i="116"/>
  <c r="J561" i="116"/>
  <c r="I561" i="116"/>
  <c r="H561" i="116"/>
  <c r="G561" i="116"/>
  <c r="F561" i="116"/>
  <c r="E561" i="116"/>
  <c r="D561" i="116"/>
  <c r="C561" i="116"/>
  <c r="B561" i="116"/>
  <c r="K560" i="116"/>
  <c r="J560" i="116"/>
  <c r="I560" i="116"/>
  <c r="H560" i="116"/>
  <c r="G560" i="116"/>
  <c r="F560" i="116"/>
  <c r="E560" i="116"/>
  <c r="D560" i="116"/>
  <c r="C560" i="116"/>
  <c r="B560" i="116"/>
  <c r="K559" i="116"/>
  <c r="J559" i="116"/>
  <c r="I559" i="116"/>
  <c r="H559" i="116"/>
  <c r="G559" i="116"/>
  <c r="F559" i="116"/>
  <c r="E559" i="116"/>
  <c r="D559" i="116"/>
  <c r="C559" i="116"/>
  <c r="B559" i="116"/>
  <c r="K558" i="116"/>
  <c r="J558" i="116"/>
  <c r="I558" i="116"/>
  <c r="H558" i="116"/>
  <c r="G558" i="116"/>
  <c r="F558" i="116"/>
  <c r="E558" i="116"/>
  <c r="D558" i="116"/>
  <c r="C558" i="116"/>
  <c r="B558" i="116"/>
  <c r="K557" i="116"/>
  <c r="J557" i="116"/>
  <c r="I557" i="116"/>
  <c r="H557" i="116"/>
  <c r="G557" i="116"/>
  <c r="F557" i="116"/>
  <c r="E557" i="116"/>
  <c r="D557" i="116"/>
  <c r="C557" i="116"/>
  <c r="B557" i="116"/>
  <c r="K556" i="116"/>
  <c r="J556" i="116"/>
  <c r="I556" i="116"/>
  <c r="H556" i="116"/>
  <c r="G556" i="116"/>
  <c r="F556" i="116"/>
  <c r="E556" i="116"/>
  <c r="D556" i="116"/>
  <c r="C556" i="116"/>
  <c r="B556" i="116"/>
  <c r="K555" i="116"/>
  <c r="J555" i="116"/>
  <c r="I555" i="116"/>
  <c r="H555" i="116"/>
  <c r="G555" i="116"/>
  <c r="F555" i="116"/>
  <c r="E555" i="116"/>
  <c r="D555" i="116"/>
  <c r="C555" i="116"/>
  <c r="B555" i="116"/>
  <c r="K554" i="116"/>
  <c r="J554" i="116"/>
  <c r="I554" i="116"/>
  <c r="H554" i="116"/>
  <c r="G554" i="116"/>
  <c r="F554" i="116"/>
  <c r="E554" i="116"/>
  <c r="D554" i="116"/>
  <c r="C554" i="116"/>
  <c r="B554" i="116"/>
  <c r="K553" i="116"/>
  <c r="J553" i="116"/>
  <c r="I553" i="116"/>
  <c r="H553" i="116"/>
  <c r="G553" i="116"/>
  <c r="F553" i="116"/>
  <c r="E553" i="116"/>
  <c r="D553" i="116"/>
  <c r="C553" i="116"/>
  <c r="B553" i="116"/>
  <c r="K552" i="116"/>
  <c r="J552" i="116"/>
  <c r="I552" i="116"/>
  <c r="H552" i="116"/>
  <c r="G552" i="116"/>
  <c r="F552" i="116"/>
  <c r="E552" i="116"/>
  <c r="D552" i="116"/>
  <c r="C552" i="116"/>
  <c r="B552" i="116"/>
  <c r="K551" i="116"/>
  <c r="J551" i="116"/>
  <c r="I551" i="116"/>
  <c r="H551" i="116"/>
  <c r="G551" i="116"/>
  <c r="F551" i="116"/>
  <c r="E551" i="116"/>
  <c r="D551" i="116"/>
  <c r="C551" i="116"/>
  <c r="B551" i="116"/>
  <c r="K550" i="116"/>
  <c r="J550" i="116"/>
  <c r="I550" i="116"/>
  <c r="H550" i="116"/>
  <c r="G550" i="116"/>
  <c r="F550" i="116"/>
  <c r="E550" i="116"/>
  <c r="D550" i="116"/>
  <c r="C550" i="116"/>
  <c r="B550" i="116"/>
  <c r="K549" i="116"/>
  <c r="J549" i="116"/>
  <c r="I549" i="116"/>
  <c r="H549" i="116"/>
  <c r="G549" i="116"/>
  <c r="F549" i="116"/>
  <c r="E549" i="116"/>
  <c r="D549" i="116"/>
  <c r="C549" i="116"/>
  <c r="B549" i="116"/>
  <c r="K548" i="116"/>
  <c r="J548" i="116"/>
  <c r="I548" i="116"/>
  <c r="H548" i="116"/>
  <c r="G548" i="116"/>
  <c r="F548" i="116"/>
  <c r="E548" i="116"/>
  <c r="D548" i="116"/>
  <c r="C548" i="116"/>
  <c r="B548" i="116"/>
  <c r="K547" i="116"/>
  <c r="J547" i="116"/>
  <c r="I547" i="116"/>
  <c r="H547" i="116"/>
  <c r="G547" i="116"/>
  <c r="F547" i="116"/>
  <c r="E547" i="116"/>
  <c r="D547" i="116"/>
  <c r="C547" i="116"/>
  <c r="B547" i="116"/>
  <c r="K546" i="116"/>
  <c r="J546" i="116"/>
  <c r="I546" i="116"/>
  <c r="H546" i="116"/>
  <c r="G546" i="116"/>
  <c r="F546" i="116"/>
  <c r="E546" i="116"/>
  <c r="D546" i="116"/>
  <c r="C546" i="116"/>
  <c r="B546" i="116"/>
  <c r="K545" i="116"/>
  <c r="J545" i="116"/>
  <c r="I545" i="116"/>
  <c r="H545" i="116"/>
  <c r="G545" i="116"/>
  <c r="F545" i="116"/>
  <c r="E545" i="116"/>
  <c r="D545" i="116"/>
  <c r="C545" i="116"/>
  <c r="B545" i="116"/>
  <c r="K544" i="116"/>
  <c r="J544" i="116"/>
  <c r="I544" i="116"/>
  <c r="H544" i="116"/>
  <c r="G544" i="116"/>
  <c r="F544" i="116"/>
  <c r="E544" i="116"/>
  <c r="D544" i="116"/>
  <c r="C544" i="116"/>
  <c r="B544" i="116"/>
  <c r="K543" i="116"/>
  <c r="J543" i="116"/>
  <c r="I543" i="116"/>
  <c r="H543" i="116"/>
  <c r="G543" i="116"/>
  <c r="F543" i="116"/>
  <c r="E543" i="116"/>
  <c r="D543" i="116"/>
  <c r="C543" i="116"/>
  <c r="B543" i="116"/>
  <c r="K542" i="116"/>
  <c r="J542" i="116"/>
  <c r="I542" i="116"/>
  <c r="H542" i="116"/>
  <c r="G542" i="116"/>
  <c r="F542" i="116"/>
  <c r="E542" i="116"/>
  <c r="D542" i="116"/>
  <c r="C542" i="116"/>
  <c r="B542" i="116"/>
  <c r="K541" i="116"/>
  <c r="J541" i="116"/>
  <c r="I541" i="116"/>
  <c r="H541" i="116"/>
  <c r="G541" i="116"/>
  <c r="F541" i="116"/>
  <c r="E541" i="116"/>
  <c r="D541" i="116"/>
  <c r="C541" i="116"/>
  <c r="B541" i="116"/>
  <c r="K540" i="116"/>
  <c r="J540" i="116"/>
  <c r="I540" i="116"/>
  <c r="H540" i="116"/>
  <c r="G540" i="116"/>
  <c r="F540" i="116"/>
  <c r="E540" i="116"/>
  <c r="D540" i="116"/>
  <c r="C540" i="116"/>
  <c r="B540" i="116"/>
  <c r="K539" i="116"/>
  <c r="J539" i="116"/>
  <c r="I539" i="116"/>
  <c r="H539" i="116"/>
  <c r="G539" i="116"/>
  <c r="F539" i="116"/>
  <c r="E539" i="116"/>
  <c r="D539" i="116"/>
  <c r="C539" i="116"/>
  <c r="B539" i="116"/>
  <c r="K538" i="116"/>
  <c r="J538" i="116"/>
  <c r="I538" i="116"/>
  <c r="H538" i="116"/>
  <c r="G538" i="116"/>
  <c r="F538" i="116"/>
  <c r="E538" i="116"/>
  <c r="D538" i="116"/>
  <c r="C538" i="116"/>
  <c r="B538" i="116"/>
  <c r="K537" i="116"/>
  <c r="J537" i="116"/>
  <c r="I537" i="116"/>
  <c r="H537" i="116"/>
  <c r="G537" i="116"/>
  <c r="F537" i="116"/>
  <c r="E537" i="116"/>
  <c r="D537" i="116"/>
  <c r="C537" i="116"/>
  <c r="B537" i="116"/>
  <c r="K536" i="116"/>
  <c r="J536" i="116"/>
  <c r="I536" i="116"/>
  <c r="H536" i="116"/>
  <c r="G536" i="116"/>
  <c r="F536" i="116"/>
  <c r="E536" i="116"/>
  <c r="D536" i="116"/>
  <c r="C536" i="116"/>
  <c r="B536" i="116"/>
  <c r="K535" i="116"/>
  <c r="J535" i="116"/>
  <c r="I535" i="116"/>
  <c r="H535" i="116"/>
  <c r="G535" i="116"/>
  <c r="F535" i="116"/>
  <c r="E535" i="116"/>
  <c r="D535" i="116"/>
  <c r="C535" i="116"/>
  <c r="B535" i="116"/>
  <c r="K534" i="116"/>
  <c r="J534" i="116"/>
  <c r="I534" i="116"/>
  <c r="H534" i="116"/>
  <c r="G534" i="116"/>
  <c r="F534" i="116"/>
  <c r="E534" i="116"/>
  <c r="D534" i="116"/>
  <c r="C534" i="116"/>
  <c r="B534" i="116"/>
  <c r="K533" i="116"/>
  <c r="J533" i="116"/>
  <c r="I533" i="116"/>
  <c r="H533" i="116"/>
  <c r="G533" i="116"/>
  <c r="F533" i="116"/>
  <c r="E533" i="116"/>
  <c r="D533" i="116"/>
  <c r="C533" i="116"/>
  <c r="B533" i="116"/>
  <c r="K532" i="116"/>
  <c r="J532" i="116"/>
  <c r="I532" i="116"/>
  <c r="H532" i="116"/>
  <c r="G532" i="116"/>
  <c r="F532" i="116"/>
  <c r="E532" i="116"/>
  <c r="D532" i="116"/>
  <c r="C532" i="116"/>
  <c r="B532" i="116"/>
  <c r="K531" i="116"/>
  <c r="J531" i="116"/>
  <c r="I531" i="116"/>
  <c r="H531" i="116"/>
  <c r="G531" i="116"/>
  <c r="F531" i="116"/>
  <c r="E531" i="116"/>
  <c r="D531" i="116"/>
  <c r="C531" i="116"/>
  <c r="B531" i="116"/>
  <c r="K530" i="116"/>
  <c r="J530" i="116"/>
  <c r="I530" i="116"/>
  <c r="H530" i="116"/>
  <c r="G530" i="116"/>
  <c r="F530" i="116"/>
  <c r="E530" i="116"/>
  <c r="D530" i="116"/>
  <c r="C530" i="116"/>
  <c r="B530" i="116"/>
  <c r="K529" i="116"/>
  <c r="J529" i="116"/>
  <c r="I529" i="116"/>
  <c r="H529" i="116"/>
  <c r="G529" i="116"/>
  <c r="F529" i="116"/>
  <c r="E529" i="116"/>
  <c r="D529" i="116"/>
  <c r="C529" i="116"/>
  <c r="B529" i="116"/>
  <c r="K528" i="116"/>
  <c r="J528" i="116"/>
  <c r="I528" i="116"/>
  <c r="H528" i="116"/>
  <c r="G528" i="116"/>
  <c r="F528" i="116"/>
  <c r="E528" i="116"/>
  <c r="D528" i="116"/>
  <c r="C528" i="116"/>
  <c r="B528" i="116"/>
  <c r="K527" i="116"/>
  <c r="J527" i="116"/>
  <c r="I527" i="116"/>
  <c r="H527" i="116"/>
  <c r="G527" i="116"/>
  <c r="F527" i="116"/>
  <c r="E527" i="116"/>
  <c r="D527" i="116"/>
  <c r="C527" i="116"/>
  <c r="B527" i="116"/>
  <c r="K526" i="116"/>
  <c r="J526" i="116"/>
  <c r="I526" i="116"/>
  <c r="H526" i="116"/>
  <c r="G526" i="116"/>
  <c r="F526" i="116"/>
  <c r="E526" i="116"/>
  <c r="D526" i="116"/>
  <c r="C526" i="116"/>
  <c r="B526" i="116"/>
  <c r="K525" i="116"/>
  <c r="J525" i="116"/>
  <c r="I525" i="116"/>
  <c r="H525" i="116"/>
  <c r="G525" i="116"/>
  <c r="F525" i="116"/>
  <c r="E525" i="116"/>
  <c r="D525" i="116"/>
  <c r="C525" i="116"/>
  <c r="B525" i="116"/>
  <c r="K524" i="116"/>
  <c r="J524" i="116"/>
  <c r="I524" i="116"/>
  <c r="H524" i="116"/>
  <c r="G524" i="116"/>
  <c r="F524" i="116"/>
  <c r="E524" i="116"/>
  <c r="D524" i="116"/>
  <c r="C524" i="116"/>
  <c r="B524" i="116"/>
  <c r="K523" i="116"/>
  <c r="J523" i="116"/>
  <c r="I523" i="116"/>
  <c r="H523" i="116"/>
  <c r="G523" i="116"/>
  <c r="F523" i="116"/>
  <c r="E523" i="116"/>
  <c r="D523" i="116"/>
  <c r="C523" i="116"/>
  <c r="B523" i="116"/>
  <c r="K522" i="116"/>
  <c r="J522" i="116"/>
  <c r="I522" i="116"/>
  <c r="H522" i="116"/>
  <c r="G522" i="116"/>
  <c r="F522" i="116"/>
  <c r="E522" i="116"/>
  <c r="D522" i="116"/>
  <c r="C522" i="116"/>
  <c r="B522" i="116"/>
  <c r="K521" i="116"/>
  <c r="J521" i="116"/>
  <c r="I521" i="116"/>
  <c r="H521" i="116"/>
  <c r="G521" i="116"/>
  <c r="F521" i="116"/>
  <c r="E521" i="116"/>
  <c r="D521" i="116"/>
  <c r="C521" i="116"/>
  <c r="B521" i="116"/>
  <c r="K520" i="116"/>
  <c r="J520" i="116"/>
  <c r="I520" i="116"/>
  <c r="H520" i="116"/>
  <c r="G520" i="116"/>
  <c r="F520" i="116"/>
  <c r="E520" i="116"/>
  <c r="D520" i="116"/>
  <c r="C520" i="116"/>
  <c r="B520" i="116"/>
  <c r="K519" i="116"/>
  <c r="J519" i="116"/>
  <c r="I519" i="116"/>
  <c r="H519" i="116"/>
  <c r="G519" i="116"/>
  <c r="F519" i="116"/>
  <c r="E519" i="116"/>
  <c r="D519" i="116"/>
  <c r="C519" i="116"/>
  <c r="B519" i="116"/>
  <c r="K518" i="116"/>
  <c r="J518" i="116"/>
  <c r="I518" i="116"/>
  <c r="H518" i="116"/>
  <c r="G518" i="116"/>
  <c r="F518" i="116"/>
  <c r="E518" i="116"/>
  <c r="D518" i="116"/>
  <c r="C518" i="116"/>
  <c r="B518" i="116"/>
  <c r="K517" i="116"/>
  <c r="J517" i="116"/>
  <c r="I517" i="116"/>
  <c r="H517" i="116"/>
  <c r="G517" i="116"/>
  <c r="F517" i="116"/>
  <c r="E517" i="116"/>
  <c r="D517" i="116"/>
  <c r="C517" i="116"/>
  <c r="B517" i="116"/>
  <c r="K516" i="116"/>
  <c r="J516" i="116"/>
  <c r="I516" i="116"/>
  <c r="H516" i="116"/>
  <c r="G516" i="116"/>
  <c r="F516" i="116"/>
  <c r="E516" i="116"/>
  <c r="D516" i="116"/>
  <c r="C516" i="116"/>
  <c r="B516" i="116"/>
  <c r="K515" i="116"/>
  <c r="J515" i="116"/>
  <c r="I515" i="116"/>
  <c r="H515" i="116"/>
  <c r="G515" i="116"/>
  <c r="F515" i="116"/>
  <c r="E515" i="116"/>
  <c r="D515" i="116"/>
  <c r="C515" i="116"/>
  <c r="B515" i="116"/>
  <c r="K514" i="116"/>
  <c r="J514" i="116"/>
  <c r="I514" i="116"/>
  <c r="H514" i="116"/>
  <c r="G514" i="116"/>
  <c r="F514" i="116"/>
  <c r="E514" i="116"/>
  <c r="D514" i="116"/>
  <c r="C514" i="116"/>
  <c r="B514" i="116"/>
  <c r="K513" i="116"/>
  <c r="J513" i="116"/>
  <c r="I513" i="116"/>
  <c r="H513" i="116"/>
  <c r="G513" i="116"/>
  <c r="F513" i="116"/>
  <c r="E513" i="116"/>
  <c r="D513" i="116"/>
  <c r="C513" i="116"/>
  <c r="B513" i="116"/>
  <c r="K512" i="116"/>
  <c r="J512" i="116"/>
  <c r="I512" i="116"/>
  <c r="H512" i="116"/>
  <c r="G512" i="116"/>
  <c r="F512" i="116"/>
  <c r="E512" i="116"/>
  <c r="D512" i="116"/>
  <c r="C512" i="116"/>
  <c r="B512" i="116"/>
  <c r="K511" i="116"/>
  <c r="J511" i="116"/>
  <c r="I511" i="116"/>
  <c r="H511" i="116"/>
  <c r="G511" i="116"/>
  <c r="F511" i="116"/>
  <c r="E511" i="116"/>
  <c r="D511" i="116"/>
  <c r="C511" i="116"/>
  <c r="B511" i="116"/>
  <c r="K510" i="116"/>
  <c r="J510" i="116"/>
  <c r="I510" i="116"/>
  <c r="H510" i="116"/>
  <c r="G510" i="116"/>
  <c r="F510" i="116"/>
  <c r="E510" i="116"/>
  <c r="D510" i="116"/>
  <c r="C510" i="116"/>
  <c r="B510" i="116"/>
  <c r="K509" i="116"/>
  <c r="J509" i="116"/>
  <c r="I509" i="116"/>
  <c r="H509" i="116"/>
  <c r="G509" i="116"/>
  <c r="F509" i="116"/>
  <c r="E509" i="116"/>
  <c r="D509" i="116"/>
  <c r="C509" i="116"/>
  <c r="B509" i="116"/>
  <c r="K508" i="116"/>
  <c r="J508" i="116"/>
  <c r="I508" i="116"/>
  <c r="H508" i="116"/>
  <c r="G508" i="116"/>
  <c r="F508" i="116"/>
  <c r="E508" i="116"/>
  <c r="D508" i="116"/>
  <c r="C508" i="116"/>
  <c r="B508" i="116"/>
  <c r="K507" i="116"/>
  <c r="J507" i="116"/>
  <c r="I507" i="116"/>
  <c r="H507" i="116"/>
  <c r="G507" i="116"/>
  <c r="F507" i="116"/>
  <c r="E507" i="116"/>
  <c r="D507" i="116"/>
  <c r="C507" i="116"/>
  <c r="B507" i="116"/>
  <c r="K506" i="116"/>
  <c r="J506" i="116"/>
  <c r="I506" i="116"/>
  <c r="H506" i="116"/>
  <c r="G506" i="116"/>
  <c r="F506" i="116"/>
  <c r="E506" i="116"/>
  <c r="D506" i="116"/>
  <c r="C506" i="116"/>
  <c r="B506" i="116"/>
  <c r="K505" i="116"/>
  <c r="J505" i="116"/>
  <c r="I505" i="116"/>
  <c r="H505" i="116"/>
  <c r="G505" i="116"/>
  <c r="F505" i="116"/>
  <c r="E505" i="116"/>
  <c r="D505" i="116"/>
  <c r="C505" i="116"/>
  <c r="B505" i="116"/>
  <c r="K504" i="116"/>
  <c r="J504" i="116"/>
  <c r="I504" i="116"/>
  <c r="H504" i="116"/>
  <c r="G504" i="116"/>
  <c r="F504" i="116"/>
  <c r="E504" i="116"/>
  <c r="D504" i="116"/>
  <c r="C504" i="116"/>
  <c r="B504" i="116"/>
  <c r="K503" i="116"/>
  <c r="J503" i="116"/>
  <c r="I503" i="116"/>
  <c r="H503" i="116"/>
  <c r="G503" i="116"/>
  <c r="F503" i="116"/>
  <c r="E503" i="116"/>
  <c r="D503" i="116"/>
  <c r="C503" i="116"/>
  <c r="B503" i="116"/>
  <c r="K502" i="116"/>
  <c r="J502" i="116"/>
  <c r="I502" i="116"/>
  <c r="H502" i="116"/>
  <c r="G502" i="116"/>
  <c r="F502" i="116"/>
  <c r="E502" i="116"/>
  <c r="D502" i="116"/>
  <c r="C502" i="116"/>
  <c r="B502" i="116"/>
  <c r="K501" i="116"/>
  <c r="J501" i="116"/>
  <c r="I501" i="116"/>
  <c r="H501" i="116"/>
  <c r="G501" i="116"/>
  <c r="F501" i="116"/>
  <c r="E501" i="116"/>
  <c r="D501" i="116"/>
  <c r="C501" i="116"/>
  <c r="B501" i="116"/>
  <c r="K500" i="116"/>
  <c r="J500" i="116"/>
  <c r="I500" i="116"/>
  <c r="H500" i="116"/>
  <c r="G500" i="116"/>
  <c r="F500" i="116"/>
  <c r="E500" i="116"/>
  <c r="D500" i="116"/>
  <c r="C500" i="116"/>
  <c r="B500" i="116"/>
  <c r="K499" i="116"/>
  <c r="J499" i="116"/>
  <c r="I499" i="116"/>
  <c r="H499" i="116"/>
  <c r="G499" i="116"/>
  <c r="F499" i="116"/>
  <c r="E499" i="116"/>
  <c r="D499" i="116"/>
  <c r="C499" i="116"/>
  <c r="B499" i="116"/>
  <c r="K498" i="116"/>
  <c r="J498" i="116"/>
  <c r="I498" i="116"/>
  <c r="H498" i="116"/>
  <c r="G498" i="116"/>
  <c r="F498" i="116"/>
  <c r="E498" i="116"/>
  <c r="D498" i="116"/>
  <c r="C498" i="116"/>
  <c r="B498" i="116"/>
  <c r="K497" i="116"/>
  <c r="J497" i="116"/>
  <c r="I497" i="116"/>
  <c r="H497" i="116"/>
  <c r="G497" i="116"/>
  <c r="F497" i="116"/>
  <c r="E497" i="116"/>
  <c r="D497" i="116"/>
  <c r="C497" i="116"/>
  <c r="B497" i="116"/>
  <c r="K496" i="116"/>
  <c r="J496" i="116"/>
  <c r="I496" i="116"/>
  <c r="H496" i="116"/>
  <c r="G496" i="116"/>
  <c r="F496" i="116"/>
  <c r="E496" i="116"/>
  <c r="D496" i="116"/>
  <c r="C496" i="116"/>
  <c r="B496" i="116"/>
  <c r="K495" i="116"/>
  <c r="J495" i="116"/>
  <c r="I495" i="116"/>
  <c r="H495" i="116"/>
  <c r="G495" i="116"/>
  <c r="F495" i="116"/>
  <c r="E495" i="116"/>
  <c r="D495" i="116"/>
  <c r="C495" i="116"/>
  <c r="B495" i="116"/>
  <c r="K494" i="116"/>
  <c r="J494" i="116"/>
  <c r="I494" i="116"/>
  <c r="H494" i="116"/>
  <c r="G494" i="116"/>
  <c r="F494" i="116"/>
  <c r="E494" i="116"/>
  <c r="D494" i="116"/>
  <c r="C494" i="116"/>
  <c r="B494" i="116"/>
  <c r="K493" i="116"/>
  <c r="J493" i="116"/>
  <c r="I493" i="116"/>
  <c r="H493" i="116"/>
  <c r="G493" i="116"/>
  <c r="F493" i="116"/>
  <c r="E493" i="116"/>
  <c r="D493" i="116"/>
  <c r="C493" i="116"/>
  <c r="B493" i="116"/>
  <c r="K492" i="116"/>
  <c r="J492" i="116"/>
  <c r="I492" i="116"/>
  <c r="H492" i="116"/>
  <c r="G492" i="116"/>
  <c r="F492" i="116"/>
  <c r="E492" i="116"/>
  <c r="D492" i="116"/>
  <c r="C492" i="116"/>
  <c r="B492" i="116"/>
  <c r="K491" i="116"/>
  <c r="J491" i="116"/>
  <c r="I491" i="116"/>
  <c r="H491" i="116"/>
  <c r="G491" i="116"/>
  <c r="F491" i="116"/>
  <c r="E491" i="116"/>
  <c r="D491" i="116"/>
  <c r="C491" i="116"/>
  <c r="B491" i="116"/>
  <c r="K490" i="116"/>
  <c r="J490" i="116"/>
  <c r="I490" i="116"/>
  <c r="H490" i="116"/>
  <c r="G490" i="116"/>
  <c r="F490" i="116"/>
  <c r="E490" i="116"/>
  <c r="D490" i="116"/>
  <c r="C490" i="116"/>
  <c r="B490" i="116"/>
  <c r="K489" i="116"/>
  <c r="J489" i="116"/>
  <c r="I489" i="116"/>
  <c r="H489" i="116"/>
  <c r="G489" i="116"/>
  <c r="F489" i="116"/>
  <c r="E489" i="116"/>
  <c r="D489" i="116"/>
  <c r="C489" i="116"/>
  <c r="B489" i="116"/>
  <c r="K488" i="116"/>
  <c r="J488" i="116"/>
  <c r="I488" i="116"/>
  <c r="H488" i="116"/>
  <c r="G488" i="116"/>
  <c r="F488" i="116"/>
  <c r="E488" i="116"/>
  <c r="D488" i="116"/>
  <c r="C488" i="116"/>
  <c r="B488" i="116"/>
  <c r="K487" i="116"/>
  <c r="J487" i="116"/>
  <c r="I487" i="116"/>
  <c r="H487" i="116"/>
  <c r="G487" i="116"/>
  <c r="F487" i="116"/>
  <c r="E487" i="116"/>
  <c r="D487" i="116"/>
  <c r="C487" i="116"/>
  <c r="B487" i="116"/>
  <c r="K486" i="116"/>
  <c r="J486" i="116"/>
  <c r="I486" i="116"/>
  <c r="H486" i="116"/>
  <c r="G486" i="116"/>
  <c r="F486" i="116"/>
  <c r="E486" i="116"/>
  <c r="D486" i="116"/>
  <c r="C486" i="116"/>
  <c r="B486" i="116"/>
  <c r="K485" i="116"/>
  <c r="J485" i="116"/>
  <c r="I485" i="116"/>
  <c r="H485" i="116"/>
  <c r="G485" i="116"/>
  <c r="F485" i="116"/>
  <c r="E485" i="116"/>
  <c r="D485" i="116"/>
  <c r="C485" i="116"/>
  <c r="B485" i="116"/>
  <c r="K484" i="116"/>
  <c r="J484" i="116"/>
  <c r="I484" i="116"/>
  <c r="H484" i="116"/>
  <c r="G484" i="116"/>
  <c r="F484" i="116"/>
  <c r="E484" i="116"/>
  <c r="D484" i="116"/>
  <c r="C484" i="116"/>
  <c r="B484" i="116"/>
  <c r="K483" i="116"/>
  <c r="J483" i="116"/>
  <c r="I483" i="116"/>
  <c r="H483" i="116"/>
  <c r="G483" i="116"/>
  <c r="F483" i="116"/>
  <c r="E483" i="116"/>
  <c r="D483" i="116"/>
  <c r="C483" i="116"/>
  <c r="B483" i="116"/>
  <c r="K482" i="116"/>
  <c r="J482" i="116"/>
  <c r="I482" i="116"/>
  <c r="H482" i="116"/>
  <c r="G482" i="116"/>
  <c r="F482" i="116"/>
  <c r="E482" i="116"/>
  <c r="D482" i="116"/>
  <c r="C482" i="116"/>
  <c r="B482" i="116"/>
  <c r="K481" i="116"/>
  <c r="J481" i="116"/>
  <c r="I481" i="116"/>
  <c r="H481" i="116"/>
  <c r="G481" i="116"/>
  <c r="F481" i="116"/>
  <c r="E481" i="116"/>
  <c r="D481" i="116"/>
  <c r="C481" i="116"/>
  <c r="B481" i="116"/>
  <c r="K480" i="116"/>
  <c r="J480" i="116"/>
  <c r="I480" i="116"/>
  <c r="H480" i="116"/>
  <c r="G480" i="116"/>
  <c r="F480" i="116"/>
  <c r="E480" i="116"/>
  <c r="D480" i="116"/>
  <c r="C480" i="116"/>
  <c r="B480" i="116"/>
  <c r="K479" i="116"/>
  <c r="J479" i="116"/>
  <c r="I479" i="116"/>
  <c r="H479" i="116"/>
  <c r="G479" i="116"/>
  <c r="F479" i="116"/>
  <c r="E479" i="116"/>
  <c r="D479" i="116"/>
  <c r="C479" i="116"/>
  <c r="B479" i="116"/>
  <c r="K478" i="116"/>
  <c r="J478" i="116"/>
  <c r="I478" i="116"/>
  <c r="H478" i="116"/>
  <c r="G478" i="116"/>
  <c r="F478" i="116"/>
  <c r="E478" i="116"/>
  <c r="D478" i="116"/>
  <c r="C478" i="116"/>
  <c r="B478" i="116"/>
  <c r="K477" i="116"/>
  <c r="J477" i="116"/>
  <c r="I477" i="116"/>
  <c r="H477" i="116"/>
  <c r="G477" i="116"/>
  <c r="F477" i="116"/>
  <c r="E477" i="116"/>
  <c r="D477" i="116"/>
  <c r="C477" i="116"/>
  <c r="B477" i="116"/>
  <c r="K476" i="116"/>
  <c r="J476" i="116"/>
  <c r="I476" i="116"/>
  <c r="H476" i="116"/>
  <c r="G476" i="116"/>
  <c r="F476" i="116"/>
  <c r="E476" i="116"/>
  <c r="D476" i="116"/>
  <c r="C476" i="116"/>
  <c r="B476" i="116"/>
  <c r="K475" i="116"/>
  <c r="J475" i="116"/>
  <c r="I475" i="116"/>
  <c r="H475" i="116"/>
  <c r="G475" i="116"/>
  <c r="F475" i="116"/>
  <c r="E475" i="116"/>
  <c r="D475" i="116"/>
  <c r="C475" i="116"/>
  <c r="B475" i="116"/>
  <c r="K474" i="116"/>
  <c r="J474" i="116"/>
  <c r="I474" i="116"/>
  <c r="H474" i="116"/>
  <c r="G474" i="116"/>
  <c r="F474" i="116"/>
  <c r="E474" i="116"/>
  <c r="D474" i="116"/>
  <c r="C474" i="116"/>
  <c r="B474" i="116"/>
  <c r="K473" i="116"/>
  <c r="J473" i="116"/>
  <c r="I473" i="116"/>
  <c r="H473" i="116"/>
  <c r="G473" i="116"/>
  <c r="F473" i="116"/>
  <c r="E473" i="116"/>
  <c r="D473" i="116"/>
  <c r="C473" i="116"/>
  <c r="B473" i="116"/>
  <c r="K472" i="116"/>
  <c r="J472" i="116"/>
  <c r="I472" i="116"/>
  <c r="H472" i="116"/>
  <c r="G472" i="116"/>
  <c r="F472" i="116"/>
  <c r="E472" i="116"/>
  <c r="D472" i="116"/>
  <c r="C472" i="116"/>
  <c r="B472" i="116"/>
  <c r="K471" i="116"/>
  <c r="J471" i="116"/>
  <c r="I471" i="116"/>
  <c r="H471" i="116"/>
  <c r="G471" i="116"/>
  <c r="F471" i="116"/>
  <c r="E471" i="116"/>
  <c r="D471" i="116"/>
  <c r="C471" i="116"/>
  <c r="B471" i="116"/>
  <c r="K470" i="116"/>
  <c r="J470" i="116"/>
  <c r="I470" i="116"/>
  <c r="H470" i="116"/>
  <c r="G470" i="116"/>
  <c r="F470" i="116"/>
  <c r="E470" i="116"/>
  <c r="D470" i="116"/>
  <c r="C470" i="116"/>
  <c r="B470" i="116"/>
  <c r="K469" i="116"/>
  <c r="J469" i="116"/>
  <c r="I469" i="116"/>
  <c r="H469" i="116"/>
  <c r="G469" i="116"/>
  <c r="F469" i="116"/>
  <c r="E469" i="116"/>
  <c r="D469" i="116"/>
  <c r="C469" i="116"/>
  <c r="B469" i="116"/>
  <c r="K468" i="116"/>
  <c r="J468" i="116"/>
  <c r="I468" i="116"/>
  <c r="H468" i="116"/>
  <c r="G468" i="116"/>
  <c r="F468" i="116"/>
  <c r="E468" i="116"/>
  <c r="D468" i="116"/>
  <c r="C468" i="116"/>
  <c r="B468" i="116"/>
  <c r="K467" i="116"/>
  <c r="J467" i="116"/>
  <c r="I467" i="116"/>
  <c r="H467" i="116"/>
  <c r="G467" i="116"/>
  <c r="F467" i="116"/>
  <c r="E467" i="116"/>
  <c r="D467" i="116"/>
  <c r="C467" i="116"/>
  <c r="B467" i="116"/>
  <c r="K466" i="116"/>
  <c r="J466" i="116"/>
  <c r="I466" i="116"/>
  <c r="H466" i="116"/>
  <c r="G466" i="116"/>
  <c r="F466" i="116"/>
  <c r="E466" i="116"/>
  <c r="D466" i="116"/>
  <c r="C466" i="116"/>
  <c r="B466" i="116"/>
  <c r="K465" i="116"/>
  <c r="J465" i="116"/>
  <c r="I465" i="116"/>
  <c r="H465" i="116"/>
  <c r="G465" i="116"/>
  <c r="F465" i="116"/>
  <c r="E465" i="116"/>
  <c r="D465" i="116"/>
  <c r="C465" i="116"/>
  <c r="B465" i="116"/>
  <c r="K464" i="116"/>
  <c r="J464" i="116"/>
  <c r="I464" i="116"/>
  <c r="H464" i="116"/>
  <c r="G464" i="116"/>
  <c r="F464" i="116"/>
  <c r="E464" i="116"/>
  <c r="D464" i="116"/>
  <c r="C464" i="116"/>
  <c r="B464" i="116"/>
  <c r="K463" i="116"/>
  <c r="J463" i="116"/>
  <c r="I463" i="116"/>
  <c r="H463" i="116"/>
  <c r="G463" i="116"/>
  <c r="F463" i="116"/>
  <c r="E463" i="116"/>
  <c r="D463" i="116"/>
  <c r="C463" i="116"/>
  <c r="B463" i="116"/>
  <c r="K462" i="116"/>
  <c r="J462" i="116"/>
  <c r="I462" i="116"/>
  <c r="H462" i="116"/>
  <c r="G462" i="116"/>
  <c r="F462" i="116"/>
  <c r="E462" i="116"/>
  <c r="D462" i="116"/>
  <c r="C462" i="116"/>
  <c r="B462" i="116"/>
  <c r="K461" i="116"/>
  <c r="J461" i="116"/>
  <c r="I461" i="116"/>
  <c r="H461" i="116"/>
  <c r="G461" i="116"/>
  <c r="F461" i="116"/>
  <c r="E461" i="116"/>
  <c r="D461" i="116"/>
  <c r="C461" i="116"/>
  <c r="B461" i="116"/>
  <c r="K460" i="116"/>
  <c r="J460" i="116"/>
  <c r="I460" i="116"/>
  <c r="H460" i="116"/>
  <c r="G460" i="116"/>
  <c r="F460" i="116"/>
  <c r="E460" i="116"/>
  <c r="D460" i="116"/>
  <c r="C460" i="116"/>
  <c r="B460" i="116"/>
  <c r="K459" i="116"/>
  <c r="J459" i="116"/>
  <c r="I459" i="116"/>
  <c r="H459" i="116"/>
  <c r="G459" i="116"/>
  <c r="F459" i="116"/>
  <c r="E459" i="116"/>
  <c r="D459" i="116"/>
  <c r="C459" i="116"/>
  <c r="B459" i="116"/>
  <c r="K458" i="116"/>
  <c r="J458" i="116"/>
  <c r="I458" i="116"/>
  <c r="H458" i="116"/>
  <c r="G458" i="116"/>
  <c r="F458" i="116"/>
  <c r="E458" i="116"/>
  <c r="D458" i="116"/>
  <c r="C458" i="116"/>
  <c r="B458" i="116"/>
  <c r="K457" i="116"/>
  <c r="J457" i="116"/>
  <c r="I457" i="116"/>
  <c r="H457" i="116"/>
  <c r="G457" i="116"/>
  <c r="F457" i="116"/>
  <c r="E457" i="116"/>
  <c r="D457" i="116"/>
  <c r="C457" i="116"/>
  <c r="B457" i="116"/>
  <c r="K456" i="116"/>
  <c r="J456" i="116"/>
  <c r="I456" i="116"/>
  <c r="H456" i="116"/>
  <c r="G456" i="116"/>
  <c r="F456" i="116"/>
  <c r="E456" i="116"/>
  <c r="D456" i="116"/>
  <c r="C456" i="116"/>
  <c r="B456" i="116"/>
  <c r="K455" i="116"/>
  <c r="J455" i="116"/>
  <c r="I455" i="116"/>
  <c r="H455" i="116"/>
  <c r="G455" i="116"/>
  <c r="F455" i="116"/>
  <c r="E455" i="116"/>
  <c r="D455" i="116"/>
  <c r="C455" i="116"/>
  <c r="B455" i="116"/>
  <c r="K454" i="116"/>
  <c r="J454" i="116"/>
  <c r="I454" i="116"/>
  <c r="H454" i="116"/>
  <c r="G454" i="116"/>
  <c r="F454" i="116"/>
  <c r="E454" i="116"/>
  <c r="D454" i="116"/>
  <c r="C454" i="116"/>
  <c r="B454" i="116"/>
  <c r="K453" i="116"/>
  <c r="J453" i="116"/>
  <c r="I453" i="116"/>
  <c r="H453" i="116"/>
  <c r="G453" i="116"/>
  <c r="F453" i="116"/>
  <c r="E453" i="116"/>
  <c r="D453" i="116"/>
  <c r="C453" i="116"/>
  <c r="B453" i="116"/>
  <c r="K452" i="116"/>
  <c r="J452" i="116"/>
  <c r="I452" i="116"/>
  <c r="H452" i="116"/>
  <c r="G452" i="116"/>
  <c r="F452" i="116"/>
  <c r="E452" i="116"/>
  <c r="D452" i="116"/>
  <c r="C452" i="116"/>
  <c r="B452" i="116"/>
  <c r="K451" i="116"/>
  <c r="J451" i="116"/>
  <c r="I451" i="116"/>
  <c r="H451" i="116"/>
  <c r="G451" i="116"/>
  <c r="F451" i="116"/>
  <c r="E451" i="116"/>
  <c r="D451" i="116"/>
  <c r="C451" i="116"/>
  <c r="B451" i="116"/>
  <c r="K450" i="116"/>
  <c r="J450" i="116"/>
  <c r="I450" i="116"/>
  <c r="H450" i="116"/>
  <c r="G450" i="116"/>
  <c r="F450" i="116"/>
  <c r="E450" i="116"/>
  <c r="D450" i="116"/>
  <c r="C450" i="116"/>
  <c r="B450" i="116"/>
  <c r="K449" i="116"/>
  <c r="J449" i="116"/>
  <c r="I449" i="116"/>
  <c r="H449" i="116"/>
  <c r="G449" i="116"/>
  <c r="F449" i="116"/>
  <c r="E449" i="116"/>
  <c r="D449" i="116"/>
  <c r="C449" i="116"/>
  <c r="B449" i="116"/>
  <c r="K448" i="116"/>
  <c r="J448" i="116"/>
  <c r="I448" i="116"/>
  <c r="H448" i="116"/>
  <c r="G448" i="116"/>
  <c r="F448" i="116"/>
  <c r="E448" i="116"/>
  <c r="D448" i="116"/>
  <c r="C448" i="116"/>
  <c r="B448" i="116"/>
  <c r="K447" i="116"/>
  <c r="J447" i="116"/>
  <c r="I447" i="116"/>
  <c r="H447" i="116"/>
  <c r="G447" i="116"/>
  <c r="F447" i="116"/>
  <c r="E447" i="116"/>
  <c r="D447" i="116"/>
  <c r="C447" i="116"/>
  <c r="B447" i="116"/>
  <c r="K446" i="116"/>
  <c r="J446" i="116"/>
  <c r="I446" i="116"/>
  <c r="H446" i="116"/>
  <c r="G446" i="116"/>
  <c r="F446" i="116"/>
  <c r="E446" i="116"/>
  <c r="D446" i="116"/>
  <c r="C446" i="116"/>
  <c r="B446" i="116"/>
  <c r="K445" i="116"/>
  <c r="J445" i="116"/>
  <c r="I445" i="116"/>
  <c r="H445" i="116"/>
  <c r="G445" i="116"/>
  <c r="F445" i="116"/>
  <c r="E445" i="116"/>
  <c r="D445" i="116"/>
  <c r="C445" i="116"/>
  <c r="B445" i="116"/>
  <c r="K444" i="116"/>
  <c r="J444" i="116"/>
  <c r="I444" i="116"/>
  <c r="H444" i="116"/>
  <c r="G444" i="116"/>
  <c r="F444" i="116"/>
  <c r="E444" i="116"/>
  <c r="D444" i="116"/>
  <c r="C444" i="116"/>
  <c r="B444" i="116"/>
  <c r="K443" i="116"/>
  <c r="J443" i="116"/>
  <c r="I443" i="116"/>
  <c r="H443" i="116"/>
  <c r="G443" i="116"/>
  <c r="F443" i="116"/>
  <c r="E443" i="116"/>
  <c r="D443" i="116"/>
  <c r="C443" i="116"/>
  <c r="B443" i="116"/>
  <c r="K442" i="116"/>
  <c r="J442" i="116"/>
  <c r="I442" i="116"/>
  <c r="H442" i="116"/>
  <c r="G442" i="116"/>
  <c r="F442" i="116"/>
  <c r="E442" i="116"/>
  <c r="D442" i="116"/>
  <c r="C442" i="116"/>
  <c r="B442" i="116"/>
  <c r="K441" i="116"/>
  <c r="J441" i="116"/>
  <c r="I441" i="116"/>
  <c r="H441" i="116"/>
  <c r="G441" i="116"/>
  <c r="F441" i="116"/>
  <c r="E441" i="116"/>
  <c r="D441" i="116"/>
  <c r="C441" i="116"/>
  <c r="B441" i="116"/>
  <c r="K440" i="116"/>
  <c r="J440" i="116"/>
  <c r="I440" i="116"/>
  <c r="H440" i="116"/>
  <c r="G440" i="116"/>
  <c r="F440" i="116"/>
  <c r="E440" i="116"/>
  <c r="D440" i="116"/>
  <c r="C440" i="116"/>
  <c r="B440" i="116"/>
  <c r="K439" i="116"/>
  <c r="J439" i="116"/>
  <c r="I439" i="116"/>
  <c r="H439" i="116"/>
  <c r="G439" i="116"/>
  <c r="F439" i="116"/>
  <c r="E439" i="116"/>
  <c r="D439" i="116"/>
  <c r="C439" i="116"/>
  <c r="B439" i="116"/>
  <c r="K438" i="116"/>
  <c r="J438" i="116"/>
  <c r="I438" i="116"/>
  <c r="H438" i="116"/>
  <c r="G438" i="116"/>
  <c r="F438" i="116"/>
  <c r="E438" i="116"/>
  <c r="D438" i="116"/>
  <c r="C438" i="116"/>
  <c r="B438" i="116"/>
  <c r="K437" i="116"/>
  <c r="J437" i="116"/>
  <c r="I437" i="116"/>
  <c r="H437" i="116"/>
  <c r="G437" i="116"/>
  <c r="F437" i="116"/>
  <c r="E437" i="116"/>
  <c r="D437" i="116"/>
  <c r="C437" i="116"/>
  <c r="B437" i="116"/>
  <c r="K436" i="116"/>
  <c r="J436" i="116"/>
  <c r="I436" i="116"/>
  <c r="H436" i="116"/>
  <c r="G436" i="116"/>
  <c r="F436" i="116"/>
  <c r="E436" i="116"/>
  <c r="D436" i="116"/>
  <c r="C436" i="116"/>
  <c r="B436" i="116"/>
  <c r="K435" i="116"/>
  <c r="J435" i="116"/>
  <c r="I435" i="116"/>
  <c r="H435" i="116"/>
  <c r="G435" i="116"/>
  <c r="F435" i="116"/>
  <c r="E435" i="116"/>
  <c r="D435" i="116"/>
  <c r="C435" i="116"/>
  <c r="B435" i="116"/>
  <c r="K434" i="116"/>
  <c r="J434" i="116"/>
  <c r="I434" i="116"/>
  <c r="H434" i="116"/>
  <c r="G434" i="116"/>
  <c r="F434" i="116"/>
  <c r="E434" i="116"/>
  <c r="D434" i="116"/>
  <c r="C434" i="116"/>
  <c r="B434" i="116"/>
  <c r="K433" i="116"/>
  <c r="J433" i="116"/>
  <c r="I433" i="116"/>
  <c r="H433" i="116"/>
  <c r="G433" i="116"/>
  <c r="F433" i="116"/>
  <c r="E433" i="116"/>
  <c r="D433" i="116"/>
  <c r="C433" i="116"/>
  <c r="B433" i="116"/>
  <c r="K432" i="116"/>
  <c r="J432" i="116"/>
  <c r="I432" i="116"/>
  <c r="H432" i="116"/>
  <c r="G432" i="116"/>
  <c r="F432" i="116"/>
  <c r="E432" i="116"/>
  <c r="D432" i="116"/>
  <c r="C432" i="116"/>
  <c r="B432" i="116"/>
  <c r="K431" i="116"/>
  <c r="J431" i="116"/>
  <c r="I431" i="116"/>
  <c r="H431" i="116"/>
  <c r="G431" i="116"/>
  <c r="F431" i="116"/>
  <c r="E431" i="116"/>
  <c r="D431" i="116"/>
  <c r="C431" i="116"/>
  <c r="B431" i="116"/>
  <c r="K430" i="116"/>
  <c r="J430" i="116"/>
  <c r="I430" i="116"/>
  <c r="H430" i="116"/>
  <c r="G430" i="116"/>
  <c r="F430" i="116"/>
  <c r="E430" i="116"/>
  <c r="D430" i="116"/>
  <c r="C430" i="116"/>
  <c r="B430" i="116"/>
  <c r="K429" i="116"/>
  <c r="J429" i="116"/>
  <c r="I429" i="116"/>
  <c r="H429" i="116"/>
  <c r="G429" i="116"/>
  <c r="F429" i="116"/>
  <c r="E429" i="116"/>
  <c r="D429" i="116"/>
  <c r="C429" i="116"/>
  <c r="B429" i="116"/>
  <c r="K428" i="116"/>
  <c r="J428" i="116"/>
  <c r="I428" i="116"/>
  <c r="H428" i="116"/>
  <c r="G428" i="116"/>
  <c r="F428" i="116"/>
  <c r="E428" i="116"/>
  <c r="D428" i="116"/>
  <c r="C428" i="116"/>
  <c r="B428" i="116"/>
  <c r="K427" i="116"/>
  <c r="J427" i="116"/>
  <c r="I427" i="116"/>
  <c r="H427" i="116"/>
  <c r="G427" i="116"/>
  <c r="F427" i="116"/>
  <c r="E427" i="116"/>
  <c r="D427" i="116"/>
  <c r="C427" i="116"/>
  <c r="B427" i="116"/>
  <c r="K426" i="116"/>
  <c r="J426" i="116"/>
  <c r="I426" i="116"/>
  <c r="H426" i="116"/>
  <c r="G426" i="116"/>
  <c r="F426" i="116"/>
  <c r="E426" i="116"/>
  <c r="D426" i="116"/>
  <c r="C426" i="116"/>
  <c r="B426" i="116"/>
  <c r="K425" i="116"/>
  <c r="J425" i="116"/>
  <c r="I425" i="116"/>
  <c r="H425" i="116"/>
  <c r="G425" i="116"/>
  <c r="F425" i="116"/>
  <c r="E425" i="116"/>
  <c r="D425" i="116"/>
  <c r="C425" i="116"/>
  <c r="B425" i="116"/>
  <c r="K424" i="116"/>
  <c r="J424" i="116"/>
  <c r="I424" i="116"/>
  <c r="H424" i="116"/>
  <c r="G424" i="116"/>
  <c r="F424" i="116"/>
  <c r="E424" i="116"/>
  <c r="D424" i="116"/>
  <c r="C424" i="116"/>
  <c r="B424" i="116"/>
  <c r="K423" i="116"/>
  <c r="J423" i="116"/>
  <c r="I423" i="116"/>
  <c r="H423" i="116"/>
  <c r="G423" i="116"/>
  <c r="F423" i="116"/>
  <c r="E423" i="116"/>
  <c r="D423" i="116"/>
  <c r="C423" i="116"/>
  <c r="B423" i="116"/>
  <c r="K422" i="116"/>
  <c r="J422" i="116"/>
  <c r="I422" i="116"/>
  <c r="H422" i="116"/>
  <c r="G422" i="116"/>
  <c r="F422" i="116"/>
  <c r="E422" i="116"/>
  <c r="D422" i="116"/>
  <c r="C422" i="116"/>
  <c r="B422" i="116"/>
  <c r="K421" i="116"/>
  <c r="J421" i="116"/>
  <c r="I421" i="116"/>
  <c r="H421" i="116"/>
  <c r="G421" i="116"/>
  <c r="F421" i="116"/>
  <c r="E421" i="116"/>
  <c r="D421" i="116"/>
  <c r="C421" i="116"/>
  <c r="B421" i="116"/>
  <c r="K420" i="116"/>
  <c r="J420" i="116"/>
  <c r="I420" i="116"/>
  <c r="H420" i="116"/>
  <c r="G420" i="116"/>
  <c r="F420" i="116"/>
  <c r="E420" i="116"/>
  <c r="D420" i="116"/>
  <c r="C420" i="116"/>
  <c r="B420" i="116"/>
  <c r="K419" i="116"/>
  <c r="J419" i="116"/>
  <c r="I419" i="116"/>
  <c r="H419" i="116"/>
  <c r="G419" i="116"/>
  <c r="F419" i="116"/>
  <c r="E419" i="116"/>
  <c r="D419" i="116"/>
  <c r="C419" i="116"/>
  <c r="B419" i="116"/>
  <c r="K418" i="116"/>
  <c r="J418" i="116"/>
  <c r="I418" i="116"/>
  <c r="H418" i="116"/>
  <c r="G418" i="116"/>
  <c r="F418" i="116"/>
  <c r="E418" i="116"/>
  <c r="D418" i="116"/>
  <c r="C418" i="116"/>
  <c r="B418" i="116"/>
  <c r="K417" i="116"/>
  <c r="J417" i="116"/>
  <c r="I417" i="116"/>
  <c r="H417" i="116"/>
  <c r="G417" i="116"/>
  <c r="F417" i="116"/>
  <c r="E417" i="116"/>
  <c r="D417" i="116"/>
  <c r="C417" i="116"/>
  <c r="B417" i="116"/>
  <c r="K416" i="116"/>
  <c r="J416" i="116"/>
  <c r="I416" i="116"/>
  <c r="H416" i="116"/>
  <c r="G416" i="116"/>
  <c r="F416" i="116"/>
  <c r="E416" i="116"/>
  <c r="D416" i="116"/>
  <c r="C416" i="116"/>
  <c r="B416" i="116"/>
  <c r="K415" i="116"/>
  <c r="J415" i="116"/>
  <c r="I415" i="116"/>
  <c r="H415" i="116"/>
  <c r="G415" i="116"/>
  <c r="F415" i="116"/>
  <c r="E415" i="116"/>
  <c r="D415" i="116"/>
  <c r="C415" i="116"/>
  <c r="B415" i="116"/>
  <c r="K414" i="116"/>
  <c r="J414" i="116"/>
  <c r="I414" i="116"/>
  <c r="H414" i="116"/>
  <c r="G414" i="116"/>
  <c r="F414" i="116"/>
  <c r="E414" i="116"/>
  <c r="D414" i="116"/>
  <c r="C414" i="116"/>
  <c r="B414" i="116"/>
  <c r="K413" i="116"/>
  <c r="J413" i="116"/>
  <c r="I413" i="116"/>
  <c r="H413" i="116"/>
  <c r="G413" i="116"/>
  <c r="F413" i="116"/>
  <c r="E413" i="116"/>
  <c r="D413" i="116"/>
  <c r="C413" i="116"/>
  <c r="B413" i="116"/>
  <c r="K412" i="116"/>
  <c r="J412" i="116"/>
  <c r="I412" i="116"/>
  <c r="H412" i="116"/>
  <c r="G412" i="116"/>
  <c r="F412" i="116"/>
  <c r="E412" i="116"/>
  <c r="D412" i="116"/>
  <c r="C412" i="116"/>
  <c r="B412" i="116"/>
  <c r="K411" i="116"/>
  <c r="J411" i="116"/>
  <c r="I411" i="116"/>
  <c r="H411" i="116"/>
  <c r="G411" i="116"/>
  <c r="F411" i="116"/>
  <c r="E411" i="116"/>
  <c r="D411" i="116"/>
  <c r="C411" i="116"/>
  <c r="B411" i="116"/>
  <c r="K410" i="116"/>
  <c r="J410" i="116"/>
  <c r="I410" i="116"/>
  <c r="H410" i="116"/>
  <c r="G410" i="116"/>
  <c r="F410" i="116"/>
  <c r="E410" i="116"/>
  <c r="D410" i="116"/>
  <c r="C410" i="116"/>
  <c r="B410" i="116"/>
  <c r="K409" i="116"/>
  <c r="J409" i="116"/>
  <c r="I409" i="116"/>
  <c r="H409" i="116"/>
  <c r="G409" i="116"/>
  <c r="F409" i="116"/>
  <c r="E409" i="116"/>
  <c r="D409" i="116"/>
  <c r="C409" i="116"/>
  <c r="B409" i="116"/>
  <c r="K408" i="116"/>
  <c r="J408" i="116"/>
  <c r="I408" i="116"/>
  <c r="H408" i="116"/>
  <c r="G408" i="116"/>
  <c r="F408" i="116"/>
  <c r="E408" i="116"/>
  <c r="D408" i="116"/>
  <c r="C408" i="116"/>
  <c r="B408" i="116"/>
  <c r="K407" i="116"/>
  <c r="J407" i="116"/>
  <c r="I407" i="116"/>
  <c r="H407" i="116"/>
  <c r="G407" i="116"/>
  <c r="F407" i="116"/>
  <c r="E407" i="116"/>
  <c r="D407" i="116"/>
  <c r="C407" i="116"/>
  <c r="B407" i="116"/>
  <c r="K406" i="116"/>
  <c r="J406" i="116"/>
  <c r="I406" i="116"/>
  <c r="H406" i="116"/>
  <c r="G406" i="116"/>
  <c r="F406" i="116"/>
  <c r="E406" i="116"/>
  <c r="D406" i="116"/>
  <c r="C406" i="116"/>
  <c r="B406" i="116"/>
  <c r="K405" i="116"/>
  <c r="J405" i="116"/>
  <c r="I405" i="116"/>
  <c r="H405" i="116"/>
  <c r="G405" i="116"/>
  <c r="F405" i="116"/>
  <c r="E405" i="116"/>
  <c r="D405" i="116"/>
  <c r="C405" i="116"/>
  <c r="B405" i="116"/>
  <c r="K404" i="116"/>
  <c r="J404" i="116"/>
  <c r="I404" i="116"/>
  <c r="H404" i="116"/>
  <c r="G404" i="116"/>
  <c r="F404" i="116"/>
  <c r="E404" i="116"/>
  <c r="D404" i="116"/>
  <c r="C404" i="116"/>
  <c r="B404" i="116"/>
  <c r="K403" i="116"/>
  <c r="J403" i="116"/>
  <c r="I403" i="116"/>
  <c r="H403" i="116"/>
  <c r="G403" i="116"/>
  <c r="F403" i="116"/>
  <c r="E403" i="116"/>
  <c r="D403" i="116"/>
  <c r="C403" i="116"/>
  <c r="B403" i="116"/>
  <c r="K402" i="116"/>
  <c r="J402" i="116"/>
  <c r="I402" i="116"/>
  <c r="H402" i="116"/>
  <c r="G402" i="116"/>
  <c r="F402" i="116"/>
  <c r="E402" i="116"/>
  <c r="D402" i="116"/>
  <c r="C402" i="116"/>
  <c r="B402" i="116"/>
  <c r="K401" i="116"/>
  <c r="J401" i="116"/>
  <c r="I401" i="116"/>
  <c r="H401" i="116"/>
  <c r="G401" i="116"/>
  <c r="F401" i="116"/>
  <c r="E401" i="116"/>
  <c r="D401" i="116"/>
  <c r="C401" i="116"/>
  <c r="B401" i="116"/>
  <c r="K400" i="116"/>
  <c r="J400" i="116"/>
  <c r="I400" i="116"/>
  <c r="H400" i="116"/>
  <c r="G400" i="116"/>
  <c r="F400" i="116"/>
  <c r="E400" i="116"/>
  <c r="D400" i="116"/>
  <c r="C400" i="116"/>
  <c r="B400" i="116"/>
  <c r="K399" i="116"/>
  <c r="J399" i="116"/>
  <c r="I399" i="116"/>
  <c r="H399" i="116"/>
  <c r="G399" i="116"/>
  <c r="F399" i="116"/>
  <c r="E399" i="116"/>
  <c r="D399" i="116"/>
  <c r="C399" i="116"/>
  <c r="B399" i="116"/>
  <c r="K398" i="116"/>
  <c r="J398" i="116"/>
  <c r="I398" i="116"/>
  <c r="H398" i="116"/>
  <c r="G398" i="116"/>
  <c r="F398" i="116"/>
  <c r="E398" i="116"/>
  <c r="D398" i="116"/>
  <c r="C398" i="116"/>
  <c r="B398" i="116"/>
  <c r="K397" i="116"/>
  <c r="J397" i="116"/>
  <c r="I397" i="116"/>
  <c r="H397" i="116"/>
  <c r="G397" i="116"/>
  <c r="F397" i="116"/>
  <c r="E397" i="116"/>
  <c r="D397" i="116"/>
  <c r="C397" i="116"/>
  <c r="B397" i="116"/>
  <c r="K396" i="116"/>
  <c r="J396" i="116"/>
  <c r="I396" i="116"/>
  <c r="H396" i="116"/>
  <c r="G396" i="116"/>
  <c r="F396" i="116"/>
  <c r="E396" i="116"/>
  <c r="D396" i="116"/>
  <c r="C396" i="116"/>
  <c r="B396" i="116"/>
  <c r="K395" i="116"/>
  <c r="J395" i="116"/>
  <c r="I395" i="116"/>
  <c r="H395" i="116"/>
  <c r="G395" i="116"/>
  <c r="F395" i="116"/>
  <c r="E395" i="116"/>
  <c r="D395" i="116"/>
  <c r="C395" i="116"/>
  <c r="B395" i="116"/>
  <c r="K394" i="116"/>
  <c r="J394" i="116"/>
  <c r="I394" i="116"/>
  <c r="H394" i="116"/>
  <c r="G394" i="116"/>
  <c r="F394" i="116"/>
  <c r="E394" i="116"/>
  <c r="D394" i="116"/>
  <c r="C394" i="116"/>
  <c r="B394" i="116"/>
  <c r="K393" i="116"/>
  <c r="J393" i="116"/>
  <c r="I393" i="116"/>
  <c r="H393" i="116"/>
  <c r="G393" i="116"/>
  <c r="F393" i="116"/>
  <c r="E393" i="116"/>
  <c r="D393" i="116"/>
  <c r="C393" i="116"/>
  <c r="B393" i="116"/>
  <c r="K392" i="116"/>
  <c r="J392" i="116"/>
  <c r="I392" i="116"/>
  <c r="H392" i="116"/>
  <c r="G392" i="116"/>
  <c r="F392" i="116"/>
  <c r="E392" i="116"/>
  <c r="D392" i="116"/>
  <c r="C392" i="116"/>
  <c r="B392" i="116"/>
  <c r="K391" i="116"/>
  <c r="J391" i="116"/>
  <c r="I391" i="116"/>
  <c r="H391" i="116"/>
  <c r="G391" i="116"/>
  <c r="F391" i="116"/>
  <c r="E391" i="116"/>
  <c r="D391" i="116"/>
  <c r="C391" i="116"/>
  <c r="B391" i="116"/>
  <c r="K390" i="116"/>
  <c r="J390" i="116"/>
  <c r="I390" i="116"/>
  <c r="H390" i="116"/>
  <c r="G390" i="116"/>
  <c r="F390" i="116"/>
  <c r="E390" i="116"/>
  <c r="D390" i="116"/>
  <c r="C390" i="116"/>
  <c r="B390" i="116"/>
  <c r="K389" i="116"/>
  <c r="J389" i="116"/>
  <c r="I389" i="116"/>
  <c r="H389" i="116"/>
  <c r="G389" i="116"/>
  <c r="F389" i="116"/>
  <c r="E389" i="116"/>
  <c r="D389" i="116"/>
  <c r="C389" i="116"/>
  <c r="B389" i="116"/>
  <c r="K388" i="116"/>
  <c r="J388" i="116"/>
  <c r="I388" i="116"/>
  <c r="H388" i="116"/>
  <c r="G388" i="116"/>
  <c r="F388" i="116"/>
  <c r="E388" i="116"/>
  <c r="D388" i="116"/>
  <c r="C388" i="116"/>
  <c r="B388" i="116"/>
  <c r="K387" i="116"/>
  <c r="J387" i="116"/>
  <c r="I387" i="116"/>
  <c r="H387" i="116"/>
  <c r="G387" i="116"/>
  <c r="F387" i="116"/>
  <c r="E387" i="116"/>
  <c r="D387" i="116"/>
  <c r="C387" i="116"/>
  <c r="B387" i="116"/>
  <c r="K386" i="116"/>
  <c r="J386" i="116"/>
  <c r="I386" i="116"/>
  <c r="H386" i="116"/>
  <c r="G386" i="116"/>
  <c r="F386" i="116"/>
  <c r="E386" i="116"/>
  <c r="D386" i="116"/>
  <c r="C386" i="116"/>
  <c r="B386" i="116"/>
  <c r="K385" i="116"/>
  <c r="J385" i="116"/>
  <c r="I385" i="116"/>
  <c r="H385" i="116"/>
  <c r="G385" i="116"/>
  <c r="F385" i="116"/>
  <c r="E385" i="116"/>
  <c r="D385" i="116"/>
  <c r="C385" i="116"/>
  <c r="B385" i="116"/>
  <c r="K384" i="116"/>
  <c r="J384" i="116"/>
  <c r="I384" i="116"/>
  <c r="H384" i="116"/>
  <c r="G384" i="116"/>
  <c r="F384" i="116"/>
  <c r="E384" i="116"/>
  <c r="D384" i="116"/>
  <c r="C384" i="116"/>
  <c r="B384" i="116"/>
  <c r="K383" i="116"/>
  <c r="J383" i="116"/>
  <c r="I383" i="116"/>
  <c r="H383" i="116"/>
  <c r="G383" i="116"/>
  <c r="F383" i="116"/>
  <c r="E383" i="116"/>
  <c r="D383" i="116"/>
  <c r="C383" i="116"/>
  <c r="B383" i="116"/>
  <c r="K382" i="116"/>
  <c r="J382" i="116"/>
  <c r="I382" i="116"/>
  <c r="H382" i="116"/>
  <c r="G382" i="116"/>
  <c r="F382" i="116"/>
  <c r="E382" i="116"/>
  <c r="D382" i="116"/>
  <c r="C382" i="116"/>
  <c r="B382" i="116"/>
  <c r="K381" i="116"/>
  <c r="J381" i="116"/>
  <c r="I381" i="116"/>
  <c r="H381" i="116"/>
  <c r="G381" i="116"/>
  <c r="F381" i="116"/>
  <c r="E381" i="116"/>
  <c r="D381" i="116"/>
  <c r="C381" i="116"/>
  <c r="B381" i="116"/>
  <c r="K380" i="116"/>
  <c r="J380" i="116"/>
  <c r="I380" i="116"/>
  <c r="H380" i="116"/>
  <c r="G380" i="116"/>
  <c r="F380" i="116"/>
  <c r="E380" i="116"/>
  <c r="D380" i="116"/>
  <c r="C380" i="116"/>
  <c r="B380" i="116"/>
  <c r="K379" i="116"/>
  <c r="J379" i="116"/>
  <c r="I379" i="116"/>
  <c r="H379" i="116"/>
  <c r="G379" i="116"/>
  <c r="F379" i="116"/>
  <c r="E379" i="116"/>
  <c r="D379" i="116"/>
  <c r="C379" i="116"/>
  <c r="B379" i="116"/>
  <c r="K378" i="116"/>
  <c r="J378" i="116"/>
  <c r="I378" i="116"/>
  <c r="H378" i="116"/>
  <c r="G378" i="116"/>
  <c r="F378" i="116"/>
  <c r="E378" i="116"/>
  <c r="D378" i="116"/>
  <c r="C378" i="116"/>
  <c r="B378" i="116"/>
  <c r="K377" i="116"/>
  <c r="J377" i="116"/>
  <c r="I377" i="116"/>
  <c r="H377" i="116"/>
  <c r="G377" i="116"/>
  <c r="F377" i="116"/>
  <c r="E377" i="116"/>
  <c r="D377" i="116"/>
  <c r="C377" i="116"/>
  <c r="B377" i="116"/>
  <c r="K376" i="116"/>
  <c r="J376" i="116"/>
  <c r="I376" i="116"/>
  <c r="H376" i="116"/>
  <c r="G376" i="116"/>
  <c r="F376" i="116"/>
  <c r="E376" i="116"/>
  <c r="D376" i="116"/>
  <c r="C376" i="116"/>
  <c r="B376" i="116"/>
  <c r="K375" i="116"/>
  <c r="J375" i="116"/>
  <c r="I375" i="116"/>
  <c r="H375" i="116"/>
  <c r="G375" i="116"/>
  <c r="F375" i="116"/>
  <c r="E375" i="116"/>
  <c r="D375" i="116"/>
  <c r="C375" i="116"/>
  <c r="B375" i="116"/>
  <c r="K374" i="116"/>
  <c r="J374" i="116"/>
  <c r="I374" i="116"/>
  <c r="H374" i="116"/>
  <c r="G374" i="116"/>
  <c r="F374" i="116"/>
  <c r="E374" i="116"/>
  <c r="D374" i="116"/>
  <c r="C374" i="116"/>
  <c r="B374" i="116"/>
  <c r="K373" i="116"/>
  <c r="J373" i="116"/>
  <c r="I373" i="116"/>
  <c r="H373" i="116"/>
  <c r="G373" i="116"/>
  <c r="F373" i="116"/>
  <c r="E373" i="116"/>
  <c r="D373" i="116"/>
  <c r="C373" i="116"/>
  <c r="B373" i="116"/>
  <c r="K372" i="116"/>
  <c r="J372" i="116"/>
  <c r="I372" i="116"/>
  <c r="H372" i="116"/>
  <c r="G372" i="116"/>
  <c r="F372" i="116"/>
  <c r="E372" i="116"/>
  <c r="D372" i="116"/>
  <c r="C372" i="116"/>
  <c r="B372" i="116"/>
  <c r="K371" i="116"/>
  <c r="J371" i="116"/>
  <c r="I371" i="116"/>
  <c r="H371" i="116"/>
  <c r="G371" i="116"/>
  <c r="F371" i="116"/>
  <c r="E371" i="116"/>
  <c r="D371" i="116"/>
  <c r="C371" i="116"/>
  <c r="B371" i="116"/>
  <c r="K370" i="116"/>
  <c r="J370" i="116"/>
  <c r="I370" i="116"/>
  <c r="H370" i="116"/>
  <c r="G370" i="116"/>
  <c r="F370" i="116"/>
  <c r="E370" i="116"/>
  <c r="D370" i="116"/>
  <c r="C370" i="116"/>
  <c r="B370" i="116"/>
  <c r="K369" i="116"/>
  <c r="J369" i="116"/>
  <c r="I369" i="116"/>
  <c r="H369" i="116"/>
  <c r="G369" i="116"/>
  <c r="F369" i="116"/>
  <c r="E369" i="116"/>
  <c r="D369" i="116"/>
  <c r="C369" i="116"/>
  <c r="B369" i="116"/>
  <c r="K368" i="116"/>
  <c r="J368" i="116"/>
  <c r="I368" i="116"/>
  <c r="H368" i="116"/>
  <c r="G368" i="116"/>
  <c r="F368" i="116"/>
  <c r="E368" i="116"/>
  <c r="D368" i="116"/>
  <c r="C368" i="116"/>
  <c r="B368" i="116"/>
  <c r="K367" i="116"/>
  <c r="J367" i="116"/>
  <c r="I367" i="116"/>
  <c r="H367" i="116"/>
  <c r="G367" i="116"/>
  <c r="F367" i="116"/>
  <c r="E367" i="116"/>
  <c r="D367" i="116"/>
  <c r="C367" i="116"/>
  <c r="B367" i="116"/>
  <c r="K366" i="116"/>
  <c r="J366" i="116"/>
  <c r="I366" i="116"/>
  <c r="H366" i="116"/>
  <c r="G366" i="116"/>
  <c r="F366" i="116"/>
  <c r="E366" i="116"/>
  <c r="D366" i="116"/>
  <c r="C366" i="116"/>
  <c r="B366" i="116"/>
  <c r="K365" i="116"/>
  <c r="J365" i="116"/>
  <c r="I365" i="116"/>
  <c r="H365" i="116"/>
  <c r="G365" i="116"/>
  <c r="F365" i="116"/>
  <c r="E365" i="116"/>
  <c r="D365" i="116"/>
  <c r="C365" i="116"/>
  <c r="B365" i="116"/>
  <c r="K364" i="116"/>
  <c r="J364" i="116"/>
  <c r="I364" i="116"/>
  <c r="H364" i="116"/>
  <c r="G364" i="116"/>
  <c r="F364" i="116"/>
  <c r="E364" i="116"/>
  <c r="D364" i="116"/>
  <c r="C364" i="116"/>
  <c r="B364" i="116"/>
  <c r="K363" i="116"/>
  <c r="J363" i="116"/>
  <c r="I363" i="116"/>
  <c r="H363" i="116"/>
  <c r="G363" i="116"/>
  <c r="F363" i="116"/>
  <c r="E363" i="116"/>
  <c r="D363" i="116"/>
  <c r="C363" i="116"/>
  <c r="B363" i="116"/>
  <c r="K362" i="116"/>
  <c r="J362" i="116"/>
  <c r="I362" i="116"/>
  <c r="H362" i="116"/>
  <c r="G362" i="116"/>
  <c r="F362" i="116"/>
  <c r="E362" i="116"/>
  <c r="D362" i="116"/>
  <c r="C362" i="116"/>
  <c r="B362" i="116"/>
  <c r="K361" i="116"/>
  <c r="J361" i="116"/>
  <c r="I361" i="116"/>
  <c r="H361" i="116"/>
  <c r="G361" i="116"/>
  <c r="F361" i="116"/>
  <c r="E361" i="116"/>
  <c r="D361" i="116"/>
  <c r="C361" i="116"/>
  <c r="B361" i="116"/>
  <c r="K360" i="116"/>
  <c r="J360" i="116"/>
  <c r="I360" i="116"/>
  <c r="H360" i="116"/>
  <c r="G360" i="116"/>
  <c r="F360" i="116"/>
  <c r="E360" i="116"/>
  <c r="D360" i="116"/>
  <c r="C360" i="116"/>
  <c r="B360" i="116"/>
  <c r="K359" i="116"/>
  <c r="J359" i="116"/>
  <c r="I359" i="116"/>
  <c r="H359" i="116"/>
  <c r="G359" i="116"/>
  <c r="F359" i="116"/>
  <c r="E359" i="116"/>
  <c r="D359" i="116"/>
  <c r="C359" i="116"/>
  <c r="B359" i="116"/>
  <c r="K358" i="116"/>
  <c r="J358" i="116"/>
  <c r="I358" i="116"/>
  <c r="H358" i="116"/>
  <c r="G358" i="116"/>
  <c r="F358" i="116"/>
  <c r="E358" i="116"/>
  <c r="D358" i="116"/>
  <c r="C358" i="116"/>
  <c r="B358" i="116"/>
  <c r="K357" i="116"/>
  <c r="J357" i="116"/>
  <c r="I357" i="116"/>
  <c r="H357" i="116"/>
  <c r="G357" i="116"/>
  <c r="F357" i="116"/>
  <c r="E357" i="116"/>
  <c r="D357" i="116"/>
  <c r="C357" i="116"/>
  <c r="B357" i="116"/>
  <c r="K356" i="116"/>
  <c r="J356" i="116"/>
  <c r="I356" i="116"/>
  <c r="H356" i="116"/>
  <c r="G356" i="116"/>
  <c r="F356" i="116"/>
  <c r="E356" i="116"/>
  <c r="D356" i="116"/>
  <c r="C356" i="116"/>
  <c r="B356" i="116"/>
  <c r="K355" i="116"/>
  <c r="J355" i="116"/>
  <c r="I355" i="116"/>
  <c r="H355" i="116"/>
  <c r="G355" i="116"/>
  <c r="F355" i="116"/>
  <c r="E355" i="116"/>
  <c r="D355" i="116"/>
  <c r="C355" i="116"/>
  <c r="B355" i="116"/>
  <c r="K354" i="116"/>
  <c r="J354" i="116"/>
  <c r="I354" i="116"/>
  <c r="H354" i="116"/>
  <c r="G354" i="116"/>
  <c r="F354" i="116"/>
  <c r="E354" i="116"/>
  <c r="D354" i="116"/>
  <c r="C354" i="116"/>
  <c r="B354" i="116"/>
  <c r="K353" i="116"/>
  <c r="J353" i="116"/>
  <c r="I353" i="116"/>
  <c r="H353" i="116"/>
  <c r="G353" i="116"/>
  <c r="F353" i="116"/>
  <c r="E353" i="116"/>
  <c r="D353" i="116"/>
  <c r="C353" i="116"/>
  <c r="B353" i="116"/>
  <c r="K352" i="116"/>
  <c r="J352" i="116"/>
  <c r="I352" i="116"/>
  <c r="H352" i="116"/>
  <c r="G352" i="116"/>
  <c r="F352" i="116"/>
  <c r="E352" i="116"/>
  <c r="D352" i="116"/>
  <c r="C352" i="116"/>
  <c r="B352" i="116"/>
  <c r="K351" i="116"/>
  <c r="J351" i="116"/>
  <c r="I351" i="116"/>
  <c r="H351" i="116"/>
  <c r="G351" i="116"/>
  <c r="F351" i="116"/>
  <c r="E351" i="116"/>
  <c r="D351" i="116"/>
  <c r="C351" i="116"/>
  <c r="B351" i="116"/>
  <c r="K350" i="116"/>
  <c r="J350" i="116"/>
  <c r="I350" i="116"/>
  <c r="H350" i="116"/>
  <c r="G350" i="116"/>
  <c r="F350" i="116"/>
  <c r="E350" i="116"/>
  <c r="D350" i="116"/>
  <c r="C350" i="116"/>
  <c r="B350" i="116"/>
  <c r="K349" i="116"/>
  <c r="J349" i="116"/>
  <c r="I349" i="116"/>
  <c r="H349" i="116"/>
  <c r="G349" i="116"/>
  <c r="F349" i="116"/>
  <c r="E349" i="116"/>
  <c r="D349" i="116"/>
  <c r="C349" i="116"/>
  <c r="B349" i="116"/>
  <c r="K348" i="116"/>
  <c r="J348" i="116"/>
  <c r="I348" i="116"/>
  <c r="H348" i="116"/>
  <c r="G348" i="116"/>
  <c r="F348" i="116"/>
  <c r="E348" i="116"/>
  <c r="D348" i="116"/>
  <c r="C348" i="116"/>
  <c r="B348" i="116"/>
  <c r="K347" i="116"/>
  <c r="J347" i="116"/>
  <c r="I347" i="116"/>
  <c r="H347" i="116"/>
  <c r="G347" i="116"/>
  <c r="F347" i="116"/>
  <c r="E347" i="116"/>
  <c r="D347" i="116"/>
  <c r="C347" i="116"/>
  <c r="B347" i="116"/>
  <c r="K346" i="116"/>
  <c r="J346" i="116"/>
  <c r="I346" i="116"/>
  <c r="H346" i="116"/>
  <c r="G346" i="116"/>
  <c r="F346" i="116"/>
  <c r="E346" i="116"/>
  <c r="D346" i="116"/>
  <c r="C346" i="116"/>
  <c r="B346" i="116"/>
  <c r="K345" i="116"/>
  <c r="J345" i="116"/>
  <c r="I345" i="116"/>
  <c r="H345" i="116"/>
  <c r="G345" i="116"/>
  <c r="F345" i="116"/>
  <c r="E345" i="116"/>
  <c r="D345" i="116"/>
  <c r="C345" i="116"/>
  <c r="B345" i="116"/>
  <c r="K344" i="116"/>
  <c r="J344" i="116"/>
  <c r="I344" i="116"/>
  <c r="H344" i="116"/>
  <c r="G344" i="116"/>
  <c r="F344" i="116"/>
  <c r="E344" i="116"/>
  <c r="D344" i="116"/>
  <c r="C344" i="116"/>
  <c r="B344" i="116"/>
  <c r="K343" i="116"/>
  <c r="J343" i="116"/>
  <c r="I343" i="116"/>
  <c r="H343" i="116"/>
  <c r="G343" i="116"/>
  <c r="F343" i="116"/>
  <c r="E343" i="116"/>
  <c r="D343" i="116"/>
  <c r="C343" i="116"/>
  <c r="B343" i="116"/>
  <c r="K342" i="116"/>
  <c r="J342" i="116"/>
  <c r="I342" i="116"/>
  <c r="H342" i="116"/>
  <c r="G342" i="116"/>
  <c r="F342" i="116"/>
  <c r="E342" i="116"/>
  <c r="D342" i="116"/>
  <c r="C342" i="116"/>
  <c r="B342" i="116"/>
  <c r="K341" i="116"/>
  <c r="J341" i="116"/>
  <c r="I341" i="116"/>
  <c r="H341" i="116"/>
  <c r="G341" i="116"/>
  <c r="F341" i="116"/>
  <c r="E341" i="116"/>
  <c r="D341" i="116"/>
  <c r="C341" i="116"/>
  <c r="B341" i="116"/>
  <c r="K340" i="116"/>
  <c r="J340" i="116"/>
  <c r="I340" i="116"/>
  <c r="H340" i="116"/>
  <c r="G340" i="116"/>
  <c r="F340" i="116"/>
  <c r="E340" i="116"/>
  <c r="D340" i="116"/>
  <c r="C340" i="116"/>
  <c r="B340" i="116"/>
  <c r="K339" i="116"/>
  <c r="J339" i="116"/>
  <c r="I339" i="116"/>
  <c r="H339" i="116"/>
  <c r="G339" i="116"/>
  <c r="F339" i="116"/>
  <c r="E339" i="116"/>
  <c r="D339" i="116"/>
  <c r="C339" i="116"/>
  <c r="B339" i="116"/>
  <c r="K338" i="116"/>
  <c r="J338" i="116"/>
  <c r="I338" i="116"/>
  <c r="H338" i="116"/>
  <c r="G338" i="116"/>
  <c r="F338" i="116"/>
  <c r="E338" i="116"/>
  <c r="D338" i="116"/>
  <c r="C338" i="116"/>
  <c r="B338" i="116"/>
  <c r="K337" i="116"/>
  <c r="J337" i="116"/>
  <c r="I337" i="116"/>
  <c r="H337" i="116"/>
  <c r="G337" i="116"/>
  <c r="F337" i="116"/>
  <c r="E337" i="116"/>
  <c r="D337" i="116"/>
  <c r="C337" i="116"/>
  <c r="B337" i="116"/>
  <c r="K336" i="116"/>
  <c r="J336" i="116"/>
  <c r="I336" i="116"/>
  <c r="H336" i="116"/>
  <c r="G336" i="116"/>
  <c r="F336" i="116"/>
  <c r="E336" i="116"/>
  <c r="D336" i="116"/>
  <c r="C336" i="116"/>
  <c r="B336" i="116"/>
  <c r="K335" i="116"/>
  <c r="J335" i="116"/>
  <c r="I335" i="116"/>
  <c r="H335" i="116"/>
  <c r="G335" i="116"/>
  <c r="F335" i="116"/>
  <c r="E335" i="116"/>
  <c r="D335" i="116"/>
  <c r="C335" i="116"/>
  <c r="B335" i="116"/>
  <c r="K334" i="116"/>
  <c r="J334" i="116"/>
  <c r="I334" i="116"/>
  <c r="H334" i="116"/>
  <c r="G334" i="116"/>
  <c r="F334" i="116"/>
  <c r="E334" i="116"/>
  <c r="D334" i="116"/>
  <c r="C334" i="116"/>
  <c r="B334" i="116"/>
  <c r="K333" i="116"/>
  <c r="J333" i="116"/>
  <c r="I333" i="116"/>
  <c r="H333" i="116"/>
  <c r="G333" i="116"/>
  <c r="F333" i="116"/>
  <c r="E333" i="116"/>
  <c r="D333" i="116"/>
  <c r="C333" i="116"/>
  <c r="B333" i="116"/>
  <c r="K332" i="116"/>
  <c r="J332" i="116"/>
  <c r="I332" i="116"/>
  <c r="H332" i="116"/>
  <c r="G332" i="116"/>
  <c r="F332" i="116"/>
  <c r="E332" i="116"/>
  <c r="D332" i="116"/>
  <c r="C332" i="116"/>
  <c r="B332" i="116"/>
  <c r="K331" i="116"/>
  <c r="J331" i="116"/>
  <c r="I331" i="116"/>
  <c r="H331" i="116"/>
  <c r="G331" i="116"/>
  <c r="F331" i="116"/>
  <c r="E331" i="116"/>
  <c r="D331" i="116"/>
  <c r="C331" i="116"/>
  <c r="B331" i="116"/>
  <c r="K330" i="116"/>
  <c r="J330" i="116"/>
  <c r="I330" i="116"/>
  <c r="H330" i="116"/>
  <c r="G330" i="116"/>
  <c r="F330" i="116"/>
  <c r="E330" i="116"/>
  <c r="D330" i="116"/>
  <c r="C330" i="116"/>
  <c r="B330" i="116"/>
  <c r="K329" i="116"/>
  <c r="J329" i="116"/>
  <c r="I329" i="116"/>
  <c r="H329" i="116"/>
  <c r="G329" i="116"/>
  <c r="F329" i="116"/>
  <c r="E329" i="116"/>
  <c r="D329" i="116"/>
  <c r="C329" i="116"/>
  <c r="B329" i="116"/>
  <c r="K328" i="116"/>
  <c r="J328" i="116"/>
  <c r="I328" i="116"/>
  <c r="H328" i="116"/>
  <c r="G328" i="116"/>
  <c r="F328" i="116"/>
  <c r="E328" i="116"/>
  <c r="D328" i="116"/>
  <c r="C328" i="116"/>
  <c r="B328" i="116"/>
  <c r="K327" i="116"/>
  <c r="J327" i="116"/>
  <c r="I327" i="116"/>
  <c r="H327" i="116"/>
  <c r="G327" i="116"/>
  <c r="F327" i="116"/>
  <c r="E327" i="116"/>
  <c r="D327" i="116"/>
  <c r="C327" i="116"/>
  <c r="B327" i="116"/>
  <c r="K326" i="116"/>
  <c r="J326" i="116"/>
  <c r="I326" i="116"/>
  <c r="H326" i="116"/>
  <c r="G326" i="116"/>
  <c r="F326" i="116"/>
  <c r="E326" i="116"/>
  <c r="D326" i="116"/>
  <c r="C326" i="116"/>
  <c r="B326" i="116"/>
  <c r="K325" i="116"/>
  <c r="J325" i="116"/>
  <c r="I325" i="116"/>
  <c r="H325" i="116"/>
  <c r="G325" i="116"/>
  <c r="F325" i="116"/>
  <c r="E325" i="116"/>
  <c r="D325" i="116"/>
  <c r="C325" i="116"/>
  <c r="B325" i="116"/>
  <c r="K324" i="116"/>
  <c r="J324" i="116"/>
  <c r="I324" i="116"/>
  <c r="H324" i="116"/>
  <c r="G324" i="116"/>
  <c r="F324" i="116"/>
  <c r="E324" i="116"/>
  <c r="D324" i="116"/>
  <c r="C324" i="116"/>
  <c r="B324" i="116"/>
  <c r="K323" i="116"/>
  <c r="J323" i="116"/>
  <c r="I323" i="116"/>
  <c r="H323" i="116"/>
  <c r="G323" i="116"/>
  <c r="F323" i="116"/>
  <c r="E323" i="116"/>
  <c r="D323" i="116"/>
  <c r="C323" i="116"/>
  <c r="B323" i="116"/>
  <c r="K322" i="116"/>
  <c r="J322" i="116"/>
  <c r="I322" i="116"/>
  <c r="H322" i="116"/>
  <c r="G322" i="116"/>
  <c r="F322" i="116"/>
  <c r="E322" i="116"/>
  <c r="D322" i="116"/>
  <c r="C322" i="116"/>
  <c r="B322" i="116"/>
  <c r="K321" i="116"/>
  <c r="J321" i="116"/>
  <c r="I321" i="116"/>
  <c r="H321" i="116"/>
  <c r="G321" i="116"/>
  <c r="F321" i="116"/>
  <c r="E321" i="116"/>
  <c r="D321" i="116"/>
  <c r="C321" i="116"/>
  <c r="B321" i="116"/>
  <c r="K320" i="116"/>
  <c r="J320" i="116"/>
  <c r="I320" i="116"/>
  <c r="H320" i="116"/>
  <c r="G320" i="116"/>
  <c r="F320" i="116"/>
  <c r="E320" i="116"/>
  <c r="D320" i="116"/>
  <c r="C320" i="116"/>
  <c r="B320" i="116"/>
  <c r="K319" i="116"/>
  <c r="J319" i="116"/>
  <c r="I319" i="116"/>
  <c r="H319" i="116"/>
  <c r="G319" i="116"/>
  <c r="F319" i="116"/>
  <c r="E319" i="116"/>
  <c r="D319" i="116"/>
  <c r="C319" i="116"/>
  <c r="B319" i="116"/>
  <c r="K318" i="116"/>
  <c r="J318" i="116"/>
  <c r="I318" i="116"/>
  <c r="H318" i="116"/>
  <c r="G318" i="116"/>
  <c r="F318" i="116"/>
  <c r="E318" i="116"/>
  <c r="D318" i="116"/>
  <c r="C318" i="116"/>
  <c r="B318" i="116"/>
  <c r="K317" i="116"/>
  <c r="J317" i="116"/>
  <c r="I317" i="116"/>
  <c r="H317" i="116"/>
  <c r="G317" i="116"/>
  <c r="F317" i="116"/>
  <c r="E317" i="116"/>
  <c r="D317" i="116"/>
  <c r="C317" i="116"/>
  <c r="B317" i="116"/>
  <c r="K316" i="116"/>
  <c r="J316" i="116"/>
  <c r="I316" i="116"/>
  <c r="H316" i="116"/>
  <c r="G316" i="116"/>
  <c r="F316" i="116"/>
  <c r="E316" i="116"/>
  <c r="D316" i="116"/>
  <c r="C316" i="116"/>
  <c r="B316" i="116"/>
  <c r="K315" i="116"/>
  <c r="J315" i="116"/>
  <c r="I315" i="116"/>
  <c r="H315" i="116"/>
  <c r="G315" i="116"/>
  <c r="F315" i="116"/>
  <c r="E315" i="116"/>
  <c r="D315" i="116"/>
  <c r="C315" i="116"/>
  <c r="B315" i="116"/>
  <c r="K314" i="116"/>
  <c r="J314" i="116"/>
  <c r="I314" i="116"/>
  <c r="H314" i="116"/>
  <c r="G314" i="116"/>
  <c r="F314" i="116"/>
  <c r="E314" i="116"/>
  <c r="D314" i="116"/>
  <c r="C314" i="116"/>
  <c r="B314" i="116"/>
  <c r="K313" i="116"/>
  <c r="J313" i="116"/>
  <c r="I313" i="116"/>
  <c r="H313" i="116"/>
  <c r="G313" i="116"/>
  <c r="F313" i="116"/>
  <c r="E313" i="116"/>
  <c r="D313" i="116"/>
  <c r="C313" i="116"/>
  <c r="B313" i="116"/>
  <c r="K312" i="116"/>
  <c r="J312" i="116"/>
  <c r="I312" i="116"/>
  <c r="H312" i="116"/>
  <c r="G312" i="116"/>
  <c r="F312" i="116"/>
  <c r="E312" i="116"/>
  <c r="D312" i="116"/>
  <c r="C312" i="116"/>
  <c r="B312" i="116"/>
  <c r="K311" i="116"/>
  <c r="J311" i="116"/>
  <c r="I311" i="116"/>
  <c r="H311" i="116"/>
  <c r="G311" i="116"/>
  <c r="F311" i="116"/>
  <c r="E311" i="116"/>
  <c r="D311" i="116"/>
  <c r="C311" i="116"/>
  <c r="B311" i="116"/>
  <c r="K310" i="116"/>
  <c r="J310" i="116"/>
  <c r="I310" i="116"/>
  <c r="H310" i="116"/>
  <c r="G310" i="116"/>
  <c r="F310" i="116"/>
  <c r="E310" i="116"/>
  <c r="D310" i="116"/>
  <c r="C310" i="116"/>
  <c r="B310" i="116"/>
  <c r="K309" i="116"/>
  <c r="J309" i="116"/>
  <c r="I309" i="116"/>
  <c r="H309" i="116"/>
  <c r="G309" i="116"/>
  <c r="F309" i="116"/>
  <c r="E309" i="116"/>
  <c r="D309" i="116"/>
  <c r="C309" i="116"/>
  <c r="B309" i="116"/>
  <c r="K308" i="116"/>
  <c r="J308" i="116"/>
  <c r="I308" i="116"/>
  <c r="H308" i="116"/>
  <c r="G308" i="116"/>
  <c r="F308" i="116"/>
  <c r="E308" i="116"/>
  <c r="D308" i="116"/>
  <c r="C308" i="116"/>
  <c r="B308" i="116"/>
  <c r="K307" i="116"/>
  <c r="J307" i="116"/>
  <c r="I307" i="116"/>
  <c r="H307" i="116"/>
  <c r="G307" i="116"/>
  <c r="F307" i="116"/>
  <c r="E307" i="116"/>
  <c r="D307" i="116"/>
  <c r="C307" i="116"/>
  <c r="B307" i="116"/>
  <c r="K306" i="116"/>
  <c r="J306" i="116"/>
  <c r="I306" i="116"/>
  <c r="H306" i="116"/>
  <c r="G306" i="116"/>
  <c r="F306" i="116"/>
  <c r="E306" i="116"/>
  <c r="D306" i="116"/>
  <c r="C306" i="116"/>
  <c r="B306" i="116"/>
  <c r="K305" i="116"/>
  <c r="J305" i="116"/>
  <c r="I305" i="116"/>
  <c r="H305" i="116"/>
  <c r="G305" i="116"/>
  <c r="F305" i="116"/>
  <c r="E305" i="116"/>
  <c r="D305" i="116"/>
  <c r="C305" i="116"/>
  <c r="B305" i="116"/>
  <c r="K304" i="116"/>
  <c r="J304" i="116"/>
  <c r="I304" i="116"/>
  <c r="H304" i="116"/>
  <c r="G304" i="116"/>
  <c r="F304" i="116"/>
  <c r="E304" i="116"/>
  <c r="D304" i="116"/>
  <c r="C304" i="116"/>
  <c r="B304" i="116"/>
  <c r="K303" i="116"/>
  <c r="J303" i="116"/>
  <c r="I303" i="116"/>
  <c r="H303" i="116"/>
  <c r="G303" i="116"/>
  <c r="F303" i="116"/>
  <c r="E303" i="116"/>
  <c r="D303" i="116"/>
  <c r="C303" i="116"/>
  <c r="B303" i="116"/>
  <c r="K302" i="116"/>
  <c r="J302" i="116"/>
  <c r="I302" i="116"/>
  <c r="H302" i="116"/>
  <c r="G302" i="116"/>
  <c r="F302" i="116"/>
  <c r="E302" i="116"/>
  <c r="D302" i="116"/>
  <c r="C302" i="116"/>
  <c r="B302" i="116"/>
  <c r="K301" i="116"/>
  <c r="J301" i="116"/>
  <c r="I301" i="116"/>
  <c r="H301" i="116"/>
  <c r="G301" i="116"/>
  <c r="F301" i="116"/>
  <c r="E301" i="116"/>
  <c r="D301" i="116"/>
  <c r="C301" i="116"/>
  <c r="B301" i="116"/>
  <c r="K300" i="116"/>
  <c r="J300" i="116"/>
  <c r="I300" i="116"/>
  <c r="H300" i="116"/>
  <c r="G300" i="116"/>
  <c r="F300" i="116"/>
  <c r="E300" i="116"/>
  <c r="D300" i="116"/>
  <c r="C300" i="116"/>
  <c r="B300" i="116"/>
  <c r="K299" i="116"/>
  <c r="J299" i="116"/>
  <c r="I299" i="116"/>
  <c r="H299" i="116"/>
  <c r="G299" i="116"/>
  <c r="F299" i="116"/>
  <c r="E299" i="116"/>
  <c r="D299" i="116"/>
  <c r="C299" i="116"/>
  <c r="B299" i="116"/>
  <c r="K298" i="116"/>
  <c r="J298" i="116"/>
  <c r="I298" i="116"/>
  <c r="H298" i="116"/>
  <c r="G298" i="116"/>
  <c r="F298" i="116"/>
  <c r="E298" i="116"/>
  <c r="D298" i="116"/>
  <c r="C298" i="116"/>
  <c r="B298" i="116"/>
  <c r="K297" i="116"/>
  <c r="J297" i="116"/>
  <c r="I297" i="116"/>
  <c r="H297" i="116"/>
  <c r="G297" i="116"/>
  <c r="F297" i="116"/>
  <c r="E297" i="116"/>
  <c r="D297" i="116"/>
  <c r="C297" i="116"/>
  <c r="B297" i="116"/>
  <c r="K296" i="116"/>
  <c r="J296" i="116"/>
  <c r="I296" i="116"/>
  <c r="H296" i="116"/>
  <c r="G296" i="116"/>
  <c r="F296" i="116"/>
  <c r="E296" i="116"/>
  <c r="D296" i="116"/>
  <c r="C296" i="116"/>
  <c r="B296" i="116"/>
  <c r="K295" i="116"/>
  <c r="J295" i="116"/>
  <c r="I295" i="116"/>
  <c r="H295" i="116"/>
  <c r="G295" i="116"/>
  <c r="F295" i="116"/>
  <c r="E295" i="116"/>
  <c r="D295" i="116"/>
  <c r="C295" i="116"/>
  <c r="B295" i="116"/>
  <c r="K294" i="116"/>
  <c r="J294" i="116"/>
  <c r="I294" i="116"/>
  <c r="H294" i="116"/>
  <c r="G294" i="116"/>
  <c r="F294" i="116"/>
  <c r="E294" i="116"/>
  <c r="D294" i="116"/>
  <c r="C294" i="116"/>
  <c r="B294" i="116"/>
  <c r="K293" i="116"/>
  <c r="J293" i="116"/>
  <c r="I293" i="116"/>
  <c r="H293" i="116"/>
  <c r="G293" i="116"/>
  <c r="F293" i="116"/>
  <c r="E293" i="116"/>
  <c r="D293" i="116"/>
  <c r="C293" i="116"/>
  <c r="B293" i="116"/>
  <c r="K292" i="116"/>
  <c r="J292" i="116"/>
  <c r="I292" i="116"/>
  <c r="H292" i="116"/>
  <c r="G292" i="116"/>
  <c r="F292" i="116"/>
  <c r="E292" i="116"/>
  <c r="D292" i="116"/>
  <c r="C292" i="116"/>
  <c r="B292" i="116"/>
  <c r="K291" i="116"/>
  <c r="J291" i="116"/>
  <c r="I291" i="116"/>
  <c r="H291" i="116"/>
  <c r="G291" i="116"/>
  <c r="F291" i="116"/>
  <c r="E291" i="116"/>
  <c r="D291" i="116"/>
  <c r="C291" i="116"/>
  <c r="B291" i="116"/>
  <c r="K290" i="116"/>
  <c r="J290" i="116"/>
  <c r="I290" i="116"/>
  <c r="H290" i="116"/>
  <c r="G290" i="116"/>
  <c r="F290" i="116"/>
  <c r="E290" i="116"/>
  <c r="D290" i="116"/>
  <c r="C290" i="116"/>
  <c r="B290" i="116"/>
  <c r="K289" i="116"/>
  <c r="J289" i="116"/>
  <c r="I289" i="116"/>
  <c r="H289" i="116"/>
  <c r="G289" i="116"/>
  <c r="F289" i="116"/>
  <c r="E289" i="116"/>
  <c r="D289" i="116"/>
  <c r="C289" i="116"/>
  <c r="B289" i="116"/>
  <c r="K288" i="116"/>
  <c r="J288" i="116"/>
  <c r="I288" i="116"/>
  <c r="H288" i="116"/>
  <c r="G288" i="116"/>
  <c r="F288" i="116"/>
  <c r="E288" i="116"/>
  <c r="D288" i="116"/>
  <c r="C288" i="116"/>
  <c r="B288" i="116"/>
  <c r="K287" i="116"/>
  <c r="J287" i="116"/>
  <c r="I287" i="116"/>
  <c r="H287" i="116"/>
  <c r="G287" i="116"/>
  <c r="F287" i="116"/>
  <c r="E287" i="116"/>
  <c r="D287" i="116"/>
  <c r="C287" i="116"/>
  <c r="B287" i="116"/>
  <c r="K286" i="116"/>
  <c r="J286" i="116"/>
  <c r="I286" i="116"/>
  <c r="H286" i="116"/>
  <c r="G286" i="116"/>
  <c r="F286" i="116"/>
  <c r="E286" i="116"/>
  <c r="D286" i="116"/>
  <c r="C286" i="116"/>
  <c r="B286" i="116"/>
  <c r="K285" i="116"/>
  <c r="J285" i="116"/>
  <c r="I285" i="116"/>
  <c r="H285" i="116"/>
  <c r="G285" i="116"/>
  <c r="F285" i="116"/>
  <c r="E285" i="116"/>
  <c r="D285" i="116"/>
  <c r="C285" i="116"/>
  <c r="B285" i="116"/>
  <c r="K284" i="116"/>
  <c r="J284" i="116"/>
  <c r="I284" i="116"/>
  <c r="H284" i="116"/>
  <c r="G284" i="116"/>
  <c r="F284" i="116"/>
  <c r="E284" i="116"/>
  <c r="D284" i="116"/>
  <c r="C284" i="116"/>
  <c r="B284" i="116"/>
  <c r="K283" i="116"/>
  <c r="J283" i="116"/>
  <c r="I283" i="116"/>
  <c r="H283" i="116"/>
  <c r="G283" i="116"/>
  <c r="F283" i="116"/>
  <c r="E283" i="116"/>
  <c r="D283" i="116"/>
  <c r="C283" i="116"/>
  <c r="B283" i="116"/>
  <c r="K282" i="116"/>
  <c r="J282" i="116"/>
  <c r="I282" i="116"/>
  <c r="H282" i="116"/>
  <c r="G282" i="116"/>
  <c r="F282" i="116"/>
  <c r="E282" i="116"/>
  <c r="D282" i="116"/>
  <c r="C282" i="116"/>
  <c r="B282" i="116"/>
  <c r="K281" i="116"/>
  <c r="J281" i="116"/>
  <c r="I281" i="116"/>
  <c r="H281" i="116"/>
  <c r="G281" i="116"/>
  <c r="F281" i="116"/>
  <c r="E281" i="116"/>
  <c r="D281" i="116"/>
  <c r="C281" i="116"/>
  <c r="B281" i="116"/>
  <c r="K280" i="116"/>
  <c r="J280" i="116"/>
  <c r="I280" i="116"/>
  <c r="H280" i="116"/>
  <c r="G280" i="116"/>
  <c r="F280" i="116"/>
  <c r="E280" i="116"/>
  <c r="D280" i="116"/>
  <c r="C280" i="116"/>
  <c r="B280" i="116"/>
  <c r="K279" i="116"/>
  <c r="J279" i="116"/>
  <c r="I279" i="116"/>
  <c r="H279" i="116"/>
  <c r="G279" i="116"/>
  <c r="F279" i="116"/>
  <c r="E279" i="116"/>
  <c r="D279" i="116"/>
  <c r="C279" i="116"/>
  <c r="B279" i="116"/>
  <c r="K278" i="116"/>
  <c r="J278" i="116"/>
  <c r="I278" i="116"/>
  <c r="H278" i="116"/>
  <c r="G278" i="116"/>
  <c r="F278" i="116"/>
  <c r="E278" i="116"/>
  <c r="D278" i="116"/>
  <c r="C278" i="116"/>
  <c r="B278" i="116"/>
  <c r="K277" i="116"/>
  <c r="J277" i="116"/>
  <c r="I277" i="116"/>
  <c r="H277" i="116"/>
  <c r="G277" i="116"/>
  <c r="F277" i="116"/>
  <c r="E277" i="116"/>
  <c r="D277" i="116"/>
  <c r="C277" i="116"/>
  <c r="B277" i="116"/>
  <c r="K276" i="116"/>
  <c r="J276" i="116"/>
  <c r="I276" i="116"/>
  <c r="H276" i="116"/>
  <c r="G276" i="116"/>
  <c r="F276" i="116"/>
  <c r="E276" i="116"/>
  <c r="D276" i="116"/>
  <c r="C276" i="116"/>
  <c r="B276" i="116"/>
  <c r="K275" i="116"/>
  <c r="J275" i="116"/>
  <c r="I275" i="116"/>
  <c r="H275" i="116"/>
  <c r="G275" i="116"/>
  <c r="F275" i="116"/>
  <c r="E275" i="116"/>
  <c r="D275" i="116"/>
  <c r="C275" i="116"/>
  <c r="B275" i="116"/>
  <c r="K274" i="116"/>
  <c r="J274" i="116"/>
  <c r="I274" i="116"/>
  <c r="H274" i="116"/>
  <c r="G274" i="116"/>
  <c r="F274" i="116"/>
  <c r="E274" i="116"/>
  <c r="D274" i="116"/>
  <c r="C274" i="116"/>
  <c r="B274" i="116"/>
  <c r="K273" i="116"/>
  <c r="J273" i="116"/>
  <c r="I273" i="116"/>
  <c r="H273" i="116"/>
  <c r="G273" i="116"/>
  <c r="F273" i="116"/>
  <c r="E273" i="116"/>
  <c r="D273" i="116"/>
  <c r="C273" i="116"/>
  <c r="B273" i="116"/>
  <c r="K272" i="116"/>
  <c r="J272" i="116"/>
  <c r="I272" i="116"/>
  <c r="H272" i="116"/>
  <c r="G272" i="116"/>
  <c r="F272" i="116"/>
  <c r="E272" i="116"/>
  <c r="D272" i="116"/>
  <c r="C272" i="116"/>
  <c r="B272" i="116"/>
  <c r="K271" i="116"/>
  <c r="J271" i="116"/>
  <c r="I271" i="116"/>
  <c r="H271" i="116"/>
  <c r="G271" i="116"/>
  <c r="F271" i="116"/>
  <c r="E271" i="116"/>
  <c r="D271" i="116"/>
  <c r="C271" i="116"/>
  <c r="B271" i="116"/>
  <c r="K270" i="116"/>
  <c r="J270" i="116"/>
  <c r="I270" i="116"/>
  <c r="H270" i="116"/>
  <c r="G270" i="116"/>
  <c r="F270" i="116"/>
  <c r="E270" i="116"/>
  <c r="D270" i="116"/>
  <c r="C270" i="116"/>
  <c r="B270" i="116"/>
  <c r="K269" i="116"/>
  <c r="J269" i="116"/>
  <c r="I269" i="116"/>
  <c r="H269" i="116"/>
  <c r="G269" i="116"/>
  <c r="F269" i="116"/>
  <c r="E269" i="116"/>
  <c r="D269" i="116"/>
  <c r="C269" i="116"/>
  <c r="B269" i="116"/>
  <c r="K268" i="116"/>
  <c r="J268" i="116"/>
  <c r="I268" i="116"/>
  <c r="H268" i="116"/>
  <c r="G268" i="116"/>
  <c r="F268" i="116"/>
  <c r="E268" i="116"/>
  <c r="D268" i="116"/>
  <c r="C268" i="116"/>
  <c r="B268" i="116"/>
  <c r="K267" i="116"/>
  <c r="J267" i="116"/>
  <c r="I267" i="116"/>
  <c r="H267" i="116"/>
  <c r="G267" i="116"/>
  <c r="F267" i="116"/>
  <c r="E267" i="116"/>
  <c r="D267" i="116"/>
  <c r="C267" i="116"/>
  <c r="B267" i="116"/>
  <c r="K266" i="116"/>
  <c r="J266" i="116"/>
  <c r="I266" i="116"/>
  <c r="H266" i="116"/>
  <c r="G266" i="116"/>
  <c r="F266" i="116"/>
  <c r="E266" i="116"/>
  <c r="D266" i="116"/>
  <c r="C266" i="116"/>
  <c r="B266" i="116"/>
  <c r="K265" i="116"/>
  <c r="J265" i="116"/>
  <c r="I265" i="116"/>
  <c r="H265" i="116"/>
  <c r="G265" i="116"/>
  <c r="F265" i="116"/>
  <c r="E265" i="116"/>
  <c r="D265" i="116"/>
  <c r="C265" i="116"/>
  <c r="B265" i="116"/>
  <c r="K264" i="116"/>
  <c r="J264" i="116"/>
  <c r="I264" i="116"/>
  <c r="H264" i="116"/>
  <c r="G264" i="116"/>
  <c r="F264" i="116"/>
  <c r="E264" i="116"/>
  <c r="D264" i="116"/>
  <c r="C264" i="116"/>
  <c r="B264" i="116"/>
  <c r="K263" i="116"/>
  <c r="J263" i="116"/>
  <c r="I263" i="116"/>
  <c r="H263" i="116"/>
  <c r="G263" i="116"/>
  <c r="F263" i="116"/>
  <c r="E263" i="116"/>
  <c r="D263" i="116"/>
  <c r="C263" i="116"/>
  <c r="B263" i="116"/>
  <c r="K262" i="116"/>
  <c r="J262" i="116"/>
  <c r="I262" i="116"/>
  <c r="H262" i="116"/>
  <c r="G262" i="116"/>
  <c r="F262" i="116"/>
  <c r="E262" i="116"/>
  <c r="D262" i="116"/>
  <c r="C262" i="116"/>
  <c r="B262" i="116"/>
  <c r="K261" i="116"/>
  <c r="J261" i="116"/>
  <c r="I261" i="116"/>
  <c r="H261" i="116"/>
  <c r="G261" i="116"/>
  <c r="F261" i="116"/>
  <c r="E261" i="116"/>
  <c r="D261" i="116"/>
  <c r="C261" i="116"/>
  <c r="B261" i="116"/>
  <c r="K260" i="116"/>
  <c r="J260" i="116"/>
  <c r="I260" i="116"/>
  <c r="H260" i="116"/>
  <c r="G260" i="116"/>
  <c r="F260" i="116"/>
  <c r="E260" i="116"/>
  <c r="D260" i="116"/>
  <c r="C260" i="116"/>
  <c r="B260" i="116"/>
  <c r="K259" i="116"/>
  <c r="J259" i="116"/>
  <c r="I259" i="116"/>
  <c r="H259" i="116"/>
  <c r="G259" i="116"/>
  <c r="F259" i="116"/>
  <c r="E259" i="116"/>
  <c r="D259" i="116"/>
  <c r="C259" i="116"/>
  <c r="B259" i="116"/>
  <c r="K258" i="116"/>
  <c r="J258" i="116"/>
  <c r="I258" i="116"/>
  <c r="H258" i="116"/>
  <c r="G258" i="116"/>
  <c r="F258" i="116"/>
  <c r="E258" i="116"/>
  <c r="D258" i="116"/>
  <c r="C258" i="116"/>
  <c r="B258" i="116"/>
  <c r="K257" i="116"/>
  <c r="J257" i="116"/>
  <c r="I257" i="116"/>
  <c r="H257" i="116"/>
  <c r="G257" i="116"/>
  <c r="F257" i="116"/>
  <c r="E257" i="116"/>
  <c r="D257" i="116"/>
  <c r="C257" i="116"/>
  <c r="B257" i="116"/>
  <c r="K256" i="116"/>
  <c r="J256" i="116"/>
  <c r="I256" i="116"/>
  <c r="H256" i="116"/>
  <c r="G256" i="116"/>
  <c r="F256" i="116"/>
  <c r="E256" i="116"/>
  <c r="D256" i="116"/>
  <c r="C256" i="116"/>
  <c r="B256" i="116"/>
  <c r="K255" i="116"/>
  <c r="J255" i="116"/>
  <c r="I255" i="116"/>
  <c r="H255" i="116"/>
  <c r="G255" i="116"/>
  <c r="F255" i="116"/>
  <c r="E255" i="116"/>
  <c r="D255" i="116"/>
  <c r="C255" i="116"/>
  <c r="B255" i="116"/>
  <c r="K254" i="116"/>
  <c r="J254" i="116"/>
  <c r="I254" i="116"/>
  <c r="H254" i="116"/>
  <c r="G254" i="116"/>
  <c r="F254" i="116"/>
  <c r="E254" i="116"/>
  <c r="D254" i="116"/>
  <c r="C254" i="116"/>
  <c r="B254" i="116"/>
  <c r="K253" i="116"/>
  <c r="J253" i="116"/>
  <c r="I253" i="116"/>
  <c r="H253" i="116"/>
  <c r="G253" i="116"/>
  <c r="F253" i="116"/>
  <c r="E253" i="116"/>
  <c r="D253" i="116"/>
  <c r="C253" i="116"/>
  <c r="B253" i="116"/>
  <c r="K252" i="116"/>
  <c r="J252" i="116"/>
  <c r="I252" i="116"/>
  <c r="H252" i="116"/>
  <c r="G252" i="116"/>
  <c r="F252" i="116"/>
  <c r="E252" i="116"/>
  <c r="D252" i="116"/>
  <c r="C252" i="116"/>
  <c r="B252" i="116"/>
  <c r="K251" i="116"/>
  <c r="J251" i="116"/>
  <c r="I251" i="116"/>
  <c r="H251" i="116"/>
  <c r="G251" i="116"/>
  <c r="F251" i="116"/>
  <c r="E251" i="116"/>
  <c r="D251" i="116"/>
  <c r="C251" i="116"/>
  <c r="B251" i="116"/>
  <c r="K250" i="116"/>
  <c r="J250" i="116"/>
  <c r="I250" i="116"/>
  <c r="H250" i="116"/>
  <c r="G250" i="116"/>
  <c r="F250" i="116"/>
  <c r="E250" i="116"/>
  <c r="D250" i="116"/>
  <c r="C250" i="116"/>
  <c r="B250" i="116"/>
  <c r="K249" i="116"/>
  <c r="J249" i="116"/>
  <c r="I249" i="116"/>
  <c r="H249" i="116"/>
  <c r="G249" i="116"/>
  <c r="F249" i="116"/>
  <c r="E249" i="116"/>
  <c r="D249" i="116"/>
  <c r="C249" i="116"/>
  <c r="B249" i="116"/>
  <c r="K248" i="116"/>
  <c r="J248" i="116"/>
  <c r="I248" i="116"/>
  <c r="H248" i="116"/>
  <c r="G248" i="116"/>
  <c r="F248" i="116"/>
  <c r="E248" i="116"/>
  <c r="D248" i="116"/>
  <c r="C248" i="116"/>
  <c r="B248" i="116"/>
  <c r="K247" i="116"/>
  <c r="J247" i="116"/>
  <c r="I247" i="116"/>
  <c r="H247" i="116"/>
  <c r="G247" i="116"/>
  <c r="F247" i="116"/>
  <c r="E247" i="116"/>
  <c r="D247" i="116"/>
  <c r="C247" i="116"/>
  <c r="B247" i="116"/>
  <c r="K246" i="116"/>
  <c r="J246" i="116"/>
  <c r="I246" i="116"/>
  <c r="H246" i="116"/>
  <c r="G246" i="116"/>
  <c r="F246" i="116"/>
  <c r="E246" i="116"/>
  <c r="D246" i="116"/>
  <c r="C246" i="116"/>
  <c r="B246" i="116"/>
  <c r="K245" i="116"/>
  <c r="J245" i="116"/>
  <c r="I245" i="116"/>
  <c r="H245" i="116"/>
  <c r="G245" i="116"/>
  <c r="F245" i="116"/>
  <c r="E245" i="116"/>
  <c r="D245" i="116"/>
  <c r="C245" i="116"/>
  <c r="B245" i="116"/>
  <c r="K244" i="116"/>
  <c r="J244" i="116"/>
  <c r="I244" i="116"/>
  <c r="H244" i="116"/>
  <c r="G244" i="116"/>
  <c r="F244" i="116"/>
  <c r="E244" i="116"/>
  <c r="D244" i="116"/>
  <c r="C244" i="116"/>
  <c r="B244" i="116"/>
  <c r="K243" i="116"/>
  <c r="J243" i="116"/>
  <c r="I243" i="116"/>
  <c r="H243" i="116"/>
  <c r="G243" i="116"/>
  <c r="F243" i="116"/>
  <c r="E243" i="116"/>
  <c r="D243" i="116"/>
  <c r="C243" i="116"/>
  <c r="B243" i="116"/>
  <c r="K242" i="116"/>
  <c r="J242" i="116"/>
  <c r="I242" i="116"/>
  <c r="H242" i="116"/>
  <c r="G242" i="116"/>
  <c r="F242" i="116"/>
  <c r="E242" i="116"/>
  <c r="D242" i="116"/>
  <c r="C242" i="116"/>
  <c r="B242" i="116"/>
  <c r="K241" i="116"/>
  <c r="J241" i="116"/>
  <c r="I241" i="116"/>
  <c r="H241" i="116"/>
  <c r="G241" i="116"/>
  <c r="F241" i="116"/>
  <c r="E241" i="116"/>
  <c r="D241" i="116"/>
  <c r="C241" i="116"/>
  <c r="B241" i="116"/>
  <c r="K240" i="116"/>
  <c r="J240" i="116"/>
  <c r="I240" i="116"/>
  <c r="H240" i="116"/>
  <c r="G240" i="116"/>
  <c r="F240" i="116"/>
  <c r="E240" i="116"/>
  <c r="D240" i="116"/>
  <c r="C240" i="116"/>
  <c r="B240" i="116"/>
  <c r="K239" i="116"/>
  <c r="J239" i="116"/>
  <c r="I239" i="116"/>
  <c r="H239" i="116"/>
  <c r="G239" i="116"/>
  <c r="F239" i="116"/>
  <c r="E239" i="116"/>
  <c r="D239" i="116"/>
  <c r="C239" i="116"/>
  <c r="B239" i="116"/>
  <c r="K238" i="116"/>
  <c r="J238" i="116"/>
  <c r="I238" i="116"/>
  <c r="H238" i="116"/>
  <c r="G238" i="116"/>
  <c r="F238" i="116"/>
  <c r="E238" i="116"/>
  <c r="D238" i="116"/>
  <c r="C238" i="116"/>
  <c r="B238" i="116"/>
  <c r="K237" i="116"/>
  <c r="J237" i="116"/>
  <c r="I237" i="116"/>
  <c r="H237" i="116"/>
  <c r="G237" i="116"/>
  <c r="F237" i="116"/>
  <c r="E237" i="116"/>
  <c r="D237" i="116"/>
  <c r="C237" i="116"/>
  <c r="B237" i="116"/>
  <c r="K236" i="116"/>
  <c r="J236" i="116"/>
  <c r="I236" i="116"/>
  <c r="H236" i="116"/>
  <c r="G236" i="116"/>
  <c r="F236" i="116"/>
  <c r="E236" i="116"/>
  <c r="D236" i="116"/>
  <c r="C236" i="116"/>
  <c r="B236" i="116"/>
  <c r="K235" i="116"/>
  <c r="J235" i="116"/>
  <c r="I235" i="116"/>
  <c r="H235" i="116"/>
  <c r="G235" i="116"/>
  <c r="F235" i="116"/>
  <c r="E235" i="116"/>
  <c r="D235" i="116"/>
  <c r="C235" i="116"/>
  <c r="B235" i="116"/>
  <c r="K234" i="116"/>
  <c r="J234" i="116"/>
  <c r="I234" i="116"/>
  <c r="H234" i="116"/>
  <c r="G234" i="116"/>
  <c r="F234" i="116"/>
  <c r="E234" i="116"/>
  <c r="D234" i="116"/>
  <c r="C234" i="116"/>
  <c r="B234" i="116"/>
  <c r="K233" i="116"/>
  <c r="J233" i="116"/>
  <c r="I233" i="116"/>
  <c r="H233" i="116"/>
  <c r="G233" i="116"/>
  <c r="F233" i="116"/>
  <c r="E233" i="116"/>
  <c r="D233" i="116"/>
  <c r="C233" i="116"/>
  <c r="B233" i="116"/>
  <c r="K232" i="116"/>
  <c r="J232" i="116"/>
  <c r="I232" i="116"/>
  <c r="H232" i="116"/>
  <c r="G232" i="116"/>
  <c r="F232" i="116"/>
  <c r="E232" i="116"/>
  <c r="D232" i="116"/>
  <c r="C232" i="116"/>
  <c r="B232" i="116"/>
  <c r="K231" i="116"/>
  <c r="J231" i="116"/>
  <c r="I231" i="116"/>
  <c r="H231" i="116"/>
  <c r="G231" i="116"/>
  <c r="F231" i="116"/>
  <c r="E231" i="116"/>
  <c r="D231" i="116"/>
  <c r="C231" i="116"/>
  <c r="B231" i="116"/>
  <c r="K230" i="116"/>
  <c r="J230" i="116"/>
  <c r="I230" i="116"/>
  <c r="H230" i="116"/>
  <c r="G230" i="116"/>
  <c r="F230" i="116"/>
  <c r="E230" i="116"/>
  <c r="D230" i="116"/>
  <c r="C230" i="116"/>
  <c r="B230" i="116"/>
  <c r="K229" i="116"/>
  <c r="J229" i="116"/>
  <c r="I229" i="116"/>
  <c r="H229" i="116"/>
  <c r="G229" i="116"/>
  <c r="F229" i="116"/>
  <c r="E229" i="116"/>
  <c r="D229" i="116"/>
  <c r="C229" i="116"/>
  <c r="B229" i="116"/>
  <c r="K228" i="116"/>
  <c r="J228" i="116"/>
  <c r="I228" i="116"/>
  <c r="H228" i="116"/>
  <c r="G228" i="116"/>
  <c r="F228" i="116"/>
  <c r="E228" i="116"/>
  <c r="D228" i="116"/>
  <c r="C228" i="116"/>
  <c r="B228" i="116"/>
  <c r="K227" i="116"/>
  <c r="J227" i="116"/>
  <c r="I227" i="116"/>
  <c r="H227" i="116"/>
  <c r="G227" i="116"/>
  <c r="F227" i="116"/>
  <c r="E227" i="116"/>
  <c r="D227" i="116"/>
  <c r="C227" i="116"/>
  <c r="B227" i="116"/>
  <c r="K226" i="116"/>
  <c r="J226" i="116"/>
  <c r="I226" i="116"/>
  <c r="H226" i="116"/>
  <c r="G226" i="116"/>
  <c r="F226" i="116"/>
  <c r="E226" i="116"/>
  <c r="D226" i="116"/>
  <c r="C226" i="116"/>
  <c r="B226" i="116"/>
  <c r="K225" i="116"/>
  <c r="J225" i="116"/>
  <c r="I225" i="116"/>
  <c r="H225" i="116"/>
  <c r="G225" i="116"/>
  <c r="F225" i="116"/>
  <c r="E225" i="116"/>
  <c r="D225" i="116"/>
  <c r="C225" i="116"/>
  <c r="B225" i="116"/>
  <c r="K224" i="116"/>
  <c r="J224" i="116"/>
  <c r="I224" i="116"/>
  <c r="H224" i="116"/>
  <c r="G224" i="116"/>
  <c r="F224" i="116"/>
  <c r="E224" i="116"/>
  <c r="D224" i="116"/>
  <c r="C224" i="116"/>
  <c r="B224" i="116"/>
  <c r="K223" i="116"/>
  <c r="J223" i="116"/>
  <c r="I223" i="116"/>
  <c r="H223" i="116"/>
  <c r="G223" i="116"/>
  <c r="F223" i="116"/>
  <c r="E223" i="116"/>
  <c r="D223" i="116"/>
  <c r="C223" i="116"/>
  <c r="B223" i="116"/>
  <c r="K222" i="116"/>
  <c r="J222" i="116"/>
  <c r="I222" i="116"/>
  <c r="H222" i="116"/>
  <c r="G222" i="116"/>
  <c r="F222" i="116"/>
  <c r="E222" i="116"/>
  <c r="D222" i="116"/>
  <c r="C222" i="116"/>
  <c r="B222" i="116"/>
  <c r="K221" i="116"/>
  <c r="J221" i="116"/>
  <c r="I221" i="116"/>
  <c r="H221" i="116"/>
  <c r="G221" i="116"/>
  <c r="F221" i="116"/>
  <c r="E221" i="116"/>
  <c r="D221" i="116"/>
  <c r="C221" i="116"/>
  <c r="B221" i="116"/>
  <c r="K220" i="116"/>
  <c r="J220" i="116"/>
  <c r="I220" i="116"/>
  <c r="H220" i="116"/>
  <c r="G220" i="116"/>
  <c r="F220" i="116"/>
  <c r="E220" i="116"/>
  <c r="D220" i="116"/>
  <c r="C220" i="116"/>
  <c r="B220" i="116"/>
  <c r="K219" i="116"/>
  <c r="J219" i="116"/>
  <c r="I219" i="116"/>
  <c r="H219" i="116"/>
  <c r="G219" i="116"/>
  <c r="F219" i="116"/>
  <c r="E219" i="116"/>
  <c r="D219" i="116"/>
  <c r="C219" i="116"/>
  <c r="B219" i="116"/>
  <c r="K218" i="116"/>
  <c r="J218" i="116"/>
  <c r="I218" i="116"/>
  <c r="H218" i="116"/>
  <c r="G218" i="116"/>
  <c r="F218" i="116"/>
  <c r="E218" i="116"/>
  <c r="D218" i="116"/>
  <c r="C218" i="116"/>
  <c r="B218" i="116"/>
  <c r="K217" i="116"/>
  <c r="J217" i="116"/>
  <c r="I217" i="116"/>
  <c r="H217" i="116"/>
  <c r="G217" i="116"/>
  <c r="F217" i="116"/>
  <c r="E217" i="116"/>
  <c r="D217" i="116"/>
  <c r="C217" i="116"/>
  <c r="B217" i="116"/>
  <c r="K216" i="116"/>
  <c r="J216" i="116"/>
  <c r="I216" i="116"/>
  <c r="H216" i="116"/>
  <c r="G216" i="116"/>
  <c r="F216" i="116"/>
  <c r="E216" i="116"/>
  <c r="D216" i="116"/>
  <c r="C216" i="116"/>
  <c r="B216" i="116"/>
  <c r="K215" i="116"/>
  <c r="J215" i="116"/>
  <c r="I215" i="116"/>
  <c r="H215" i="116"/>
  <c r="G215" i="116"/>
  <c r="F215" i="116"/>
  <c r="E215" i="116"/>
  <c r="D215" i="116"/>
  <c r="C215" i="116"/>
  <c r="B215" i="116"/>
  <c r="K214" i="116"/>
  <c r="J214" i="116"/>
  <c r="I214" i="116"/>
  <c r="H214" i="116"/>
  <c r="G214" i="116"/>
  <c r="F214" i="116"/>
  <c r="E214" i="116"/>
  <c r="D214" i="116"/>
  <c r="C214" i="116"/>
  <c r="B214" i="116"/>
  <c r="K213" i="116"/>
  <c r="J213" i="116"/>
  <c r="I213" i="116"/>
  <c r="H213" i="116"/>
  <c r="G213" i="116"/>
  <c r="F213" i="116"/>
  <c r="E213" i="116"/>
  <c r="D213" i="116"/>
  <c r="C213" i="116"/>
  <c r="B213" i="116"/>
  <c r="K212" i="116"/>
  <c r="J212" i="116"/>
  <c r="I212" i="116"/>
  <c r="H212" i="116"/>
  <c r="G212" i="116"/>
  <c r="F212" i="116"/>
  <c r="E212" i="116"/>
  <c r="D212" i="116"/>
  <c r="C212" i="116"/>
  <c r="B212" i="116"/>
  <c r="K211" i="116"/>
  <c r="J211" i="116"/>
  <c r="I211" i="116"/>
  <c r="H211" i="116"/>
  <c r="G211" i="116"/>
  <c r="F211" i="116"/>
  <c r="E211" i="116"/>
  <c r="D211" i="116"/>
  <c r="C211" i="116"/>
  <c r="B211" i="116"/>
  <c r="K210" i="116"/>
  <c r="J210" i="116"/>
  <c r="I210" i="116"/>
  <c r="H210" i="116"/>
  <c r="G210" i="116"/>
  <c r="F210" i="116"/>
  <c r="E210" i="116"/>
  <c r="D210" i="116"/>
  <c r="C210" i="116"/>
  <c r="B210" i="116"/>
  <c r="K209" i="116"/>
  <c r="J209" i="116"/>
  <c r="I209" i="116"/>
  <c r="H209" i="116"/>
  <c r="G209" i="116"/>
  <c r="F209" i="116"/>
  <c r="E209" i="116"/>
  <c r="D209" i="116"/>
  <c r="C209" i="116"/>
  <c r="B209" i="116"/>
  <c r="K208" i="116"/>
  <c r="J208" i="116"/>
  <c r="I208" i="116"/>
  <c r="H208" i="116"/>
  <c r="G208" i="116"/>
  <c r="F208" i="116"/>
  <c r="E208" i="116"/>
  <c r="D208" i="116"/>
  <c r="C208" i="116"/>
  <c r="B208" i="116"/>
  <c r="K207" i="116"/>
  <c r="J207" i="116"/>
  <c r="I207" i="116"/>
  <c r="H207" i="116"/>
  <c r="G207" i="116"/>
  <c r="F207" i="116"/>
  <c r="E207" i="116"/>
  <c r="D207" i="116"/>
  <c r="C207" i="116"/>
  <c r="B207" i="116"/>
  <c r="K206" i="116"/>
  <c r="J206" i="116"/>
  <c r="I206" i="116"/>
  <c r="H206" i="116"/>
  <c r="G206" i="116"/>
  <c r="F206" i="116"/>
  <c r="E206" i="116"/>
  <c r="D206" i="116"/>
  <c r="C206" i="116"/>
  <c r="B206" i="116"/>
  <c r="K205" i="116"/>
  <c r="J205" i="116"/>
  <c r="I205" i="116"/>
  <c r="H205" i="116"/>
  <c r="G205" i="116"/>
  <c r="F205" i="116"/>
  <c r="E205" i="116"/>
  <c r="D205" i="116"/>
  <c r="C205" i="116"/>
  <c r="B205" i="116"/>
  <c r="K204" i="116"/>
  <c r="J204" i="116"/>
  <c r="I204" i="116"/>
  <c r="H204" i="116"/>
  <c r="G204" i="116"/>
  <c r="F204" i="116"/>
  <c r="E204" i="116"/>
  <c r="D204" i="116"/>
  <c r="C204" i="116"/>
  <c r="B204" i="116"/>
  <c r="K203" i="116"/>
  <c r="J203" i="116"/>
  <c r="I203" i="116"/>
  <c r="H203" i="116"/>
  <c r="G203" i="116"/>
  <c r="F203" i="116"/>
  <c r="E203" i="116"/>
  <c r="D203" i="116"/>
  <c r="C203" i="116"/>
  <c r="B203" i="116"/>
  <c r="K202" i="116"/>
  <c r="J202" i="116"/>
  <c r="I202" i="116"/>
  <c r="H202" i="116"/>
  <c r="G202" i="116"/>
  <c r="F202" i="116"/>
  <c r="E202" i="116"/>
  <c r="D202" i="116"/>
  <c r="C202" i="116"/>
  <c r="B202" i="116"/>
  <c r="K201" i="116"/>
  <c r="J201" i="116"/>
  <c r="I201" i="116"/>
  <c r="H201" i="116"/>
  <c r="G201" i="116"/>
  <c r="F201" i="116"/>
  <c r="E201" i="116"/>
  <c r="D201" i="116"/>
  <c r="C201" i="116"/>
  <c r="B201" i="116"/>
  <c r="K200" i="116"/>
  <c r="J200" i="116"/>
  <c r="I200" i="116"/>
  <c r="H200" i="116"/>
  <c r="G200" i="116"/>
  <c r="F200" i="116"/>
  <c r="E200" i="116"/>
  <c r="D200" i="116"/>
  <c r="C200" i="116"/>
  <c r="B200" i="116"/>
  <c r="K199" i="116"/>
  <c r="J199" i="116"/>
  <c r="I199" i="116"/>
  <c r="H199" i="116"/>
  <c r="G199" i="116"/>
  <c r="F199" i="116"/>
  <c r="E199" i="116"/>
  <c r="D199" i="116"/>
  <c r="C199" i="116"/>
  <c r="B199" i="116"/>
  <c r="K198" i="116"/>
  <c r="J198" i="116"/>
  <c r="I198" i="116"/>
  <c r="H198" i="116"/>
  <c r="G198" i="116"/>
  <c r="F198" i="116"/>
  <c r="E198" i="116"/>
  <c r="D198" i="116"/>
  <c r="C198" i="116"/>
  <c r="B198" i="116"/>
  <c r="K197" i="116"/>
  <c r="J197" i="116"/>
  <c r="I197" i="116"/>
  <c r="H197" i="116"/>
  <c r="G197" i="116"/>
  <c r="F197" i="116"/>
  <c r="E197" i="116"/>
  <c r="D197" i="116"/>
  <c r="C197" i="116"/>
  <c r="B197" i="116"/>
  <c r="K196" i="116"/>
  <c r="J196" i="116"/>
  <c r="I196" i="116"/>
  <c r="H196" i="116"/>
  <c r="G196" i="116"/>
  <c r="F196" i="116"/>
  <c r="E196" i="116"/>
  <c r="D196" i="116"/>
  <c r="C196" i="116"/>
  <c r="B196" i="116"/>
  <c r="K195" i="116"/>
  <c r="J195" i="116"/>
  <c r="I195" i="116"/>
  <c r="H195" i="116"/>
  <c r="G195" i="116"/>
  <c r="F195" i="116"/>
  <c r="E195" i="116"/>
  <c r="D195" i="116"/>
  <c r="C195" i="116"/>
  <c r="B195" i="116"/>
  <c r="K194" i="116"/>
  <c r="J194" i="116"/>
  <c r="I194" i="116"/>
  <c r="H194" i="116"/>
  <c r="G194" i="116"/>
  <c r="F194" i="116"/>
  <c r="E194" i="116"/>
  <c r="D194" i="116"/>
  <c r="C194" i="116"/>
  <c r="B194" i="116"/>
  <c r="K193" i="116"/>
  <c r="J193" i="116"/>
  <c r="I193" i="116"/>
  <c r="H193" i="116"/>
  <c r="G193" i="116"/>
  <c r="F193" i="116"/>
  <c r="E193" i="116"/>
  <c r="D193" i="116"/>
  <c r="C193" i="116"/>
  <c r="B193" i="116"/>
  <c r="K192" i="116"/>
  <c r="J192" i="116"/>
  <c r="I192" i="116"/>
  <c r="H192" i="116"/>
  <c r="G192" i="116"/>
  <c r="F192" i="116"/>
  <c r="E192" i="116"/>
  <c r="D192" i="116"/>
  <c r="C192" i="116"/>
  <c r="B192" i="116"/>
  <c r="K191" i="116"/>
  <c r="J191" i="116"/>
  <c r="I191" i="116"/>
  <c r="H191" i="116"/>
  <c r="G191" i="116"/>
  <c r="F191" i="116"/>
  <c r="E191" i="116"/>
  <c r="D191" i="116"/>
  <c r="C191" i="116"/>
  <c r="B191" i="116"/>
  <c r="K190" i="116"/>
  <c r="J190" i="116"/>
  <c r="I190" i="116"/>
  <c r="H190" i="116"/>
  <c r="G190" i="116"/>
  <c r="F190" i="116"/>
  <c r="E190" i="116"/>
  <c r="D190" i="116"/>
  <c r="C190" i="116"/>
  <c r="B190" i="116"/>
  <c r="K189" i="116"/>
  <c r="J189" i="116"/>
  <c r="I189" i="116"/>
  <c r="H189" i="116"/>
  <c r="G189" i="116"/>
  <c r="F189" i="116"/>
  <c r="E189" i="116"/>
  <c r="D189" i="116"/>
  <c r="C189" i="116"/>
  <c r="B189" i="116"/>
  <c r="K188" i="116"/>
  <c r="J188" i="116"/>
  <c r="I188" i="116"/>
  <c r="H188" i="116"/>
  <c r="G188" i="116"/>
  <c r="F188" i="116"/>
  <c r="E188" i="116"/>
  <c r="D188" i="116"/>
  <c r="C188" i="116"/>
  <c r="B188" i="116"/>
  <c r="K187" i="116"/>
  <c r="J187" i="116"/>
  <c r="I187" i="116"/>
  <c r="H187" i="116"/>
  <c r="G187" i="116"/>
  <c r="F187" i="116"/>
  <c r="E187" i="116"/>
  <c r="D187" i="116"/>
  <c r="C187" i="116"/>
  <c r="B187" i="116"/>
  <c r="K186" i="116"/>
  <c r="J186" i="116"/>
  <c r="I186" i="116"/>
  <c r="H186" i="116"/>
  <c r="G186" i="116"/>
  <c r="F186" i="116"/>
  <c r="E186" i="116"/>
  <c r="D186" i="116"/>
  <c r="C186" i="116"/>
  <c r="B186" i="116"/>
  <c r="K185" i="116"/>
  <c r="J185" i="116"/>
  <c r="I185" i="116"/>
  <c r="H185" i="116"/>
  <c r="G185" i="116"/>
  <c r="F185" i="116"/>
  <c r="E185" i="116"/>
  <c r="D185" i="116"/>
  <c r="C185" i="116"/>
  <c r="B185" i="116"/>
  <c r="K184" i="116"/>
  <c r="J184" i="116"/>
  <c r="I184" i="116"/>
  <c r="H184" i="116"/>
  <c r="G184" i="116"/>
  <c r="F184" i="116"/>
  <c r="E184" i="116"/>
  <c r="D184" i="116"/>
  <c r="C184" i="116"/>
  <c r="B184" i="116"/>
  <c r="K183" i="116"/>
  <c r="J183" i="116"/>
  <c r="I183" i="116"/>
  <c r="H183" i="116"/>
  <c r="G183" i="116"/>
  <c r="F183" i="116"/>
  <c r="E183" i="116"/>
  <c r="D183" i="116"/>
  <c r="C183" i="116"/>
  <c r="B183" i="116"/>
  <c r="K182" i="116"/>
  <c r="J182" i="116"/>
  <c r="I182" i="116"/>
  <c r="H182" i="116"/>
  <c r="G182" i="116"/>
  <c r="F182" i="116"/>
  <c r="E182" i="116"/>
  <c r="D182" i="116"/>
  <c r="C182" i="116"/>
  <c r="B182" i="116"/>
  <c r="K181" i="116"/>
  <c r="J181" i="116"/>
  <c r="I181" i="116"/>
  <c r="H181" i="116"/>
  <c r="G181" i="116"/>
  <c r="F181" i="116"/>
  <c r="E181" i="116"/>
  <c r="D181" i="116"/>
  <c r="C181" i="116"/>
  <c r="B181" i="116"/>
  <c r="K180" i="116"/>
  <c r="J180" i="116"/>
  <c r="I180" i="116"/>
  <c r="H180" i="116"/>
  <c r="G180" i="116"/>
  <c r="F180" i="116"/>
  <c r="E180" i="116"/>
  <c r="D180" i="116"/>
  <c r="C180" i="116"/>
  <c r="B180" i="116"/>
  <c r="K179" i="116"/>
  <c r="J179" i="116"/>
  <c r="I179" i="116"/>
  <c r="H179" i="116"/>
  <c r="G179" i="116"/>
  <c r="F179" i="116"/>
  <c r="E179" i="116"/>
  <c r="D179" i="116"/>
  <c r="C179" i="116"/>
  <c r="B179" i="116"/>
  <c r="K178" i="116"/>
  <c r="J178" i="116"/>
  <c r="I178" i="116"/>
  <c r="H178" i="116"/>
  <c r="G178" i="116"/>
  <c r="F178" i="116"/>
  <c r="E178" i="116"/>
  <c r="D178" i="116"/>
  <c r="C178" i="116"/>
  <c r="B178" i="116"/>
  <c r="K177" i="116"/>
  <c r="J177" i="116"/>
  <c r="I177" i="116"/>
  <c r="H177" i="116"/>
  <c r="G177" i="116"/>
  <c r="F177" i="116"/>
  <c r="E177" i="116"/>
  <c r="D177" i="116"/>
  <c r="C177" i="116"/>
  <c r="B177" i="116"/>
  <c r="K176" i="116"/>
  <c r="J176" i="116"/>
  <c r="I176" i="116"/>
  <c r="H176" i="116"/>
  <c r="G176" i="116"/>
  <c r="F176" i="116"/>
  <c r="E176" i="116"/>
  <c r="D176" i="116"/>
  <c r="C176" i="116"/>
  <c r="B176" i="116"/>
  <c r="K175" i="116"/>
  <c r="J175" i="116"/>
  <c r="I175" i="116"/>
  <c r="H175" i="116"/>
  <c r="G175" i="116"/>
  <c r="F175" i="116"/>
  <c r="E175" i="116"/>
  <c r="D175" i="116"/>
  <c r="C175" i="116"/>
  <c r="B175" i="116"/>
  <c r="K174" i="116"/>
  <c r="J174" i="116"/>
  <c r="I174" i="116"/>
  <c r="H174" i="116"/>
  <c r="G174" i="116"/>
  <c r="F174" i="116"/>
  <c r="E174" i="116"/>
  <c r="D174" i="116"/>
  <c r="C174" i="116"/>
  <c r="B174" i="116"/>
  <c r="K173" i="116"/>
  <c r="J173" i="116"/>
  <c r="I173" i="116"/>
  <c r="H173" i="116"/>
  <c r="G173" i="116"/>
  <c r="F173" i="116"/>
  <c r="E173" i="116"/>
  <c r="D173" i="116"/>
  <c r="C173" i="116"/>
  <c r="B173" i="116"/>
  <c r="K172" i="116"/>
  <c r="J172" i="116"/>
  <c r="I172" i="116"/>
  <c r="H172" i="116"/>
  <c r="G172" i="116"/>
  <c r="F172" i="116"/>
  <c r="E172" i="116"/>
  <c r="D172" i="116"/>
  <c r="C172" i="116"/>
  <c r="B172" i="116"/>
  <c r="K171" i="116"/>
  <c r="J171" i="116"/>
  <c r="I171" i="116"/>
  <c r="H171" i="116"/>
  <c r="G171" i="116"/>
  <c r="F171" i="116"/>
  <c r="E171" i="116"/>
  <c r="D171" i="116"/>
  <c r="C171" i="116"/>
  <c r="B171" i="116"/>
  <c r="K170" i="116"/>
  <c r="J170" i="116"/>
  <c r="I170" i="116"/>
  <c r="H170" i="116"/>
  <c r="G170" i="116"/>
  <c r="F170" i="116"/>
  <c r="E170" i="116"/>
  <c r="D170" i="116"/>
  <c r="C170" i="116"/>
  <c r="B170" i="116"/>
  <c r="K169" i="116"/>
  <c r="J169" i="116"/>
  <c r="I169" i="116"/>
  <c r="H169" i="116"/>
  <c r="G169" i="116"/>
  <c r="F169" i="116"/>
  <c r="E169" i="116"/>
  <c r="D169" i="116"/>
  <c r="C169" i="116"/>
  <c r="B169" i="116"/>
  <c r="K168" i="116"/>
  <c r="J168" i="116"/>
  <c r="I168" i="116"/>
  <c r="H168" i="116"/>
  <c r="G168" i="116"/>
  <c r="F168" i="116"/>
  <c r="E168" i="116"/>
  <c r="D168" i="116"/>
  <c r="C168" i="116"/>
  <c r="B168" i="116"/>
  <c r="K167" i="116"/>
  <c r="J167" i="116"/>
  <c r="I167" i="116"/>
  <c r="H167" i="116"/>
  <c r="G167" i="116"/>
  <c r="F167" i="116"/>
  <c r="E167" i="116"/>
  <c r="D167" i="116"/>
  <c r="C167" i="116"/>
  <c r="B167" i="116"/>
  <c r="K166" i="116"/>
  <c r="J166" i="116"/>
  <c r="I166" i="116"/>
  <c r="H166" i="116"/>
  <c r="G166" i="116"/>
  <c r="F166" i="116"/>
  <c r="E166" i="116"/>
  <c r="D166" i="116"/>
  <c r="C166" i="116"/>
  <c r="B166" i="116"/>
  <c r="K165" i="116"/>
  <c r="J165" i="116"/>
  <c r="I165" i="116"/>
  <c r="H165" i="116"/>
  <c r="G165" i="116"/>
  <c r="F165" i="116"/>
  <c r="E165" i="116"/>
  <c r="D165" i="116"/>
  <c r="C165" i="116"/>
  <c r="B165" i="116"/>
  <c r="K164" i="116"/>
  <c r="J164" i="116"/>
  <c r="I164" i="116"/>
  <c r="H164" i="116"/>
  <c r="G164" i="116"/>
  <c r="F164" i="116"/>
  <c r="E164" i="116"/>
  <c r="D164" i="116"/>
  <c r="C164" i="116"/>
  <c r="B164" i="116"/>
  <c r="K163" i="116"/>
  <c r="J163" i="116"/>
  <c r="I163" i="116"/>
  <c r="H163" i="116"/>
  <c r="G163" i="116"/>
  <c r="F163" i="116"/>
  <c r="E163" i="116"/>
  <c r="D163" i="116"/>
  <c r="C163" i="116"/>
  <c r="B163" i="116"/>
  <c r="K162" i="116"/>
  <c r="J162" i="116"/>
  <c r="I162" i="116"/>
  <c r="H162" i="116"/>
  <c r="G162" i="116"/>
  <c r="F162" i="116"/>
  <c r="E162" i="116"/>
  <c r="D162" i="116"/>
  <c r="C162" i="116"/>
  <c r="B162" i="116"/>
  <c r="K161" i="116"/>
  <c r="J161" i="116"/>
  <c r="I161" i="116"/>
  <c r="H161" i="116"/>
  <c r="G161" i="116"/>
  <c r="F161" i="116"/>
  <c r="E161" i="116"/>
  <c r="D161" i="116"/>
  <c r="C161" i="116"/>
  <c r="B161" i="116"/>
  <c r="K160" i="116"/>
  <c r="J160" i="116"/>
  <c r="I160" i="116"/>
  <c r="H160" i="116"/>
  <c r="G160" i="116"/>
  <c r="F160" i="116"/>
  <c r="E160" i="116"/>
  <c r="D160" i="116"/>
  <c r="C160" i="116"/>
  <c r="B160" i="116"/>
  <c r="K159" i="116"/>
  <c r="J159" i="116"/>
  <c r="I159" i="116"/>
  <c r="H159" i="116"/>
  <c r="G159" i="116"/>
  <c r="F159" i="116"/>
  <c r="E159" i="116"/>
  <c r="D159" i="116"/>
  <c r="C159" i="116"/>
  <c r="B159" i="116"/>
  <c r="K158" i="116"/>
  <c r="J158" i="116"/>
  <c r="I158" i="116"/>
  <c r="H158" i="116"/>
  <c r="G158" i="116"/>
  <c r="F158" i="116"/>
  <c r="E158" i="116"/>
  <c r="D158" i="116"/>
  <c r="C158" i="116"/>
  <c r="B158" i="116"/>
  <c r="K157" i="116"/>
  <c r="J157" i="116"/>
  <c r="I157" i="116"/>
  <c r="H157" i="116"/>
  <c r="G157" i="116"/>
  <c r="F157" i="116"/>
  <c r="E157" i="116"/>
  <c r="D157" i="116"/>
  <c r="C157" i="116"/>
  <c r="B157" i="116"/>
  <c r="K156" i="116"/>
  <c r="J156" i="116"/>
  <c r="I156" i="116"/>
  <c r="H156" i="116"/>
  <c r="G156" i="116"/>
  <c r="F156" i="116"/>
  <c r="E156" i="116"/>
  <c r="D156" i="116"/>
  <c r="C156" i="116"/>
  <c r="B156" i="116"/>
  <c r="K155" i="116"/>
  <c r="J155" i="116"/>
  <c r="I155" i="116"/>
  <c r="H155" i="116"/>
  <c r="G155" i="116"/>
  <c r="F155" i="116"/>
  <c r="E155" i="116"/>
  <c r="D155" i="116"/>
  <c r="C155" i="116"/>
  <c r="B155" i="116"/>
  <c r="K154" i="116"/>
  <c r="J154" i="116"/>
  <c r="I154" i="116"/>
  <c r="H154" i="116"/>
  <c r="G154" i="116"/>
  <c r="F154" i="116"/>
  <c r="E154" i="116"/>
  <c r="D154" i="116"/>
  <c r="C154" i="116"/>
  <c r="B154" i="116"/>
  <c r="K153" i="116"/>
  <c r="J153" i="116"/>
  <c r="I153" i="116"/>
  <c r="H153" i="116"/>
  <c r="G153" i="116"/>
  <c r="F153" i="116"/>
  <c r="E153" i="116"/>
  <c r="D153" i="116"/>
  <c r="C153" i="116"/>
  <c r="B153" i="116"/>
  <c r="K152" i="116"/>
  <c r="J152" i="116"/>
  <c r="I152" i="116"/>
  <c r="H152" i="116"/>
  <c r="G152" i="116"/>
  <c r="F152" i="116"/>
  <c r="E152" i="116"/>
  <c r="D152" i="116"/>
  <c r="C152" i="116"/>
  <c r="B152" i="116"/>
  <c r="K151" i="116"/>
  <c r="J151" i="116"/>
  <c r="I151" i="116"/>
  <c r="H151" i="116"/>
  <c r="G151" i="116"/>
  <c r="F151" i="116"/>
  <c r="E151" i="116"/>
  <c r="D151" i="116"/>
  <c r="C151" i="116"/>
  <c r="B151" i="116"/>
  <c r="K150" i="116"/>
  <c r="J150" i="116"/>
  <c r="I150" i="116"/>
  <c r="H150" i="116"/>
  <c r="G150" i="116"/>
  <c r="F150" i="116"/>
  <c r="E150" i="116"/>
  <c r="D150" i="116"/>
  <c r="C150" i="116"/>
  <c r="B150" i="116"/>
  <c r="K149" i="116"/>
  <c r="J149" i="116"/>
  <c r="I149" i="116"/>
  <c r="H149" i="116"/>
  <c r="G149" i="116"/>
  <c r="F149" i="116"/>
  <c r="E149" i="116"/>
  <c r="D149" i="116"/>
  <c r="C149" i="116"/>
  <c r="B149" i="116"/>
  <c r="K148" i="116"/>
  <c r="J148" i="116"/>
  <c r="I148" i="116"/>
  <c r="H148" i="116"/>
  <c r="G148" i="116"/>
  <c r="F148" i="116"/>
  <c r="E148" i="116"/>
  <c r="D148" i="116"/>
  <c r="C148" i="116"/>
  <c r="B148" i="116"/>
  <c r="K147" i="116"/>
  <c r="J147" i="116"/>
  <c r="I147" i="116"/>
  <c r="H147" i="116"/>
  <c r="G147" i="116"/>
  <c r="F147" i="116"/>
  <c r="E147" i="116"/>
  <c r="D147" i="116"/>
  <c r="C147" i="116"/>
  <c r="B147" i="116"/>
  <c r="K146" i="116"/>
  <c r="J146" i="116"/>
  <c r="I146" i="116"/>
  <c r="H146" i="116"/>
  <c r="G146" i="116"/>
  <c r="F146" i="116"/>
  <c r="E146" i="116"/>
  <c r="D146" i="116"/>
  <c r="C146" i="116"/>
  <c r="B146" i="116"/>
  <c r="K145" i="116"/>
  <c r="J145" i="116"/>
  <c r="I145" i="116"/>
  <c r="H145" i="116"/>
  <c r="G145" i="116"/>
  <c r="F145" i="116"/>
  <c r="E145" i="116"/>
  <c r="D145" i="116"/>
  <c r="C145" i="116"/>
  <c r="B145" i="116"/>
  <c r="K144" i="116"/>
  <c r="J144" i="116"/>
  <c r="I144" i="116"/>
  <c r="H144" i="116"/>
  <c r="G144" i="116"/>
  <c r="F144" i="116"/>
  <c r="E144" i="116"/>
  <c r="D144" i="116"/>
  <c r="C144" i="116"/>
  <c r="B144" i="116"/>
  <c r="K143" i="116"/>
  <c r="J143" i="116"/>
  <c r="I143" i="116"/>
  <c r="H143" i="116"/>
  <c r="G143" i="116"/>
  <c r="F143" i="116"/>
  <c r="E143" i="116"/>
  <c r="D143" i="116"/>
  <c r="C143" i="116"/>
  <c r="B143" i="116"/>
  <c r="K142" i="116"/>
  <c r="J142" i="116"/>
  <c r="I142" i="116"/>
  <c r="H142" i="116"/>
  <c r="G142" i="116"/>
  <c r="F142" i="116"/>
  <c r="E142" i="116"/>
  <c r="D142" i="116"/>
  <c r="C142" i="116"/>
  <c r="B142" i="116"/>
  <c r="K141" i="116"/>
  <c r="J141" i="116"/>
  <c r="I141" i="116"/>
  <c r="H141" i="116"/>
  <c r="G141" i="116"/>
  <c r="F141" i="116"/>
  <c r="E141" i="116"/>
  <c r="D141" i="116"/>
  <c r="C141" i="116"/>
  <c r="B141" i="116"/>
  <c r="K140" i="116"/>
  <c r="J140" i="116"/>
  <c r="I140" i="116"/>
  <c r="H140" i="116"/>
  <c r="G140" i="116"/>
  <c r="F140" i="116"/>
  <c r="E140" i="116"/>
  <c r="D140" i="116"/>
  <c r="C140" i="116"/>
  <c r="B140" i="116"/>
  <c r="K139" i="116"/>
  <c r="J139" i="116"/>
  <c r="I139" i="116"/>
  <c r="H139" i="116"/>
  <c r="G139" i="116"/>
  <c r="F139" i="116"/>
  <c r="E139" i="116"/>
  <c r="D139" i="116"/>
  <c r="C139" i="116"/>
  <c r="B139" i="116"/>
  <c r="K138" i="116"/>
  <c r="J138" i="116"/>
  <c r="I138" i="116"/>
  <c r="H138" i="116"/>
  <c r="G138" i="116"/>
  <c r="F138" i="116"/>
  <c r="E138" i="116"/>
  <c r="D138" i="116"/>
  <c r="C138" i="116"/>
  <c r="B138" i="116"/>
  <c r="K137" i="116"/>
  <c r="J137" i="116"/>
  <c r="I137" i="116"/>
  <c r="H137" i="116"/>
  <c r="G137" i="116"/>
  <c r="F137" i="116"/>
  <c r="E137" i="116"/>
  <c r="D137" i="116"/>
  <c r="C137" i="116"/>
  <c r="B137" i="116"/>
  <c r="K136" i="116"/>
  <c r="J136" i="116"/>
  <c r="I136" i="116"/>
  <c r="H136" i="116"/>
  <c r="G136" i="116"/>
  <c r="F136" i="116"/>
  <c r="E136" i="116"/>
  <c r="D136" i="116"/>
  <c r="C136" i="116"/>
  <c r="B136" i="116"/>
  <c r="K135" i="116"/>
  <c r="J135" i="116"/>
  <c r="I135" i="116"/>
  <c r="H135" i="116"/>
  <c r="G135" i="116"/>
  <c r="F135" i="116"/>
  <c r="E135" i="116"/>
  <c r="D135" i="116"/>
  <c r="C135" i="116"/>
  <c r="B135" i="116"/>
  <c r="K134" i="116"/>
  <c r="J134" i="116"/>
  <c r="I134" i="116"/>
  <c r="H134" i="116"/>
  <c r="G134" i="116"/>
  <c r="F134" i="116"/>
  <c r="E134" i="116"/>
  <c r="D134" i="116"/>
  <c r="C134" i="116"/>
  <c r="B134" i="116"/>
  <c r="K133" i="116"/>
  <c r="J133" i="116"/>
  <c r="I133" i="116"/>
  <c r="H133" i="116"/>
  <c r="G133" i="116"/>
  <c r="F133" i="116"/>
  <c r="E133" i="116"/>
  <c r="D133" i="116"/>
  <c r="C133" i="116"/>
  <c r="B133" i="116"/>
  <c r="K132" i="116"/>
  <c r="J132" i="116"/>
  <c r="I132" i="116"/>
  <c r="H132" i="116"/>
  <c r="G132" i="116"/>
  <c r="F132" i="116"/>
  <c r="E132" i="116"/>
  <c r="D132" i="116"/>
  <c r="C132" i="116"/>
  <c r="B132" i="116"/>
  <c r="K131" i="116"/>
  <c r="J131" i="116"/>
  <c r="I131" i="116"/>
  <c r="H131" i="116"/>
  <c r="G131" i="116"/>
  <c r="F131" i="116"/>
  <c r="E131" i="116"/>
  <c r="D131" i="116"/>
  <c r="C131" i="116"/>
  <c r="B131" i="116"/>
  <c r="K130" i="116"/>
  <c r="J130" i="116"/>
  <c r="I130" i="116"/>
  <c r="H130" i="116"/>
  <c r="G130" i="116"/>
  <c r="F130" i="116"/>
  <c r="E130" i="116"/>
  <c r="D130" i="116"/>
  <c r="C130" i="116"/>
  <c r="B130" i="116"/>
  <c r="K129" i="116"/>
  <c r="J129" i="116"/>
  <c r="I129" i="116"/>
  <c r="H129" i="116"/>
  <c r="G129" i="116"/>
  <c r="F129" i="116"/>
  <c r="E129" i="116"/>
  <c r="D129" i="116"/>
  <c r="C129" i="116"/>
  <c r="B129" i="116"/>
  <c r="K128" i="116"/>
  <c r="J128" i="116"/>
  <c r="I128" i="116"/>
  <c r="H128" i="116"/>
  <c r="G128" i="116"/>
  <c r="F128" i="116"/>
  <c r="E128" i="116"/>
  <c r="D128" i="116"/>
  <c r="C128" i="116"/>
  <c r="B128" i="116"/>
  <c r="K127" i="116"/>
  <c r="J127" i="116"/>
  <c r="I127" i="116"/>
  <c r="H127" i="116"/>
  <c r="G127" i="116"/>
  <c r="F127" i="116"/>
  <c r="E127" i="116"/>
  <c r="D127" i="116"/>
  <c r="C127" i="116"/>
  <c r="B127" i="116"/>
  <c r="K126" i="116"/>
  <c r="J126" i="116"/>
  <c r="I126" i="116"/>
  <c r="H126" i="116"/>
  <c r="G126" i="116"/>
  <c r="F126" i="116"/>
  <c r="E126" i="116"/>
  <c r="D126" i="116"/>
  <c r="C126" i="116"/>
  <c r="B126" i="116"/>
  <c r="K125" i="116"/>
  <c r="J125" i="116"/>
  <c r="I125" i="116"/>
  <c r="H125" i="116"/>
  <c r="G125" i="116"/>
  <c r="F125" i="116"/>
  <c r="E125" i="116"/>
  <c r="D125" i="116"/>
  <c r="C125" i="116"/>
  <c r="B125" i="116"/>
  <c r="K124" i="116"/>
  <c r="J124" i="116"/>
  <c r="I124" i="116"/>
  <c r="H124" i="116"/>
  <c r="G124" i="116"/>
  <c r="F124" i="116"/>
  <c r="E124" i="116"/>
  <c r="D124" i="116"/>
  <c r="C124" i="116"/>
  <c r="B124" i="116"/>
  <c r="K123" i="116"/>
  <c r="J123" i="116"/>
  <c r="I123" i="116"/>
  <c r="H123" i="116"/>
  <c r="G123" i="116"/>
  <c r="F123" i="116"/>
  <c r="E123" i="116"/>
  <c r="D123" i="116"/>
  <c r="C123" i="116"/>
  <c r="B123" i="116"/>
  <c r="K122" i="116"/>
  <c r="J122" i="116"/>
  <c r="I122" i="116"/>
  <c r="H122" i="116"/>
  <c r="G122" i="116"/>
  <c r="F122" i="116"/>
  <c r="E122" i="116"/>
  <c r="D122" i="116"/>
  <c r="C122" i="116"/>
  <c r="B122" i="116"/>
  <c r="K121" i="116"/>
  <c r="J121" i="116"/>
  <c r="I121" i="116"/>
  <c r="H121" i="116"/>
  <c r="G121" i="116"/>
  <c r="F121" i="116"/>
  <c r="E121" i="116"/>
  <c r="D121" i="116"/>
  <c r="C121" i="116"/>
  <c r="B121" i="116"/>
  <c r="K120" i="116"/>
  <c r="J120" i="116"/>
  <c r="I120" i="116"/>
  <c r="H120" i="116"/>
  <c r="G120" i="116"/>
  <c r="F120" i="116"/>
  <c r="E120" i="116"/>
  <c r="D120" i="116"/>
  <c r="C120" i="116"/>
  <c r="B120" i="116"/>
  <c r="K119" i="116"/>
  <c r="J119" i="116"/>
  <c r="I119" i="116"/>
  <c r="H119" i="116"/>
  <c r="G119" i="116"/>
  <c r="F119" i="116"/>
  <c r="E119" i="116"/>
  <c r="D119" i="116"/>
  <c r="C119" i="116"/>
  <c r="B119" i="116"/>
  <c r="K118" i="116"/>
  <c r="J118" i="116"/>
  <c r="I118" i="116"/>
  <c r="H118" i="116"/>
  <c r="G118" i="116"/>
  <c r="F118" i="116"/>
  <c r="E118" i="116"/>
  <c r="D118" i="116"/>
  <c r="C118" i="116"/>
  <c r="B118" i="116"/>
  <c r="K117" i="116"/>
  <c r="J117" i="116"/>
  <c r="I117" i="116"/>
  <c r="H117" i="116"/>
  <c r="G117" i="116"/>
  <c r="F117" i="116"/>
  <c r="E117" i="116"/>
  <c r="D117" i="116"/>
  <c r="C117" i="116"/>
  <c r="B117" i="116"/>
  <c r="K116" i="116"/>
  <c r="J116" i="116"/>
  <c r="I116" i="116"/>
  <c r="H116" i="116"/>
  <c r="G116" i="116"/>
  <c r="F116" i="116"/>
  <c r="E116" i="116"/>
  <c r="D116" i="116"/>
  <c r="C116" i="116"/>
  <c r="B116" i="116"/>
  <c r="K115" i="116"/>
  <c r="J115" i="116"/>
  <c r="I115" i="116"/>
  <c r="H115" i="116"/>
  <c r="G115" i="116"/>
  <c r="F115" i="116"/>
  <c r="E115" i="116"/>
  <c r="D115" i="116"/>
  <c r="C115" i="116"/>
  <c r="B115" i="116"/>
  <c r="K114" i="116"/>
  <c r="J114" i="116"/>
  <c r="I114" i="116"/>
  <c r="H114" i="116"/>
  <c r="G114" i="116"/>
  <c r="F114" i="116"/>
  <c r="E114" i="116"/>
  <c r="D114" i="116"/>
  <c r="C114" i="116"/>
  <c r="B114" i="116"/>
  <c r="K113" i="116"/>
  <c r="J113" i="116"/>
  <c r="I113" i="116"/>
  <c r="H113" i="116"/>
  <c r="G113" i="116"/>
  <c r="F113" i="116"/>
  <c r="E113" i="116"/>
  <c r="D113" i="116"/>
  <c r="C113" i="116"/>
  <c r="B113" i="116"/>
  <c r="K112" i="116"/>
  <c r="J112" i="116"/>
  <c r="I112" i="116"/>
  <c r="H112" i="116"/>
  <c r="G112" i="116"/>
  <c r="F112" i="116"/>
  <c r="E112" i="116"/>
  <c r="D112" i="116"/>
  <c r="C112" i="116"/>
  <c r="B112" i="116"/>
  <c r="K111" i="116"/>
  <c r="J111" i="116"/>
  <c r="I111" i="116"/>
  <c r="H111" i="116"/>
  <c r="G111" i="116"/>
  <c r="F111" i="116"/>
  <c r="E111" i="116"/>
  <c r="D111" i="116"/>
  <c r="C111" i="116"/>
  <c r="B111" i="116"/>
  <c r="K110" i="116"/>
  <c r="J110" i="116"/>
  <c r="I110" i="116"/>
  <c r="H110" i="116"/>
  <c r="G110" i="116"/>
  <c r="F110" i="116"/>
  <c r="E110" i="116"/>
  <c r="D110" i="116"/>
  <c r="C110" i="116"/>
  <c r="B110" i="116"/>
  <c r="K109" i="116"/>
  <c r="J109" i="116"/>
  <c r="I109" i="116"/>
  <c r="H109" i="116"/>
  <c r="G109" i="116"/>
  <c r="F109" i="116"/>
  <c r="E109" i="116"/>
  <c r="D109" i="116"/>
  <c r="C109" i="116"/>
  <c r="B109" i="116"/>
  <c r="K108" i="116"/>
  <c r="J108" i="116"/>
  <c r="I108" i="116"/>
  <c r="H108" i="116"/>
  <c r="G108" i="116"/>
  <c r="F108" i="116"/>
  <c r="E108" i="116"/>
  <c r="D108" i="116"/>
  <c r="C108" i="116"/>
  <c r="B108" i="116"/>
  <c r="K107" i="116"/>
  <c r="J107" i="116"/>
  <c r="I107" i="116"/>
  <c r="H107" i="116"/>
  <c r="G107" i="116"/>
  <c r="F107" i="116"/>
  <c r="E107" i="116"/>
  <c r="D107" i="116"/>
  <c r="C107" i="116"/>
  <c r="B107" i="116"/>
  <c r="K106" i="116"/>
  <c r="J106" i="116"/>
  <c r="I106" i="116"/>
  <c r="H106" i="116"/>
  <c r="G106" i="116"/>
  <c r="F106" i="116"/>
  <c r="E106" i="116"/>
  <c r="D106" i="116"/>
  <c r="C106" i="116"/>
  <c r="B106" i="116"/>
  <c r="K105" i="116"/>
  <c r="J105" i="116"/>
  <c r="I105" i="116"/>
  <c r="H105" i="116"/>
  <c r="G105" i="116"/>
  <c r="F105" i="116"/>
  <c r="E105" i="116"/>
  <c r="D105" i="116"/>
  <c r="C105" i="116"/>
  <c r="B105" i="116"/>
  <c r="K104" i="116"/>
  <c r="J104" i="116"/>
  <c r="I104" i="116"/>
  <c r="H104" i="116"/>
  <c r="G104" i="116"/>
  <c r="F104" i="116"/>
  <c r="E104" i="116"/>
  <c r="D104" i="116"/>
  <c r="C104" i="116"/>
  <c r="B104" i="116"/>
  <c r="K103" i="116"/>
  <c r="J103" i="116"/>
  <c r="I103" i="116"/>
  <c r="H103" i="116"/>
  <c r="G103" i="116"/>
  <c r="F103" i="116"/>
  <c r="E103" i="116"/>
  <c r="D103" i="116"/>
  <c r="C103" i="116"/>
  <c r="B103" i="116"/>
  <c r="K102" i="116"/>
  <c r="J102" i="116"/>
  <c r="I102" i="116"/>
  <c r="H102" i="116"/>
  <c r="G102" i="116"/>
  <c r="F102" i="116"/>
  <c r="E102" i="116"/>
  <c r="D102" i="116"/>
  <c r="C102" i="116"/>
  <c r="B102" i="116"/>
  <c r="K101" i="116"/>
  <c r="J101" i="116"/>
  <c r="I101" i="116"/>
  <c r="H101" i="116"/>
  <c r="G101" i="116"/>
  <c r="F101" i="116"/>
  <c r="E101" i="116"/>
  <c r="D101" i="116"/>
  <c r="C101" i="116"/>
  <c r="B101" i="116"/>
  <c r="K100" i="116"/>
  <c r="J100" i="116"/>
  <c r="I100" i="116"/>
  <c r="H100" i="116"/>
  <c r="G100" i="116"/>
  <c r="F100" i="116"/>
  <c r="E100" i="116"/>
  <c r="D100" i="116"/>
  <c r="C100" i="116"/>
  <c r="B100" i="116"/>
  <c r="K99" i="116"/>
  <c r="J99" i="116"/>
  <c r="I99" i="116"/>
  <c r="H99" i="116"/>
  <c r="G99" i="116"/>
  <c r="F99" i="116"/>
  <c r="E99" i="116"/>
  <c r="D99" i="116"/>
  <c r="C99" i="116"/>
  <c r="B99" i="116"/>
  <c r="K98" i="116"/>
  <c r="J98" i="116"/>
  <c r="I98" i="116"/>
  <c r="H98" i="116"/>
  <c r="G98" i="116"/>
  <c r="F98" i="116"/>
  <c r="E98" i="116"/>
  <c r="D98" i="116"/>
  <c r="C98" i="116"/>
  <c r="B98" i="116"/>
  <c r="K97" i="116"/>
  <c r="J97" i="116"/>
  <c r="I97" i="116"/>
  <c r="H97" i="116"/>
  <c r="G97" i="116"/>
  <c r="F97" i="116"/>
  <c r="E97" i="116"/>
  <c r="D97" i="116"/>
  <c r="C97" i="116"/>
  <c r="B97" i="116"/>
  <c r="K96" i="116"/>
  <c r="J96" i="116"/>
  <c r="I96" i="116"/>
  <c r="H96" i="116"/>
  <c r="G96" i="116"/>
  <c r="F96" i="116"/>
  <c r="E96" i="116"/>
  <c r="D96" i="116"/>
  <c r="C96" i="116"/>
  <c r="B96" i="116"/>
  <c r="K95" i="116"/>
  <c r="J95" i="116"/>
  <c r="I95" i="116"/>
  <c r="H95" i="116"/>
  <c r="G95" i="116"/>
  <c r="F95" i="116"/>
  <c r="E95" i="116"/>
  <c r="D95" i="116"/>
  <c r="C95" i="116"/>
  <c r="B95" i="116"/>
  <c r="K94" i="116"/>
  <c r="J94" i="116"/>
  <c r="I94" i="116"/>
  <c r="H94" i="116"/>
  <c r="G94" i="116"/>
  <c r="F94" i="116"/>
  <c r="E94" i="116"/>
  <c r="D94" i="116"/>
  <c r="C94" i="116"/>
  <c r="B94" i="116"/>
  <c r="K93" i="116"/>
  <c r="J93" i="116"/>
  <c r="I93" i="116"/>
  <c r="H93" i="116"/>
  <c r="G93" i="116"/>
  <c r="F93" i="116"/>
  <c r="E93" i="116"/>
  <c r="D93" i="116"/>
  <c r="C93" i="116"/>
  <c r="B93" i="116"/>
  <c r="K92" i="116"/>
  <c r="J92" i="116"/>
  <c r="I92" i="116"/>
  <c r="H92" i="116"/>
  <c r="G92" i="116"/>
  <c r="F92" i="116"/>
  <c r="E92" i="116"/>
  <c r="D92" i="116"/>
  <c r="C92" i="116"/>
  <c r="B92" i="116"/>
  <c r="K91" i="116"/>
  <c r="J91" i="116"/>
  <c r="I91" i="116"/>
  <c r="H91" i="116"/>
  <c r="G91" i="116"/>
  <c r="F91" i="116"/>
  <c r="E91" i="116"/>
  <c r="D91" i="116"/>
  <c r="C91" i="116"/>
  <c r="B91" i="116"/>
  <c r="K90" i="116"/>
  <c r="J90" i="116"/>
  <c r="I90" i="116"/>
  <c r="H90" i="116"/>
  <c r="G90" i="116"/>
  <c r="F90" i="116"/>
  <c r="E90" i="116"/>
  <c r="D90" i="116"/>
  <c r="C90" i="116"/>
  <c r="B90" i="116"/>
  <c r="K89" i="116"/>
  <c r="J89" i="116"/>
  <c r="I89" i="116"/>
  <c r="H89" i="116"/>
  <c r="G89" i="116"/>
  <c r="F89" i="116"/>
  <c r="E89" i="116"/>
  <c r="D89" i="116"/>
  <c r="C89" i="116"/>
  <c r="B89" i="116"/>
  <c r="K88" i="116"/>
  <c r="J88" i="116"/>
  <c r="I88" i="116"/>
  <c r="H88" i="116"/>
  <c r="G88" i="116"/>
  <c r="F88" i="116"/>
  <c r="E88" i="116"/>
  <c r="D88" i="116"/>
  <c r="C88" i="116"/>
  <c r="B88" i="116"/>
  <c r="K87" i="116"/>
  <c r="J87" i="116"/>
  <c r="I87" i="116"/>
  <c r="H87" i="116"/>
  <c r="G87" i="116"/>
  <c r="F87" i="116"/>
  <c r="E87" i="116"/>
  <c r="D87" i="116"/>
  <c r="C87" i="116"/>
  <c r="B87" i="116"/>
  <c r="K86" i="116"/>
  <c r="J86" i="116"/>
  <c r="I86" i="116"/>
  <c r="H86" i="116"/>
  <c r="G86" i="116"/>
  <c r="F86" i="116"/>
  <c r="E86" i="116"/>
  <c r="D86" i="116"/>
  <c r="C86" i="116"/>
  <c r="B86" i="116"/>
  <c r="K85" i="116"/>
  <c r="J85" i="116"/>
  <c r="I85" i="116"/>
  <c r="H85" i="116"/>
  <c r="G85" i="116"/>
  <c r="F85" i="116"/>
  <c r="E85" i="116"/>
  <c r="D85" i="116"/>
  <c r="C85" i="116"/>
  <c r="B85" i="116"/>
  <c r="K84" i="116"/>
  <c r="J84" i="116"/>
  <c r="I84" i="116"/>
  <c r="H84" i="116"/>
  <c r="G84" i="116"/>
  <c r="F84" i="116"/>
  <c r="E84" i="116"/>
  <c r="D84" i="116"/>
  <c r="C84" i="116"/>
  <c r="B84" i="116"/>
  <c r="K83" i="116"/>
  <c r="J83" i="116"/>
  <c r="I83" i="116"/>
  <c r="H83" i="116"/>
  <c r="G83" i="116"/>
  <c r="F83" i="116"/>
  <c r="E83" i="116"/>
  <c r="D83" i="116"/>
  <c r="C83" i="116"/>
  <c r="B83" i="116"/>
  <c r="K82" i="116"/>
  <c r="J82" i="116"/>
  <c r="I82" i="116"/>
  <c r="H82" i="116"/>
  <c r="G82" i="116"/>
  <c r="F82" i="116"/>
  <c r="E82" i="116"/>
  <c r="D82" i="116"/>
  <c r="C82" i="116"/>
  <c r="B82" i="116"/>
  <c r="K81" i="116"/>
  <c r="J81" i="116"/>
  <c r="I81" i="116"/>
  <c r="H81" i="116"/>
  <c r="G81" i="116"/>
  <c r="F81" i="116"/>
  <c r="E81" i="116"/>
  <c r="D81" i="116"/>
  <c r="C81" i="116"/>
  <c r="B81" i="116"/>
  <c r="K80" i="116"/>
  <c r="J80" i="116"/>
  <c r="I80" i="116"/>
  <c r="H80" i="116"/>
  <c r="G80" i="116"/>
  <c r="F80" i="116"/>
  <c r="E80" i="116"/>
  <c r="D80" i="116"/>
  <c r="C80" i="116"/>
  <c r="B80" i="116"/>
  <c r="K79" i="116"/>
  <c r="J79" i="116"/>
  <c r="I79" i="116"/>
  <c r="H79" i="116"/>
  <c r="G79" i="116"/>
  <c r="F79" i="116"/>
  <c r="E79" i="116"/>
  <c r="D79" i="116"/>
  <c r="C79" i="116"/>
  <c r="B79" i="116"/>
  <c r="K78" i="116"/>
  <c r="J78" i="116"/>
  <c r="I78" i="116"/>
  <c r="H78" i="116"/>
  <c r="G78" i="116"/>
  <c r="F78" i="116"/>
  <c r="E78" i="116"/>
  <c r="D78" i="116"/>
  <c r="C78" i="116"/>
  <c r="B78" i="116"/>
  <c r="K77" i="116"/>
  <c r="J77" i="116"/>
  <c r="I77" i="116"/>
  <c r="H77" i="116"/>
  <c r="G77" i="116"/>
  <c r="F77" i="116"/>
  <c r="E77" i="116"/>
  <c r="D77" i="116"/>
  <c r="C77" i="116"/>
  <c r="B77" i="116"/>
  <c r="K76" i="116"/>
  <c r="J76" i="116"/>
  <c r="I76" i="116"/>
  <c r="H76" i="116"/>
  <c r="G76" i="116"/>
  <c r="F76" i="116"/>
  <c r="E76" i="116"/>
  <c r="D76" i="116"/>
  <c r="C76" i="116"/>
  <c r="B76" i="116"/>
  <c r="K75" i="116"/>
  <c r="J75" i="116"/>
  <c r="I75" i="116"/>
  <c r="H75" i="116"/>
  <c r="G75" i="116"/>
  <c r="F75" i="116"/>
  <c r="E75" i="116"/>
  <c r="D75" i="116"/>
  <c r="C75" i="116"/>
  <c r="B75" i="116"/>
  <c r="K74" i="116"/>
  <c r="J74" i="116"/>
  <c r="I74" i="116"/>
  <c r="H74" i="116"/>
  <c r="G74" i="116"/>
  <c r="F74" i="116"/>
  <c r="E74" i="116"/>
  <c r="D74" i="116"/>
  <c r="C74" i="116"/>
  <c r="B74" i="116"/>
  <c r="K73" i="116"/>
  <c r="J73" i="116"/>
  <c r="I73" i="116"/>
  <c r="H73" i="116"/>
  <c r="G73" i="116"/>
  <c r="F73" i="116"/>
  <c r="E73" i="116"/>
  <c r="D73" i="116"/>
  <c r="C73" i="116"/>
  <c r="B73" i="116"/>
  <c r="K72" i="116"/>
  <c r="J72" i="116"/>
  <c r="I72" i="116"/>
  <c r="H72" i="116"/>
  <c r="G72" i="116"/>
  <c r="F72" i="116"/>
  <c r="E72" i="116"/>
  <c r="D72" i="116"/>
  <c r="C72" i="116"/>
  <c r="B72" i="116"/>
  <c r="K71" i="116"/>
  <c r="J71" i="116"/>
  <c r="I71" i="116"/>
  <c r="H71" i="116"/>
  <c r="G71" i="116"/>
  <c r="F71" i="116"/>
  <c r="E71" i="116"/>
  <c r="D71" i="116"/>
  <c r="C71" i="116"/>
  <c r="B71" i="116"/>
  <c r="K70" i="116"/>
  <c r="J70" i="116"/>
  <c r="I70" i="116"/>
  <c r="H70" i="116"/>
  <c r="G70" i="116"/>
  <c r="F70" i="116"/>
  <c r="E70" i="116"/>
  <c r="D70" i="116"/>
  <c r="C70" i="116"/>
  <c r="B70" i="116"/>
  <c r="K69" i="116"/>
  <c r="J69" i="116"/>
  <c r="I69" i="116"/>
  <c r="H69" i="116"/>
  <c r="G69" i="116"/>
  <c r="F69" i="116"/>
  <c r="E69" i="116"/>
  <c r="D69" i="116"/>
  <c r="C69" i="116"/>
  <c r="B69" i="116"/>
  <c r="K68" i="116"/>
  <c r="J68" i="116"/>
  <c r="I68" i="116"/>
  <c r="H68" i="116"/>
  <c r="G68" i="116"/>
  <c r="F68" i="116"/>
  <c r="E68" i="116"/>
  <c r="D68" i="116"/>
  <c r="C68" i="116"/>
  <c r="B68" i="116"/>
  <c r="K67" i="116"/>
  <c r="J67" i="116"/>
  <c r="I67" i="116"/>
  <c r="H67" i="116"/>
  <c r="G67" i="116"/>
  <c r="F67" i="116"/>
  <c r="E67" i="116"/>
  <c r="D67" i="116"/>
  <c r="C67" i="116"/>
  <c r="B67" i="116"/>
  <c r="K66" i="116"/>
  <c r="J66" i="116"/>
  <c r="I66" i="116"/>
  <c r="H66" i="116"/>
  <c r="G66" i="116"/>
  <c r="F66" i="116"/>
  <c r="E66" i="116"/>
  <c r="D66" i="116"/>
  <c r="C66" i="116"/>
  <c r="B66" i="116"/>
  <c r="K65" i="116"/>
  <c r="J65" i="116"/>
  <c r="I65" i="116"/>
  <c r="H65" i="116"/>
  <c r="G65" i="116"/>
  <c r="F65" i="116"/>
  <c r="E65" i="116"/>
  <c r="D65" i="116"/>
  <c r="C65" i="116"/>
  <c r="B65" i="116"/>
  <c r="K64" i="116"/>
  <c r="J64" i="116"/>
  <c r="I64" i="116"/>
  <c r="H64" i="116"/>
  <c r="G64" i="116"/>
  <c r="F64" i="116"/>
  <c r="E64" i="116"/>
  <c r="D64" i="116"/>
  <c r="C64" i="116"/>
  <c r="B64" i="116"/>
  <c r="K63" i="116"/>
  <c r="J63" i="116"/>
  <c r="I63" i="116"/>
  <c r="H63" i="116"/>
  <c r="G63" i="116"/>
  <c r="F63" i="116"/>
  <c r="E63" i="116"/>
  <c r="D63" i="116"/>
  <c r="C63" i="116"/>
  <c r="B63" i="116"/>
  <c r="K62" i="116"/>
  <c r="J62" i="116"/>
  <c r="I62" i="116"/>
  <c r="H62" i="116"/>
  <c r="G62" i="116"/>
  <c r="F62" i="116"/>
  <c r="E62" i="116"/>
  <c r="D62" i="116"/>
  <c r="C62" i="116"/>
  <c r="B62" i="116"/>
  <c r="K61" i="116"/>
  <c r="J61" i="116"/>
  <c r="I61" i="116"/>
  <c r="H61" i="116"/>
  <c r="G61" i="116"/>
  <c r="F61" i="116"/>
  <c r="E61" i="116"/>
  <c r="D61" i="116"/>
  <c r="C61" i="116"/>
  <c r="B61" i="116"/>
  <c r="K60" i="116"/>
  <c r="J60" i="116"/>
  <c r="I60" i="116"/>
  <c r="H60" i="116"/>
  <c r="G60" i="116"/>
  <c r="F60" i="116"/>
  <c r="E60" i="116"/>
  <c r="D60" i="116"/>
  <c r="C60" i="116"/>
  <c r="B60" i="116"/>
  <c r="K59" i="116"/>
  <c r="J59" i="116"/>
  <c r="I59" i="116"/>
  <c r="H59" i="116"/>
  <c r="G59" i="116"/>
  <c r="F59" i="116"/>
  <c r="E59" i="116"/>
  <c r="D59" i="116"/>
  <c r="C59" i="116"/>
  <c r="B59" i="116"/>
  <c r="K58" i="116"/>
  <c r="J58" i="116"/>
  <c r="I58" i="116"/>
  <c r="H58" i="116"/>
  <c r="G58" i="116"/>
  <c r="F58" i="116"/>
  <c r="E58" i="116"/>
  <c r="D58" i="116"/>
  <c r="C58" i="116"/>
  <c r="B58" i="116"/>
  <c r="K57" i="116"/>
  <c r="J57" i="116"/>
  <c r="I57" i="116"/>
  <c r="H57" i="116"/>
  <c r="G57" i="116"/>
  <c r="F57" i="116"/>
  <c r="E57" i="116"/>
  <c r="D57" i="116"/>
  <c r="C57" i="116"/>
  <c r="B57" i="116"/>
  <c r="K56" i="116"/>
  <c r="J56" i="116"/>
  <c r="I56" i="116"/>
  <c r="H56" i="116"/>
  <c r="G56" i="116"/>
  <c r="F56" i="116"/>
  <c r="E56" i="116"/>
  <c r="D56" i="116"/>
  <c r="C56" i="116"/>
  <c r="B56" i="116"/>
  <c r="K55" i="116"/>
  <c r="J55" i="116"/>
  <c r="I55" i="116"/>
  <c r="H55" i="116"/>
  <c r="G55" i="116"/>
  <c r="F55" i="116"/>
  <c r="E55" i="116"/>
  <c r="D55" i="116"/>
  <c r="C55" i="116"/>
  <c r="B55" i="116"/>
  <c r="K54" i="116"/>
  <c r="J54" i="116"/>
  <c r="I54" i="116"/>
  <c r="H54" i="116"/>
  <c r="G54" i="116"/>
  <c r="F54" i="116"/>
  <c r="E54" i="116"/>
  <c r="D54" i="116"/>
  <c r="C54" i="116"/>
  <c r="B54" i="116"/>
  <c r="K53" i="116"/>
  <c r="J53" i="116"/>
  <c r="I53" i="116"/>
  <c r="H53" i="116"/>
  <c r="G53" i="116"/>
  <c r="F53" i="116"/>
  <c r="E53" i="116"/>
  <c r="D53" i="116"/>
  <c r="C53" i="116"/>
  <c r="B53" i="116"/>
  <c r="K52" i="116"/>
  <c r="J52" i="116"/>
  <c r="I52" i="116"/>
  <c r="H52" i="116"/>
  <c r="G52" i="116"/>
  <c r="F52" i="116"/>
  <c r="E52" i="116"/>
  <c r="D52" i="116"/>
  <c r="C52" i="116"/>
  <c r="B52" i="116"/>
  <c r="K51" i="116"/>
  <c r="J51" i="116"/>
  <c r="I51" i="116"/>
  <c r="H51" i="116"/>
  <c r="G51" i="116"/>
  <c r="F51" i="116"/>
  <c r="E51" i="116"/>
  <c r="D51" i="116"/>
  <c r="C51" i="116"/>
  <c r="B51" i="116"/>
  <c r="K50" i="116"/>
  <c r="J50" i="116"/>
  <c r="I50" i="116"/>
  <c r="H50" i="116"/>
  <c r="G50" i="116"/>
  <c r="F50" i="116"/>
  <c r="E50" i="116"/>
  <c r="D50" i="116"/>
  <c r="C50" i="116"/>
  <c r="B50" i="116"/>
  <c r="K49" i="116"/>
  <c r="J49" i="116"/>
  <c r="I49" i="116"/>
  <c r="H49" i="116"/>
  <c r="G49" i="116"/>
  <c r="F49" i="116"/>
  <c r="E49" i="116"/>
  <c r="D49" i="116"/>
  <c r="C49" i="116"/>
  <c r="B49" i="116"/>
  <c r="K48" i="116"/>
  <c r="J48" i="116"/>
  <c r="I48" i="116"/>
  <c r="H48" i="116"/>
  <c r="G48" i="116"/>
  <c r="F48" i="116"/>
  <c r="E48" i="116"/>
  <c r="D48" i="116"/>
  <c r="C48" i="116"/>
  <c r="B48" i="116"/>
  <c r="K47" i="116"/>
  <c r="J47" i="116"/>
  <c r="I47" i="116"/>
  <c r="H47" i="116"/>
  <c r="G47" i="116"/>
  <c r="F47" i="116"/>
  <c r="E47" i="116"/>
  <c r="D47" i="116"/>
  <c r="C47" i="116"/>
  <c r="B47" i="116"/>
  <c r="K46" i="116"/>
  <c r="J46" i="116"/>
  <c r="I46" i="116"/>
  <c r="H46" i="116"/>
  <c r="G46" i="116"/>
  <c r="F46" i="116"/>
  <c r="E46" i="116"/>
  <c r="D46" i="116"/>
  <c r="C46" i="116"/>
  <c r="B46" i="116"/>
  <c r="K45" i="116"/>
  <c r="J45" i="116"/>
  <c r="I45" i="116"/>
  <c r="H45" i="116"/>
  <c r="G45" i="116"/>
  <c r="F45" i="116"/>
  <c r="E45" i="116"/>
  <c r="D45" i="116"/>
  <c r="C45" i="116"/>
  <c r="B45" i="116"/>
  <c r="K44" i="116"/>
  <c r="J44" i="116"/>
  <c r="I44" i="116"/>
  <c r="H44" i="116"/>
  <c r="G44" i="116"/>
  <c r="F44" i="116"/>
  <c r="E44" i="116"/>
  <c r="D44" i="116"/>
  <c r="C44" i="116"/>
  <c r="B44" i="116"/>
  <c r="K43" i="116"/>
  <c r="J43" i="116"/>
  <c r="I43" i="116"/>
  <c r="H43" i="116"/>
  <c r="G43" i="116"/>
  <c r="F43" i="116"/>
  <c r="E43" i="116"/>
  <c r="D43" i="116"/>
  <c r="C43" i="116"/>
  <c r="B43" i="116"/>
  <c r="K42" i="116"/>
  <c r="J42" i="116"/>
  <c r="I42" i="116"/>
  <c r="H42" i="116"/>
  <c r="G42" i="116"/>
  <c r="F42" i="116"/>
  <c r="E42" i="116"/>
  <c r="D42" i="116"/>
  <c r="C42" i="116"/>
  <c r="B42" i="116"/>
  <c r="K41" i="116"/>
  <c r="J41" i="116"/>
  <c r="I41" i="116"/>
  <c r="H41" i="116"/>
  <c r="G41" i="116"/>
  <c r="F41" i="116"/>
  <c r="E41" i="116"/>
  <c r="D41" i="116"/>
  <c r="C41" i="116"/>
  <c r="B41" i="116"/>
  <c r="K40" i="116"/>
  <c r="J40" i="116"/>
  <c r="I40" i="116"/>
  <c r="H40" i="116"/>
  <c r="G40" i="116"/>
  <c r="F40" i="116"/>
  <c r="E40" i="116"/>
  <c r="D40" i="116"/>
  <c r="C40" i="116"/>
  <c r="B40" i="116"/>
  <c r="K39" i="116"/>
  <c r="J39" i="116"/>
  <c r="I39" i="116"/>
  <c r="H39" i="116"/>
  <c r="G39" i="116"/>
  <c r="F39" i="116"/>
  <c r="E39" i="116"/>
  <c r="D39" i="116"/>
  <c r="C39" i="116"/>
  <c r="B39" i="116"/>
  <c r="K38" i="116"/>
  <c r="J38" i="116"/>
  <c r="I38" i="116"/>
  <c r="H38" i="116"/>
  <c r="G38" i="116"/>
  <c r="F38" i="116"/>
  <c r="E38" i="116"/>
  <c r="D38" i="116"/>
  <c r="C38" i="116"/>
  <c r="B38" i="116"/>
  <c r="K37" i="116"/>
  <c r="J37" i="116"/>
  <c r="I37" i="116"/>
  <c r="H37" i="116"/>
  <c r="G37" i="116"/>
  <c r="F37" i="116"/>
  <c r="E37" i="116"/>
  <c r="D37" i="116"/>
  <c r="C37" i="116"/>
  <c r="B37" i="116"/>
  <c r="K36" i="116"/>
  <c r="J36" i="116"/>
  <c r="I36" i="116"/>
  <c r="H36" i="116"/>
  <c r="G36" i="116"/>
  <c r="F36" i="116"/>
  <c r="E36" i="116"/>
  <c r="D36" i="116"/>
  <c r="C36" i="116"/>
  <c r="B36" i="116"/>
  <c r="K35" i="116"/>
  <c r="J35" i="116"/>
  <c r="I35" i="116"/>
  <c r="H35" i="116"/>
  <c r="G35" i="116"/>
  <c r="F35" i="116"/>
  <c r="E35" i="116"/>
  <c r="D35" i="116"/>
  <c r="C35" i="116"/>
  <c r="B35" i="116"/>
  <c r="K34" i="116"/>
  <c r="J34" i="116"/>
  <c r="I34" i="116"/>
  <c r="H34" i="116"/>
  <c r="G34" i="116"/>
  <c r="F34" i="116"/>
  <c r="E34" i="116"/>
  <c r="D34" i="116"/>
  <c r="C34" i="116"/>
  <c r="B34" i="116"/>
  <c r="K33" i="116"/>
  <c r="J33" i="116"/>
  <c r="I33" i="116"/>
  <c r="H33" i="116"/>
  <c r="G33" i="116"/>
  <c r="F33" i="116"/>
  <c r="E33" i="116"/>
  <c r="D33" i="116"/>
  <c r="C33" i="116"/>
  <c r="B33" i="116"/>
  <c r="K32" i="116"/>
  <c r="J32" i="116"/>
  <c r="I32" i="116"/>
  <c r="H32" i="116"/>
  <c r="G32" i="116"/>
  <c r="F32" i="116"/>
  <c r="E32" i="116"/>
  <c r="D32" i="116"/>
  <c r="C32" i="116"/>
  <c r="B32" i="116"/>
  <c r="K31" i="116"/>
  <c r="J31" i="116"/>
  <c r="I31" i="116"/>
  <c r="H31" i="116"/>
  <c r="G31" i="116"/>
  <c r="F31" i="116"/>
  <c r="E31" i="116"/>
  <c r="D31" i="116"/>
  <c r="C31" i="116"/>
  <c r="B31" i="116"/>
  <c r="K30" i="116"/>
  <c r="J30" i="116"/>
  <c r="I30" i="116"/>
  <c r="H30" i="116"/>
  <c r="G30" i="116"/>
  <c r="F30" i="116"/>
  <c r="E30" i="116"/>
  <c r="D30" i="116"/>
  <c r="C30" i="116"/>
  <c r="B30" i="116"/>
  <c r="K29" i="116"/>
  <c r="J29" i="116"/>
  <c r="I29" i="116"/>
  <c r="H29" i="116"/>
  <c r="G29" i="116"/>
  <c r="F29" i="116"/>
  <c r="E29" i="116"/>
  <c r="D29" i="116"/>
  <c r="C29" i="116"/>
  <c r="B29" i="116"/>
  <c r="K28" i="116"/>
  <c r="J28" i="116"/>
  <c r="I28" i="116"/>
  <c r="H28" i="116"/>
  <c r="G28" i="116"/>
  <c r="F28" i="116"/>
  <c r="E28" i="116"/>
  <c r="D28" i="116"/>
  <c r="C28" i="116"/>
  <c r="B28" i="116"/>
  <c r="K27" i="116"/>
  <c r="J27" i="116"/>
  <c r="I27" i="116"/>
  <c r="H27" i="116"/>
  <c r="G27" i="116"/>
  <c r="F27" i="116"/>
  <c r="E27" i="116"/>
  <c r="D27" i="116"/>
  <c r="C27" i="116"/>
  <c r="B27" i="116"/>
  <c r="K26" i="116"/>
  <c r="J26" i="116"/>
  <c r="I26" i="116"/>
  <c r="H26" i="116"/>
  <c r="G26" i="116"/>
  <c r="F26" i="116"/>
  <c r="E26" i="116"/>
  <c r="D26" i="116"/>
  <c r="C26" i="116"/>
  <c r="B26" i="116"/>
  <c r="K25" i="116"/>
  <c r="J25" i="116"/>
  <c r="I25" i="116"/>
  <c r="H25" i="116"/>
  <c r="G25" i="116"/>
  <c r="F25" i="116"/>
  <c r="E25" i="116"/>
  <c r="D25" i="116"/>
  <c r="C25" i="116"/>
  <c r="B25" i="116"/>
  <c r="K24" i="116"/>
  <c r="J24" i="116"/>
  <c r="I24" i="116"/>
  <c r="H24" i="116"/>
  <c r="G24" i="116"/>
  <c r="F24" i="116"/>
  <c r="E24" i="116"/>
  <c r="D24" i="116"/>
  <c r="C24" i="116"/>
  <c r="B24" i="116"/>
  <c r="K23" i="116"/>
  <c r="J23" i="116"/>
  <c r="I23" i="116"/>
  <c r="H23" i="116"/>
  <c r="G23" i="116"/>
  <c r="F23" i="116"/>
  <c r="E23" i="116"/>
  <c r="D23" i="116"/>
  <c r="C23" i="116"/>
  <c r="B23" i="116"/>
  <c r="K22" i="116"/>
  <c r="J22" i="116"/>
  <c r="I22" i="116"/>
  <c r="H22" i="116"/>
  <c r="G22" i="116"/>
  <c r="F22" i="116"/>
  <c r="E22" i="116"/>
  <c r="D22" i="116"/>
  <c r="C22" i="116"/>
  <c r="B22" i="116"/>
  <c r="K21" i="116"/>
  <c r="J21" i="116"/>
  <c r="I21" i="116"/>
  <c r="H21" i="116"/>
  <c r="G21" i="116"/>
  <c r="F21" i="116"/>
  <c r="E21" i="116"/>
  <c r="D21" i="116"/>
  <c r="C21" i="116"/>
  <c r="B21" i="116"/>
  <c r="K20" i="116"/>
  <c r="J20" i="116"/>
  <c r="I20" i="116"/>
  <c r="H20" i="116"/>
  <c r="G20" i="116"/>
  <c r="F20" i="116"/>
  <c r="E20" i="116"/>
  <c r="D20" i="116"/>
  <c r="C20" i="116"/>
  <c r="B20" i="116"/>
  <c r="K19" i="116"/>
  <c r="J19" i="116"/>
  <c r="I19" i="116"/>
  <c r="H19" i="116"/>
  <c r="G19" i="116"/>
  <c r="F19" i="116"/>
  <c r="E19" i="116"/>
  <c r="D19" i="116"/>
  <c r="C19" i="116"/>
  <c r="B19" i="116"/>
  <c r="K18" i="116"/>
  <c r="J18" i="116"/>
  <c r="I18" i="116"/>
  <c r="H18" i="116"/>
  <c r="G18" i="116"/>
  <c r="F18" i="116"/>
  <c r="E18" i="116"/>
  <c r="D18" i="116"/>
  <c r="C18" i="116"/>
  <c r="B18" i="116"/>
  <c r="K17" i="116"/>
  <c r="J17" i="116"/>
  <c r="I17" i="116"/>
  <c r="H17" i="116"/>
  <c r="G17" i="116"/>
  <c r="F17" i="116"/>
  <c r="E17" i="116"/>
  <c r="D17" i="116"/>
  <c r="C17" i="116"/>
  <c r="B17" i="116"/>
  <c r="K16" i="116"/>
  <c r="J16" i="116"/>
  <c r="I16" i="116"/>
  <c r="H16" i="116"/>
  <c r="G16" i="116"/>
  <c r="F16" i="116"/>
  <c r="E16" i="116"/>
  <c r="D16" i="116"/>
  <c r="C16" i="116"/>
  <c r="B16" i="116"/>
  <c r="K15" i="116"/>
  <c r="J15" i="116"/>
  <c r="I15" i="116"/>
  <c r="H15" i="116"/>
  <c r="G15" i="116"/>
  <c r="F15" i="116"/>
  <c r="E15" i="116"/>
  <c r="D15" i="116"/>
  <c r="C15" i="116"/>
  <c r="B15" i="116"/>
  <c r="K14" i="116"/>
  <c r="J14" i="116"/>
  <c r="I14" i="116"/>
  <c r="H14" i="116"/>
  <c r="G14" i="116"/>
  <c r="F14" i="116"/>
  <c r="E14" i="116"/>
  <c r="D14" i="116"/>
  <c r="C14" i="116"/>
  <c r="B14" i="116"/>
  <c r="K13" i="116"/>
  <c r="J13" i="116"/>
  <c r="I13" i="116"/>
  <c r="H13" i="116"/>
  <c r="G13" i="116"/>
  <c r="F13" i="116"/>
  <c r="E13" i="116"/>
  <c r="D13" i="116"/>
  <c r="C13" i="116"/>
  <c r="B13" i="116"/>
  <c r="K12" i="116"/>
  <c r="J12" i="116"/>
  <c r="I12" i="116"/>
  <c r="H12" i="116"/>
  <c r="G12" i="116"/>
  <c r="F12" i="116"/>
  <c r="E12" i="116"/>
  <c r="D12" i="116"/>
  <c r="C12" i="116"/>
  <c r="B12" i="116"/>
  <c r="K11" i="116"/>
  <c r="J11" i="116"/>
  <c r="I11" i="116"/>
  <c r="H11" i="116"/>
  <c r="G11" i="116"/>
  <c r="F11" i="116"/>
  <c r="E11" i="116"/>
  <c r="D11" i="116"/>
  <c r="C11" i="116"/>
  <c r="B11" i="116"/>
  <c r="K10" i="116"/>
  <c r="J10" i="116"/>
  <c r="I10" i="116"/>
  <c r="H10" i="116"/>
  <c r="G10" i="116"/>
  <c r="F10" i="116"/>
  <c r="E10" i="116"/>
  <c r="D10" i="116"/>
  <c r="C10" i="116"/>
  <c r="B10" i="116"/>
  <c r="K9" i="116"/>
  <c r="J9" i="116"/>
  <c r="I9" i="116"/>
  <c r="H9" i="116"/>
  <c r="G9" i="116"/>
  <c r="F9" i="116"/>
  <c r="E9" i="116"/>
  <c r="D9" i="116"/>
  <c r="C9" i="116"/>
  <c r="B9" i="116"/>
  <c r="K8" i="116"/>
  <c r="J8" i="116"/>
  <c r="I8" i="116"/>
  <c r="H8" i="116"/>
  <c r="G8" i="116"/>
  <c r="F8" i="116"/>
  <c r="E8" i="116"/>
  <c r="D8" i="116"/>
  <c r="C8" i="116"/>
  <c r="B8" i="116"/>
  <c r="K7" i="116"/>
  <c r="J7" i="116"/>
  <c r="I7" i="116"/>
  <c r="H7" i="116"/>
  <c r="G7" i="116"/>
  <c r="F7" i="116"/>
  <c r="E7" i="116"/>
  <c r="D7" i="116"/>
  <c r="C7" i="116"/>
  <c r="B7" i="116"/>
  <c r="K6" i="116"/>
  <c r="J6" i="116"/>
  <c r="I6" i="116"/>
  <c r="H6" i="116"/>
  <c r="G6" i="116"/>
  <c r="F6" i="116"/>
  <c r="E6" i="116"/>
  <c r="D6" i="116"/>
  <c r="C6" i="116"/>
  <c r="B6" i="116"/>
  <c r="K5" i="116"/>
  <c r="J5" i="116"/>
  <c r="I5" i="116"/>
  <c r="H5" i="116"/>
  <c r="G5" i="116"/>
  <c r="F5" i="116"/>
  <c r="E5" i="116"/>
  <c r="D5" i="116"/>
  <c r="C5" i="116"/>
  <c r="B5" i="116"/>
  <c r="K4" i="116"/>
  <c r="J4" i="116"/>
  <c r="I4" i="116"/>
  <c r="H4" i="116"/>
  <c r="G4" i="116"/>
  <c r="F4" i="116"/>
  <c r="E4" i="116"/>
  <c r="D4" i="116"/>
  <c r="C4" i="116"/>
  <c r="B4" i="116"/>
  <c r="K3" i="116"/>
  <c r="J3" i="116"/>
  <c r="I3" i="116"/>
  <c r="H3" i="116"/>
  <c r="G3" i="116"/>
  <c r="F3" i="116"/>
  <c r="E3" i="116"/>
  <c r="D3" i="116"/>
  <c r="C3" i="116"/>
  <c r="B3" i="116"/>
  <c r="K2" i="116"/>
  <c r="J2" i="116"/>
  <c r="I2" i="116"/>
  <c r="H2" i="116"/>
  <c r="G2" i="116"/>
  <c r="F2" i="116"/>
  <c r="E2" i="116"/>
  <c r="D2" i="116"/>
  <c r="C2" i="116"/>
  <c r="B2" i="116"/>
  <c r="B17" i="140"/>
  <c r="B8" i="140"/>
  <c r="B42" i="140"/>
  <c r="B10" i="140"/>
  <c r="B29" i="140"/>
  <c r="B14" i="140"/>
  <c r="B33" i="140"/>
  <c r="B11" i="140"/>
  <c r="B22" i="140"/>
  <c r="B38" i="140"/>
  <c r="B9" i="140"/>
  <c r="B26" i="140"/>
  <c r="B20" i="140"/>
  <c r="B41" i="140"/>
  <c r="B35" i="140"/>
  <c r="B34" i="140"/>
  <c r="B19" i="140"/>
  <c r="B36" i="140"/>
  <c r="B16" i="140"/>
  <c r="B31" i="140"/>
  <c r="B4" i="140"/>
  <c r="B13" i="140"/>
  <c r="B43" i="140"/>
  <c r="B6" i="140"/>
  <c r="B27" i="140"/>
  <c r="B32" i="140"/>
  <c r="B7" i="140"/>
  <c r="B25" i="140"/>
  <c r="B30" i="140"/>
  <c r="B24" i="140"/>
  <c r="B37" i="140"/>
  <c r="B40" i="140"/>
  <c r="B23" i="140"/>
  <c r="B15" i="140"/>
  <c r="B12" i="140"/>
  <c r="B5" i="140"/>
  <c r="B18" i="140"/>
  <c r="B39" i="140"/>
  <c r="B28" i="140"/>
  <c r="B21" i="140"/>
  <c r="C6" i="140" l="1"/>
  <c r="C38" i="140"/>
  <c r="C14" i="140"/>
  <c r="C31" i="140"/>
  <c r="C11" i="140"/>
  <c r="C27" i="140"/>
  <c r="C17" i="140"/>
  <c r="C18" i="140"/>
  <c r="C8" i="140"/>
  <c r="C25" i="140"/>
  <c r="C36" i="140"/>
  <c r="C43" i="140"/>
  <c r="C7" i="140"/>
  <c r="C9" i="140"/>
  <c r="C42" i="140"/>
  <c r="C24" i="140"/>
  <c r="C32" i="140"/>
  <c r="C39" i="140"/>
  <c r="C4" i="140"/>
  <c r="C15" i="140"/>
  <c r="C29" i="140"/>
  <c r="C22" i="140"/>
  <c r="C21" i="140"/>
  <c r="C33" i="140"/>
  <c r="C34" i="140"/>
  <c r="C40" i="140"/>
  <c r="C10" i="140"/>
  <c r="C20" i="140"/>
  <c r="C12" i="140"/>
  <c r="C37" i="140"/>
  <c r="C28" i="140"/>
  <c r="C35" i="140"/>
  <c r="C5" i="140"/>
  <c r="C16" i="140"/>
  <c r="C13" i="140"/>
  <c r="C26" i="140"/>
  <c r="C23" i="140"/>
  <c r="C19" i="140"/>
  <c r="C30" i="140"/>
  <c r="C41" i="140"/>
  <c r="M7503" i="116"/>
  <c r="N7503" i="116"/>
  <c r="N7504" i="116"/>
  <c r="M7505" i="116"/>
  <c r="N7506" i="116"/>
  <c r="M7506" i="116"/>
  <c r="M7507" i="116"/>
  <c r="N7507" i="116"/>
  <c r="M7508" i="116"/>
  <c r="N7508" i="116"/>
  <c r="M7509" i="116"/>
  <c r="M7510" i="116"/>
  <c r="N7510" i="116"/>
  <c r="M7511" i="116"/>
  <c r="N7511" i="116"/>
  <c r="N7512" i="116"/>
  <c r="M7512" i="116"/>
  <c r="M7513" i="116"/>
  <c r="N7514" i="116"/>
  <c r="M7514" i="116"/>
  <c r="M7515" i="116"/>
  <c r="N7515" i="116"/>
  <c r="M7516" i="116"/>
  <c r="N7516" i="116"/>
  <c r="M7517" i="116"/>
  <c r="M7518" i="116"/>
  <c r="N7518" i="116"/>
  <c r="M7519" i="116"/>
  <c r="N7519" i="116"/>
  <c r="N7520" i="116"/>
  <c r="N7521" i="116"/>
  <c r="M7521" i="116"/>
  <c r="M7522" i="116"/>
  <c r="M7523" i="116"/>
  <c r="N7523" i="116"/>
  <c r="M7524" i="116"/>
  <c r="N7524" i="116"/>
  <c r="M7525" i="116"/>
  <c r="M7526" i="116"/>
  <c r="N7526" i="116"/>
  <c r="M7527" i="116"/>
  <c r="N7527" i="116"/>
  <c r="N7528" i="116"/>
  <c r="N7529" i="116"/>
  <c r="M7529" i="116"/>
  <c r="M7530" i="116"/>
  <c r="M7531" i="116"/>
  <c r="N7531" i="116"/>
  <c r="M7532" i="116"/>
  <c r="N7532" i="116"/>
  <c r="N7533" i="116"/>
  <c r="M7533" i="116"/>
  <c r="M7534" i="116"/>
  <c r="M7535" i="116"/>
  <c r="N7535" i="116"/>
  <c r="N7536" i="116"/>
  <c r="M7537" i="116"/>
  <c r="N7537" i="116"/>
  <c r="M7538" i="116"/>
  <c r="M7539" i="116"/>
  <c r="M7540" i="116"/>
  <c r="N7540" i="116"/>
  <c r="M7541" i="116"/>
  <c r="M7542" i="116"/>
  <c r="N7542" i="116"/>
  <c r="M7543" i="116"/>
  <c r="N7543" i="116"/>
  <c r="N7544" i="116"/>
  <c r="M7545" i="116"/>
  <c r="N7545" i="116"/>
  <c r="M7546" i="116"/>
  <c r="M7547" i="116"/>
  <c r="M7548" i="116"/>
  <c r="N7548" i="116"/>
  <c r="N7549" i="116"/>
  <c r="M7549" i="116"/>
  <c r="M7550" i="116"/>
  <c r="N7550" i="116"/>
  <c r="M7551" i="116"/>
  <c r="N7551" i="116"/>
  <c r="N7552" i="116"/>
  <c r="M7553" i="116"/>
  <c r="M7554" i="116"/>
  <c r="M7555" i="116"/>
  <c r="M7556" i="116"/>
  <c r="N7556" i="116"/>
  <c r="N7557" i="116"/>
  <c r="M7557" i="116"/>
  <c r="M7558" i="116"/>
  <c r="N7558" i="116"/>
  <c r="M7559" i="116"/>
  <c r="N7559" i="116"/>
  <c r="M7560" i="116"/>
  <c r="N7560" i="116"/>
  <c r="M7561" i="116"/>
  <c r="M7562" i="116"/>
  <c r="M7563" i="116"/>
  <c r="M7564" i="116"/>
  <c r="N7564" i="116"/>
  <c r="N7565" i="116"/>
  <c r="M7565" i="116"/>
  <c r="M7566" i="116"/>
  <c r="N7566" i="116"/>
  <c r="M7567" i="116"/>
  <c r="N7567" i="116"/>
  <c r="N7568" i="116"/>
  <c r="M7569" i="116"/>
  <c r="M7570" i="116"/>
  <c r="N7571" i="116"/>
  <c r="M7571" i="116"/>
  <c r="M7572" i="116"/>
  <c r="N7572" i="116"/>
  <c r="N7573" i="116"/>
  <c r="M7573" i="116"/>
  <c r="M7574" i="116"/>
  <c r="N7574" i="116"/>
  <c r="M7575" i="116"/>
  <c r="N7575" i="116"/>
  <c r="N7576" i="116"/>
  <c r="M7577" i="116"/>
  <c r="M7578" i="116"/>
  <c r="N7579" i="116"/>
  <c r="M7579" i="116"/>
  <c r="M7580" i="116"/>
  <c r="N7580" i="116"/>
  <c r="N7581" i="116"/>
  <c r="M7581" i="116"/>
  <c r="M7582" i="116"/>
  <c r="N7582" i="116"/>
  <c r="M7583" i="116"/>
  <c r="N7583" i="116"/>
  <c r="N7584" i="116"/>
  <c r="M7585" i="116"/>
  <c r="M7586" i="116"/>
  <c r="N7587" i="116"/>
  <c r="M7587" i="116"/>
  <c r="M7588" i="116"/>
  <c r="N7588" i="116"/>
  <c r="N7589" i="116"/>
  <c r="M7589" i="116"/>
  <c r="M7590" i="116"/>
  <c r="N7590" i="116"/>
  <c r="M7591" i="116"/>
  <c r="N7591" i="116"/>
  <c r="N7592" i="116"/>
  <c r="M7593" i="116"/>
  <c r="M7594" i="116"/>
  <c r="N7595" i="116"/>
  <c r="M7595" i="116"/>
  <c r="M7596" i="116"/>
  <c r="N7596" i="116"/>
  <c r="N7597" i="116"/>
  <c r="M7597" i="116"/>
  <c r="M7598" i="116"/>
  <c r="N7598" i="116"/>
  <c r="M7599" i="116"/>
  <c r="N7599" i="116"/>
  <c r="N7600" i="116"/>
  <c r="M7601" i="116"/>
  <c r="M7602" i="116"/>
  <c r="N7603" i="116"/>
  <c r="M7603" i="116"/>
  <c r="N7604" i="116"/>
  <c r="M7604" i="116"/>
  <c r="N7605" i="116"/>
  <c r="M7605" i="116"/>
  <c r="M7606" i="116"/>
  <c r="N7606" i="116"/>
  <c r="M7607" i="116"/>
  <c r="N7607" i="116"/>
  <c r="N7608" i="116"/>
  <c r="M7609" i="116"/>
  <c r="M7610" i="116"/>
  <c r="N7611" i="116"/>
  <c r="M7611" i="116"/>
  <c r="N7612" i="116"/>
  <c r="M7612" i="116"/>
  <c r="N7613" i="116"/>
  <c r="M7613" i="116"/>
  <c r="M7614" i="116"/>
  <c r="N7614" i="116"/>
  <c r="M7615" i="116"/>
  <c r="N7615" i="116"/>
  <c r="N7616" i="116"/>
  <c r="M7617" i="116"/>
  <c r="M7618" i="116"/>
  <c r="N7619" i="116"/>
  <c r="M7619" i="116"/>
  <c r="N7620" i="116"/>
  <c r="M7620" i="116"/>
  <c r="N7621" i="116"/>
  <c r="M7621" i="116"/>
  <c r="M7622" i="116"/>
  <c r="N7622" i="116"/>
  <c r="M7623" i="116"/>
  <c r="N7623" i="116"/>
  <c r="N7624" i="116"/>
  <c r="M7625" i="116"/>
  <c r="M7626" i="116"/>
  <c r="N7627" i="116"/>
  <c r="M7627" i="116"/>
  <c r="N7628" i="116"/>
  <c r="M7628" i="116"/>
  <c r="N7629" i="116"/>
  <c r="M7629" i="116"/>
  <c r="M7630" i="116"/>
  <c r="N7630" i="116"/>
  <c r="M7631" i="116"/>
  <c r="N7631" i="116"/>
  <c r="N7632" i="116"/>
  <c r="M7633" i="116"/>
  <c r="M7634" i="116"/>
  <c r="N7635" i="116"/>
  <c r="M7635" i="116"/>
  <c r="N7636" i="116"/>
  <c r="M7636" i="116"/>
  <c r="N7637" i="116"/>
  <c r="M7637" i="116"/>
  <c r="M7638" i="116"/>
  <c r="N7638" i="116"/>
  <c r="M7639" i="116"/>
  <c r="N7639" i="116"/>
  <c r="N7640" i="116"/>
  <c r="M7641" i="116"/>
  <c r="M7642" i="116"/>
  <c r="N7643" i="116"/>
  <c r="M7643" i="116"/>
  <c r="N7644" i="116"/>
  <c r="M7644" i="116"/>
  <c r="N7645" i="116"/>
  <c r="M7645" i="116"/>
  <c r="M7646" i="116"/>
  <c r="N7646" i="116"/>
  <c r="M7647" i="116"/>
  <c r="N7647" i="116"/>
  <c r="N7648" i="116"/>
  <c r="M7650" i="116"/>
  <c r="N7651" i="116"/>
  <c r="M7651" i="116"/>
  <c r="N7652" i="116"/>
  <c r="M7652" i="116"/>
  <c r="N7653" i="116"/>
  <c r="M7653" i="116"/>
  <c r="M7654" i="116"/>
  <c r="N7654" i="116"/>
  <c r="M7655" i="116"/>
  <c r="N7655" i="116"/>
  <c r="N7656" i="116"/>
  <c r="M7658" i="116"/>
  <c r="N7659" i="116"/>
  <c r="M7659" i="116"/>
  <c r="N7660" i="116"/>
  <c r="M7660" i="116"/>
  <c r="N7661" i="116"/>
  <c r="M7661" i="116"/>
  <c r="M7662" i="116"/>
  <c r="N7662" i="116"/>
  <c r="M7663" i="116"/>
  <c r="N7663" i="116"/>
  <c r="N7664" i="116"/>
  <c r="M7666" i="116"/>
  <c r="N7667" i="116"/>
  <c r="M7667" i="116"/>
  <c r="N7668" i="116"/>
  <c r="M7668" i="116"/>
  <c r="N7669" i="116"/>
  <c r="M7669" i="116"/>
  <c r="M7670" i="116"/>
  <c r="N7670" i="116"/>
  <c r="M7671" i="116"/>
  <c r="N7671" i="116"/>
  <c r="M7674" i="116"/>
  <c r="N7675" i="116"/>
  <c r="M7675" i="116"/>
  <c r="N7676" i="116"/>
  <c r="M7676" i="116"/>
  <c r="N7677" i="116"/>
  <c r="M7677" i="116"/>
  <c r="M7678" i="116"/>
  <c r="N7678" i="116"/>
  <c r="M7679" i="116"/>
  <c r="N7679" i="116"/>
  <c r="M7680" i="116"/>
  <c r="N7680" i="116"/>
  <c r="N7683" i="116"/>
  <c r="M7683" i="116"/>
  <c r="N7684" i="116"/>
  <c r="M7684" i="116"/>
  <c r="N7685" i="116"/>
  <c r="M7685" i="116"/>
  <c r="M7686" i="116"/>
  <c r="N7686" i="116"/>
  <c r="M7687" i="116"/>
  <c r="N7687" i="116"/>
  <c r="M7688" i="116"/>
  <c r="N7688" i="116"/>
  <c r="M7689" i="116"/>
  <c r="N7689" i="116"/>
  <c r="M7690" i="116"/>
  <c r="N7691" i="116"/>
  <c r="M7691" i="116"/>
  <c r="N7692" i="116"/>
  <c r="M7692" i="116"/>
  <c r="N7693" i="116"/>
  <c r="M7693" i="116"/>
  <c r="M7694" i="116"/>
  <c r="N7694" i="116"/>
  <c r="M7695" i="116"/>
  <c r="N7695" i="116"/>
  <c r="M7696" i="116"/>
  <c r="M7697" i="116"/>
  <c r="N7697" i="116"/>
  <c r="M7698" i="116"/>
  <c r="N7698" i="116"/>
  <c r="N7699" i="116"/>
  <c r="M7699" i="116"/>
  <c r="N7700" i="116"/>
  <c r="N7701" i="116"/>
  <c r="M7701" i="116"/>
  <c r="M7702" i="116"/>
  <c r="N7702" i="116"/>
  <c r="M7703" i="116"/>
  <c r="N7703" i="116"/>
  <c r="M7704" i="116"/>
  <c r="N7704" i="116"/>
  <c r="M7705" i="116"/>
  <c r="N7705" i="116"/>
  <c r="M7706" i="116"/>
  <c r="M7707" i="116"/>
  <c r="M7708" i="116"/>
  <c r="N7708" i="116"/>
  <c r="N7709" i="116"/>
  <c r="M7710" i="116"/>
  <c r="M7711" i="116"/>
  <c r="N7711" i="116"/>
  <c r="M7712" i="116"/>
  <c r="M7713" i="116"/>
  <c r="N7713" i="116"/>
  <c r="M7714" i="116"/>
  <c r="M7715" i="116"/>
  <c r="N7715" i="116"/>
  <c r="M7716" i="116"/>
  <c r="N7717" i="116"/>
  <c r="M7717" i="116"/>
  <c r="M7718" i="116"/>
  <c r="N7718" i="116"/>
  <c r="M7719" i="116"/>
  <c r="N7719" i="116"/>
  <c r="M7720" i="116"/>
  <c r="N7720" i="116"/>
  <c r="N7721" i="116"/>
  <c r="M7721" i="116"/>
  <c r="M7722" i="116"/>
  <c r="M7723" i="116"/>
  <c r="M7724" i="116"/>
  <c r="N7724" i="116"/>
  <c r="N7725" i="116"/>
  <c r="M7725" i="116"/>
  <c r="M7726" i="116"/>
  <c r="N7726" i="116"/>
  <c r="M7727" i="116"/>
  <c r="N7727" i="116"/>
  <c r="M7728" i="116"/>
  <c r="M7729" i="116"/>
  <c r="M7730" i="116"/>
  <c r="M7731" i="116"/>
  <c r="N7731" i="116"/>
  <c r="M7732" i="116"/>
  <c r="N7732" i="116"/>
  <c r="N7733" i="116"/>
  <c r="M7733" i="116"/>
  <c r="M7734" i="116"/>
  <c r="N7734" i="116"/>
  <c r="M7735" i="116"/>
  <c r="M7736" i="116"/>
  <c r="N7736" i="116"/>
  <c r="M7737" i="116"/>
  <c r="N7737" i="116"/>
  <c r="N7738" i="116"/>
  <c r="M7738" i="116"/>
  <c r="M7739" i="116"/>
  <c r="M7740" i="116"/>
  <c r="N7740" i="116"/>
  <c r="M7741" i="116"/>
  <c r="N7741" i="116"/>
  <c r="M7742" i="116"/>
  <c r="N7742" i="116"/>
  <c r="M7743" i="116"/>
  <c r="M7744" i="116"/>
  <c r="N7744" i="116"/>
  <c r="M7745" i="116"/>
  <c r="N7745" i="116"/>
  <c r="M7746" i="116"/>
  <c r="M7747" i="116"/>
  <c r="M7748" i="116"/>
  <c r="N7748" i="116"/>
  <c r="M7749" i="116"/>
  <c r="N7749" i="116"/>
  <c r="M7750" i="116"/>
  <c r="N7750" i="116"/>
  <c r="M7751" i="116"/>
  <c r="M7502" i="116"/>
  <c r="N7502" i="116"/>
  <c r="N7444" i="116"/>
  <c r="N7456" i="116"/>
  <c r="N7460" i="116"/>
  <c r="M7468" i="116"/>
  <c r="N7472" i="116"/>
  <c r="M7484" i="116"/>
  <c r="N7488" i="116"/>
  <c r="M7492" i="116"/>
  <c r="M7500" i="116"/>
  <c r="N7436" i="116"/>
  <c r="N7448" i="116"/>
  <c r="M7464" i="116"/>
  <c r="M7203" i="116"/>
  <c r="M7215" i="116"/>
  <c r="M7219" i="116"/>
  <c r="M7235" i="116"/>
  <c r="N7239" i="116"/>
  <c r="M7243" i="116"/>
  <c r="N7247" i="116"/>
  <c r="M7251" i="116"/>
  <c r="N7241" i="116"/>
  <c r="M7250" i="116"/>
  <c r="M7201" i="116"/>
  <c r="N7209" i="116"/>
  <c r="N7217" i="116"/>
  <c r="M7226" i="116"/>
  <c r="M7233" i="116"/>
  <c r="N7234" i="116"/>
  <c r="N7237" i="116"/>
  <c r="N7245" i="116"/>
  <c r="M7249" i="116"/>
  <c r="M6970" i="116"/>
  <c r="N6982" i="116"/>
  <c r="M6992" i="116"/>
  <c r="N6996" i="116"/>
  <c r="N6754" i="116"/>
  <c r="N6758" i="116"/>
  <c r="N6762" i="116"/>
  <c r="N6766" i="116"/>
  <c r="N6770" i="116"/>
  <c r="N6774" i="116"/>
  <c r="N6778" i="116"/>
  <c r="N6782" i="116"/>
  <c r="N6786" i="116"/>
  <c r="N6790" i="116"/>
  <c r="N6794" i="116"/>
  <c r="N6798" i="116"/>
  <c r="N6802" i="116"/>
  <c r="N6806" i="116"/>
  <c r="N6810" i="116"/>
  <c r="N6814" i="116"/>
  <c r="N6818" i="116"/>
  <c r="M6822" i="116"/>
  <c r="N6826" i="116"/>
  <c r="N6834" i="116"/>
  <c r="N6842" i="116"/>
  <c r="M6846" i="116"/>
  <c r="M6850" i="116"/>
  <c r="M6866" i="116"/>
  <c r="M6874" i="116"/>
  <c r="M6898" i="116"/>
  <c r="M6914" i="116"/>
  <c r="N6922" i="116"/>
  <c r="N6930" i="116"/>
  <c r="N6938" i="116"/>
  <c r="M6946" i="116"/>
  <c r="N6950" i="116"/>
  <c r="M6954" i="116"/>
  <c r="N6958" i="116"/>
  <c r="N6962" i="116"/>
  <c r="N6966" i="116"/>
  <c r="N6974" i="116"/>
  <c r="M6978" i="116"/>
  <c r="N6981" i="116"/>
  <c r="M6986" i="116"/>
  <c r="N6994" i="116"/>
  <c r="N6998" i="116"/>
  <c r="N6681" i="116"/>
  <c r="M6682" i="116"/>
  <c r="N6689" i="116"/>
  <c r="N6690" i="116"/>
  <c r="N6694" i="116"/>
  <c r="N6697" i="116"/>
  <c r="N6698" i="116"/>
  <c r="N6701" i="116"/>
  <c r="N6705" i="116"/>
  <c r="N6706" i="116"/>
  <c r="N6709" i="116"/>
  <c r="N6710" i="116"/>
  <c r="M6713" i="116"/>
  <c r="M6717" i="116"/>
  <c r="N6718" i="116"/>
  <c r="N6721" i="116"/>
  <c r="N6722" i="116"/>
  <c r="M6725" i="116"/>
  <c r="M6726" i="116"/>
  <c r="N6729" i="116"/>
  <c r="N6730" i="116"/>
  <c r="N6733" i="116"/>
  <c r="N6734" i="116"/>
  <c r="N6737" i="116"/>
  <c r="M6738" i="116"/>
  <c r="M6741" i="116"/>
  <c r="N6742" i="116"/>
  <c r="M6745" i="116"/>
  <c r="N6746" i="116"/>
  <c r="M6750" i="116"/>
  <c r="N6630" i="116"/>
  <c r="N6638" i="116"/>
  <c r="N6650" i="116"/>
  <c r="N6654" i="116"/>
  <c r="N6658" i="116"/>
  <c r="N6662" i="116"/>
  <c r="N6670" i="116"/>
  <c r="N6686" i="116"/>
  <c r="N6714" i="116"/>
  <c r="N6750" i="116"/>
  <c r="N6510" i="116"/>
  <c r="M6518" i="116"/>
  <c r="M6522" i="116"/>
  <c r="N6526" i="116"/>
  <c r="N6530" i="116"/>
  <c r="N6534" i="116"/>
  <c r="N6538" i="116"/>
  <c r="N6542" i="116"/>
  <c r="N6550" i="116"/>
  <c r="N6554" i="116"/>
  <c r="N6558" i="116"/>
  <c r="N6562" i="116"/>
  <c r="N6566" i="116"/>
  <c r="N6570" i="116"/>
  <c r="N6574" i="116"/>
  <c r="M6582" i="116"/>
  <c r="M6586" i="116"/>
  <c r="N6590" i="116"/>
  <c r="N6594" i="116"/>
  <c r="N6598" i="116"/>
  <c r="M6602" i="116"/>
  <c r="N6606" i="116"/>
  <c r="N6614" i="116"/>
  <c r="M6618" i="116"/>
  <c r="N6622" i="116"/>
  <c r="N6626" i="116"/>
  <c r="N6634" i="116"/>
  <c r="N6642" i="116"/>
  <c r="N6646" i="116"/>
  <c r="N6666" i="116"/>
  <c r="N6674" i="116"/>
  <c r="N6702" i="116"/>
  <c r="N6342" i="116"/>
  <c r="M6346" i="116"/>
  <c r="N6350" i="116"/>
  <c r="N6354" i="116"/>
  <c r="N6358" i="116"/>
  <c r="M6362" i="116"/>
  <c r="N6366" i="116"/>
  <c r="M6370" i="116"/>
  <c r="N6374" i="116"/>
  <c r="M6382" i="116"/>
  <c r="N6386" i="116"/>
  <c r="N6390" i="116"/>
  <c r="N6394" i="116"/>
  <c r="N6398" i="116"/>
  <c r="M6402" i="116"/>
  <c r="N6406" i="116"/>
  <c r="N6414" i="116"/>
  <c r="N6422" i="116"/>
  <c r="N6426" i="116"/>
  <c r="N6430" i="116"/>
  <c r="M6434" i="116"/>
  <c r="N6438" i="116"/>
  <c r="M6442" i="116"/>
  <c r="N6446" i="116"/>
  <c r="M6450" i="116"/>
  <c r="N6454" i="116"/>
  <c r="N6458" i="116"/>
  <c r="N6462" i="116"/>
  <c r="M6466" i="116"/>
  <c r="M6474" i="116"/>
  <c r="N6478" i="116"/>
  <c r="N6486" i="116"/>
  <c r="M6490" i="116"/>
  <c r="N6498" i="116"/>
  <c r="N6378" i="116"/>
  <c r="N6410" i="116"/>
  <c r="M6446" i="116"/>
  <c r="M6448" i="116"/>
  <c r="M6464" i="116"/>
  <c r="N6470" i="116"/>
  <c r="N6475" i="116"/>
  <c r="N6480" i="116"/>
  <c r="N6491" i="116"/>
  <c r="N6494" i="116"/>
  <c r="N6464" i="116"/>
  <c r="N6046" i="116"/>
  <c r="N6050" i="116"/>
  <c r="N6054" i="116"/>
  <c r="N6058" i="116"/>
  <c r="N6062" i="116"/>
  <c r="N6066" i="116"/>
  <c r="N6074" i="116"/>
  <c r="M6078" i="116"/>
  <c r="N6082" i="116"/>
  <c r="M6086" i="116"/>
  <c r="N6090" i="116"/>
  <c r="N6094" i="116"/>
  <c r="M6102" i="116"/>
  <c r="N6110" i="116"/>
  <c r="N6114" i="116"/>
  <c r="N6118" i="116"/>
  <c r="N6122" i="116"/>
  <c r="N6126" i="116"/>
  <c r="M6130" i="116"/>
  <c r="N6134" i="116"/>
  <c r="N6142" i="116"/>
  <c r="N6146" i="116"/>
  <c r="M6150" i="116"/>
  <c r="N6154" i="116"/>
  <c r="N6174" i="116"/>
  <c r="M6190" i="116"/>
  <c r="N6198" i="116"/>
  <c r="N6202" i="116"/>
  <c r="M6206" i="116"/>
  <c r="N6210" i="116"/>
  <c r="N6218" i="116"/>
  <c r="M6222" i="116"/>
  <c r="M6234" i="116"/>
  <c r="N6238" i="116"/>
  <c r="N6245" i="116"/>
  <c r="N6250" i="116"/>
  <c r="N6065" i="116"/>
  <c r="N6073" i="116"/>
  <c r="N6081" i="116"/>
  <c r="N6089" i="116"/>
  <c r="M6097" i="116"/>
  <c r="M6105" i="116"/>
  <c r="M6109" i="116"/>
  <c r="M6117" i="116"/>
  <c r="M6121" i="116"/>
  <c r="M6129" i="116"/>
  <c r="M6133" i="116"/>
  <c r="M6137" i="116"/>
  <c r="N6141" i="116"/>
  <c r="N6145" i="116"/>
  <c r="M6149" i="116"/>
  <c r="N6153" i="116"/>
  <c r="N6157" i="116"/>
  <c r="N6161" i="116"/>
  <c r="N6165" i="116"/>
  <c r="N6173" i="116"/>
  <c r="M6177" i="116"/>
  <c r="N6181" i="116"/>
  <c r="M6185" i="116"/>
  <c r="N6189" i="116"/>
  <c r="M6193" i="116"/>
  <c r="N6197" i="116"/>
  <c r="M6205" i="116"/>
  <c r="M6209" i="116"/>
  <c r="N6213" i="116"/>
  <c r="N6217" i="116"/>
  <c r="N6222" i="116"/>
  <c r="N6229" i="116"/>
  <c r="N6237" i="116"/>
  <c r="N6241" i="116"/>
  <c r="M6249" i="116"/>
  <c r="N6010" i="116"/>
  <c r="N6017" i="116"/>
  <c r="M6018" i="116"/>
  <c r="M6025" i="116"/>
  <c r="N6026" i="116"/>
  <c r="N6034" i="116"/>
  <c r="N6038" i="116"/>
  <c r="N6041" i="116"/>
  <c r="M6042" i="116"/>
  <c r="N6057" i="116"/>
  <c r="M6066" i="116"/>
  <c r="N6070" i="116"/>
  <c r="M6098" i="116"/>
  <c r="N6102" i="116"/>
  <c r="M6134" i="116"/>
  <c r="N6138" i="116"/>
  <c r="N6169" i="116"/>
  <c r="M6178" i="116"/>
  <c r="N6186" i="116"/>
  <c r="N6221" i="116"/>
  <c r="N6230" i="116"/>
  <c r="M6242" i="116"/>
  <c r="M5910" i="116"/>
  <c r="N5922" i="116"/>
  <c r="N5938" i="116"/>
  <c r="N5954" i="116"/>
  <c r="M5958" i="116"/>
  <c r="N5962" i="116"/>
  <c r="N5968" i="116"/>
  <c r="N5986" i="116"/>
  <c r="M5988" i="116"/>
  <c r="N5992" i="116"/>
  <c r="M5942" i="116"/>
  <c r="N5946" i="116"/>
  <c r="M5950" i="116"/>
  <c r="M5970" i="116"/>
  <c r="N5975" i="116"/>
  <c r="N5977" i="116"/>
  <c r="M5978" i="116"/>
  <c r="M5983" i="116"/>
  <c r="M5985" i="116"/>
  <c r="N5987" i="116"/>
  <c r="N5994" i="116"/>
  <c r="N6001" i="116"/>
  <c r="M5777" i="116"/>
  <c r="N5785" i="116"/>
  <c r="N5793" i="116"/>
  <c r="N5809" i="116"/>
  <c r="M5817" i="116"/>
  <c r="M5825" i="116"/>
  <c r="M5833" i="116"/>
  <c r="N5841" i="116"/>
  <c r="M5849" i="116"/>
  <c r="M5857" i="116"/>
  <c r="M5865" i="116"/>
  <c r="M5873" i="116"/>
  <c r="N5874" i="116"/>
  <c r="M5881" i="116"/>
  <c r="N5882" i="116"/>
  <c r="M5889" i="116"/>
  <c r="N5890" i="116"/>
  <c r="N5897" i="116"/>
  <c r="N5906" i="116"/>
  <c r="N5913" i="116"/>
  <c r="N5914" i="116"/>
  <c r="M5918" i="116"/>
  <c r="N5926" i="116"/>
  <c r="M5929" i="116"/>
  <c r="N5930" i="116"/>
  <c r="M5945" i="116"/>
  <c r="N5953" i="116"/>
  <c r="M5961" i="116"/>
  <c r="N5963" i="116"/>
  <c r="M5969" i="116"/>
  <c r="M5993" i="116"/>
  <c r="N5999" i="116"/>
  <c r="M5756" i="116"/>
  <c r="N5760" i="116"/>
  <c r="N5764" i="116"/>
  <c r="M5768" i="116"/>
  <c r="N5772" i="116"/>
  <c r="N5780" i="116"/>
  <c r="N5784" i="116"/>
  <c r="N5788" i="116"/>
  <c r="N5792" i="116"/>
  <c r="M5796" i="116"/>
  <c r="M5800" i="116"/>
  <c r="N5804" i="116"/>
  <c r="M5808" i="116"/>
  <c r="N5812" i="116"/>
  <c r="N5820" i="116"/>
  <c r="M5824" i="116"/>
  <c r="N5828" i="116"/>
  <c r="M5832" i="116"/>
  <c r="N5836" i="116"/>
  <c r="M5840" i="116"/>
  <c r="N5844" i="116"/>
  <c r="M5848" i="116"/>
  <c r="M5852" i="116"/>
  <c r="N5860" i="116"/>
  <c r="M5864" i="116"/>
  <c r="N5868" i="116"/>
  <c r="M5872" i="116"/>
  <c r="M5876" i="116"/>
  <c r="M5880" i="116"/>
  <c r="N5884" i="116"/>
  <c r="M5888" i="116"/>
  <c r="M5892" i="116"/>
  <c r="N5896" i="116"/>
  <c r="N5904" i="116"/>
  <c r="N5908" i="116"/>
  <c r="M5912" i="116"/>
  <c r="M5916" i="116"/>
  <c r="M5920" i="116"/>
  <c r="N5924" i="116"/>
  <c r="N5936" i="116"/>
  <c r="M5944" i="116"/>
  <c r="N5948" i="116"/>
  <c r="M5952" i="116"/>
  <c r="N5956" i="116"/>
  <c r="M5972" i="116"/>
  <c r="M5980" i="116"/>
  <c r="N5984" i="116"/>
  <c r="M5996" i="116"/>
  <c r="N6000" i="116"/>
  <c r="N5776" i="116"/>
  <c r="M5816" i="116"/>
  <c r="M5856" i="116"/>
  <c r="N5892" i="116"/>
  <c r="N5940" i="116"/>
  <c r="N5959" i="116"/>
  <c r="N5976" i="116"/>
  <c r="N5995" i="116"/>
  <c r="N5633" i="116"/>
  <c r="N5652" i="116"/>
  <c r="N5653" i="116"/>
  <c r="M5656" i="116"/>
  <c r="N5660" i="116"/>
  <c r="N5661" i="116"/>
  <c r="N5668" i="116"/>
  <c r="N5669" i="116"/>
  <c r="M5670" i="116"/>
  <c r="M5672" i="116"/>
  <c r="M5676" i="116"/>
  <c r="N5677" i="116"/>
  <c r="M5678" i="116"/>
  <c r="N5680" i="116"/>
  <c r="M5684" i="116"/>
  <c r="M5685" i="116"/>
  <c r="M5686" i="116"/>
  <c r="M5692" i="116"/>
  <c r="M5693" i="116"/>
  <c r="M5694" i="116"/>
  <c r="N5696" i="116"/>
  <c r="N5700" i="116"/>
  <c r="M5702" i="116"/>
  <c r="N5704" i="116"/>
  <c r="M5708" i="116"/>
  <c r="M5712" i="116"/>
  <c r="N5716" i="116"/>
  <c r="M5718" i="116"/>
  <c r="M5719" i="116"/>
  <c r="N5720" i="116"/>
  <c r="N5721" i="116"/>
  <c r="N5724" i="116"/>
  <c r="M5726" i="116"/>
  <c r="N5728" i="116"/>
  <c r="N5729" i="116"/>
  <c r="M5734" i="116"/>
  <c r="M5736" i="116"/>
  <c r="M5740" i="116"/>
  <c r="M5741" i="116"/>
  <c r="M5742" i="116"/>
  <c r="N5744" i="116"/>
  <c r="M5745" i="116"/>
  <c r="N5746" i="116"/>
  <c r="M5748" i="116"/>
  <c r="N5751" i="116"/>
  <c r="N5570" i="116"/>
  <c r="M5586" i="116"/>
  <c r="M5614" i="116"/>
  <c r="N5622" i="116"/>
  <c r="N5634" i="116"/>
  <c r="N5638" i="116"/>
  <c r="M5662" i="116"/>
  <c r="M5664" i="116"/>
  <c r="M5688" i="116"/>
  <c r="M5710" i="116"/>
  <c r="N5732" i="116"/>
  <c r="M5750" i="116"/>
  <c r="N5506" i="116"/>
  <c r="N5510" i="116"/>
  <c r="N5518" i="116"/>
  <c r="M5522" i="116"/>
  <c r="N5526" i="116"/>
  <c r="N5530" i="116"/>
  <c r="N5538" i="116"/>
  <c r="N5542" i="116"/>
  <c r="N5550" i="116"/>
  <c r="M5554" i="116"/>
  <c r="M5556" i="116"/>
  <c r="N5558" i="116"/>
  <c r="N5560" i="116"/>
  <c r="M5562" i="116"/>
  <c r="N5566" i="116"/>
  <c r="N5574" i="116"/>
  <c r="N5576" i="116"/>
  <c r="M5578" i="116"/>
  <c r="N5582" i="116"/>
  <c r="N5588" i="116"/>
  <c r="N5590" i="116"/>
  <c r="N5592" i="116"/>
  <c r="N5594" i="116"/>
  <c r="N5602" i="116"/>
  <c r="N5606" i="116"/>
  <c r="N5612" i="116"/>
  <c r="M5618" i="116"/>
  <c r="M5620" i="116"/>
  <c r="N5624" i="116"/>
  <c r="N5626" i="116"/>
  <c r="M5630" i="116"/>
  <c r="M5646" i="116"/>
  <c r="M5654" i="116"/>
  <c r="N5659" i="116"/>
  <c r="M5673" i="116"/>
  <c r="M5679" i="116"/>
  <c r="M5699" i="116"/>
  <c r="N5703" i="116"/>
  <c r="N5713" i="116"/>
  <c r="N5731" i="116"/>
  <c r="N5735" i="116"/>
  <c r="N5739" i="116"/>
  <c r="M5914" i="116"/>
  <c r="N5794" i="116"/>
  <c r="N5802" i="116"/>
  <c r="N5826" i="116"/>
  <c r="N5850" i="116"/>
  <c r="M5913" i="116"/>
  <c r="M5922" i="116"/>
  <c r="N5866" i="116"/>
  <c r="N5754" i="116"/>
  <c r="M5758" i="116"/>
  <c r="M5766" i="116"/>
  <c r="N5774" i="116"/>
  <c r="N5782" i="116"/>
  <c r="N5818" i="116"/>
  <c r="N5834" i="116"/>
  <c r="N5452" i="116"/>
  <c r="N5461" i="116"/>
  <c r="N5468" i="116"/>
  <c r="N5473" i="116"/>
  <c r="N5481" i="116"/>
  <c r="M5485" i="116"/>
  <c r="N5492" i="116"/>
  <c r="M5493" i="116"/>
  <c r="M5494" i="116"/>
  <c r="N5497" i="116"/>
  <c r="M5500" i="116"/>
  <c r="N5256" i="116"/>
  <c r="N5260" i="116"/>
  <c r="N5264" i="116"/>
  <c r="M5268" i="116"/>
  <c r="N5272" i="116"/>
  <c r="N5276" i="116"/>
  <c r="N5280" i="116"/>
  <c r="M5284" i="116"/>
  <c r="N5288" i="116"/>
  <c r="N5300" i="116"/>
  <c r="M5308" i="116"/>
  <c r="M5312" i="116"/>
  <c r="N5316" i="116"/>
  <c r="N5320" i="116"/>
  <c r="M5324" i="116"/>
  <c r="N5328" i="116"/>
  <c r="N5332" i="116"/>
  <c r="N5336" i="116"/>
  <c r="N5340" i="116"/>
  <c r="N5344" i="116"/>
  <c r="N5352" i="116"/>
  <c r="N5364" i="116"/>
  <c r="M5372" i="116"/>
  <c r="M5376" i="116"/>
  <c r="N5380" i="116"/>
  <c r="N5384" i="116"/>
  <c r="N5388" i="116"/>
  <c r="M5392" i="116"/>
  <c r="N5396" i="116"/>
  <c r="M5404" i="116"/>
  <c r="N5408" i="116"/>
  <c r="M5416" i="116"/>
  <c r="N5436" i="116"/>
  <c r="N5440" i="116"/>
  <c r="N5444" i="116"/>
  <c r="N5456" i="116"/>
  <c r="N5460" i="116"/>
  <c r="N5464" i="116"/>
  <c r="N5472" i="116"/>
  <c r="N5480" i="116"/>
  <c r="N5487" i="116"/>
  <c r="M5489" i="116"/>
  <c r="M5490" i="116"/>
  <c r="N5495" i="116"/>
  <c r="M5397" i="116"/>
  <c r="N5409" i="116"/>
  <c r="M5417" i="116"/>
  <c r="M5421" i="116"/>
  <c r="N5425" i="116"/>
  <c r="N5428" i="116"/>
  <c r="M5429" i="116"/>
  <c r="N5433" i="116"/>
  <c r="M5437" i="116"/>
  <c r="N5441" i="116"/>
  <c r="N5445" i="116"/>
  <c r="N5448" i="116"/>
  <c r="N5449" i="116"/>
  <c r="N5453" i="116"/>
  <c r="N5474" i="116"/>
  <c r="M5482" i="116"/>
  <c r="N5489" i="116"/>
  <c r="N5494" i="116"/>
  <c r="N5499" i="116"/>
  <c r="N5500" i="116"/>
  <c r="N5196" i="116"/>
  <c r="N5200" i="116"/>
  <c r="N5212" i="116"/>
  <c r="N5228" i="116"/>
  <c r="N5239" i="116"/>
  <c r="N5244" i="116"/>
  <c r="M5247" i="116"/>
  <c r="N5251" i="116"/>
  <c r="M5027" i="116"/>
  <c r="M5031" i="116"/>
  <c r="M5035" i="116"/>
  <c r="M5039" i="116"/>
  <c r="N5043" i="116"/>
  <c r="M5047" i="116"/>
  <c r="M5051" i="116"/>
  <c r="M5055" i="116"/>
  <c r="M5059" i="116"/>
  <c r="M5063" i="116"/>
  <c r="N5067" i="116"/>
  <c r="M5071" i="116"/>
  <c r="N5075" i="116"/>
  <c r="M5083" i="116"/>
  <c r="M5087" i="116"/>
  <c r="N5091" i="116"/>
  <c r="M5095" i="116"/>
  <c r="N5099" i="116"/>
  <c r="M5103" i="116"/>
  <c r="N5107" i="116"/>
  <c r="M5111" i="116"/>
  <c r="N5115" i="116"/>
  <c r="M5119" i="116"/>
  <c r="N5123" i="116"/>
  <c r="M5127" i="116"/>
  <c r="M5131" i="116"/>
  <c r="M5135" i="116"/>
  <c r="N5139" i="116"/>
  <c r="M5143" i="116"/>
  <c r="M5147" i="116"/>
  <c r="M5151" i="116"/>
  <c r="N5155" i="116"/>
  <c r="M5159" i="116"/>
  <c r="N5163" i="116"/>
  <c r="M5167" i="116"/>
  <c r="N5171" i="116"/>
  <c r="M5175" i="116"/>
  <c r="N5179" i="116"/>
  <c r="M5183" i="116"/>
  <c r="M5186" i="116"/>
  <c r="N5187" i="116"/>
  <c r="N5190" i="116"/>
  <c r="N5191" i="116"/>
  <c r="N5195" i="116"/>
  <c r="N5199" i="116"/>
  <c r="N5203" i="116"/>
  <c r="N5207" i="116"/>
  <c r="M5211" i="116"/>
  <c r="M5215" i="116"/>
  <c r="N5219" i="116"/>
  <c r="N5223" i="116"/>
  <c r="M5227" i="116"/>
  <c r="M5231" i="116"/>
  <c r="N5235" i="116"/>
  <c r="M5243" i="116"/>
  <c r="N7501" i="116"/>
  <c r="N7500" i="116"/>
  <c r="M7499" i="116"/>
  <c r="N7499" i="116"/>
  <c r="N7498" i="116"/>
  <c r="N7497" i="116"/>
  <c r="N7496" i="116"/>
  <c r="N7495" i="116"/>
  <c r="M7495" i="116"/>
  <c r="N7494" i="116"/>
  <c r="M7494" i="116"/>
  <c r="M7493" i="116"/>
  <c r="N7493" i="116"/>
  <c r="N7492" i="116"/>
  <c r="N7491" i="116"/>
  <c r="M7491" i="116"/>
  <c r="N7490" i="116"/>
  <c r="N7489" i="116"/>
  <c r="N7487" i="116"/>
  <c r="M7487" i="116"/>
  <c r="N7486" i="116"/>
  <c r="M7486" i="116"/>
  <c r="M7485" i="116"/>
  <c r="N7485" i="116"/>
  <c r="N7483" i="116"/>
  <c r="M7483" i="116"/>
  <c r="N7482" i="116"/>
  <c r="N7481" i="116"/>
  <c r="N7480" i="116"/>
  <c r="M7480" i="116"/>
  <c r="N7479" i="116"/>
  <c r="M7479" i="116"/>
  <c r="N7478" i="116"/>
  <c r="M7478" i="116"/>
  <c r="M7477" i="116"/>
  <c r="N7477" i="116"/>
  <c r="M7476" i="116"/>
  <c r="N7476" i="116"/>
  <c r="N7475" i="116"/>
  <c r="M7475" i="116"/>
  <c r="N7474" i="116"/>
  <c r="N7473" i="116"/>
  <c r="M7472" i="116"/>
  <c r="N7471" i="116"/>
  <c r="M7471" i="116"/>
  <c r="N7470" i="116"/>
  <c r="M7470" i="116"/>
  <c r="M7469" i="116"/>
  <c r="N7469" i="116"/>
  <c r="N7468" i="116"/>
  <c r="N7467" i="116"/>
  <c r="M7467" i="116"/>
  <c r="N7466" i="116"/>
  <c r="N7465" i="116"/>
  <c r="N7464" i="116"/>
  <c r="N7463" i="116"/>
  <c r="M7463" i="116"/>
  <c r="N7462" i="116"/>
  <c r="M7462" i="116"/>
  <c r="M7461" i="116"/>
  <c r="N7461" i="116"/>
  <c r="M7460" i="116"/>
  <c r="N7459" i="116"/>
  <c r="M7459" i="116"/>
  <c r="N7458" i="116"/>
  <c r="N7457" i="116"/>
  <c r="M7456" i="116"/>
  <c r="N7455" i="116"/>
  <c r="M7455" i="116"/>
  <c r="N7453" i="116"/>
  <c r="N7452" i="116"/>
  <c r="M7452" i="116"/>
  <c r="N7451" i="116"/>
  <c r="N7450" i="116"/>
  <c r="M7449" i="116"/>
  <c r="N7449" i="116"/>
  <c r="N7447" i="116"/>
  <c r="M7447" i="116"/>
  <c r="N7445" i="116"/>
  <c r="M7444" i="116"/>
  <c r="N7442" i="116"/>
  <c r="N7441" i="116"/>
  <c r="M7441" i="116"/>
  <c r="N7440" i="116"/>
  <c r="M7440" i="116"/>
  <c r="N7439" i="116"/>
  <c r="M7439" i="116"/>
  <c r="M7438" i="116"/>
  <c r="N7438" i="116"/>
  <c r="N7437" i="116"/>
  <c r="M7436" i="116"/>
  <c r="N7434" i="116"/>
  <c r="N7433" i="116"/>
  <c r="M7433" i="116"/>
  <c r="N7432" i="116"/>
  <c r="M7432" i="116"/>
  <c r="N7431" i="116"/>
  <c r="M7431" i="116"/>
  <c r="M7430" i="116"/>
  <c r="N7430" i="116"/>
  <c r="N7429" i="116"/>
  <c r="N7428" i="116"/>
  <c r="M7428" i="116"/>
  <c r="N7426" i="116"/>
  <c r="N7425" i="116"/>
  <c r="M7425" i="116"/>
  <c r="N7424" i="116"/>
  <c r="M7424" i="116"/>
  <c r="N7423" i="116"/>
  <c r="M7423" i="116"/>
  <c r="M7422" i="116"/>
  <c r="N7422" i="116"/>
  <c r="N7421" i="116"/>
  <c r="N7420" i="116"/>
  <c r="M7420" i="116"/>
  <c r="N7418" i="116"/>
  <c r="M7418" i="116"/>
  <c r="N7416" i="116"/>
  <c r="M7416" i="116"/>
  <c r="N7415" i="116"/>
  <c r="M7415" i="116"/>
  <c r="N7414" i="116"/>
  <c r="N7413" i="116"/>
  <c r="N7412" i="116"/>
  <c r="M7412" i="116"/>
  <c r="N7410" i="116"/>
  <c r="M7410" i="116"/>
  <c r="N7409" i="116"/>
  <c r="M7408" i="116"/>
  <c r="N7408" i="116"/>
  <c r="N7407" i="116"/>
  <c r="M7407" i="116"/>
  <c r="N7405" i="116"/>
  <c r="N7404" i="116"/>
  <c r="M7404" i="116"/>
  <c r="N7402" i="116"/>
  <c r="M7402" i="116"/>
  <c r="N7401" i="116"/>
  <c r="M7400" i="116"/>
  <c r="N7400" i="116"/>
  <c r="N7399" i="116"/>
  <c r="M7399" i="116"/>
  <c r="N7398" i="116"/>
  <c r="N7397" i="116"/>
  <c r="N7396" i="116"/>
  <c r="M7396" i="116"/>
  <c r="N7394" i="116"/>
  <c r="M7394" i="116"/>
  <c r="N7393" i="116"/>
  <c r="M7392" i="116"/>
  <c r="N7392" i="116"/>
  <c r="N7391" i="116"/>
  <c r="M7391" i="116"/>
  <c r="N7389" i="116"/>
  <c r="N7388" i="116"/>
  <c r="M7388" i="116"/>
  <c r="N7386" i="116"/>
  <c r="M7386" i="116"/>
  <c r="N7385" i="116"/>
  <c r="M7384" i="116"/>
  <c r="N7384" i="116"/>
  <c r="N7383" i="116"/>
  <c r="M7383" i="116"/>
  <c r="N7382" i="116"/>
  <c r="N7381" i="116"/>
  <c r="N7380" i="116"/>
  <c r="M7380" i="116"/>
  <c r="N7378" i="116"/>
  <c r="M7378" i="116"/>
  <c r="N7377" i="116"/>
  <c r="M7376" i="116"/>
  <c r="N7376" i="116"/>
  <c r="N7375" i="116"/>
  <c r="M7375" i="116"/>
  <c r="N7373" i="116"/>
  <c r="N7372" i="116"/>
  <c r="M7372" i="116"/>
  <c r="N7370" i="116"/>
  <c r="M7370" i="116"/>
  <c r="N7369" i="116"/>
  <c r="M7368" i="116"/>
  <c r="N7368" i="116"/>
  <c r="N7367" i="116"/>
  <c r="M7367" i="116"/>
  <c r="N7366" i="116"/>
  <c r="N7365" i="116"/>
  <c r="N7364" i="116"/>
  <c r="M7364" i="116"/>
  <c r="N7362" i="116"/>
  <c r="M7362" i="116"/>
  <c r="N7361" i="116"/>
  <c r="M7360" i="116"/>
  <c r="N7360" i="116"/>
  <c r="N7359" i="116"/>
  <c r="M7359" i="116"/>
  <c r="N7357" i="116"/>
  <c r="N7356" i="116"/>
  <c r="M7356" i="116"/>
  <c r="N7354" i="116"/>
  <c r="M7354" i="116"/>
  <c r="N7353" i="116"/>
  <c r="M7352" i="116"/>
  <c r="N7352" i="116"/>
  <c r="N7351" i="116"/>
  <c r="M7351" i="116"/>
  <c r="N7350" i="116"/>
  <c r="N7349" i="116"/>
  <c r="N7348" i="116"/>
  <c r="M7348" i="116"/>
  <c r="N7346" i="116"/>
  <c r="M7346" i="116"/>
  <c r="N7345" i="116"/>
  <c r="M7344" i="116"/>
  <c r="N7344" i="116"/>
  <c r="N7343" i="116"/>
  <c r="M7343" i="116"/>
  <c r="N7341" i="116"/>
  <c r="N7340" i="116"/>
  <c r="M7340" i="116"/>
  <c r="N7338" i="116"/>
  <c r="M7338" i="116"/>
  <c r="N7337" i="116"/>
  <c r="N7336" i="116"/>
  <c r="M7336" i="116"/>
  <c r="N7335" i="116"/>
  <c r="M7335" i="116"/>
  <c r="N7334" i="116"/>
  <c r="N7333" i="116"/>
  <c r="N7332" i="116"/>
  <c r="M7332" i="116"/>
  <c r="N7330" i="116"/>
  <c r="M7330" i="116"/>
  <c r="M7329" i="116"/>
  <c r="N7329" i="116"/>
  <c r="M7328" i="116"/>
  <c r="N7328" i="116"/>
  <c r="N7327" i="116"/>
  <c r="M7327" i="116"/>
  <c r="M7326" i="116"/>
  <c r="N7326" i="116"/>
  <c r="N7325" i="116"/>
  <c r="N7324" i="116"/>
  <c r="M7324" i="116"/>
  <c r="N7322" i="116"/>
  <c r="M7322" i="116"/>
  <c r="N7321" i="116"/>
  <c r="M7321" i="116"/>
  <c r="M7320" i="116"/>
  <c r="N7320" i="116"/>
  <c r="N7319" i="116"/>
  <c r="M7319" i="116"/>
  <c r="N7318" i="116"/>
  <c r="N7317" i="116"/>
  <c r="N7316" i="116"/>
  <c r="M7316" i="116"/>
  <c r="N7314" i="116"/>
  <c r="M7314" i="116"/>
  <c r="M7313" i="116"/>
  <c r="N7313" i="116"/>
  <c r="M7312" i="116"/>
  <c r="N7312" i="116"/>
  <c r="N7311" i="116"/>
  <c r="M7311" i="116"/>
  <c r="M7310" i="116"/>
  <c r="N7310" i="116"/>
  <c r="N7309" i="116"/>
  <c r="N7308" i="116"/>
  <c r="M7308" i="116"/>
  <c r="N7306" i="116"/>
  <c r="M7306" i="116"/>
  <c r="N7305" i="116"/>
  <c r="M7305" i="116"/>
  <c r="M7304" i="116"/>
  <c r="N7304" i="116"/>
  <c r="N7303" i="116"/>
  <c r="M7303" i="116"/>
  <c r="M7302" i="116"/>
  <c r="N7302" i="116"/>
  <c r="N7300" i="116"/>
  <c r="M7300" i="116"/>
  <c r="M7299" i="116"/>
  <c r="N7298" i="116"/>
  <c r="M7298" i="116"/>
  <c r="M7297" i="116"/>
  <c r="N7297" i="116"/>
  <c r="M7296" i="116"/>
  <c r="N7296" i="116"/>
  <c r="N7295" i="116"/>
  <c r="M7295" i="116"/>
  <c r="M7294" i="116"/>
  <c r="N7294" i="116"/>
  <c r="M7292" i="116"/>
  <c r="N7292" i="116"/>
  <c r="M7291" i="116"/>
  <c r="N7290" i="116"/>
  <c r="M7290" i="116"/>
  <c r="N7289" i="116"/>
  <c r="M7288" i="116"/>
  <c r="N7288" i="116"/>
  <c r="N7287" i="116"/>
  <c r="M7287" i="116"/>
  <c r="M7286" i="116"/>
  <c r="N7286" i="116"/>
  <c r="M7284" i="116"/>
  <c r="N7284" i="116"/>
  <c r="N7283" i="116"/>
  <c r="M7283" i="116"/>
  <c r="N7282" i="116"/>
  <c r="M7282" i="116"/>
  <c r="N7281" i="116"/>
  <c r="M7281" i="116"/>
  <c r="M7280" i="116"/>
  <c r="N7280" i="116"/>
  <c r="N7279" i="116"/>
  <c r="M7279" i="116"/>
  <c r="N7278" i="116"/>
  <c r="N7276" i="116"/>
  <c r="M7275" i="116"/>
  <c r="N7274" i="116"/>
  <c r="M7274" i="116"/>
  <c r="N7273" i="116"/>
  <c r="M7272" i="116"/>
  <c r="N7272" i="116"/>
  <c r="N7271" i="116"/>
  <c r="M7271" i="116"/>
  <c r="N7270" i="116"/>
  <c r="N7268" i="116"/>
  <c r="N7267" i="116"/>
  <c r="M7267" i="116"/>
  <c r="N7266" i="116"/>
  <c r="M7266" i="116"/>
  <c r="M7265" i="116"/>
  <c r="N7265" i="116"/>
  <c r="M7264" i="116"/>
  <c r="N7264" i="116"/>
  <c r="N7263" i="116"/>
  <c r="M7263" i="116"/>
  <c r="N7262" i="116"/>
  <c r="N7260" i="116"/>
  <c r="N7259" i="116"/>
  <c r="M7259" i="116"/>
  <c r="N7258" i="116"/>
  <c r="M7258" i="116"/>
  <c r="N7257" i="116"/>
  <c r="M7257" i="116"/>
  <c r="N7255" i="116"/>
  <c r="N7254" i="116"/>
  <c r="M7253" i="116"/>
  <c r="N7252" i="116"/>
  <c r="M7252" i="116"/>
  <c r="N7251" i="116"/>
  <c r="N7250" i="116"/>
  <c r="N7248" i="116"/>
  <c r="M7247" i="116"/>
  <c r="N7244" i="116"/>
  <c r="M7244" i="116"/>
  <c r="N7243" i="116"/>
  <c r="N7242" i="116"/>
  <c r="M7242" i="116"/>
  <c r="N7240" i="116"/>
  <c r="M7239" i="116"/>
  <c r="N7236" i="116"/>
  <c r="M7236" i="116"/>
  <c r="N7235" i="116"/>
  <c r="M7234" i="116"/>
  <c r="N7233" i="116"/>
  <c r="M7232" i="116"/>
  <c r="N7232" i="116"/>
  <c r="N7231" i="116"/>
  <c r="M7231" i="116"/>
  <c r="N7228" i="116"/>
  <c r="M7228" i="116"/>
  <c r="N7227" i="116"/>
  <c r="M7227" i="116"/>
  <c r="N7226" i="116"/>
  <c r="N7225" i="116"/>
  <c r="M7224" i="116"/>
  <c r="N7224" i="116"/>
  <c r="N7223" i="116"/>
  <c r="M7223" i="116"/>
  <c r="N7220" i="116"/>
  <c r="N7219" i="116"/>
  <c r="N7218" i="116"/>
  <c r="M7218" i="116"/>
  <c r="M7217" i="116"/>
  <c r="M7216" i="116"/>
  <c r="N7216" i="116"/>
  <c r="N7215" i="116"/>
  <c r="M7212" i="116"/>
  <c r="N7212" i="116"/>
  <c r="N7211" i="116"/>
  <c r="M7211" i="116"/>
  <c r="N7210" i="116"/>
  <c r="M7210" i="116"/>
  <c r="M7208" i="116"/>
  <c r="N7208" i="116"/>
  <c r="N7207" i="116"/>
  <c r="M7207" i="116"/>
  <c r="M7205" i="116"/>
  <c r="N7205" i="116"/>
  <c r="N7204" i="116"/>
  <c r="M7204" i="116"/>
  <c r="N7203" i="116"/>
  <c r="M7202" i="116"/>
  <c r="N7201" i="116"/>
  <c r="N7200" i="116"/>
  <c r="M7200" i="116"/>
  <c r="N7199" i="116"/>
  <c r="M7199" i="116"/>
  <c r="M7197" i="116"/>
  <c r="N7197" i="116"/>
  <c r="N7196" i="116"/>
  <c r="M7196" i="116"/>
  <c r="N7195" i="116"/>
  <c r="M7195" i="116"/>
  <c r="N7194" i="116"/>
  <c r="M7194" i="116"/>
  <c r="N7193" i="116"/>
  <c r="N7192" i="116"/>
  <c r="M7192" i="116"/>
  <c r="N7191" i="116"/>
  <c r="M7191" i="116"/>
  <c r="N7189" i="116"/>
  <c r="N7188" i="116"/>
  <c r="M7188" i="116"/>
  <c r="N7187" i="116"/>
  <c r="M7187" i="116"/>
  <c r="N7186" i="116"/>
  <c r="M7186" i="116"/>
  <c r="M7185" i="116"/>
  <c r="N7185" i="116"/>
  <c r="N7184" i="116"/>
  <c r="M7184" i="116"/>
  <c r="N7183" i="116"/>
  <c r="M7183" i="116"/>
  <c r="M7181" i="116"/>
  <c r="N7181" i="116"/>
  <c r="M7180" i="116"/>
  <c r="N7180" i="116"/>
  <c r="N7179" i="116"/>
  <c r="M7179" i="116"/>
  <c r="N7178" i="116"/>
  <c r="M7178" i="116"/>
  <c r="M7177" i="116"/>
  <c r="N7177" i="116"/>
  <c r="N7176" i="116"/>
  <c r="M7176" i="116"/>
  <c r="N7175" i="116"/>
  <c r="M7175" i="116"/>
  <c r="M7174" i="116"/>
  <c r="N7174" i="116"/>
  <c r="N7173" i="116"/>
  <c r="N7172" i="116"/>
  <c r="M7172" i="116"/>
  <c r="N7171" i="116"/>
  <c r="M7171" i="116"/>
  <c r="N7170" i="116"/>
  <c r="M7170" i="116"/>
  <c r="N7169" i="116"/>
  <c r="M7169" i="116"/>
  <c r="N7168" i="116"/>
  <c r="M7168" i="116"/>
  <c r="N7167" i="116"/>
  <c r="M7167" i="116"/>
  <c r="N7166" i="116"/>
  <c r="M7164" i="116"/>
  <c r="N7164" i="116"/>
  <c r="N7163" i="116"/>
  <c r="M7163" i="116"/>
  <c r="N7162" i="116"/>
  <c r="M7162" i="116"/>
  <c r="M7161" i="116"/>
  <c r="N7161" i="116"/>
  <c r="N7160" i="116"/>
  <c r="M7160" i="116"/>
  <c r="N7159" i="116"/>
  <c r="M7159" i="116"/>
  <c r="N7158" i="116"/>
  <c r="M7157" i="116"/>
  <c r="N7157" i="116"/>
  <c r="N7156" i="116"/>
  <c r="M7156" i="116"/>
  <c r="N7155" i="116"/>
  <c r="M7155" i="116"/>
  <c r="N7154" i="116"/>
  <c r="M7154" i="116"/>
  <c r="N7153" i="116"/>
  <c r="M7153" i="116"/>
  <c r="N7152" i="116"/>
  <c r="M7152" i="116"/>
  <c r="N7151" i="116"/>
  <c r="M7151" i="116"/>
  <c r="N7149" i="116"/>
  <c r="M7148" i="116"/>
  <c r="N7148" i="116"/>
  <c r="N7147" i="116"/>
  <c r="M7147" i="116"/>
  <c r="N7146" i="116"/>
  <c r="M7146" i="116"/>
  <c r="N7144" i="116"/>
  <c r="M7144" i="116"/>
  <c r="N7143" i="116"/>
  <c r="M7143" i="116"/>
  <c r="M7142" i="116"/>
  <c r="N7142" i="116"/>
  <c r="M7141" i="116"/>
  <c r="N7141" i="116"/>
  <c r="N7140" i="116"/>
  <c r="M7140" i="116"/>
  <c r="N7139" i="116"/>
  <c r="M7139" i="116"/>
  <c r="N7137" i="116"/>
  <c r="N7136" i="116"/>
  <c r="N7135" i="116"/>
  <c r="M7135" i="116"/>
  <c r="N7134" i="116"/>
  <c r="M7134" i="116"/>
  <c r="N7133" i="116"/>
  <c r="N7132" i="116"/>
  <c r="M7132" i="116"/>
  <c r="M7130" i="116"/>
  <c r="N7129" i="116"/>
  <c r="M7129" i="116"/>
  <c r="M7128" i="116"/>
  <c r="N7128" i="116"/>
  <c r="N7127" i="116"/>
  <c r="M7127" i="116"/>
  <c r="M7125" i="116"/>
  <c r="N7125" i="116"/>
  <c r="M7124" i="116"/>
  <c r="N7124" i="116"/>
  <c r="M7123" i="116"/>
  <c r="N7123" i="116"/>
  <c r="N7122" i="116"/>
  <c r="M7122" i="116"/>
  <c r="N7121" i="116"/>
  <c r="M7121" i="116"/>
  <c r="N7120" i="116"/>
  <c r="M7120" i="116"/>
  <c r="M7119" i="116"/>
  <c r="N7119" i="116"/>
  <c r="M7118" i="116"/>
  <c r="N7118" i="116"/>
  <c r="N7117" i="116"/>
  <c r="M7117" i="116"/>
  <c r="N7114" i="116"/>
  <c r="M7114" i="116"/>
  <c r="N7113" i="116"/>
  <c r="M7113" i="116"/>
  <c r="N7112" i="116"/>
  <c r="M7112" i="116"/>
  <c r="M7111" i="116"/>
  <c r="N7111" i="116"/>
  <c r="M7110" i="116"/>
  <c r="N7110" i="116"/>
  <c r="N7109" i="116"/>
  <c r="M7109" i="116"/>
  <c r="N7106" i="116"/>
  <c r="M7106" i="116"/>
  <c r="N7105" i="116"/>
  <c r="M7105" i="116"/>
  <c r="N7104" i="116"/>
  <c r="M7104" i="116"/>
  <c r="M7103" i="116"/>
  <c r="N7103" i="116"/>
  <c r="M7102" i="116"/>
  <c r="N7102" i="116"/>
  <c r="N7101" i="116"/>
  <c r="M7101" i="116"/>
  <c r="N7098" i="116"/>
  <c r="M7098" i="116"/>
  <c r="N7097" i="116"/>
  <c r="M7097" i="116"/>
  <c r="N7096" i="116"/>
  <c r="M7096" i="116"/>
  <c r="M7094" i="116"/>
  <c r="N7094" i="116"/>
  <c r="N7093" i="116"/>
  <c r="M7093" i="116"/>
  <c r="N7090" i="116"/>
  <c r="M7090" i="116"/>
  <c r="N7089" i="116"/>
  <c r="M7089" i="116"/>
  <c r="N7088" i="116"/>
  <c r="M7088" i="116"/>
  <c r="M7087" i="116"/>
  <c r="N7087" i="116"/>
  <c r="M7086" i="116"/>
  <c r="N7086" i="116"/>
  <c r="N7085" i="116"/>
  <c r="M7085" i="116"/>
  <c r="N7082" i="116"/>
  <c r="M7082" i="116"/>
  <c r="N7081" i="116"/>
  <c r="M7081" i="116"/>
  <c r="N7080" i="116"/>
  <c r="M7080" i="116"/>
  <c r="M7078" i="116"/>
  <c r="N7078" i="116"/>
  <c r="N7077" i="116"/>
  <c r="M7077" i="116"/>
  <c r="N7075" i="116"/>
  <c r="M7075" i="116"/>
  <c r="N7074" i="116"/>
  <c r="M7074" i="116"/>
  <c r="N7073" i="116"/>
  <c r="M7073" i="116"/>
  <c r="N7072" i="116"/>
  <c r="M7072" i="116"/>
  <c r="M7071" i="116"/>
  <c r="N7071" i="116"/>
  <c r="M7070" i="116"/>
  <c r="N7070" i="116"/>
  <c r="N7069" i="116"/>
  <c r="M7069" i="116"/>
  <c r="N7066" i="116"/>
  <c r="M7066" i="116"/>
  <c r="N7065" i="116"/>
  <c r="M7065" i="116"/>
  <c r="N7064" i="116"/>
  <c r="M7064" i="116"/>
  <c r="M7063" i="116"/>
  <c r="N7063" i="116"/>
  <c r="M7062" i="116"/>
  <c r="N7062" i="116"/>
  <c r="N7061" i="116"/>
  <c r="M7061" i="116"/>
  <c r="M7059" i="116"/>
  <c r="N7058" i="116"/>
  <c r="M7058" i="116"/>
  <c r="N7057" i="116"/>
  <c r="M7057" i="116"/>
  <c r="N7056" i="116"/>
  <c r="M7056" i="116"/>
  <c r="N7055" i="116"/>
  <c r="M7054" i="116"/>
  <c r="N7054" i="116"/>
  <c r="M7053" i="116"/>
  <c r="N7051" i="116"/>
  <c r="M7051" i="116"/>
  <c r="N7050" i="116"/>
  <c r="M7050" i="116"/>
  <c r="N7049" i="116"/>
  <c r="M7049" i="116"/>
  <c r="N7048" i="116"/>
  <c r="M7048" i="116"/>
  <c r="N7047" i="116"/>
  <c r="M7047" i="116"/>
  <c r="M7046" i="116"/>
  <c r="N7046" i="116"/>
  <c r="N7045" i="116"/>
  <c r="M7043" i="116"/>
  <c r="N7042" i="116"/>
  <c r="M7041" i="116"/>
  <c r="N7040" i="116"/>
  <c r="M7040" i="116"/>
  <c r="N7039" i="116"/>
  <c r="M7038" i="116"/>
  <c r="N7038" i="116"/>
  <c r="M7036" i="116"/>
  <c r="N7036" i="116"/>
  <c r="N7034" i="116"/>
  <c r="M7034" i="116"/>
  <c r="N7033" i="116"/>
  <c r="M7033" i="116"/>
  <c r="N7032" i="116"/>
  <c r="M7032" i="116"/>
  <c r="M7031" i="116"/>
  <c r="N7031" i="116"/>
  <c r="N7030" i="116"/>
  <c r="N7029" i="116"/>
  <c r="M7029" i="116"/>
  <c r="N7028" i="116"/>
  <c r="M7028" i="116"/>
  <c r="N7027" i="116"/>
  <c r="M7027" i="116"/>
  <c r="M7026" i="116"/>
  <c r="N7025" i="116"/>
  <c r="N7024" i="116"/>
  <c r="M7024" i="116"/>
  <c r="M7022" i="116"/>
  <c r="N7022" i="116"/>
  <c r="N7021" i="116"/>
  <c r="M7021" i="116"/>
  <c r="N7020" i="116"/>
  <c r="N7018" i="116"/>
  <c r="N7017" i="116"/>
  <c r="N7016" i="116"/>
  <c r="M7016" i="116"/>
  <c r="N7015" i="116"/>
  <c r="M7015" i="116"/>
  <c r="M7014" i="116"/>
  <c r="N7014" i="116"/>
  <c r="N7013" i="116"/>
  <c r="M7012" i="116"/>
  <c r="N7012" i="116"/>
  <c r="M7011" i="116"/>
  <c r="N7010" i="116"/>
  <c r="M7010" i="116"/>
  <c r="N7008" i="116"/>
  <c r="M7008" i="116"/>
  <c r="M7007" i="116"/>
  <c r="N7006" i="116"/>
  <c r="N7003" i="116"/>
  <c r="M7003" i="116"/>
  <c r="N7002" i="116"/>
  <c r="M7002" i="116"/>
  <c r="N7001" i="116"/>
  <c r="M7001" i="116"/>
  <c r="N7000" i="116"/>
  <c r="M7000" i="116"/>
  <c r="N6999" i="116"/>
  <c r="M6996" i="116"/>
  <c r="N6995" i="116"/>
  <c r="M6995" i="116"/>
  <c r="N6992" i="116"/>
  <c r="N6991" i="116"/>
  <c r="M6991" i="116"/>
  <c r="N6989" i="116"/>
  <c r="M6989" i="116"/>
  <c r="N6988" i="116"/>
  <c r="M6988" i="116"/>
  <c r="M6987" i="116"/>
  <c r="N6984" i="116"/>
  <c r="M6984" i="116"/>
  <c r="M6983" i="116"/>
  <c r="M6981" i="116"/>
  <c r="N6980" i="116"/>
  <c r="M6980" i="116"/>
  <c r="N6979" i="116"/>
  <c r="M6979" i="116"/>
  <c r="N6976" i="116"/>
  <c r="M6976" i="116"/>
  <c r="M6975" i="116"/>
  <c r="N6973" i="116"/>
  <c r="M6973" i="116"/>
  <c r="N6972" i="116"/>
  <c r="M6972" i="116"/>
  <c r="N6971" i="116"/>
  <c r="M6971" i="116"/>
  <c r="N6968" i="116"/>
  <c r="M6968" i="116"/>
  <c r="M6967" i="116"/>
  <c r="N6965" i="116"/>
  <c r="M6965" i="116"/>
  <c r="N6964" i="116"/>
  <c r="M6964" i="116"/>
  <c r="N6963" i="116"/>
  <c r="M6963" i="116"/>
  <c r="N6960" i="116"/>
  <c r="M6960" i="116"/>
  <c r="M6959" i="116"/>
  <c r="N6957" i="116"/>
  <c r="M6957" i="116"/>
  <c r="N6956" i="116"/>
  <c r="M6956" i="116"/>
  <c r="N6955" i="116"/>
  <c r="M6955" i="116"/>
  <c r="N6952" i="116"/>
  <c r="M6952" i="116"/>
  <c r="M6951" i="116"/>
  <c r="N6949" i="116"/>
  <c r="M6949" i="116"/>
  <c r="N6948" i="116"/>
  <c r="M6948" i="116"/>
  <c r="N6947" i="116"/>
  <c r="M6947" i="116"/>
  <c r="N6946" i="116"/>
  <c r="N6944" i="116"/>
  <c r="M6944" i="116"/>
  <c r="N6943" i="116"/>
  <c r="M6943" i="116"/>
  <c r="N6941" i="116"/>
  <c r="M6941" i="116"/>
  <c r="N6940" i="116"/>
  <c r="M6940" i="116"/>
  <c r="N6939" i="116"/>
  <c r="M6939" i="116"/>
  <c r="M6937" i="116"/>
  <c r="N6937" i="116"/>
  <c r="N6936" i="116"/>
  <c r="M6936" i="116"/>
  <c r="M6935" i="116"/>
  <c r="N6933" i="116"/>
  <c r="M6933" i="116"/>
  <c r="N6932" i="116"/>
  <c r="M6932" i="116"/>
  <c r="N6931" i="116"/>
  <c r="M6931" i="116"/>
  <c r="M6930" i="116"/>
  <c r="N6928" i="116"/>
  <c r="M6928" i="116"/>
  <c r="N6927" i="116"/>
  <c r="M6927" i="116"/>
  <c r="N6925" i="116"/>
  <c r="M6925" i="116"/>
  <c r="N6924" i="116"/>
  <c r="M6924" i="116"/>
  <c r="N6923" i="116"/>
  <c r="M6923" i="116"/>
  <c r="M6921" i="116"/>
  <c r="N6921" i="116"/>
  <c r="N6920" i="116"/>
  <c r="M6920" i="116"/>
  <c r="M6919" i="116"/>
  <c r="N6917" i="116"/>
  <c r="M6917" i="116"/>
  <c r="N6916" i="116"/>
  <c r="M6916" i="116"/>
  <c r="N6915" i="116"/>
  <c r="M6915" i="116"/>
  <c r="N6912" i="116"/>
  <c r="M6912" i="116"/>
  <c r="N6911" i="116"/>
  <c r="M6911" i="116"/>
  <c r="N6909" i="116"/>
  <c r="M6909" i="116"/>
  <c r="N6908" i="116"/>
  <c r="M6908" i="116"/>
  <c r="N6907" i="116"/>
  <c r="M6907" i="116"/>
  <c r="N6906" i="116"/>
  <c r="M6905" i="116"/>
  <c r="N6905" i="116"/>
  <c r="N6904" i="116"/>
  <c r="M6904" i="116"/>
  <c r="M6903" i="116"/>
  <c r="N6901" i="116"/>
  <c r="M6901" i="116"/>
  <c r="N6900" i="116"/>
  <c r="M6900" i="116"/>
  <c r="N6899" i="116"/>
  <c r="M6899" i="116"/>
  <c r="N6896" i="116"/>
  <c r="M6896" i="116"/>
  <c r="N6895" i="116"/>
  <c r="M6895" i="116"/>
  <c r="N6892" i="116"/>
  <c r="M6892" i="116"/>
  <c r="N6891" i="116"/>
  <c r="M6891" i="116"/>
  <c r="N6889" i="116"/>
  <c r="N6888" i="116"/>
  <c r="M6888" i="116"/>
  <c r="N6885" i="116"/>
  <c r="N6884" i="116"/>
  <c r="M6884" i="116"/>
  <c r="N6883" i="116"/>
  <c r="M6883" i="116"/>
  <c r="N6882" i="116"/>
  <c r="M6881" i="116"/>
  <c r="N6881" i="116"/>
  <c r="N6880" i="116"/>
  <c r="M6880" i="116"/>
  <c r="M6879" i="116"/>
  <c r="N6877" i="116"/>
  <c r="M6877" i="116"/>
  <c r="N6876" i="116"/>
  <c r="M6876" i="116"/>
  <c r="N6875" i="116"/>
  <c r="M6875" i="116"/>
  <c r="N6874" i="116"/>
  <c r="M6873" i="116"/>
  <c r="N6873" i="116"/>
  <c r="N6872" i="116"/>
  <c r="M6872" i="116"/>
  <c r="N6871" i="116"/>
  <c r="M6871" i="116"/>
  <c r="N6869" i="116"/>
  <c r="M6869" i="116"/>
  <c r="N6868" i="116"/>
  <c r="M6868" i="116"/>
  <c r="N6867" i="116"/>
  <c r="M6867" i="116"/>
  <c r="N6864" i="116"/>
  <c r="M6864" i="116"/>
  <c r="N6863" i="116"/>
  <c r="M6863" i="116"/>
  <c r="N6860" i="116"/>
  <c r="M6860" i="116"/>
  <c r="N6859" i="116"/>
  <c r="M6859" i="116"/>
  <c r="N6857" i="116"/>
  <c r="N6856" i="116"/>
  <c r="M6856" i="116"/>
  <c r="N6852" i="116"/>
  <c r="M6852" i="116"/>
  <c r="N6851" i="116"/>
  <c r="M6851" i="116"/>
  <c r="N6850" i="116"/>
  <c r="N6849" i="116"/>
  <c r="M6849" i="116"/>
  <c r="N6848" i="116"/>
  <c r="M6848" i="116"/>
  <c r="N6847" i="116"/>
  <c r="M6847" i="116"/>
  <c r="N6845" i="116"/>
  <c r="M6845" i="116"/>
  <c r="N6844" i="116"/>
  <c r="M6844" i="116"/>
  <c r="M6843" i="116"/>
  <c r="N6841" i="116"/>
  <c r="M6841" i="116"/>
  <c r="N6840" i="116"/>
  <c r="M6840" i="116"/>
  <c r="N6836" i="116"/>
  <c r="M6836" i="116"/>
  <c r="N6835" i="116"/>
  <c r="M6835" i="116"/>
  <c r="N6833" i="116"/>
  <c r="M6833" i="116"/>
  <c r="N6832" i="116"/>
  <c r="M6832" i="116"/>
  <c r="N6829" i="116"/>
  <c r="M6829" i="116"/>
  <c r="N6828" i="116"/>
  <c r="M6828" i="116"/>
  <c r="N6827" i="116"/>
  <c r="M6827" i="116"/>
  <c r="N6825" i="116"/>
  <c r="M6825" i="116"/>
  <c r="M6823" i="116"/>
  <c r="N6823" i="116"/>
  <c r="N6822" i="116"/>
  <c r="N6821" i="116"/>
  <c r="M6821" i="116"/>
  <c r="N6819" i="116"/>
  <c r="M6819" i="116"/>
  <c r="M6818" i="116"/>
  <c r="N6817" i="116"/>
  <c r="M6817" i="116"/>
  <c r="M6815" i="116"/>
  <c r="N6815" i="116"/>
  <c r="N6813" i="116"/>
  <c r="M6813" i="116"/>
  <c r="N6811" i="116"/>
  <c r="N6809" i="116"/>
  <c r="M6809" i="116"/>
  <c r="M6807" i="116"/>
  <c r="N6807" i="116"/>
  <c r="N6805" i="116"/>
  <c r="M6805" i="116"/>
  <c r="M6803" i="116"/>
  <c r="N6803" i="116"/>
  <c r="M6802" i="116"/>
  <c r="N6801" i="116"/>
  <c r="M6801" i="116"/>
  <c r="N6799" i="116"/>
  <c r="N6797" i="116"/>
  <c r="M6797" i="116"/>
  <c r="N6795" i="116"/>
  <c r="N6793" i="116"/>
  <c r="M6793" i="116"/>
  <c r="M6790" i="116"/>
  <c r="N6789" i="116"/>
  <c r="M6789" i="116"/>
  <c r="M6787" i="116"/>
  <c r="N6787" i="116"/>
  <c r="N6785" i="116"/>
  <c r="M6785" i="116"/>
  <c r="N6783" i="116"/>
  <c r="N6781" i="116"/>
  <c r="M6781" i="116"/>
  <c r="M6779" i="116"/>
  <c r="N6779" i="116"/>
  <c r="N6777" i="116"/>
  <c r="M6777" i="116"/>
  <c r="M6774" i="116"/>
  <c r="N6773" i="116"/>
  <c r="M6773" i="116"/>
  <c r="M6771" i="116"/>
  <c r="N6771" i="116"/>
  <c r="N6769" i="116"/>
  <c r="M6769" i="116"/>
  <c r="N6767" i="116"/>
  <c r="N6765" i="116"/>
  <c r="M6765" i="116"/>
  <c r="N6763" i="116"/>
  <c r="N6761" i="116"/>
  <c r="M6761" i="116"/>
  <c r="N6757" i="116"/>
  <c r="M6757" i="116"/>
  <c r="M6755" i="116"/>
  <c r="N6755" i="116"/>
  <c r="N6753" i="116"/>
  <c r="M6753" i="116"/>
  <c r="N6751" i="116"/>
  <c r="N6749" i="116"/>
  <c r="M6749" i="116"/>
  <c r="M6747" i="116"/>
  <c r="N6747" i="116"/>
  <c r="N6745" i="116"/>
  <c r="N6741" i="116"/>
  <c r="M6739" i="116"/>
  <c r="N6739" i="116"/>
  <c r="M6737" i="116"/>
  <c r="M6735" i="116"/>
  <c r="N6735" i="116"/>
  <c r="M6733" i="116"/>
  <c r="M6731" i="116"/>
  <c r="N6731" i="116"/>
  <c r="M6729" i="116"/>
  <c r="N6725" i="116"/>
  <c r="M6723" i="116"/>
  <c r="N6723" i="116"/>
  <c r="M6719" i="116"/>
  <c r="N6719" i="116"/>
  <c r="N6717" i="116"/>
  <c r="N6715" i="116"/>
  <c r="N6713" i="116"/>
  <c r="M6709" i="116"/>
  <c r="M6707" i="116"/>
  <c r="N6707" i="116"/>
  <c r="M6705" i="116"/>
  <c r="N6703" i="116"/>
  <c r="M6698" i="116"/>
  <c r="M6697" i="116"/>
  <c r="N6695" i="116"/>
  <c r="M6695" i="116"/>
  <c r="M6692" i="116"/>
  <c r="N6692" i="116"/>
  <c r="M6689" i="116"/>
  <c r="N6688" i="116"/>
  <c r="N6687" i="116"/>
  <c r="M6687" i="116"/>
  <c r="N6685" i="116"/>
  <c r="M6685" i="116"/>
  <c r="N6682" i="116"/>
  <c r="M6681" i="116"/>
  <c r="M6680" i="116"/>
  <c r="N6680" i="116"/>
  <c r="N6679" i="116"/>
  <c r="N6677" i="116"/>
  <c r="M6677" i="116"/>
  <c r="N6676" i="116"/>
  <c r="N6675" i="116"/>
  <c r="M6675" i="116"/>
  <c r="N6673" i="116"/>
  <c r="M6673" i="116"/>
  <c r="N6672" i="116"/>
  <c r="M6672" i="116"/>
  <c r="M6671" i="116"/>
  <c r="N6671" i="116"/>
  <c r="M6670" i="116"/>
  <c r="N6669" i="116"/>
  <c r="N6667" i="116"/>
  <c r="M6667" i="116"/>
  <c r="N6665" i="116"/>
  <c r="M6665" i="116"/>
  <c r="N6664" i="116"/>
  <c r="M6664" i="116"/>
  <c r="N6663" i="116"/>
  <c r="N6661" i="116"/>
  <c r="M6661" i="116"/>
  <c r="N6659" i="116"/>
  <c r="M6659" i="116"/>
  <c r="N6657" i="116"/>
  <c r="M6657" i="116"/>
  <c r="N6656" i="116"/>
  <c r="M6655" i="116"/>
  <c r="N6655" i="116"/>
  <c r="N6651" i="116"/>
  <c r="M6651" i="116"/>
  <c r="N6649" i="116"/>
  <c r="M6649" i="116"/>
  <c r="N6648" i="116"/>
  <c r="M6647" i="116"/>
  <c r="N6647" i="116"/>
  <c r="N6645" i="116"/>
  <c r="M6645" i="116"/>
  <c r="N6643" i="116"/>
  <c r="M6643" i="116"/>
  <c r="N6641" i="116"/>
  <c r="M6641" i="116"/>
  <c r="N6640" i="116"/>
  <c r="N6637" i="116"/>
  <c r="M6637" i="116"/>
  <c r="N6635" i="116"/>
  <c r="M6635" i="116"/>
  <c r="N6633" i="116"/>
  <c r="M6633" i="116"/>
  <c r="N6632" i="116"/>
  <c r="M6632" i="116"/>
  <c r="M6631" i="116"/>
  <c r="N6631" i="116"/>
  <c r="N6629" i="116"/>
  <c r="M6629" i="116"/>
  <c r="N6627" i="116"/>
  <c r="M6627" i="116"/>
  <c r="N6625" i="116"/>
  <c r="M6625" i="116"/>
  <c r="N6624" i="116"/>
  <c r="M6624" i="116"/>
  <c r="M6623" i="116"/>
  <c r="N6623" i="116"/>
  <c r="N6621" i="116"/>
  <c r="N6619" i="116"/>
  <c r="M6619" i="116"/>
  <c r="N6618" i="116"/>
  <c r="N6617" i="116"/>
  <c r="M6617" i="116"/>
  <c r="N6615" i="116"/>
  <c r="M6614" i="116"/>
  <c r="N6613" i="116"/>
  <c r="N6611" i="116"/>
  <c r="M6611" i="116"/>
  <c r="N6609" i="116"/>
  <c r="M6609" i="116"/>
  <c r="N6608" i="116"/>
  <c r="M6608" i="116"/>
  <c r="N6607" i="116"/>
  <c r="N6605" i="116"/>
  <c r="M6605" i="116"/>
  <c r="N6603" i="116"/>
  <c r="M6603" i="116"/>
  <c r="N6602" i="116"/>
  <c r="N6601" i="116"/>
  <c r="M6601" i="116"/>
  <c r="N6600" i="116"/>
  <c r="M6600" i="116"/>
  <c r="M6599" i="116"/>
  <c r="N6599" i="116"/>
  <c r="N6593" i="116"/>
  <c r="M6593" i="116"/>
  <c r="N6592" i="116"/>
  <c r="N6589" i="116"/>
  <c r="M6589" i="116"/>
  <c r="N6587" i="116"/>
  <c r="M6587" i="116"/>
  <c r="N6586" i="116"/>
  <c r="N6585" i="116"/>
  <c r="M6585" i="116"/>
  <c r="N6584" i="116"/>
  <c r="M6584" i="116"/>
  <c r="N6583" i="116"/>
  <c r="N6582" i="116"/>
  <c r="N6581" i="116"/>
  <c r="M6581" i="116"/>
  <c r="N6579" i="116"/>
  <c r="M6579" i="116"/>
  <c r="N6577" i="116"/>
  <c r="M6577" i="116"/>
  <c r="M6576" i="116"/>
  <c r="N6576" i="116"/>
  <c r="N6575" i="116"/>
  <c r="N6573" i="116"/>
  <c r="M6573" i="116"/>
  <c r="N6571" i="116"/>
  <c r="M6571" i="116"/>
  <c r="N6569" i="116"/>
  <c r="M6569" i="116"/>
  <c r="N6568" i="116"/>
  <c r="M6568" i="116"/>
  <c r="M6567" i="116"/>
  <c r="N6567" i="116"/>
  <c r="N6561" i="116"/>
  <c r="M6561" i="116"/>
  <c r="N6560" i="116"/>
  <c r="N6557" i="116"/>
  <c r="M6557" i="116"/>
  <c r="N6555" i="116"/>
  <c r="M6555" i="116"/>
  <c r="N6553" i="116"/>
  <c r="M6553" i="116"/>
  <c r="N6552" i="116"/>
  <c r="M6552" i="116"/>
  <c r="N6551" i="116"/>
  <c r="N6549" i="116"/>
  <c r="N6547" i="116"/>
  <c r="N6545" i="116"/>
  <c r="M6545" i="116"/>
  <c r="M6544" i="116"/>
  <c r="N6544" i="116"/>
  <c r="N6543" i="116"/>
  <c r="N6541" i="116"/>
  <c r="M6541" i="116"/>
  <c r="N6539" i="116"/>
  <c r="M6539" i="116"/>
  <c r="N6537" i="116"/>
  <c r="M6537" i="116"/>
  <c r="N6536" i="116"/>
  <c r="M6536" i="116"/>
  <c r="M6535" i="116"/>
  <c r="N6535" i="116"/>
  <c r="N6529" i="116"/>
  <c r="M6529" i="116"/>
  <c r="N6528" i="116"/>
  <c r="N6525" i="116"/>
  <c r="M6525" i="116"/>
  <c r="N6523" i="116"/>
  <c r="M6523" i="116"/>
  <c r="N6522" i="116"/>
  <c r="N6521" i="116"/>
  <c r="M6521" i="116"/>
  <c r="N6520" i="116"/>
  <c r="M6520" i="116"/>
  <c r="N6519" i="116"/>
  <c r="N6518" i="116"/>
  <c r="N6517" i="116"/>
  <c r="N6515" i="116"/>
  <c r="N6513" i="116"/>
  <c r="M6513" i="116"/>
  <c r="M6512" i="116"/>
  <c r="N6512" i="116"/>
  <c r="N6511" i="116"/>
  <c r="N6509" i="116"/>
  <c r="M6509" i="116"/>
  <c r="N6507" i="116"/>
  <c r="M6507" i="116"/>
  <c r="N6506" i="116"/>
  <c r="M6506" i="116"/>
  <c r="N6505" i="116"/>
  <c r="M6505" i="116"/>
  <c r="N6504" i="116"/>
  <c r="M6504" i="116"/>
  <c r="M6503" i="116"/>
  <c r="N6503" i="116"/>
  <c r="N6502" i="116"/>
  <c r="M6502" i="116"/>
  <c r="N6499" i="116"/>
  <c r="N6497" i="116"/>
  <c r="M6497" i="116"/>
  <c r="N6496" i="116"/>
  <c r="N6495" i="116"/>
  <c r="N6493" i="116"/>
  <c r="M6493" i="116"/>
  <c r="M6491" i="116"/>
  <c r="N6489" i="116"/>
  <c r="M6489" i="116"/>
  <c r="N6487" i="116"/>
  <c r="M6485" i="116"/>
  <c r="N6485" i="116"/>
  <c r="M6483" i="116"/>
  <c r="N6483" i="116"/>
  <c r="N6481" i="116"/>
  <c r="M6481" i="116"/>
  <c r="M6479" i="116"/>
  <c r="N6479" i="116"/>
  <c r="N6477" i="116"/>
  <c r="M6477" i="116"/>
  <c r="M6475" i="116"/>
  <c r="N6473" i="116"/>
  <c r="M6473" i="116"/>
  <c r="M6471" i="116"/>
  <c r="N6471" i="116"/>
  <c r="N6469" i="116"/>
  <c r="N6467" i="116"/>
  <c r="N6465" i="116"/>
  <c r="M6465" i="116"/>
  <c r="N6461" i="116"/>
  <c r="M6461" i="116"/>
  <c r="N6459" i="116"/>
  <c r="M6459" i="116"/>
  <c r="N6457" i="116"/>
  <c r="M6457" i="116"/>
  <c r="N6455" i="116"/>
  <c r="M6453" i="116"/>
  <c r="N6453" i="116"/>
  <c r="M6451" i="116"/>
  <c r="N6451" i="116"/>
  <c r="N6449" i="116"/>
  <c r="M6449" i="116"/>
  <c r="M6447" i="116"/>
  <c r="N6447" i="116"/>
  <c r="N6445" i="116"/>
  <c r="M6445" i="116"/>
  <c r="N6443" i="116"/>
  <c r="M6443" i="116"/>
  <c r="N6441" i="116"/>
  <c r="M6441" i="116"/>
  <c r="M6439" i="116"/>
  <c r="N6439" i="116"/>
  <c r="M6438" i="116"/>
  <c r="N6435" i="116"/>
  <c r="N6433" i="116"/>
  <c r="M6433" i="116"/>
  <c r="N6432" i="116"/>
  <c r="M6432" i="116"/>
  <c r="M6431" i="116"/>
  <c r="N6431" i="116"/>
  <c r="N6429" i="116"/>
  <c r="M6429" i="116"/>
  <c r="N6427" i="116"/>
  <c r="M6427" i="116"/>
  <c r="N6425" i="116"/>
  <c r="M6425" i="116"/>
  <c r="N6423" i="116"/>
  <c r="M6421" i="116"/>
  <c r="N6421" i="116"/>
  <c r="M6419" i="116"/>
  <c r="N6419" i="116"/>
  <c r="N6417" i="116"/>
  <c r="M6417" i="116"/>
  <c r="N6416" i="116"/>
  <c r="M6416" i="116"/>
  <c r="M6415" i="116"/>
  <c r="N6415" i="116"/>
  <c r="N6413" i="116"/>
  <c r="M6413" i="116"/>
  <c r="N6411" i="116"/>
  <c r="M6411" i="116"/>
  <c r="N6409" i="116"/>
  <c r="M6409" i="116"/>
  <c r="M6407" i="116"/>
  <c r="N6407" i="116"/>
  <c r="M6405" i="116"/>
  <c r="N6405" i="116"/>
  <c r="M6403" i="116"/>
  <c r="N6403" i="116"/>
  <c r="N6401" i="116"/>
  <c r="M6401" i="116"/>
  <c r="N6400" i="116"/>
  <c r="M6400" i="116"/>
  <c r="N6397" i="116"/>
  <c r="M6397" i="116"/>
  <c r="N6395" i="116"/>
  <c r="M6395" i="116"/>
  <c r="N6393" i="116"/>
  <c r="M6393" i="116"/>
  <c r="N6391" i="116"/>
  <c r="M6389" i="116"/>
  <c r="N6389" i="116"/>
  <c r="M6387" i="116"/>
  <c r="N6387" i="116"/>
  <c r="N6385" i="116"/>
  <c r="M6385" i="116"/>
  <c r="N6384" i="116"/>
  <c r="M6384" i="116"/>
  <c r="M6383" i="116"/>
  <c r="N6383" i="116"/>
  <c r="N6381" i="116"/>
  <c r="M6381" i="116"/>
  <c r="N6379" i="116"/>
  <c r="M6379" i="116"/>
  <c r="N6377" i="116"/>
  <c r="M6377" i="116"/>
  <c r="M6375" i="116"/>
  <c r="N6375" i="116"/>
  <c r="N6371" i="116"/>
  <c r="N6369" i="116"/>
  <c r="M6369" i="116"/>
  <c r="N6368" i="116"/>
  <c r="M6368" i="116"/>
  <c r="M6367" i="116"/>
  <c r="N6367" i="116"/>
  <c r="N6365" i="116"/>
  <c r="M6365" i="116"/>
  <c r="N6363" i="116"/>
  <c r="M6363" i="116"/>
  <c r="N6361" i="116"/>
  <c r="M6361" i="116"/>
  <c r="N6359" i="116"/>
  <c r="M6357" i="116"/>
  <c r="N6357" i="116"/>
  <c r="M6355" i="116"/>
  <c r="N6355" i="116"/>
  <c r="N6353" i="116"/>
  <c r="M6353" i="116"/>
  <c r="N6352" i="116"/>
  <c r="M6352" i="116"/>
  <c r="M6351" i="116"/>
  <c r="N6351" i="116"/>
  <c r="N6349" i="116"/>
  <c r="M6349" i="116"/>
  <c r="N6347" i="116"/>
  <c r="M6347" i="116"/>
  <c r="N6345" i="116"/>
  <c r="M6345" i="116"/>
  <c r="M6343" i="116"/>
  <c r="N6343" i="116"/>
  <c r="M6341" i="116"/>
  <c r="N6341" i="116"/>
  <c r="M6338" i="116"/>
  <c r="N6338" i="116"/>
  <c r="N6337" i="116"/>
  <c r="M6337" i="116"/>
  <c r="N6336" i="116"/>
  <c r="M6336" i="116"/>
  <c r="N6335" i="116"/>
  <c r="N6334" i="116"/>
  <c r="M6334" i="116"/>
  <c r="N6333" i="116"/>
  <c r="M6333" i="116"/>
  <c r="N6331" i="116"/>
  <c r="M6331" i="116"/>
  <c r="N6330" i="116"/>
  <c r="M6330" i="116"/>
  <c r="N6329" i="116"/>
  <c r="M6329" i="116"/>
  <c r="N6327" i="116"/>
  <c r="N6326" i="116"/>
  <c r="M6326" i="116"/>
  <c r="M6325" i="116"/>
  <c r="N6325" i="116"/>
  <c r="M6323" i="116"/>
  <c r="N6323" i="116"/>
  <c r="N6322" i="116"/>
  <c r="N6321" i="116"/>
  <c r="M6321" i="116"/>
  <c r="N6320" i="116"/>
  <c r="M6320" i="116"/>
  <c r="M6319" i="116"/>
  <c r="N6319" i="116"/>
  <c r="N6318" i="116"/>
  <c r="M6318" i="116"/>
  <c r="N6317" i="116"/>
  <c r="M6317" i="116"/>
  <c r="N6315" i="116"/>
  <c r="M6315" i="116"/>
  <c r="N6314" i="116"/>
  <c r="M6314" i="116"/>
  <c r="N6313" i="116"/>
  <c r="M6313" i="116"/>
  <c r="M6311" i="116"/>
  <c r="N6311" i="116"/>
  <c r="N6310" i="116"/>
  <c r="M6310" i="116"/>
  <c r="N6309" i="116"/>
  <c r="M6307" i="116"/>
  <c r="N6307" i="116"/>
  <c r="M6306" i="116"/>
  <c r="N6306" i="116"/>
  <c r="N6305" i="116"/>
  <c r="M6305" i="116"/>
  <c r="N6304" i="116"/>
  <c r="M6304" i="116"/>
  <c r="N6302" i="116"/>
  <c r="M6302" i="116"/>
  <c r="N6301" i="116"/>
  <c r="M6301" i="116"/>
  <c r="N6299" i="116"/>
  <c r="M6299" i="116"/>
  <c r="N6298" i="116"/>
  <c r="M6298" i="116"/>
  <c r="N6297" i="116"/>
  <c r="M6297" i="116"/>
  <c r="N6295" i="116"/>
  <c r="N6294" i="116"/>
  <c r="M6294" i="116"/>
  <c r="M6293" i="116"/>
  <c r="N6293" i="116"/>
  <c r="M6291" i="116"/>
  <c r="N6291" i="116"/>
  <c r="M6290" i="116"/>
  <c r="N6290" i="116"/>
  <c r="N6289" i="116"/>
  <c r="M6289" i="116"/>
  <c r="N6288" i="116"/>
  <c r="M6288" i="116"/>
  <c r="M6287" i="116"/>
  <c r="N6287" i="116"/>
  <c r="N6286" i="116"/>
  <c r="M6286" i="116"/>
  <c r="N6285" i="116"/>
  <c r="M6285" i="116"/>
  <c r="N6283" i="116"/>
  <c r="M6283" i="116"/>
  <c r="N6282" i="116"/>
  <c r="M6282" i="116"/>
  <c r="N6281" i="116"/>
  <c r="M6281" i="116"/>
  <c r="N6278" i="116"/>
  <c r="M6278" i="116"/>
  <c r="N6277" i="116"/>
  <c r="M6277" i="116"/>
  <c r="N6276" i="116"/>
  <c r="M6276" i="116"/>
  <c r="N6274" i="116"/>
  <c r="N6273" i="116"/>
  <c r="M6273" i="116"/>
  <c r="N6272" i="116"/>
  <c r="M6272" i="116"/>
  <c r="M6270" i="116"/>
  <c r="N6270" i="116"/>
  <c r="N6269" i="116"/>
  <c r="M6269" i="116"/>
  <c r="N6268" i="116"/>
  <c r="M6268" i="116"/>
  <c r="N6265" i="116"/>
  <c r="M6265" i="116"/>
  <c r="N6264" i="116"/>
  <c r="M6264" i="116"/>
  <c r="M6263" i="116"/>
  <c r="M6262" i="116"/>
  <c r="N6262" i="116"/>
  <c r="N6261" i="116"/>
  <c r="M6261" i="116"/>
  <c r="N6260" i="116"/>
  <c r="M6260" i="116"/>
  <c r="N6258" i="116"/>
  <c r="N6257" i="116"/>
  <c r="M6257" i="116"/>
  <c r="N6256" i="116"/>
  <c r="M6256" i="116"/>
  <c r="N6255" i="116"/>
  <c r="M6255" i="116"/>
  <c r="M6254" i="116"/>
  <c r="N6254" i="116"/>
  <c r="N6253" i="116"/>
  <c r="M6253" i="116"/>
  <c r="N6252" i="116"/>
  <c r="M6252" i="116"/>
  <c r="M6251" i="116"/>
  <c r="N6251" i="116"/>
  <c r="M6247" i="116"/>
  <c r="N6244" i="116"/>
  <c r="M6244" i="116"/>
  <c r="M6241" i="116"/>
  <c r="N6239" i="116"/>
  <c r="M6239" i="116"/>
  <c r="N6236" i="116"/>
  <c r="M6236" i="116"/>
  <c r="N6235" i="116"/>
  <c r="M6232" i="116"/>
  <c r="N6228" i="116"/>
  <c r="M6228" i="116"/>
  <c r="M6227" i="116"/>
  <c r="N6227" i="116"/>
  <c r="M6225" i="116"/>
  <c r="N6224" i="116"/>
  <c r="M6224" i="116"/>
  <c r="N6220" i="116"/>
  <c r="M6220" i="116"/>
  <c r="M6219" i="116"/>
  <c r="N6219" i="116"/>
  <c r="M6215" i="116"/>
  <c r="N6212" i="116"/>
  <c r="M6212" i="116"/>
  <c r="N6207" i="116"/>
  <c r="M6207" i="116"/>
  <c r="N6205" i="116"/>
  <c r="N6204" i="116"/>
  <c r="M6204" i="116"/>
  <c r="N6203" i="116"/>
  <c r="M6200" i="116"/>
  <c r="N6196" i="116"/>
  <c r="M6196" i="116"/>
  <c r="M6195" i="116"/>
  <c r="N6195" i="116"/>
  <c r="N6192" i="116"/>
  <c r="M6192" i="116"/>
  <c r="N6188" i="116"/>
  <c r="M6188" i="116"/>
  <c r="M6187" i="116"/>
  <c r="N6187" i="116"/>
  <c r="M6183" i="116"/>
  <c r="N6180" i="116"/>
  <c r="M6180" i="116"/>
  <c r="N6177" i="116"/>
  <c r="N6175" i="116"/>
  <c r="M6175" i="116"/>
  <c r="N6172" i="116"/>
  <c r="M6172" i="116"/>
  <c r="N6171" i="116"/>
  <c r="M6171" i="116"/>
  <c r="N6168" i="116"/>
  <c r="M6168" i="116"/>
  <c r="N6167" i="116"/>
  <c r="M6167" i="116"/>
  <c r="N6164" i="116"/>
  <c r="M6164" i="116"/>
  <c r="M6163" i="116"/>
  <c r="N6163" i="116"/>
  <c r="N6160" i="116"/>
  <c r="M6160" i="116"/>
  <c r="N6156" i="116"/>
  <c r="M6156" i="116"/>
  <c r="N6155" i="116"/>
  <c r="M6155" i="116"/>
  <c r="N6152" i="116"/>
  <c r="M6152" i="116"/>
  <c r="N6148" i="116"/>
  <c r="M6148" i="116"/>
  <c r="M6144" i="116"/>
  <c r="N6144" i="116"/>
  <c r="N6140" i="116"/>
  <c r="M6140" i="116"/>
  <c r="M6138" i="116"/>
  <c r="N6136" i="116"/>
  <c r="M6136" i="116"/>
  <c r="M6135" i="116"/>
  <c r="N6132" i="116"/>
  <c r="M6132" i="116"/>
  <c r="N6131" i="116"/>
  <c r="M6131" i="116"/>
  <c r="M6128" i="116"/>
  <c r="N6128" i="116"/>
  <c r="M6127" i="116"/>
  <c r="N6124" i="116"/>
  <c r="M6124" i="116"/>
  <c r="N6123" i="116"/>
  <c r="M6123" i="116"/>
  <c r="M6122" i="116"/>
  <c r="N6119" i="116"/>
  <c r="M6119" i="116"/>
  <c r="N6117" i="116"/>
  <c r="N6116" i="116"/>
  <c r="M6116" i="116"/>
  <c r="N6115" i="116"/>
  <c r="M6115" i="116"/>
  <c r="M6112" i="116"/>
  <c r="N6111" i="116"/>
  <c r="M6111" i="116"/>
  <c r="N6109" i="116"/>
  <c r="N6108" i="116"/>
  <c r="M6108" i="116"/>
  <c r="N6107" i="116"/>
  <c r="M6107" i="116"/>
  <c r="M6104" i="116"/>
  <c r="N6103" i="116"/>
  <c r="M6103" i="116"/>
  <c r="N6100" i="116"/>
  <c r="M6100" i="116"/>
  <c r="N6099" i="116"/>
  <c r="M6099" i="116"/>
  <c r="M6096" i="116"/>
  <c r="N6096" i="116"/>
  <c r="N6095" i="116"/>
  <c r="M6095" i="116"/>
  <c r="M6092" i="116"/>
  <c r="N6091" i="116"/>
  <c r="M6091" i="116"/>
  <c r="M6088" i="116"/>
  <c r="N6088" i="116"/>
  <c r="N6087" i="116"/>
  <c r="M6087" i="116"/>
  <c r="M6084" i="116"/>
  <c r="M6083" i="116"/>
  <c r="M6080" i="116"/>
  <c r="N6080" i="116"/>
  <c r="N6079" i="116"/>
  <c r="M6079" i="116"/>
  <c r="M6076" i="116"/>
  <c r="M6075" i="116"/>
  <c r="M6072" i="116"/>
  <c r="N6072" i="116"/>
  <c r="N6071" i="116"/>
  <c r="M6071" i="116"/>
  <c r="N6068" i="116"/>
  <c r="M6068" i="116"/>
  <c r="M6067" i="116"/>
  <c r="M6064" i="116"/>
  <c r="N6064" i="116"/>
  <c r="N6063" i="116"/>
  <c r="M6063" i="116"/>
  <c r="N6060" i="116"/>
  <c r="M6060" i="116"/>
  <c r="N6059" i="116"/>
  <c r="M6059" i="116"/>
  <c r="M6056" i="116"/>
  <c r="N6056" i="116"/>
  <c r="N6055" i="116"/>
  <c r="M6055" i="116"/>
  <c r="M6052" i="116"/>
  <c r="N6051" i="116"/>
  <c r="N6049" i="116"/>
  <c r="M6049" i="116"/>
  <c r="N6048" i="116"/>
  <c r="N6047" i="116"/>
  <c r="M6047" i="116"/>
  <c r="M6044" i="116"/>
  <c r="N6043" i="116"/>
  <c r="N6040" i="116"/>
  <c r="N6039" i="116"/>
  <c r="M6039" i="116"/>
  <c r="M6036" i="116"/>
  <c r="N6035" i="116"/>
  <c r="N6033" i="116"/>
  <c r="M6033" i="116"/>
  <c r="N6032" i="116"/>
  <c r="N6031" i="116"/>
  <c r="M6031" i="116"/>
  <c r="M6028" i="116"/>
  <c r="N6027" i="116"/>
  <c r="N6025" i="116"/>
  <c r="N6024" i="116"/>
  <c r="N6023" i="116"/>
  <c r="M6023" i="116"/>
  <c r="M6020" i="116"/>
  <c r="N6019" i="116"/>
  <c r="N6018" i="116"/>
  <c r="N6016" i="116"/>
  <c r="N6015" i="116"/>
  <c r="M6015" i="116"/>
  <c r="M6012" i="116"/>
  <c r="N6011" i="116"/>
  <c r="N6009" i="116"/>
  <c r="M6009" i="116"/>
  <c r="N6008" i="116"/>
  <c r="N6007" i="116"/>
  <c r="M6007" i="116"/>
  <c r="M6004" i="116"/>
  <c r="N6003" i="116"/>
  <c r="N6002" i="116"/>
  <c r="M6002" i="116"/>
  <c r="M5999" i="116"/>
  <c r="N5991" i="116"/>
  <c r="M5991" i="116"/>
  <c r="N5983" i="116"/>
  <c r="N5979" i="116"/>
  <c r="N5971" i="116"/>
  <c r="N5967" i="116"/>
  <c r="M5967" i="116"/>
  <c r="M5963" i="116"/>
  <c r="M5959" i="116"/>
  <c r="N5955" i="116"/>
  <c r="M5955" i="116"/>
  <c r="N5951" i="116"/>
  <c r="M5951" i="116"/>
  <c r="N5943" i="116"/>
  <c r="M5943" i="116"/>
  <c r="N5939" i="116"/>
  <c r="M5939" i="116"/>
  <c r="N5935" i="116"/>
  <c r="M5935" i="116"/>
  <c r="M5931" i="116"/>
  <c r="N5931" i="116"/>
  <c r="N5927" i="116"/>
  <c r="M5927" i="116"/>
  <c r="N5923" i="116"/>
  <c r="M5923" i="116"/>
  <c r="N5921" i="116"/>
  <c r="N5919" i="116"/>
  <c r="M5919" i="116"/>
  <c r="N5911" i="116"/>
  <c r="M5911" i="116"/>
  <c r="N5907" i="116"/>
  <c r="M5907" i="116"/>
  <c r="N5903" i="116"/>
  <c r="M5903" i="116"/>
  <c r="M5899" i="116"/>
  <c r="N5899" i="116"/>
  <c r="N5895" i="116"/>
  <c r="M5895" i="116"/>
  <c r="N5891" i="116"/>
  <c r="M5891" i="116"/>
  <c r="N5887" i="116"/>
  <c r="M5887" i="116"/>
  <c r="N5883" i="116"/>
  <c r="M5883" i="116"/>
  <c r="N5881" i="116"/>
  <c r="N5879" i="116"/>
  <c r="M5879" i="116"/>
  <c r="N5875" i="116"/>
  <c r="M5875" i="116"/>
  <c r="N5871" i="116"/>
  <c r="M5871" i="116"/>
  <c r="N5867" i="116"/>
  <c r="M5867" i="116"/>
  <c r="N5864" i="116"/>
  <c r="N5863" i="116"/>
  <c r="M5863" i="116"/>
  <c r="N5859" i="116"/>
  <c r="M5859" i="116"/>
  <c r="N5858" i="116"/>
  <c r="N5855" i="116"/>
  <c r="M5855" i="116"/>
  <c r="N5851" i="116"/>
  <c r="M5851" i="116"/>
  <c r="N5847" i="116"/>
  <c r="M5847" i="116"/>
  <c r="N5843" i="116"/>
  <c r="M5843" i="116"/>
  <c r="N5842" i="116"/>
  <c r="M5841" i="116"/>
  <c r="N5840" i="116"/>
  <c r="N5839" i="116"/>
  <c r="M5839" i="116"/>
  <c r="N5835" i="116"/>
  <c r="M5835" i="116"/>
  <c r="N5833" i="116"/>
  <c r="N5831" i="116"/>
  <c r="M5831" i="116"/>
  <c r="N5827" i="116"/>
  <c r="M5827" i="116"/>
  <c r="N5823" i="116"/>
  <c r="M5823" i="116"/>
  <c r="M5820" i="116"/>
  <c r="N5819" i="116"/>
  <c r="M5819" i="116"/>
  <c r="N5815" i="116"/>
  <c r="M5815" i="116"/>
  <c r="N5811" i="116"/>
  <c r="M5811" i="116"/>
  <c r="N5810" i="116"/>
  <c r="N5807" i="116"/>
  <c r="M5807" i="116"/>
  <c r="N5803" i="116"/>
  <c r="M5803" i="116"/>
  <c r="N5801" i="116"/>
  <c r="N5799" i="116"/>
  <c r="M5799" i="116"/>
  <c r="M5798" i="116"/>
  <c r="N5795" i="116"/>
  <c r="M5795" i="116"/>
  <c r="N5791" i="116"/>
  <c r="M5791" i="116"/>
  <c r="M5790" i="116"/>
  <c r="N5787" i="116"/>
  <c r="M5787" i="116"/>
  <c r="N5786" i="116"/>
  <c r="N5783" i="116"/>
  <c r="M5783" i="116"/>
  <c r="N5779" i="116"/>
  <c r="M5779" i="116"/>
  <c r="N5778" i="116"/>
  <c r="N5775" i="116"/>
  <c r="M5775" i="116"/>
  <c r="M5774" i="116"/>
  <c r="N5771" i="116"/>
  <c r="M5771" i="116"/>
  <c r="N5770" i="116"/>
  <c r="N5769" i="116"/>
  <c r="N5767" i="116"/>
  <c r="M5767" i="116"/>
  <c r="N5763" i="116"/>
  <c r="M5763" i="116"/>
  <c r="N5762" i="116"/>
  <c r="N5761" i="116"/>
  <c r="N5759" i="116"/>
  <c r="M5759" i="116"/>
  <c r="N5755" i="116"/>
  <c r="M5755" i="116"/>
  <c r="N5753" i="116"/>
  <c r="N5752" i="116"/>
  <c r="N5747" i="116"/>
  <c r="M5747" i="116"/>
  <c r="N5745" i="116"/>
  <c r="N5743" i="116"/>
  <c r="M5743" i="116"/>
  <c r="N5741" i="116"/>
  <c r="M5739" i="116"/>
  <c r="M5737" i="116"/>
  <c r="N5737" i="116"/>
  <c r="M5735" i="116"/>
  <c r="M5733" i="116"/>
  <c r="N5733" i="116"/>
  <c r="N5727" i="116"/>
  <c r="M5727" i="116"/>
  <c r="M5725" i="116"/>
  <c r="N5725" i="116"/>
  <c r="N5723" i="116"/>
  <c r="M5723" i="116"/>
  <c r="M5721" i="116"/>
  <c r="N5719" i="116"/>
  <c r="M5717" i="116"/>
  <c r="N5717" i="116"/>
  <c r="N5715" i="116"/>
  <c r="M5715" i="116"/>
  <c r="M5713" i="116"/>
  <c r="N5711" i="116"/>
  <c r="M5711" i="116"/>
  <c r="M5709" i="116"/>
  <c r="N5709" i="116"/>
  <c r="N5707" i="116"/>
  <c r="M5707" i="116"/>
  <c r="M5705" i="116"/>
  <c r="N5705" i="116"/>
  <c r="M5703" i="116"/>
  <c r="M5701" i="116"/>
  <c r="N5701" i="116"/>
  <c r="N5699" i="116"/>
  <c r="M5697" i="116"/>
  <c r="N5697" i="116"/>
  <c r="N5695" i="116"/>
  <c r="M5695" i="116"/>
  <c r="N5691" i="116"/>
  <c r="M5691" i="116"/>
  <c r="M5689" i="116"/>
  <c r="N5689" i="116"/>
  <c r="N5687" i="116"/>
  <c r="M5687" i="116"/>
  <c r="N5685" i="116"/>
  <c r="N5683" i="116"/>
  <c r="M5683" i="116"/>
  <c r="M5681" i="116"/>
  <c r="N5681" i="116"/>
  <c r="N5679" i="116"/>
  <c r="M5677" i="116"/>
  <c r="N5675" i="116"/>
  <c r="M5675" i="116"/>
  <c r="N5673" i="116"/>
  <c r="N5671" i="116"/>
  <c r="M5671" i="116"/>
  <c r="M5669" i="116"/>
  <c r="N5667" i="116"/>
  <c r="M5667" i="116"/>
  <c r="M5665" i="116"/>
  <c r="N5665" i="116"/>
  <c r="N5663" i="116"/>
  <c r="M5663" i="116"/>
  <c r="M5661" i="116"/>
  <c r="M5659" i="116"/>
  <c r="M5657" i="116"/>
  <c r="N5657" i="116"/>
  <c r="N5655" i="116"/>
  <c r="M5655" i="116"/>
  <c r="M5653" i="116"/>
  <c r="N5651" i="116"/>
  <c r="M5651" i="116"/>
  <c r="M5650" i="116"/>
  <c r="M5649" i="116"/>
  <c r="N5649" i="116"/>
  <c r="N5648" i="116"/>
  <c r="N5647" i="116"/>
  <c r="M5647" i="116"/>
  <c r="N5645" i="116"/>
  <c r="N5644" i="116"/>
  <c r="N5643" i="116"/>
  <c r="M5643" i="116"/>
  <c r="M5641" i="116"/>
  <c r="N5641" i="116"/>
  <c r="N5639" i="116"/>
  <c r="M5639" i="116"/>
  <c r="M5637" i="116"/>
  <c r="N5637" i="116"/>
  <c r="N5636" i="116"/>
  <c r="M5636" i="116"/>
  <c r="N5635" i="116"/>
  <c r="M5635" i="116"/>
  <c r="M5634" i="116"/>
  <c r="N5632" i="116"/>
  <c r="M5632" i="116"/>
  <c r="N5631" i="116"/>
  <c r="M5631" i="116"/>
  <c r="N5629" i="116"/>
  <c r="N5628" i="116"/>
  <c r="N5627" i="116"/>
  <c r="M5627" i="116"/>
  <c r="M5624" i="116"/>
  <c r="N5623" i="116"/>
  <c r="M5623" i="116"/>
  <c r="M5621" i="116"/>
  <c r="N5621" i="116"/>
  <c r="N5620" i="116"/>
  <c r="N5619" i="116"/>
  <c r="M5619" i="116"/>
  <c r="M5617" i="116"/>
  <c r="N5617" i="116"/>
  <c r="N5616" i="116"/>
  <c r="N5615" i="116"/>
  <c r="M5615" i="116"/>
  <c r="N5613" i="116"/>
  <c r="M5611" i="116"/>
  <c r="N5611" i="116"/>
  <c r="N5609" i="116"/>
  <c r="M5609" i="116"/>
  <c r="N5608" i="116"/>
  <c r="M5608" i="116"/>
  <c r="N5607" i="116"/>
  <c r="M5607" i="116"/>
  <c r="N5605" i="116"/>
  <c r="M5604" i="116"/>
  <c r="N5604" i="116"/>
  <c r="N5603" i="116"/>
  <c r="M5603" i="116"/>
  <c r="N5601" i="116"/>
  <c r="M5601" i="116"/>
  <c r="N5600" i="116"/>
  <c r="N5599" i="116"/>
  <c r="M5599" i="116"/>
  <c r="M5597" i="116"/>
  <c r="N5597" i="116"/>
  <c r="N5596" i="116"/>
  <c r="M5596" i="116"/>
  <c r="N5595" i="116"/>
  <c r="M5595" i="116"/>
  <c r="N5593" i="116"/>
  <c r="M5592" i="116"/>
  <c r="N5591" i="116"/>
  <c r="M5591" i="116"/>
  <c r="M5589" i="116"/>
  <c r="N5589" i="116"/>
  <c r="M5588" i="116"/>
  <c r="N5587" i="116"/>
  <c r="M5587" i="116"/>
  <c r="N5585" i="116"/>
  <c r="N5583" i="116"/>
  <c r="M5583" i="116"/>
  <c r="N5581" i="116"/>
  <c r="N5580" i="116"/>
  <c r="M5580" i="116"/>
  <c r="N5577" i="116"/>
  <c r="M5577" i="116"/>
  <c r="M5576" i="116"/>
  <c r="N5575" i="116"/>
  <c r="M5575" i="116"/>
  <c r="N5573" i="116"/>
  <c r="N5571" i="116"/>
  <c r="M5571" i="116"/>
  <c r="N5569" i="116"/>
  <c r="M5569" i="116"/>
  <c r="N5568" i="116"/>
  <c r="M5568" i="116"/>
  <c r="N5567" i="116"/>
  <c r="M5567" i="116"/>
  <c r="N5564" i="116"/>
  <c r="M5564" i="116"/>
  <c r="N5563" i="116"/>
  <c r="M5563" i="116"/>
  <c r="N5561" i="116"/>
  <c r="M5561" i="116"/>
  <c r="N5559" i="116"/>
  <c r="M5559" i="116"/>
  <c r="M5557" i="116"/>
  <c r="N5557" i="116"/>
  <c r="N5556" i="116"/>
  <c r="N5555" i="116"/>
  <c r="N5551" i="116"/>
  <c r="M5551" i="116"/>
  <c r="M5549" i="116"/>
  <c r="N5549" i="116"/>
  <c r="N5548" i="116"/>
  <c r="N5545" i="116"/>
  <c r="M5545" i="116"/>
  <c r="N5544" i="116"/>
  <c r="M5544" i="116"/>
  <c r="N5543" i="116"/>
  <c r="M5543" i="116"/>
  <c r="N5541" i="116"/>
  <c r="N5539" i="116"/>
  <c r="M5539" i="116"/>
  <c r="N5537" i="116"/>
  <c r="M5537" i="116"/>
  <c r="N5536" i="116"/>
  <c r="M5536" i="116"/>
  <c r="N5535" i="116"/>
  <c r="M5535" i="116"/>
  <c r="N5532" i="116"/>
  <c r="M5532" i="116"/>
  <c r="N5531" i="116"/>
  <c r="M5531" i="116"/>
  <c r="N5529" i="116"/>
  <c r="N5528" i="116"/>
  <c r="M5528" i="116"/>
  <c r="N5527" i="116"/>
  <c r="M5527" i="116"/>
  <c r="M5525" i="116"/>
  <c r="N5525" i="116"/>
  <c r="N5524" i="116"/>
  <c r="M5524" i="116"/>
  <c r="N5523" i="116"/>
  <c r="M5523" i="116"/>
  <c r="N5519" i="116"/>
  <c r="M5519" i="116"/>
  <c r="N5517" i="116"/>
  <c r="N5516" i="116"/>
  <c r="M5516" i="116"/>
  <c r="N5513" i="116"/>
  <c r="M5513" i="116"/>
  <c r="N5512" i="116"/>
  <c r="M5512" i="116"/>
  <c r="N5511" i="116"/>
  <c r="M5511" i="116"/>
  <c r="N5509" i="116"/>
  <c r="N5507" i="116"/>
  <c r="M5507" i="116"/>
  <c r="N5505" i="116"/>
  <c r="M5505" i="116"/>
  <c r="N5504" i="116"/>
  <c r="M5504" i="116"/>
  <c r="N5503" i="116"/>
  <c r="M5503" i="116"/>
  <c r="M5499" i="116"/>
  <c r="M5498" i="116"/>
  <c r="M5495" i="116"/>
  <c r="M5487" i="116"/>
  <c r="N5486" i="116"/>
  <c r="M5486" i="116"/>
  <c r="N5479" i="116"/>
  <c r="M5479" i="116"/>
  <c r="N5478" i="116"/>
  <c r="N5475" i="116"/>
  <c r="M5475" i="116"/>
  <c r="M5474" i="116"/>
  <c r="N5471" i="116"/>
  <c r="M5471" i="116"/>
  <c r="M5470" i="116"/>
  <c r="N5470" i="116"/>
  <c r="N5467" i="116"/>
  <c r="M5467" i="116"/>
  <c r="N5466" i="116"/>
  <c r="M5466" i="116"/>
  <c r="N5463" i="116"/>
  <c r="M5463" i="116"/>
  <c r="N5462" i="116"/>
  <c r="M5462" i="116"/>
  <c r="M5461" i="116"/>
  <c r="N5459" i="116"/>
  <c r="N5455" i="116"/>
  <c r="M5455" i="116"/>
  <c r="N5454" i="116"/>
  <c r="M5454" i="116"/>
  <c r="M5451" i="116"/>
  <c r="N5451" i="116"/>
  <c r="M5449" i="116"/>
  <c r="N5447" i="116"/>
  <c r="M5447" i="116"/>
  <c r="N5443" i="116"/>
  <c r="M5443" i="116"/>
  <c r="N5442" i="116"/>
  <c r="M5442" i="116"/>
  <c r="N5439" i="116"/>
  <c r="M5439" i="116"/>
  <c r="N5435" i="116"/>
  <c r="M5435" i="116"/>
  <c r="M5434" i="116"/>
  <c r="N5431" i="116"/>
  <c r="M5431" i="116"/>
  <c r="N5430" i="116"/>
  <c r="M5430" i="116"/>
  <c r="N5429" i="116"/>
  <c r="M5426" i="116"/>
  <c r="N5423" i="116"/>
  <c r="M5423" i="116"/>
  <c r="N5422" i="116"/>
  <c r="M5422" i="116"/>
  <c r="N5418" i="116"/>
  <c r="M5418" i="116"/>
  <c r="N5417" i="116"/>
  <c r="N5415" i="116"/>
  <c r="M5415" i="116"/>
  <c r="N5414" i="116"/>
  <c r="N5411" i="116"/>
  <c r="M5411" i="116"/>
  <c r="N5410" i="116"/>
  <c r="M5410" i="116"/>
  <c r="N5407" i="116"/>
  <c r="M5407" i="116"/>
  <c r="M5406" i="116"/>
  <c r="N5406" i="116"/>
  <c r="N5404" i="116"/>
  <c r="N5403" i="116"/>
  <c r="M5403" i="116"/>
  <c r="N5402" i="116"/>
  <c r="M5402" i="116"/>
  <c r="N5400" i="116"/>
  <c r="N5399" i="116"/>
  <c r="M5399" i="116"/>
  <c r="N5398" i="116"/>
  <c r="M5398" i="116"/>
  <c r="N5397" i="116"/>
  <c r="N5395" i="116"/>
  <c r="N5392" i="116"/>
  <c r="N5391" i="116"/>
  <c r="M5391" i="116"/>
  <c r="N5390" i="116"/>
  <c r="M5390" i="116"/>
  <c r="N5389" i="116"/>
  <c r="N5387" i="116"/>
  <c r="N5385" i="116"/>
  <c r="M5385" i="116"/>
  <c r="N5383" i="116"/>
  <c r="M5383" i="116"/>
  <c r="N5381" i="116"/>
  <c r="N5379" i="116"/>
  <c r="M5379" i="116"/>
  <c r="N5378" i="116"/>
  <c r="M5378" i="116"/>
  <c r="N5377" i="116"/>
  <c r="M5377" i="116"/>
  <c r="N5376" i="116"/>
  <c r="N5375" i="116"/>
  <c r="M5375" i="116"/>
  <c r="N5373" i="116"/>
  <c r="N5372" i="116"/>
  <c r="N5371" i="116"/>
  <c r="M5371" i="116"/>
  <c r="M5370" i="116"/>
  <c r="N5369" i="116"/>
  <c r="N5367" i="116"/>
  <c r="M5367" i="116"/>
  <c r="N5366" i="116"/>
  <c r="M5366" i="116"/>
  <c r="M5365" i="116"/>
  <c r="N5365" i="116"/>
  <c r="M5362" i="116"/>
  <c r="M5361" i="116"/>
  <c r="N5361" i="116"/>
  <c r="N5359" i="116"/>
  <c r="M5359" i="116"/>
  <c r="N5358" i="116"/>
  <c r="M5358" i="116"/>
  <c r="M5357" i="116"/>
  <c r="N5357" i="116"/>
  <c r="N5354" i="116"/>
  <c r="M5354" i="116"/>
  <c r="N5353" i="116"/>
  <c r="M5353" i="116"/>
  <c r="N5351" i="116"/>
  <c r="M5351" i="116"/>
  <c r="N5350" i="116"/>
  <c r="M5350" i="116"/>
  <c r="N5347" i="116"/>
  <c r="M5347" i="116"/>
  <c r="N5346" i="116"/>
  <c r="M5346" i="116"/>
  <c r="N5345" i="116"/>
  <c r="M5345" i="116"/>
  <c r="M5344" i="116"/>
  <c r="N5343" i="116"/>
  <c r="M5343" i="116"/>
  <c r="M5342" i="116"/>
  <c r="N5342" i="116"/>
  <c r="N5339" i="116"/>
  <c r="M5339" i="116"/>
  <c r="N5338" i="116"/>
  <c r="M5338" i="116"/>
  <c r="N5335" i="116"/>
  <c r="M5335" i="116"/>
  <c r="N5334" i="116"/>
  <c r="M5334" i="116"/>
  <c r="M5333" i="116"/>
  <c r="N5333" i="116"/>
  <c r="N5331" i="116"/>
  <c r="M5331" i="116"/>
  <c r="M5328" i="116"/>
  <c r="N5327" i="116"/>
  <c r="M5327" i="116"/>
  <c r="N5326" i="116"/>
  <c r="M5326" i="116"/>
  <c r="N5325" i="116"/>
  <c r="N5324" i="116"/>
  <c r="M5323" i="116"/>
  <c r="N5323" i="116"/>
  <c r="N5321" i="116"/>
  <c r="M5321" i="116"/>
  <c r="N5319" i="116"/>
  <c r="M5319" i="116"/>
  <c r="N5317" i="116"/>
  <c r="N5315" i="116"/>
  <c r="M5315" i="116"/>
  <c r="N5314" i="116"/>
  <c r="M5314" i="116"/>
  <c r="N5313" i="116"/>
  <c r="M5313" i="116"/>
  <c r="N5312" i="116"/>
  <c r="N5311" i="116"/>
  <c r="M5311" i="116"/>
  <c r="M5309" i="116"/>
  <c r="N5309" i="116"/>
  <c r="N5308" i="116"/>
  <c r="N5307" i="116"/>
  <c r="M5307" i="116"/>
  <c r="M5306" i="116"/>
  <c r="N5305" i="116"/>
  <c r="M5305" i="116"/>
  <c r="N5303" i="116"/>
  <c r="M5303" i="116"/>
  <c r="N5302" i="116"/>
  <c r="M5302" i="116"/>
  <c r="M5301" i="116"/>
  <c r="N5301" i="116"/>
  <c r="M5298" i="116"/>
  <c r="N5297" i="116"/>
  <c r="N5295" i="116"/>
  <c r="M5295" i="116"/>
  <c r="N5294" i="116"/>
  <c r="M5294" i="116"/>
  <c r="M5293" i="116"/>
  <c r="N5293" i="116"/>
  <c r="N5290" i="116"/>
  <c r="M5290" i="116"/>
  <c r="N5289" i="116"/>
  <c r="M5289" i="116"/>
  <c r="N5287" i="116"/>
  <c r="M5287" i="116"/>
  <c r="N5286" i="116"/>
  <c r="M5286" i="116"/>
  <c r="N5285" i="116"/>
  <c r="N5284" i="116"/>
  <c r="N5283" i="116"/>
  <c r="M5283" i="116"/>
  <c r="N5279" i="116"/>
  <c r="M5279" i="116"/>
  <c r="N5278" i="116"/>
  <c r="M5278" i="116"/>
  <c r="N5277" i="116"/>
  <c r="N5275" i="116"/>
  <c r="M5275" i="116"/>
  <c r="M5272" i="116"/>
  <c r="N5271" i="116"/>
  <c r="M5271" i="116"/>
  <c r="N5270" i="116"/>
  <c r="M5270" i="116"/>
  <c r="N5269" i="116"/>
  <c r="N5268" i="116"/>
  <c r="N5267" i="116"/>
  <c r="M5267" i="116"/>
  <c r="N5263" i="116"/>
  <c r="M5263" i="116"/>
  <c r="N5262" i="116"/>
  <c r="M5262" i="116"/>
  <c r="N5261" i="116"/>
  <c r="N5259" i="116"/>
  <c r="M5259" i="116"/>
  <c r="M5256" i="116"/>
  <c r="N5255" i="116"/>
  <c r="M5255" i="116"/>
  <c r="N5254" i="116"/>
  <c r="M5254" i="116"/>
  <c r="N5253" i="116"/>
  <c r="N5252" i="116"/>
  <c r="M5252" i="116"/>
  <c r="N5248" i="116"/>
  <c r="M5248" i="116"/>
  <c r="N5246" i="116"/>
  <c r="M5246" i="116"/>
  <c r="N5245" i="116"/>
  <c r="M5244" i="116"/>
  <c r="N5243" i="116"/>
  <c r="N5240" i="116"/>
  <c r="M5240" i="116"/>
  <c r="N5238" i="116"/>
  <c r="M5238" i="116"/>
  <c r="N5237" i="116"/>
  <c r="N5236" i="116"/>
  <c r="M5236" i="116"/>
  <c r="N5232" i="116"/>
  <c r="M5232" i="116"/>
  <c r="N5231" i="116"/>
  <c r="N5230" i="116"/>
  <c r="M5230" i="116"/>
  <c r="N5229" i="116"/>
  <c r="M5228" i="116"/>
  <c r="N5227" i="116"/>
  <c r="N5224" i="116"/>
  <c r="M5224" i="116"/>
  <c r="N5222" i="116"/>
  <c r="M5222" i="116"/>
  <c r="N5221" i="116"/>
  <c r="N5220" i="116"/>
  <c r="M5220" i="116"/>
  <c r="N5216" i="116"/>
  <c r="M5216" i="116"/>
  <c r="N5215" i="116"/>
  <c r="N5214" i="116"/>
  <c r="M5214" i="116"/>
  <c r="N5213" i="116"/>
  <c r="M5212" i="116"/>
  <c r="N5211" i="116"/>
  <c r="N5208" i="116"/>
  <c r="M5208" i="116"/>
  <c r="N5206" i="116"/>
  <c r="M5205" i="116"/>
  <c r="N5205" i="116"/>
  <c r="N5204" i="116"/>
  <c r="M5204" i="116"/>
  <c r="M5200" i="116"/>
  <c r="M5199" i="116"/>
  <c r="N5198" i="116"/>
  <c r="M5197" i="116"/>
  <c r="N5197" i="116"/>
  <c r="M5195" i="116"/>
  <c r="N5192" i="116"/>
  <c r="M5192" i="116"/>
  <c r="M5189" i="116"/>
  <c r="N5189" i="116"/>
  <c r="N5188" i="116"/>
  <c r="M5188" i="116"/>
  <c r="N5186" i="116"/>
  <c r="N5184" i="116"/>
  <c r="M5184" i="116"/>
  <c r="N5182" i="116"/>
  <c r="N5181" i="116"/>
  <c r="M5181" i="116"/>
  <c r="N5180" i="116"/>
  <c r="M5180" i="116"/>
  <c r="N5178" i="116"/>
  <c r="N5176" i="116"/>
  <c r="M5176" i="116"/>
  <c r="N5174" i="116"/>
  <c r="M5173" i="116"/>
  <c r="N5173" i="116"/>
  <c r="N5172" i="116"/>
  <c r="M5172" i="116"/>
  <c r="N5170" i="116"/>
  <c r="N5168" i="116"/>
  <c r="M5168" i="116"/>
  <c r="N5166" i="116"/>
  <c r="N5165" i="116"/>
  <c r="M5165" i="116"/>
  <c r="N5164" i="116"/>
  <c r="M5164" i="116"/>
  <c r="M5163" i="116"/>
  <c r="N5162" i="116"/>
  <c r="N5160" i="116"/>
  <c r="M5160" i="116"/>
  <c r="M5157" i="116"/>
  <c r="N5157" i="116"/>
  <c r="N5156" i="116"/>
  <c r="M5156" i="116"/>
  <c r="N5154" i="116"/>
  <c r="M5153" i="116"/>
  <c r="N5153" i="116"/>
  <c r="N5152" i="116"/>
  <c r="M5152" i="116"/>
  <c r="M5149" i="116"/>
  <c r="N5149" i="116"/>
  <c r="N5148" i="116"/>
  <c r="M5148" i="116"/>
  <c r="N5146" i="116"/>
  <c r="M5145" i="116"/>
  <c r="N5145" i="116"/>
  <c r="N5144" i="116"/>
  <c r="M5144" i="116"/>
  <c r="M5141" i="116"/>
  <c r="N5141" i="116"/>
  <c r="N5140" i="116"/>
  <c r="M5140" i="116"/>
  <c r="N5138" i="116"/>
  <c r="M5137" i="116"/>
  <c r="N5137" i="116"/>
  <c r="N5136" i="116"/>
  <c r="M5136" i="116"/>
  <c r="M5134" i="116"/>
  <c r="M5133" i="116"/>
  <c r="N5132" i="116"/>
  <c r="M5132" i="116"/>
  <c r="M5130" i="116"/>
  <c r="N5130" i="116"/>
  <c r="M5129" i="116"/>
  <c r="N5129" i="116"/>
  <c r="N5128" i="116"/>
  <c r="M5126" i="116"/>
  <c r="N5125" i="116"/>
  <c r="M5125" i="116"/>
  <c r="N5124" i="116"/>
  <c r="M5124" i="116"/>
  <c r="M5122" i="116"/>
  <c r="N5122" i="116"/>
  <c r="M5121" i="116"/>
  <c r="N5121" i="116"/>
  <c r="M5120" i="116"/>
  <c r="M5118" i="116"/>
  <c r="N5117" i="116"/>
  <c r="M5117" i="116"/>
  <c r="N5116" i="116"/>
  <c r="M5116" i="116"/>
  <c r="M5114" i="116"/>
  <c r="N5114" i="116"/>
  <c r="M5113" i="116"/>
  <c r="N5113" i="116"/>
  <c r="N5112" i="116"/>
  <c r="M5112" i="116"/>
  <c r="M5110" i="116"/>
  <c r="N5109" i="116"/>
  <c r="N5108" i="116"/>
  <c r="M5108" i="116"/>
  <c r="M5107" i="116"/>
  <c r="M5106" i="116"/>
  <c r="N5106" i="116"/>
  <c r="M5105" i="116"/>
  <c r="N5105" i="116"/>
  <c r="N5104" i="116"/>
  <c r="M5104" i="116"/>
  <c r="M5102" i="116"/>
  <c r="M5101" i="116"/>
  <c r="N5100" i="116"/>
  <c r="M5100" i="116"/>
  <c r="M5098" i="116"/>
  <c r="N5098" i="116"/>
  <c r="M5097" i="116"/>
  <c r="N5097" i="116"/>
  <c r="N5096" i="116"/>
  <c r="M5094" i="116"/>
  <c r="N5093" i="116"/>
  <c r="M5093" i="116"/>
  <c r="N5092" i="116"/>
  <c r="M5092" i="116"/>
  <c r="M5090" i="116"/>
  <c r="N5090" i="116"/>
  <c r="M5089" i="116"/>
  <c r="N5089" i="116"/>
  <c r="M5088" i="116"/>
  <c r="M5086" i="116"/>
  <c r="N5085" i="116"/>
  <c r="M5085" i="116"/>
  <c r="N5084" i="116"/>
  <c r="M5084" i="116"/>
  <c r="N5083" i="116"/>
  <c r="M5082" i="116"/>
  <c r="N5082" i="116"/>
  <c r="M5081" i="116"/>
  <c r="N5081" i="116"/>
  <c r="N5080" i="116"/>
  <c r="M5080" i="116"/>
  <c r="M5079" i="116"/>
  <c r="M5078" i="116"/>
  <c r="N5077" i="116"/>
  <c r="N5076" i="116"/>
  <c r="M5076" i="116"/>
  <c r="M5074" i="116"/>
  <c r="N5074" i="116"/>
  <c r="M5073" i="116"/>
  <c r="N5073" i="116"/>
  <c r="N5072" i="116"/>
  <c r="M5072" i="116"/>
  <c r="M5070" i="116"/>
  <c r="M5069" i="116"/>
  <c r="N5068" i="116"/>
  <c r="M5068" i="116"/>
  <c r="M5066" i="116"/>
  <c r="N5066" i="116"/>
  <c r="M5065" i="116"/>
  <c r="N5065" i="116"/>
  <c r="N5064" i="116"/>
  <c r="M5062" i="116"/>
  <c r="N5061" i="116"/>
  <c r="M5061" i="116"/>
  <c r="N5060" i="116"/>
  <c r="M5060" i="116"/>
  <c r="N5059" i="116"/>
  <c r="M5058" i="116"/>
  <c r="N5058" i="116"/>
  <c r="M5057" i="116"/>
  <c r="N5057" i="116"/>
  <c r="M5056" i="116"/>
  <c r="M5054" i="116"/>
  <c r="N5053" i="116"/>
  <c r="M5053" i="116"/>
  <c r="N5052" i="116"/>
  <c r="M5052" i="116"/>
  <c r="M5050" i="116"/>
  <c r="N5050" i="116"/>
  <c r="M5049" i="116"/>
  <c r="N5049" i="116"/>
  <c r="N5048" i="116"/>
  <c r="M5048" i="116"/>
  <c r="M5046" i="116"/>
  <c r="N5045" i="116"/>
  <c r="N5044" i="116"/>
  <c r="M5044" i="116"/>
  <c r="M5042" i="116"/>
  <c r="N5042" i="116"/>
  <c r="M5041" i="116"/>
  <c r="N5041" i="116"/>
  <c r="N5040" i="116"/>
  <c r="M5040" i="116"/>
  <c r="M5038" i="116"/>
  <c r="M5037" i="116"/>
  <c r="N5036" i="116"/>
  <c r="M5036" i="116"/>
  <c r="N5035" i="116"/>
  <c r="M5034" i="116"/>
  <c r="N5034" i="116"/>
  <c r="M5033" i="116"/>
  <c r="N5033" i="116"/>
  <c r="N5032" i="116"/>
  <c r="M5030" i="116"/>
  <c r="N5029" i="116"/>
  <c r="M5029" i="116"/>
  <c r="N5028" i="116"/>
  <c r="M5028" i="116"/>
  <c r="M5026" i="116"/>
  <c r="N5026" i="116"/>
  <c r="M5025" i="116"/>
  <c r="N5025" i="116"/>
  <c r="M5024" i="116"/>
  <c r="M5023" i="116"/>
  <c r="M5022" i="116"/>
  <c r="N5021" i="116"/>
  <c r="M5021" i="116"/>
  <c r="N5020" i="116"/>
  <c r="M5020" i="116"/>
  <c r="N5019" i="116"/>
  <c r="M5019" i="116"/>
  <c r="M5018" i="116"/>
  <c r="N5018" i="116"/>
  <c r="M5017" i="116"/>
  <c r="N5017" i="116"/>
  <c r="N5016" i="116"/>
  <c r="M5016" i="116"/>
  <c r="M5015" i="116"/>
  <c r="M5014" i="116"/>
  <c r="N5013" i="116"/>
  <c r="N5012" i="116"/>
  <c r="M5012" i="116"/>
  <c r="N5011" i="116"/>
  <c r="M5011" i="116"/>
  <c r="M5010" i="116"/>
  <c r="N5010" i="116"/>
  <c r="M5009" i="116"/>
  <c r="N5009" i="116"/>
  <c r="N5008" i="116"/>
  <c r="M5008" i="116"/>
  <c r="M5007" i="116"/>
  <c r="M5006" i="116"/>
  <c r="M5005" i="116"/>
  <c r="N5004" i="116"/>
  <c r="M5004" i="116"/>
  <c r="N5003" i="116"/>
  <c r="M5003" i="116"/>
  <c r="M5002" i="116"/>
  <c r="N5002" i="116"/>
  <c r="M4915" i="116"/>
  <c r="M4919" i="116"/>
  <c r="N4931" i="116"/>
  <c r="N4935" i="116"/>
  <c r="M4947" i="116"/>
  <c r="M4951" i="116"/>
  <c r="N4959" i="116"/>
  <c r="M4971" i="116"/>
  <c r="M4973" i="116"/>
  <c r="M4975" i="116"/>
  <c r="M4979" i="116"/>
  <c r="M4983" i="116"/>
  <c r="M4987" i="116"/>
  <c r="N4991" i="116"/>
  <c r="M4993" i="116"/>
  <c r="M4995" i="116"/>
  <c r="M4996" i="116"/>
  <c r="M4999" i="116"/>
  <c r="M5000" i="116"/>
  <c r="N4879" i="116"/>
  <c r="N4883" i="116"/>
  <c r="M4887" i="116"/>
  <c r="M4891" i="116"/>
  <c r="M4899" i="116"/>
  <c r="M4903" i="116"/>
  <c r="M4907" i="116"/>
  <c r="N4911" i="116"/>
  <c r="M4923" i="116"/>
  <c r="M4925" i="116"/>
  <c r="M4927" i="116"/>
  <c r="M4929" i="116"/>
  <c r="M4933" i="116"/>
  <c r="M4937" i="116"/>
  <c r="M4939" i="116"/>
  <c r="M4941" i="116"/>
  <c r="N4943" i="116"/>
  <c r="M4945" i="116"/>
  <c r="M4949" i="116"/>
  <c r="M4953" i="116"/>
  <c r="N4955" i="116"/>
  <c r="M4957" i="116"/>
  <c r="M4959" i="116"/>
  <c r="M4961" i="116"/>
  <c r="M4965" i="116"/>
  <c r="M4969" i="116"/>
  <c r="M4977" i="116"/>
  <c r="M4981" i="116"/>
  <c r="M4985" i="116"/>
  <c r="M4989" i="116"/>
  <c r="N4997" i="116"/>
  <c r="N5001" i="116"/>
  <c r="M4653" i="116"/>
  <c r="N4655" i="116"/>
  <c r="M4657" i="116"/>
  <c r="N4661" i="116"/>
  <c r="N4663" i="116"/>
  <c r="N4665" i="116"/>
  <c r="M4669" i="116"/>
  <c r="M4671" i="116"/>
  <c r="M4673" i="116"/>
  <c r="M4677" i="116"/>
  <c r="M4679" i="116"/>
  <c r="M4681" i="116"/>
  <c r="M4685" i="116"/>
  <c r="N4686" i="116"/>
  <c r="N4687" i="116"/>
  <c r="N4689" i="116"/>
  <c r="M4693" i="116"/>
  <c r="N4694" i="116"/>
  <c r="N4695" i="116"/>
  <c r="N4697" i="116"/>
  <c r="N4699" i="116"/>
  <c r="M4701" i="116"/>
  <c r="M4702" i="116"/>
  <c r="M4703" i="116"/>
  <c r="N4705" i="116"/>
  <c r="N4706" i="116"/>
  <c r="N4707" i="116"/>
  <c r="M4709" i="116"/>
  <c r="N4712" i="116"/>
  <c r="N4713" i="116"/>
  <c r="M4715" i="116"/>
  <c r="M4717" i="116"/>
  <c r="M4719" i="116"/>
  <c r="M4721" i="116"/>
  <c r="M4722" i="116"/>
  <c r="M4723" i="116"/>
  <c r="M4724" i="116"/>
  <c r="N4727" i="116"/>
  <c r="M4729" i="116"/>
  <c r="M4730" i="116"/>
  <c r="N4731" i="116"/>
  <c r="N4733" i="116"/>
  <c r="N4735" i="116"/>
  <c r="N4736" i="116"/>
  <c r="N4737" i="116"/>
  <c r="M4738" i="116"/>
  <c r="N4739" i="116"/>
  <c r="M4741" i="116"/>
  <c r="M4742" i="116"/>
  <c r="M4743" i="116"/>
  <c r="M4744" i="116"/>
  <c r="M4747" i="116"/>
  <c r="N4749" i="116"/>
  <c r="N4750" i="116"/>
  <c r="M4652" i="116"/>
  <c r="N4656" i="116"/>
  <c r="N4660" i="116"/>
  <c r="N4664" i="116"/>
  <c r="M4668" i="116"/>
  <c r="M4672" i="116"/>
  <c r="M4676" i="116"/>
  <c r="N4680" i="116"/>
  <c r="M4684" i="116"/>
  <c r="N4688" i="116"/>
  <c r="M4692" i="116"/>
  <c r="M4696" i="116"/>
  <c r="M4697" i="116"/>
  <c r="M4700" i="116"/>
  <c r="N4704" i="116"/>
  <c r="M4708" i="116"/>
  <c r="M4713" i="116"/>
  <c r="M4716" i="116"/>
  <c r="N4719" i="116"/>
  <c r="M4720" i="116"/>
  <c r="M4725" i="116"/>
  <c r="M4728" i="116"/>
  <c r="M4731" i="116"/>
  <c r="M4732" i="116"/>
  <c r="N4740" i="116"/>
  <c r="N4742" i="116"/>
  <c r="M4745" i="116"/>
  <c r="M4748" i="116"/>
  <c r="N4747" i="116"/>
  <c r="M4654" i="116"/>
  <c r="N4654" i="116"/>
  <c r="M4655" i="116"/>
  <c r="M4658" i="116"/>
  <c r="N4658" i="116"/>
  <c r="M4659" i="116"/>
  <c r="N4659" i="116"/>
  <c r="M4662" i="116"/>
  <c r="N4662" i="116"/>
  <c r="M4663" i="116"/>
  <c r="M4666" i="116"/>
  <c r="N4666" i="116"/>
  <c r="M4667" i="116"/>
  <c r="N4667" i="116"/>
  <c r="M4670" i="116"/>
  <c r="N4670" i="116"/>
  <c r="M4674" i="116"/>
  <c r="N4674" i="116"/>
  <c r="M4675" i="116"/>
  <c r="N4675" i="116"/>
  <c r="M4678" i="116"/>
  <c r="N4678" i="116"/>
  <c r="N4679" i="116"/>
  <c r="M4682" i="116"/>
  <c r="N4682" i="116"/>
  <c r="M4683" i="116"/>
  <c r="N4683" i="116"/>
  <c r="M4686" i="116"/>
  <c r="M4687" i="116"/>
  <c r="M4690" i="116"/>
  <c r="N4690" i="116"/>
  <c r="M4691" i="116"/>
  <c r="N4691" i="116"/>
  <c r="M4694" i="116"/>
  <c r="M4695" i="116"/>
  <c r="M4698" i="116"/>
  <c r="N4698" i="116"/>
  <c r="M4699" i="116"/>
  <c r="N4702" i="116"/>
  <c r="N4703" i="116"/>
  <c r="M4704" i="116"/>
  <c r="M4706" i="116"/>
  <c r="M4707" i="116"/>
  <c r="M4710" i="116"/>
  <c r="N4710" i="116"/>
  <c r="M4711" i="116"/>
  <c r="N4711" i="116"/>
  <c r="M4712" i="116"/>
  <c r="M4714" i="116"/>
  <c r="N4714" i="116"/>
  <c r="N4715" i="116"/>
  <c r="N4716" i="116"/>
  <c r="M4718" i="116"/>
  <c r="N4718" i="116"/>
  <c r="N4722" i="116"/>
  <c r="M4726" i="116"/>
  <c r="N4726" i="116"/>
  <c r="M4727" i="116"/>
  <c r="N4730" i="116"/>
  <c r="M4734" i="116"/>
  <c r="N4734" i="116"/>
  <c r="M4735" i="116"/>
  <c r="N4738" i="116"/>
  <c r="N4743" i="116"/>
  <c r="N4744" i="116"/>
  <c r="M4746" i="116"/>
  <c r="N4746" i="116"/>
  <c r="M4750" i="116"/>
  <c r="M4751" i="116"/>
  <c r="N4751" i="116"/>
  <c r="M4752" i="116"/>
  <c r="N4752" i="116"/>
  <c r="M4753" i="116"/>
  <c r="N4753" i="116"/>
  <c r="M4754" i="116"/>
  <c r="N4754" i="116"/>
  <c r="M4755" i="116"/>
  <c r="N4755" i="116"/>
  <c r="M4756" i="116"/>
  <c r="N4756" i="116"/>
  <c r="M4757" i="116"/>
  <c r="N4757" i="116"/>
  <c r="M4758" i="116"/>
  <c r="N4758" i="116"/>
  <c r="M4759" i="116"/>
  <c r="N4759" i="116"/>
  <c r="M4760" i="116"/>
  <c r="N4760" i="116"/>
  <c r="M4761" i="116"/>
  <c r="N4761" i="116"/>
  <c r="M4762" i="116"/>
  <c r="N4762" i="116"/>
  <c r="M4763" i="116"/>
  <c r="N4763" i="116"/>
  <c r="M4764" i="116"/>
  <c r="N4764" i="116"/>
  <c r="M4765" i="116"/>
  <c r="N4765" i="116"/>
  <c r="M4766" i="116"/>
  <c r="N4766" i="116"/>
  <c r="M4767" i="116"/>
  <c r="N4767" i="116"/>
  <c r="M4768" i="116"/>
  <c r="N4768" i="116"/>
  <c r="M4769" i="116"/>
  <c r="N4769" i="116"/>
  <c r="M4770" i="116"/>
  <c r="N4770" i="116"/>
  <c r="M4771" i="116"/>
  <c r="N4771" i="116"/>
  <c r="M4772" i="116"/>
  <c r="N4772" i="116"/>
  <c r="M4773" i="116"/>
  <c r="N4773" i="116"/>
  <c r="M4774" i="116"/>
  <c r="N4774" i="116"/>
  <c r="M4775" i="116"/>
  <c r="N4775" i="116"/>
  <c r="M4776" i="116"/>
  <c r="N4776" i="116"/>
  <c r="M4777" i="116"/>
  <c r="N4777" i="116"/>
  <c r="M4778" i="116"/>
  <c r="N4778" i="116"/>
  <c r="M4779" i="116"/>
  <c r="N4779" i="116"/>
  <c r="M4780" i="116"/>
  <c r="N4780" i="116"/>
  <c r="M4781" i="116"/>
  <c r="N4781" i="116"/>
  <c r="M4782" i="116"/>
  <c r="N4782" i="116"/>
  <c r="M4783" i="116"/>
  <c r="N4783" i="116"/>
  <c r="M4784" i="116"/>
  <c r="N4784" i="116"/>
  <c r="M4785" i="116"/>
  <c r="N4785" i="116"/>
  <c r="M4786" i="116"/>
  <c r="N4786" i="116"/>
  <c r="M4787" i="116"/>
  <c r="N4787" i="116"/>
  <c r="M4788" i="116"/>
  <c r="N4788" i="116"/>
  <c r="M4789" i="116"/>
  <c r="N4789" i="116"/>
  <c r="M4790" i="116"/>
  <c r="N4790" i="116"/>
  <c r="M4791" i="116"/>
  <c r="N4791" i="116"/>
  <c r="M4792" i="116"/>
  <c r="N4792" i="116"/>
  <c r="M4793" i="116"/>
  <c r="N4793" i="116"/>
  <c r="M4794" i="116"/>
  <c r="N4794" i="116"/>
  <c r="M4795" i="116"/>
  <c r="N4795" i="116"/>
  <c r="M4796" i="116"/>
  <c r="N4796" i="116"/>
  <c r="M4797" i="116"/>
  <c r="N4797" i="116"/>
  <c r="M4798" i="116"/>
  <c r="N4798" i="116"/>
  <c r="M4799" i="116"/>
  <c r="N4799" i="116"/>
  <c r="M4800" i="116"/>
  <c r="N4800" i="116"/>
  <c r="M4801" i="116"/>
  <c r="N4801" i="116"/>
  <c r="M4802" i="116"/>
  <c r="N4802" i="116"/>
  <c r="M4803" i="116"/>
  <c r="N4803" i="116"/>
  <c r="M4804" i="116"/>
  <c r="N4804" i="116"/>
  <c r="M4805" i="116"/>
  <c r="N4805" i="116"/>
  <c r="M4806" i="116"/>
  <c r="N4806" i="116"/>
  <c r="M4807" i="116"/>
  <c r="N4807" i="116"/>
  <c r="M4808" i="116"/>
  <c r="N4808" i="116"/>
  <c r="M4809" i="116"/>
  <c r="N4809" i="116"/>
  <c r="M4810" i="116"/>
  <c r="N4810" i="116"/>
  <c r="M4811" i="116"/>
  <c r="N4811" i="116"/>
  <c r="M4812" i="116"/>
  <c r="N4812" i="116"/>
  <c r="M4813" i="116"/>
  <c r="N4813" i="116"/>
  <c r="M4814" i="116"/>
  <c r="N4814" i="116"/>
  <c r="M4815" i="116"/>
  <c r="N4815" i="116"/>
  <c r="M4816" i="116"/>
  <c r="N4816" i="116"/>
  <c r="M4817" i="116"/>
  <c r="N4817" i="116"/>
  <c r="M4818" i="116"/>
  <c r="N4818" i="116"/>
  <c r="M4819" i="116"/>
  <c r="N4819" i="116"/>
  <c r="M4820" i="116"/>
  <c r="N4820" i="116"/>
  <c r="M4821" i="116"/>
  <c r="N4821" i="116"/>
  <c r="M4822" i="116"/>
  <c r="N4822" i="116"/>
  <c r="M4823" i="116"/>
  <c r="N4823" i="116"/>
  <c r="M4824" i="116"/>
  <c r="N4824" i="116"/>
  <c r="M4825" i="116"/>
  <c r="N4825" i="116"/>
  <c r="M4826" i="116"/>
  <c r="N4826" i="116"/>
  <c r="M4827" i="116"/>
  <c r="N4827" i="116"/>
  <c r="M4828" i="116"/>
  <c r="N4828" i="116"/>
  <c r="M4829" i="116"/>
  <c r="N4829" i="116"/>
  <c r="M4830" i="116"/>
  <c r="N4830" i="116"/>
  <c r="M4831" i="116"/>
  <c r="N4831" i="116"/>
  <c r="M4832" i="116"/>
  <c r="N4832" i="116"/>
  <c r="M4833" i="116"/>
  <c r="N4833" i="116"/>
  <c r="M4834" i="116"/>
  <c r="N4834" i="116"/>
  <c r="M4835" i="116"/>
  <c r="N4835" i="116"/>
  <c r="M4836" i="116"/>
  <c r="N4836" i="116"/>
  <c r="M4837" i="116"/>
  <c r="N4837" i="116"/>
  <c r="M4838" i="116"/>
  <c r="N4838" i="116"/>
  <c r="M4839" i="116"/>
  <c r="N4839" i="116"/>
  <c r="M4840" i="116"/>
  <c r="N4840" i="116"/>
  <c r="M4841" i="116"/>
  <c r="N4841" i="116"/>
  <c r="M4842" i="116"/>
  <c r="N4842" i="116"/>
  <c r="M4843" i="116"/>
  <c r="N4843" i="116"/>
  <c r="M4844" i="116"/>
  <c r="N4844" i="116"/>
  <c r="M4845" i="116"/>
  <c r="N4845" i="116"/>
  <c r="M4846" i="116"/>
  <c r="N4846" i="116"/>
  <c r="M4847" i="116"/>
  <c r="N4847" i="116"/>
  <c r="M4848" i="116"/>
  <c r="N4848" i="116"/>
  <c r="M4849" i="116"/>
  <c r="N4849" i="116"/>
  <c r="M4850" i="116"/>
  <c r="N4850" i="116"/>
  <c r="M4851" i="116"/>
  <c r="N4851" i="116"/>
  <c r="M4852" i="116"/>
  <c r="N4852" i="116"/>
  <c r="M4853" i="116"/>
  <c r="N4853" i="116"/>
  <c r="M4854" i="116"/>
  <c r="N4854" i="116"/>
  <c r="M4855" i="116"/>
  <c r="N4855" i="116"/>
  <c r="M4856" i="116"/>
  <c r="N4856" i="116"/>
  <c r="M4857" i="116"/>
  <c r="N4857" i="116"/>
  <c r="M4858" i="116"/>
  <c r="N4858" i="116"/>
  <c r="M4859" i="116"/>
  <c r="N4859" i="116"/>
  <c r="M4860" i="116"/>
  <c r="N4860" i="116"/>
  <c r="M4861" i="116"/>
  <c r="N4861" i="116"/>
  <c r="M4862" i="116"/>
  <c r="N4862" i="116"/>
  <c r="M4863" i="116"/>
  <c r="N4863" i="116"/>
  <c r="M4864" i="116"/>
  <c r="N4864" i="116"/>
  <c r="M4865" i="116"/>
  <c r="N4865" i="116"/>
  <c r="M4866" i="116"/>
  <c r="N4866" i="116"/>
  <c r="M4867" i="116"/>
  <c r="N4867" i="116"/>
  <c r="M4868" i="116"/>
  <c r="N4868" i="116"/>
  <c r="M4869" i="116"/>
  <c r="N4869" i="116"/>
  <c r="M4870" i="116"/>
  <c r="N4870" i="116"/>
  <c r="M4871" i="116"/>
  <c r="N4871" i="116"/>
  <c r="M4872" i="116"/>
  <c r="N4872" i="116"/>
  <c r="M4873" i="116"/>
  <c r="N4873" i="116"/>
  <c r="M4874" i="116"/>
  <c r="N4874" i="116"/>
  <c r="M4875" i="116"/>
  <c r="N4875" i="116"/>
  <c r="M4876" i="116"/>
  <c r="N4876" i="116"/>
  <c r="M4877" i="116"/>
  <c r="N4877" i="116"/>
  <c r="M4878" i="116"/>
  <c r="N4878" i="116"/>
  <c r="M4879" i="116"/>
  <c r="M4880" i="116"/>
  <c r="N4880" i="116"/>
  <c r="M4881" i="116"/>
  <c r="N4881" i="116"/>
  <c r="M4882" i="116"/>
  <c r="N4882" i="116"/>
  <c r="M4883" i="116"/>
  <c r="M4884" i="116"/>
  <c r="N4884" i="116"/>
  <c r="M4885" i="116"/>
  <c r="N4885" i="116"/>
  <c r="M4886" i="116"/>
  <c r="N4886" i="116"/>
  <c r="N4887" i="116"/>
  <c r="M4888" i="116"/>
  <c r="N4888" i="116"/>
  <c r="M4889" i="116"/>
  <c r="N4889" i="116"/>
  <c r="M4890" i="116"/>
  <c r="N4890" i="116"/>
  <c r="N4891" i="116"/>
  <c r="M4892" i="116"/>
  <c r="N4892" i="116"/>
  <c r="M4893" i="116"/>
  <c r="N4893" i="116"/>
  <c r="M4894" i="116"/>
  <c r="N4894" i="116"/>
  <c r="M4895" i="116"/>
  <c r="N4895" i="116"/>
  <c r="M4896" i="116"/>
  <c r="N4896" i="116"/>
  <c r="M4897" i="116"/>
  <c r="N4897" i="116"/>
  <c r="M4898" i="116"/>
  <c r="N4898" i="116"/>
  <c r="M4900" i="116"/>
  <c r="N4900" i="116"/>
  <c r="M4901" i="116"/>
  <c r="N4901" i="116"/>
  <c r="M4902" i="116"/>
  <c r="N4902" i="116"/>
  <c r="N4903" i="116"/>
  <c r="M4904" i="116"/>
  <c r="N4904" i="116"/>
  <c r="M4905" i="116"/>
  <c r="N4905" i="116"/>
  <c r="M4906" i="116"/>
  <c r="N4906" i="116"/>
  <c r="N4907" i="116"/>
  <c r="M4908" i="116"/>
  <c r="N4908" i="116"/>
  <c r="M4909" i="116"/>
  <c r="N4909" i="116"/>
  <c r="M4910" i="116"/>
  <c r="N4910" i="116"/>
  <c r="M4911" i="116"/>
  <c r="M4912" i="116"/>
  <c r="N4912" i="116"/>
  <c r="M4913" i="116"/>
  <c r="N4913" i="116"/>
  <c r="M4914" i="116"/>
  <c r="N4914" i="116"/>
  <c r="M4916" i="116"/>
  <c r="N4916" i="116"/>
  <c r="M4917" i="116"/>
  <c r="N4917" i="116"/>
  <c r="M4918" i="116"/>
  <c r="N4918" i="116"/>
  <c r="M4920" i="116"/>
  <c r="N4920" i="116"/>
  <c r="M4921" i="116"/>
  <c r="N4921" i="116"/>
  <c r="M4922" i="116"/>
  <c r="N4922" i="116"/>
  <c r="M4924" i="116"/>
  <c r="N4924" i="116"/>
  <c r="M4926" i="116"/>
  <c r="N4926" i="116"/>
  <c r="M4928" i="116"/>
  <c r="N4928" i="116"/>
  <c r="M4930" i="116"/>
  <c r="N4930" i="116"/>
  <c r="M4932" i="116"/>
  <c r="N4932" i="116"/>
  <c r="M4934" i="116"/>
  <c r="N4934" i="116"/>
  <c r="M4936" i="116"/>
  <c r="N4936" i="116"/>
  <c r="M4938" i="116"/>
  <c r="N4938" i="116"/>
  <c r="M4940" i="116"/>
  <c r="N4940" i="116"/>
  <c r="M4942" i="116"/>
  <c r="N4942" i="116"/>
  <c r="M4944" i="116"/>
  <c r="N4944" i="116"/>
  <c r="M4946" i="116"/>
  <c r="N4946" i="116"/>
  <c r="N4947" i="116"/>
  <c r="M4948" i="116"/>
  <c r="N4948" i="116"/>
  <c r="M4950" i="116"/>
  <c r="N4950" i="116"/>
  <c r="M4952" i="116"/>
  <c r="N4952" i="116"/>
  <c r="M4954" i="116"/>
  <c r="N4954" i="116"/>
  <c r="M4956" i="116"/>
  <c r="N4956" i="116"/>
  <c r="M4958" i="116"/>
  <c r="N4958" i="116"/>
  <c r="M4960" i="116"/>
  <c r="N4960" i="116"/>
  <c r="M4962" i="116"/>
  <c r="N4962" i="116"/>
  <c r="M4963" i="116"/>
  <c r="N4963" i="116"/>
  <c r="M4964" i="116"/>
  <c r="N4964" i="116"/>
  <c r="M4966" i="116"/>
  <c r="N4966" i="116"/>
  <c r="M4967" i="116"/>
  <c r="N4967" i="116"/>
  <c r="M4968" i="116"/>
  <c r="N4968" i="116"/>
  <c r="M4970" i="116"/>
  <c r="N4970" i="116"/>
  <c r="N4971" i="116"/>
  <c r="M4972" i="116"/>
  <c r="N4972" i="116"/>
  <c r="M4974" i="116"/>
  <c r="N4974" i="116"/>
  <c r="M4976" i="116"/>
  <c r="N4976" i="116"/>
  <c r="M4978" i="116"/>
  <c r="N4978" i="116"/>
  <c r="M4980" i="116"/>
  <c r="N4980" i="116"/>
  <c r="M4982" i="116"/>
  <c r="N4982" i="116"/>
  <c r="M4984" i="116"/>
  <c r="N4984" i="116"/>
  <c r="M4986" i="116"/>
  <c r="N4986" i="116"/>
  <c r="M4988" i="116"/>
  <c r="N4988" i="116"/>
  <c r="M4990" i="116"/>
  <c r="N4990" i="116"/>
  <c r="M4992" i="116"/>
  <c r="N4992" i="116"/>
  <c r="M4994" i="116"/>
  <c r="N4994" i="116"/>
  <c r="N4996" i="116"/>
  <c r="M4997" i="116"/>
  <c r="M4998" i="116"/>
  <c r="N4998" i="116"/>
  <c r="N5000" i="116"/>
  <c r="M250" i="116"/>
  <c r="M251" i="116"/>
  <c r="B11" i="132"/>
  <c r="B10" i="132"/>
  <c r="O7699" i="116" l="1"/>
  <c r="O5195" i="116"/>
  <c r="O7507" i="116"/>
  <c r="O7631" i="116"/>
  <c r="O7540" i="116"/>
  <c r="O4988" i="116"/>
  <c r="O4972" i="116"/>
  <c r="O7733" i="116"/>
  <c r="O7702" i="116"/>
  <c r="O7651" i="116"/>
  <c r="O6227" i="116"/>
  <c r="O4751" i="116"/>
  <c r="O7717" i="116"/>
  <c r="O4898" i="116"/>
  <c r="O4670" i="116"/>
  <c r="O7738" i="116"/>
  <c r="O7691" i="116"/>
  <c r="O7711" i="116"/>
  <c r="O7526" i="116"/>
  <c r="O5098" i="116"/>
  <c r="O5105" i="116"/>
  <c r="O5189" i="116"/>
  <c r="O7591" i="116"/>
  <c r="O4674" i="116"/>
  <c r="O6195" i="116"/>
  <c r="O6413" i="116"/>
  <c r="O6619" i="116"/>
  <c r="O7736" i="116"/>
  <c r="O6649" i="116"/>
  <c r="O6665" i="116"/>
  <c r="O6832" i="116"/>
  <c r="O6840" i="116"/>
  <c r="O6965" i="116"/>
  <c r="O6952" i="116"/>
  <c r="O6989" i="116"/>
  <c r="O7012" i="116"/>
  <c r="O7040" i="116"/>
  <c r="O7644" i="116"/>
  <c r="O7724" i="116"/>
  <c r="O7662" i="116"/>
  <c r="O7582" i="116"/>
  <c r="O4994" i="116"/>
  <c r="O4866" i="116"/>
  <c r="O4862" i="116"/>
  <c r="O4834" i="116"/>
  <c r="O4830" i="116"/>
  <c r="O4698" i="116"/>
  <c r="O5283" i="116"/>
  <c r="O5350" i="116"/>
  <c r="O6155" i="116"/>
  <c r="O6196" i="116"/>
  <c r="O6260" i="116"/>
  <c r="O6283" i="116"/>
  <c r="O6310" i="116"/>
  <c r="O6315" i="116"/>
  <c r="O7731" i="116"/>
  <c r="O7574" i="116"/>
  <c r="O7519" i="116"/>
  <c r="O4914" i="116"/>
  <c r="O7692" i="116"/>
  <c r="O7623" i="116"/>
  <c r="O7598" i="116"/>
  <c r="O7543" i="116"/>
  <c r="O7532" i="116"/>
  <c r="O6326" i="116"/>
  <c r="O6377" i="116"/>
  <c r="O6457" i="116"/>
  <c r="O6504" i="116"/>
  <c r="O7748" i="116"/>
  <c r="O4956" i="116"/>
  <c r="O4890" i="116"/>
  <c r="O4869" i="116"/>
  <c r="O4694" i="116"/>
  <c r="O6757" i="116"/>
  <c r="O6769" i="116"/>
  <c r="O6880" i="116"/>
  <c r="O6936" i="116"/>
  <c r="O6955" i="116"/>
  <c r="O7252" i="116"/>
  <c r="O7332" i="116"/>
  <c r="O7362" i="116"/>
  <c r="O7677" i="116"/>
  <c r="O7689" i="116"/>
  <c r="O7660" i="116"/>
  <c r="O7514" i="116"/>
  <c r="O5443" i="116"/>
  <c r="O6015" i="116"/>
  <c r="O6136" i="116"/>
  <c r="O6228" i="116"/>
  <c r="O6381" i="116"/>
  <c r="O6489" i="116"/>
  <c r="O6692" i="116"/>
  <c r="O6779" i="116"/>
  <c r="O7119" i="116"/>
  <c r="O7186" i="116"/>
  <c r="O7705" i="116"/>
  <c r="O7697" i="116"/>
  <c r="O7566" i="116"/>
  <c r="O7537" i="116"/>
  <c r="O6625" i="116"/>
  <c r="O7178" i="116"/>
  <c r="O7183" i="116"/>
  <c r="O7283" i="116"/>
  <c r="O7298" i="116"/>
  <c r="O7324" i="116"/>
  <c r="O7370" i="116"/>
  <c r="O7383" i="116"/>
  <c r="O7732" i="116"/>
  <c r="O7575" i="116"/>
  <c r="O4778" i="116"/>
  <c r="O4762" i="116"/>
  <c r="O4757" i="116"/>
  <c r="O4706" i="116"/>
  <c r="O6443" i="116"/>
  <c r="O7031" i="116"/>
  <c r="O6725" i="116"/>
  <c r="O7734" i="116"/>
  <c r="O7627" i="116"/>
  <c r="O7567" i="116"/>
  <c r="O7558" i="116"/>
  <c r="O7548" i="116"/>
  <c r="O7215" i="116"/>
  <c r="O7512" i="116"/>
  <c r="O4682" i="116"/>
  <c r="O6881" i="116"/>
  <c r="O6920" i="116"/>
  <c r="O6937" i="116"/>
  <c r="O6943" i="116"/>
  <c r="O7208" i="116"/>
  <c r="O7703" i="116"/>
  <c r="O7606" i="116"/>
  <c r="O4852" i="116"/>
  <c r="O4848" i="116"/>
  <c r="O4840" i="116"/>
  <c r="O4828" i="116"/>
  <c r="O4788" i="116"/>
  <c r="O4784" i="116"/>
  <c r="O5029" i="116"/>
  <c r="O5104" i="116"/>
  <c r="O5164" i="116"/>
  <c r="O5172" i="116"/>
  <c r="O5252" i="116"/>
  <c r="O5439" i="116"/>
  <c r="O6739" i="116"/>
  <c r="O6915" i="116"/>
  <c r="O6972" i="116"/>
  <c r="O6995" i="116"/>
  <c r="O7050" i="116"/>
  <c r="O7210" i="116"/>
  <c r="O7750" i="116"/>
  <c r="O7655" i="116"/>
  <c r="O7630" i="116"/>
  <c r="O7698" i="116"/>
  <c r="O7590" i="116"/>
  <c r="O7545" i="116"/>
  <c r="O7511" i="116"/>
  <c r="O4884" i="116"/>
  <c r="O4879" i="116"/>
  <c r="O4851" i="116"/>
  <c r="O4787" i="116"/>
  <c r="O4734" i="116"/>
  <c r="O6425" i="116"/>
  <c r="O7161" i="116"/>
  <c r="O7257" i="116"/>
  <c r="O7300" i="116"/>
  <c r="O7459" i="116"/>
  <c r="O7475" i="116"/>
  <c r="O7744" i="116"/>
  <c r="O7740" i="116"/>
  <c r="O7693" i="116"/>
  <c r="O7654" i="116"/>
  <c r="O7619" i="116"/>
  <c r="O7604" i="116"/>
  <c r="O7559" i="116"/>
  <c r="O7549" i="116"/>
  <c r="O7515" i="116"/>
  <c r="O7506" i="116"/>
  <c r="O5486" i="116"/>
  <c r="O5527" i="116"/>
  <c r="O5631" i="116"/>
  <c r="O6033" i="116"/>
  <c r="O6411" i="116"/>
  <c r="O6525" i="116"/>
  <c r="O6673" i="116"/>
  <c r="O6827" i="116"/>
  <c r="O7034" i="116"/>
  <c r="O7085" i="116"/>
  <c r="O7096" i="116"/>
  <c r="O7112" i="116"/>
  <c r="O7242" i="116"/>
  <c r="O7258" i="116"/>
  <c r="O7281" i="116"/>
  <c r="O7725" i="116"/>
  <c r="O7701" i="116"/>
  <c r="O7643" i="116"/>
  <c r="O7613" i="116"/>
  <c r="O7583" i="116"/>
  <c r="O4901" i="116"/>
  <c r="O5390" i="116"/>
  <c r="O6867" i="116"/>
  <c r="O6904" i="116"/>
  <c r="O6733" i="116"/>
  <c r="O7726" i="116"/>
  <c r="O7719" i="116"/>
  <c r="O7715" i="116"/>
  <c r="O7686" i="116"/>
  <c r="O7678" i="116"/>
  <c r="O7639" i="116"/>
  <c r="O7614" i="116"/>
  <c r="O7527" i="116"/>
  <c r="O7523" i="116"/>
  <c r="O4770" i="116"/>
  <c r="O4766" i="116"/>
  <c r="O4738" i="116"/>
  <c r="O4722" i="116"/>
  <c r="O4903" i="116"/>
  <c r="O5008" i="116"/>
  <c r="O5184" i="116"/>
  <c r="O5383" i="116"/>
  <c r="O5466" i="116"/>
  <c r="O6047" i="116"/>
  <c r="O6220" i="116"/>
  <c r="O6341" i="116"/>
  <c r="O6427" i="116"/>
  <c r="O6687" i="116"/>
  <c r="O7062" i="116"/>
  <c r="O7194" i="116"/>
  <c r="O7463" i="116"/>
  <c r="O7468" i="116"/>
  <c r="O7749" i="116"/>
  <c r="O7745" i="116"/>
  <c r="O7742" i="116"/>
  <c r="O7652" i="116"/>
  <c r="O7647" i="116"/>
  <c r="O7622" i="116"/>
  <c r="O7605" i="116"/>
  <c r="O7560" i="116"/>
  <c r="O7551" i="116"/>
  <c r="O7535" i="116"/>
  <c r="O7531" i="116"/>
  <c r="O7518" i="116"/>
  <c r="O7510" i="116"/>
  <c r="O4932" i="116"/>
  <c r="O4924" i="116"/>
  <c r="O4845" i="116"/>
  <c r="O4841" i="116"/>
  <c r="O4829" i="116"/>
  <c r="O5018" i="116"/>
  <c r="O5114" i="116"/>
  <c r="O5121" i="116"/>
  <c r="O6719" i="116"/>
  <c r="O7502" i="116"/>
  <c r="O7718" i="116"/>
  <c r="O7663" i="116"/>
  <c r="O7638" i="116"/>
  <c r="O7599" i="116"/>
  <c r="O7596" i="116"/>
  <c r="O7588" i="116"/>
  <c r="O7580" i="116"/>
  <c r="O7572" i="116"/>
  <c r="O7564" i="116"/>
  <c r="O7556" i="116"/>
  <c r="O4998" i="116"/>
  <c r="O4922" i="116"/>
  <c r="O4885" i="116"/>
  <c r="O4765" i="116"/>
  <c r="O4735" i="116"/>
  <c r="O4996" i="116"/>
  <c r="O5019" i="116"/>
  <c r="O5136" i="116"/>
  <c r="O5338" i="116"/>
  <c r="O5365" i="116"/>
  <c r="O5371" i="116"/>
  <c r="O5402" i="116"/>
  <c r="O5839" i="116"/>
  <c r="O5863" i="116"/>
  <c r="O6031" i="116"/>
  <c r="O6068" i="116"/>
  <c r="O6236" i="116"/>
  <c r="O6407" i="116"/>
  <c r="O6445" i="116"/>
  <c r="O6473" i="116"/>
  <c r="O6506" i="116"/>
  <c r="O6545" i="116"/>
  <c r="O6573" i="116"/>
  <c r="O6603" i="116"/>
  <c r="O6907" i="116"/>
  <c r="O7118" i="116"/>
  <c r="O7139" i="116"/>
  <c r="O7148" i="116"/>
  <c r="O7480" i="116"/>
  <c r="O6713" i="116"/>
  <c r="O7741" i="116"/>
  <c r="O7713" i="116"/>
  <c r="O7704" i="116"/>
  <c r="O7684" i="116"/>
  <c r="O7671" i="116"/>
  <c r="O7659" i="116"/>
  <c r="O7646" i="116"/>
  <c r="O7629" i="116"/>
  <c r="O7607" i="116"/>
  <c r="O7542" i="116"/>
  <c r="O7521" i="116"/>
  <c r="O7516" i="116"/>
  <c r="O7508" i="116"/>
  <c r="O4947" i="116"/>
  <c r="O5403" i="116"/>
  <c r="O6060" i="116"/>
  <c r="O6175" i="116"/>
  <c r="O6188" i="116"/>
  <c r="O6393" i="116"/>
  <c r="O6844" i="116"/>
  <c r="O6871" i="116"/>
  <c r="O6963" i="116"/>
  <c r="O6984" i="116"/>
  <c r="O7191" i="116"/>
  <c r="O7302" i="116"/>
  <c r="O7322" i="116"/>
  <c r="O7351" i="116"/>
  <c r="O7440" i="116"/>
  <c r="O5324" i="116"/>
  <c r="O7737" i="116"/>
  <c r="O7727" i="116"/>
  <c r="O7720" i="116"/>
  <c r="O7708" i="116"/>
  <c r="O7687" i="116"/>
  <c r="O7667" i="116"/>
  <c r="O7615" i="116"/>
  <c r="O7603" i="116"/>
  <c r="O7595" i="116"/>
  <c r="O7587" i="116"/>
  <c r="O7579" i="116"/>
  <c r="O7571" i="116"/>
  <c r="O7550" i="116"/>
  <c r="O7524" i="116"/>
  <c r="O7503" i="116"/>
  <c r="O4911" i="116"/>
  <c r="O4711" i="116"/>
  <c r="O5580" i="116"/>
  <c r="O6124" i="116"/>
  <c r="O6256" i="116"/>
  <c r="O6268" i="116"/>
  <c r="O6273" i="116"/>
  <c r="O6379" i="116"/>
  <c r="O6781" i="116"/>
  <c r="O6801" i="116"/>
  <c r="O6896" i="116"/>
  <c r="O7104" i="116"/>
  <c r="O7303" i="116"/>
  <c r="O7308" i="116"/>
  <c r="O7388" i="116"/>
  <c r="O7407" i="116"/>
  <c r="O7424" i="116"/>
  <c r="O7487" i="116"/>
  <c r="O7683" i="116"/>
  <c r="O7628" i="116"/>
  <c r="O7721" i="116"/>
  <c r="N7706" i="116"/>
  <c r="O7706" i="116" s="1"/>
  <c r="N7696" i="116"/>
  <c r="O7696" i="116" s="1"/>
  <c r="O7694" i="116"/>
  <c r="N7690" i="116"/>
  <c r="O7690" i="116" s="1"/>
  <c r="O7688" i="116"/>
  <c r="M7681" i="116"/>
  <c r="N7681" i="116"/>
  <c r="O7676" i="116"/>
  <c r="O7636" i="116"/>
  <c r="O7611" i="116"/>
  <c r="O7597" i="116"/>
  <c r="O7589" i="116"/>
  <c r="O7581" i="116"/>
  <c r="O7573" i="116"/>
  <c r="O7565" i="116"/>
  <c r="O7557" i="116"/>
  <c r="O7529" i="116"/>
  <c r="N7751" i="116"/>
  <c r="O7751" i="116" s="1"/>
  <c r="N7743" i="116"/>
  <c r="O7743" i="116" s="1"/>
  <c r="N7735" i="116"/>
  <c r="O7735" i="116" s="1"/>
  <c r="N7730" i="116"/>
  <c r="O7730" i="116" s="1"/>
  <c r="N7728" i="116"/>
  <c r="O7728" i="116" s="1"/>
  <c r="N7723" i="116"/>
  <c r="O7723" i="116" s="1"/>
  <c r="N7716" i="116"/>
  <c r="O7716" i="116" s="1"/>
  <c r="M7700" i="116"/>
  <c r="O7700" i="116" s="1"/>
  <c r="O7668" i="116"/>
  <c r="N7746" i="116"/>
  <c r="O7746" i="116" s="1"/>
  <c r="M7709" i="116"/>
  <c r="O7709" i="116" s="1"/>
  <c r="O7685" i="116"/>
  <c r="M7673" i="116"/>
  <c r="N7673" i="116"/>
  <c r="M7665" i="116"/>
  <c r="N7665" i="116"/>
  <c r="M7657" i="116"/>
  <c r="N7657" i="116"/>
  <c r="M7649" i="116"/>
  <c r="N7649" i="116"/>
  <c r="N7714" i="116"/>
  <c r="O7714" i="116" s="1"/>
  <c r="N7712" i="116"/>
  <c r="O7712" i="116" s="1"/>
  <c r="N7707" i="116"/>
  <c r="O7707" i="116" s="1"/>
  <c r="O7680" i="116"/>
  <c r="O7675" i="116"/>
  <c r="O7670" i="116"/>
  <c r="O7635" i="116"/>
  <c r="O7621" i="116"/>
  <c r="O7533" i="116"/>
  <c r="O7695" i="116"/>
  <c r="N7672" i="116"/>
  <c r="M7672" i="116"/>
  <c r="N7747" i="116"/>
  <c r="O7747" i="116" s="1"/>
  <c r="N7739" i="116"/>
  <c r="O7739" i="116" s="1"/>
  <c r="N7729" i="116"/>
  <c r="O7729" i="116" s="1"/>
  <c r="N7710" i="116"/>
  <c r="O7710" i="116" s="1"/>
  <c r="M7682" i="116"/>
  <c r="N7682" i="116"/>
  <c r="O7637" i="116"/>
  <c r="O7612" i="116"/>
  <c r="N7722" i="116"/>
  <c r="O7722" i="116" s="1"/>
  <c r="O7679" i="116"/>
  <c r="O7669" i="116"/>
  <c r="O7661" i="116"/>
  <c r="O7653" i="116"/>
  <c r="O7645" i="116"/>
  <c r="O7620" i="116"/>
  <c r="M7664" i="116"/>
  <c r="O7664" i="116" s="1"/>
  <c r="M7656" i="116"/>
  <c r="O7656" i="116" s="1"/>
  <c r="M7648" i="116"/>
  <c r="O7648" i="116" s="1"/>
  <c r="M7640" i="116"/>
  <c r="O7640" i="116" s="1"/>
  <c r="M7632" i="116"/>
  <c r="O7632" i="116" s="1"/>
  <c r="M7624" i="116"/>
  <c r="O7624" i="116" s="1"/>
  <c r="M7616" i="116"/>
  <c r="O7616" i="116" s="1"/>
  <c r="M7608" i="116"/>
  <c r="O7608" i="116" s="1"/>
  <c r="M7600" i="116"/>
  <c r="O7600" i="116" s="1"/>
  <c r="M7592" i="116"/>
  <c r="O7592" i="116" s="1"/>
  <c r="M7584" i="116"/>
  <c r="O7584" i="116" s="1"/>
  <c r="M7576" i="116"/>
  <c r="O7576" i="116" s="1"/>
  <c r="M7568" i="116"/>
  <c r="O7568" i="116" s="1"/>
  <c r="N7563" i="116"/>
  <c r="O7563" i="116" s="1"/>
  <c r="N7555" i="116"/>
  <c r="O7555" i="116" s="1"/>
  <c r="M7552" i="116"/>
  <c r="O7552" i="116" s="1"/>
  <c r="N7547" i="116"/>
  <c r="O7547" i="116" s="1"/>
  <c r="M7544" i="116"/>
  <c r="O7544" i="116" s="1"/>
  <c r="N7539" i="116"/>
  <c r="O7539" i="116" s="1"/>
  <c r="M7536" i="116"/>
  <c r="O7536" i="116" s="1"/>
  <c r="M7528" i="116"/>
  <c r="O7528" i="116" s="1"/>
  <c r="M7520" i="116"/>
  <c r="O7520" i="116" s="1"/>
  <c r="M7504" i="116"/>
  <c r="O7504" i="116" s="1"/>
  <c r="N7534" i="116"/>
  <c r="O7534" i="116" s="1"/>
  <c r="N7641" i="116"/>
  <c r="O7641" i="116" s="1"/>
  <c r="N7633" i="116"/>
  <c r="O7633" i="116" s="1"/>
  <c r="N7625" i="116"/>
  <c r="O7625" i="116" s="1"/>
  <c r="N7617" i="116"/>
  <c r="O7617" i="116" s="1"/>
  <c r="N7609" i="116"/>
  <c r="O7609" i="116" s="1"/>
  <c r="N7601" i="116"/>
  <c r="O7601" i="116" s="1"/>
  <c r="N7593" i="116"/>
  <c r="O7593" i="116" s="1"/>
  <c r="N7585" i="116"/>
  <c r="O7585" i="116" s="1"/>
  <c r="N7577" i="116"/>
  <c r="O7577" i="116" s="1"/>
  <c r="N7569" i="116"/>
  <c r="O7569" i="116" s="1"/>
  <c r="N7561" i="116"/>
  <c r="O7561" i="116" s="1"/>
  <c r="N7553" i="116"/>
  <c r="O7553" i="116" s="1"/>
  <c r="N7513" i="116"/>
  <c r="O7513" i="116" s="1"/>
  <c r="N7505" i="116"/>
  <c r="O7505" i="116" s="1"/>
  <c r="N7674" i="116"/>
  <c r="O7674" i="116" s="1"/>
  <c r="N7666" i="116"/>
  <c r="O7666" i="116" s="1"/>
  <c r="N7658" i="116"/>
  <c r="O7658" i="116" s="1"/>
  <c r="N7650" i="116"/>
  <c r="O7650" i="116" s="1"/>
  <c r="N7642" i="116"/>
  <c r="O7642" i="116" s="1"/>
  <c r="N7634" i="116"/>
  <c r="O7634" i="116" s="1"/>
  <c r="N7626" i="116"/>
  <c r="O7626" i="116" s="1"/>
  <c r="N7618" i="116"/>
  <c r="O7618" i="116" s="1"/>
  <c r="N7610" i="116"/>
  <c r="O7610" i="116" s="1"/>
  <c r="N7602" i="116"/>
  <c r="O7602" i="116" s="1"/>
  <c r="N7594" i="116"/>
  <c r="O7594" i="116" s="1"/>
  <c r="N7586" i="116"/>
  <c r="O7586" i="116" s="1"/>
  <c r="N7578" i="116"/>
  <c r="O7578" i="116" s="1"/>
  <c r="N7570" i="116"/>
  <c r="O7570" i="116" s="1"/>
  <c r="N7562" i="116"/>
  <c r="O7562" i="116" s="1"/>
  <c r="N7554" i="116"/>
  <c r="O7554" i="116" s="1"/>
  <c r="N7546" i="116"/>
  <c r="O7546" i="116" s="1"/>
  <c r="N7538" i="116"/>
  <c r="O7538" i="116" s="1"/>
  <c r="N7530" i="116"/>
  <c r="O7530" i="116" s="1"/>
  <c r="N7522" i="116"/>
  <c r="O7522" i="116" s="1"/>
  <c r="N7541" i="116"/>
  <c r="O7541" i="116" s="1"/>
  <c r="N7525" i="116"/>
  <c r="O7525" i="116" s="1"/>
  <c r="N7517" i="116"/>
  <c r="O7517" i="116" s="1"/>
  <c r="N7509" i="116"/>
  <c r="O7509" i="116" s="1"/>
  <c r="O7319" i="116"/>
  <c r="O7328" i="116"/>
  <c r="O7467" i="116"/>
  <c r="O7477" i="116"/>
  <c r="O7314" i="116"/>
  <c r="O7359" i="116"/>
  <c r="O7478" i="116"/>
  <c r="O7483" i="116"/>
  <c r="O7415" i="116"/>
  <c r="O7343" i="116"/>
  <c r="O7367" i="116"/>
  <c r="O7380" i="116"/>
  <c r="O7404" i="116"/>
  <c r="O7410" i="116"/>
  <c r="O7470" i="116"/>
  <c r="O7282" i="116"/>
  <c r="O7292" i="116"/>
  <c r="O7422" i="116"/>
  <c r="O7438" i="116"/>
  <c r="O7449" i="116"/>
  <c r="O7456" i="116"/>
  <c r="O7375" i="116"/>
  <c r="O7399" i="116"/>
  <c r="O7433" i="116"/>
  <c r="N7484" i="116"/>
  <c r="O7484" i="116" s="1"/>
  <c r="M7488" i="116"/>
  <c r="O7488" i="116" s="1"/>
  <c r="O7340" i="116"/>
  <c r="O7346" i="116"/>
  <c r="O7364" i="116"/>
  <c r="O7418" i="116"/>
  <c r="O7471" i="116"/>
  <c r="O7330" i="116"/>
  <c r="O7354" i="116"/>
  <c r="O7396" i="116"/>
  <c r="O7425" i="116"/>
  <c r="O7441" i="116"/>
  <c r="M7448" i="116"/>
  <c r="O7448" i="116" s="1"/>
  <c r="O7486" i="116"/>
  <c r="O7491" i="116"/>
  <c r="O7495" i="116"/>
  <c r="O7306" i="116"/>
  <c r="O7391" i="116"/>
  <c r="O7402" i="116"/>
  <c r="O7455" i="116"/>
  <c r="O7311" i="116"/>
  <c r="O7316" i="116"/>
  <c r="O7326" i="116"/>
  <c r="O7336" i="116"/>
  <c r="O7348" i="116"/>
  <c r="O7386" i="116"/>
  <c r="O7420" i="116"/>
  <c r="O7430" i="116"/>
  <c r="O7436" i="116"/>
  <c r="O7447" i="116"/>
  <c r="O7462" i="116"/>
  <c r="O7479" i="116"/>
  <c r="O7274" i="116"/>
  <c r="O7290" i="116"/>
  <c r="O7327" i="116"/>
  <c r="O7431" i="116"/>
  <c r="O7286" i="116"/>
  <c r="O7304" i="116"/>
  <c r="O7338" i="116"/>
  <c r="O7372" i="116"/>
  <c r="O7394" i="116"/>
  <c r="O7416" i="116"/>
  <c r="O7432" i="116"/>
  <c r="O7472" i="116"/>
  <c r="O7259" i="116"/>
  <c r="O7287" i="116"/>
  <c r="O7305" i="116"/>
  <c r="O7356" i="116"/>
  <c r="O7378" i="116"/>
  <c r="O7412" i="116"/>
  <c r="O7428" i="116"/>
  <c r="O7444" i="116"/>
  <c r="O7464" i="116"/>
  <c r="O7494" i="116"/>
  <c r="O7310" i="116"/>
  <c r="O7423" i="116"/>
  <c r="O7439" i="116"/>
  <c r="O7266" i="116"/>
  <c r="O7294" i="116"/>
  <c r="O7335" i="116"/>
  <c r="O7061" i="116"/>
  <c r="O7071" i="116"/>
  <c r="O7087" i="116"/>
  <c r="O7207" i="116"/>
  <c r="O7239" i="116"/>
  <c r="O7247" i="116"/>
  <c r="O7120" i="116"/>
  <c r="O7124" i="116"/>
  <c r="O7156" i="116"/>
  <c r="O7170" i="116"/>
  <c r="O7203" i="116"/>
  <c r="O7008" i="116"/>
  <c r="O7157" i="116"/>
  <c r="O7176" i="116"/>
  <c r="O7223" i="116"/>
  <c r="O7021" i="116"/>
  <c r="O7027" i="116"/>
  <c r="O7036" i="116"/>
  <c r="O7054" i="116"/>
  <c r="O7070" i="116"/>
  <c r="O7080" i="116"/>
  <c r="O7140" i="116"/>
  <c r="O7172" i="116"/>
  <c r="O7205" i="116"/>
  <c r="O7024" i="116"/>
  <c r="O7057" i="116"/>
  <c r="O7234" i="116"/>
  <c r="O7233" i="116"/>
  <c r="O7048" i="116"/>
  <c r="O7058" i="116"/>
  <c r="O7069" i="116"/>
  <c r="O7125" i="116"/>
  <c r="O7132" i="116"/>
  <c r="O7174" i="116"/>
  <c r="O7187" i="116"/>
  <c r="O7226" i="116"/>
  <c r="O7064" i="116"/>
  <c r="O7122" i="116"/>
  <c r="O7127" i="116"/>
  <c r="O7143" i="116"/>
  <c r="O7175" i="116"/>
  <c r="O7179" i="116"/>
  <c r="O7184" i="116"/>
  <c r="O7227" i="116"/>
  <c r="O7003" i="116"/>
  <c r="O7015" i="116"/>
  <c r="O7032" i="116"/>
  <c r="O7081" i="116"/>
  <c r="O7103" i="116"/>
  <c r="O7154" i="116"/>
  <c r="O7171" i="116"/>
  <c r="O7243" i="116"/>
  <c r="O7201" i="116"/>
  <c r="O7151" i="116"/>
  <c r="O7155" i="116"/>
  <c r="O7211" i="116"/>
  <c r="O7033" i="116"/>
  <c r="O7056" i="116"/>
  <c r="O7088" i="116"/>
  <c r="O7146" i="116"/>
  <c r="O7169" i="116"/>
  <c r="O7231" i="116"/>
  <c r="O7250" i="116"/>
  <c r="O7029" i="116"/>
  <c r="O7072" i="116"/>
  <c r="O7077" i="116"/>
  <c r="O7097" i="116"/>
  <c r="O7135" i="116"/>
  <c r="O7181" i="116"/>
  <c r="O7199" i="116"/>
  <c r="O7235" i="116"/>
  <c r="O7251" i="116"/>
  <c r="O7010" i="116"/>
  <c r="O7014" i="116"/>
  <c r="O7063" i="116"/>
  <c r="O7093" i="116"/>
  <c r="O7098" i="116"/>
  <c r="O7141" i="116"/>
  <c r="O7162" i="116"/>
  <c r="O7167" i="116"/>
  <c r="O7195" i="116"/>
  <c r="O7236" i="116"/>
  <c r="O7046" i="116"/>
  <c r="O7074" i="116"/>
  <c r="O7094" i="116"/>
  <c r="O7101" i="116"/>
  <c r="O7110" i="116"/>
  <c r="O7114" i="116"/>
  <c r="O7147" i="116"/>
  <c r="O7152" i="116"/>
  <c r="O7159" i="116"/>
  <c r="O7163" i="116"/>
  <c r="N7249" i="116"/>
  <c r="O7249" i="116" s="1"/>
  <c r="O7217" i="116"/>
  <c r="O7016" i="116"/>
  <c r="O7022" i="116"/>
  <c r="O7028" i="116"/>
  <c r="O7111" i="116"/>
  <c r="O7117" i="116"/>
  <c r="O7128" i="116"/>
  <c r="O7134" i="116"/>
  <c r="O7160" i="116"/>
  <c r="O7185" i="116"/>
  <c r="O7197" i="116"/>
  <c r="O7218" i="116"/>
  <c r="O7224" i="116"/>
  <c r="O7002" i="116"/>
  <c r="O6888" i="116"/>
  <c r="O6823" i="116"/>
  <c r="O6948" i="116"/>
  <c r="O6968" i="116"/>
  <c r="O6976" i="116"/>
  <c r="O6956" i="116"/>
  <c r="O6996" i="116"/>
  <c r="O6785" i="116"/>
  <c r="O6819" i="116"/>
  <c r="O6847" i="116"/>
  <c r="O6868" i="116"/>
  <c r="O6992" i="116"/>
  <c r="O6777" i="116"/>
  <c r="O6787" i="116"/>
  <c r="O6875" i="116"/>
  <c r="O6947" i="116"/>
  <c r="O6960" i="116"/>
  <c r="O6771" i="116"/>
  <c r="O6815" i="116"/>
  <c r="O7000" i="116"/>
  <c r="O6753" i="116"/>
  <c r="O6829" i="116"/>
  <c r="O6836" i="116"/>
  <c r="O6905" i="116"/>
  <c r="O6921" i="116"/>
  <c r="O6933" i="116"/>
  <c r="O6944" i="116"/>
  <c r="O6964" i="116"/>
  <c r="O6765" i="116"/>
  <c r="O6793" i="116"/>
  <c r="O6809" i="116"/>
  <c r="O6901" i="116"/>
  <c r="O6923" i="116"/>
  <c r="O6979" i="116"/>
  <c r="O6755" i="116"/>
  <c r="O6797" i="116"/>
  <c r="O6813" i="116"/>
  <c r="O6841" i="116"/>
  <c r="O6873" i="116"/>
  <c r="O6874" i="116"/>
  <c r="O6821" i="116"/>
  <c r="O6891" i="116"/>
  <c r="O6946" i="116"/>
  <c r="O6850" i="116"/>
  <c r="M6754" i="116"/>
  <c r="O6754" i="116" s="1"/>
  <c r="O6761" i="116"/>
  <c r="M6766" i="116"/>
  <c r="O6766" i="116" s="1"/>
  <c r="M6782" i="116"/>
  <c r="O6782" i="116" s="1"/>
  <c r="O6805" i="116"/>
  <c r="M6810" i="116"/>
  <c r="O6810" i="116" s="1"/>
  <c r="M6834" i="116"/>
  <c r="O6834" i="116" s="1"/>
  <c r="O6852" i="116"/>
  <c r="O6892" i="116"/>
  <c r="O6899" i="116"/>
  <c r="N6914" i="116"/>
  <c r="O6914" i="116" s="1"/>
  <c r="O6957" i="116"/>
  <c r="M6962" i="116"/>
  <c r="O6962" i="116" s="1"/>
  <c r="N6986" i="116"/>
  <c r="O6986" i="116" s="1"/>
  <c r="O6991" i="116"/>
  <c r="M6778" i="116"/>
  <c r="O6778" i="116" s="1"/>
  <c r="M6794" i="116"/>
  <c r="O6794" i="116" s="1"/>
  <c r="M6826" i="116"/>
  <c r="O6826" i="116" s="1"/>
  <c r="O6981" i="116"/>
  <c r="O6790" i="116"/>
  <c r="M6762" i="116"/>
  <c r="O6762" i="116" s="1"/>
  <c r="O6773" i="116"/>
  <c r="O6789" i="116"/>
  <c r="M6806" i="116"/>
  <c r="O6806" i="116" s="1"/>
  <c r="O6817" i="116"/>
  <c r="O6835" i="116"/>
  <c r="N6846" i="116"/>
  <c r="O6846" i="116" s="1"/>
  <c r="O6849" i="116"/>
  <c r="O6856" i="116"/>
  <c r="O6863" i="116"/>
  <c r="O6895" i="116"/>
  <c r="O6900" i="116"/>
  <c r="O6928" i="116"/>
  <c r="O6939" i="116"/>
  <c r="N6954" i="116"/>
  <c r="O6954" i="116" s="1"/>
  <c r="N6978" i="116"/>
  <c r="O6978" i="116" s="1"/>
  <c r="O6822" i="116"/>
  <c r="O6864" i="116"/>
  <c r="O6869" i="116"/>
  <c r="O6949" i="116"/>
  <c r="O6973" i="116"/>
  <c r="O6802" i="116"/>
  <c r="O6859" i="116"/>
  <c r="N6866" i="116"/>
  <c r="O6866" i="116" s="1"/>
  <c r="O6883" i="116"/>
  <c r="O6911" i="116"/>
  <c r="O6916" i="116"/>
  <c r="O6931" i="116"/>
  <c r="N6970" i="116"/>
  <c r="O6970" i="116" s="1"/>
  <c r="M6994" i="116"/>
  <c r="O6994" i="116" s="1"/>
  <c r="O6930" i="116"/>
  <c r="M6758" i="116"/>
  <c r="O6758" i="116" s="1"/>
  <c r="M6770" i="116"/>
  <c r="O6770" i="116" s="1"/>
  <c r="M6786" i="116"/>
  <c r="O6786" i="116" s="1"/>
  <c r="M6798" i="116"/>
  <c r="O6798" i="116" s="1"/>
  <c r="M6814" i="116"/>
  <c r="O6814" i="116" s="1"/>
  <c r="N6898" i="116"/>
  <c r="O6898" i="116" s="1"/>
  <c r="O6803" i="116"/>
  <c r="O6825" i="116"/>
  <c r="O6828" i="116"/>
  <c r="O6851" i="116"/>
  <c r="O6860" i="116"/>
  <c r="O6912" i="116"/>
  <c r="O6917" i="116"/>
  <c r="O6927" i="116"/>
  <c r="O6932" i="116"/>
  <c r="O6971" i="116"/>
  <c r="O6980" i="116"/>
  <c r="O6536" i="116"/>
  <c r="O6552" i="116"/>
  <c r="O6577" i="116"/>
  <c r="O6608" i="116"/>
  <c r="O6643" i="116"/>
  <c r="O6659" i="116"/>
  <c r="N6738" i="116"/>
  <c r="O6738" i="116" s="1"/>
  <c r="O6505" i="116"/>
  <c r="O6544" i="116"/>
  <c r="O6553" i="116"/>
  <c r="O6579" i="116"/>
  <c r="O6593" i="116"/>
  <c r="O6609" i="116"/>
  <c r="O6645" i="116"/>
  <c r="O6680" i="116"/>
  <c r="N6726" i="116"/>
  <c r="O6726" i="116" s="1"/>
  <c r="O6681" i="116"/>
  <c r="O6737" i="116"/>
  <c r="M6701" i="116"/>
  <c r="O6701" i="116" s="1"/>
  <c r="M6721" i="116"/>
  <c r="O6721" i="116" s="1"/>
  <c r="O6521" i="116"/>
  <c r="O6664" i="116"/>
  <c r="O6541" i="116"/>
  <c r="O6600" i="116"/>
  <c r="O6641" i="116"/>
  <c r="O6677" i="116"/>
  <c r="O6685" i="116"/>
  <c r="O6670" i="116"/>
  <c r="O6523" i="116"/>
  <c r="O6535" i="116"/>
  <c r="O6633" i="116"/>
  <c r="O6657" i="116"/>
  <c r="O6671" i="116"/>
  <c r="O6697" i="116"/>
  <c r="O6623" i="116"/>
  <c r="O6672" i="116"/>
  <c r="O6522" i="116"/>
  <c r="O6617" i="116"/>
  <c r="O6585" i="116"/>
  <c r="O6667" i="116"/>
  <c r="O6586" i="116"/>
  <c r="O6513" i="116"/>
  <c r="O6529" i="116"/>
  <c r="O6567" i="116"/>
  <c r="O6581" i="116"/>
  <c r="O6631" i="116"/>
  <c r="O6705" i="116"/>
  <c r="O6747" i="116"/>
  <c r="O6568" i="116"/>
  <c r="O6587" i="116"/>
  <c r="O6605" i="116"/>
  <c r="O6632" i="116"/>
  <c r="O6675" i="116"/>
  <c r="O6614" i="116"/>
  <c r="O6698" i="116"/>
  <c r="O6518" i="116"/>
  <c r="O6582" i="116"/>
  <c r="O6682" i="116"/>
  <c r="M6562" i="116"/>
  <c r="O6562" i="116" s="1"/>
  <c r="O6599" i="116"/>
  <c r="O6627" i="116"/>
  <c r="O6637" i="116"/>
  <c r="O6647" i="116"/>
  <c r="O6651" i="116"/>
  <c r="M6662" i="116"/>
  <c r="O6662" i="116" s="1"/>
  <c r="M6674" i="116"/>
  <c r="O6674" i="116" s="1"/>
  <c r="M6694" i="116"/>
  <c r="O6694" i="116" s="1"/>
  <c r="M6710" i="116"/>
  <c r="O6710" i="116" s="1"/>
  <c r="O6717" i="116"/>
  <c r="M6722" i="116"/>
  <c r="O6722" i="116" s="1"/>
  <c r="M6734" i="116"/>
  <c r="O6734" i="116" s="1"/>
  <c r="O6745" i="116"/>
  <c r="O6503" i="116"/>
  <c r="O6507" i="116"/>
  <c r="O6512" i="116"/>
  <c r="O6520" i="116"/>
  <c r="O6584" i="116"/>
  <c r="O6624" i="116"/>
  <c r="O6629" i="116"/>
  <c r="M6638" i="116"/>
  <c r="O6638" i="116" s="1"/>
  <c r="M6654" i="116"/>
  <c r="O6654" i="116" s="1"/>
  <c r="M6666" i="116"/>
  <c r="O6666" i="116" s="1"/>
  <c r="O6689" i="116"/>
  <c r="M6718" i="116"/>
  <c r="O6718" i="116" s="1"/>
  <c r="O6729" i="116"/>
  <c r="M6746" i="116"/>
  <c r="O6746" i="116" s="1"/>
  <c r="M6534" i="116"/>
  <c r="O6534" i="116" s="1"/>
  <c r="M6542" i="116"/>
  <c r="O6542" i="116" s="1"/>
  <c r="M6558" i="116"/>
  <c r="O6558" i="116" s="1"/>
  <c r="M6566" i="116"/>
  <c r="O6566" i="116" s="1"/>
  <c r="M6574" i="116"/>
  <c r="O6574" i="116" s="1"/>
  <c r="M6594" i="116"/>
  <c r="O6594" i="116" s="1"/>
  <c r="M6658" i="116"/>
  <c r="O6658" i="116" s="1"/>
  <c r="M6690" i="116"/>
  <c r="O6690" i="116" s="1"/>
  <c r="M6706" i="116"/>
  <c r="O6706" i="116" s="1"/>
  <c r="M6730" i="116"/>
  <c r="O6730" i="116" s="1"/>
  <c r="O6509" i="116"/>
  <c r="O6537" i="116"/>
  <c r="O6569" i="116"/>
  <c r="M6630" i="116"/>
  <c r="O6630" i="116" s="1"/>
  <c r="M6686" i="116"/>
  <c r="O6686" i="116" s="1"/>
  <c r="O6723" i="116"/>
  <c r="O6735" i="116"/>
  <c r="O6741" i="116"/>
  <c r="M6526" i="116"/>
  <c r="O6526" i="116" s="1"/>
  <c r="M6538" i="116"/>
  <c r="O6538" i="116" s="1"/>
  <c r="M6550" i="116"/>
  <c r="O6550" i="116" s="1"/>
  <c r="M6554" i="116"/>
  <c r="O6554" i="116" s="1"/>
  <c r="M6570" i="116"/>
  <c r="O6570" i="116" s="1"/>
  <c r="M6590" i="116"/>
  <c r="O6590" i="116" s="1"/>
  <c r="M6598" i="116"/>
  <c r="O6598" i="116" s="1"/>
  <c r="M6606" i="116"/>
  <c r="O6606" i="116" s="1"/>
  <c r="M6622" i="116"/>
  <c r="O6622" i="116" s="1"/>
  <c r="M6646" i="116"/>
  <c r="O6646" i="116" s="1"/>
  <c r="M6702" i="116"/>
  <c r="O6702" i="116" s="1"/>
  <c r="M6714" i="116"/>
  <c r="O6714" i="116" s="1"/>
  <c r="M6510" i="116"/>
  <c r="O6510" i="116" s="1"/>
  <c r="O6601" i="116"/>
  <c r="O6611" i="116"/>
  <c r="M6626" i="116"/>
  <c r="O6626" i="116" s="1"/>
  <c r="O6635" i="116"/>
  <c r="M6650" i="116"/>
  <c r="O6650" i="116" s="1"/>
  <c r="O6655" i="116"/>
  <c r="O6707" i="116"/>
  <c r="O6731" i="116"/>
  <c r="M6742" i="116"/>
  <c r="O6742" i="116" s="1"/>
  <c r="O6749" i="116"/>
  <c r="O6539" i="116"/>
  <c r="O6561" i="116"/>
  <c r="O6571" i="116"/>
  <c r="O6661" i="116"/>
  <c r="O6709" i="116"/>
  <c r="O6502" i="116"/>
  <c r="M6342" i="116"/>
  <c r="O6342" i="116" s="1"/>
  <c r="N6346" i="116"/>
  <c r="O6346" i="116" s="1"/>
  <c r="O6351" i="116"/>
  <c r="N6362" i="116"/>
  <c r="O6362" i="116" s="1"/>
  <c r="O6441" i="116"/>
  <c r="N6474" i="116"/>
  <c r="O6474" i="116" s="1"/>
  <c r="N6490" i="116"/>
  <c r="O6490" i="116" s="1"/>
  <c r="O6254" i="116"/>
  <c r="N6442" i="116"/>
  <c r="O6442" i="116" s="1"/>
  <c r="M6358" i="116"/>
  <c r="O6358" i="116" s="1"/>
  <c r="O6363" i="116"/>
  <c r="O6383" i="116"/>
  <c r="O6389" i="116"/>
  <c r="M6406" i="116"/>
  <c r="O6406" i="116" s="1"/>
  <c r="O6477" i="116"/>
  <c r="O6493" i="116"/>
  <c r="O6475" i="116"/>
  <c r="O6285" i="116"/>
  <c r="O6317" i="116"/>
  <c r="O6333" i="116"/>
  <c r="O6349" i="116"/>
  <c r="M6350" i="116"/>
  <c r="O6350" i="116" s="1"/>
  <c r="M6366" i="116"/>
  <c r="O6366" i="116" s="1"/>
  <c r="N6370" i="116"/>
  <c r="O6370" i="116" s="1"/>
  <c r="O6438" i="116"/>
  <c r="O6281" i="116"/>
  <c r="O6297" i="116"/>
  <c r="O6345" i="116"/>
  <c r="O6497" i="116"/>
  <c r="M6462" i="116"/>
  <c r="O6462" i="116" s="1"/>
  <c r="M6378" i="116"/>
  <c r="O6378" i="116" s="1"/>
  <c r="N6382" i="116"/>
  <c r="O6382" i="116" s="1"/>
  <c r="M6386" i="116"/>
  <c r="O6386" i="116" s="1"/>
  <c r="M6398" i="116"/>
  <c r="O6398" i="116" s="1"/>
  <c r="M6454" i="116"/>
  <c r="O6454" i="116" s="1"/>
  <c r="O6294" i="116"/>
  <c r="O6299" i="116"/>
  <c r="O6319" i="116"/>
  <c r="O6355" i="116"/>
  <c r="O6403" i="116"/>
  <c r="O6409" i="116"/>
  <c r="M6414" i="116"/>
  <c r="O6414" i="116" s="1"/>
  <c r="M6430" i="116"/>
  <c r="O6430" i="116" s="1"/>
  <c r="N6434" i="116"/>
  <c r="O6434" i="116" s="1"/>
  <c r="N6466" i="116"/>
  <c r="O6466" i="116" s="1"/>
  <c r="O6257" i="116"/>
  <c r="O6301" i="116"/>
  <c r="O6347" i="116"/>
  <c r="M6374" i="116"/>
  <c r="O6374" i="116" s="1"/>
  <c r="M6394" i="116"/>
  <c r="O6394" i="116" s="1"/>
  <c r="O6400" i="116"/>
  <c r="M6410" i="116"/>
  <c r="O6410" i="116" s="1"/>
  <c r="M6426" i="116"/>
  <c r="O6426" i="116" s="1"/>
  <c r="N6450" i="116"/>
  <c r="O6450" i="116" s="1"/>
  <c r="O6461" i="116"/>
  <c r="M6478" i="116"/>
  <c r="O6478" i="116" s="1"/>
  <c r="M6494" i="116"/>
  <c r="O6494" i="116" s="1"/>
  <c r="O6276" i="116"/>
  <c r="O6282" i="116"/>
  <c r="O6352" i="116"/>
  <c r="O6264" i="116"/>
  <c r="O6287" i="116"/>
  <c r="O6291" i="116"/>
  <c r="O6307" i="116"/>
  <c r="O6313" i="116"/>
  <c r="O6375" i="116"/>
  <c r="M6390" i="116"/>
  <c r="O6390" i="116" s="1"/>
  <c r="M6422" i="116"/>
  <c r="O6422" i="116" s="1"/>
  <c r="O6451" i="116"/>
  <c r="M6470" i="116"/>
  <c r="O6470" i="116" s="1"/>
  <c r="O6479" i="116"/>
  <c r="O6491" i="116"/>
  <c r="N6448" i="116"/>
  <c r="O6448" i="116" s="1"/>
  <c r="O6255" i="116"/>
  <c r="O6288" i="116"/>
  <c r="O6298" i="116"/>
  <c r="O6304" i="116"/>
  <c r="O6318" i="116"/>
  <c r="O6329" i="116"/>
  <c r="O6338" i="116"/>
  <c r="O6365" i="116"/>
  <c r="O6397" i="116"/>
  <c r="N6402" i="116"/>
  <c r="O6402" i="116" s="1"/>
  <c r="O6447" i="116"/>
  <c r="M6458" i="116"/>
  <c r="O6458" i="116" s="1"/>
  <c r="M6480" i="116"/>
  <c r="O6480" i="116" s="1"/>
  <c r="M6486" i="116"/>
  <c r="O6486" i="116" s="1"/>
  <c r="O6278" i="116"/>
  <c r="O6361" i="116"/>
  <c r="O6464" i="116"/>
  <c r="O6367" i="116"/>
  <c r="O6415" i="116"/>
  <c r="O6471" i="116"/>
  <c r="O6293" i="116"/>
  <c r="O6343" i="116"/>
  <c r="O6368" i="116"/>
  <c r="O6416" i="116"/>
  <c r="O6431" i="116"/>
  <c r="O6305" i="116"/>
  <c r="O6334" i="116"/>
  <c r="O6353" i="116"/>
  <c r="O6330" i="116"/>
  <c r="O6369" i="116"/>
  <c r="O6417" i="116"/>
  <c r="O6265" i="116"/>
  <c r="O6270" i="116"/>
  <c r="O6290" i="116"/>
  <c r="O6311" i="116"/>
  <c r="O6331" i="116"/>
  <c r="O6395" i="116"/>
  <c r="O6405" i="116"/>
  <c r="O6429" i="116"/>
  <c r="O6439" i="116"/>
  <c r="O6453" i="116"/>
  <c r="O6261" i="116"/>
  <c r="O6302" i="116"/>
  <c r="O6321" i="116"/>
  <c r="O6401" i="116"/>
  <c r="O6449" i="116"/>
  <c r="O6459" i="116"/>
  <c r="O6465" i="116"/>
  <c r="O6009" i="116"/>
  <c r="O6039" i="116"/>
  <c r="O6132" i="116"/>
  <c r="O6187" i="116"/>
  <c r="M6210" i="116"/>
  <c r="O6210" i="116" s="1"/>
  <c r="M6058" i="116"/>
  <c r="O6058" i="116" s="1"/>
  <c r="M6082" i="116"/>
  <c r="O6082" i="116" s="1"/>
  <c r="O6023" i="116"/>
  <c r="O6205" i="116"/>
  <c r="O6095" i="116"/>
  <c r="O6204" i="116"/>
  <c r="O6025" i="116"/>
  <c r="N6078" i="116"/>
  <c r="O6078" i="116" s="1"/>
  <c r="O6131" i="116"/>
  <c r="O6007" i="116"/>
  <c r="O6055" i="116"/>
  <c r="O6079" i="116"/>
  <c r="O6152" i="116"/>
  <c r="O6171" i="116"/>
  <c r="O6251" i="116"/>
  <c r="M6161" i="116"/>
  <c r="O6161" i="116" s="1"/>
  <c r="N6185" i="116"/>
  <c r="O6185" i="116" s="1"/>
  <c r="M6213" i="116"/>
  <c r="O6213" i="116" s="1"/>
  <c r="M6229" i="116"/>
  <c r="O6229" i="116" s="1"/>
  <c r="N6249" i="116"/>
  <c r="O6249" i="116" s="1"/>
  <c r="N6149" i="116"/>
  <c r="O6149" i="116" s="1"/>
  <c r="O6049" i="116"/>
  <c r="O6102" i="116"/>
  <c r="N6129" i="116"/>
  <c r="O6129" i="116" s="1"/>
  <c r="M6073" i="116"/>
  <c r="O6073" i="116" s="1"/>
  <c r="M6089" i="116"/>
  <c r="O6089" i="116" s="1"/>
  <c r="O6096" i="116"/>
  <c r="M6145" i="116"/>
  <c r="O6145" i="116" s="1"/>
  <c r="M6245" i="116"/>
  <c r="O6245" i="116" s="1"/>
  <c r="O6018" i="116"/>
  <c r="N6097" i="116"/>
  <c r="O6097" i="116" s="1"/>
  <c r="M6189" i="116"/>
  <c r="O6189" i="116" s="1"/>
  <c r="O6066" i="116"/>
  <c r="O6160" i="116"/>
  <c r="M6173" i="116"/>
  <c r="O6173" i="116" s="1"/>
  <c r="O6212" i="116"/>
  <c r="M6237" i="116"/>
  <c r="O6237" i="116" s="1"/>
  <c r="O6063" i="116"/>
  <c r="O6071" i="116"/>
  <c r="O6087" i="116"/>
  <c r="O6140" i="116"/>
  <c r="O6122" i="116"/>
  <c r="O6138" i="116"/>
  <c r="O6222" i="116"/>
  <c r="O6177" i="116"/>
  <c r="M6026" i="116"/>
  <c r="O6026" i="116" s="1"/>
  <c r="N6042" i="116"/>
  <c r="O6042" i="116" s="1"/>
  <c r="N6098" i="116"/>
  <c r="O6098" i="116" s="1"/>
  <c r="M6118" i="116"/>
  <c r="O6118" i="116" s="1"/>
  <c r="O6128" i="116"/>
  <c r="N6150" i="116"/>
  <c r="O6150" i="116" s="1"/>
  <c r="O6156" i="116"/>
  <c r="O6168" i="116"/>
  <c r="N6178" i="116"/>
  <c r="O6178" i="116" s="1"/>
  <c r="N6190" i="116"/>
  <c r="O6190" i="116" s="1"/>
  <c r="M6202" i="116"/>
  <c r="O6202" i="116" s="1"/>
  <c r="N6206" i="116"/>
  <c r="O6206" i="116" s="1"/>
  <c r="O6219" i="116"/>
  <c r="O6167" i="116"/>
  <c r="O6103" i="116"/>
  <c r="O6108" i="116"/>
  <c r="O6144" i="116"/>
  <c r="O6172" i="116"/>
  <c r="M6230" i="116"/>
  <c r="O6230" i="116" s="1"/>
  <c r="N6242" i="116"/>
  <c r="O6242" i="116" s="1"/>
  <c r="M6010" i="116"/>
  <c r="O6010" i="116" s="1"/>
  <c r="M6017" i="116"/>
  <c r="O6017" i="116" s="1"/>
  <c r="O6064" i="116"/>
  <c r="M6074" i="116"/>
  <c r="O6074" i="116" s="1"/>
  <c r="N6086" i="116"/>
  <c r="O6086" i="116" s="1"/>
  <c r="M6090" i="116"/>
  <c r="O6090" i="116" s="1"/>
  <c r="M6110" i="116"/>
  <c r="O6110" i="116" s="1"/>
  <c r="O6119" i="116"/>
  <c r="M6141" i="116"/>
  <c r="O6141" i="116" s="1"/>
  <c r="M6157" i="116"/>
  <c r="O6157" i="116" s="1"/>
  <c r="O6164" i="116"/>
  <c r="M6169" i="116"/>
  <c r="O6169" i="116" s="1"/>
  <c r="M6174" i="116"/>
  <c r="O6174" i="116" s="1"/>
  <c r="O6180" i="116"/>
  <c r="O6192" i="116"/>
  <c r="M6197" i="116"/>
  <c r="O6197" i="116" s="1"/>
  <c r="O6072" i="116"/>
  <c r="M6034" i="116"/>
  <c r="O6034" i="116" s="1"/>
  <c r="M6050" i="116"/>
  <c r="O6050" i="116" s="1"/>
  <c r="M6065" i="116"/>
  <c r="O6065" i="116" s="1"/>
  <c r="O6100" i="116"/>
  <c r="N6121" i="116"/>
  <c r="O6121" i="116" s="1"/>
  <c r="N6130" i="116"/>
  <c r="O6130" i="116" s="1"/>
  <c r="N6133" i="116"/>
  <c r="O6133" i="116" s="1"/>
  <c r="N6137" i="116"/>
  <c r="O6137" i="116" s="1"/>
  <c r="O6148" i="116"/>
  <c r="M6153" i="116"/>
  <c r="O6153" i="116" s="1"/>
  <c r="N6209" i="116"/>
  <c r="O6209" i="116" s="1"/>
  <c r="M6221" i="116"/>
  <c r="O6221" i="116" s="1"/>
  <c r="M6238" i="116"/>
  <c r="O6238" i="116" s="1"/>
  <c r="O6244" i="116"/>
  <c r="M6041" i="116"/>
  <c r="O6041" i="116" s="1"/>
  <c r="M6057" i="116"/>
  <c r="O6057" i="116" s="1"/>
  <c r="M6081" i="116"/>
  <c r="O6081" i="116" s="1"/>
  <c r="M6126" i="116"/>
  <c r="O6126" i="116" s="1"/>
  <c r="M6142" i="116"/>
  <c r="O6142" i="116" s="1"/>
  <c r="M6165" i="116"/>
  <c r="O6165" i="116" s="1"/>
  <c r="M6181" i="116"/>
  <c r="O6181" i="116" s="1"/>
  <c r="M6198" i="116"/>
  <c r="O6198" i="116" s="1"/>
  <c r="M6217" i="116"/>
  <c r="O6217" i="116" s="1"/>
  <c r="N6234" i="116"/>
  <c r="O6234" i="116" s="1"/>
  <c r="O5847" i="116"/>
  <c r="N5942" i="116"/>
  <c r="O5942" i="116" s="1"/>
  <c r="N5825" i="116"/>
  <c r="O5825" i="116" s="1"/>
  <c r="N5873" i="116"/>
  <c r="O5873" i="116" s="1"/>
  <c r="N5929" i="116"/>
  <c r="O5929" i="116" s="1"/>
  <c r="N5958" i="116"/>
  <c r="O5958" i="116" s="1"/>
  <c r="M5897" i="116"/>
  <c r="O5897" i="116" s="1"/>
  <c r="N5817" i="116"/>
  <c r="O5817" i="116" s="1"/>
  <c r="N5777" i="116"/>
  <c r="O5777" i="116" s="1"/>
  <c r="N5857" i="116"/>
  <c r="O5857" i="116" s="1"/>
  <c r="N5865" i="116"/>
  <c r="O5865" i="116" s="1"/>
  <c r="N5945" i="116"/>
  <c r="O5945" i="116" s="1"/>
  <c r="N5993" i="116"/>
  <c r="O5993" i="116" s="1"/>
  <c r="N5849" i="116"/>
  <c r="O5849" i="116" s="1"/>
  <c r="N5889" i="116"/>
  <c r="O5889" i="116" s="1"/>
  <c r="N5985" i="116"/>
  <c r="O5985" i="116" s="1"/>
  <c r="N5852" i="116"/>
  <c r="O5852" i="116" s="1"/>
  <c r="N5796" i="116"/>
  <c r="O5796" i="116" s="1"/>
  <c r="M5948" i="116"/>
  <c r="O5948" i="116" s="1"/>
  <c r="M5924" i="116"/>
  <c r="O5924" i="116" s="1"/>
  <c r="M5884" i="116"/>
  <c r="O5884" i="116" s="1"/>
  <c r="N5768" i="116"/>
  <c r="O5768" i="116" s="1"/>
  <c r="M5764" i="116"/>
  <c r="O5764" i="116" s="1"/>
  <c r="M5780" i="116"/>
  <c r="O5780" i="116" s="1"/>
  <c r="M5788" i="116"/>
  <c r="O5788" i="116" s="1"/>
  <c r="M5844" i="116"/>
  <c r="O5844" i="116" s="1"/>
  <c r="N5800" i="116"/>
  <c r="O5800" i="116" s="1"/>
  <c r="N5756" i="116"/>
  <c r="O5756" i="116" s="1"/>
  <c r="N5808" i="116"/>
  <c r="O5808" i="116" s="1"/>
  <c r="N5876" i="116"/>
  <c r="O5876" i="116" s="1"/>
  <c r="N5912" i="116"/>
  <c r="O5912" i="116" s="1"/>
  <c r="O5999" i="116"/>
  <c r="N5816" i="116"/>
  <c r="O5816" i="116" s="1"/>
  <c r="O5823" i="116"/>
  <c r="M5828" i="116"/>
  <c r="O5828" i="116" s="1"/>
  <c r="N5872" i="116"/>
  <c r="O5872" i="116" s="1"/>
  <c r="N5848" i="116"/>
  <c r="O5848" i="116" s="1"/>
  <c r="N5880" i="116"/>
  <c r="O5880" i="116" s="1"/>
  <c r="N5916" i="116"/>
  <c r="O5916" i="116" s="1"/>
  <c r="M5804" i="116"/>
  <c r="O5804" i="116" s="1"/>
  <c r="N5824" i="116"/>
  <c r="O5824" i="116" s="1"/>
  <c r="M5836" i="116"/>
  <c r="O5836" i="116" s="1"/>
  <c r="M5860" i="116"/>
  <c r="O5860" i="116" s="1"/>
  <c r="N5888" i="116"/>
  <c r="O5888" i="116" s="1"/>
  <c r="M5772" i="116"/>
  <c r="O5772" i="116" s="1"/>
  <c r="N5856" i="116"/>
  <c r="O5856" i="116" s="1"/>
  <c r="M5908" i="116"/>
  <c r="O5908" i="116" s="1"/>
  <c r="M5812" i="116"/>
  <c r="O5812" i="116" s="1"/>
  <c r="N5832" i="116"/>
  <c r="O5832" i="116" s="1"/>
  <c r="M5868" i="116"/>
  <c r="O5868" i="116" s="1"/>
  <c r="N5920" i="116"/>
  <c r="O5920" i="116" s="1"/>
  <c r="M5975" i="116"/>
  <c r="O5975" i="116" s="1"/>
  <c r="O5787" i="116"/>
  <c r="M5660" i="116"/>
  <c r="O5660" i="116" s="1"/>
  <c r="N5692" i="116"/>
  <c r="O5692" i="116" s="1"/>
  <c r="M5724" i="116"/>
  <c r="O5724" i="116" s="1"/>
  <c r="N5693" i="116"/>
  <c r="O5693" i="116" s="1"/>
  <c r="M5729" i="116"/>
  <c r="O5729" i="116" s="1"/>
  <c r="N5672" i="116"/>
  <c r="O5672" i="116" s="1"/>
  <c r="N5712" i="116"/>
  <c r="O5712" i="116" s="1"/>
  <c r="N5740" i="116"/>
  <c r="O5740" i="116" s="1"/>
  <c r="N5748" i="116"/>
  <c r="O5748" i="116" s="1"/>
  <c r="N5656" i="116"/>
  <c r="O5656" i="116" s="1"/>
  <c r="M5716" i="116"/>
  <c r="O5716" i="116" s="1"/>
  <c r="M5638" i="116"/>
  <c r="O5638" i="116" s="1"/>
  <c r="N5664" i="116"/>
  <c r="O5664" i="116" s="1"/>
  <c r="N5676" i="116"/>
  <c r="O5676" i="116" s="1"/>
  <c r="N5684" i="116"/>
  <c r="O5684" i="116" s="1"/>
  <c r="M5696" i="116"/>
  <c r="O5696" i="116" s="1"/>
  <c r="M5704" i="116"/>
  <c r="O5704" i="116" s="1"/>
  <c r="M5732" i="116"/>
  <c r="O5732" i="116" s="1"/>
  <c r="N5688" i="116"/>
  <c r="O5688" i="116" s="1"/>
  <c r="M5652" i="116"/>
  <c r="O5652" i="116" s="1"/>
  <c r="M5744" i="116"/>
  <c r="O5744" i="116" s="1"/>
  <c r="N5708" i="116"/>
  <c r="O5708" i="116" s="1"/>
  <c r="O5595" i="116"/>
  <c r="O5535" i="116"/>
  <c r="M5668" i="116"/>
  <c r="O5668" i="116" s="1"/>
  <c r="M5728" i="116"/>
  <c r="O5728" i="116" s="1"/>
  <c r="N5736" i="116"/>
  <c r="O5736" i="116" s="1"/>
  <c r="O5523" i="116"/>
  <c r="M5538" i="116"/>
  <c r="O5538" i="116" s="1"/>
  <c r="M5550" i="116"/>
  <c r="O5550" i="116" s="1"/>
  <c r="M5594" i="116"/>
  <c r="O5594" i="116" s="1"/>
  <c r="M5680" i="116"/>
  <c r="O5680" i="116" s="1"/>
  <c r="M5700" i="116"/>
  <c r="O5700" i="116" s="1"/>
  <c r="M5720" i="116"/>
  <c r="O5720" i="116" s="1"/>
  <c r="M5731" i="116"/>
  <c r="O5731" i="116" s="1"/>
  <c r="M5751" i="116"/>
  <c r="O5751" i="116" s="1"/>
  <c r="M5590" i="116"/>
  <c r="O5590" i="116" s="1"/>
  <c r="M5518" i="116"/>
  <c r="O5518" i="116" s="1"/>
  <c r="M5558" i="116"/>
  <c r="O5558" i="116" s="1"/>
  <c r="M5506" i="116"/>
  <c r="O5506" i="116" s="1"/>
  <c r="M5626" i="116"/>
  <c r="O5626" i="116" s="1"/>
  <c r="M5530" i="116"/>
  <c r="O5530" i="116" s="1"/>
  <c r="M5606" i="116"/>
  <c r="O5606" i="116" s="1"/>
  <c r="M5526" i="116"/>
  <c r="O5526" i="116" s="1"/>
  <c r="M5542" i="116"/>
  <c r="O5542" i="116" s="1"/>
  <c r="M5570" i="116"/>
  <c r="O5570" i="116" s="1"/>
  <c r="M5582" i="116"/>
  <c r="O5582" i="116" s="1"/>
  <c r="M5602" i="116"/>
  <c r="O5602" i="116" s="1"/>
  <c r="M5622" i="116"/>
  <c r="O5622" i="116" s="1"/>
  <c r="O5519" i="116"/>
  <c r="O5611" i="116"/>
  <c r="M5940" i="116"/>
  <c r="O5940" i="116" s="1"/>
  <c r="O5774" i="116"/>
  <c r="O5655" i="116"/>
  <c r="O5675" i="116"/>
  <c r="O5689" i="116"/>
  <c r="O5709" i="116"/>
  <c r="O5919" i="116"/>
  <c r="O5951" i="116"/>
  <c r="O5967" i="116"/>
  <c r="O5635" i="116"/>
  <c r="O5843" i="116"/>
  <c r="O5549" i="116"/>
  <c r="O5637" i="116"/>
  <c r="O5589" i="116"/>
  <c r="O5634" i="116"/>
  <c r="O5719" i="116"/>
  <c r="O5783" i="116"/>
  <c r="O5859" i="116"/>
  <c r="O5879" i="116"/>
  <c r="N5961" i="116"/>
  <c r="O5961" i="116" s="1"/>
  <c r="O5991" i="116"/>
  <c r="N5970" i="116"/>
  <c r="O5970" i="116" s="1"/>
  <c r="O5759" i="116"/>
  <c r="O5791" i="116"/>
  <c r="O5895" i="116"/>
  <c r="O5601" i="116"/>
  <c r="O5667" i="116"/>
  <c r="O5681" i="116"/>
  <c r="O5701" i="116"/>
  <c r="O5711" i="116"/>
  <c r="O5721" i="116"/>
  <c r="M5896" i="116"/>
  <c r="O5896" i="116" s="1"/>
  <c r="N5944" i="116"/>
  <c r="O5944" i="116" s="1"/>
  <c r="O5657" i="116"/>
  <c r="O5677" i="116"/>
  <c r="O5687" i="116"/>
  <c r="O5707" i="116"/>
  <c r="O5935" i="116"/>
  <c r="O5775" i="116"/>
  <c r="O5922" i="116"/>
  <c r="O5807" i="116"/>
  <c r="O5503" i="116"/>
  <c r="O5507" i="116"/>
  <c r="O5513" i="116"/>
  <c r="O5569" i="116"/>
  <c r="O5587" i="116"/>
  <c r="O5591" i="116"/>
  <c r="O5615" i="116"/>
  <c r="O5649" i="116"/>
  <c r="O5739" i="116"/>
  <c r="O5815" i="116"/>
  <c r="O5875" i="116"/>
  <c r="M5906" i="116"/>
  <c r="O5906" i="116" s="1"/>
  <c r="M5954" i="116"/>
  <c r="O5954" i="116" s="1"/>
  <c r="O5983" i="116"/>
  <c r="N5969" i="116"/>
  <c r="O5969" i="116" s="1"/>
  <c r="N5918" i="116"/>
  <c r="O5918" i="116" s="1"/>
  <c r="O5559" i="116"/>
  <c r="O5564" i="116"/>
  <c r="O5771" i="116"/>
  <c r="O5827" i="116"/>
  <c r="O5871" i="116"/>
  <c r="O5927" i="116"/>
  <c r="O5955" i="116"/>
  <c r="O5651" i="116"/>
  <c r="O5665" i="116"/>
  <c r="O5685" i="116"/>
  <c r="O5695" i="116"/>
  <c r="O5715" i="116"/>
  <c r="O5745" i="116"/>
  <c r="N5910" i="116"/>
  <c r="O5910" i="116" s="1"/>
  <c r="O5505" i="116"/>
  <c r="O5543" i="116"/>
  <c r="O5556" i="116"/>
  <c r="O5561" i="116"/>
  <c r="O5567" i="116"/>
  <c r="O5597" i="116"/>
  <c r="O5617" i="116"/>
  <c r="O5647" i="116"/>
  <c r="O5741" i="116"/>
  <c r="O5767" i="116"/>
  <c r="O5811" i="116"/>
  <c r="O5841" i="116"/>
  <c r="O5855" i="116"/>
  <c r="O5887" i="116"/>
  <c r="N5950" i="116"/>
  <c r="O5950" i="116" s="1"/>
  <c r="O5516" i="116"/>
  <c r="O5544" i="116"/>
  <c r="O5599" i="116"/>
  <c r="O5603" i="116"/>
  <c r="O5607" i="116"/>
  <c r="O5831" i="116"/>
  <c r="O5903" i="116"/>
  <c r="O5911" i="116"/>
  <c r="M5977" i="116"/>
  <c r="O5977" i="116" s="1"/>
  <c r="M6001" i="116"/>
  <c r="O6001" i="116" s="1"/>
  <c r="N5978" i="116"/>
  <c r="O5978" i="116" s="1"/>
  <c r="O5525" i="116"/>
  <c r="O5539" i="116"/>
  <c r="O5557" i="116"/>
  <c r="O5571" i="116"/>
  <c r="O5577" i="116"/>
  <c r="O5583" i="116"/>
  <c r="O5609" i="116"/>
  <c r="O5619" i="116"/>
  <c r="O5623" i="116"/>
  <c r="O5641" i="116"/>
  <c r="O5661" i="116"/>
  <c r="O5671" i="116"/>
  <c r="O5691" i="116"/>
  <c r="O5705" i="116"/>
  <c r="O5725" i="116"/>
  <c r="O5735" i="116"/>
  <c r="O5763" i="116"/>
  <c r="O5959" i="116"/>
  <c r="M5994" i="116"/>
  <c r="O5994" i="116" s="1"/>
  <c r="O5545" i="116"/>
  <c r="O5551" i="116"/>
  <c r="O5643" i="116"/>
  <c r="O5803" i="116"/>
  <c r="O5923" i="116"/>
  <c r="O5914" i="116"/>
  <c r="O5563" i="116"/>
  <c r="O5653" i="116"/>
  <c r="O5663" i="116"/>
  <c r="O5683" i="116"/>
  <c r="O5697" i="116"/>
  <c r="O5717" i="116"/>
  <c r="O5727" i="116"/>
  <c r="M5930" i="116"/>
  <c r="O5930" i="116" s="1"/>
  <c r="M5938" i="116"/>
  <c r="O5938" i="116" s="1"/>
  <c r="M5946" i="116"/>
  <c r="O5946" i="116" s="1"/>
  <c r="O5511" i="116"/>
  <c r="O5621" i="116"/>
  <c r="O5659" i="116"/>
  <c r="O5673" i="116"/>
  <c r="O5703" i="116"/>
  <c r="O5723" i="116"/>
  <c r="O5737" i="116"/>
  <c r="M5782" i="116"/>
  <c r="O5782" i="116" s="1"/>
  <c r="O5799" i="116"/>
  <c r="N5952" i="116"/>
  <c r="O5952" i="116" s="1"/>
  <c r="M5956" i="116"/>
  <c r="O5956" i="116" s="1"/>
  <c r="M5962" i="116"/>
  <c r="O5962" i="116" s="1"/>
  <c r="O5512" i="116"/>
  <c r="O5528" i="116"/>
  <c r="O5532" i="116"/>
  <c r="O5537" i="116"/>
  <c r="O5575" i="116"/>
  <c r="O5604" i="116"/>
  <c r="O5639" i="116"/>
  <c r="O5669" i="116"/>
  <c r="O5679" i="116"/>
  <c r="O5699" i="116"/>
  <c r="O5713" i="116"/>
  <c r="O5733" i="116"/>
  <c r="O5743" i="116"/>
  <c r="O5755" i="116"/>
  <c r="M5926" i="116"/>
  <c r="O5926" i="116" s="1"/>
  <c r="O5943" i="116"/>
  <c r="M5986" i="116"/>
  <c r="O5986" i="116" s="1"/>
  <c r="O5576" i="116"/>
  <c r="O5588" i="116"/>
  <c r="O5592" i="116"/>
  <c r="O5596" i="116"/>
  <c r="O5608" i="116"/>
  <c r="O5627" i="116"/>
  <c r="O5636" i="116"/>
  <c r="O5795" i="116"/>
  <c r="O5883" i="116"/>
  <c r="O5314" i="116"/>
  <c r="O5259" i="116"/>
  <c r="O5275" i="116"/>
  <c r="O5323" i="116"/>
  <c r="O5447" i="116"/>
  <c r="O5392" i="116"/>
  <c r="O5268" i="116"/>
  <c r="O5311" i="116"/>
  <c r="O5358" i="116"/>
  <c r="O5326" i="116"/>
  <c r="O5379" i="116"/>
  <c r="O5398" i="116"/>
  <c r="O5442" i="116"/>
  <c r="O5375" i="116"/>
  <c r="O5284" i="116"/>
  <c r="O5328" i="116"/>
  <c r="M5280" i="116"/>
  <c r="O5280" i="116" s="1"/>
  <c r="O5303" i="116"/>
  <c r="M5320" i="116"/>
  <c r="O5320" i="116" s="1"/>
  <c r="O5331" i="116"/>
  <c r="O5335" i="116"/>
  <c r="O5361" i="116"/>
  <c r="O5378" i="116"/>
  <c r="M5396" i="116"/>
  <c r="O5396" i="116" s="1"/>
  <c r="O5407" i="116"/>
  <c r="O5415" i="116"/>
  <c r="M5481" i="116"/>
  <c r="O5481" i="116" s="1"/>
  <c r="M5440" i="116"/>
  <c r="O5440" i="116" s="1"/>
  <c r="O5417" i="116"/>
  <c r="M5276" i="116"/>
  <c r="O5276" i="116" s="1"/>
  <c r="M5300" i="116"/>
  <c r="O5300" i="116" s="1"/>
  <c r="M5340" i="116"/>
  <c r="O5340" i="116" s="1"/>
  <c r="M5384" i="116"/>
  <c r="O5384" i="116" s="1"/>
  <c r="N5416" i="116"/>
  <c r="O5416" i="116" s="1"/>
  <c r="M5264" i="116"/>
  <c r="O5264" i="116" s="1"/>
  <c r="O5287" i="116"/>
  <c r="O5293" i="116"/>
  <c r="M5332" i="116"/>
  <c r="O5332" i="116" s="1"/>
  <c r="M5336" i="116"/>
  <c r="O5336" i="116" s="1"/>
  <c r="O5345" i="116"/>
  <c r="O5351" i="116"/>
  <c r="O5357" i="116"/>
  <c r="M5364" i="116"/>
  <c r="O5364" i="116" s="1"/>
  <c r="M5436" i="116"/>
  <c r="O5436" i="116" s="1"/>
  <c r="O5454" i="116"/>
  <c r="O5479" i="116"/>
  <c r="O5474" i="116"/>
  <c r="M5260" i="116"/>
  <c r="O5260" i="116" s="1"/>
  <c r="M5288" i="116"/>
  <c r="O5288" i="116" s="1"/>
  <c r="M5352" i="116"/>
  <c r="O5352" i="116" s="1"/>
  <c r="O5471" i="116"/>
  <c r="O5267" i="116"/>
  <c r="O5342" i="116"/>
  <c r="O5411" i="116"/>
  <c r="M5472" i="116"/>
  <c r="O5472" i="116" s="1"/>
  <c r="N5485" i="116"/>
  <c r="O5485" i="116" s="1"/>
  <c r="O5429" i="116"/>
  <c r="O5397" i="116"/>
  <c r="O5319" i="116"/>
  <c r="O5334" i="116"/>
  <c r="O5343" i="116"/>
  <c r="O5499" i="116"/>
  <c r="O5254" i="116"/>
  <c r="O5270" i="116"/>
  <c r="O5286" i="116"/>
  <c r="O5307" i="116"/>
  <c r="O5366" i="116"/>
  <c r="O5372" i="116"/>
  <c r="O5377" i="116"/>
  <c r="M5408" i="116"/>
  <c r="O5408" i="116" s="1"/>
  <c r="M5441" i="116"/>
  <c r="O5441" i="116" s="1"/>
  <c r="O5451" i="116"/>
  <c r="O5463" i="116"/>
  <c r="M5468" i="116"/>
  <c r="O5468" i="116" s="1"/>
  <c r="O5489" i="116"/>
  <c r="O5308" i="116"/>
  <c r="O5399" i="116"/>
  <c r="O5404" i="116"/>
  <c r="O5431" i="116"/>
  <c r="N5437" i="116"/>
  <c r="O5437" i="116" s="1"/>
  <c r="M5452" i="116"/>
  <c r="O5452" i="116" s="1"/>
  <c r="M5473" i="116"/>
  <c r="O5473" i="116" s="1"/>
  <c r="M5492" i="116"/>
  <c r="O5492" i="116" s="1"/>
  <c r="O5495" i="116"/>
  <c r="O5327" i="116"/>
  <c r="O5367" i="116"/>
  <c r="M5409" i="116"/>
  <c r="O5409" i="116" s="1"/>
  <c r="N5421" i="116"/>
  <c r="O5421" i="116" s="1"/>
  <c r="M5460" i="116"/>
  <c r="O5460" i="116" s="1"/>
  <c r="M5480" i="116"/>
  <c r="O5480" i="116" s="1"/>
  <c r="M5428" i="116"/>
  <c r="O5428" i="116" s="1"/>
  <c r="M5448" i="116"/>
  <c r="O5448" i="116" s="1"/>
  <c r="O5470" i="116"/>
  <c r="N5493" i="116"/>
  <c r="O5493" i="116" s="1"/>
  <c r="O5262" i="116"/>
  <c r="O5278" i="116"/>
  <c r="O5305" i="116"/>
  <c r="O5309" i="116"/>
  <c r="O5333" i="116"/>
  <c r="O5346" i="116"/>
  <c r="O5406" i="116"/>
  <c r="O5487" i="116"/>
  <c r="O5449" i="116"/>
  <c r="O5461" i="116"/>
  <c r="O5500" i="116"/>
  <c r="O5289" i="116"/>
  <c r="O5301" i="116"/>
  <c r="O5315" i="116"/>
  <c r="O5339" i="116"/>
  <c r="O5353" i="116"/>
  <c r="O5391" i="116"/>
  <c r="O5410" i="116"/>
  <c r="O5435" i="116"/>
  <c r="O5455" i="116"/>
  <c r="O5462" i="116"/>
  <c r="O5021" i="116"/>
  <c r="O5040" i="116"/>
  <c r="O5125" i="116"/>
  <c r="M5196" i="116"/>
  <c r="O5196" i="116" s="1"/>
  <c r="O5243" i="116"/>
  <c r="O5065" i="116"/>
  <c r="O5089" i="116"/>
  <c r="N5247" i="116"/>
  <c r="O5247" i="116" s="1"/>
  <c r="O5050" i="116"/>
  <c r="O5057" i="116"/>
  <c r="O5081" i="116"/>
  <c r="O5093" i="116"/>
  <c r="O5130" i="116"/>
  <c r="O5220" i="116"/>
  <c r="O5017" i="116"/>
  <c r="O5026" i="116"/>
  <c r="O5033" i="116"/>
  <c r="O5160" i="116"/>
  <c r="O5168" i="116"/>
  <c r="O5204" i="116"/>
  <c r="O5246" i="116"/>
  <c r="O5083" i="116"/>
  <c r="O5113" i="116"/>
  <c r="O5230" i="116"/>
  <c r="O5053" i="116"/>
  <c r="O5214" i="116"/>
  <c r="O5035" i="116"/>
  <c r="O5066" i="116"/>
  <c r="O5090" i="116"/>
  <c r="O5097" i="116"/>
  <c r="O5211" i="116"/>
  <c r="O5163" i="116"/>
  <c r="O5010" i="116"/>
  <c r="O5016" i="116"/>
  <c r="O5122" i="116"/>
  <c r="O5059" i="116"/>
  <c r="O5011" i="116"/>
  <c r="O5117" i="116"/>
  <c r="O5152" i="116"/>
  <c r="O5236" i="116"/>
  <c r="O5186" i="116"/>
  <c r="O5227" i="116"/>
  <c r="N5027" i="116"/>
  <c r="O5027" i="116" s="1"/>
  <c r="N5051" i="116"/>
  <c r="O5051" i="116" s="1"/>
  <c r="M5075" i="116"/>
  <c r="O5075" i="116" s="1"/>
  <c r="N5131" i="116"/>
  <c r="O5131" i="116" s="1"/>
  <c r="N5147" i="116"/>
  <c r="O5147" i="116" s="1"/>
  <c r="O5200" i="116"/>
  <c r="O5212" i="116"/>
  <c r="O5228" i="116"/>
  <c r="O5244" i="116"/>
  <c r="O5107" i="116"/>
  <c r="O5009" i="116"/>
  <c r="O5042" i="116"/>
  <c r="O5048" i="116"/>
  <c r="M5099" i="116"/>
  <c r="O5099" i="116" s="1"/>
  <c r="M5123" i="116"/>
  <c r="O5123" i="116" s="1"/>
  <c r="O5137" i="116"/>
  <c r="O5148" i="116"/>
  <c r="O5153" i="116"/>
  <c r="M5171" i="116"/>
  <c r="O5171" i="116" s="1"/>
  <c r="O5176" i="116"/>
  <c r="M5207" i="116"/>
  <c r="O5207" i="116" s="1"/>
  <c r="M5219" i="116"/>
  <c r="O5219" i="116" s="1"/>
  <c r="M5223" i="116"/>
  <c r="O5223" i="116" s="1"/>
  <c r="M5235" i="116"/>
  <c r="O5235" i="116" s="1"/>
  <c r="M5239" i="116"/>
  <c r="O5239" i="116" s="1"/>
  <c r="M5251" i="116"/>
  <c r="O5251" i="116" s="1"/>
  <c r="O5199" i="116"/>
  <c r="M5043" i="116"/>
  <c r="O5043" i="116" s="1"/>
  <c r="O5061" i="116"/>
  <c r="O5072" i="116"/>
  <c r="O5085" i="116"/>
  <c r="O5144" i="116"/>
  <c r="O5165" i="116"/>
  <c r="M5191" i="116"/>
  <c r="O5191" i="116" s="1"/>
  <c r="M5203" i="116"/>
  <c r="O5203" i="116" s="1"/>
  <c r="M5067" i="116"/>
  <c r="O5067" i="116" s="1"/>
  <c r="M5091" i="116"/>
  <c r="O5091" i="116" s="1"/>
  <c r="M5115" i="116"/>
  <c r="O5115" i="116" s="1"/>
  <c r="M5139" i="116"/>
  <c r="O5139" i="116" s="1"/>
  <c r="M5155" i="116"/>
  <c r="O5155" i="116" s="1"/>
  <c r="M5187" i="116"/>
  <c r="O5187" i="116" s="1"/>
  <c r="O5025" i="116"/>
  <c r="O5034" i="116"/>
  <c r="O5049" i="116"/>
  <c r="O5058" i="116"/>
  <c r="O5082" i="116"/>
  <c r="O5129" i="116"/>
  <c r="M5179" i="116"/>
  <c r="O5179" i="116" s="1"/>
  <c r="O5197" i="116"/>
  <c r="O5073" i="116"/>
  <c r="O5106" i="116"/>
  <c r="O5112" i="116"/>
  <c r="O5140" i="116"/>
  <c r="O5145" i="116"/>
  <c r="O5156" i="116"/>
  <c r="O5188" i="116"/>
  <c r="O5003" i="116"/>
  <c r="O5041" i="116"/>
  <c r="O5074" i="116"/>
  <c r="O5080" i="116"/>
  <c r="O5180" i="116"/>
  <c r="O5205" i="116"/>
  <c r="O5222" i="116"/>
  <c r="O5238" i="116"/>
  <c r="O6002" i="116"/>
  <c r="O5002" i="116"/>
  <c r="N5133" i="116"/>
  <c r="O5133" i="116" s="1"/>
  <c r="O5141" i="116"/>
  <c r="O5149" i="116"/>
  <c r="O5157" i="116"/>
  <c r="N5185" i="116"/>
  <c r="M5185" i="116"/>
  <c r="N5218" i="116"/>
  <c r="M5218" i="116"/>
  <c r="N5234" i="116"/>
  <c r="M5234" i="116"/>
  <c r="N5250" i="116"/>
  <c r="M5250" i="116"/>
  <c r="N5266" i="116"/>
  <c r="M5266" i="116"/>
  <c r="N5282" i="116"/>
  <c r="M5282" i="116"/>
  <c r="N5349" i="116"/>
  <c r="M5349" i="116"/>
  <c r="N5438" i="116"/>
  <c r="M5438" i="116"/>
  <c r="N5483" i="116"/>
  <c r="M5483" i="116"/>
  <c r="N5488" i="116"/>
  <c r="M5488" i="116"/>
  <c r="N5520" i="116"/>
  <c r="M5520" i="116"/>
  <c r="N5540" i="116"/>
  <c r="M5540" i="116"/>
  <c r="N5553" i="116"/>
  <c r="M5553" i="116"/>
  <c r="M5610" i="116"/>
  <c r="N5610" i="116"/>
  <c r="N5005" i="116"/>
  <c r="O5005" i="116" s="1"/>
  <c r="N5024" i="116"/>
  <c r="O5024" i="116" s="1"/>
  <c r="N5037" i="116"/>
  <c r="O5037" i="116" s="1"/>
  <c r="N5056" i="116"/>
  <c r="O5056" i="116" s="1"/>
  <c r="N5069" i="116"/>
  <c r="O5069" i="116" s="1"/>
  <c r="N5088" i="116"/>
  <c r="O5088" i="116" s="1"/>
  <c r="N5101" i="116"/>
  <c r="O5101" i="116" s="1"/>
  <c r="N5120" i="116"/>
  <c r="O5120" i="116" s="1"/>
  <c r="M5013" i="116"/>
  <c r="O5013" i="116" s="1"/>
  <c r="N5015" i="116"/>
  <c r="O5015" i="116" s="1"/>
  <c r="O5028" i="116"/>
  <c r="N5030" i="116"/>
  <c r="O5030" i="116" s="1"/>
  <c r="M5032" i="116"/>
  <c r="O5032" i="116" s="1"/>
  <c r="M5045" i="116"/>
  <c r="O5045" i="116" s="1"/>
  <c r="N5047" i="116"/>
  <c r="O5047" i="116" s="1"/>
  <c r="O5060" i="116"/>
  <c r="N5062" i="116"/>
  <c r="O5062" i="116" s="1"/>
  <c r="M5064" i="116"/>
  <c r="O5064" i="116" s="1"/>
  <c r="M5077" i="116"/>
  <c r="O5077" i="116" s="1"/>
  <c r="N5079" i="116"/>
  <c r="O5079" i="116" s="1"/>
  <c r="O5092" i="116"/>
  <c r="N5094" i="116"/>
  <c r="O5094" i="116" s="1"/>
  <c r="M5096" i="116"/>
  <c r="O5096" i="116" s="1"/>
  <c r="M5109" i="116"/>
  <c r="O5109" i="116" s="1"/>
  <c r="N5111" i="116"/>
  <c r="O5111" i="116" s="1"/>
  <c r="O5124" i="116"/>
  <c r="N5126" i="116"/>
  <c r="O5126" i="116" s="1"/>
  <c r="M5128" i="116"/>
  <c r="O5128" i="116" s="1"/>
  <c r="M5162" i="116"/>
  <c r="O5162" i="116" s="1"/>
  <c r="N5183" i="116"/>
  <c r="O5183" i="116" s="1"/>
  <c r="O5192" i="116"/>
  <c r="N5202" i="116"/>
  <c r="M5202" i="116"/>
  <c r="M5213" i="116"/>
  <c r="O5213" i="116" s="1"/>
  <c r="M5229" i="116"/>
  <c r="O5229" i="116" s="1"/>
  <c r="M5245" i="116"/>
  <c r="O5245" i="116" s="1"/>
  <c r="M5261" i="116"/>
  <c r="O5261" i="116" s="1"/>
  <c r="M5277" i="116"/>
  <c r="O5277" i="116" s="1"/>
  <c r="N5299" i="116"/>
  <c r="M5299" i="116"/>
  <c r="M5316" i="116"/>
  <c r="O5316" i="116" s="1"/>
  <c r="M5373" i="116"/>
  <c r="O5373" i="116" s="1"/>
  <c r="M5387" i="116"/>
  <c r="O5387" i="116" s="1"/>
  <c r="N5427" i="116"/>
  <c r="M5427" i="116"/>
  <c r="M5456" i="116"/>
  <c r="O5456" i="116" s="1"/>
  <c r="N5469" i="116"/>
  <c r="M5469" i="116"/>
  <c r="N5533" i="116"/>
  <c r="M5533" i="116"/>
  <c r="N5177" i="116"/>
  <c r="M5177" i="116"/>
  <c r="O5181" i="116"/>
  <c r="N5209" i="116"/>
  <c r="M5209" i="116"/>
  <c r="N5225" i="116"/>
  <c r="M5225" i="116"/>
  <c r="N5241" i="116"/>
  <c r="M5241" i="116"/>
  <c r="N5257" i="116"/>
  <c r="M5257" i="116"/>
  <c r="N5273" i="116"/>
  <c r="M5273" i="116"/>
  <c r="N5291" i="116"/>
  <c r="M5291" i="116"/>
  <c r="N5296" i="116"/>
  <c r="M5296" i="116"/>
  <c r="N5310" i="116"/>
  <c r="M5310" i="116"/>
  <c r="O5321" i="116"/>
  <c r="O5354" i="116"/>
  <c r="O5359" i="116"/>
  <c r="M5380" i="116"/>
  <c r="O5380" i="116" s="1"/>
  <c r="N5419" i="116"/>
  <c r="M5419" i="116"/>
  <c r="N5424" i="116"/>
  <c r="M5424" i="116"/>
  <c r="O5467" i="116"/>
  <c r="N5476" i="116"/>
  <c r="M5476" i="116"/>
  <c r="N5484" i="116"/>
  <c r="M5484" i="116"/>
  <c r="N5496" i="116"/>
  <c r="M5496" i="116"/>
  <c r="N5508" i="116"/>
  <c r="M5508" i="116"/>
  <c r="N5521" i="116"/>
  <c r="M5521" i="116"/>
  <c r="O5524" i="116"/>
  <c r="O5531" i="116"/>
  <c r="O5536" i="116"/>
  <c r="N5579" i="116"/>
  <c r="M5579" i="116"/>
  <c r="N5584" i="116"/>
  <c r="M5584" i="116"/>
  <c r="O5004" i="116"/>
  <c r="N5006" i="116"/>
  <c r="O5006" i="116" s="1"/>
  <c r="N5023" i="116"/>
  <c r="O5023" i="116" s="1"/>
  <c r="O5036" i="116"/>
  <c r="N5038" i="116"/>
  <c r="O5038" i="116" s="1"/>
  <c r="N5055" i="116"/>
  <c r="O5055" i="116" s="1"/>
  <c r="O5068" i="116"/>
  <c r="N5070" i="116"/>
  <c r="O5070" i="116" s="1"/>
  <c r="N5087" i="116"/>
  <c r="O5087" i="116" s="1"/>
  <c r="O5100" i="116"/>
  <c r="N5102" i="116"/>
  <c r="O5102" i="116" s="1"/>
  <c r="N5119" i="116"/>
  <c r="O5119" i="116" s="1"/>
  <c r="O5132" i="116"/>
  <c r="N5134" i="116"/>
  <c r="O5134" i="116" s="1"/>
  <c r="M5138" i="116"/>
  <c r="O5138" i="116" s="1"/>
  <c r="N5142" i="116"/>
  <c r="M5142" i="116"/>
  <c r="M5146" i="116"/>
  <c r="O5146" i="116" s="1"/>
  <c r="N5150" i="116"/>
  <c r="M5150" i="116"/>
  <c r="M5154" i="116"/>
  <c r="O5154" i="116" s="1"/>
  <c r="N5158" i="116"/>
  <c r="M5158" i="116"/>
  <c r="N5175" i="116"/>
  <c r="O5175" i="116" s="1"/>
  <c r="O5216" i="116"/>
  <c r="O5232" i="116"/>
  <c r="O5248" i="116"/>
  <c r="O5255" i="116"/>
  <c r="O5271" i="116"/>
  <c r="O5294" i="116"/>
  <c r="O5347" i="116"/>
  <c r="N5374" i="116"/>
  <c r="M5374" i="116"/>
  <c r="O5385" i="116"/>
  <c r="N5405" i="116"/>
  <c r="M5405" i="116"/>
  <c r="O5422" i="116"/>
  <c r="N5446" i="116"/>
  <c r="M5446" i="116"/>
  <c r="M5450" i="116"/>
  <c r="N5450" i="116"/>
  <c r="N5457" i="116"/>
  <c r="M5457" i="116"/>
  <c r="N5465" i="116"/>
  <c r="M5465" i="116"/>
  <c r="O5494" i="116"/>
  <c r="N5501" i="116"/>
  <c r="M5501" i="116"/>
  <c r="N5534" i="116"/>
  <c r="M5534" i="116"/>
  <c r="N5169" i="116"/>
  <c r="M5169" i="116"/>
  <c r="O5173" i="116"/>
  <c r="N5193" i="116"/>
  <c r="M5193" i="116"/>
  <c r="N5210" i="116"/>
  <c r="M5210" i="116"/>
  <c r="N5226" i="116"/>
  <c r="M5226" i="116"/>
  <c r="N5242" i="116"/>
  <c r="M5242" i="116"/>
  <c r="N5258" i="116"/>
  <c r="M5258" i="116"/>
  <c r="N5274" i="116"/>
  <c r="M5274" i="116"/>
  <c r="N5292" i="116"/>
  <c r="M5292" i="116"/>
  <c r="N5363" i="116"/>
  <c r="M5363" i="116"/>
  <c r="N5412" i="116"/>
  <c r="M5412" i="116"/>
  <c r="N5420" i="116"/>
  <c r="M5420" i="116"/>
  <c r="N5432" i="116"/>
  <c r="M5432" i="116"/>
  <c r="N5477" i="116"/>
  <c r="M5477" i="116"/>
  <c r="M5546" i="116"/>
  <c r="N5546" i="116"/>
  <c r="M5642" i="116"/>
  <c r="N5642" i="116"/>
  <c r="O5012" i="116"/>
  <c r="N5014" i="116"/>
  <c r="O5014" i="116" s="1"/>
  <c r="N5031" i="116"/>
  <c r="O5031" i="116" s="1"/>
  <c r="O5044" i="116"/>
  <c r="N5046" i="116"/>
  <c r="O5046" i="116" s="1"/>
  <c r="N5063" i="116"/>
  <c r="O5063" i="116" s="1"/>
  <c r="O5076" i="116"/>
  <c r="N5078" i="116"/>
  <c r="O5078" i="116" s="1"/>
  <c r="N5095" i="116"/>
  <c r="O5095" i="116" s="1"/>
  <c r="O5108" i="116"/>
  <c r="N5110" i="116"/>
  <c r="O5110" i="116" s="1"/>
  <c r="N5127" i="116"/>
  <c r="O5127" i="116" s="1"/>
  <c r="N5167" i="116"/>
  <c r="O5167" i="116" s="1"/>
  <c r="M5178" i="116"/>
  <c r="O5178" i="116" s="1"/>
  <c r="M5221" i="116"/>
  <c r="O5221" i="116" s="1"/>
  <c r="M5237" i="116"/>
  <c r="O5237" i="116" s="1"/>
  <c r="M5253" i="116"/>
  <c r="O5253" i="116" s="1"/>
  <c r="M5269" i="116"/>
  <c r="O5269" i="116" s="1"/>
  <c r="M5285" i="116"/>
  <c r="O5285" i="116" s="1"/>
  <c r="M5297" i="116"/>
  <c r="O5297" i="116" s="1"/>
  <c r="O5302" i="116"/>
  <c r="N5304" i="116"/>
  <c r="M5304" i="116"/>
  <c r="O5313" i="116"/>
  <c r="N5318" i="116"/>
  <c r="M5318" i="116"/>
  <c r="M5322" i="116"/>
  <c r="N5322" i="116"/>
  <c r="N5329" i="116"/>
  <c r="M5329" i="116"/>
  <c r="N5341" i="116"/>
  <c r="M5341" i="116"/>
  <c r="N5355" i="116"/>
  <c r="M5355" i="116"/>
  <c r="N5360" i="116"/>
  <c r="M5360" i="116"/>
  <c r="N5393" i="116"/>
  <c r="M5393" i="116"/>
  <c r="N5401" i="116"/>
  <c r="M5401" i="116"/>
  <c r="M5425" i="116"/>
  <c r="O5425" i="116" s="1"/>
  <c r="O5430" i="116"/>
  <c r="M5458" i="116"/>
  <c r="N5458" i="116"/>
  <c r="N5502" i="116"/>
  <c r="M5502" i="116"/>
  <c r="M5514" i="116"/>
  <c r="N5514" i="116"/>
  <c r="N5598" i="116"/>
  <c r="M5598" i="116"/>
  <c r="N5161" i="116"/>
  <c r="M5161" i="116"/>
  <c r="N5194" i="116"/>
  <c r="M5194" i="116"/>
  <c r="N5233" i="116"/>
  <c r="M5233" i="116"/>
  <c r="N5249" i="116"/>
  <c r="M5249" i="116"/>
  <c r="N5281" i="116"/>
  <c r="M5281" i="116"/>
  <c r="N5413" i="116"/>
  <c r="M5413" i="116"/>
  <c r="N5482" i="116"/>
  <c r="O5482" i="116" s="1"/>
  <c r="N5547" i="116"/>
  <c r="M5547" i="116"/>
  <c r="N5552" i="116"/>
  <c r="M5552" i="116"/>
  <c r="N5572" i="116"/>
  <c r="M5572" i="116"/>
  <c r="N5625" i="116"/>
  <c r="M5625" i="116"/>
  <c r="N5217" i="116"/>
  <c r="M5217" i="116"/>
  <c r="N5265" i="116"/>
  <c r="M5265" i="116"/>
  <c r="N5348" i="116"/>
  <c r="M5348" i="116"/>
  <c r="N5382" i="116"/>
  <c r="M5382" i="116"/>
  <c r="M5386" i="116"/>
  <c r="N5386" i="116"/>
  <c r="N5007" i="116"/>
  <c r="O5007" i="116" s="1"/>
  <c r="O5020" i="116"/>
  <c r="N5022" i="116"/>
  <c r="O5022" i="116" s="1"/>
  <c r="N5039" i="116"/>
  <c r="O5039" i="116" s="1"/>
  <c r="O5052" i="116"/>
  <c r="N5054" i="116"/>
  <c r="O5054" i="116" s="1"/>
  <c r="N5071" i="116"/>
  <c r="O5071" i="116" s="1"/>
  <c r="O5084" i="116"/>
  <c r="N5086" i="116"/>
  <c r="O5086" i="116" s="1"/>
  <c r="N5103" i="116"/>
  <c r="O5103" i="116" s="1"/>
  <c r="O5116" i="116"/>
  <c r="N5118" i="116"/>
  <c r="O5118" i="116" s="1"/>
  <c r="N5135" i="116"/>
  <c r="O5135" i="116" s="1"/>
  <c r="N5143" i="116"/>
  <c r="O5143" i="116" s="1"/>
  <c r="N5151" i="116"/>
  <c r="O5151" i="116" s="1"/>
  <c r="N5159" i="116"/>
  <c r="O5159" i="116" s="1"/>
  <c r="M5170" i="116"/>
  <c r="O5170" i="116" s="1"/>
  <c r="N5201" i="116"/>
  <c r="M5201" i="116"/>
  <c r="O5208" i="116"/>
  <c r="O5215" i="116"/>
  <c r="O5224" i="116"/>
  <c r="O5231" i="116"/>
  <c r="O5240" i="116"/>
  <c r="O5256" i="116"/>
  <c r="O5263" i="116"/>
  <c r="O5272" i="116"/>
  <c r="O5279" i="116"/>
  <c r="O5290" i="116"/>
  <c r="O5295" i="116"/>
  <c r="M5330" i="116"/>
  <c r="N5330" i="116"/>
  <c r="N5337" i="116"/>
  <c r="M5337" i="116"/>
  <c r="O5344" i="116"/>
  <c r="N5356" i="116"/>
  <c r="M5356" i="116"/>
  <c r="N5368" i="116"/>
  <c r="M5368" i="116"/>
  <c r="M5394" i="116"/>
  <c r="N5394" i="116"/>
  <c r="O5418" i="116"/>
  <c r="O5423" i="116"/>
  <c r="M5444" i="116"/>
  <c r="O5444" i="116" s="1"/>
  <c r="O5475" i="116"/>
  <c r="N5491" i="116"/>
  <c r="M5491" i="116"/>
  <c r="N5515" i="116"/>
  <c r="M5515" i="116"/>
  <c r="N5565" i="116"/>
  <c r="M5565" i="116"/>
  <c r="N5640" i="116"/>
  <c r="M5640" i="116"/>
  <c r="N5750" i="116"/>
  <c r="O5750" i="116" s="1"/>
  <c r="M5776" i="116"/>
  <c r="O5776" i="116" s="1"/>
  <c r="M5785" i="116"/>
  <c r="O5785" i="116" s="1"/>
  <c r="N5805" i="116"/>
  <c r="M5805" i="116"/>
  <c r="O5881" i="116"/>
  <c r="O5899" i="116"/>
  <c r="N5960" i="116"/>
  <c r="M5960" i="116"/>
  <c r="N5966" i="116"/>
  <c r="M5966" i="116"/>
  <c r="N6030" i="116"/>
  <c r="M6030" i="116"/>
  <c r="M5510" i="116"/>
  <c r="O5510" i="116" s="1"/>
  <c r="N5522" i="116"/>
  <c r="O5522" i="116" s="1"/>
  <c r="M5529" i="116"/>
  <c r="O5529" i="116" s="1"/>
  <c r="M5541" i="116"/>
  <c r="O5541" i="116" s="1"/>
  <c r="M5548" i="116"/>
  <c r="O5548" i="116" s="1"/>
  <c r="M5555" i="116"/>
  <c r="O5555" i="116" s="1"/>
  <c r="M5560" i="116"/>
  <c r="O5560" i="116" s="1"/>
  <c r="M5574" i="116"/>
  <c r="O5574" i="116" s="1"/>
  <c r="N5586" i="116"/>
  <c r="O5586" i="116" s="1"/>
  <c r="M5593" i="116"/>
  <c r="O5593" i="116" s="1"/>
  <c r="M5605" i="116"/>
  <c r="O5605" i="116" s="1"/>
  <c r="M5612" i="116"/>
  <c r="O5612" i="116" s="1"/>
  <c r="N5614" i="116"/>
  <c r="O5614" i="116" s="1"/>
  <c r="M5629" i="116"/>
  <c r="O5629" i="116" s="1"/>
  <c r="M5644" i="116"/>
  <c r="O5644" i="116" s="1"/>
  <c r="N5646" i="116"/>
  <c r="O5646" i="116" s="1"/>
  <c r="M5752" i="116"/>
  <c r="O5752" i="116" s="1"/>
  <c r="M5761" i="116"/>
  <c r="O5761" i="116" s="1"/>
  <c r="N5781" i="116"/>
  <c r="M5781" i="116"/>
  <c r="N5790" i="116"/>
  <c r="O5790" i="116" s="1"/>
  <c r="N5830" i="116"/>
  <c r="M5830" i="116"/>
  <c r="N5837" i="116"/>
  <c r="M5837" i="116"/>
  <c r="N5862" i="116"/>
  <c r="M5862" i="116"/>
  <c r="N5869" i="116"/>
  <c r="M5869" i="116"/>
  <c r="N5933" i="116"/>
  <c r="M5933" i="116"/>
  <c r="N6022" i="116"/>
  <c r="M6022" i="116"/>
  <c r="N5306" i="116"/>
  <c r="O5306" i="116" s="1"/>
  <c r="M5325" i="116"/>
  <c r="O5325" i="116" s="1"/>
  <c r="N5370" i="116"/>
  <c r="O5370" i="116" s="1"/>
  <c r="M5389" i="116"/>
  <c r="O5389" i="116" s="1"/>
  <c r="N5434" i="116"/>
  <c r="O5434" i="116" s="1"/>
  <c r="M5453" i="116"/>
  <c r="O5453" i="116" s="1"/>
  <c r="N5498" i="116"/>
  <c r="O5498" i="116" s="1"/>
  <c r="M5517" i="116"/>
  <c r="O5517" i="116" s="1"/>
  <c r="N5562" i="116"/>
  <c r="O5562" i="116" s="1"/>
  <c r="M5581" i="116"/>
  <c r="O5581" i="116" s="1"/>
  <c r="M5600" i="116"/>
  <c r="O5600" i="116" s="1"/>
  <c r="M5616" i="116"/>
  <c r="O5616" i="116" s="1"/>
  <c r="N5618" i="116"/>
  <c r="O5618" i="116" s="1"/>
  <c r="M5633" i="116"/>
  <c r="O5633" i="116" s="1"/>
  <c r="M5648" i="116"/>
  <c r="O5648" i="116" s="1"/>
  <c r="N5650" i="116"/>
  <c r="O5650" i="116" s="1"/>
  <c r="N5654" i="116"/>
  <c r="O5654" i="116" s="1"/>
  <c r="N5658" i="116"/>
  <c r="M5658" i="116"/>
  <c r="N5662" i="116"/>
  <c r="O5662" i="116" s="1"/>
  <c r="N5666" i="116"/>
  <c r="M5666" i="116"/>
  <c r="N5670" i="116"/>
  <c r="O5670" i="116" s="1"/>
  <c r="N5674" i="116"/>
  <c r="M5674" i="116"/>
  <c r="N5678" i="116"/>
  <c r="O5678" i="116" s="1"/>
  <c r="N5682" i="116"/>
  <c r="M5682" i="116"/>
  <c r="N5686" i="116"/>
  <c r="O5686" i="116" s="1"/>
  <c r="N5690" i="116"/>
  <c r="M5690" i="116"/>
  <c r="N5694" i="116"/>
  <c r="O5694" i="116" s="1"/>
  <c r="N5698" i="116"/>
  <c r="M5698" i="116"/>
  <c r="N5702" i="116"/>
  <c r="O5702" i="116" s="1"/>
  <c r="N5706" i="116"/>
  <c r="M5706" i="116"/>
  <c r="N5710" i="116"/>
  <c r="O5710" i="116" s="1"/>
  <c r="N5714" i="116"/>
  <c r="M5714" i="116"/>
  <c r="N5718" i="116"/>
  <c r="O5718" i="116" s="1"/>
  <c r="N5722" i="116"/>
  <c r="M5722" i="116"/>
  <c r="N5726" i="116"/>
  <c r="O5726" i="116" s="1"/>
  <c r="N5730" i="116"/>
  <c r="M5730" i="116"/>
  <c r="N5734" i="116"/>
  <c r="O5734" i="116" s="1"/>
  <c r="N5738" i="116"/>
  <c r="M5738" i="116"/>
  <c r="N5742" i="116"/>
  <c r="O5742" i="116" s="1"/>
  <c r="N5757" i="116"/>
  <c r="M5757" i="116"/>
  <c r="N5766" i="116"/>
  <c r="O5766" i="116" s="1"/>
  <c r="O5779" i="116"/>
  <c r="M5792" i="116"/>
  <c r="O5792" i="116" s="1"/>
  <c r="M5801" i="116"/>
  <c r="O5801" i="116" s="1"/>
  <c r="N5806" i="116"/>
  <c r="M5806" i="116"/>
  <c r="O5820" i="116"/>
  <c r="O5835" i="116"/>
  <c r="O5864" i="116"/>
  <c r="O5867" i="116"/>
  <c r="O5892" i="116"/>
  <c r="N5900" i="116"/>
  <c r="M5900" i="116"/>
  <c r="N5915" i="116"/>
  <c r="M5915" i="116"/>
  <c r="N6014" i="116"/>
  <c r="M6014" i="116"/>
  <c r="O5620" i="116"/>
  <c r="N5797" i="116"/>
  <c r="M5797" i="116"/>
  <c r="N5813" i="116"/>
  <c r="M5813" i="116"/>
  <c r="N5838" i="116"/>
  <c r="M5838" i="116"/>
  <c r="N5845" i="116"/>
  <c r="M5845" i="116"/>
  <c r="N5870" i="116"/>
  <c r="M5870" i="116"/>
  <c r="N5877" i="116"/>
  <c r="M5877" i="116"/>
  <c r="N5928" i="116"/>
  <c r="M5928" i="116"/>
  <c r="N5934" i="116"/>
  <c r="M5934" i="116"/>
  <c r="N6006" i="116"/>
  <c r="M6006" i="116"/>
  <c r="M5566" i="116"/>
  <c r="O5566" i="116" s="1"/>
  <c r="N5578" i="116"/>
  <c r="O5578" i="116" s="1"/>
  <c r="M5585" i="116"/>
  <c r="O5585" i="116" s="1"/>
  <c r="O5624" i="116"/>
  <c r="M5753" i="116"/>
  <c r="O5753" i="116" s="1"/>
  <c r="N5773" i="116"/>
  <c r="M5773" i="116"/>
  <c r="O5840" i="116"/>
  <c r="N5885" i="116"/>
  <c r="M5885" i="116"/>
  <c r="N5901" i="116"/>
  <c r="M5901" i="116"/>
  <c r="N5937" i="116"/>
  <c r="M5937" i="116"/>
  <c r="N5964" i="116"/>
  <c r="M5964" i="116"/>
  <c r="N5998" i="116"/>
  <c r="M5998" i="116"/>
  <c r="M5166" i="116"/>
  <c r="O5166" i="116" s="1"/>
  <c r="M5174" i="116"/>
  <c r="O5174" i="116" s="1"/>
  <c r="M5182" i="116"/>
  <c r="O5182" i="116" s="1"/>
  <c r="M5190" i="116"/>
  <c r="O5190" i="116" s="1"/>
  <c r="M5198" i="116"/>
  <c r="O5198" i="116" s="1"/>
  <c r="M5206" i="116"/>
  <c r="O5206" i="116" s="1"/>
  <c r="N5298" i="116"/>
  <c r="O5298" i="116" s="1"/>
  <c r="M5317" i="116"/>
  <c r="O5317" i="116" s="1"/>
  <c r="N5362" i="116"/>
  <c r="O5362" i="116" s="1"/>
  <c r="M5369" i="116"/>
  <c r="O5369" i="116" s="1"/>
  <c r="M5381" i="116"/>
  <c r="O5381" i="116" s="1"/>
  <c r="M5388" i="116"/>
  <c r="O5388" i="116" s="1"/>
  <c r="M5395" i="116"/>
  <c r="O5395" i="116" s="1"/>
  <c r="M5400" i="116"/>
  <c r="O5400" i="116" s="1"/>
  <c r="M5414" i="116"/>
  <c r="O5414" i="116" s="1"/>
  <c r="N5426" i="116"/>
  <c r="O5426" i="116" s="1"/>
  <c r="M5433" i="116"/>
  <c r="O5433" i="116" s="1"/>
  <c r="M5445" i="116"/>
  <c r="O5445" i="116" s="1"/>
  <c r="M5459" i="116"/>
  <c r="O5459" i="116" s="1"/>
  <c r="M5464" i="116"/>
  <c r="O5464" i="116" s="1"/>
  <c r="M5478" i="116"/>
  <c r="O5478" i="116" s="1"/>
  <c r="N5490" i="116"/>
  <c r="O5490" i="116" s="1"/>
  <c r="M5497" i="116"/>
  <c r="O5497" i="116" s="1"/>
  <c r="M5509" i="116"/>
  <c r="O5509" i="116" s="1"/>
  <c r="N5554" i="116"/>
  <c r="O5554" i="116" s="1"/>
  <c r="M5573" i="116"/>
  <c r="O5573" i="116" s="1"/>
  <c r="M5613" i="116"/>
  <c r="O5613" i="116" s="1"/>
  <c r="M5628" i="116"/>
  <c r="O5628" i="116" s="1"/>
  <c r="N5630" i="116"/>
  <c r="O5630" i="116" s="1"/>
  <c r="M5645" i="116"/>
  <c r="O5645" i="116" s="1"/>
  <c r="N5749" i="116"/>
  <c r="M5749" i="116"/>
  <c r="N5758" i="116"/>
  <c r="O5758" i="116" s="1"/>
  <c r="M5784" i="116"/>
  <c r="O5784" i="116" s="1"/>
  <c r="M5793" i="116"/>
  <c r="O5793" i="116" s="1"/>
  <c r="N5814" i="116"/>
  <c r="M5814" i="116"/>
  <c r="N5821" i="116"/>
  <c r="M5821" i="116"/>
  <c r="O5833" i="116"/>
  <c r="N5846" i="116"/>
  <c r="M5846" i="116"/>
  <c r="N5853" i="116"/>
  <c r="M5853" i="116"/>
  <c r="N5878" i="116"/>
  <c r="M5878" i="116"/>
  <c r="N5893" i="116"/>
  <c r="M5893" i="116"/>
  <c r="M5898" i="116"/>
  <c r="N5898" i="116"/>
  <c r="O5913" i="116"/>
  <c r="O5931" i="116"/>
  <c r="N5990" i="116"/>
  <c r="M5990" i="116"/>
  <c r="O5312" i="116"/>
  <c r="O5376" i="116"/>
  <c r="O5504" i="116"/>
  <c r="O5568" i="116"/>
  <c r="O5632" i="116"/>
  <c r="O5747" i="116"/>
  <c r="M5760" i="116"/>
  <c r="O5760" i="116" s="1"/>
  <c r="M5769" i="116"/>
  <c r="O5769" i="116" s="1"/>
  <c r="N5789" i="116"/>
  <c r="M5789" i="116"/>
  <c r="N5798" i="116"/>
  <c r="O5798" i="116" s="1"/>
  <c r="M5809" i="116"/>
  <c r="O5809" i="116" s="1"/>
  <c r="O5819" i="116"/>
  <c r="O5851" i="116"/>
  <c r="N5886" i="116"/>
  <c r="M5886" i="116"/>
  <c r="O5891" i="116"/>
  <c r="N5902" i="116"/>
  <c r="M5902" i="116"/>
  <c r="N5982" i="116"/>
  <c r="M5982" i="116"/>
  <c r="N5765" i="116"/>
  <c r="M5765" i="116"/>
  <c r="N5822" i="116"/>
  <c r="M5822" i="116"/>
  <c r="N5829" i="116"/>
  <c r="M5829" i="116"/>
  <c r="N5854" i="116"/>
  <c r="M5854" i="116"/>
  <c r="N5861" i="116"/>
  <c r="M5861" i="116"/>
  <c r="N5894" i="116"/>
  <c r="M5894" i="116"/>
  <c r="N5905" i="116"/>
  <c r="M5905" i="116"/>
  <c r="N5932" i="116"/>
  <c r="M5932" i="116"/>
  <c r="N5947" i="116"/>
  <c r="M5947" i="116"/>
  <c r="N5974" i="116"/>
  <c r="M5974" i="116"/>
  <c r="O5963" i="116"/>
  <c r="N5965" i="116"/>
  <c r="M5965" i="116"/>
  <c r="N5973" i="116"/>
  <c r="M5973" i="116"/>
  <c r="N5981" i="116"/>
  <c r="M5981" i="116"/>
  <c r="N5989" i="116"/>
  <c r="M5989" i="116"/>
  <c r="N5997" i="116"/>
  <c r="M5997" i="116"/>
  <c r="N6005" i="116"/>
  <c r="M6005" i="116"/>
  <c r="N6013" i="116"/>
  <c r="M6013" i="116"/>
  <c r="N6021" i="116"/>
  <c r="M6021" i="116"/>
  <c r="N6029" i="116"/>
  <c r="M6029" i="116"/>
  <c r="N6037" i="116"/>
  <c r="M6037" i="116"/>
  <c r="N6045" i="116"/>
  <c r="M6045" i="116"/>
  <c r="N6053" i="116"/>
  <c r="M6053" i="116"/>
  <c r="N6113" i="116"/>
  <c r="M6113" i="116"/>
  <c r="N6179" i="116"/>
  <c r="M6179" i="116"/>
  <c r="N6303" i="116"/>
  <c r="M6303" i="116"/>
  <c r="N6344" i="116"/>
  <c r="M6344" i="116"/>
  <c r="N6373" i="116"/>
  <c r="M6373" i="116"/>
  <c r="N6565" i="116"/>
  <c r="M6565" i="116"/>
  <c r="M5971" i="116"/>
  <c r="O5971" i="116" s="1"/>
  <c r="M5979" i="116"/>
  <c r="O5979" i="116" s="1"/>
  <c r="M5987" i="116"/>
  <c r="O5987" i="116" s="1"/>
  <c r="M5995" i="116"/>
  <c r="O5995" i="116" s="1"/>
  <c r="M6003" i="116"/>
  <c r="O6003" i="116" s="1"/>
  <c r="M6011" i="116"/>
  <c r="O6011" i="116" s="1"/>
  <c r="M6019" i="116"/>
  <c r="O6019" i="116" s="1"/>
  <c r="M6027" i="116"/>
  <c r="O6027" i="116" s="1"/>
  <c r="M6035" i="116"/>
  <c r="O6035" i="116" s="1"/>
  <c r="M6043" i="116"/>
  <c r="O6043" i="116" s="1"/>
  <c r="M6051" i="116"/>
  <c r="O6051" i="116" s="1"/>
  <c r="M6062" i="116"/>
  <c r="O6062" i="116" s="1"/>
  <c r="N6075" i="116"/>
  <c r="O6075" i="116" s="1"/>
  <c r="N6084" i="116"/>
  <c r="O6084" i="116" s="1"/>
  <c r="O6088" i="116"/>
  <c r="N6093" i="116"/>
  <c r="M6093" i="116"/>
  <c r="N6104" i="116"/>
  <c r="O6104" i="116" s="1"/>
  <c r="O6109" i="116"/>
  <c r="O6111" i="116"/>
  <c r="O6123" i="116"/>
  <c r="N6125" i="116"/>
  <c r="M6125" i="116"/>
  <c r="M6159" i="116"/>
  <c r="N6159" i="116"/>
  <c r="N6162" i="116"/>
  <c r="M6162" i="116"/>
  <c r="O6207" i="116"/>
  <c r="N6225" i="116"/>
  <c r="O6225" i="116" s="1"/>
  <c r="N6233" i="116"/>
  <c r="M6233" i="116"/>
  <c r="M6240" i="116"/>
  <c r="N6240" i="116"/>
  <c r="M6248" i="116"/>
  <c r="N6248" i="116"/>
  <c r="N6339" i="116"/>
  <c r="M6339" i="116"/>
  <c r="N6437" i="116"/>
  <c r="M6437" i="116"/>
  <c r="O5907" i="116"/>
  <c r="N5909" i="116"/>
  <c r="M5909" i="116"/>
  <c r="O5939" i="116"/>
  <c r="N5941" i="116"/>
  <c r="M5941" i="116"/>
  <c r="N6069" i="116"/>
  <c r="M6069" i="116"/>
  <c r="O6091" i="116"/>
  <c r="O6107" i="116"/>
  <c r="O6116" i="116"/>
  <c r="O6134" i="116"/>
  <c r="M6143" i="116"/>
  <c r="N6143" i="116"/>
  <c r="N6170" i="116"/>
  <c r="M6170" i="116"/>
  <c r="N6182" i="116"/>
  <c r="M6182" i="116"/>
  <c r="M6223" i="116"/>
  <c r="N6223" i="116"/>
  <c r="N6243" i="116"/>
  <c r="M6243" i="116"/>
  <c r="N6296" i="116"/>
  <c r="M6296" i="116"/>
  <c r="N6418" i="116"/>
  <c r="M6418" i="116"/>
  <c r="N6740" i="116"/>
  <c r="M6740" i="116"/>
  <c r="N6139" i="116"/>
  <c r="M6139" i="116"/>
  <c r="N6226" i="116"/>
  <c r="M6226" i="116"/>
  <c r="N6501" i="116"/>
  <c r="M6501" i="116"/>
  <c r="N6660" i="116"/>
  <c r="M6660" i="116"/>
  <c r="N5917" i="116"/>
  <c r="M5917" i="116"/>
  <c r="N5949" i="116"/>
  <c r="M5949" i="116"/>
  <c r="M6038" i="116"/>
  <c r="O6038" i="116" s="1"/>
  <c r="M6046" i="116"/>
  <c r="O6046" i="116" s="1"/>
  <c r="M6054" i="116"/>
  <c r="O6054" i="116" s="1"/>
  <c r="N6067" i="116"/>
  <c r="O6067" i="116" s="1"/>
  <c r="N6076" i="116"/>
  <c r="O6076" i="116" s="1"/>
  <c r="O6080" i="116"/>
  <c r="N6085" i="116"/>
  <c r="M6085" i="116"/>
  <c r="N6105" i="116"/>
  <c r="O6105" i="116" s="1"/>
  <c r="M6114" i="116"/>
  <c r="O6114" i="116" s="1"/>
  <c r="N6193" i="116"/>
  <c r="O6193" i="116" s="1"/>
  <c r="N6201" i="116"/>
  <c r="M6201" i="116"/>
  <c r="M6208" i="116"/>
  <c r="N6208" i="116"/>
  <c r="M6216" i="116"/>
  <c r="N6216" i="116"/>
  <c r="M6231" i="116"/>
  <c r="N6231" i="116"/>
  <c r="N6246" i="116"/>
  <c r="M6246" i="116"/>
  <c r="N6266" i="116"/>
  <c r="M6266" i="116"/>
  <c r="N6271" i="116"/>
  <c r="M6271" i="116"/>
  <c r="N6463" i="116"/>
  <c r="M6463" i="116"/>
  <c r="N6484" i="116"/>
  <c r="M6484" i="116"/>
  <c r="M5746" i="116"/>
  <c r="O5746" i="116" s="1"/>
  <c r="M5754" i="116"/>
  <c r="O5754" i="116" s="1"/>
  <c r="M5762" i="116"/>
  <c r="O5762" i="116" s="1"/>
  <c r="M5770" i="116"/>
  <c r="O5770" i="116" s="1"/>
  <c r="M5778" i="116"/>
  <c r="O5778" i="116" s="1"/>
  <c r="M5786" i="116"/>
  <c r="O5786" i="116" s="1"/>
  <c r="M5794" i="116"/>
  <c r="O5794" i="116" s="1"/>
  <c r="M5802" i="116"/>
  <c r="O5802" i="116" s="1"/>
  <c r="M5810" i="116"/>
  <c r="O5810" i="116" s="1"/>
  <c r="M5818" i="116"/>
  <c r="O5818" i="116" s="1"/>
  <c r="M5826" i="116"/>
  <c r="O5826" i="116" s="1"/>
  <c r="M5834" i="116"/>
  <c r="O5834" i="116" s="1"/>
  <c r="M5842" i="116"/>
  <c r="O5842" i="116" s="1"/>
  <c r="M5850" i="116"/>
  <c r="O5850" i="116" s="1"/>
  <c r="M5858" i="116"/>
  <c r="O5858" i="116" s="1"/>
  <c r="M5866" i="116"/>
  <c r="O5866" i="116" s="1"/>
  <c r="M5874" i="116"/>
  <c r="O5874" i="116" s="1"/>
  <c r="M5882" i="116"/>
  <c r="O5882" i="116" s="1"/>
  <c r="M5890" i="116"/>
  <c r="O5890" i="116" s="1"/>
  <c r="M5921" i="116"/>
  <c r="O5921" i="116" s="1"/>
  <c r="M5953" i="116"/>
  <c r="O5953" i="116" s="1"/>
  <c r="N5972" i="116"/>
  <c r="O5972" i="116" s="1"/>
  <c r="N5980" i="116"/>
  <c r="O5980" i="116" s="1"/>
  <c r="N5988" i="116"/>
  <c r="O5988" i="116" s="1"/>
  <c r="N5996" i="116"/>
  <c r="O5996" i="116" s="1"/>
  <c r="N6004" i="116"/>
  <c r="O6004" i="116" s="1"/>
  <c r="N6012" i="116"/>
  <c r="O6012" i="116" s="1"/>
  <c r="N6020" i="116"/>
  <c r="O6020" i="116" s="1"/>
  <c r="N6028" i="116"/>
  <c r="O6028" i="116" s="1"/>
  <c r="N6036" i="116"/>
  <c r="O6036" i="116" s="1"/>
  <c r="N6044" i="116"/>
  <c r="O6044" i="116" s="1"/>
  <c r="N6052" i="116"/>
  <c r="O6052" i="116" s="1"/>
  <c r="O6056" i="116"/>
  <c r="N6061" i="116"/>
  <c r="M6061" i="116"/>
  <c r="M6094" i="116"/>
  <c r="O6094" i="116" s="1"/>
  <c r="N6112" i="116"/>
  <c r="O6112" i="116" s="1"/>
  <c r="O6117" i="116"/>
  <c r="M6151" i="116"/>
  <c r="N6151" i="116"/>
  <c r="O6163" i="116"/>
  <c r="M6191" i="116"/>
  <c r="N6191" i="116"/>
  <c r="N6211" i="116"/>
  <c r="M6211" i="116"/>
  <c r="O6224" i="116"/>
  <c r="O6241" i="116"/>
  <c r="O6252" i="116"/>
  <c r="N6399" i="116"/>
  <c r="M6399" i="116"/>
  <c r="N6684" i="116"/>
  <c r="M6684" i="116"/>
  <c r="M5904" i="116"/>
  <c r="O5904" i="116" s="1"/>
  <c r="N5925" i="116"/>
  <c r="M5925" i="116"/>
  <c r="M5936" i="116"/>
  <c r="O5936" i="116" s="1"/>
  <c r="N5957" i="116"/>
  <c r="M5957" i="116"/>
  <c r="M5968" i="116"/>
  <c r="O5968" i="116" s="1"/>
  <c r="M5976" i="116"/>
  <c r="O5976" i="116" s="1"/>
  <c r="M5984" i="116"/>
  <c r="O5984" i="116" s="1"/>
  <c r="M5992" i="116"/>
  <c r="O5992" i="116" s="1"/>
  <c r="M6000" i="116"/>
  <c r="O6000" i="116" s="1"/>
  <c r="M6008" i="116"/>
  <c r="O6008" i="116" s="1"/>
  <c r="M6016" i="116"/>
  <c r="O6016" i="116" s="1"/>
  <c r="M6024" i="116"/>
  <c r="O6024" i="116" s="1"/>
  <c r="M6032" i="116"/>
  <c r="O6032" i="116" s="1"/>
  <c r="M6040" i="116"/>
  <c r="O6040" i="116" s="1"/>
  <c r="M6048" i="116"/>
  <c r="O6048" i="116" s="1"/>
  <c r="O6059" i="116"/>
  <c r="M6070" i="116"/>
  <c r="O6070" i="116" s="1"/>
  <c r="N6083" i="116"/>
  <c r="O6083" i="116" s="1"/>
  <c r="N6092" i="116"/>
  <c r="O6092" i="116" s="1"/>
  <c r="N6101" i="116"/>
  <c r="M6101" i="116"/>
  <c r="O6115" i="116"/>
  <c r="N6158" i="116"/>
  <c r="M6158" i="116"/>
  <c r="N6166" i="116"/>
  <c r="M6166" i="116"/>
  <c r="N6194" i="116"/>
  <c r="M6194" i="116"/>
  <c r="O6239" i="116"/>
  <c r="O6272" i="116"/>
  <c r="N6392" i="116"/>
  <c r="M6392" i="116"/>
  <c r="N6456" i="116"/>
  <c r="M6456" i="116"/>
  <c r="N6077" i="116"/>
  <c r="M6077" i="116"/>
  <c r="O6099" i="116"/>
  <c r="N6106" i="116"/>
  <c r="M6106" i="116"/>
  <c r="N6120" i="116"/>
  <c r="M6120" i="116"/>
  <c r="N6147" i="116"/>
  <c r="M6147" i="116"/>
  <c r="M6176" i="116"/>
  <c r="N6176" i="116"/>
  <c r="M6184" i="116"/>
  <c r="N6184" i="116"/>
  <c r="M6199" i="116"/>
  <c r="N6199" i="116"/>
  <c r="N6214" i="116"/>
  <c r="M6214" i="116"/>
  <c r="N6280" i="116"/>
  <c r="M6280" i="116"/>
  <c r="N6292" i="116"/>
  <c r="M6292" i="116"/>
  <c r="N6436" i="116"/>
  <c r="M6436" i="116"/>
  <c r="N6482" i="116"/>
  <c r="M6482" i="116"/>
  <c r="O6253" i="116"/>
  <c r="O6289" i="116"/>
  <c r="N6312" i="116"/>
  <c r="M6312" i="116"/>
  <c r="O6323" i="116"/>
  <c r="O6336" i="116"/>
  <c r="O6384" i="116"/>
  <c r="O6421" i="116"/>
  <c r="N6424" i="116"/>
  <c r="M6424" i="116"/>
  <c r="N6468" i="116"/>
  <c r="M6468" i="116"/>
  <c r="N6533" i="116"/>
  <c r="M6533" i="116"/>
  <c r="O6576" i="116"/>
  <c r="N6595" i="116"/>
  <c r="M6595" i="116"/>
  <c r="M6693" i="116"/>
  <c r="N6693" i="116"/>
  <c r="N6711" i="116"/>
  <c r="M6711" i="116"/>
  <c r="N6820" i="116"/>
  <c r="M6820" i="116"/>
  <c r="N6267" i="116"/>
  <c r="M6267" i="116"/>
  <c r="N6324" i="116"/>
  <c r="M6324" i="116"/>
  <c r="N6376" i="116"/>
  <c r="M6376" i="116"/>
  <c r="O6387" i="116"/>
  <c r="O6485" i="116"/>
  <c r="N6488" i="116"/>
  <c r="M6488" i="116"/>
  <c r="N6610" i="116"/>
  <c r="M6610" i="116"/>
  <c r="N6639" i="116"/>
  <c r="M6639" i="116"/>
  <c r="N6691" i="116"/>
  <c r="M6691" i="116"/>
  <c r="N6704" i="116"/>
  <c r="M6704" i="116"/>
  <c r="N6135" i="116"/>
  <c r="O6135" i="116" s="1"/>
  <c r="M6154" i="116"/>
  <c r="O6154" i="116" s="1"/>
  <c r="M6186" i="116"/>
  <c r="O6186" i="116" s="1"/>
  <c r="M6203" i="116"/>
  <c r="O6203" i="116" s="1"/>
  <c r="M6218" i="116"/>
  <c r="O6218" i="116" s="1"/>
  <c r="M6235" i="116"/>
  <c r="O6235" i="116" s="1"/>
  <c r="M6250" i="116"/>
  <c r="O6250" i="116" s="1"/>
  <c r="M6258" i="116"/>
  <c r="O6258" i="116" s="1"/>
  <c r="O6262" i="116"/>
  <c r="O6269" i="116"/>
  <c r="M6274" i="116"/>
  <c r="O6274" i="116" s="1"/>
  <c r="N6308" i="116"/>
  <c r="M6308" i="116"/>
  <c r="O6337" i="116"/>
  <c r="N6356" i="116"/>
  <c r="M6356" i="116"/>
  <c r="M6371" i="116"/>
  <c r="O6371" i="116" s="1"/>
  <c r="O6385" i="116"/>
  <c r="N6408" i="116"/>
  <c r="M6408" i="116"/>
  <c r="O6419" i="116"/>
  <c r="O6432" i="116"/>
  <c r="O6446" i="116"/>
  <c r="M6469" i="116"/>
  <c r="O6469" i="116" s="1"/>
  <c r="M6495" i="116"/>
  <c r="O6495" i="116" s="1"/>
  <c r="N6527" i="116"/>
  <c r="M6527" i="116"/>
  <c r="O6557" i="116"/>
  <c r="N6559" i="116"/>
  <c r="M6559" i="116"/>
  <c r="N6616" i="116"/>
  <c r="M6616" i="116"/>
  <c r="N6340" i="116"/>
  <c r="M6340" i="116"/>
  <c r="N6388" i="116"/>
  <c r="M6388" i="116"/>
  <c r="N6440" i="116"/>
  <c r="M6440" i="116"/>
  <c r="N6531" i="116"/>
  <c r="M6531" i="116"/>
  <c r="N6597" i="116"/>
  <c r="M6597" i="116"/>
  <c r="N6275" i="116"/>
  <c r="M6275" i="116"/>
  <c r="N6279" i="116"/>
  <c r="M6279" i="116"/>
  <c r="M6322" i="116"/>
  <c r="O6322" i="116" s="1"/>
  <c r="O6325" i="116"/>
  <c r="N6328" i="116"/>
  <c r="M6328" i="116"/>
  <c r="N6372" i="116"/>
  <c r="M6372" i="116"/>
  <c r="N6420" i="116"/>
  <c r="M6420" i="116"/>
  <c r="M6435" i="116"/>
  <c r="O6435" i="116" s="1"/>
  <c r="N6472" i="116"/>
  <c r="M6472" i="116"/>
  <c r="O6483" i="116"/>
  <c r="M6499" i="116"/>
  <c r="O6499" i="116" s="1"/>
  <c r="N6546" i="116"/>
  <c r="M6546" i="116"/>
  <c r="N6563" i="116"/>
  <c r="M6563" i="116"/>
  <c r="N6653" i="116"/>
  <c r="M6653" i="116"/>
  <c r="N6699" i="116"/>
  <c r="M6699" i="116"/>
  <c r="N6127" i="116"/>
  <c r="O6127" i="116" s="1"/>
  <c r="M6146" i="116"/>
  <c r="O6146" i="116" s="1"/>
  <c r="N6183" i="116"/>
  <c r="O6183" i="116" s="1"/>
  <c r="N6200" i="116"/>
  <c r="O6200" i="116" s="1"/>
  <c r="N6215" i="116"/>
  <c r="O6215" i="116" s="1"/>
  <c r="N6232" i="116"/>
  <c r="O6232" i="116" s="1"/>
  <c r="N6247" i="116"/>
  <c r="O6247" i="116" s="1"/>
  <c r="N6259" i="116"/>
  <c r="M6259" i="116"/>
  <c r="N6263" i="116"/>
  <c r="O6263" i="116" s="1"/>
  <c r="O6277" i="116"/>
  <c r="O6286" i="116"/>
  <c r="O6306" i="116"/>
  <c r="M6309" i="116"/>
  <c r="O6309" i="116" s="1"/>
  <c r="O6314" i="116"/>
  <c r="O6320" i="116"/>
  <c r="M6335" i="116"/>
  <c r="O6335" i="116" s="1"/>
  <c r="M6354" i="116"/>
  <c r="O6354" i="116" s="1"/>
  <c r="O6357" i="116"/>
  <c r="N6360" i="116"/>
  <c r="M6360" i="116"/>
  <c r="N6404" i="116"/>
  <c r="M6404" i="116"/>
  <c r="O6433" i="116"/>
  <c r="N6452" i="116"/>
  <c r="M6452" i="116"/>
  <c r="M6467" i="116"/>
  <c r="O6467" i="116" s="1"/>
  <c r="O6481" i="116"/>
  <c r="N6514" i="116"/>
  <c r="M6514" i="116"/>
  <c r="O6555" i="116"/>
  <c r="N6578" i="116"/>
  <c r="M6578" i="116"/>
  <c r="O6589" i="116"/>
  <c r="N6591" i="116"/>
  <c r="M6591" i="116"/>
  <c r="O6602" i="116"/>
  <c r="N6893" i="116"/>
  <c r="M6893" i="116"/>
  <c r="M7035" i="116"/>
  <c r="N7035" i="116"/>
  <c r="N6516" i="116"/>
  <c r="M6516" i="116"/>
  <c r="N6548" i="116"/>
  <c r="M6548" i="116"/>
  <c r="N6580" i="116"/>
  <c r="M6580" i="116"/>
  <c r="N6612" i="116"/>
  <c r="M6612" i="116"/>
  <c r="O6774" i="116"/>
  <c r="N6784" i="116"/>
  <c r="M6784" i="116"/>
  <c r="N6791" i="116"/>
  <c r="M6791" i="116"/>
  <c r="O6818" i="116"/>
  <c r="N6854" i="116"/>
  <c r="M6854" i="116"/>
  <c r="O6618" i="116"/>
  <c r="N6620" i="116"/>
  <c r="M6620" i="116"/>
  <c r="N6668" i="116"/>
  <c r="M6668" i="116"/>
  <c r="N6678" i="116"/>
  <c r="M6678" i="116"/>
  <c r="O6695" i="116"/>
  <c r="N6736" i="116"/>
  <c r="M6736" i="116"/>
  <c r="N6743" i="116"/>
  <c r="M6743" i="116"/>
  <c r="M6767" i="116"/>
  <c r="O6767" i="116" s="1"/>
  <c r="N6772" i="116"/>
  <c r="M6772" i="116"/>
  <c r="N6830" i="116"/>
  <c r="M6830" i="116"/>
  <c r="N6837" i="116"/>
  <c r="M6837" i="116"/>
  <c r="N6894" i="116"/>
  <c r="M6894" i="116"/>
  <c r="N6929" i="116"/>
  <c r="M6929" i="116"/>
  <c r="N7005" i="116"/>
  <c r="M7005" i="116"/>
  <c r="N6300" i="116"/>
  <c r="M6300" i="116"/>
  <c r="N6332" i="116"/>
  <c r="M6332" i="116"/>
  <c r="N6364" i="116"/>
  <c r="M6364" i="116"/>
  <c r="N6396" i="116"/>
  <c r="M6396" i="116"/>
  <c r="N6428" i="116"/>
  <c r="M6428" i="116"/>
  <c r="N6460" i="116"/>
  <c r="M6460" i="116"/>
  <c r="N6492" i="116"/>
  <c r="M6492" i="116"/>
  <c r="N6524" i="116"/>
  <c r="M6524" i="116"/>
  <c r="N6556" i="116"/>
  <c r="M6556" i="116"/>
  <c r="N6588" i="116"/>
  <c r="M6588" i="116"/>
  <c r="N6628" i="116"/>
  <c r="M6628" i="116"/>
  <c r="N6724" i="116"/>
  <c r="M6724" i="116"/>
  <c r="N6816" i="116"/>
  <c r="M6816" i="116"/>
  <c r="M6855" i="116"/>
  <c r="N6855" i="116"/>
  <c r="N6858" i="116"/>
  <c r="M6858" i="116"/>
  <c r="N6897" i="116"/>
  <c r="M6897" i="116"/>
  <c r="M6496" i="116"/>
  <c r="O6496" i="116" s="1"/>
  <c r="M6528" i="116"/>
  <c r="O6528" i="116" s="1"/>
  <c r="M6560" i="116"/>
  <c r="O6560" i="116" s="1"/>
  <c r="M6592" i="116"/>
  <c r="O6592" i="116" s="1"/>
  <c r="M6613" i="116"/>
  <c r="O6613" i="116" s="1"/>
  <c r="M6634" i="116"/>
  <c r="O6634" i="116" s="1"/>
  <c r="N6636" i="116"/>
  <c r="M6636" i="116"/>
  <c r="M6640" i="116"/>
  <c r="O6640" i="116" s="1"/>
  <c r="M6676" i="116"/>
  <c r="O6676" i="116" s="1"/>
  <c r="M6688" i="116"/>
  <c r="O6688" i="116" s="1"/>
  <c r="N6768" i="116"/>
  <c r="M6768" i="116"/>
  <c r="N6775" i="116"/>
  <c r="M6775" i="116"/>
  <c r="M6799" i="116"/>
  <c r="O6799" i="116" s="1"/>
  <c r="N6804" i="116"/>
  <c r="M6804" i="116"/>
  <c r="M6811" i="116"/>
  <c r="O6811" i="116" s="1"/>
  <c r="N6831" i="116"/>
  <c r="M6831" i="116"/>
  <c r="N6838" i="116"/>
  <c r="M6838" i="116"/>
  <c r="N6861" i="116"/>
  <c r="M6861" i="116"/>
  <c r="N6945" i="116"/>
  <c r="M6945" i="116"/>
  <c r="M6498" i="116"/>
  <c r="O6498" i="116" s="1"/>
  <c r="N6500" i="116"/>
  <c r="M6500" i="116"/>
  <c r="M6511" i="116"/>
  <c r="O6511" i="116" s="1"/>
  <c r="M6515" i="116"/>
  <c r="O6515" i="116" s="1"/>
  <c r="M6517" i="116"/>
  <c r="O6517" i="116" s="1"/>
  <c r="M6530" i="116"/>
  <c r="O6530" i="116" s="1"/>
  <c r="N6532" i="116"/>
  <c r="M6532" i="116"/>
  <c r="M6543" i="116"/>
  <c r="O6543" i="116" s="1"/>
  <c r="M6547" i="116"/>
  <c r="O6547" i="116" s="1"/>
  <c r="M6549" i="116"/>
  <c r="O6549" i="116" s="1"/>
  <c r="N6564" i="116"/>
  <c r="M6564" i="116"/>
  <c r="M6575" i="116"/>
  <c r="O6575" i="116" s="1"/>
  <c r="N6596" i="116"/>
  <c r="M6596" i="116"/>
  <c r="M6607" i="116"/>
  <c r="O6607" i="116" s="1"/>
  <c r="M6621" i="116"/>
  <c r="O6621" i="116" s="1"/>
  <c r="M6642" i="116"/>
  <c r="O6642" i="116" s="1"/>
  <c r="N6644" i="116"/>
  <c r="M6644" i="116"/>
  <c r="M6648" i="116"/>
  <c r="O6648" i="116" s="1"/>
  <c r="M6663" i="116"/>
  <c r="O6663" i="116" s="1"/>
  <c r="M6669" i="116"/>
  <c r="O6669" i="116" s="1"/>
  <c r="M6679" i="116"/>
  <c r="O6679" i="116" s="1"/>
  <c r="N6720" i="116"/>
  <c r="M6720" i="116"/>
  <c r="N6727" i="116"/>
  <c r="M6727" i="116"/>
  <c r="M6751" i="116"/>
  <c r="O6751" i="116" s="1"/>
  <c r="N6756" i="116"/>
  <c r="M6756" i="116"/>
  <c r="M6763" i="116"/>
  <c r="O6763" i="116" s="1"/>
  <c r="M6615" i="116"/>
  <c r="O6615" i="116" s="1"/>
  <c r="N6652" i="116"/>
  <c r="M6652" i="116"/>
  <c r="M6656" i="116"/>
  <c r="O6656" i="116" s="1"/>
  <c r="N6683" i="116"/>
  <c r="M6683" i="116"/>
  <c r="M6703" i="116"/>
  <c r="O6703" i="116" s="1"/>
  <c r="N6708" i="116"/>
  <c r="M6708" i="116"/>
  <c r="M6715" i="116"/>
  <c r="O6715" i="116" s="1"/>
  <c r="N6800" i="116"/>
  <c r="M6800" i="116"/>
  <c r="N6812" i="116"/>
  <c r="M6812" i="116"/>
  <c r="N6284" i="116"/>
  <c r="M6284" i="116"/>
  <c r="M6295" i="116"/>
  <c r="O6295" i="116" s="1"/>
  <c r="N6316" i="116"/>
  <c r="M6316" i="116"/>
  <c r="M6327" i="116"/>
  <c r="O6327" i="116" s="1"/>
  <c r="N6348" i="116"/>
  <c r="M6348" i="116"/>
  <c r="M6359" i="116"/>
  <c r="O6359" i="116" s="1"/>
  <c r="N6380" i="116"/>
  <c r="M6380" i="116"/>
  <c r="M6391" i="116"/>
  <c r="O6391" i="116" s="1"/>
  <c r="N6412" i="116"/>
  <c r="M6412" i="116"/>
  <c r="M6423" i="116"/>
  <c r="O6423" i="116" s="1"/>
  <c r="N6444" i="116"/>
  <c r="M6444" i="116"/>
  <c r="M6455" i="116"/>
  <c r="O6455" i="116" s="1"/>
  <c r="N6476" i="116"/>
  <c r="M6476" i="116"/>
  <c r="M6487" i="116"/>
  <c r="O6487" i="116" s="1"/>
  <c r="N6508" i="116"/>
  <c r="M6508" i="116"/>
  <c r="M6519" i="116"/>
  <c r="O6519" i="116" s="1"/>
  <c r="N6540" i="116"/>
  <c r="M6540" i="116"/>
  <c r="M6551" i="116"/>
  <c r="O6551" i="116" s="1"/>
  <c r="N6572" i="116"/>
  <c r="M6572" i="116"/>
  <c r="M6583" i="116"/>
  <c r="O6583" i="116" s="1"/>
  <c r="N6604" i="116"/>
  <c r="M6604" i="116"/>
  <c r="N6752" i="116"/>
  <c r="M6752" i="116"/>
  <c r="N6759" i="116"/>
  <c r="M6759" i="116"/>
  <c r="M6783" i="116"/>
  <c r="O6783" i="116" s="1"/>
  <c r="N6788" i="116"/>
  <c r="M6788" i="116"/>
  <c r="M6795" i="116"/>
  <c r="O6795" i="116" s="1"/>
  <c r="N6700" i="116"/>
  <c r="M6700" i="116"/>
  <c r="N6716" i="116"/>
  <c r="M6716" i="116"/>
  <c r="N6732" i="116"/>
  <c r="M6732" i="116"/>
  <c r="N6748" i="116"/>
  <c r="M6748" i="116"/>
  <c r="O6750" i="116"/>
  <c r="N6764" i="116"/>
  <c r="M6764" i="116"/>
  <c r="N6780" i="116"/>
  <c r="M6780" i="116"/>
  <c r="N6796" i="116"/>
  <c r="M6796" i="116"/>
  <c r="O6807" i="116"/>
  <c r="N6824" i="116"/>
  <c r="M6824" i="116"/>
  <c r="N6696" i="116"/>
  <c r="M6696" i="116"/>
  <c r="M6839" i="116"/>
  <c r="N6839" i="116"/>
  <c r="O6848" i="116"/>
  <c r="N6862" i="116"/>
  <c r="M6862" i="116"/>
  <c r="M6887" i="116"/>
  <c r="N6887" i="116"/>
  <c r="N6913" i="116"/>
  <c r="M6913" i="116"/>
  <c r="M6993" i="116"/>
  <c r="N6993" i="116"/>
  <c r="N7023" i="116"/>
  <c r="M7023" i="116"/>
  <c r="N6712" i="116"/>
  <c r="M6712" i="116"/>
  <c r="N6728" i="116"/>
  <c r="M6728" i="116"/>
  <c r="N6744" i="116"/>
  <c r="M6744" i="116"/>
  <c r="N6760" i="116"/>
  <c r="M6760" i="116"/>
  <c r="N6776" i="116"/>
  <c r="M6776" i="116"/>
  <c r="N6792" i="116"/>
  <c r="M6792" i="116"/>
  <c r="N6808" i="116"/>
  <c r="M6808" i="116"/>
  <c r="N6853" i="116"/>
  <c r="M6853" i="116"/>
  <c r="N6865" i="116"/>
  <c r="M6865" i="116"/>
  <c r="O6872" i="116"/>
  <c r="N6890" i="116"/>
  <c r="M6890" i="116"/>
  <c r="N7099" i="116"/>
  <c r="M7099" i="116"/>
  <c r="N6910" i="116"/>
  <c r="M6910" i="116"/>
  <c r="N6942" i="116"/>
  <c r="M6942" i="116"/>
  <c r="N6953" i="116"/>
  <c r="M6953" i="116"/>
  <c r="N6969" i="116"/>
  <c r="M6969" i="116"/>
  <c r="N6985" i="116"/>
  <c r="M6985" i="116"/>
  <c r="O6988" i="116"/>
  <c r="N6990" i="116"/>
  <c r="M6990" i="116"/>
  <c r="M7042" i="116"/>
  <c r="O7042" i="116" s="1"/>
  <c r="O7142" i="116"/>
  <c r="N7150" i="116"/>
  <c r="M7150" i="116"/>
  <c r="N6843" i="116"/>
  <c r="O6843" i="116" s="1"/>
  <c r="N6879" i="116"/>
  <c r="O6879" i="116" s="1"/>
  <c r="M6885" i="116"/>
  <c r="O6885" i="116" s="1"/>
  <c r="M6889" i="116"/>
  <c r="O6889" i="116" s="1"/>
  <c r="M6906" i="116"/>
  <c r="O6906" i="116" s="1"/>
  <c r="O6908" i="116"/>
  <c r="N6919" i="116"/>
  <c r="O6919" i="116" s="1"/>
  <c r="O6925" i="116"/>
  <c r="M6938" i="116"/>
  <c r="O6938" i="116" s="1"/>
  <c r="O6940" i="116"/>
  <c r="N6951" i="116"/>
  <c r="O6951" i="116" s="1"/>
  <c r="N6967" i="116"/>
  <c r="O6967" i="116" s="1"/>
  <c r="N6983" i="116"/>
  <c r="O6983" i="116" s="1"/>
  <c r="N7004" i="116"/>
  <c r="M7004" i="116"/>
  <c r="N7009" i="116"/>
  <c r="M7009" i="116"/>
  <c r="M7019" i="116"/>
  <c r="N7019" i="116"/>
  <c r="N7026" i="116"/>
  <c r="O7026" i="116" s="1"/>
  <c r="N7037" i="116"/>
  <c r="M7037" i="116"/>
  <c r="N7095" i="116"/>
  <c r="M7095" i="116"/>
  <c r="N7107" i="116"/>
  <c r="M7107" i="116"/>
  <c r="O6845" i="116"/>
  <c r="O6877" i="116"/>
  <c r="N6902" i="116"/>
  <c r="M6902" i="116"/>
  <c r="N6934" i="116"/>
  <c r="M6934" i="116"/>
  <c r="N6997" i="116"/>
  <c r="M6997" i="116"/>
  <c r="N7007" i="116"/>
  <c r="O7007" i="116" s="1"/>
  <c r="M7067" i="116"/>
  <c r="N7067" i="116"/>
  <c r="N7145" i="116"/>
  <c r="M7145" i="116"/>
  <c r="N6886" i="116"/>
  <c r="M6886" i="116"/>
  <c r="N6926" i="116"/>
  <c r="M6926" i="116"/>
  <c r="N6961" i="116"/>
  <c r="M6961" i="116"/>
  <c r="N6977" i="116"/>
  <c r="M6977" i="116"/>
  <c r="O7038" i="116"/>
  <c r="O7078" i="116"/>
  <c r="N7116" i="116"/>
  <c r="M7116" i="116"/>
  <c r="M6842" i="116"/>
  <c r="O6842" i="116" s="1"/>
  <c r="M6857" i="116"/>
  <c r="O6857" i="116" s="1"/>
  <c r="N6878" i="116"/>
  <c r="M6878" i="116"/>
  <c r="M6882" i="116"/>
  <c r="O6882" i="116" s="1"/>
  <c r="O6884" i="116"/>
  <c r="N6903" i="116"/>
  <c r="O6903" i="116" s="1"/>
  <c r="O6909" i="116"/>
  <c r="M6922" i="116"/>
  <c r="O6922" i="116" s="1"/>
  <c r="O6924" i="116"/>
  <c r="N6935" i="116"/>
  <c r="O6935" i="116" s="1"/>
  <c r="O6941" i="116"/>
  <c r="N6959" i="116"/>
  <c r="O6959" i="116" s="1"/>
  <c r="N6975" i="116"/>
  <c r="O6975" i="116" s="1"/>
  <c r="M6998" i="116"/>
  <c r="O6998" i="116" s="1"/>
  <c r="M7017" i="116"/>
  <c r="O7017" i="116" s="1"/>
  <c r="N7044" i="116"/>
  <c r="M7044" i="116"/>
  <c r="O7109" i="116"/>
  <c r="O6833" i="116"/>
  <c r="N6870" i="116"/>
  <c r="M6870" i="116"/>
  <c r="O6876" i="116"/>
  <c r="N6918" i="116"/>
  <c r="M6918" i="116"/>
  <c r="N7076" i="116"/>
  <c r="M7076" i="116"/>
  <c r="N7079" i="116"/>
  <c r="M7079" i="116"/>
  <c r="O7106" i="116"/>
  <c r="N7131" i="116"/>
  <c r="M7131" i="116"/>
  <c r="N7052" i="116"/>
  <c r="M7052" i="116"/>
  <c r="O7065" i="116"/>
  <c r="N7083" i="116"/>
  <c r="M7083" i="116"/>
  <c r="O7090" i="116"/>
  <c r="N7100" i="116"/>
  <c r="M7100" i="116"/>
  <c r="O7102" i="116"/>
  <c r="O7121" i="116"/>
  <c r="O7123" i="116"/>
  <c r="N7126" i="116"/>
  <c r="M7126" i="116"/>
  <c r="M7138" i="116"/>
  <c r="N7138" i="116"/>
  <c r="O7180" i="116"/>
  <c r="N7068" i="116"/>
  <c r="M7068" i="116"/>
  <c r="N7084" i="116"/>
  <c r="M7084" i="116"/>
  <c r="O7086" i="116"/>
  <c r="O7105" i="116"/>
  <c r="O7164" i="116"/>
  <c r="M6950" i="116"/>
  <c r="O6950" i="116" s="1"/>
  <c r="M6958" i="116"/>
  <c r="O6958" i="116" s="1"/>
  <c r="M6966" i="116"/>
  <c r="O6966" i="116" s="1"/>
  <c r="M6974" i="116"/>
  <c r="O6974" i="116" s="1"/>
  <c r="M6982" i="116"/>
  <c r="O6982" i="116" s="1"/>
  <c r="M6999" i="116"/>
  <c r="O6999" i="116" s="1"/>
  <c r="N7011" i="116"/>
  <c r="O7011" i="116" s="1"/>
  <c r="M7018" i="116"/>
  <c r="O7018" i="116" s="1"/>
  <c r="M7030" i="116"/>
  <c r="O7030" i="116" s="1"/>
  <c r="M7039" i="116"/>
  <c r="O7039" i="116" s="1"/>
  <c r="N7059" i="116"/>
  <c r="O7059" i="116" s="1"/>
  <c r="N7091" i="116"/>
  <c r="M7091" i="116"/>
  <c r="N7108" i="116"/>
  <c r="M7108" i="116"/>
  <c r="N6987" i="116"/>
  <c r="O6987" i="116" s="1"/>
  <c r="M7006" i="116"/>
  <c r="O7006" i="116" s="1"/>
  <c r="M7013" i="116"/>
  <c r="O7013" i="116" s="1"/>
  <c r="M7020" i="116"/>
  <c r="O7020" i="116" s="1"/>
  <c r="M7025" i="116"/>
  <c r="O7025" i="116" s="1"/>
  <c r="N7041" i="116"/>
  <c r="O7041" i="116" s="1"/>
  <c r="N7043" i="116"/>
  <c r="O7043" i="116" s="1"/>
  <c r="M7045" i="116"/>
  <c r="O7045" i="116" s="1"/>
  <c r="N7053" i="116"/>
  <c r="O7053" i="116" s="1"/>
  <c r="M7055" i="116"/>
  <c r="O7055" i="116" s="1"/>
  <c r="O7066" i="116"/>
  <c r="O7075" i="116"/>
  <c r="O7089" i="116"/>
  <c r="N7115" i="116"/>
  <c r="M7115" i="116"/>
  <c r="O7129" i="116"/>
  <c r="M7136" i="116"/>
  <c r="O7136" i="116" s="1"/>
  <c r="N7165" i="116"/>
  <c r="M7165" i="116"/>
  <c r="O7001" i="116"/>
  <c r="O7047" i="116"/>
  <c r="O7049" i="116"/>
  <c r="O7051" i="116"/>
  <c r="N7060" i="116"/>
  <c r="M7060" i="116"/>
  <c r="O7073" i="116"/>
  <c r="O7082" i="116"/>
  <c r="N7092" i="116"/>
  <c r="M7092" i="116"/>
  <c r="O7113" i="116"/>
  <c r="N7269" i="116"/>
  <c r="M7269" i="116"/>
  <c r="N7339" i="116"/>
  <c r="M7339" i="116"/>
  <c r="N7342" i="116"/>
  <c r="M7342" i="116"/>
  <c r="N7355" i="116"/>
  <c r="M7355" i="116"/>
  <c r="N7358" i="116"/>
  <c r="M7358" i="116"/>
  <c r="N7371" i="116"/>
  <c r="M7371" i="116"/>
  <c r="N7374" i="116"/>
  <c r="M7374" i="116"/>
  <c r="N7387" i="116"/>
  <c r="M7387" i="116"/>
  <c r="N7390" i="116"/>
  <c r="M7390" i="116"/>
  <c r="N7403" i="116"/>
  <c r="M7403" i="116"/>
  <c r="N7406" i="116"/>
  <c r="M7406" i="116"/>
  <c r="M7209" i="116"/>
  <c r="O7209" i="116" s="1"/>
  <c r="M7220" i="116"/>
  <c r="O7220" i="116" s="1"/>
  <c r="N7229" i="116"/>
  <c r="M7229" i="116"/>
  <c r="N7238" i="116"/>
  <c r="M7238" i="116"/>
  <c r="M7254" i="116"/>
  <c r="O7254" i="116" s="1"/>
  <c r="N7277" i="116"/>
  <c r="M7277" i="116"/>
  <c r="O7284" i="116"/>
  <c r="M7289" i="116"/>
  <c r="O7289" i="116" s="1"/>
  <c r="N7291" i="116"/>
  <c r="O7291" i="116" s="1"/>
  <c r="N7419" i="116"/>
  <c r="M7419" i="116"/>
  <c r="O7452" i="116"/>
  <c r="O7485" i="116"/>
  <c r="N7214" i="116"/>
  <c r="M7214" i="116"/>
  <c r="N7307" i="116"/>
  <c r="M7307" i="116"/>
  <c r="O7493" i="116"/>
  <c r="O7499" i="116"/>
  <c r="M7133" i="116"/>
  <c r="O7133" i="116" s="1"/>
  <c r="M7158" i="116"/>
  <c r="O7158" i="116" s="1"/>
  <c r="M7173" i="116"/>
  <c r="O7173" i="116" s="1"/>
  <c r="M7189" i="116"/>
  <c r="O7189" i="116" s="1"/>
  <c r="M7193" i="116"/>
  <c r="O7193" i="116" s="1"/>
  <c r="O7216" i="116"/>
  <c r="M7225" i="116"/>
  <c r="O7225" i="116" s="1"/>
  <c r="M7241" i="116"/>
  <c r="O7241" i="116" s="1"/>
  <c r="O7267" i="116"/>
  <c r="N7285" i="116"/>
  <c r="M7285" i="116"/>
  <c r="N7301" i="116"/>
  <c r="M7301" i="116"/>
  <c r="O7312" i="116"/>
  <c r="M7337" i="116"/>
  <c r="O7337" i="116" s="1"/>
  <c r="M7353" i="116"/>
  <c r="O7353" i="116" s="1"/>
  <c r="M7369" i="116"/>
  <c r="O7369" i="116" s="1"/>
  <c r="M7385" i="116"/>
  <c r="O7385" i="116" s="1"/>
  <c r="M7401" i="116"/>
  <c r="O7401" i="116" s="1"/>
  <c r="N7417" i="116"/>
  <c r="M7417" i="116"/>
  <c r="O7177" i="116"/>
  <c r="O7212" i="116"/>
  <c r="N7221" i="116"/>
  <c r="M7221" i="116"/>
  <c r="N7230" i="116"/>
  <c r="M7230" i="116"/>
  <c r="N7246" i="116"/>
  <c r="M7246" i="116"/>
  <c r="O7265" i="116"/>
  <c r="O7297" i="116"/>
  <c r="N7130" i="116"/>
  <c r="O7130" i="116" s="1"/>
  <c r="M7137" i="116"/>
  <c r="O7137" i="116" s="1"/>
  <c r="M7149" i="116"/>
  <c r="O7149" i="116" s="1"/>
  <c r="M7166" i="116"/>
  <c r="O7166" i="116" s="1"/>
  <c r="N7198" i="116"/>
  <c r="M7198" i="116"/>
  <c r="N7202" i="116"/>
  <c r="O7202" i="116" s="1"/>
  <c r="N7206" i="116"/>
  <c r="M7206" i="116"/>
  <c r="O7219" i="116"/>
  <c r="O7232" i="116"/>
  <c r="O7263" i="116"/>
  <c r="M7273" i="116"/>
  <c r="O7273" i="116" s="1"/>
  <c r="N7275" i="116"/>
  <c r="O7275" i="116" s="1"/>
  <c r="O7295" i="116"/>
  <c r="N7299" i="116"/>
  <c r="O7299" i="116" s="1"/>
  <c r="N7323" i="116"/>
  <c r="M7323" i="116"/>
  <c r="N7435" i="116"/>
  <c r="M7435" i="116"/>
  <c r="O7144" i="116"/>
  <c r="O7153" i="116"/>
  <c r="O7168" i="116"/>
  <c r="N7190" i="116"/>
  <c r="M7190" i="116"/>
  <c r="O7196" i="116"/>
  <c r="O7200" i="116"/>
  <c r="O7204" i="116"/>
  <c r="O7228" i="116"/>
  <c r="O7244" i="116"/>
  <c r="O7271" i="116"/>
  <c r="N7293" i="116"/>
  <c r="M7293" i="116"/>
  <c r="N7182" i="116"/>
  <c r="M7182" i="116"/>
  <c r="O7188" i="116"/>
  <c r="O7192" i="116"/>
  <c r="N7213" i="116"/>
  <c r="M7213" i="116"/>
  <c r="N7222" i="116"/>
  <c r="M7222" i="116"/>
  <c r="N7256" i="116"/>
  <c r="M7256" i="116"/>
  <c r="N7261" i="116"/>
  <c r="M7261" i="116"/>
  <c r="O7279" i="116"/>
  <c r="O7321" i="116"/>
  <c r="O7344" i="116"/>
  <c r="O7360" i="116"/>
  <c r="O7376" i="116"/>
  <c r="O7392" i="116"/>
  <c r="O7408" i="116"/>
  <c r="O7460" i="116"/>
  <c r="N7315" i="116"/>
  <c r="M7315" i="116"/>
  <c r="N7331" i="116"/>
  <c r="M7331" i="116"/>
  <c r="M7240" i="116"/>
  <c r="O7240" i="116" s="1"/>
  <c r="M7248" i="116"/>
  <c r="O7248" i="116" s="1"/>
  <c r="N7253" i="116"/>
  <c r="O7253" i="116" s="1"/>
  <c r="M7260" i="116"/>
  <c r="O7260" i="116" s="1"/>
  <c r="M7262" i="116"/>
  <c r="O7262" i="116" s="1"/>
  <c r="M7268" i="116"/>
  <c r="O7268" i="116" s="1"/>
  <c r="M7270" i="116"/>
  <c r="O7270" i="116" s="1"/>
  <c r="M7276" i="116"/>
  <c r="O7276" i="116" s="1"/>
  <c r="M7278" i="116"/>
  <c r="O7278" i="116" s="1"/>
  <c r="O7313" i="116"/>
  <c r="O7329" i="116"/>
  <c r="N7347" i="116"/>
  <c r="M7347" i="116"/>
  <c r="N7363" i="116"/>
  <c r="M7363" i="116"/>
  <c r="N7379" i="116"/>
  <c r="M7379" i="116"/>
  <c r="N7395" i="116"/>
  <c r="M7395" i="116"/>
  <c r="N7411" i="116"/>
  <c r="M7411" i="116"/>
  <c r="O7476" i="116"/>
  <c r="O7500" i="116"/>
  <c r="M7237" i="116"/>
  <c r="O7237" i="116" s="1"/>
  <c r="M7245" i="116"/>
  <c r="O7245" i="116" s="1"/>
  <c r="M7255" i="116"/>
  <c r="O7255" i="116" s="1"/>
  <c r="O7264" i="116"/>
  <c r="O7272" i="116"/>
  <c r="O7280" i="116"/>
  <c r="O7288" i="116"/>
  <c r="O7296" i="116"/>
  <c r="M7318" i="116"/>
  <c r="O7318" i="116" s="1"/>
  <c r="O7320" i="116"/>
  <c r="M7334" i="116"/>
  <c r="O7334" i="116" s="1"/>
  <c r="M7345" i="116"/>
  <c r="O7345" i="116" s="1"/>
  <c r="M7361" i="116"/>
  <c r="O7361" i="116" s="1"/>
  <c r="M7377" i="116"/>
  <c r="O7377" i="116" s="1"/>
  <c r="M7393" i="116"/>
  <c r="O7393" i="116" s="1"/>
  <c r="M7409" i="116"/>
  <c r="O7409" i="116" s="1"/>
  <c r="N7427" i="116"/>
  <c r="M7427" i="116"/>
  <c r="N7443" i="116"/>
  <c r="M7443" i="116"/>
  <c r="N7446" i="116"/>
  <c r="M7446" i="116"/>
  <c r="N7454" i="116"/>
  <c r="M7454" i="116"/>
  <c r="O7461" i="116"/>
  <c r="M7350" i="116"/>
  <c r="O7350" i="116" s="1"/>
  <c r="O7352" i="116"/>
  <c r="M7366" i="116"/>
  <c r="O7366" i="116" s="1"/>
  <c r="O7368" i="116"/>
  <c r="M7382" i="116"/>
  <c r="O7382" i="116" s="1"/>
  <c r="O7384" i="116"/>
  <c r="M7398" i="116"/>
  <c r="O7398" i="116" s="1"/>
  <c r="O7400" i="116"/>
  <c r="M7414" i="116"/>
  <c r="O7414" i="116" s="1"/>
  <c r="O7469" i="116"/>
  <c r="O7492" i="116"/>
  <c r="M7457" i="116"/>
  <c r="O7457" i="116" s="1"/>
  <c r="M7465" i="116"/>
  <c r="O7465" i="116" s="1"/>
  <c r="M7473" i="116"/>
  <c r="O7473" i="116" s="1"/>
  <c r="M7481" i="116"/>
  <c r="O7481" i="116" s="1"/>
  <c r="M7489" i="116"/>
  <c r="O7489" i="116" s="1"/>
  <c r="M7497" i="116"/>
  <c r="O7497" i="116" s="1"/>
  <c r="M7451" i="116"/>
  <c r="O7451" i="116" s="1"/>
  <c r="M7496" i="116"/>
  <c r="O7496" i="116" s="1"/>
  <c r="M7309" i="116"/>
  <c r="O7309" i="116" s="1"/>
  <c r="M7317" i="116"/>
  <c r="O7317" i="116" s="1"/>
  <c r="M7325" i="116"/>
  <c r="O7325" i="116" s="1"/>
  <c r="M7333" i="116"/>
  <c r="O7333" i="116" s="1"/>
  <c r="M7341" i="116"/>
  <c r="O7341" i="116" s="1"/>
  <c r="M7349" i="116"/>
  <c r="O7349" i="116" s="1"/>
  <c r="M7357" i="116"/>
  <c r="O7357" i="116" s="1"/>
  <c r="M7365" i="116"/>
  <c r="O7365" i="116" s="1"/>
  <c r="M7373" i="116"/>
  <c r="O7373" i="116" s="1"/>
  <c r="M7381" i="116"/>
  <c r="O7381" i="116" s="1"/>
  <c r="M7389" i="116"/>
  <c r="O7389" i="116" s="1"/>
  <c r="M7397" i="116"/>
  <c r="O7397" i="116" s="1"/>
  <c r="M7405" i="116"/>
  <c r="O7405" i="116" s="1"/>
  <c r="M7413" i="116"/>
  <c r="O7413" i="116" s="1"/>
  <c r="M7421" i="116"/>
  <c r="O7421" i="116" s="1"/>
  <c r="M7429" i="116"/>
  <c r="O7429" i="116" s="1"/>
  <c r="M7437" i="116"/>
  <c r="O7437" i="116" s="1"/>
  <c r="M7445" i="116"/>
  <c r="O7445" i="116" s="1"/>
  <c r="M7453" i="116"/>
  <c r="O7453" i="116" s="1"/>
  <c r="M7501" i="116"/>
  <c r="O7501" i="116" s="1"/>
  <c r="M7426" i="116"/>
  <c r="O7426" i="116" s="1"/>
  <c r="M7434" i="116"/>
  <c r="O7434" i="116" s="1"/>
  <c r="M7442" i="116"/>
  <c r="O7442" i="116" s="1"/>
  <c r="M7450" i="116"/>
  <c r="O7450" i="116" s="1"/>
  <c r="M7458" i="116"/>
  <c r="O7458" i="116" s="1"/>
  <c r="M7466" i="116"/>
  <c r="O7466" i="116" s="1"/>
  <c r="M7474" i="116"/>
  <c r="O7474" i="116" s="1"/>
  <c r="M7482" i="116"/>
  <c r="O7482" i="116" s="1"/>
  <c r="M7490" i="116"/>
  <c r="O7490" i="116" s="1"/>
  <c r="M7498" i="116"/>
  <c r="O7498" i="116" s="1"/>
  <c r="O4967" i="116"/>
  <c r="O4962" i="116"/>
  <c r="O4948" i="116"/>
  <c r="O4940" i="116"/>
  <c r="O4892" i="116"/>
  <c r="O4867" i="116"/>
  <c r="O4815" i="116"/>
  <c r="O4799" i="116"/>
  <c r="O4791" i="116"/>
  <c r="O4776" i="116"/>
  <c r="O4772" i="116"/>
  <c r="O4764" i="116"/>
  <c r="O4959" i="116"/>
  <c r="O4913" i="116"/>
  <c r="O4900" i="116"/>
  <c r="O4895" i="116"/>
  <c r="O4882" i="116"/>
  <c r="O4760" i="116"/>
  <c r="O4887" i="116"/>
  <c r="O4992" i="116"/>
  <c r="O4938" i="116"/>
  <c r="O4908" i="116"/>
  <c r="O4850" i="116"/>
  <c r="O4842" i="116"/>
  <c r="O4826" i="116"/>
  <c r="O4818" i="116"/>
  <c r="O4810" i="116"/>
  <c r="O4794" i="116"/>
  <c r="O4786" i="116"/>
  <c r="N4975" i="116"/>
  <c r="O4975" i="116" s="1"/>
  <c r="O4970" i="116"/>
  <c r="O4964" i="116"/>
  <c r="O4958" i="116"/>
  <c r="N4951" i="116"/>
  <c r="O4951" i="116" s="1"/>
  <c r="O4881" i="116"/>
  <c r="O4876" i="116"/>
  <c r="O4805" i="116"/>
  <c r="O4781" i="116"/>
  <c r="O4963" i="116"/>
  <c r="O4926" i="116"/>
  <c r="O4868" i="116"/>
  <c r="O4836" i="116"/>
  <c r="O4812" i="116"/>
  <c r="O4780" i="116"/>
  <c r="O4777" i="116"/>
  <c r="O4754" i="116"/>
  <c r="M5001" i="116"/>
  <c r="O5001" i="116" s="1"/>
  <c r="N4985" i="116"/>
  <c r="O4985" i="116" s="1"/>
  <c r="N4981" i="116"/>
  <c r="O4981" i="116" s="1"/>
  <c r="N4977" i="116"/>
  <c r="O4977" i="116" s="1"/>
  <c r="M4943" i="116"/>
  <c r="O4943" i="116" s="1"/>
  <c r="N4939" i="116"/>
  <c r="O4939" i="116" s="1"/>
  <c r="M4935" i="116"/>
  <c r="O4935" i="116" s="1"/>
  <c r="M4931" i="116"/>
  <c r="O4931" i="116" s="1"/>
  <c r="N4927" i="116"/>
  <c r="O4927" i="116" s="1"/>
  <c r="N4919" i="116"/>
  <c r="O4919" i="116" s="1"/>
  <c r="N4915" i="116"/>
  <c r="O4915" i="116" s="1"/>
  <c r="O4883" i="116"/>
  <c r="M4991" i="116"/>
  <c r="O4991" i="116" s="1"/>
  <c r="O4997" i="116"/>
  <c r="N4973" i="116"/>
  <c r="O4973" i="116" s="1"/>
  <c r="N4969" i="116"/>
  <c r="O4969" i="116" s="1"/>
  <c r="N4965" i="116"/>
  <c r="O4965" i="116" s="1"/>
  <c r="N4961" i="116"/>
  <c r="O4961" i="116" s="1"/>
  <c r="O4954" i="116"/>
  <c r="O4946" i="116"/>
  <c r="O4942" i="116"/>
  <c r="O4930" i="116"/>
  <c r="N4923" i="116"/>
  <c r="O4923" i="116" s="1"/>
  <c r="O4897" i="116"/>
  <c r="O4893" i="116"/>
  <c r="O4865" i="116"/>
  <c r="O4861" i="116"/>
  <c r="O4857" i="116"/>
  <c r="O4853" i="116"/>
  <c r="O4838" i="116"/>
  <c r="O4824" i="116"/>
  <c r="O4820" i="116"/>
  <c r="O4804" i="116"/>
  <c r="O4796" i="116"/>
  <c r="O4773" i="116"/>
  <c r="O4756" i="116"/>
  <c r="N4989" i="116"/>
  <c r="O4989" i="116" s="1"/>
  <c r="N4957" i="116"/>
  <c r="O4957" i="116" s="1"/>
  <c r="N4953" i="116"/>
  <c r="O4953" i="116" s="1"/>
  <c r="N4949" i="116"/>
  <c r="O4949" i="116" s="1"/>
  <c r="N4945" i="116"/>
  <c r="O4945" i="116" s="1"/>
  <c r="O4971" i="116"/>
  <c r="N4993" i="116"/>
  <c r="O4993" i="116" s="1"/>
  <c r="O4980" i="116"/>
  <c r="N4941" i="116"/>
  <c r="O4941" i="116" s="1"/>
  <c r="N4937" i="116"/>
  <c r="O4937" i="116" s="1"/>
  <c r="N4933" i="116"/>
  <c r="O4933" i="116" s="1"/>
  <c r="N4929" i="116"/>
  <c r="O4929" i="116" s="1"/>
  <c r="O4910" i="116"/>
  <c r="N4899" i="116"/>
  <c r="O4899" i="116" s="1"/>
  <c r="O4878" i="116"/>
  <c r="O4871" i="116"/>
  <c r="O4860" i="116"/>
  <c r="O4837" i="116"/>
  <c r="O4819" i="116"/>
  <c r="O4811" i="116"/>
  <c r="O4803" i="116"/>
  <c r="O4783" i="116"/>
  <c r="O4758" i="116"/>
  <c r="M4955" i="116"/>
  <c r="O4955" i="116" s="1"/>
  <c r="N4983" i="116"/>
  <c r="O4983" i="116" s="1"/>
  <c r="N4979" i="116"/>
  <c r="O4979" i="116" s="1"/>
  <c r="N4925" i="116"/>
  <c r="O4925" i="116" s="1"/>
  <c r="O4917" i="116"/>
  <c r="O4906" i="116"/>
  <c r="O4874" i="116"/>
  <c r="O4863" i="116"/>
  <c r="O4855" i="116"/>
  <c r="O4844" i="116"/>
  <c r="O4802" i="116"/>
  <c r="O4798" i="116"/>
  <c r="O4909" i="116"/>
  <c r="O4877" i="116"/>
  <c r="O4847" i="116"/>
  <c r="O4782" i="116"/>
  <c r="O4986" i="116"/>
  <c r="O4982" i="116"/>
  <c r="O4978" i="116"/>
  <c r="O4916" i="116"/>
  <c r="O4894" i="116"/>
  <c r="O4858" i="116"/>
  <c r="O4846" i="116"/>
  <c r="O4821" i="116"/>
  <c r="O4813" i="116"/>
  <c r="O4809" i="116"/>
  <c r="O4801" i="116"/>
  <c r="O4797" i="116"/>
  <c r="O4793" i="116"/>
  <c r="O4789" i="116"/>
  <c r="O4774" i="116"/>
  <c r="N4995" i="116"/>
  <c r="O4995" i="116" s="1"/>
  <c r="O4966" i="116"/>
  <c r="O4950" i="116"/>
  <c r="O4934" i="116"/>
  <c r="O4918" i="116"/>
  <c r="O4902" i="116"/>
  <c r="O4886" i="116"/>
  <c r="O4870" i="116"/>
  <c r="O4827" i="116"/>
  <c r="O4823" i="116"/>
  <c r="O4817" i="116"/>
  <c r="O4806" i="116"/>
  <c r="O4763" i="116"/>
  <c r="O4759" i="116"/>
  <c r="O4753" i="116"/>
  <c r="O4921" i="116"/>
  <c r="O4905" i="116"/>
  <c r="O4889" i="116"/>
  <c r="O4873" i="116"/>
  <c r="O4843" i="116"/>
  <c r="O4839" i="116"/>
  <c r="O4833" i="116"/>
  <c r="O4822" i="116"/>
  <c r="O4779" i="116"/>
  <c r="O4775" i="116"/>
  <c r="O4769" i="116"/>
  <c r="O4755" i="116"/>
  <c r="N4999" i="116"/>
  <c r="O4999" i="116" s="1"/>
  <c r="N4987" i="116"/>
  <c r="O4987" i="116" s="1"/>
  <c r="O4859" i="116"/>
  <c r="O4849" i="116"/>
  <c r="O4795" i="116"/>
  <c r="O4785" i="116"/>
  <c r="O4974" i="116"/>
  <c r="O4907" i="116"/>
  <c r="O4891" i="116"/>
  <c r="O4875" i="116"/>
  <c r="O4835" i="116"/>
  <c r="O4831" i="116"/>
  <c r="O4825" i="116"/>
  <c r="O4814" i="116"/>
  <c r="O4771" i="116"/>
  <c r="O4767" i="116"/>
  <c r="O4761" i="116"/>
  <c r="O4854" i="116"/>
  <c r="O4807" i="116"/>
  <c r="O4790" i="116"/>
  <c r="O4730" i="116"/>
  <c r="M4737" i="116"/>
  <c r="O4737" i="116" s="1"/>
  <c r="O4713" i="116"/>
  <c r="N4671" i="116"/>
  <c r="O4671" i="116" s="1"/>
  <c r="M4739" i="116"/>
  <c r="O4739" i="116" s="1"/>
  <c r="O4678" i="116"/>
  <c r="N4729" i="116"/>
  <c r="O4729" i="116" s="1"/>
  <c r="M4749" i="116"/>
  <c r="O4749" i="116" s="1"/>
  <c r="M4705" i="116"/>
  <c r="O4705" i="116" s="1"/>
  <c r="O4719" i="116"/>
  <c r="N4653" i="116"/>
  <c r="O4653" i="116" s="1"/>
  <c r="O4746" i="116"/>
  <c r="N4723" i="116"/>
  <c r="O4723" i="116" s="1"/>
  <c r="O4659" i="116"/>
  <c r="O4716" i="116"/>
  <c r="M4740" i="116"/>
  <c r="O4740" i="116" s="1"/>
  <c r="M4736" i="116"/>
  <c r="O4736" i="116" s="1"/>
  <c r="N4708" i="116"/>
  <c r="O4708" i="116" s="1"/>
  <c r="N4700" i="116"/>
  <c r="O4700" i="116" s="1"/>
  <c r="N4696" i="116"/>
  <c r="O4696" i="116" s="1"/>
  <c r="N4692" i="116"/>
  <c r="O4692" i="116" s="1"/>
  <c r="M4688" i="116"/>
  <c r="O4688" i="116" s="1"/>
  <c r="M4680" i="116"/>
  <c r="O4680" i="116" s="1"/>
  <c r="N4676" i="116"/>
  <c r="O4676" i="116" s="1"/>
  <c r="N4672" i="116"/>
  <c r="O4672" i="116" s="1"/>
  <c r="N4668" i="116"/>
  <c r="O4668" i="116" s="1"/>
  <c r="M4664" i="116"/>
  <c r="O4664" i="116" s="1"/>
  <c r="M4660" i="116"/>
  <c r="O4660" i="116" s="1"/>
  <c r="M4656" i="116"/>
  <c r="O4656" i="116" s="1"/>
  <c r="N4652" i="116"/>
  <c r="O4652" i="116" s="1"/>
  <c r="N4745" i="116"/>
  <c r="O4745" i="116" s="1"/>
  <c r="O4726" i="116"/>
  <c r="O4687" i="116"/>
  <c r="O4683" i="116"/>
  <c r="O4663" i="116"/>
  <c r="O4655" i="116"/>
  <c r="M4733" i="116"/>
  <c r="O4733" i="116" s="1"/>
  <c r="M4689" i="116"/>
  <c r="O4689" i="116" s="1"/>
  <c r="N4725" i="116"/>
  <c r="O4725" i="116" s="1"/>
  <c r="N4720" i="116"/>
  <c r="O4720" i="116" s="1"/>
  <c r="O4707" i="116"/>
  <c r="N4673" i="116"/>
  <c r="O4673" i="116" s="1"/>
  <c r="N4748" i="116"/>
  <c r="O4748" i="116" s="1"/>
  <c r="O4658" i="116"/>
  <c r="M4665" i="116"/>
  <c r="O4665" i="116" s="1"/>
  <c r="N4728" i="116"/>
  <c r="O4728" i="116" s="1"/>
  <c r="N4724" i="116"/>
  <c r="O4724" i="116" s="1"/>
  <c r="O4702" i="116"/>
  <c r="O4690" i="116"/>
  <c r="N4681" i="116"/>
  <c r="O4681" i="116" s="1"/>
  <c r="O4666" i="116"/>
  <c r="M4661" i="116"/>
  <c r="O4661" i="116" s="1"/>
  <c r="N4657" i="116"/>
  <c r="O4657" i="116" s="1"/>
  <c r="N4732" i="116"/>
  <c r="O4732" i="116" s="1"/>
  <c r="N4693" i="116"/>
  <c r="O4693" i="116" s="1"/>
  <c r="N4684" i="116"/>
  <c r="O4684" i="116" s="1"/>
  <c r="N4677" i="116"/>
  <c r="O4677" i="116" s="1"/>
  <c r="N4669" i="116"/>
  <c r="O4669" i="116" s="1"/>
  <c r="O4712" i="116"/>
  <c r="O4718" i="116"/>
  <c r="O4714" i="116"/>
  <c r="N4701" i="116"/>
  <c r="O4701" i="116" s="1"/>
  <c r="O4715" i="116"/>
  <c r="O4691" i="116"/>
  <c r="N4741" i="116"/>
  <c r="O4741" i="116" s="1"/>
  <c r="N4721" i="116"/>
  <c r="O4721" i="116" s="1"/>
  <c r="O4667" i="116"/>
  <c r="O4731" i="116"/>
  <c r="O4727" i="116"/>
  <c r="N4717" i="116"/>
  <c r="O4717" i="116" s="1"/>
  <c r="O4710" i="116"/>
  <c r="O4686" i="116"/>
  <c r="O4750" i="116"/>
  <c r="O4703" i="116"/>
  <c r="O4697" i="116"/>
  <c r="O4679" i="116"/>
  <c r="O4662" i="116"/>
  <c r="O4747" i="116"/>
  <c r="O4743" i="116"/>
  <c r="N4709" i="116"/>
  <c r="O4709" i="116" s="1"/>
  <c r="N4685" i="116"/>
  <c r="O4685" i="116" s="1"/>
  <c r="O4742" i="116"/>
  <c r="O4699" i="116"/>
  <c r="O4695" i="116"/>
  <c r="O4675" i="116"/>
  <c r="O4654" i="116"/>
  <c r="O4976" i="116"/>
  <c r="O4960" i="116"/>
  <c r="O4944" i="116"/>
  <c r="O4928" i="116"/>
  <c r="O4912" i="116"/>
  <c r="O4896" i="116"/>
  <c r="O4880" i="116"/>
  <c r="O4864" i="116"/>
  <c r="O4800" i="116"/>
  <c r="O5000" i="116"/>
  <c r="O4816" i="116"/>
  <c r="O4752" i="116"/>
  <c r="O4856" i="116"/>
  <c r="O4792" i="116"/>
  <c r="O4990" i="116"/>
  <c r="O4984" i="116"/>
  <c r="O4968" i="116"/>
  <c r="O4952" i="116"/>
  <c r="O4936" i="116"/>
  <c r="O4920" i="116"/>
  <c r="O4904" i="116"/>
  <c r="O4888" i="116"/>
  <c r="O4872" i="116"/>
  <c r="O4832" i="116"/>
  <c r="O4768" i="116"/>
  <c r="O4704" i="116"/>
  <c r="O4808" i="116"/>
  <c r="O4744" i="116"/>
  <c r="N1956" i="116"/>
  <c r="N1957" i="116"/>
  <c r="M1959" i="116"/>
  <c r="N1960" i="116"/>
  <c r="N1962" i="116"/>
  <c r="M1963" i="116"/>
  <c r="N1965" i="116"/>
  <c r="M1966" i="116"/>
  <c r="N1968" i="116"/>
  <c r="N1969" i="116"/>
  <c r="M1972" i="116"/>
  <c r="M1973" i="116"/>
  <c r="N1976" i="116"/>
  <c r="M1977" i="116"/>
  <c r="N1979" i="116"/>
  <c r="M1980" i="116"/>
  <c r="M1981" i="116"/>
  <c r="N1982" i="116"/>
  <c r="N1983" i="116"/>
  <c r="M1985" i="116"/>
  <c r="N1986" i="116"/>
  <c r="N1988" i="116"/>
  <c r="M1989" i="116"/>
  <c r="M1990" i="116"/>
  <c r="N1991" i="116"/>
  <c r="N1992" i="116"/>
  <c r="M1993" i="116"/>
  <c r="M1994" i="116"/>
  <c r="N1996" i="116"/>
  <c r="M1997" i="116"/>
  <c r="N1998" i="116"/>
  <c r="N2004" i="116"/>
  <c r="M2005" i="116"/>
  <c r="N2103" i="116"/>
  <c r="N2104" i="116"/>
  <c r="N2105" i="116"/>
  <c r="M2107" i="116"/>
  <c r="M2108" i="116"/>
  <c r="N2109" i="116"/>
  <c r="M2110" i="116"/>
  <c r="M2111" i="116"/>
  <c r="M2112" i="116"/>
  <c r="M2113" i="116"/>
  <c r="N2115" i="116"/>
  <c r="M2116" i="116"/>
  <c r="N2117" i="116"/>
  <c r="M2119" i="116"/>
  <c r="N2121" i="116"/>
  <c r="N2123" i="116"/>
  <c r="M2125" i="116"/>
  <c r="N2126" i="116"/>
  <c r="M2127" i="116"/>
  <c r="N2128" i="116"/>
  <c r="N2129" i="116"/>
  <c r="M2131" i="116"/>
  <c r="M2132" i="116"/>
  <c r="N2133" i="116"/>
  <c r="M2134" i="116"/>
  <c r="N2135" i="116"/>
  <c r="N2137" i="116"/>
  <c r="N2139" i="116"/>
  <c r="N2140" i="116"/>
  <c r="N2141" i="116"/>
  <c r="M2142" i="116"/>
  <c r="N2259" i="116"/>
  <c r="N2267" i="116"/>
  <c r="N2273" i="116"/>
  <c r="N2274" i="116"/>
  <c r="N2275" i="116"/>
  <c r="N2276" i="116"/>
  <c r="N2277" i="116"/>
  <c r="N2278" i="116"/>
  <c r="N2279" i="116"/>
  <c r="M2282" i="116"/>
  <c r="M2283" i="116"/>
  <c r="M2285" i="116"/>
  <c r="N2286" i="116"/>
  <c r="N2287" i="116"/>
  <c r="N2288" i="116"/>
  <c r="M2294" i="116"/>
  <c r="M2704" i="116"/>
  <c r="N2705" i="116"/>
  <c r="N2706" i="116"/>
  <c r="N2708" i="116"/>
  <c r="M2709" i="116"/>
  <c r="N2710" i="116"/>
  <c r="M2711" i="116"/>
  <c r="N2712" i="116"/>
  <c r="N2714" i="116"/>
  <c r="N2715" i="116"/>
  <c r="M2716" i="116"/>
  <c r="M2718" i="116"/>
  <c r="M2719" i="116"/>
  <c r="M2721" i="116"/>
  <c r="N2721" i="116"/>
  <c r="N2722" i="116"/>
  <c r="M2724" i="116"/>
  <c r="N2725" i="116"/>
  <c r="N2726" i="116"/>
  <c r="M2729" i="116"/>
  <c r="M2730" i="116"/>
  <c r="N2731" i="116"/>
  <c r="N2733" i="116"/>
  <c r="N2734" i="116"/>
  <c r="M2735" i="116"/>
  <c r="N2736" i="116"/>
  <c r="M2736" i="116"/>
  <c r="N2737" i="116"/>
  <c r="M2738" i="116"/>
  <c r="N2740" i="116"/>
  <c r="M2741" i="116"/>
  <c r="M2742" i="116"/>
  <c r="N2744" i="116"/>
  <c r="N2853" i="116"/>
  <c r="M2854" i="116"/>
  <c r="N2855" i="116"/>
  <c r="N2856" i="116"/>
  <c r="M2857" i="116"/>
  <c r="N2858" i="116"/>
  <c r="N2859" i="116"/>
  <c r="N2860" i="116"/>
  <c r="N2863" i="116"/>
  <c r="M2864" i="116"/>
  <c r="N2866" i="116"/>
  <c r="N2867" i="116"/>
  <c r="N2869" i="116"/>
  <c r="N2870" i="116"/>
  <c r="M2871" i="116"/>
  <c r="N2872" i="116"/>
  <c r="M2873" i="116"/>
  <c r="M2874" i="116"/>
  <c r="M2876" i="116"/>
  <c r="N3003" i="116"/>
  <c r="N3007" i="116"/>
  <c r="M3008" i="116"/>
  <c r="M3009" i="116"/>
  <c r="N3010" i="116"/>
  <c r="N3011" i="116"/>
  <c r="N3012" i="116"/>
  <c r="N3015" i="116"/>
  <c r="M3016" i="116"/>
  <c r="M3017" i="116"/>
  <c r="M3018" i="116"/>
  <c r="M3019" i="116"/>
  <c r="M3021" i="116"/>
  <c r="N3022" i="116"/>
  <c r="M3023" i="116"/>
  <c r="M3024" i="116"/>
  <c r="M3025" i="116"/>
  <c r="N3026" i="116"/>
  <c r="N3031" i="116"/>
  <c r="N3034" i="116"/>
  <c r="M3153" i="116"/>
  <c r="M3155" i="116"/>
  <c r="M3157" i="116"/>
  <c r="M3158" i="116"/>
  <c r="N3159" i="116"/>
  <c r="M3161" i="116"/>
  <c r="N3162" i="116"/>
  <c r="N3163" i="116"/>
  <c r="N3166" i="116"/>
  <c r="M3167" i="116"/>
  <c r="M3169" i="116"/>
  <c r="N3170" i="116"/>
  <c r="N3171" i="116"/>
  <c r="N3173" i="116"/>
  <c r="M3174" i="116"/>
  <c r="N3175" i="116"/>
  <c r="M3177" i="116"/>
  <c r="N3178" i="116"/>
  <c r="M3178" i="116"/>
  <c r="N3179" i="116"/>
  <c r="N3303" i="116"/>
  <c r="N3305" i="116"/>
  <c r="N3306" i="116"/>
  <c r="N3308" i="116"/>
  <c r="N3309" i="116"/>
  <c r="M3311" i="116"/>
  <c r="M3313" i="116"/>
  <c r="N3314" i="116"/>
  <c r="N3315" i="116"/>
  <c r="N3316" i="116"/>
  <c r="N3317" i="116"/>
  <c r="N3318" i="116"/>
  <c r="M3319" i="116"/>
  <c r="N3320" i="116"/>
  <c r="N3321" i="116"/>
  <c r="N3322" i="116"/>
  <c r="M3323" i="116"/>
  <c r="M3324" i="116"/>
  <c r="N3325" i="116"/>
  <c r="N3326" i="116"/>
  <c r="N3327" i="116"/>
  <c r="M3328" i="116"/>
  <c r="M3329" i="116"/>
  <c r="M3903" i="116"/>
  <c r="N3905" i="116"/>
  <c r="N3907" i="116"/>
  <c r="N3908" i="116"/>
  <c r="N3909" i="116"/>
  <c r="N3911" i="116"/>
  <c r="N3913" i="116"/>
  <c r="N3915" i="116"/>
  <c r="N3916" i="116"/>
  <c r="M3917" i="116"/>
  <c r="N3919" i="116"/>
  <c r="M3920" i="116"/>
  <c r="M3921" i="116"/>
  <c r="M3923" i="116"/>
  <c r="N3924" i="116"/>
  <c r="N3925" i="116"/>
  <c r="N3927" i="116"/>
  <c r="N3929" i="116"/>
  <c r="N3931" i="116"/>
  <c r="N3932" i="116"/>
  <c r="M3933" i="116"/>
  <c r="N3936" i="116"/>
  <c r="N3937" i="116"/>
  <c r="N3939" i="116"/>
  <c r="M3941" i="116"/>
  <c r="N3943" i="116"/>
  <c r="N3944" i="116"/>
  <c r="M3945" i="116"/>
  <c r="N3947" i="116"/>
  <c r="N3948" i="116"/>
  <c r="N3949" i="116"/>
  <c r="M3951" i="116"/>
  <c r="N3952" i="116"/>
  <c r="N3953" i="116"/>
  <c r="N3954" i="116"/>
  <c r="M3955" i="116"/>
  <c r="N3956" i="116"/>
  <c r="N3957" i="116"/>
  <c r="M3961" i="116"/>
  <c r="N3965" i="116"/>
  <c r="N4053" i="116"/>
  <c r="N4054" i="116"/>
  <c r="N4056" i="116"/>
  <c r="N4058" i="116"/>
  <c r="N4060" i="116"/>
  <c r="N4062" i="116"/>
  <c r="M4063" i="116"/>
  <c r="M4064" i="116"/>
  <c r="N4066" i="116"/>
  <c r="N4068" i="116"/>
  <c r="M4069" i="116"/>
  <c r="M4070" i="116"/>
  <c r="N4072" i="116"/>
  <c r="M4073" i="116"/>
  <c r="M4074" i="116"/>
  <c r="M4075" i="116"/>
  <c r="N4076" i="116"/>
  <c r="M4077" i="116"/>
  <c r="N4078" i="116"/>
  <c r="N4080" i="116"/>
  <c r="M4081" i="116"/>
  <c r="M4204" i="116"/>
  <c r="N4205" i="116"/>
  <c r="N4206" i="116"/>
  <c r="M4209" i="116"/>
  <c r="N4210" i="116"/>
  <c r="N4213" i="116"/>
  <c r="M4214" i="116"/>
  <c r="N4215" i="116"/>
  <c r="N4217" i="116"/>
  <c r="N4218" i="116"/>
  <c r="N4219" i="116"/>
  <c r="M4221" i="116"/>
  <c r="M4222" i="116"/>
  <c r="N4225" i="116"/>
  <c r="M4226" i="116"/>
  <c r="N4227" i="116"/>
  <c r="N4228" i="116"/>
  <c r="M4229" i="116"/>
  <c r="N4230" i="116"/>
  <c r="M4232" i="116"/>
  <c r="N4233" i="116"/>
  <c r="N4234" i="116"/>
  <c r="M4235" i="116"/>
  <c r="N4237" i="116"/>
  <c r="N4238" i="116"/>
  <c r="N4353" i="116"/>
  <c r="M4354" i="116"/>
  <c r="N4354" i="116"/>
  <c r="M4355" i="116"/>
  <c r="N4355" i="116"/>
  <c r="N4356" i="116"/>
  <c r="M4358" i="116"/>
  <c r="N4358" i="116"/>
  <c r="M4359" i="116"/>
  <c r="N4360" i="116"/>
  <c r="N4362" i="116"/>
  <c r="M4363" i="116"/>
  <c r="N4364" i="116"/>
  <c r="M4365" i="116"/>
  <c r="N4366" i="116"/>
  <c r="M4366" i="116"/>
  <c r="N4367" i="116"/>
  <c r="N4368" i="116"/>
  <c r="N4369" i="116"/>
  <c r="N4370" i="116"/>
  <c r="N4371" i="116"/>
  <c r="N4372" i="116"/>
  <c r="M4373" i="116"/>
  <c r="M4374" i="116"/>
  <c r="N4374" i="116"/>
  <c r="N4375" i="116"/>
  <c r="N4376" i="116"/>
  <c r="N1955" i="116"/>
  <c r="N1963" i="116"/>
  <c r="N1964" i="116"/>
  <c r="N1967" i="116"/>
  <c r="N1971" i="116"/>
  <c r="N1974" i="116"/>
  <c r="N1975" i="116"/>
  <c r="N1978" i="116"/>
  <c r="M1979" i="116"/>
  <c r="M1983" i="116"/>
  <c r="N1984" i="116"/>
  <c r="N1987" i="116"/>
  <c r="N1995" i="116"/>
  <c r="N1999" i="116"/>
  <c r="N2000" i="116"/>
  <c r="M2003" i="116"/>
  <c r="M2004" i="116"/>
  <c r="M2007" i="116"/>
  <c r="N2008" i="116"/>
  <c r="N2011" i="116"/>
  <c r="N2012" i="116"/>
  <c r="N2015" i="116"/>
  <c r="N2016" i="116"/>
  <c r="N2019" i="116"/>
  <c r="M2020" i="116"/>
  <c r="M2023" i="116"/>
  <c r="M2024" i="116"/>
  <c r="N2027" i="116"/>
  <c r="N2028" i="116"/>
  <c r="M2030" i="116"/>
  <c r="N2031" i="116"/>
  <c r="N2032" i="116"/>
  <c r="N2033" i="116"/>
  <c r="N2035" i="116"/>
  <c r="N2036" i="116"/>
  <c r="N2039" i="116"/>
  <c r="N2040" i="116"/>
  <c r="M2043" i="116"/>
  <c r="N2044" i="116"/>
  <c r="M2045" i="116"/>
  <c r="M2047" i="116"/>
  <c r="N2048" i="116"/>
  <c r="N1803" i="116"/>
  <c r="N1805" i="116"/>
  <c r="N1806" i="116"/>
  <c r="N1807" i="116"/>
  <c r="N1809" i="116"/>
  <c r="N1810" i="116"/>
  <c r="N1811" i="116"/>
  <c r="M1813" i="116"/>
  <c r="N1814" i="116"/>
  <c r="N1815" i="116"/>
  <c r="N1818" i="116"/>
  <c r="N1819" i="116"/>
  <c r="N1820" i="116"/>
  <c r="N1821" i="116"/>
  <c r="N1822" i="116"/>
  <c r="N1823" i="116"/>
  <c r="N1826" i="116"/>
  <c r="N1827" i="116"/>
  <c r="N1830" i="116"/>
  <c r="M1831" i="116"/>
  <c r="N1834" i="116"/>
  <c r="N1835" i="116"/>
  <c r="N1838" i="116"/>
  <c r="M1839" i="116"/>
  <c r="N1842" i="116"/>
  <c r="N1843" i="116"/>
  <c r="N1846" i="116"/>
  <c r="N1847" i="116"/>
  <c r="N1849" i="116"/>
  <c r="N1850" i="116"/>
  <c r="M1851" i="116"/>
  <c r="N1853" i="116"/>
  <c r="N1854" i="116"/>
  <c r="N1855" i="116"/>
  <c r="M1857" i="116"/>
  <c r="N1858" i="116"/>
  <c r="N1655" i="116"/>
  <c r="M1656" i="116"/>
  <c r="N1659" i="116"/>
  <c r="N1660" i="116"/>
  <c r="M1663" i="116"/>
  <c r="M1664" i="116"/>
  <c r="M1668" i="116"/>
  <c r="M1669" i="116"/>
  <c r="N1670" i="116"/>
  <c r="N1671" i="116"/>
  <c r="N1672" i="116"/>
  <c r="M1673" i="116"/>
  <c r="N1675" i="116"/>
  <c r="M1676" i="116"/>
  <c r="N1679" i="116"/>
  <c r="M1680" i="116"/>
  <c r="N1682" i="116"/>
  <c r="N1683" i="116"/>
  <c r="M1684" i="116"/>
  <c r="N1685" i="116"/>
  <c r="N1686" i="116"/>
  <c r="N1687" i="116"/>
  <c r="N1688" i="116"/>
  <c r="N1689" i="116"/>
  <c r="N1691" i="116"/>
  <c r="N1692" i="116"/>
  <c r="N1695" i="116"/>
  <c r="M1696" i="116"/>
  <c r="M1698" i="116"/>
  <c r="N1699" i="116"/>
  <c r="N1700" i="116"/>
  <c r="N1701" i="116"/>
  <c r="M1702" i="116"/>
  <c r="M1703" i="116"/>
  <c r="N1704" i="116"/>
  <c r="M1705" i="116"/>
  <c r="N1204" i="116"/>
  <c r="M1205" i="116"/>
  <c r="M1207" i="116"/>
  <c r="N1208" i="116"/>
  <c r="M1209" i="116"/>
  <c r="N1211" i="116"/>
  <c r="N1213" i="116"/>
  <c r="M1215" i="116"/>
  <c r="N1217" i="116"/>
  <c r="N1219" i="116"/>
  <c r="N1220" i="116"/>
  <c r="N1221" i="116"/>
  <c r="M1223" i="116"/>
  <c r="N1224" i="116"/>
  <c r="N1225" i="116"/>
  <c r="N1227" i="116"/>
  <c r="N1228" i="116"/>
  <c r="N1229" i="116"/>
  <c r="N1231" i="116"/>
  <c r="N1232" i="116"/>
  <c r="N1233" i="116"/>
  <c r="M1235" i="116"/>
  <c r="N1236" i="116"/>
  <c r="N1237" i="116"/>
  <c r="M1239" i="116"/>
  <c r="N1241" i="116"/>
  <c r="M1121" i="116"/>
  <c r="M1125" i="116"/>
  <c r="N903" i="116"/>
  <c r="N907" i="116"/>
  <c r="N910" i="116"/>
  <c r="N911" i="116"/>
  <c r="N915" i="116"/>
  <c r="N917" i="116"/>
  <c r="N919" i="116"/>
  <c r="N923" i="116"/>
  <c r="N924" i="116"/>
  <c r="N927" i="116"/>
  <c r="N931" i="116"/>
  <c r="M935" i="116"/>
  <c r="M939" i="116"/>
  <c r="N942" i="116"/>
  <c r="M943" i="116"/>
  <c r="M947" i="116"/>
  <c r="N949" i="116"/>
  <c r="M951" i="116"/>
  <c r="M955" i="116"/>
  <c r="M956" i="116"/>
  <c r="N959" i="116"/>
  <c r="M753" i="116"/>
  <c r="M754" i="116"/>
  <c r="M755" i="116"/>
  <c r="N756" i="116"/>
  <c r="N757" i="116"/>
  <c r="M758" i="116"/>
  <c r="M759" i="116"/>
  <c r="N760" i="116"/>
  <c r="N762" i="116"/>
  <c r="N764" i="116"/>
  <c r="N765" i="116"/>
  <c r="M767" i="116"/>
  <c r="N768" i="116"/>
  <c r="N769" i="116"/>
  <c r="M771" i="116"/>
  <c r="N772" i="116"/>
  <c r="M773" i="116"/>
  <c r="N774" i="116"/>
  <c r="N775" i="116"/>
  <c r="N776" i="116"/>
  <c r="N777" i="116"/>
  <c r="M778" i="116"/>
  <c r="M779" i="116"/>
  <c r="N780" i="116"/>
  <c r="M782" i="116"/>
  <c r="M783" i="116"/>
  <c r="M784" i="116"/>
  <c r="N785" i="116"/>
  <c r="M786" i="116"/>
  <c r="M787" i="116"/>
  <c r="N788" i="116"/>
  <c r="M789" i="116"/>
  <c r="N792" i="116"/>
  <c r="N794" i="116"/>
  <c r="N796" i="116"/>
  <c r="N797" i="116"/>
  <c r="M798" i="116"/>
  <c r="M799" i="116"/>
  <c r="N800" i="116"/>
  <c r="N801" i="116"/>
  <c r="N804" i="116"/>
  <c r="M805" i="116"/>
  <c r="N808" i="116"/>
  <c r="N809" i="116"/>
  <c r="M812" i="116"/>
  <c r="M813" i="116"/>
  <c r="N816" i="116"/>
  <c r="N817" i="116"/>
  <c r="N820" i="116"/>
  <c r="M821" i="116"/>
  <c r="M823" i="116"/>
  <c r="N824" i="116"/>
  <c r="N153" i="116"/>
  <c r="N155" i="116"/>
  <c r="M156" i="116"/>
  <c r="N158" i="116"/>
  <c r="N159" i="116"/>
  <c r="N160" i="116"/>
  <c r="N161" i="116"/>
  <c r="M162" i="116"/>
  <c r="M163" i="116"/>
  <c r="N164" i="116"/>
  <c r="M165" i="116"/>
  <c r="N166" i="116"/>
  <c r="M168" i="116"/>
  <c r="N169" i="116"/>
  <c r="M170" i="116"/>
  <c r="N171" i="116"/>
  <c r="N173" i="116"/>
  <c r="M174" i="116"/>
  <c r="N175" i="116"/>
  <c r="N176" i="116"/>
  <c r="N177" i="116"/>
  <c r="M178" i="116"/>
  <c r="N179" i="116"/>
  <c r="N181" i="116"/>
  <c r="M182" i="116"/>
  <c r="M183" i="116"/>
  <c r="M184" i="116"/>
  <c r="N185" i="116"/>
  <c r="N188" i="116"/>
  <c r="N6" i="116"/>
  <c r="N7" i="116"/>
  <c r="N10" i="116"/>
  <c r="N11" i="116"/>
  <c r="M14" i="116"/>
  <c r="N15" i="116"/>
  <c r="N18" i="116"/>
  <c r="N22" i="116"/>
  <c r="N26" i="116"/>
  <c r="N30" i="116"/>
  <c r="M3910" i="116"/>
  <c r="N3914" i="116"/>
  <c r="N3922" i="116"/>
  <c r="N3926" i="116"/>
  <c r="N3930" i="116"/>
  <c r="M3934" i="116"/>
  <c r="M3938" i="116"/>
  <c r="N3942" i="116"/>
  <c r="N3946" i="116"/>
  <c r="N3950" i="116"/>
  <c r="N3958" i="116"/>
  <c r="N3962" i="116"/>
  <c r="N3966" i="116"/>
  <c r="N3970" i="116"/>
  <c r="N3974" i="116"/>
  <c r="N3982" i="116"/>
  <c r="N3986" i="116"/>
  <c r="N3990" i="116"/>
  <c r="N3994" i="116"/>
  <c r="N3997" i="116"/>
  <c r="M3998" i="116"/>
  <c r="N4006" i="116"/>
  <c r="N4008" i="116"/>
  <c r="N4010" i="116"/>
  <c r="N4018" i="116"/>
  <c r="N4019" i="116"/>
  <c r="N4021" i="116"/>
  <c r="N4022" i="116"/>
  <c r="M4026" i="116"/>
  <c r="N4030" i="116"/>
  <c r="N4032" i="116"/>
  <c r="N4034" i="116"/>
  <c r="M4035" i="116"/>
  <c r="N4039" i="116"/>
  <c r="N4042" i="116"/>
  <c r="M4045" i="116"/>
  <c r="N4046" i="116"/>
  <c r="N4047" i="116"/>
  <c r="M4048" i="116"/>
  <c r="N4049" i="116"/>
  <c r="N4050" i="116"/>
  <c r="N4051" i="116"/>
  <c r="N3903" i="116"/>
  <c r="N3918" i="116"/>
  <c r="N3928" i="116"/>
  <c r="N3934" i="116"/>
  <c r="M3960" i="116"/>
  <c r="M3962" i="116"/>
  <c r="N3964" i="116"/>
  <c r="M3968" i="116"/>
  <c r="N3972" i="116"/>
  <c r="M3976" i="116"/>
  <c r="M3978" i="116"/>
  <c r="N3980" i="116"/>
  <c r="N3984" i="116"/>
  <c r="N3988" i="116"/>
  <c r="N3992" i="116"/>
  <c r="N3996" i="116"/>
  <c r="N4000" i="116"/>
  <c r="N4002" i="116"/>
  <c r="N4004" i="116"/>
  <c r="N4012" i="116"/>
  <c r="N4014" i="116"/>
  <c r="N4016" i="116"/>
  <c r="M4020" i="116"/>
  <c r="N4024" i="116"/>
  <c r="N4028" i="116"/>
  <c r="N4038" i="116"/>
  <c r="M4040" i="116"/>
  <c r="N4044" i="116"/>
  <c r="N4052" i="116"/>
  <c r="N4055" i="116"/>
  <c r="N4061" i="116"/>
  <c r="N4065" i="116"/>
  <c r="M4067" i="116"/>
  <c r="N4069" i="116"/>
  <c r="M4071" i="116"/>
  <c r="M3098" i="116"/>
  <c r="M3104" i="116"/>
  <c r="M3108" i="116"/>
  <c r="M3111" i="116"/>
  <c r="M3114" i="116"/>
  <c r="N3117" i="116"/>
  <c r="N3120" i="116"/>
  <c r="M3123" i="116"/>
  <c r="M3129" i="116"/>
  <c r="M3132" i="116"/>
  <c r="M3135" i="116"/>
  <c r="N3136" i="116"/>
  <c r="N3138" i="116"/>
  <c r="N3139" i="116"/>
  <c r="N3140" i="116"/>
  <c r="M3142" i="116"/>
  <c r="M3144" i="116"/>
  <c r="N3145" i="116"/>
  <c r="N3146" i="116"/>
  <c r="N3149" i="116"/>
  <c r="M3150" i="116"/>
  <c r="N4036" i="116"/>
  <c r="M3988" i="116"/>
  <c r="M3989" i="116"/>
  <c r="N3993" i="116"/>
  <c r="N4001" i="116"/>
  <c r="M4009" i="116"/>
  <c r="M4017" i="116"/>
  <c r="N4025" i="116"/>
  <c r="N4029" i="116"/>
  <c r="N4033" i="116"/>
  <c r="N4041" i="116"/>
  <c r="N4043" i="116"/>
  <c r="N4005" i="116"/>
  <c r="M4013" i="116"/>
  <c r="N4037" i="116"/>
  <c r="N3959" i="116"/>
  <c r="N3963" i="116"/>
  <c r="N3967" i="116"/>
  <c r="N3971" i="116"/>
  <c r="M3975" i="116"/>
  <c r="N3979" i="116"/>
  <c r="N3983" i="116"/>
  <c r="N3987" i="116"/>
  <c r="N3935" i="116"/>
  <c r="M3030" i="116"/>
  <c r="M3033" i="116"/>
  <c r="N3035" i="116"/>
  <c r="M4645" i="116"/>
  <c r="M4637" i="116"/>
  <c r="M4629" i="116"/>
  <c r="M4621" i="116"/>
  <c r="M4613" i="116"/>
  <c r="M4605" i="116"/>
  <c r="M4597" i="116"/>
  <c r="M4589" i="116"/>
  <c r="M4581" i="116"/>
  <c r="M4573" i="116"/>
  <c r="M4568" i="116"/>
  <c r="M4565" i="116"/>
  <c r="M4560" i="116"/>
  <c r="M4557" i="116"/>
  <c r="M4552" i="116"/>
  <c r="M4549" i="116"/>
  <c r="M4544" i="116"/>
  <c r="M4541" i="116"/>
  <c r="M4533" i="116"/>
  <c r="M4525" i="116"/>
  <c r="M4517" i="116"/>
  <c r="M4509" i="116"/>
  <c r="N4501" i="116"/>
  <c r="M4499" i="116"/>
  <c r="M4496" i="116"/>
  <c r="N4493" i="116"/>
  <c r="M4491" i="116"/>
  <c r="M4488" i="116"/>
  <c r="N4485" i="116"/>
  <c r="M4483" i="116"/>
  <c r="M4480" i="116"/>
  <c r="N4477" i="116"/>
  <c r="M4475" i="116"/>
  <c r="M4472" i="116"/>
  <c r="N4469" i="116"/>
  <c r="M4467" i="116"/>
  <c r="N4464" i="116"/>
  <c r="N4461" i="116"/>
  <c r="N4459" i="116"/>
  <c r="M4459" i="116"/>
  <c r="N4456" i="116"/>
  <c r="N4453" i="116"/>
  <c r="N4451" i="116"/>
  <c r="M4451" i="116"/>
  <c r="N4448" i="116"/>
  <c r="N4445" i="116"/>
  <c r="N4443" i="116"/>
  <c r="M4443" i="116"/>
  <c r="N4440" i="116"/>
  <c r="N4437" i="116"/>
  <c r="N4435" i="116"/>
  <c r="M4435" i="116"/>
  <c r="N4432" i="116"/>
  <c r="M4432" i="116"/>
  <c r="N4429" i="116"/>
  <c r="M4429" i="116"/>
  <c r="M4427" i="116"/>
  <c r="N4426" i="116"/>
  <c r="M4424" i="116"/>
  <c r="M4421" i="116"/>
  <c r="N4418" i="116"/>
  <c r="N4412" i="116"/>
  <c r="M4410" i="116"/>
  <c r="N4404" i="116"/>
  <c r="M4402" i="116"/>
  <c r="N4396" i="116"/>
  <c r="M4396" i="116"/>
  <c r="N4393" i="116"/>
  <c r="N4388" i="116"/>
  <c r="M4388" i="116"/>
  <c r="N4385" i="116"/>
  <c r="N4380" i="116"/>
  <c r="N4377" i="116"/>
  <c r="N4373" i="116"/>
  <c r="M4371" i="116"/>
  <c r="M4370" i="116"/>
  <c r="N4365" i="116"/>
  <c r="N4363" i="116"/>
  <c r="N4361" i="116"/>
  <c r="N4359" i="116"/>
  <c r="M4357" i="116"/>
  <c r="M4356" i="116"/>
  <c r="N4351" i="116"/>
  <c r="M4343" i="116"/>
  <c r="N4340" i="116"/>
  <c r="N4326" i="116"/>
  <c r="M4318" i="116"/>
  <c r="N4315" i="116"/>
  <c r="M4309" i="116"/>
  <c r="M4304" i="116"/>
  <c r="M4295" i="116"/>
  <c r="N4292" i="116"/>
  <c r="N4278" i="116"/>
  <c r="N4272" i="116"/>
  <c r="N4269" i="116"/>
  <c r="M4267" i="116"/>
  <c r="M4261" i="116"/>
  <c r="N4258" i="116"/>
  <c r="N4255" i="116"/>
  <c r="M4250" i="116"/>
  <c r="M4247" i="116"/>
  <c r="N4244" i="116"/>
  <c r="N4239" i="116"/>
  <c r="M4239" i="116"/>
  <c r="N4236" i="116"/>
  <c r="M4236" i="116"/>
  <c r="N4235" i="116"/>
  <c r="M4233" i="116"/>
  <c r="N4231" i="116"/>
  <c r="N4229" i="116"/>
  <c r="M4228" i="116"/>
  <c r="N4226" i="116"/>
  <c r="M4224" i="116"/>
  <c r="N4223" i="116"/>
  <c r="N4222" i="116"/>
  <c r="M4220" i="116"/>
  <c r="M4219" i="116"/>
  <c r="M4218" i="116"/>
  <c r="N4216" i="116"/>
  <c r="M4215" i="116"/>
  <c r="N4214" i="116"/>
  <c r="N4212" i="116"/>
  <c r="M4212" i="116"/>
  <c r="N4211" i="116"/>
  <c r="N4208" i="116"/>
  <c r="N4207" i="116"/>
  <c r="M4205" i="116"/>
  <c r="N4204" i="116"/>
  <c r="M4203" i="116"/>
  <c r="N4081" i="116"/>
  <c r="N4079" i="116"/>
  <c r="M4079" i="116"/>
  <c r="N4077" i="116"/>
  <c r="M4076" i="116"/>
  <c r="N4075" i="116"/>
  <c r="N4074" i="116"/>
  <c r="N4073" i="116"/>
  <c r="N4071" i="116"/>
  <c r="M4068" i="116"/>
  <c r="N4067" i="116"/>
  <c r="M4065" i="116"/>
  <c r="O4065" i="116" s="1"/>
  <c r="N4063" i="116"/>
  <c r="M4061" i="116"/>
  <c r="N4059" i="116"/>
  <c r="M4059" i="116"/>
  <c r="N4057" i="116"/>
  <c r="M4057" i="116"/>
  <c r="M4055" i="116"/>
  <c r="M4053" i="116"/>
  <c r="O4053" i="116" s="1"/>
  <c r="M4051" i="116"/>
  <c r="M4049" i="116"/>
  <c r="M4043" i="116"/>
  <c r="M4039" i="116"/>
  <c r="N4035" i="116"/>
  <c r="N4031" i="116"/>
  <c r="M4031" i="116"/>
  <c r="N4027" i="116"/>
  <c r="M4027" i="116"/>
  <c r="N4023" i="116"/>
  <c r="M4023" i="116"/>
  <c r="M4021" i="116"/>
  <c r="N4017" i="116"/>
  <c r="N4015" i="116"/>
  <c r="M4015" i="116"/>
  <c r="N4011" i="116"/>
  <c r="M4011" i="116"/>
  <c r="N4007" i="116"/>
  <c r="M4007" i="116"/>
  <c r="N4003" i="116"/>
  <c r="M4003" i="116"/>
  <c r="N3999" i="116"/>
  <c r="M3999" i="116"/>
  <c r="N3995" i="116"/>
  <c r="M3995" i="116"/>
  <c r="N3991" i="116"/>
  <c r="M3991" i="116"/>
  <c r="N3989" i="116"/>
  <c r="M3987" i="116"/>
  <c r="N3985" i="116"/>
  <c r="M3985" i="116"/>
  <c r="M3984" i="116"/>
  <c r="M3983" i="116"/>
  <c r="N3981" i="116"/>
  <c r="M3981" i="116"/>
  <c r="N3978" i="116"/>
  <c r="N3977" i="116"/>
  <c r="M3977" i="116"/>
  <c r="N3976" i="116"/>
  <c r="N3973" i="116"/>
  <c r="M3973" i="116"/>
  <c r="N3969" i="116"/>
  <c r="M3969" i="116"/>
  <c r="N3968" i="116"/>
  <c r="N3961" i="116"/>
  <c r="N3960" i="116"/>
  <c r="M3932" i="116"/>
  <c r="N3923" i="116"/>
  <c r="N3921" i="116"/>
  <c r="M3918" i="116"/>
  <c r="N3912" i="116"/>
  <c r="N3658" i="116"/>
  <c r="N3647" i="116"/>
  <c r="M3634" i="116"/>
  <c r="N3631" i="116"/>
  <c r="N3626" i="116"/>
  <c r="M3623" i="116"/>
  <c r="M3620" i="116"/>
  <c r="M3618" i="116"/>
  <c r="N3617" i="116"/>
  <c r="M3610" i="116"/>
  <c r="M3609" i="116"/>
  <c r="N3606" i="116"/>
  <c r="N3604" i="116"/>
  <c r="M3601" i="116"/>
  <c r="M3593" i="116"/>
  <c r="N3587" i="116"/>
  <c r="N3584" i="116"/>
  <c r="M3582" i="116"/>
  <c r="M3579" i="116"/>
  <c r="M3576" i="116"/>
  <c r="N3573" i="116"/>
  <c r="M3557" i="116"/>
  <c r="M3549" i="116"/>
  <c r="N3543" i="116"/>
  <c r="N3535" i="116"/>
  <c r="N3527" i="116"/>
  <c r="N3523" i="116"/>
  <c r="N3519" i="116"/>
  <c r="N3515" i="116"/>
  <c r="N3511" i="116"/>
  <c r="N3507" i="116"/>
  <c r="N3503" i="116"/>
  <c r="N3499" i="116"/>
  <c r="N3495" i="116"/>
  <c r="N3491" i="116"/>
  <c r="N3488" i="116"/>
  <c r="N3487" i="116"/>
  <c r="N3483" i="116"/>
  <c r="N3480" i="116"/>
  <c r="N3479" i="116"/>
  <c r="N3475" i="116"/>
  <c r="N3472" i="116"/>
  <c r="N3471" i="116"/>
  <c r="N3467" i="116"/>
  <c r="N3464" i="116"/>
  <c r="N3463" i="116"/>
  <c r="M3462" i="116"/>
  <c r="N3459" i="116"/>
  <c r="N3456" i="116"/>
  <c r="N3455" i="116"/>
  <c r="M3454" i="116"/>
  <c r="M3453" i="116"/>
  <c r="N3427" i="116"/>
  <c r="N3424" i="116"/>
  <c r="M3422" i="116"/>
  <c r="M3419" i="116"/>
  <c r="M3411" i="116"/>
  <c r="M3403" i="116"/>
  <c r="N3394" i="116"/>
  <c r="M3392" i="116"/>
  <c r="N3389" i="116"/>
  <c r="M3386" i="116"/>
  <c r="N3383" i="116"/>
  <c r="M3381" i="116"/>
  <c r="M3378" i="116"/>
  <c r="N3375" i="116"/>
  <c r="M3373" i="116"/>
  <c r="M3367" i="116"/>
  <c r="N3364" i="116"/>
  <c r="M3356" i="116"/>
  <c r="N3350" i="116"/>
  <c r="N3342" i="116"/>
  <c r="N3332" i="116"/>
  <c r="M3332" i="116"/>
  <c r="N3331" i="116"/>
  <c r="M3331" i="116"/>
  <c r="N3330" i="116"/>
  <c r="M3330" i="116"/>
  <c r="N3328" i="116"/>
  <c r="M3327" i="116"/>
  <c r="N3324" i="116"/>
  <c r="N3323" i="116"/>
  <c r="M3322" i="116"/>
  <c r="N3319" i="116"/>
  <c r="M3316" i="116"/>
  <c r="M3315" i="116"/>
  <c r="N3312" i="116"/>
  <c r="M3312" i="116"/>
  <c r="N3311" i="116"/>
  <c r="N3310" i="116"/>
  <c r="M3308" i="116"/>
  <c r="N3307" i="116"/>
  <c r="M3306" i="116"/>
  <c r="N3304" i="116"/>
  <c r="M3304" i="116"/>
  <c r="M3303" i="116"/>
  <c r="M3179" i="116"/>
  <c r="N3177" i="116"/>
  <c r="N3176" i="116"/>
  <c r="M3176" i="116"/>
  <c r="M3175" i="116"/>
  <c r="N3174" i="116"/>
  <c r="M3173" i="116"/>
  <c r="N3172" i="116"/>
  <c r="M3172" i="116"/>
  <c r="M3170" i="116"/>
  <c r="N3169" i="116"/>
  <c r="N3168" i="116"/>
  <c r="M3168" i="116"/>
  <c r="M3166" i="116"/>
  <c r="N3165" i="116"/>
  <c r="M3165" i="116"/>
  <c r="N3164" i="116"/>
  <c r="M3164" i="116"/>
  <c r="M3162" i="116"/>
  <c r="N3161" i="116"/>
  <c r="N3160" i="116"/>
  <c r="M3160" i="116"/>
  <c r="N3158" i="116"/>
  <c r="N3157" i="116"/>
  <c r="N3156" i="116"/>
  <c r="M3156" i="116"/>
  <c r="N3155" i="116"/>
  <c r="N3154" i="116"/>
  <c r="M3154" i="116"/>
  <c r="N3153" i="116"/>
  <c r="N3151" i="116"/>
  <c r="M3151" i="116"/>
  <c r="N3150" i="116"/>
  <c r="N3148" i="116"/>
  <c r="M3148" i="116"/>
  <c r="N3147" i="116"/>
  <c r="M3147" i="116"/>
  <c r="M3145" i="116"/>
  <c r="N3144" i="116"/>
  <c r="N3143" i="116"/>
  <c r="M3143" i="116"/>
  <c r="N3142" i="116"/>
  <c r="N3141" i="116"/>
  <c r="M3141" i="116"/>
  <c r="M3140" i="116"/>
  <c r="M3138" i="116"/>
  <c r="N3137" i="116"/>
  <c r="M3137" i="116"/>
  <c r="M3136" i="116"/>
  <c r="N3135" i="116"/>
  <c r="N3134" i="116"/>
  <c r="M3134" i="116"/>
  <c r="N3133" i="116"/>
  <c r="M3133" i="116"/>
  <c r="N3132" i="116"/>
  <c r="N3131" i="116"/>
  <c r="M3131" i="116"/>
  <c r="N3130" i="116"/>
  <c r="M3130" i="116"/>
  <c r="N3129" i="116"/>
  <c r="N3128" i="116"/>
  <c r="M3128" i="116"/>
  <c r="N3127" i="116"/>
  <c r="M3127" i="116"/>
  <c r="N3126" i="116"/>
  <c r="M3126" i="116"/>
  <c r="N3125" i="116"/>
  <c r="M3125" i="116"/>
  <c r="N3124" i="116"/>
  <c r="M3124" i="116"/>
  <c r="N3123" i="116"/>
  <c r="N3122" i="116"/>
  <c r="M3122" i="116"/>
  <c r="N3121" i="116"/>
  <c r="M3121" i="116"/>
  <c r="M3120" i="116"/>
  <c r="N3119" i="116"/>
  <c r="M3119" i="116"/>
  <c r="N3118" i="116"/>
  <c r="M3118" i="116"/>
  <c r="M3117" i="116"/>
  <c r="N3116" i="116"/>
  <c r="M3116" i="116"/>
  <c r="N3115" i="116"/>
  <c r="M3115" i="116"/>
  <c r="N3114" i="116"/>
  <c r="N3113" i="116"/>
  <c r="M3113" i="116"/>
  <c r="N3112" i="116"/>
  <c r="M3112" i="116"/>
  <c r="N3111" i="116"/>
  <c r="N3110" i="116"/>
  <c r="M3110" i="116"/>
  <c r="N3109" i="116"/>
  <c r="M3109" i="116"/>
  <c r="N3108" i="116"/>
  <c r="N3107" i="116"/>
  <c r="M3107" i="116"/>
  <c r="N3106" i="116"/>
  <c r="M3106" i="116"/>
  <c r="N3105" i="116"/>
  <c r="M3105" i="116"/>
  <c r="N3104" i="116"/>
  <c r="N3103" i="116"/>
  <c r="M3103" i="116"/>
  <c r="N3102" i="116"/>
  <c r="M3102" i="116"/>
  <c r="N3101" i="116"/>
  <c r="M3101" i="116"/>
  <c r="N3100" i="116"/>
  <c r="M3100" i="116"/>
  <c r="N3099" i="116"/>
  <c r="M3099" i="116"/>
  <c r="N3098" i="116"/>
  <c r="N3097" i="116"/>
  <c r="M3097" i="116"/>
  <c r="N3096" i="116"/>
  <c r="M3096" i="116"/>
  <c r="N3095" i="116"/>
  <c r="M3095" i="116"/>
  <c r="N3094" i="116"/>
  <c r="M3094" i="116"/>
  <c r="N3093" i="116"/>
  <c r="M3093" i="116"/>
  <c r="N3092" i="116"/>
  <c r="M3092" i="116"/>
  <c r="N3091" i="116"/>
  <c r="M3091" i="116"/>
  <c r="N3090" i="116"/>
  <c r="M3090" i="116"/>
  <c r="N3089" i="116"/>
  <c r="M3089" i="116"/>
  <c r="N3088" i="116"/>
  <c r="M3088" i="116"/>
  <c r="N3087" i="116"/>
  <c r="M3087" i="116"/>
  <c r="N3086" i="116"/>
  <c r="M3086" i="116"/>
  <c r="N3085" i="116"/>
  <c r="M3085" i="116"/>
  <c r="N3084" i="116"/>
  <c r="M3084" i="116"/>
  <c r="N3083" i="116"/>
  <c r="M3083" i="116"/>
  <c r="N3082" i="116"/>
  <c r="M3082" i="116"/>
  <c r="N3081" i="116"/>
  <c r="M3081" i="116"/>
  <c r="N3080" i="116"/>
  <c r="M3080" i="116"/>
  <c r="N3079" i="116"/>
  <c r="M3079" i="116"/>
  <c r="N3078" i="116"/>
  <c r="M3078" i="116"/>
  <c r="N3077" i="116"/>
  <c r="M3077" i="116"/>
  <c r="N3076" i="116"/>
  <c r="M3076" i="116"/>
  <c r="N3075" i="116"/>
  <c r="M3075" i="116"/>
  <c r="N3074" i="116"/>
  <c r="M3074" i="116"/>
  <c r="N3073" i="116"/>
  <c r="M3073" i="116"/>
  <c r="N3072" i="116"/>
  <c r="M3072" i="116"/>
  <c r="N3071" i="116"/>
  <c r="M3071" i="116"/>
  <c r="N3070" i="116"/>
  <c r="M3070" i="116"/>
  <c r="N3069" i="116"/>
  <c r="M3069" i="116"/>
  <c r="N3068" i="116"/>
  <c r="M3068" i="116"/>
  <c r="N3067" i="116"/>
  <c r="M3067" i="116"/>
  <c r="N3066" i="116"/>
  <c r="M3066" i="116"/>
  <c r="N3065" i="116"/>
  <c r="M3065" i="116"/>
  <c r="N3064" i="116"/>
  <c r="M3064" i="116"/>
  <c r="N3063" i="116"/>
  <c r="M3063" i="116"/>
  <c r="N3062" i="116"/>
  <c r="M3062" i="116"/>
  <c r="N3061" i="116"/>
  <c r="M3061" i="116"/>
  <c r="N3060" i="116"/>
  <c r="M3060" i="116"/>
  <c r="N3059" i="116"/>
  <c r="M3059" i="116"/>
  <c r="N3058" i="116"/>
  <c r="M3058" i="116"/>
  <c r="N3057" i="116"/>
  <c r="M3057" i="116"/>
  <c r="N3056" i="116"/>
  <c r="M3056" i="116"/>
  <c r="N3055" i="116"/>
  <c r="M3055" i="116"/>
  <c r="N3054" i="116"/>
  <c r="M3054" i="116"/>
  <c r="N3053" i="116"/>
  <c r="M3053" i="116"/>
  <c r="N3052" i="116"/>
  <c r="M3052" i="116"/>
  <c r="N3051" i="116"/>
  <c r="M3051" i="116"/>
  <c r="N3050" i="116"/>
  <c r="M3050" i="116"/>
  <c r="N3049" i="116"/>
  <c r="M3049" i="116"/>
  <c r="N3048" i="116"/>
  <c r="M3048" i="116"/>
  <c r="N3047" i="116"/>
  <c r="M3047" i="116"/>
  <c r="N3046" i="116"/>
  <c r="M3046" i="116"/>
  <c r="N3045" i="116"/>
  <c r="M3045" i="116"/>
  <c r="N3044" i="116"/>
  <c r="M3044" i="116"/>
  <c r="N3043" i="116"/>
  <c r="M3043" i="116"/>
  <c r="N3042" i="116"/>
  <c r="M3042" i="116"/>
  <c r="N3041" i="116"/>
  <c r="M3041" i="116"/>
  <c r="N3040" i="116"/>
  <c r="M3040" i="116"/>
  <c r="N3039" i="116"/>
  <c r="M3039" i="116"/>
  <c r="N3038" i="116"/>
  <c r="M3038" i="116"/>
  <c r="N3037" i="116"/>
  <c r="M3037" i="116"/>
  <c r="N3036" i="116"/>
  <c r="M3036" i="116"/>
  <c r="N3033" i="116"/>
  <c r="N3032" i="116"/>
  <c r="M3032" i="116"/>
  <c r="N3030" i="116"/>
  <c r="N3029" i="116"/>
  <c r="M3029" i="116"/>
  <c r="N3028" i="116"/>
  <c r="M3028" i="116"/>
  <c r="N3027" i="116"/>
  <c r="M3027" i="116"/>
  <c r="N3025" i="116"/>
  <c r="N3024" i="116"/>
  <c r="N3023" i="116"/>
  <c r="M3022" i="116"/>
  <c r="N3021" i="116"/>
  <c r="N3020" i="116"/>
  <c r="M3020" i="116"/>
  <c r="N3019" i="116"/>
  <c r="N3017" i="116"/>
  <c r="N3016" i="116"/>
  <c r="M3015" i="116"/>
  <c r="M3014" i="116"/>
  <c r="N3013" i="116"/>
  <c r="M3013" i="116"/>
  <c r="M3012" i="116"/>
  <c r="M3011" i="116"/>
  <c r="N3009" i="116"/>
  <c r="N3008" i="116"/>
  <c r="N3006" i="116"/>
  <c r="M3006" i="116"/>
  <c r="N3005" i="116"/>
  <c r="M3005" i="116"/>
  <c r="N3004" i="116"/>
  <c r="M3003" i="116"/>
  <c r="N2877" i="116"/>
  <c r="M2877" i="116"/>
  <c r="N2875" i="116"/>
  <c r="M2875" i="116"/>
  <c r="N2873" i="116"/>
  <c r="M2872" i="116"/>
  <c r="N2871" i="116"/>
  <c r="M2869" i="116"/>
  <c r="N2868" i="116"/>
  <c r="M2868" i="116"/>
  <c r="N2865" i="116"/>
  <c r="M2865" i="116"/>
  <c r="N2864" i="116"/>
  <c r="M2862" i="116"/>
  <c r="N2861" i="116"/>
  <c r="M2861" i="116"/>
  <c r="N2857" i="116"/>
  <c r="N2854" i="116"/>
  <c r="M2853" i="116"/>
  <c r="N2743" i="116"/>
  <c r="M2743" i="116"/>
  <c r="N2741" i="116"/>
  <c r="N2739" i="116"/>
  <c r="M2739" i="116"/>
  <c r="N2735" i="116"/>
  <c r="M2734" i="116"/>
  <c r="M2732" i="116"/>
  <c r="M2731" i="116"/>
  <c r="M2728" i="116"/>
  <c r="N2727" i="116"/>
  <c r="M2727" i="116"/>
  <c r="N2724" i="116"/>
  <c r="N2723" i="116"/>
  <c r="M2723" i="116"/>
  <c r="N2720" i="116"/>
  <c r="M2720" i="116"/>
  <c r="N2719" i="116"/>
  <c r="N2717" i="116"/>
  <c r="M2717" i="116"/>
  <c r="N2716" i="116"/>
  <c r="M2715" i="116"/>
  <c r="M2713" i="116"/>
  <c r="N2711" i="116"/>
  <c r="N2709" i="116"/>
  <c r="M2708" i="116"/>
  <c r="N2707" i="116"/>
  <c r="M2707" i="116"/>
  <c r="M2706" i="116"/>
  <c r="N2704" i="116"/>
  <c r="N2703" i="116"/>
  <c r="M2703" i="116"/>
  <c r="N2644" i="116"/>
  <c r="N2641" i="116"/>
  <c r="M2635" i="116"/>
  <c r="N2632" i="116"/>
  <c r="N2627" i="116"/>
  <c r="N2624" i="116"/>
  <c r="M2613" i="116"/>
  <c r="M2607" i="116"/>
  <c r="N2601" i="116"/>
  <c r="N2598" i="116"/>
  <c r="M2596" i="116"/>
  <c r="M2593" i="116"/>
  <c r="M2590" i="116"/>
  <c r="N2587" i="116"/>
  <c r="N2584" i="116"/>
  <c r="M2579" i="116"/>
  <c r="N2576" i="116"/>
  <c r="M2573" i="116"/>
  <c r="N2567" i="116"/>
  <c r="N2558" i="116"/>
  <c r="N2555" i="116"/>
  <c r="N2446" i="116"/>
  <c r="N2443" i="116"/>
  <c r="M2438" i="116"/>
  <c r="M2427" i="116"/>
  <c r="M2421" i="116"/>
  <c r="M2413" i="116"/>
  <c r="N2410" i="116"/>
  <c r="M2405" i="116"/>
  <c r="M2394" i="116"/>
  <c r="N2391" i="116"/>
  <c r="M2386" i="116"/>
  <c r="M2378" i="116"/>
  <c r="N2375" i="116"/>
  <c r="N2370" i="116"/>
  <c r="M2362" i="116"/>
  <c r="N2359" i="116"/>
  <c r="N2354" i="116"/>
  <c r="M2346" i="116"/>
  <c r="N2343" i="116"/>
  <c r="M2338" i="116"/>
  <c r="M2330" i="116"/>
  <c r="N2327" i="116"/>
  <c r="M2322" i="116"/>
  <c r="M2314" i="116"/>
  <c r="N2311" i="116"/>
  <c r="M2306" i="116"/>
  <c r="N2298" i="116"/>
  <c r="M2298" i="116"/>
  <c r="N2297" i="116"/>
  <c r="M2297" i="116"/>
  <c r="N2296" i="116"/>
  <c r="M2296" i="116"/>
  <c r="N2295" i="116"/>
  <c r="M2295" i="116"/>
  <c r="N2294" i="116"/>
  <c r="N2293" i="116"/>
  <c r="M2293" i="116"/>
  <c r="N2292" i="116"/>
  <c r="M2292" i="116"/>
  <c r="N2291" i="116"/>
  <c r="M2291" i="116"/>
  <c r="N2290" i="116"/>
  <c r="M2290" i="116"/>
  <c r="N2289" i="116"/>
  <c r="M2289" i="116"/>
  <c r="M2287" i="116"/>
  <c r="N2285" i="116"/>
  <c r="N2284" i="116"/>
  <c r="M2284" i="116"/>
  <c r="N2283" i="116"/>
  <c r="N2282" i="116"/>
  <c r="M2281" i="116"/>
  <c r="N2280" i="116"/>
  <c r="M2280" i="116"/>
  <c r="M2279" i="116"/>
  <c r="M2277" i="116"/>
  <c r="M2276" i="116"/>
  <c r="M2275" i="116"/>
  <c r="N2272" i="116"/>
  <c r="M2272" i="116"/>
  <c r="N2271" i="116"/>
  <c r="M2271" i="116"/>
  <c r="N2270" i="116"/>
  <c r="M2270" i="116"/>
  <c r="N2269" i="116"/>
  <c r="M2269" i="116"/>
  <c r="N2268" i="116"/>
  <c r="M2268" i="116"/>
  <c r="N2266" i="116"/>
  <c r="M2266" i="116"/>
  <c r="N2265" i="116"/>
  <c r="M2265" i="116"/>
  <c r="N2264" i="116"/>
  <c r="M2264" i="116"/>
  <c r="N2263" i="116"/>
  <c r="M2263" i="116"/>
  <c r="N2262" i="116"/>
  <c r="M2262" i="116"/>
  <c r="N2261" i="116"/>
  <c r="M2261" i="116"/>
  <c r="N2260" i="116"/>
  <c r="M2260" i="116"/>
  <c r="N2258" i="116"/>
  <c r="M2258" i="116"/>
  <c r="N2257" i="116"/>
  <c r="M2257" i="116"/>
  <c r="N2256" i="116"/>
  <c r="M2256" i="116"/>
  <c r="N2255" i="116"/>
  <c r="M2255" i="116"/>
  <c r="N2254" i="116"/>
  <c r="M2254" i="116"/>
  <c r="N2253" i="116"/>
  <c r="M2253" i="116"/>
  <c r="N2144" i="116"/>
  <c r="M2144" i="116"/>
  <c r="N2143" i="116"/>
  <c r="M2143" i="116"/>
  <c r="N2142" i="116"/>
  <c r="M2139" i="116"/>
  <c r="N2138" i="116"/>
  <c r="M2138" i="116"/>
  <c r="M2137" i="116"/>
  <c r="N2136" i="116"/>
  <c r="M2136" i="116"/>
  <c r="M2135" i="116"/>
  <c r="N2134" i="116"/>
  <c r="N2132" i="116"/>
  <c r="N2131" i="116"/>
  <c r="N2130" i="116"/>
  <c r="M2130" i="116"/>
  <c r="M2128" i="116"/>
  <c r="N2127" i="116"/>
  <c r="M2126" i="116"/>
  <c r="N2124" i="116"/>
  <c r="M2124" i="116"/>
  <c r="N2122" i="116"/>
  <c r="N2120" i="116"/>
  <c r="M2120" i="116"/>
  <c r="N2119" i="116"/>
  <c r="N2118" i="116"/>
  <c r="M2118" i="116"/>
  <c r="N2114" i="116"/>
  <c r="M2114" i="116"/>
  <c r="N2113" i="116"/>
  <c r="N2112" i="116"/>
  <c r="N2111" i="116"/>
  <c r="N2110" i="116"/>
  <c r="N2107" i="116"/>
  <c r="M2106" i="116"/>
  <c r="M2105" i="116"/>
  <c r="M2104" i="116"/>
  <c r="M2103" i="116"/>
  <c r="N2101" i="116"/>
  <c r="N2098" i="116"/>
  <c r="M2096" i="116"/>
  <c r="N2095" i="116"/>
  <c r="N2093" i="116"/>
  <c r="M2093" i="116"/>
  <c r="N2090" i="116"/>
  <c r="N2087" i="116"/>
  <c r="N2084" i="116"/>
  <c r="M2084" i="116"/>
  <c r="N2081" i="116"/>
  <c r="N2079" i="116"/>
  <c r="M2079" i="116"/>
  <c r="N2076" i="116"/>
  <c r="M2076" i="116"/>
  <c r="N2073" i="116"/>
  <c r="M2073" i="116"/>
  <c r="M2071" i="116"/>
  <c r="N2070" i="116"/>
  <c r="N2068" i="116"/>
  <c r="M2068" i="116"/>
  <c r="N2065" i="116"/>
  <c r="M2065" i="116"/>
  <c r="N2062" i="116"/>
  <c r="M2062" i="116"/>
  <c r="N2056" i="116"/>
  <c r="M2056" i="116"/>
  <c r="M2054" i="116"/>
  <c r="N2053" i="116"/>
  <c r="N2050" i="116"/>
  <c r="M2050" i="116"/>
  <c r="N2049" i="116"/>
  <c r="M2049" i="116"/>
  <c r="N2047" i="116"/>
  <c r="N2046" i="116"/>
  <c r="M2046" i="116"/>
  <c r="N2045" i="116"/>
  <c r="M2044" i="116"/>
  <c r="N2043" i="116"/>
  <c r="N2042" i="116"/>
  <c r="M2042" i="116"/>
  <c r="N2041" i="116"/>
  <c r="M2041" i="116"/>
  <c r="M2040" i="116"/>
  <c r="N2038" i="116"/>
  <c r="M2038" i="116"/>
  <c r="N2037" i="116"/>
  <c r="M2037" i="116"/>
  <c r="N2034" i="116"/>
  <c r="M2034" i="116"/>
  <c r="M2031" i="116"/>
  <c r="N2030" i="116"/>
  <c r="N2029" i="116"/>
  <c r="M2029" i="116"/>
  <c r="M2028" i="116"/>
  <c r="M2027" i="116"/>
  <c r="N2026" i="116"/>
  <c r="M2026" i="116"/>
  <c r="N2025" i="116"/>
  <c r="M2025" i="116"/>
  <c r="N2024" i="116"/>
  <c r="N2023" i="116"/>
  <c r="N2022" i="116"/>
  <c r="M2022" i="116"/>
  <c r="N2021" i="116"/>
  <c r="M2021" i="116"/>
  <c r="N2020" i="116"/>
  <c r="N2018" i="116"/>
  <c r="M2018" i="116"/>
  <c r="N2017" i="116"/>
  <c r="M2017" i="116"/>
  <c r="N2014" i="116"/>
  <c r="M2014" i="116"/>
  <c r="N2013" i="116"/>
  <c r="M2013" i="116"/>
  <c r="M2011" i="116"/>
  <c r="N2010" i="116"/>
  <c r="M2010" i="116"/>
  <c r="N2009" i="116"/>
  <c r="M2009" i="116"/>
  <c r="N2007" i="116"/>
  <c r="N2006" i="116"/>
  <c r="M2006" i="116"/>
  <c r="N2005" i="116"/>
  <c r="N2003" i="116"/>
  <c r="N2002" i="116"/>
  <c r="M2002" i="116"/>
  <c r="N2001" i="116"/>
  <c r="M2001" i="116"/>
  <c r="M2000" i="116"/>
  <c r="M1998" i="116"/>
  <c r="N1994" i="116"/>
  <c r="N1993" i="116"/>
  <c r="N1990" i="116"/>
  <c r="M1986" i="116"/>
  <c r="N1985" i="116"/>
  <c r="O1985" i="116" s="1"/>
  <c r="M1982" i="116"/>
  <c r="N1980" i="116"/>
  <c r="M1978" i="116"/>
  <c r="N1977" i="116"/>
  <c r="M1976" i="116"/>
  <c r="M1974" i="116"/>
  <c r="O1974" i="116" s="1"/>
  <c r="N1970" i="116"/>
  <c r="M1970" i="116"/>
  <c r="M1969" i="116"/>
  <c r="N1966" i="116"/>
  <c r="M1962" i="116"/>
  <c r="M1961" i="116"/>
  <c r="N1959" i="116"/>
  <c r="N1958" i="116"/>
  <c r="M1958" i="116"/>
  <c r="M1956" i="116"/>
  <c r="M1955" i="116"/>
  <c r="N1954" i="116"/>
  <c r="N1953" i="116"/>
  <c r="N1861" i="116"/>
  <c r="M1861" i="116"/>
  <c r="N1860" i="116"/>
  <c r="M1860" i="116"/>
  <c r="N1859" i="116"/>
  <c r="M1859" i="116"/>
  <c r="N1857" i="116"/>
  <c r="N1856" i="116"/>
  <c r="M1853" i="116"/>
  <c r="N1852" i="116"/>
  <c r="N1851" i="116"/>
  <c r="M1849" i="116"/>
  <c r="N1848" i="116"/>
  <c r="N1845" i="116"/>
  <c r="M1845" i="116"/>
  <c r="N1844" i="116"/>
  <c r="M1844" i="116"/>
  <c r="N1841" i="116"/>
  <c r="M1841" i="116"/>
  <c r="N1840" i="116"/>
  <c r="M1840" i="116"/>
  <c r="N1839" i="116"/>
  <c r="M1838" i="116"/>
  <c r="N1837" i="116"/>
  <c r="M1837" i="116"/>
  <c r="N1836" i="116"/>
  <c r="M1836" i="116"/>
  <c r="N1833" i="116"/>
  <c r="M1833" i="116"/>
  <c r="N1832" i="116"/>
  <c r="M1832" i="116"/>
  <c r="N1831" i="116"/>
  <c r="N1829" i="116"/>
  <c r="M1829" i="116"/>
  <c r="N1828" i="116"/>
  <c r="M1828" i="116"/>
  <c r="M1827" i="116"/>
  <c r="M1825" i="116"/>
  <c r="N1824" i="116"/>
  <c r="M1824" i="116"/>
  <c r="M1821" i="116"/>
  <c r="M1819" i="116"/>
  <c r="N1817" i="116"/>
  <c r="M1817" i="116"/>
  <c r="M1816" i="116"/>
  <c r="M1814" i="116"/>
  <c r="N1813" i="116"/>
  <c r="M1812" i="116"/>
  <c r="M1809" i="116"/>
  <c r="N1808" i="116"/>
  <c r="M1808" i="116"/>
  <c r="M1807" i="116"/>
  <c r="M1805" i="116"/>
  <c r="N1804" i="116"/>
  <c r="M1804" i="116"/>
  <c r="N1800" i="116"/>
  <c r="N1799" i="116"/>
  <c r="N1794" i="116"/>
  <c r="M1792" i="116"/>
  <c r="M1791" i="116"/>
  <c r="N1788" i="116"/>
  <c r="M1786" i="116"/>
  <c r="N1785" i="116"/>
  <c r="N1783" i="116"/>
  <c r="M1780" i="116"/>
  <c r="M1775" i="116"/>
  <c r="M1774" i="116"/>
  <c r="N1772" i="116"/>
  <c r="N1769" i="116"/>
  <c r="M1769" i="116"/>
  <c r="M1766" i="116"/>
  <c r="M1758" i="116"/>
  <c r="M1753" i="116"/>
  <c r="N1752" i="116"/>
  <c r="M1750" i="116"/>
  <c r="N1746" i="116"/>
  <c r="M1744" i="116"/>
  <c r="M1738" i="116"/>
  <c r="N1736" i="116"/>
  <c r="N1735" i="116"/>
  <c r="N1732" i="116"/>
  <c r="N1730" i="116"/>
  <c r="M1728" i="116"/>
  <c r="M1727" i="116"/>
  <c r="N1724" i="116"/>
  <c r="M1722" i="116"/>
  <c r="N1721" i="116"/>
  <c r="N1719" i="116"/>
  <c r="N1718" i="116"/>
  <c r="N1716" i="116"/>
  <c r="M1711" i="116"/>
  <c r="M1710" i="116"/>
  <c r="N1708" i="116"/>
  <c r="N1705" i="116"/>
  <c r="N1703" i="116"/>
  <c r="M1700" i="116"/>
  <c r="N1697" i="116"/>
  <c r="N1696" i="116"/>
  <c r="M1694" i="116"/>
  <c r="N1693" i="116"/>
  <c r="M1693" i="116"/>
  <c r="N1690" i="116"/>
  <c r="M1687" i="116"/>
  <c r="M1686" i="116"/>
  <c r="M1683" i="116"/>
  <c r="N1681" i="116"/>
  <c r="N1678" i="116"/>
  <c r="M1677" i="116"/>
  <c r="N1676" i="116"/>
  <c r="N1674" i="116"/>
  <c r="N1673" i="116"/>
  <c r="N1669" i="116"/>
  <c r="N1667" i="116"/>
  <c r="M1667" i="116"/>
  <c r="M1666" i="116"/>
  <c r="M1665" i="116"/>
  <c r="N1663" i="116"/>
  <c r="M1662" i="116"/>
  <c r="M1661" i="116"/>
  <c r="M1660" i="116"/>
  <c r="N1658" i="116"/>
  <c r="N1657" i="116"/>
  <c r="M1657" i="116"/>
  <c r="N1654" i="116"/>
  <c r="N1653" i="116"/>
  <c r="N1243" i="116"/>
  <c r="M1243" i="116"/>
  <c r="N1242" i="116"/>
  <c r="M1242" i="116"/>
  <c r="N1240" i="116"/>
  <c r="M1240" i="116"/>
  <c r="N1238" i="116"/>
  <c r="M1238" i="116"/>
  <c r="M1237" i="116"/>
  <c r="M1236" i="116"/>
  <c r="N1234" i="116"/>
  <c r="M1234" i="116"/>
  <c r="M1232" i="116"/>
  <c r="N1230" i="116"/>
  <c r="M1230" i="116"/>
  <c r="M1228" i="116"/>
  <c r="N1226" i="116"/>
  <c r="M1226" i="116"/>
  <c r="M1224" i="116"/>
  <c r="N1222" i="116"/>
  <c r="M1222" i="116"/>
  <c r="M1220" i="116"/>
  <c r="N1218" i="116"/>
  <c r="M1218" i="116"/>
  <c r="N1216" i="116"/>
  <c r="M1216" i="116"/>
  <c r="N1214" i="116"/>
  <c r="M1214" i="116"/>
  <c r="N1212" i="116"/>
  <c r="M1212" i="116"/>
  <c r="N1210" i="116"/>
  <c r="M1210" i="116"/>
  <c r="N1209" i="116"/>
  <c r="M1208" i="116"/>
  <c r="N1206" i="116"/>
  <c r="M1206" i="116"/>
  <c r="N1205" i="116"/>
  <c r="M1204" i="116"/>
  <c r="N1203" i="116"/>
  <c r="N1128" i="116"/>
  <c r="M1128" i="116"/>
  <c r="N1127" i="116"/>
  <c r="M1127" i="116"/>
  <c r="N1126" i="116"/>
  <c r="M1126" i="116"/>
  <c r="N1124" i="116"/>
  <c r="M1124" i="116"/>
  <c r="N1123" i="116"/>
  <c r="M1123" i="116"/>
  <c r="N1122" i="116"/>
  <c r="M1122" i="116"/>
  <c r="N1120" i="116"/>
  <c r="M1120" i="116"/>
  <c r="N1119" i="116"/>
  <c r="M1119" i="116"/>
  <c r="N1118" i="116"/>
  <c r="M1118" i="116"/>
  <c r="N1117" i="116"/>
  <c r="M1117" i="116"/>
  <c r="N1116" i="116"/>
  <c r="M1116" i="116"/>
  <c r="N1115" i="116"/>
  <c r="M1115" i="116"/>
  <c r="N1114" i="116"/>
  <c r="M1114" i="116"/>
  <c r="N1113" i="116"/>
  <c r="M1113" i="116"/>
  <c r="N1112" i="116"/>
  <c r="M1112" i="116"/>
  <c r="N1111" i="116"/>
  <c r="M1111" i="116"/>
  <c r="N1110" i="116"/>
  <c r="M1110" i="116"/>
  <c r="N1109" i="116"/>
  <c r="M1109" i="116"/>
  <c r="N1108" i="116"/>
  <c r="M1108" i="116"/>
  <c r="N1107" i="116"/>
  <c r="M1107" i="116"/>
  <c r="N1106" i="116"/>
  <c r="M1106" i="116"/>
  <c r="N1105" i="116"/>
  <c r="M1105" i="116"/>
  <c r="N1104" i="116"/>
  <c r="M1104" i="116"/>
  <c r="N1103" i="116"/>
  <c r="M1103" i="116"/>
  <c r="N1102" i="116"/>
  <c r="M1102" i="116"/>
  <c r="N1101" i="116"/>
  <c r="M1101" i="116"/>
  <c r="N1100" i="116"/>
  <c r="M1100" i="116"/>
  <c r="N1099" i="116"/>
  <c r="M1099" i="116"/>
  <c r="N1098" i="116"/>
  <c r="M1098" i="116"/>
  <c r="N1097" i="116"/>
  <c r="M1097" i="116"/>
  <c r="N1096" i="116"/>
  <c r="M1096" i="116"/>
  <c r="N1095" i="116"/>
  <c r="M1095" i="116"/>
  <c r="N1094" i="116"/>
  <c r="M1094" i="116"/>
  <c r="N1093" i="116"/>
  <c r="M1093" i="116"/>
  <c r="N1092" i="116"/>
  <c r="M1092" i="116"/>
  <c r="N1091" i="116"/>
  <c r="M1091" i="116"/>
  <c r="N1090" i="116"/>
  <c r="M1090" i="116"/>
  <c r="N1089" i="116"/>
  <c r="M1089" i="116"/>
  <c r="N1088" i="116"/>
  <c r="M1088" i="116"/>
  <c r="N1087" i="116"/>
  <c r="M1087" i="116"/>
  <c r="N1086" i="116"/>
  <c r="M1086" i="116"/>
  <c r="N1085" i="116"/>
  <c r="M1085" i="116"/>
  <c r="N1084" i="116"/>
  <c r="M1084" i="116"/>
  <c r="N1083" i="116"/>
  <c r="M1083" i="116"/>
  <c r="N1082" i="116"/>
  <c r="M1082" i="116"/>
  <c r="N1081" i="116"/>
  <c r="M1081" i="116"/>
  <c r="N1080" i="116"/>
  <c r="M1080" i="116"/>
  <c r="N1079" i="116"/>
  <c r="M1079" i="116"/>
  <c r="N1078" i="116"/>
  <c r="M1078" i="116"/>
  <c r="N1077" i="116"/>
  <c r="M1077" i="116"/>
  <c r="N1076" i="116"/>
  <c r="M1076" i="116"/>
  <c r="N1075" i="116"/>
  <c r="M1075" i="116"/>
  <c r="N1074" i="116"/>
  <c r="M1074" i="116"/>
  <c r="N1073" i="116"/>
  <c r="M1073" i="116"/>
  <c r="N1072" i="116"/>
  <c r="M1072" i="116"/>
  <c r="N1071" i="116"/>
  <c r="M1071" i="116"/>
  <c r="N1070" i="116"/>
  <c r="M1070" i="116"/>
  <c r="N1069" i="116"/>
  <c r="M1069" i="116"/>
  <c r="N1068" i="116"/>
  <c r="M1068" i="116"/>
  <c r="N1067" i="116"/>
  <c r="M1067" i="116"/>
  <c r="N1066" i="116"/>
  <c r="M1066" i="116"/>
  <c r="N1065" i="116"/>
  <c r="M1065" i="116"/>
  <c r="N1064" i="116"/>
  <c r="M1064" i="116"/>
  <c r="N1063" i="116"/>
  <c r="M1063" i="116"/>
  <c r="N1062" i="116"/>
  <c r="M1062" i="116"/>
  <c r="N1061" i="116"/>
  <c r="M1061" i="116"/>
  <c r="N1060" i="116"/>
  <c r="M1060" i="116"/>
  <c r="N1059" i="116"/>
  <c r="M1059" i="116"/>
  <c r="N1058" i="116"/>
  <c r="M1058" i="116"/>
  <c r="N1057" i="116"/>
  <c r="M1057" i="116"/>
  <c r="N1056" i="116"/>
  <c r="M1056" i="116"/>
  <c r="N1055" i="116"/>
  <c r="M1055" i="116"/>
  <c r="N1054" i="116"/>
  <c r="M1054" i="116"/>
  <c r="N1053" i="116"/>
  <c r="M1053" i="116"/>
  <c r="M1047" i="116"/>
  <c r="N1044" i="116"/>
  <c r="M1039" i="116"/>
  <c r="N1036" i="116"/>
  <c r="M1028" i="116"/>
  <c r="M1020" i="116"/>
  <c r="N1014" i="116"/>
  <c r="M1001" i="116"/>
  <c r="N995" i="116"/>
  <c r="N990" i="116"/>
  <c r="M982" i="116"/>
  <c r="M974" i="116"/>
  <c r="N971" i="116"/>
  <c r="N968" i="116"/>
  <c r="N965" i="116"/>
  <c r="M965" i="116"/>
  <c r="N964" i="116"/>
  <c r="M964" i="116"/>
  <c r="N963" i="116"/>
  <c r="M963" i="116"/>
  <c r="N962" i="116"/>
  <c r="M962" i="116"/>
  <c r="N961" i="116"/>
  <c r="M961" i="116"/>
  <c r="N960" i="116"/>
  <c r="M960" i="116"/>
  <c r="N958" i="116"/>
  <c r="M958" i="116"/>
  <c r="N957" i="116"/>
  <c r="M957" i="116"/>
  <c r="N956" i="116"/>
  <c r="N954" i="116"/>
  <c r="M954" i="116"/>
  <c r="N953" i="116"/>
  <c r="M953" i="116"/>
  <c r="N952" i="116"/>
  <c r="M952" i="116"/>
  <c r="N950" i="116"/>
  <c r="M950" i="116"/>
  <c r="N948" i="116"/>
  <c r="M948" i="116"/>
  <c r="N946" i="116"/>
  <c r="M946" i="116"/>
  <c r="N945" i="116"/>
  <c r="M945" i="116"/>
  <c r="N944" i="116"/>
  <c r="M944" i="116"/>
  <c r="M942" i="116"/>
  <c r="N941" i="116"/>
  <c r="M941" i="116"/>
  <c r="N940" i="116"/>
  <c r="M940" i="116"/>
  <c r="N938" i="116"/>
  <c r="M938" i="116"/>
  <c r="N937" i="116"/>
  <c r="M937" i="116"/>
  <c r="N936" i="116"/>
  <c r="M936" i="116"/>
  <c r="N934" i="116"/>
  <c r="M934" i="116"/>
  <c r="N933" i="116"/>
  <c r="M933" i="116"/>
  <c r="N932" i="116"/>
  <c r="M932" i="116"/>
  <c r="M931" i="116"/>
  <c r="N930" i="116"/>
  <c r="M930" i="116"/>
  <c r="N929" i="116"/>
  <c r="M929" i="116"/>
  <c r="N928" i="116"/>
  <c r="M928" i="116"/>
  <c r="M927" i="116"/>
  <c r="N926" i="116"/>
  <c r="M926" i="116"/>
  <c r="N925" i="116"/>
  <c r="M925" i="116"/>
  <c r="N922" i="116"/>
  <c r="M922" i="116"/>
  <c r="N921" i="116"/>
  <c r="M921" i="116"/>
  <c r="N920" i="116"/>
  <c r="M920" i="116"/>
  <c r="N918" i="116"/>
  <c r="M918" i="116"/>
  <c r="N916" i="116"/>
  <c r="M916" i="116"/>
  <c r="N914" i="116"/>
  <c r="M914" i="116"/>
  <c r="N913" i="116"/>
  <c r="M913" i="116"/>
  <c r="N912" i="116"/>
  <c r="M912" i="116"/>
  <c r="N909" i="116"/>
  <c r="M909" i="116"/>
  <c r="N908" i="116"/>
  <c r="M908" i="116"/>
  <c r="N906" i="116"/>
  <c r="M906" i="116"/>
  <c r="N905" i="116"/>
  <c r="M905" i="116"/>
  <c r="N904" i="116"/>
  <c r="M904" i="116"/>
  <c r="N855" i="116"/>
  <c r="N847" i="116"/>
  <c r="M845" i="116"/>
  <c r="N840" i="116"/>
  <c r="M839" i="116"/>
  <c r="N836" i="116"/>
  <c r="N832" i="116"/>
  <c r="M831" i="116"/>
  <c r="N828" i="116"/>
  <c r="N825" i="116"/>
  <c r="M825" i="116"/>
  <c r="N823" i="116"/>
  <c r="N822" i="116"/>
  <c r="M822" i="116"/>
  <c r="N819" i="116"/>
  <c r="M819" i="116"/>
  <c r="N818" i="116"/>
  <c r="M818" i="116"/>
  <c r="M816" i="116"/>
  <c r="N815" i="116"/>
  <c r="M815" i="116"/>
  <c r="N814" i="116"/>
  <c r="M814" i="116"/>
  <c r="N812" i="116"/>
  <c r="N811" i="116"/>
  <c r="M811" i="116"/>
  <c r="N810" i="116"/>
  <c r="M810" i="116"/>
  <c r="N807" i="116"/>
  <c r="M807" i="116"/>
  <c r="N806" i="116"/>
  <c r="M806" i="116"/>
  <c r="N805" i="116"/>
  <c r="N803" i="116"/>
  <c r="M803" i="116"/>
  <c r="N802" i="116"/>
  <c r="M802" i="116"/>
  <c r="M801" i="116"/>
  <c r="N799" i="116"/>
  <c r="N798" i="116"/>
  <c r="N795" i="116"/>
  <c r="M795" i="116"/>
  <c r="M794" i="116"/>
  <c r="N793" i="116"/>
  <c r="M793" i="116"/>
  <c r="N791" i="116"/>
  <c r="M791" i="116"/>
  <c r="N790" i="116"/>
  <c r="M790" i="116"/>
  <c r="M788" i="116"/>
  <c r="N787" i="116"/>
  <c r="N786" i="116"/>
  <c r="N784" i="116"/>
  <c r="N783" i="116"/>
  <c r="N782" i="116"/>
  <c r="N781" i="116"/>
  <c r="M781" i="116"/>
  <c r="N779" i="116"/>
  <c r="N778" i="116"/>
  <c r="M775" i="116"/>
  <c r="M774" i="116"/>
  <c r="N773" i="116"/>
  <c r="N771" i="116"/>
  <c r="N770" i="116"/>
  <c r="M770" i="116"/>
  <c r="N767" i="116"/>
  <c r="N766" i="116"/>
  <c r="M766" i="116"/>
  <c r="N763" i="116"/>
  <c r="M763" i="116"/>
  <c r="M762" i="116"/>
  <c r="N761" i="116"/>
  <c r="M761" i="116"/>
  <c r="N759" i="116"/>
  <c r="N758" i="116"/>
  <c r="M756" i="116"/>
  <c r="N755" i="116"/>
  <c r="N754" i="116"/>
  <c r="N753" i="116"/>
  <c r="N750" i="116"/>
  <c r="N739" i="116"/>
  <c r="M734" i="116"/>
  <c r="N731" i="116"/>
  <c r="M726" i="116"/>
  <c r="N712" i="116"/>
  <c r="N709" i="116"/>
  <c r="M707" i="116"/>
  <c r="N704" i="116"/>
  <c r="N701" i="116"/>
  <c r="M699" i="116"/>
  <c r="M696" i="116"/>
  <c r="N695" i="116"/>
  <c r="N693" i="116"/>
  <c r="M693" i="116"/>
  <c r="N690" i="116"/>
  <c r="M688" i="116"/>
  <c r="N687" i="116"/>
  <c r="N685" i="116"/>
  <c r="M685" i="116"/>
  <c r="N682" i="116"/>
  <c r="N679" i="116"/>
  <c r="M679" i="116"/>
  <c r="M677" i="116"/>
  <c r="N676" i="116"/>
  <c r="M674" i="116"/>
  <c r="N671" i="116"/>
  <c r="M671" i="116"/>
  <c r="M669" i="116"/>
  <c r="N668" i="116"/>
  <c r="M666" i="116"/>
  <c r="M663" i="116"/>
  <c r="N660" i="116"/>
  <c r="M660" i="116"/>
  <c r="M655" i="116"/>
  <c r="N652" i="116"/>
  <c r="M652" i="116"/>
  <c r="M644" i="116"/>
  <c r="N638" i="116"/>
  <c r="M636" i="116"/>
  <c r="N630" i="116"/>
  <c r="N627" i="116"/>
  <c r="N622" i="116"/>
  <c r="M622" i="116"/>
  <c r="N619" i="116"/>
  <c r="M615" i="116"/>
  <c r="M614" i="116"/>
  <c r="N612" i="116"/>
  <c r="N611" i="116"/>
  <c r="N608" i="116"/>
  <c r="M607" i="116"/>
  <c r="M606" i="116"/>
  <c r="N604" i="116"/>
  <c r="N603" i="116"/>
  <c r="M492" i="116"/>
  <c r="N489" i="116"/>
  <c r="N486" i="116"/>
  <c r="M481" i="116"/>
  <c r="M478" i="116"/>
  <c r="N475" i="116"/>
  <c r="M470" i="116"/>
  <c r="N464" i="116"/>
  <c r="M459" i="116"/>
  <c r="M456" i="116"/>
  <c r="N453" i="116"/>
  <c r="N265" i="116"/>
  <c r="N262" i="116"/>
  <c r="M257" i="116"/>
  <c r="M254" i="116"/>
  <c r="N251" i="116"/>
  <c r="O251" i="116" s="1"/>
  <c r="M246" i="116"/>
  <c r="M235" i="116"/>
  <c r="N229" i="116"/>
  <c r="N226" i="116"/>
  <c r="N223" i="116"/>
  <c r="M221" i="116"/>
  <c r="M218" i="116"/>
  <c r="M215" i="116"/>
  <c r="N212" i="116"/>
  <c r="M204" i="116"/>
  <c r="N201" i="116"/>
  <c r="N198" i="116"/>
  <c r="M193" i="116"/>
  <c r="N190" i="116"/>
  <c r="M190" i="116"/>
  <c r="N189" i="116"/>
  <c r="M189" i="116"/>
  <c r="N187" i="116"/>
  <c r="M187" i="116"/>
  <c r="N186" i="116"/>
  <c r="M186" i="116"/>
  <c r="M185" i="116"/>
  <c r="N183" i="116"/>
  <c r="M181" i="116"/>
  <c r="M180" i="116"/>
  <c r="N178" i="116"/>
  <c r="M177" i="116"/>
  <c r="M176" i="116"/>
  <c r="N174" i="116"/>
  <c r="M173" i="116"/>
  <c r="M172" i="116"/>
  <c r="M171" i="116"/>
  <c r="N170" i="116"/>
  <c r="M169" i="116"/>
  <c r="N167" i="116"/>
  <c r="M167" i="116"/>
  <c r="M166" i="116"/>
  <c r="N165" i="116"/>
  <c r="N162" i="116"/>
  <c r="M161" i="116"/>
  <c r="M158" i="116"/>
  <c r="N157" i="116"/>
  <c r="M157" i="116"/>
  <c r="N156" i="116"/>
  <c r="N154" i="116"/>
  <c r="M154" i="116"/>
  <c r="M153" i="116"/>
  <c r="N151" i="116"/>
  <c r="M151" i="116"/>
  <c r="N150" i="116"/>
  <c r="M150" i="116"/>
  <c r="N149" i="116"/>
  <c r="M149" i="116"/>
  <c r="N148" i="116"/>
  <c r="M148" i="116"/>
  <c r="N147" i="116"/>
  <c r="M147" i="116"/>
  <c r="N146" i="116"/>
  <c r="M146" i="116"/>
  <c r="N145" i="116"/>
  <c r="M145" i="116"/>
  <c r="N144" i="116"/>
  <c r="M144" i="116"/>
  <c r="N143" i="116"/>
  <c r="M143" i="116"/>
  <c r="N142" i="116"/>
  <c r="M142" i="116"/>
  <c r="N141" i="116"/>
  <c r="M141" i="116"/>
  <c r="N140" i="116"/>
  <c r="M140" i="116"/>
  <c r="N139" i="116"/>
  <c r="M139" i="116"/>
  <c r="N138" i="116"/>
  <c r="M138" i="116"/>
  <c r="N77" i="116"/>
  <c r="M55" i="116"/>
  <c r="M43" i="116"/>
  <c r="M31" i="116"/>
  <c r="M30" i="116"/>
  <c r="N29" i="116"/>
  <c r="M29" i="116"/>
  <c r="N28" i="116"/>
  <c r="M28" i="116"/>
  <c r="M27" i="116"/>
  <c r="N25" i="116"/>
  <c r="M25" i="116"/>
  <c r="N24" i="116"/>
  <c r="M24" i="116"/>
  <c r="M23" i="116"/>
  <c r="N21" i="116"/>
  <c r="M21" i="116"/>
  <c r="N20" i="116"/>
  <c r="M20" i="116"/>
  <c r="M19" i="116"/>
  <c r="N17" i="116"/>
  <c r="M17" i="116"/>
  <c r="N16" i="116"/>
  <c r="M16" i="116"/>
  <c r="M15" i="116"/>
  <c r="N14" i="116"/>
  <c r="N13" i="116"/>
  <c r="M13" i="116"/>
  <c r="N12" i="116"/>
  <c r="M12" i="116"/>
  <c r="M11" i="116"/>
  <c r="M10" i="116"/>
  <c r="N9" i="116"/>
  <c r="M9" i="116"/>
  <c r="N8" i="116"/>
  <c r="M8" i="116"/>
  <c r="M7" i="116"/>
  <c r="N5" i="116"/>
  <c r="M5" i="116"/>
  <c r="N4" i="116"/>
  <c r="M4" i="116"/>
  <c r="M3" i="116"/>
  <c r="M4367" i="116"/>
  <c r="M4375" i="116"/>
  <c r="M4361" i="116"/>
  <c r="N4357" i="116"/>
  <c r="N4232" i="116"/>
  <c r="M4231" i="116"/>
  <c r="N4224" i="116"/>
  <c r="M4223" i="116"/>
  <c r="N4220" i="116"/>
  <c r="M4216" i="116"/>
  <c r="M4211" i="116"/>
  <c r="M4208" i="116"/>
  <c r="M4207" i="116"/>
  <c r="N4203" i="116"/>
  <c r="M3924" i="116"/>
  <c r="M3919" i="116"/>
  <c r="N3951" i="116"/>
  <c r="N3920" i="116"/>
  <c r="N3955" i="116"/>
  <c r="M3948" i="116"/>
  <c r="N3940" i="116"/>
  <c r="M3916" i="116"/>
  <c r="M3915" i="116"/>
  <c r="M3912" i="116"/>
  <c r="O3912" i="116" s="1"/>
  <c r="M3911" i="116"/>
  <c r="M3907" i="116"/>
  <c r="M3906" i="116"/>
  <c r="N3904" i="116"/>
  <c r="N3018" i="116"/>
  <c r="M3026" i="116"/>
  <c r="N3014" i="116"/>
  <c r="M3004" i="116"/>
  <c r="M2866" i="116"/>
  <c r="M2858" i="116"/>
  <c r="N2874" i="116"/>
  <c r="M2870" i="116"/>
  <c r="N2862" i="116"/>
  <c r="N2728" i="116"/>
  <c r="N2732" i="116"/>
  <c r="N2730" i="116"/>
  <c r="N2713" i="116"/>
  <c r="N2281" i="116"/>
  <c r="M2273" i="116"/>
  <c r="N2125" i="116"/>
  <c r="M2122" i="116"/>
  <c r="N2116" i="116"/>
  <c r="O2116" i="116" s="1"/>
  <c r="N2108" i="116"/>
  <c r="N2106" i="116"/>
  <c r="M2121" i="116"/>
  <c r="M2129" i="116"/>
  <c r="M2140" i="116"/>
  <c r="M2117" i="116"/>
  <c r="N1989" i="116"/>
  <c r="M1987" i="116"/>
  <c r="N1961" i="116"/>
  <c r="M1954" i="116"/>
  <c r="M1953" i="116"/>
  <c r="M1856" i="116"/>
  <c r="M1852" i="116"/>
  <c r="M1848" i="116"/>
  <c r="N1825" i="116"/>
  <c r="N1816" i="116"/>
  <c r="N1812" i="116"/>
  <c r="M1803" i="116"/>
  <c r="M1815" i="116"/>
  <c r="M1823" i="116"/>
  <c r="M1847" i="116"/>
  <c r="M1855" i="116"/>
  <c r="M1843" i="116"/>
  <c r="M1811" i="116"/>
  <c r="O1811" i="116" s="1"/>
  <c r="M1835" i="116"/>
  <c r="M1690" i="116"/>
  <c r="M1697" i="116"/>
  <c r="N1677" i="116"/>
  <c r="M1654" i="116"/>
  <c r="N1694" i="116"/>
  <c r="M1689" i="116"/>
  <c r="M1681" i="116"/>
  <c r="M1678" i="116"/>
  <c r="M1674" i="116"/>
  <c r="N1666" i="116"/>
  <c r="N1665" i="116"/>
  <c r="N1662" i="116"/>
  <c r="N1661" i="116"/>
  <c r="M1658" i="116"/>
  <c r="M1653" i="116"/>
  <c r="M1211" i="116"/>
  <c r="N1239" i="116"/>
  <c r="N1235" i="116"/>
  <c r="M1231" i="116"/>
  <c r="M1227" i="116"/>
  <c r="N1223" i="116"/>
  <c r="M1219" i="116"/>
  <c r="N1215" i="116"/>
  <c r="N1207" i="116"/>
  <c r="M1203" i="116"/>
  <c r="N1121" i="116"/>
  <c r="N1125" i="116"/>
  <c r="N939" i="116"/>
  <c r="N943" i="116"/>
  <c r="N947" i="116"/>
  <c r="N951" i="116"/>
  <c r="N955" i="116"/>
  <c r="M959" i="116"/>
  <c r="M907" i="116"/>
  <c r="M911" i="116"/>
  <c r="M915" i="116"/>
  <c r="M919" i="116"/>
  <c r="M923" i="116"/>
  <c r="M769" i="116"/>
  <c r="N789" i="116"/>
  <c r="N821" i="116"/>
  <c r="M757" i="116"/>
  <c r="M777" i="116"/>
  <c r="M817" i="116"/>
  <c r="M765" i="116"/>
  <c r="M785" i="116"/>
  <c r="M797" i="116"/>
  <c r="M809" i="116"/>
  <c r="N813" i="116"/>
  <c r="N184" i="116"/>
  <c r="N180" i="116"/>
  <c r="N172" i="116"/>
  <c r="N168" i="116"/>
  <c r="M164" i="116"/>
  <c r="M160" i="116"/>
  <c r="N1997" i="116"/>
  <c r="M1965" i="116"/>
  <c r="N1981" i="116"/>
  <c r="M1957" i="116"/>
  <c r="N1973" i="116"/>
  <c r="M2115" i="116"/>
  <c r="M2133" i="116"/>
  <c r="M2141" i="116"/>
  <c r="M2109" i="116"/>
  <c r="M2123" i="116"/>
  <c r="M2278" i="116"/>
  <c r="M2286" i="116"/>
  <c r="M2705" i="116"/>
  <c r="N2718" i="116"/>
  <c r="M2722" i="116"/>
  <c r="N2729" i="116"/>
  <c r="M2733" i="116"/>
  <c r="M2740" i="116"/>
  <c r="M2710" i="116"/>
  <c r="M2714" i="116"/>
  <c r="N2738" i="116"/>
  <c r="M2725" i="116"/>
  <c r="N2742" i="116"/>
  <c r="M2712" i="116"/>
  <c r="M2726" i="116"/>
  <c r="M2737" i="116"/>
  <c r="M2744" i="116"/>
  <c r="M2855" i="116"/>
  <c r="N2876" i="116"/>
  <c r="M2859" i="116"/>
  <c r="M2856" i="116"/>
  <c r="M2863" i="116"/>
  <c r="M2860" i="116"/>
  <c r="M2867" i="116"/>
  <c r="M3010" i="116"/>
  <c r="M3034" i="116"/>
  <c r="M3007" i="116"/>
  <c r="N3167" i="116"/>
  <c r="M3171" i="116"/>
  <c r="M3159" i="116"/>
  <c r="O3159" i="116" s="1"/>
  <c r="M3163" i="116"/>
  <c r="M3309" i="116"/>
  <c r="M3326" i="116"/>
  <c r="M3318" i="116"/>
  <c r="M3314" i="116"/>
  <c r="M3310" i="116"/>
  <c r="M3307" i="116"/>
  <c r="M1820" i="116"/>
  <c r="M3305" i="116"/>
  <c r="O3305" i="116" s="1"/>
  <c r="N3329" i="116"/>
  <c r="N3313" i="116"/>
  <c r="M3317" i="116"/>
  <c r="M3321" i="116"/>
  <c r="M3325" i="116"/>
  <c r="M3953" i="116"/>
  <c r="M3909" i="116"/>
  <c r="M3929" i="116"/>
  <c r="N3945" i="116"/>
  <c r="M3913" i="116"/>
  <c r="M3965" i="116"/>
  <c r="M3905" i="116"/>
  <c r="N3917" i="116"/>
  <c r="N3933" i="116"/>
  <c r="M3937" i="116"/>
  <c r="M3925" i="116"/>
  <c r="M3957" i="116"/>
  <c r="N3941" i="116"/>
  <c r="M4060" i="116"/>
  <c r="M4072" i="116"/>
  <c r="N4064" i="116"/>
  <c r="M4080" i="116"/>
  <c r="N4221" i="116"/>
  <c r="M4225" i="116"/>
  <c r="M4206" i="116"/>
  <c r="N4209" i="116"/>
  <c r="M4234" i="116"/>
  <c r="M4237" i="116"/>
  <c r="M4210" i="116"/>
  <c r="M4213" i="116"/>
  <c r="M4217" i="116"/>
  <c r="M4238" i="116"/>
  <c r="M4360" i="116"/>
  <c r="M4364" i="116"/>
  <c r="M4368" i="116"/>
  <c r="M4362" i="116"/>
  <c r="M4372" i="116"/>
  <c r="M4376" i="116"/>
  <c r="M1960" i="116"/>
  <c r="M1984" i="116"/>
  <c r="M1991" i="116"/>
  <c r="M2008" i="116"/>
  <c r="M2035" i="116"/>
  <c r="M1964" i="116"/>
  <c r="M1967" i="116"/>
  <c r="M1988" i="116"/>
  <c r="M1995" i="116"/>
  <c r="M2012" i="116"/>
  <c r="M2015" i="116"/>
  <c r="M2032" i="116"/>
  <c r="M1971" i="116"/>
  <c r="M1992" i="116"/>
  <c r="M2019" i="116"/>
  <c r="M2036" i="116"/>
  <c r="M1968" i="116"/>
  <c r="M1975" i="116"/>
  <c r="M1996" i="116"/>
  <c r="M1999" i="116"/>
  <c r="M2016" i="116"/>
  <c r="M2039" i="116"/>
  <c r="M1818" i="116"/>
  <c r="M1842" i="116"/>
  <c r="M1846" i="116"/>
  <c r="M1822" i="116"/>
  <c r="M1850" i="116"/>
  <c r="M1826" i="116"/>
  <c r="M1806" i="116"/>
  <c r="M1830" i="116"/>
  <c r="M1854" i="116"/>
  <c r="M1810" i="116"/>
  <c r="M1834" i="116"/>
  <c r="M1858" i="116"/>
  <c r="N1664" i="116"/>
  <c r="N1668" i="116"/>
  <c r="M1671" i="116"/>
  <c r="N1684" i="116"/>
  <c r="M1691" i="116"/>
  <c r="N1680" i="116"/>
  <c r="M1655" i="116"/>
  <c r="M1688" i="116"/>
  <c r="M1704" i="116"/>
  <c r="M1672" i="116"/>
  <c r="M1675" i="116"/>
  <c r="M1692" i="116"/>
  <c r="M1659" i="116"/>
  <c r="M1229" i="116"/>
  <c r="M1233" i="116"/>
  <c r="M1241" i="116"/>
  <c r="M1213" i="116"/>
  <c r="M1217" i="116"/>
  <c r="M1221" i="116"/>
  <c r="M1225" i="116"/>
  <c r="M760" i="116"/>
  <c r="M792" i="116"/>
  <c r="M764" i="116"/>
  <c r="O764" i="116" s="1"/>
  <c r="M796" i="116"/>
  <c r="M820" i="116"/>
  <c r="M768" i="116"/>
  <c r="M800" i="116"/>
  <c r="M824" i="116"/>
  <c r="M772" i="116"/>
  <c r="M804" i="116"/>
  <c r="M776" i="116"/>
  <c r="M808" i="116"/>
  <c r="M780" i="116"/>
  <c r="M155" i="116"/>
  <c r="M159" i="116"/>
  <c r="N163" i="116"/>
  <c r="M175" i="116"/>
  <c r="M3926" i="116"/>
  <c r="M3946" i="116"/>
  <c r="N3938" i="116"/>
  <c r="N3906" i="116"/>
  <c r="M3922" i="116"/>
  <c r="M4047" i="116"/>
  <c r="M3942" i="116"/>
  <c r="M3970" i="116"/>
  <c r="N3910" i="116"/>
  <c r="M3940" i="116"/>
  <c r="M3958" i="116"/>
  <c r="M3964" i="116"/>
  <c r="M3974" i="116"/>
  <c r="M3980" i="116"/>
  <c r="M3992" i="116"/>
  <c r="M4000" i="116"/>
  <c r="M4008" i="116"/>
  <c r="M4016" i="116"/>
  <c r="M3950" i="116"/>
  <c r="M3930" i="116"/>
  <c r="M3936" i="116"/>
  <c r="M3954" i="116"/>
  <c r="M4024" i="116"/>
  <c r="N4048" i="116"/>
  <c r="M4054" i="116"/>
  <c r="M3904" i="116"/>
  <c r="M4058" i="116"/>
  <c r="M4062" i="116"/>
  <c r="M4066" i="116"/>
  <c r="M3908" i="116"/>
  <c r="N4020" i="116"/>
  <c r="M3944" i="116"/>
  <c r="M3952" i="116"/>
  <c r="M3956" i="116"/>
  <c r="M3966" i="116"/>
  <c r="M3972" i="116"/>
  <c r="M3982" i="116"/>
  <c r="M3996" i="116"/>
  <c r="M4004" i="116"/>
  <c r="M4012" i="116"/>
  <c r="N4070" i="116"/>
  <c r="N3998" i="116"/>
  <c r="M3914" i="116"/>
  <c r="M3928" i="116"/>
  <c r="M4014" i="116"/>
  <c r="M4028" i="116"/>
  <c r="M4052" i="116"/>
  <c r="M4056" i="116"/>
  <c r="M4044" i="116"/>
  <c r="N4040" i="116"/>
  <c r="M4036" i="116"/>
  <c r="M4018" i="116"/>
  <c r="M4022" i="116"/>
  <c r="M3994" i="116"/>
  <c r="M4010" i="116"/>
  <c r="M3990" i="116"/>
  <c r="M4006" i="116"/>
  <c r="M4042" i="116"/>
  <c r="M4046" i="116"/>
  <c r="N4026" i="116"/>
  <c r="M4002" i="116"/>
  <c r="M4032" i="116"/>
  <c r="M4038" i="116"/>
  <c r="N4009" i="116"/>
  <c r="N4013" i="116"/>
  <c r="M3993" i="116"/>
  <c r="M4025" i="116"/>
  <c r="M4029" i="116"/>
  <c r="M4050" i="116"/>
  <c r="M3997" i="116"/>
  <c r="M4001" i="116"/>
  <c r="M4005" i="116"/>
  <c r="M4033" i="116"/>
  <c r="M4037" i="116"/>
  <c r="M4041" i="116"/>
  <c r="N3975" i="116"/>
  <c r="M3979" i="116"/>
  <c r="M3986" i="116"/>
  <c r="M3959" i="116"/>
  <c r="M3963" i="116"/>
  <c r="M3967" i="116"/>
  <c r="M3971" i="116"/>
  <c r="M3927" i="116"/>
  <c r="M3931" i="116"/>
  <c r="M3935" i="116"/>
  <c r="M3939" i="116"/>
  <c r="M3943" i="116"/>
  <c r="M3947" i="116"/>
  <c r="M3031" i="116"/>
  <c r="M3035" i="116"/>
  <c r="N452" i="116"/>
  <c r="M453" i="116"/>
  <c r="N454" i="116"/>
  <c r="N455" i="116"/>
  <c r="N456" i="116"/>
  <c r="N457" i="116"/>
  <c r="N458" i="116"/>
  <c r="N459" i="116"/>
  <c r="M460" i="116"/>
  <c r="N461" i="116"/>
  <c r="N462" i="116"/>
  <c r="N463" i="116"/>
  <c r="M464" i="116"/>
  <c r="N465" i="116"/>
  <c r="N466" i="116"/>
  <c r="N467" i="116"/>
  <c r="N468" i="116"/>
  <c r="N469" i="116"/>
  <c r="N470" i="116"/>
  <c r="M471" i="116"/>
  <c r="N472" i="116"/>
  <c r="N473" i="116"/>
  <c r="M474" i="116"/>
  <c r="M475" i="116"/>
  <c r="N476" i="116"/>
  <c r="M477" i="116"/>
  <c r="N478" i="116"/>
  <c r="N479" i="116"/>
  <c r="N480" i="116"/>
  <c r="N481" i="116"/>
  <c r="N482" i="116"/>
  <c r="N483" i="116"/>
  <c r="N484" i="116"/>
  <c r="N485" i="116"/>
  <c r="M486" i="116"/>
  <c r="N487" i="116"/>
  <c r="M488" i="116"/>
  <c r="M489" i="116"/>
  <c r="N490" i="116"/>
  <c r="M491" i="116"/>
  <c r="N492" i="116"/>
  <c r="N493" i="116"/>
  <c r="N494" i="116"/>
  <c r="N495" i="116"/>
  <c r="N496" i="116"/>
  <c r="N497" i="116"/>
  <c r="N498" i="116"/>
  <c r="M499" i="116"/>
  <c r="N500" i="116"/>
  <c r="N501" i="116"/>
  <c r="M502" i="116"/>
  <c r="N503" i="116"/>
  <c r="N504" i="116"/>
  <c r="N505" i="116"/>
  <c r="N506" i="116"/>
  <c r="N507" i="116"/>
  <c r="N508" i="116"/>
  <c r="N509" i="116"/>
  <c r="M510" i="116"/>
  <c r="N511" i="116"/>
  <c r="N512" i="116"/>
  <c r="M513" i="116"/>
  <c r="N514" i="116"/>
  <c r="N515" i="116"/>
  <c r="N516" i="116"/>
  <c r="N517" i="116"/>
  <c r="N518" i="116"/>
  <c r="N519" i="116"/>
  <c r="N520" i="116"/>
  <c r="N521" i="116"/>
  <c r="N522" i="116"/>
  <c r="N523" i="116"/>
  <c r="M524" i="116"/>
  <c r="N525" i="116"/>
  <c r="N526" i="116"/>
  <c r="N527" i="116"/>
  <c r="N528" i="116"/>
  <c r="N529" i="116"/>
  <c r="N530" i="116"/>
  <c r="N531" i="116"/>
  <c r="N532" i="116"/>
  <c r="N533" i="116"/>
  <c r="N534" i="116"/>
  <c r="M535" i="116"/>
  <c r="N536" i="116"/>
  <c r="N537" i="116"/>
  <c r="M538" i="116"/>
  <c r="N539" i="116"/>
  <c r="N540" i="116"/>
  <c r="M541" i="116"/>
  <c r="N542" i="116"/>
  <c r="N543" i="116"/>
  <c r="N544" i="116"/>
  <c r="N545" i="116"/>
  <c r="N546" i="116"/>
  <c r="N547" i="116"/>
  <c r="N548" i="116"/>
  <c r="N549" i="116"/>
  <c r="N550" i="116"/>
  <c r="N551" i="116"/>
  <c r="M552" i="116"/>
  <c r="N553" i="116"/>
  <c r="N554" i="116"/>
  <c r="M555" i="116"/>
  <c r="N556" i="116"/>
  <c r="N557" i="116"/>
  <c r="N558" i="116"/>
  <c r="N559" i="116"/>
  <c r="N560" i="116"/>
  <c r="N561" i="116"/>
  <c r="N562" i="116"/>
  <c r="M563" i="116"/>
  <c r="N564" i="116"/>
  <c r="N565" i="116"/>
  <c r="M566" i="116"/>
  <c r="N567" i="116"/>
  <c r="N568" i="116"/>
  <c r="N569" i="116"/>
  <c r="N570" i="116"/>
  <c r="N571" i="116"/>
  <c r="N572" i="116"/>
  <c r="N573" i="116"/>
  <c r="M574" i="116"/>
  <c r="N575" i="116"/>
  <c r="N576" i="116"/>
  <c r="M577" i="116"/>
  <c r="N578" i="116"/>
  <c r="N579" i="116"/>
  <c r="N580" i="116"/>
  <c r="N581" i="116"/>
  <c r="N582" i="116"/>
  <c r="N583" i="116"/>
  <c r="N584" i="116"/>
  <c r="N585" i="116"/>
  <c r="N586" i="116"/>
  <c r="N587" i="116"/>
  <c r="M588" i="116"/>
  <c r="N589" i="116"/>
  <c r="N590" i="116"/>
  <c r="N591" i="116"/>
  <c r="N592" i="116"/>
  <c r="N593" i="116"/>
  <c r="N594" i="116"/>
  <c r="N595" i="116"/>
  <c r="N596" i="116"/>
  <c r="N597" i="116"/>
  <c r="N598" i="116"/>
  <c r="M599" i="116"/>
  <c r="N600" i="116"/>
  <c r="N601" i="116"/>
  <c r="M602" i="116"/>
  <c r="M603" i="116"/>
  <c r="M604" i="116"/>
  <c r="M605" i="116"/>
  <c r="N606" i="116"/>
  <c r="N607" i="116"/>
  <c r="M608" i="116"/>
  <c r="N609" i="116"/>
  <c r="M610" i="116"/>
  <c r="M611" i="116"/>
  <c r="M612" i="116"/>
  <c r="M613" i="116"/>
  <c r="N614" i="116"/>
  <c r="N615" i="116"/>
  <c r="N616" i="116"/>
  <c r="N617" i="116"/>
  <c r="N618" i="116"/>
  <c r="M619" i="116"/>
  <c r="N620" i="116"/>
  <c r="N621" i="116"/>
  <c r="N623" i="116"/>
  <c r="M624" i="116"/>
  <c r="N625" i="116"/>
  <c r="N626" i="116"/>
  <c r="M627" i="116"/>
  <c r="N628" i="116"/>
  <c r="N629" i="116"/>
  <c r="M630" i="116"/>
  <c r="N631" i="116"/>
  <c r="M632" i="116"/>
  <c r="N633" i="116"/>
  <c r="N634" i="116"/>
  <c r="M635" i="116"/>
  <c r="N636" i="116"/>
  <c r="N637" i="116"/>
  <c r="M638" i="116"/>
  <c r="N639" i="116"/>
  <c r="N640" i="116"/>
  <c r="N641" i="116"/>
  <c r="N642" i="116"/>
  <c r="M643" i="116"/>
  <c r="N644" i="116"/>
  <c r="N645" i="116"/>
  <c r="N646" i="116"/>
  <c r="N647" i="116"/>
  <c r="N648" i="116"/>
  <c r="N649" i="116"/>
  <c r="N650" i="116"/>
  <c r="M651" i="116"/>
  <c r="N653" i="116"/>
  <c r="N654" i="116"/>
  <c r="N655" i="116"/>
  <c r="N656" i="116"/>
  <c r="N657" i="116"/>
  <c r="N658" i="116"/>
  <c r="M659" i="116"/>
  <c r="N661" i="116"/>
  <c r="M662" i="116"/>
  <c r="N663" i="116"/>
  <c r="N664" i="116"/>
  <c r="N665" i="116"/>
  <c r="N666" i="116"/>
  <c r="N667" i="116"/>
  <c r="M668" i="116"/>
  <c r="N669" i="116"/>
  <c r="M670" i="116"/>
  <c r="N672" i="116"/>
  <c r="N673" i="116"/>
  <c r="N674" i="116"/>
  <c r="N675" i="116"/>
  <c r="M676" i="116"/>
  <c r="N677" i="116"/>
  <c r="M678" i="116"/>
  <c r="N680" i="116"/>
  <c r="M681" i="116"/>
  <c r="M682" i="116"/>
  <c r="N683" i="116"/>
  <c r="N684" i="116"/>
  <c r="N686" i="116"/>
  <c r="M687" i="116"/>
  <c r="N688" i="116"/>
  <c r="M689" i="116"/>
  <c r="M690" i="116"/>
  <c r="N691" i="116"/>
  <c r="N692" i="116"/>
  <c r="N694" i="116"/>
  <c r="M695" i="116"/>
  <c r="N696" i="116"/>
  <c r="N697" i="116"/>
  <c r="N698" i="116"/>
  <c r="N699" i="116"/>
  <c r="M700" i="116"/>
  <c r="M701" i="116"/>
  <c r="N702" i="116"/>
  <c r="N703" i="116"/>
  <c r="M704" i="116"/>
  <c r="N705" i="116"/>
  <c r="N706" i="116"/>
  <c r="N707" i="116"/>
  <c r="M708" i="116"/>
  <c r="M709" i="116"/>
  <c r="N710" i="116"/>
  <c r="N711" i="116"/>
  <c r="M712" i="116"/>
  <c r="N713" i="116"/>
  <c r="N714" i="116"/>
  <c r="N715" i="116"/>
  <c r="N716" i="116"/>
  <c r="N717" i="116"/>
  <c r="N718" i="116"/>
  <c r="M719" i="116"/>
  <c r="N720" i="116"/>
  <c r="N721" i="116"/>
  <c r="N722" i="116"/>
  <c r="N723" i="116"/>
  <c r="N724" i="116"/>
  <c r="N725" i="116"/>
  <c r="N726" i="116"/>
  <c r="M727" i="116"/>
  <c r="N728" i="116"/>
  <c r="N729" i="116"/>
  <c r="M730" i="116"/>
  <c r="M731" i="116"/>
  <c r="N732" i="116"/>
  <c r="M733" i="116"/>
  <c r="N734" i="116"/>
  <c r="N735" i="116"/>
  <c r="N736" i="116"/>
  <c r="N737" i="116"/>
  <c r="M738" i="116"/>
  <c r="M739" i="116"/>
  <c r="N740" i="116"/>
  <c r="M741" i="116"/>
  <c r="N742" i="116"/>
  <c r="N743" i="116"/>
  <c r="N744" i="116"/>
  <c r="N745" i="116"/>
  <c r="N746" i="116"/>
  <c r="N747" i="116"/>
  <c r="N748" i="116"/>
  <c r="N749" i="116"/>
  <c r="M750" i="116"/>
  <c r="N751" i="116"/>
  <c r="N826" i="116"/>
  <c r="N827" i="116"/>
  <c r="M828" i="116"/>
  <c r="N829" i="116"/>
  <c r="N830" i="116"/>
  <c r="N831" i="116"/>
  <c r="M832" i="116"/>
  <c r="N833" i="116"/>
  <c r="N834" i="116"/>
  <c r="M835" i="116"/>
  <c r="M836" i="116"/>
  <c r="N837" i="116"/>
  <c r="M838" i="116"/>
  <c r="N839" i="116"/>
  <c r="M840" i="116"/>
  <c r="N841" i="116"/>
  <c r="N842" i="116"/>
  <c r="N843" i="116"/>
  <c r="N844" i="116"/>
  <c r="N845" i="116"/>
  <c r="M846" i="116"/>
  <c r="M847" i="116"/>
  <c r="N848" i="116"/>
  <c r="N849" i="116"/>
  <c r="N850" i="116"/>
  <c r="N851" i="116"/>
  <c r="N852" i="116"/>
  <c r="N853" i="116"/>
  <c r="M854" i="116"/>
  <c r="M855" i="116"/>
  <c r="N856" i="116"/>
  <c r="N857" i="116"/>
  <c r="N858" i="116"/>
  <c r="N859" i="116"/>
  <c r="N860" i="116"/>
  <c r="N861" i="116"/>
  <c r="M862" i="116"/>
  <c r="N863" i="116"/>
  <c r="N864" i="116"/>
  <c r="N865" i="116"/>
  <c r="N866" i="116"/>
  <c r="N867" i="116"/>
  <c r="N868" i="116"/>
  <c r="N869" i="116"/>
  <c r="M870" i="116"/>
  <c r="N871" i="116"/>
  <c r="N872" i="116"/>
  <c r="M873" i="116"/>
  <c r="N874" i="116"/>
  <c r="N875" i="116"/>
  <c r="N876" i="116"/>
  <c r="N877" i="116"/>
  <c r="N878" i="116"/>
  <c r="N879" i="116"/>
  <c r="N880" i="116"/>
  <c r="M881" i="116"/>
  <c r="N882" i="116"/>
  <c r="N883" i="116"/>
  <c r="N884" i="116"/>
  <c r="N885" i="116"/>
  <c r="N886" i="116"/>
  <c r="N887" i="116"/>
  <c r="N888" i="116"/>
  <c r="M889" i="116"/>
  <c r="N890" i="116"/>
  <c r="N891" i="116"/>
  <c r="N892" i="116"/>
  <c r="N893" i="116"/>
  <c r="N894" i="116"/>
  <c r="N895" i="116"/>
  <c r="N896" i="116"/>
  <c r="M897" i="116"/>
  <c r="N898" i="116"/>
  <c r="N899" i="116"/>
  <c r="N900" i="116"/>
  <c r="N901" i="116"/>
  <c r="N966" i="116"/>
  <c r="N967" i="116"/>
  <c r="M968" i="116"/>
  <c r="N969" i="116"/>
  <c r="N970" i="116"/>
  <c r="M971" i="116"/>
  <c r="N972" i="116"/>
  <c r="N973" i="116"/>
  <c r="N974" i="116"/>
  <c r="N975" i="116"/>
  <c r="N976" i="116"/>
  <c r="N977" i="116"/>
  <c r="N978" i="116"/>
  <c r="M979" i="116"/>
  <c r="N980" i="116"/>
  <c r="N981" i="116"/>
  <c r="N982" i="116"/>
  <c r="N983" i="116"/>
  <c r="N984" i="116"/>
  <c r="N985" i="116"/>
  <c r="N986" i="116"/>
  <c r="N987" i="116"/>
  <c r="N988" i="116"/>
  <c r="N989" i="116"/>
  <c r="M990" i="116"/>
  <c r="N991" i="116"/>
  <c r="N992" i="116"/>
  <c r="N993" i="116"/>
  <c r="N994" i="116"/>
  <c r="M995" i="116"/>
  <c r="N996" i="116"/>
  <c r="N997" i="116"/>
  <c r="M998" i="116"/>
  <c r="N999" i="116"/>
  <c r="N1000" i="116"/>
  <c r="N1001" i="116"/>
  <c r="N1002" i="116"/>
  <c r="N1003" i="116"/>
  <c r="N1004" i="116"/>
  <c r="N1005" i="116"/>
  <c r="N1006" i="116"/>
  <c r="N1007" i="116"/>
  <c r="N1008" i="116"/>
  <c r="N1009" i="116"/>
  <c r="N1010" i="116"/>
  <c r="N1011" i="116"/>
  <c r="N1012" i="116"/>
  <c r="N1013" i="116"/>
  <c r="M1014" i="116"/>
  <c r="N1015" i="116"/>
  <c r="N1016" i="116"/>
  <c r="M1017" i="116"/>
  <c r="N1018" i="116"/>
  <c r="N1019" i="116"/>
  <c r="N1020" i="116"/>
  <c r="N1021" i="116"/>
  <c r="N1022" i="116"/>
  <c r="N1023" i="116"/>
  <c r="N1024" i="116"/>
  <c r="M1025" i="116"/>
  <c r="N1026" i="116"/>
  <c r="N1027" i="116"/>
  <c r="N1028" i="116"/>
  <c r="N1029" i="116"/>
  <c r="N1030" i="116"/>
  <c r="N1031" i="116"/>
  <c r="N1032" i="116"/>
  <c r="N1033" i="116"/>
  <c r="N1034" i="116"/>
  <c r="N1035" i="116"/>
  <c r="M1036" i="116"/>
  <c r="N1037" i="116"/>
  <c r="N1038" i="116"/>
  <c r="N1039" i="116"/>
  <c r="N1040" i="116"/>
  <c r="N1041" i="116"/>
  <c r="N1042" i="116"/>
  <c r="N1043" i="116"/>
  <c r="M1044" i="116"/>
  <c r="N1045" i="116"/>
  <c r="N1046" i="116"/>
  <c r="N1047" i="116"/>
  <c r="N1048" i="116"/>
  <c r="N1049" i="116"/>
  <c r="N1050" i="116"/>
  <c r="N1051" i="116"/>
  <c r="N1129" i="116"/>
  <c r="N1130" i="116"/>
  <c r="N1131" i="116"/>
  <c r="N1132" i="116"/>
  <c r="M1133" i="116"/>
  <c r="N1134" i="116"/>
  <c r="N1135" i="116"/>
  <c r="N1136" i="116"/>
  <c r="N1137" i="116"/>
  <c r="M1138" i="116"/>
  <c r="N1139" i="116"/>
  <c r="N1140" i="116"/>
  <c r="M1141" i="116"/>
  <c r="N1142" i="116"/>
  <c r="N1143" i="116"/>
  <c r="M1144" i="116"/>
  <c r="N1145" i="116"/>
  <c r="N1146" i="116"/>
  <c r="N1147" i="116"/>
  <c r="N1148" i="116"/>
  <c r="N1149" i="116"/>
  <c r="N1150" i="116"/>
  <c r="N1151" i="116"/>
  <c r="N1152" i="116"/>
  <c r="N1153" i="116"/>
  <c r="N1154" i="116"/>
  <c r="M1155" i="116"/>
  <c r="N1156" i="116"/>
  <c r="N1157" i="116"/>
  <c r="N1158" i="116"/>
  <c r="N1159" i="116"/>
  <c r="N1160" i="116"/>
  <c r="M1161" i="116"/>
  <c r="N1162" i="116"/>
  <c r="N1163" i="116"/>
  <c r="N1164" i="116"/>
  <c r="N1165" i="116"/>
  <c r="M1166" i="116"/>
  <c r="N1167" i="116"/>
  <c r="N1168" i="116"/>
  <c r="M1169" i="116"/>
  <c r="N1170" i="116"/>
  <c r="N1171" i="116"/>
  <c r="M1172" i="116"/>
  <c r="N1173" i="116"/>
  <c r="N1174" i="116"/>
  <c r="N1175" i="116"/>
  <c r="N1176" i="116"/>
  <c r="N1177" i="116"/>
  <c r="N1178" i="116"/>
  <c r="N1179" i="116"/>
  <c r="N1180" i="116"/>
  <c r="N1181" i="116"/>
  <c r="N1182" i="116"/>
  <c r="N1183" i="116"/>
  <c r="N1184" i="116"/>
  <c r="N1185" i="116"/>
  <c r="N1186" i="116"/>
  <c r="N1187" i="116"/>
  <c r="N1188" i="116"/>
  <c r="N1189" i="116"/>
  <c r="N1190" i="116"/>
  <c r="M1191" i="116"/>
  <c r="N1192" i="116"/>
  <c r="N1193" i="116"/>
  <c r="M1194" i="116"/>
  <c r="N1195" i="116"/>
  <c r="N1196" i="116"/>
  <c r="N1197" i="116"/>
  <c r="N1198" i="116"/>
  <c r="M1199" i="116"/>
  <c r="N1200" i="116"/>
  <c r="N1201" i="116"/>
  <c r="N1244" i="116"/>
  <c r="N1245" i="116"/>
  <c r="N1246" i="116"/>
  <c r="N1247" i="116"/>
  <c r="N1248" i="116"/>
  <c r="M1249" i="116"/>
  <c r="N1250" i="116"/>
  <c r="N1251" i="116"/>
  <c r="N1252" i="116"/>
  <c r="N1253" i="116"/>
  <c r="N1254" i="116"/>
  <c r="M1255" i="116"/>
  <c r="N1256" i="116"/>
  <c r="N1257" i="116"/>
  <c r="N1258" i="116"/>
  <c r="N1259" i="116"/>
  <c r="N1260" i="116"/>
  <c r="N1261" i="116"/>
  <c r="N1262" i="116"/>
  <c r="N1263" i="116"/>
  <c r="N1264" i="116"/>
  <c r="N1265" i="116"/>
  <c r="M1266" i="116"/>
  <c r="N1267" i="116"/>
  <c r="N1268" i="116"/>
  <c r="N1269" i="116"/>
  <c r="N1270" i="116"/>
  <c r="N1271" i="116"/>
  <c r="N1272" i="116"/>
  <c r="N1273" i="116"/>
  <c r="N1274" i="116"/>
  <c r="N1275" i="116"/>
  <c r="N1276" i="116"/>
  <c r="M1277" i="116"/>
  <c r="N1278" i="116"/>
  <c r="N1279" i="116"/>
  <c r="M1280" i="116"/>
  <c r="N1281" i="116"/>
  <c r="N1282" i="116"/>
  <c r="N1283" i="116"/>
  <c r="N1284" i="116"/>
  <c r="M1285" i="116"/>
  <c r="N1286" i="116"/>
  <c r="N1287" i="116"/>
  <c r="M1288" i="116"/>
  <c r="N1289" i="116"/>
  <c r="N1290" i="116"/>
  <c r="N1291" i="116"/>
  <c r="N1292" i="116"/>
  <c r="N1293" i="116"/>
  <c r="N1294" i="116"/>
  <c r="N1295" i="116"/>
  <c r="N1296" i="116"/>
  <c r="N1297" i="116"/>
  <c r="N1298" i="116"/>
  <c r="N1299" i="116"/>
  <c r="N1300" i="116"/>
  <c r="N1301" i="116"/>
  <c r="M1302" i="116"/>
  <c r="N1303" i="116"/>
  <c r="N1304" i="116"/>
  <c r="N1305" i="116"/>
  <c r="N1306" i="116"/>
  <c r="N1307" i="116"/>
  <c r="N1308" i="116"/>
  <c r="N1309" i="116"/>
  <c r="N1310" i="116"/>
  <c r="N1311" i="116"/>
  <c r="N1312" i="116"/>
  <c r="N1313" i="116"/>
  <c r="N1314" i="116"/>
  <c r="N1315" i="116"/>
  <c r="N1316" i="116"/>
  <c r="N1317" i="116"/>
  <c r="N1318" i="116"/>
  <c r="M1319" i="116"/>
  <c r="N1320" i="116"/>
  <c r="N1321" i="116"/>
  <c r="M1322" i="116"/>
  <c r="N1323" i="116"/>
  <c r="N1324" i="116"/>
  <c r="N1325" i="116"/>
  <c r="N1326" i="116"/>
  <c r="N1327" i="116"/>
  <c r="M1328" i="116"/>
  <c r="N1329" i="116"/>
  <c r="N1330" i="116"/>
  <c r="N1331" i="116"/>
  <c r="N1332" i="116"/>
  <c r="M1333" i="116"/>
  <c r="N1334" i="116"/>
  <c r="N1335" i="116"/>
  <c r="M1336" i="116"/>
  <c r="N1337" i="116"/>
  <c r="N1338" i="116"/>
  <c r="N1339" i="116"/>
  <c r="N1340" i="116"/>
  <c r="N1341" i="116"/>
  <c r="N1342" i="116"/>
  <c r="N1343" i="116"/>
  <c r="M1344" i="116"/>
  <c r="N1345" i="116"/>
  <c r="N1346" i="116"/>
  <c r="N1347" i="116"/>
  <c r="N1348" i="116"/>
  <c r="N1349" i="116"/>
  <c r="N1350" i="116"/>
  <c r="N1351" i="116"/>
  <c r="N1352" i="116"/>
  <c r="N1353" i="116"/>
  <c r="N1354" i="116"/>
  <c r="M1355" i="116"/>
  <c r="N1356" i="116"/>
  <c r="N1357" i="116"/>
  <c r="N1358" i="116"/>
  <c r="N1359" i="116"/>
  <c r="N1360" i="116"/>
  <c r="N1361" i="116"/>
  <c r="N1362" i="116"/>
  <c r="N1363" i="116"/>
  <c r="N1364" i="116"/>
  <c r="N1365" i="116"/>
  <c r="N1366" i="116"/>
  <c r="N1367" i="116"/>
  <c r="N1368" i="116"/>
  <c r="N1369" i="116"/>
  <c r="N1370" i="116"/>
  <c r="N1371" i="116"/>
  <c r="N1372" i="116"/>
  <c r="N1373" i="116"/>
  <c r="N1374" i="116"/>
  <c r="M1375" i="116"/>
  <c r="N1376" i="116"/>
  <c r="N1377" i="116"/>
  <c r="N1378" i="116"/>
  <c r="N1379" i="116"/>
  <c r="N1380" i="116"/>
  <c r="N1381" i="116"/>
  <c r="N1382" i="116"/>
  <c r="N1383" i="116"/>
  <c r="N1384" i="116"/>
  <c r="N1385" i="116"/>
  <c r="M1386" i="116"/>
  <c r="N1387" i="116"/>
  <c r="N1388" i="116"/>
  <c r="N1389" i="116"/>
  <c r="N1390" i="116"/>
  <c r="N1391" i="116"/>
  <c r="M1392" i="116"/>
  <c r="N1393" i="116"/>
  <c r="N1394" i="116"/>
  <c r="N1395" i="116"/>
  <c r="N1396" i="116"/>
  <c r="N1397" i="116"/>
  <c r="N1398" i="116"/>
  <c r="N1399" i="116"/>
  <c r="M1400" i="116"/>
  <c r="N1401" i="116"/>
  <c r="N1402" i="116"/>
  <c r="M1403" i="116"/>
  <c r="N1404" i="116"/>
  <c r="N1405" i="116"/>
  <c r="N1406" i="116"/>
  <c r="N1407" i="116"/>
  <c r="N1408" i="116"/>
  <c r="M1409" i="116"/>
  <c r="N1410" i="116"/>
  <c r="N1411" i="116"/>
  <c r="N1412" i="116"/>
  <c r="N1413" i="116"/>
  <c r="N1414" i="116"/>
  <c r="N1415" i="116"/>
  <c r="N1416" i="116"/>
  <c r="N1417" i="116"/>
  <c r="N1418" i="116"/>
  <c r="N1419" i="116"/>
  <c r="M1420" i="116"/>
  <c r="N1421" i="116"/>
  <c r="N1422" i="116"/>
  <c r="N1423" i="116"/>
  <c r="N1424" i="116"/>
  <c r="N1425" i="116"/>
  <c r="N1426" i="116"/>
  <c r="N1427" i="116"/>
  <c r="M1428" i="116"/>
  <c r="N1429" i="116"/>
  <c r="N1430" i="116"/>
  <c r="M1431" i="116"/>
  <c r="N1432" i="116"/>
  <c r="N1433" i="116"/>
  <c r="N1434" i="116"/>
  <c r="N1435" i="116"/>
  <c r="N1436" i="116"/>
  <c r="N1437" i="116"/>
  <c r="N1438" i="116"/>
  <c r="N1439" i="116"/>
  <c r="M1440" i="116"/>
  <c r="N1441" i="116"/>
  <c r="N1442" i="116"/>
  <c r="N1443" i="116"/>
  <c r="N1444" i="116"/>
  <c r="N1445" i="116"/>
  <c r="N1446" i="116"/>
  <c r="N1447" i="116"/>
  <c r="M1448" i="116"/>
  <c r="N1449" i="116"/>
  <c r="N1450" i="116"/>
  <c r="M1451" i="116"/>
  <c r="N1452" i="116"/>
  <c r="N1453" i="116"/>
  <c r="N1454" i="116"/>
  <c r="N1455" i="116"/>
  <c r="N1456" i="116"/>
  <c r="N1457" i="116"/>
  <c r="N1458" i="116"/>
  <c r="M1459" i="116"/>
  <c r="N1460" i="116"/>
  <c r="N1461" i="116"/>
  <c r="N1462" i="116"/>
  <c r="N1463" i="116"/>
  <c r="N1464" i="116"/>
  <c r="M1465" i="116"/>
  <c r="N1466" i="116"/>
  <c r="N1467" i="116"/>
  <c r="M1468" i="116"/>
  <c r="N1469" i="116"/>
  <c r="N1470" i="116"/>
  <c r="N1471" i="116"/>
  <c r="N1472" i="116"/>
  <c r="N1473" i="116"/>
  <c r="N1474" i="116"/>
  <c r="N1475" i="116"/>
  <c r="M1476" i="116"/>
  <c r="N1477" i="116"/>
  <c r="N1478" i="116"/>
  <c r="M1479" i="116"/>
  <c r="N1480" i="116"/>
  <c r="N1481" i="116"/>
  <c r="N1482" i="116"/>
  <c r="N1483" i="116"/>
  <c r="N1484" i="116"/>
  <c r="M1485" i="116"/>
  <c r="N1486" i="116"/>
  <c r="N1487" i="116"/>
  <c r="N1488" i="116"/>
  <c r="N1489" i="116"/>
  <c r="M1490" i="116"/>
  <c r="N1491" i="116"/>
  <c r="N1492" i="116"/>
  <c r="M1493" i="116"/>
  <c r="N1494" i="116"/>
  <c r="N1495" i="116"/>
  <c r="M1496" i="116"/>
  <c r="N1497" i="116"/>
  <c r="N1498" i="116"/>
  <c r="N1499" i="116"/>
  <c r="N1500" i="116"/>
  <c r="N1501" i="116"/>
  <c r="N1502" i="116"/>
  <c r="N1503" i="116"/>
  <c r="N1504" i="116"/>
  <c r="N1505" i="116"/>
  <c r="N1506" i="116"/>
  <c r="N1507" i="116"/>
  <c r="N1508" i="116"/>
  <c r="N1509" i="116"/>
  <c r="N1510" i="116"/>
  <c r="N1511" i="116"/>
  <c r="N1512" i="116"/>
  <c r="N1513" i="116"/>
  <c r="N1514" i="116"/>
  <c r="N1515" i="116"/>
  <c r="N1516" i="116"/>
  <c r="N1517" i="116"/>
  <c r="N1518" i="116"/>
  <c r="N1519" i="116"/>
  <c r="N1520" i="116"/>
  <c r="M1521" i="116"/>
  <c r="N1522" i="116"/>
  <c r="N1523" i="116"/>
  <c r="M1524" i="116"/>
  <c r="N1525" i="116"/>
  <c r="N1526" i="116"/>
  <c r="N1527" i="116"/>
  <c r="N1528" i="116"/>
  <c r="N1529" i="116"/>
  <c r="N1530" i="116"/>
  <c r="N1531" i="116"/>
  <c r="N1532" i="116"/>
  <c r="N1533" i="116"/>
  <c r="N1534" i="116"/>
  <c r="M1535" i="116"/>
  <c r="N1536" i="116"/>
  <c r="N1537" i="116"/>
  <c r="N1538" i="116"/>
  <c r="N1539" i="116"/>
  <c r="N1540" i="116"/>
  <c r="N1541" i="116"/>
  <c r="N1542" i="116"/>
  <c r="N1543" i="116"/>
  <c r="N1544" i="116"/>
  <c r="N1545" i="116"/>
  <c r="M1546" i="116"/>
  <c r="N1547" i="116"/>
  <c r="N1548" i="116"/>
  <c r="N1549" i="116"/>
  <c r="N1550" i="116"/>
  <c r="N1551" i="116"/>
  <c r="M1552" i="116"/>
  <c r="N1553" i="116"/>
  <c r="N1554" i="116"/>
  <c r="N1555" i="116"/>
  <c r="N1556" i="116"/>
  <c r="N1557" i="116"/>
  <c r="N1558" i="116"/>
  <c r="N1559" i="116"/>
  <c r="M1560" i="116"/>
  <c r="N1561" i="116"/>
  <c r="N1562" i="116"/>
  <c r="M1563" i="116"/>
  <c r="N1564" i="116"/>
  <c r="N1565" i="116"/>
  <c r="N1566" i="116"/>
  <c r="N1567" i="116"/>
  <c r="N1568" i="116"/>
  <c r="N1569" i="116"/>
  <c r="N1570" i="116"/>
  <c r="M1571" i="116"/>
  <c r="N1572" i="116"/>
  <c r="N1573" i="116"/>
  <c r="N1574" i="116"/>
  <c r="N1575" i="116"/>
  <c r="N1576" i="116"/>
  <c r="M1577" i="116"/>
  <c r="N1578" i="116"/>
  <c r="N1579" i="116"/>
  <c r="N1580" i="116"/>
  <c r="N1581" i="116"/>
  <c r="N1582" i="116"/>
  <c r="N1583" i="116"/>
  <c r="N1584" i="116"/>
  <c r="M1585" i="116"/>
  <c r="N1586" i="116"/>
  <c r="N1587" i="116"/>
  <c r="M1588" i="116"/>
  <c r="N1589" i="116"/>
  <c r="N1590" i="116"/>
  <c r="N1591" i="116"/>
  <c r="N1592" i="116"/>
  <c r="N1593" i="116"/>
  <c r="N1594" i="116"/>
  <c r="N1595" i="116"/>
  <c r="N1596" i="116"/>
  <c r="N1597" i="116"/>
  <c r="N1598" i="116"/>
  <c r="M1599" i="116"/>
  <c r="N1600" i="116"/>
  <c r="N1601" i="116"/>
  <c r="N1602" i="116"/>
  <c r="N1603" i="116"/>
  <c r="N1604" i="116"/>
  <c r="N1605" i="116"/>
  <c r="N1606" i="116"/>
  <c r="N1607" i="116"/>
  <c r="N1608" i="116"/>
  <c r="N1609" i="116"/>
  <c r="M1610" i="116"/>
  <c r="N1611" i="116"/>
  <c r="N1612" i="116"/>
  <c r="N1613" i="116"/>
  <c r="N1614" i="116"/>
  <c r="N1615" i="116"/>
  <c r="M1616" i="116"/>
  <c r="N1617" i="116"/>
  <c r="N1618" i="116"/>
  <c r="N1619" i="116"/>
  <c r="N1620" i="116"/>
  <c r="N1621" i="116"/>
  <c r="N1622" i="116"/>
  <c r="N1623" i="116"/>
  <c r="N1624" i="116"/>
  <c r="N1625" i="116"/>
  <c r="N1626" i="116"/>
  <c r="M1627" i="116"/>
  <c r="N1628" i="116"/>
  <c r="N1629" i="116"/>
  <c r="M1630" i="116"/>
  <c r="N1631" i="116"/>
  <c r="N1632" i="116"/>
  <c r="M1633" i="116"/>
  <c r="N1634" i="116"/>
  <c r="N1635" i="116"/>
  <c r="N1636" i="116"/>
  <c r="N1637" i="116"/>
  <c r="N1638" i="116"/>
  <c r="N1639" i="116"/>
  <c r="N1640" i="116"/>
  <c r="N1641" i="116"/>
  <c r="N1642" i="116"/>
  <c r="N1643" i="116"/>
  <c r="N1644" i="116"/>
  <c r="N1645" i="116"/>
  <c r="N1646" i="116"/>
  <c r="M1647" i="116"/>
  <c r="N1648" i="116"/>
  <c r="N1649" i="116"/>
  <c r="N1650" i="116"/>
  <c r="N1651" i="116"/>
  <c r="N1706" i="116"/>
  <c r="M1707" i="116"/>
  <c r="M1708" i="116"/>
  <c r="N1709" i="116"/>
  <c r="N1710" i="116"/>
  <c r="N1711" i="116"/>
  <c r="N1712" i="116"/>
  <c r="M1713" i="116"/>
  <c r="N1714" i="116"/>
  <c r="N1715" i="116"/>
  <c r="M1716" i="116"/>
  <c r="N1717" i="116"/>
  <c r="M1718" i="116"/>
  <c r="M1719" i="116"/>
  <c r="N1720" i="116"/>
  <c r="M1721" i="116"/>
  <c r="N1722" i="116"/>
  <c r="N1723" i="116"/>
  <c r="M1724" i="116"/>
  <c r="M1725" i="116"/>
  <c r="N1726" i="116"/>
  <c r="N1727" i="116"/>
  <c r="N1728" i="116"/>
  <c r="N1729" i="116"/>
  <c r="M1730" i="116"/>
  <c r="N1731" i="116"/>
  <c r="M1732" i="116"/>
  <c r="N1733" i="116"/>
  <c r="N1734" i="116"/>
  <c r="M1735" i="116"/>
  <c r="M1736" i="116"/>
  <c r="N1737" i="116"/>
  <c r="N1738" i="116"/>
  <c r="N1739" i="116"/>
  <c r="N1740" i="116"/>
  <c r="N1741" i="116"/>
  <c r="N1742" i="116"/>
  <c r="N1743" i="116"/>
  <c r="N1744" i="116"/>
  <c r="N1745" i="116"/>
  <c r="M1746" i="116"/>
  <c r="M1747" i="116"/>
  <c r="N1748" i="116"/>
  <c r="M1749" i="116"/>
  <c r="N1750" i="116"/>
  <c r="N1751" i="116"/>
  <c r="M1752" i="116"/>
  <c r="N1753" i="116"/>
  <c r="N1754" i="116"/>
  <c r="N1755" i="116"/>
  <c r="N1756" i="116"/>
  <c r="N1757" i="116"/>
  <c r="N1758" i="116"/>
  <c r="N1759" i="116"/>
  <c r="N1760" i="116"/>
  <c r="N1761" i="116"/>
  <c r="N1762" i="116"/>
  <c r="N1763" i="116"/>
  <c r="N1764" i="116"/>
  <c r="N1765" i="116"/>
  <c r="N1766" i="116"/>
  <c r="N1767" i="116"/>
  <c r="N1768" i="116"/>
  <c r="N1770" i="116"/>
  <c r="M1771" i="116"/>
  <c r="M1772" i="116"/>
  <c r="N1773" i="116"/>
  <c r="N1774" i="116"/>
  <c r="N1775" i="116"/>
  <c r="N1776" i="116"/>
  <c r="M1777" i="116"/>
  <c r="N1778" i="116"/>
  <c r="N1779" i="116"/>
  <c r="N1780" i="116"/>
  <c r="N1781" i="116"/>
  <c r="N1782" i="116"/>
  <c r="M1783" i="116"/>
  <c r="N1784" i="116"/>
  <c r="M1785" i="116"/>
  <c r="N1786" i="116"/>
  <c r="N1787" i="116"/>
  <c r="M1788" i="116"/>
  <c r="M1789" i="116"/>
  <c r="N1790" i="116"/>
  <c r="N1791" i="116"/>
  <c r="N1792" i="116"/>
  <c r="N1793" i="116"/>
  <c r="M1794" i="116"/>
  <c r="N1795" i="116"/>
  <c r="N1796" i="116"/>
  <c r="N1797" i="116"/>
  <c r="N1798" i="116"/>
  <c r="M1799" i="116"/>
  <c r="M1800" i="116"/>
  <c r="N1801" i="116"/>
  <c r="N1862" i="116"/>
  <c r="N1863" i="116"/>
  <c r="M1864" i="116"/>
  <c r="N1865" i="116"/>
  <c r="N1866" i="116"/>
  <c r="N1867" i="116"/>
  <c r="N1868" i="116"/>
  <c r="N1869" i="116"/>
  <c r="N1870" i="116"/>
  <c r="N1871" i="116"/>
  <c r="N1872" i="116"/>
  <c r="N1873" i="116"/>
  <c r="N1874" i="116"/>
  <c r="N1875" i="116"/>
  <c r="N1876" i="116"/>
  <c r="N1877" i="116"/>
  <c r="N1878" i="116"/>
  <c r="N1879" i="116"/>
  <c r="N1880" i="116"/>
  <c r="N1881" i="116"/>
  <c r="N1882" i="116"/>
  <c r="M1883" i="116"/>
  <c r="N1884" i="116"/>
  <c r="N1885" i="116"/>
  <c r="N1886" i="116"/>
  <c r="N1887" i="116"/>
  <c r="N1888" i="116"/>
  <c r="M1889" i="116"/>
  <c r="N1890" i="116"/>
  <c r="N1891" i="116"/>
  <c r="N1892" i="116"/>
  <c r="N1893" i="116"/>
  <c r="N1894" i="116"/>
  <c r="N1895" i="116"/>
  <c r="N1896" i="116"/>
  <c r="M1897" i="116"/>
  <c r="N1898" i="116"/>
  <c r="N1899" i="116"/>
  <c r="M1900" i="116"/>
  <c r="N1901" i="116"/>
  <c r="N1902" i="116"/>
  <c r="N1903" i="116"/>
  <c r="N1904" i="116"/>
  <c r="N1905" i="116"/>
  <c r="N1906" i="116"/>
  <c r="N1907" i="116"/>
  <c r="N1908" i="116"/>
  <c r="N1909" i="116"/>
  <c r="N1910" i="116"/>
  <c r="M1911" i="116"/>
  <c r="N1912" i="116"/>
  <c r="N1913" i="116"/>
  <c r="N1914" i="116"/>
  <c r="N1915" i="116"/>
  <c r="N1916" i="116"/>
  <c r="N1917" i="116"/>
  <c r="N1918" i="116"/>
  <c r="N1919" i="116"/>
  <c r="N1920" i="116"/>
  <c r="N1921" i="116"/>
  <c r="M1922" i="116"/>
  <c r="N1923" i="116"/>
  <c r="N1924" i="116"/>
  <c r="M1925" i="116"/>
  <c r="N1926" i="116"/>
  <c r="N1927" i="116"/>
  <c r="M1928" i="116"/>
  <c r="N1929" i="116"/>
  <c r="N1930" i="116"/>
  <c r="N1931" i="116"/>
  <c r="N1932" i="116"/>
  <c r="N1933" i="116"/>
  <c r="N1934" i="116"/>
  <c r="N1935" i="116"/>
  <c r="N1936" i="116"/>
  <c r="N1937" i="116"/>
  <c r="N1938" i="116"/>
  <c r="N1939" i="116"/>
  <c r="N1940" i="116"/>
  <c r="N1941" i="116"/>
  <c r="N1942" i="116"/>
  <c r="N1943" i="116"/>
  <c r="N1944" i="116"/>
  <c r="N1945" i="116"/>
  <c r="N1946" i="116"/>
  <c r="M1947" i="116"/>
  <c r="N1948" i="116"/>
  <c r="N1949" i="116"/>
  <c r="N1950" i="116"/>
  <c r="N1951" i="116"/>
  <c r="N1952" i="116"/>
  <c r="M2051" i="116"/>
  <c r="M2052" i="116"/>
  <c r="M2053" i="116"/>
  <c r="N2054" i="116"/>
  <c r="M2055" i="116"/>
  <c r="N2057" i="116"/>
  <c r="M2058" i="116"/>
  <c r="N2059" i="116"/>
  <c r="N2060" i="116"/>
  <c r="N2061" i="116"/>
  <c r="N2063" i="116"/>
  <c r="N2064" i="116"/>
  <c r="N2066" i="116"/>
  <c r="N2067" i="116"/>
  <c r="N2069" i="116"/>
  <c r="M2070" i="116"/>
  <c r="N2071" i="116"/>
  <c r="M2072" i="116"/>
  <c r="N2074" i="116"/>
  <c r="M2075" i="116"/>
  <c r="N2077" i="116"/>
  <c r="N2078" i="116"/>
  <c r="N2080" i="116"/>
  <c r="M2081" i="116"/>
  <c r="M2082" i="116"/>
  <c r="M2083" i="116"/>
  <c r="N2085" i="116"/>
  <c r="N2086" i="116"/>
  <c r="M2087" i="116"/>
  <c r="N2088" i="116"/>
  <c r="M2089" i="116"/>
  <c r="M2090" i="116"/>
  <c r="N2091" i="116"/>
  <c r="N2092" i="116"/>
  <c r="N2094" i="116"/>
  <c r="M2095" i="116"/>
  <c r="N2096" i="116"/>
  <c r="N2097" i="116"/>
  <c r="M2098" i="116"/>
  <c r="N2099" i="116"/>
  <c r="N2100" i="116"/>
  <c r="M2101" i="116"/>
  <c r="N2146" i="116"/>
  <c r="N2147" i="116"/>
  <c r="N2148" i="116"/>
  <c r="N2149" i="116"/>
  <c r="N2150" i="116"/>
  <c r="N2151" i="116"/>
  <c r="N2152" i="116"/>
  <c r="N2153" i="116"/>
  <c r="N2154" i="116"/>
  <c r="N2155" i="116"/>
  <c r="M2156" i="116"/>
  <c r="N2157" i="116"/>
  <c r="N2158" i="116"/>
  <c r="M2159" i="116"/>
  <c r="N2160" i="116"/>
  <c r="N2161" i="116"/>
  <c r="N2162" i="116"/>
  <c r="N2163" i="116"/>
  <c r="N2164" i="116"/>
  <c r="N2165" i="116"/>
  <c r="N2166" i="116"/>
  <c r="M2167" i="116"/>
  <c r="N2168" i="116"/>
  <c r="N2169" i="116"/>
  <c r="N2170" i="116"/>
  <c r="N2171" i="116"/>
  <c r="N2172" i="116"/>
  <c r="M2173" i="116"/>
  <c r="N2174" i="116"/>
  <c r="N2175" i="116"/>
  <c r="M2176" i="116"/>
  <c r="N2177" i="116"/>
  <c r="N2178" i="116"/>
  <c r="N2179" i="116"/>
  <c r="N2180" i="116"/>
  <c r="N2181" i="116"/>
  <c r="N2182" i="116"/>
  <c r="N2183" i="116"/>
  <c r="M2184" i="116"/>
  <c r="N2185" i="116"/>
  <c r="N2186" i="116"/>
  <c r="M2187" i="116"/>
  <c r="N2188" i="116"/>
  <c r="N2189" i="116"/>
  <c r="N2190" i="116"/>
  <c r="N2191" i="116"/>
  <c r="N2192" i="116"/>
  <c r="N2193" i="116"/>
  <c r="N2194" i="116"/>
  <c r="N2195" i="116"/>
  <c r="N2196" i="116"/>
  <c r="N2197" i="116"/>
  <c r="M2198" i="116"/>
  <c r="N2199" i="116"/>
  <c r="N2200" i="116"/>
  <c r="N2201" i="116"/>
  <c r="N2202" i="116"/>
  <c r="N2203" i="116"/>
  <c r="N2204" i="116"/>
  <c r="N2205" i="116"/>
  <c r="N2206" i="116"/>
  <c r="N2207" i="116"/>
  <c r="N2208" i="116"/>
  <c r="N2209" i="116"/>
  <c r="N2210" i="116"/>
  <c r="N2211" i="116"/>
  <c r="N2212" i="116"/>
  <c r="N2213" i="116"/>
  <c r="N2214" i="116"/>
  <c r="M2215" i="116"/>
  <c r="N2216" i="116"/>
  <c r="N2217" i="116"/>
  <c r="M2218" i="116"/>
  <c r="N2219" i="116"/>
  <c r="N2220" i="116"/>
  <c r="N2221" i="116"/>
  <c r="N2222" i="116"/>
  <c r="N2223" i="116"/>
  <c r="N2224" i="116"/>
  <c r="N2225" i="116"/>
  <c r="M2226" i="116"/>
  <c r="N2227" i="116"/>
  <c r="N2228" i="116"/>
  <c r="N2229" i="116"/>
  <c r="N2230" i="116"/>
  <c r="N2231" i="116"/>
  <c r="N2232" i="116"/>
  <c r="N2233" i="116"/>
  <c r="N2234" i="116"/>
  <c r="N2235" i="116"/>
  <c r="N2236" i="116"/>
  <c r="N2237" i="116"/>
  <c r="N2238" i="116"/>
  <c r="N2239" i="116"/>
  <c r="N2240" i="116"/>
  <c r="N2241" i="116"/>
  <c r="N2242" i="116"/>
  <c r="N2243" i="116"/>
  <c r="N2244" i="116"/>
  <c r="N2245" i="116"/>
  <c r="N2246" i="116"/>
  <c r="N2247" i="116"/>
  <c r="N2248" i="116"/>
  <c r="M2249" i="116"/>
  <c r="N2250" i="116"/>
  <c r="N2251" i="116"/>
  <c r="N2299" i="116"/>
  <c r="N2300" i="116"/>
  <c r="N2301" i="116"/>
  <c r="N2302" i="116"/>
  <c r="N2303" i="116"/>
  <c r="N2304" i="116"/>
  <c r="N2305" i="116"/>
  <c r="N2306" i="116"/>
  <c r="N2307" i="116"/>
  <c r="N2308" i="116"/>
  <c r="N2309" i="116"/>
  <c r="N2310" i="116"/>
  <c r="M2311" i="116"/>
  <c r="N2312" i="116"/>
  <c r="N2313" i="116"/>
  <c r="N2314" i="116"/>
  <c r="N2315" i="116"/>
  <c r="N2316" i="116"/>
  <c r="N2317" i="116"/>
  <c r="N2318" i="116"/>
  <c r="N2319" i="116"/>
  <c r="N2320" i="116"/>
  <c r="N2321" i="116"/>
  <c r="N2322" i="116"/>
  <c r="N2323" i="116"/>
  <c r="N2324" i="116"/>
  <c r="N2325" i="116"/>
  <c r="N2326" i="116"/>
  <c r="M2327" i="116"/>
  <c r="N2328" i="116"/>
  <c r="N2329" i="116"/>
  <c r="N2330" i="116"/>
  <c r="N2331" i="116"/>
  <c r="N2332" i="116"/>
  <c r="N2333" i="116"/>
  <c r="N2334" i="116"/>
  <c r="N2335" i="116"/>
  <c r="N2336" i="116"/>
  <c r="N2337" i="116"/>
  <c r="N2338" i="116"/>
  <c r="N2339" i="116"/>
  <c r="N2340" i="116"/>
  <c r="N2341" i="116"/>
  <c r="N2342" i="116"/>
  <c r="M2343" i="116"/>
  <c r="N2344" i="116"/>
  <c r="N2345" i="116"/>
  <c r="N2346" i="116"/>
  <c r="N2347" i="116"/>
  <c r="N2348" i="116"/>
  <c r="N2349" i="116"/>
  <c r="N2350" i="116"/>
  <c r="N2351" i="116"/>
  <c r="N2352" i="116"/>
  <c r="N2353" i="116"/>
  <c r="M2354" i="116"/>
  <c r="N2355" i="116"/>
  <c r="N2356" i="116"/>
  <c r="N2357" i="116"/>
  <c r="N2358" i="116"/>
  <c r="M2359" i="116"/>
  <c r="N2360" i="116"/>
  <c r="N2361" i="116"/>
  <c r="N2362" i="116"/>
  <c r="N2363" i="116"/>
  <c r="N2364" i="116"/>
  <c r="N2365" i="116"/>
  <c r="N2366" i="116"/>
  <c r="N2367" i="116"/>
  <c r="N2368" i="116"/>
  <c r="N2369" i="116"/>
  <c r="M2370" i="116"/>
  <c r="N2371" i="116"/>
  <c r="N2372" i="116"/>
  <c r="N2373" i="116"/>
  <c r="N2374" i="116"/>
  <c r="M2375" i="116"/>
  <c r="N2376" i="116"/>
  <c r="N2377" i="116"/>
  <c r="N2378" i="116"/>
  <c r="N2379" i="116"/>
  <c r="N2380" i="116"/>
  <c r="N2381" i="116"/>
  <c r="N2382" i="116"/>
  <c r="N2383" i="116"/>
  <c r="N2384" i="116"/>
  <c r="N2385" i="116"/>
  <c r="N2386" i="116"/>
  <c r="N2387" i="116"/>
  <c r="N2388" i="116"/>
  <c r="N2389" i="116"/>
  <c r="N2390" i="116"/>
  <c r="M2391" i="116"/>
  <c r="N2392" i="116"/>
  <c r="N2393" i="116"/>
  <c r="N2394" i="116"/>
  <c r="N2395" i="116"/>
  <c r="N2396" i="116"/>
  <c r="N2397" i="116"/>
  <c r="N2398" i="116"/>
  <c r="N2399" i="116"/>
  <c r="N2400" i="116"/>
  <c r="N2401" i="116"/>
  <c r="N2402" i="116"/>
  <c r="N2403" i="116"/>
  <c r="N2404" i="116"/>
  <c r="N2405" i="116"/>
  <c r="N2406" i="116"/>
  <c r="N2407" i="116"/>
  <c r="N2408" i="116"/>
  <c r="N2409" i="116"/>
  <c r="M2410" i="116"/>
  <c r="N2411" i="116"/>
  <c r="N2412" i="116"/>
  <c r="N2413" i="116"/>
  <c r="N2414" i="116"/>
  <c r="N2415" i="116"/>
  <c r="N2416" i="116"/>
  <c r="N2417" i="116"/>
  <c r="N2418" i="116"/>
  <c r="N2419" i="116"/>
  <c r="N2420" i="116"/>
  <c r="N2421" i="116"/>
  <c r="N2422" i="116"/>
  <c r="N2423" i="116"/>
  <c r="N2424" i="116"/>
  <c r="N2425" i="116"/>
  <c r="N2426" i="116"/>
  <c r="N2427" i="116"/>
  <c r="N2428" i="116"/>
  <c r="N2429" i="116"/>
  <c r="N2430" i="116"/>
  <c r="N2431" i="116"/>
  <c r="M2432" i="116"/>
  <c r="N2433" i="116"/>
  <c r="N2434" i="116"/>
  <c r="M2435" i="116"/>
  <c r="N2436" i="116"/>
  <c r="N2437" i="116"/>
  <c r="N2438" i="116"/>
  <c r="N2439" i="116"/>
  <c r="N2440" i="116"/>
  <c r="N2441" i="116"/>
  <c r="N2442" i="116"/>
  <c r="M2443" i="116"/>
  <c r="N2444" i="116"/>
  <c r="N2445" i="116"/>
  <c r="M2446" i="116"/>
  <c r="N2447" i="116"/>
  <c r="N2448" i="116"/>
  <c r="N2449" i="116"/>
  <c r="N2450" i="116"/>
  <c r="N2451" i="116"/>
  <c r="N2452" i="116"/>
  <c r="N2453" i="116"/>
  <c r="M2454" i="116"/>
  <c r="N2455" i="116"/>
  <c r="N2456" i="116"/>
  <c r="N2457" i="116"/>
  <c r="N2458" i="116"/>
  <c r="N2459" i="116"/>
  <c r="N2460" i="116"/>
  <c r="N2461" i="116"/>
  <c r="N2462" i="116"/>
  <c r="N2463" i="116"/>
  <c r="N2464" i="116"/>
  <c r="M2465" i="116"/>
  <c r="N2466" i="116"/>
  <c r="N2467" i="116"/>
  <c r="M2468" i="116"/>
  <c r="N2469" i="116"/>
  <c r="N2470" i="116"/>
  <c r="N2471" i="116"/>
  <c r="N2472" i="116"/>
  <c r="M2473" i="116"/>
  <c r="N2474" i="116"/>
  <c r="N2475" i="116"/>
  <c r="M2476" i="116"/>
  <c r="N2477" i="116"/>
  <c r="N2478" i="116"/>
  <c r="N2479" i="116"/>
  <c r="N2480" i="116"/>
  <c r="M2481" i="116"/>
  <c r="N2482" i="116"/>
  <c r="N2483" i="116"/>
  <c r="M2484" i="116"/>
  <c r="N2485" i="116"/>
  <c r="N2486" i="116"/>
  <c r="N2487" i="116"/>
  <c r="N2488" i="116"/>
  <c r="M2489" i="116"/>
  <c r="N2490" i="116"/>
  <c r="N2491" i="116"/>
  <c r="N2492" i="116"/>
  <c r="N2493" i="116"/>
  <c r="N2494" i="116"/>
  <c r="M2495" i="116"/>
  <c r="N2496" i="116"/>
  <c r="N2497" i="116"/>
  <c r="M2498" i="116"/>
  <c r="N2499" i="116"/>
  <c r="N2500" i="116"/>
  <c r="N2501" i="116"/>
  <c r="N2502" i="116"/>
  <c r="N2503" i="116"/>
  <c r="N2504" i="116"/>
  <c r="N2505" i="116"/>
  <c r="M2506" i="116"/>
  <c r="N2507" i="116"/>
  <c r="N2508" i="116"/>
  <c r="M2509" i="116"/>
  <c r="N2510" i="116"/>
  <c r="N2511" i="116"/>
  <c r="N2512" i="116"/>
  <c r="N2513" i="116"/>
  <c r="N2514" i="116"/>
  <c r="N2515" i="116"/>
  <c r="N2516" i="116"/>
  <c r="M2517" i="116"/>
  <c r="N2518" i="116"/>
  <c r="N2519" i="116"/>
  <c r="N2520" i="116"/>
  <c r="N2521" i="116"/>
  <c r="N2522" i="116"/>
  <c r="N2523" i="116"/>
  <c r="N2524" i="116"/>
  <c r="N2525" i="116"/>
  <c r="N2526" i="116"/>
  <c r="N2527" i="116"/>
  <c r="M2528" i="116"/>
  <c r="N2529" i="116"/>
  <c r="N2530" i="116"/>
  <c r="N2531" i="116"/>
  <c r="N2532" i="116"/>
  <c r="N2533" i="116"/>
  <c r="N2534" i="116"/>
  <c r="N2535" i="116"/>
  <c r="M2536" i="116"/>
  <c r="N2537" i="116"/>
  <c r="N2538" i="116"/>
  <c r="N2539" i="116"/>
  <c r="N2540" i="116"/>
  <c r="N2541" i="116"/>
  <c r="N2542" i="116"/>
  <c r="N2543" i="116"/>
  <c r="M2544" i="116"/>
  <c r="N2545" i="116"/>
  <c r="N2546" i="116"/>
  <c r="N2547" i="116"/>
  <c r="N2548" i="116"/>
  <c r="N2549" i="116"/>
  <c r="N2550" i="116"/>
  <c r="N2551" i="116"/>
  <c r="N2552" i="116"/>
  <c r="N2553" i="116"/>
  <c r="N2554" i="116"/>
  <c r="M2555" i="116"/>
  <c r="N2556" i="116"/>
  <c r="N2557" i="116"/>
  <c r="M2558" i="116"/>
  <c r="N2559" i="116"/>
  <c r="N2560" i="116"/>
  <c r="N2561" i="116"/>
  <c r="N2562" i="116"/>
  <c r="N2563" i="116"/>
  <c r="N2564" i="116"/>
  <c r="N2565" i="116"/>
  <c r="N2566" i="116"/>
  <c r="M2567" i="116"/>
  <c r="N2568" i="116"/>
  <c r="N2569" i="116"/>
  <c r="N2570" i="116"/>
  <c r="N2571" i="116"/>
  <c r="N2572" i="116"/>
  <c r="N2573" i="116"/>
  <c r="N2574" i="116"/>
  <c r="N2575" i="116"/>
  <c r="M2576" i="116"/>
  <c r="N2577" i="116"/>
  <c r="N2578" i="116"/>
  <c r="N2579" i="116"/>
  <c r="N2580" i="116"/>
  <c r="N2581" i="116"/>
  <c r="N2582" i="116"/>
  <c r="N2583" i="116"/>
  <c r="M2584" i="116"/>
  <c r="N2585" i="116"/>
  <c r="N2586" i="116"/>
  <c r="M2587" i="116"/>
  <c r="N2588" i="116"/>
  <c r="N2589" i="116"/>
  <c r="N2590" i="116"/>
  <c r="N2591" i="116"/>
  <c r="N2592" i="116"/>
  <c r="N2593" i="116"/>
  <c r="N2594" i="116"/>
  <c r="N2595" i="116"/>
  <c r="N2596" i="116"/>
  <c r="N2597" i="116"/>
  <c r="M2598" i="116"/>
  <c r="N2599" i="116"/>
  <c r="N2600" i="116"/>
  <c r="M2601" i="116"/>
  <c r="N2602" i="116"/>
  <c r="N2603" i="116"/>
  <c r="M2604" i="116"/>
  <c r="N2605" i="116"/>
  <c r="N2606" i="116"/>
  <c r="N2607" i="116"/>
  <c r="N2608" i="116"/>
  <c r="N2609" i="116"/>
  <c r="N2610" i="116"/>
  <c r="N2611" i="116"/>
  <c r="N2612" i="116"/>
  <c r="N2613" i="116"/>
  <c r="N2614" i="116"/>
  <c r="M2615" i="116"/>
  <c r="N2616" i="116"/>
  <c r="N2617" i="116"/>
  <c r="M2618" i="116"/>
  <c r="N2619" i="116"/>
  <c r="N2620" i="116"/>
  <c r="N2621" i="116"/>
  <c r="N2622" i="116"/>
  <c r="N2623" i="116"/>
  <c r="M2624" i="116"/>
  <c r="N2625" i="116"/>
  <c r="N2626" i="116"/>
  <c r="M2627" i="116"/>
  <c r="N2628" i="116"/>
  <c r="N2629" i="116"/>
  <c r="N2630" i="116"/>
  <c r="N2631" i="116"/>
  <c r="M2632" i="116"/>
  <c r="N2633" i="116"/>
  <c r="N2634" i="116"/>
  <c r="N2635" i="116"/>
  <c r="N2636" i="116"/>
  <c r="N2637" i="116"/>
  <c r="N2638" i="116"/>
  <c r="N2639" i="116"/>
  <c r="N2640" i="116"/>
  <c r="M2641" i="116"/>
  <c r="N2642" i="116"/>
  <c r="N2643" i="116"/>
  <c r="M2644" i="116"/>
  <c r="N2645" i="116"/>
  <c r="N2646" i="116"/>
  <c r="N2647" i="116"/>
  <c r="N2648" i="116"/>
  <c r="N2649" i="116"/>
  <c r="N2650" i="116"/>
  <c r="N2651" i="116"/>
  <c r="M2652" i="116"/>
  <c r="N2653" i="116"/>
  <c r="N2654" i="116"/>
  <c r="N2655" i="116"/>
  <c r="N2656" i="116"/>
  <c r="N2657" i="116"/>
  <c r="N2658" i="116"/>
  <c r="N2659" i="116"/>
  <c r="N2660" i="116"/>
  <c r="N2661" i="116"/>
  <c r="N2662" i="116"/>
  <c r="M2663" i="116"/>
  <c r="N2664" i="116"/>
  <c r="N2665" i="116"/>
  <c r="M2666" i="116"/>
  <c r="N2667" i="116"/>
  <c r="N2668" i="116"/>
  <c r="M2669" i="116"/>
  <c r="N2670" i="116"/>
  <c r="N2671" i="116"/>
  <c r="N2672" i="116"/>
  <c r="N2673" i="116"/>
  <c r="N2674" i="116"/>
  <c r="M2675" i="116"/>
  <c r="N2676" i="116"/>
  <c r="N2677" i="116"/>
  <c r="M2678" i="116"/>
  <c r="N2679" i="116"/>
  <c r="N2680" i="116"/>
  <c r="N2681" i="116"/>
  <c r="N2682" i="116"/>
  <c r="N2683" i="116"/>
  <c r="M2684" i="116"/>
  <c r="N2685" i="116"/>
  <c r="N2686" i="116"/>
  <c r="M2687" i="116"/>
  <c r="N2688" i="116"/>
  <c r="N2689" i="116"/>
  <c r="M2690" i="116"/>
  <c r="N2691" i="116"/>
  <c r="N2692" i="116"/>
  <c r="M2693" i="116"/>
  <c r="N2694" i="116"/>
  <c r="N2695" i="116"/>
  <c r="N2696" i="116"/>
  <c r="N2697" i="116"/>
  <c r="N2698" i="116"/>
  <c r="N2699" i="116"/>
  <c r="N2700" i="116"/>
  <c r="N2701" i="116"/>
  <c r="N2745" i="116"/>
  <c r="M2746" i="116"/>
  <c r="N2747" i="116"/>
  <c r="N2748" i="116"/>
  <c r="M2749" i="116"/>
  <c r="N2750" i="116"/>
  <c r="N2751" i="116"/>
  <c r="M2752" i="116"/>
  <c r="N2753" i="116"/>
  <c r="N2754" i="116"/>
  <c r="N2755" i="116"/>
  <c r="N2756" i="116"/>
  <c r="N2757" i="116"/>
  <c r="N2758" i="116"/>
  <c r="N2759" i="116"/>
  <c r="N2760" i="116"/>
  <c r="N2761" i="116"/>
  <c r="N2762" i="116"/>
  <c r="M2763" i="116"/>
  <c r="N2764" i="116"/>
  <c r="N2765" i="116"/>
  <c r="N2766" i="116"/>
  <c r="N2767" i="116"/>
  <c r="N2768" i="116"/>
  <c r="N2769" i="116"/>
  <c r="N2770" i="116"/>
  <c r="N2771" i="116"/>
  <c r="M2772" i="116"/>
  <c r="N2773" i="116"/>
  <c r="N2774" i="116"/>
  <c r="N2775" i="116"/>
  <c r="N2776" i="116"/>
  <c r="N2777" i="116"/>
  <c r="N2778" i="116"/>
  <c r="N2779" i="116"/>
  <c r="M2780" i="116"/>
  <c r="N2781" i="116"/>
  <c r="N2782" i="116"/>
  <c r="N2783" i="116"/>
  <c r="N2784" i="116"/>
  <c r="N2785" i="116"/>
  <c r="N2786" i="116"/>
  <c r="N2787" i="116"/>
  <c r="N2788" i="116"/>
  <c r="N2789" i="116"/>
  <c r="N2790" i="116"/>
  <c r="M2791" i="116"/>
  <c r="N2792" i="116"/>
  <c r="N2793" i="116"/>
  <c r="N2794" i="116"/>
  <c r="N2795" i="116"/>
  <c r="N2796" i="116"/>
  <c r="N2797" i="116"/>
  <c r="N2798" i="116"/>
  <c r="N2799" i="116"/>
  <c r="N2800" i="116"/>
  <c r="N2801" i="116"/>
  <c r="N2802" i="116"/>
  <c r="N2803" i="116"/>
  <c r="N2804" i="116"/>
  <c r="N2805" i="116"/>
  <c r="N2806" i="116"/>
  <c r="N2807" i="116"/>
  <c r="M2808" i="116"/>
  <c r="N2809" i="116"/>
  <c r="N2810" i="116"/>
  <c r="N2811" i="116"/>
  <c r="N2812" i="116"/>
  <c r="N2813" i="116"/>
  <c r="N2814" i="116"/>
  <c r="N2815" i="116"/>
  <c r="N2816" i="116"/>
  <c r="M2817" i="116"/>
  <c r="N2818" i="116"/>
  <c r="N2819" i="116"/>
  <c r="N2820" i="116"/>
  <c r="N2821" i="116"/>
  <c r="M2822" i="116"/>
  <c r="N2823" i="116"/>
  <c r="N2824" i="116"/>
  <c r="N2825" i="116"/>
  <c r="N2826" i="116"/>
  <c r="N2827" i="116"/>
  <c r="M2828" i="116"/>
  <c r="N2829" i="116"/>
  <c r="N2830" i="116"/>
  <c r="N2831" i="116"/>
  <c r="N2832" i="116"/>
  <c r="N2833" i="116"/>
  <c r="N2834" i="116"/>
  <c r="N2835" i="116"/>
  <c r="N2836" i="116"/>
  <c r="N2837" i="116"/>
  <c r="N2838" i="116"/>
  <c r="M2839" i="116"/>
  <c r="N2840" i="116"/>
  <c r="N2841" i="116"/>
  <c r="N2842" i="116"/>
  <c r="N2843" i="116"/>
  <c r="N2844" i="116"/>
  <c r="N2845" i="116"/>
  <c r="N2846" i="116"/>
  <c r="N2847" i="116"/>
  <c r="N2848" i="116"/>
  <c r="N2849" i="116"/>
  <c r="N2850" i="116"/>
  <c r="N2851" i="116"/>
  <c r="N2878" i="116"/>
  <c r="N2879" i="116"/>
  <c r="N2880" i="116"/>
  <c r="N2881" i="116"/>
  <c r="N2882" i="116"/>
  <c r="M2883" i="116"/>
  <c r="N2884" i="116"/>
  <c r="N2885" i="116"/>
  <c r="N2886" i="116"/>
  <c r="N2887" i="116"/>
  <c r="N2888" i="116"/>
  <c r="M2889" i="116"/>
  <c r="N2890" i="116"/>
  <c r="N2891" i="116"/>
  <c r="N2892" i="116"/>
  <c r="N2893" i="116"/>
  <c r="M2894" i="116"/>
  <c r="N2895" i="116"/>
  <c r="N2896" i="116"/>
  <c r="N2897" i="116"/>
  <c r="N2898" i="116"/>
  <c r="N2899" i="116"/>
  <c r="N2900" i="116"/>
  <c r="N2901" i="116"/>
  <c r="N2902" i="116"/>
  <c r="N2903" i="116"/>
  <c r="N2904" i="116"/>
  <c r="N2905" i="116"/>
  <c r="N2906" i="116"/>
  <c r="N2907" i="116"/>
  <c r="M2908" i="116"/>
  <c r="N2909" i="116"/>
  <c r="N2910" i="116"/>
  <c r="M2911" i="116"/>
  <c r="N2912" i="116"/>
  <c r="N2913" i="116"/>
  <c r="M2914" i="116"/>
  <c r="N2915" i="116"/>
  <c r="N2916" i="116"/>
  <c r="M2917" i="116"/>
  <c r="N2918" i="116"/>
  <c r="N2919" i="116"/>
  <c r="N2920" i="116"/>
  <c r="N2921" i="116"/>
  <c r="M2922" i="116"/>
  <c r="N2923" i="116"/>
  <c r="N2924" i="116"/>
  <c r="M2925" i="116"/>
  <c r="N2926" i="116"/>
  <c r="N2927" i="116"/>
  <c r="M2928" i="116"/>
  <c r="N2929" i="116"/>
  <c r="N2930" i="116"/>
  <c r="N2931" i="116"/>
  <c r="N2932" i="116"/>
  <c r="N2933" i="116"/>
  <c r="N2934" i="116"/>
  <c r="N2935" i="116"/>
  <c r="N2936" i="116"/>
  <c r="N2937" i="116"/>
  <c r="N2938" i="116"/>
  <c r="M2939" i="116"/>
  <c r="N2940" i="116"/>
  <c r="N2941" i="116"/>
  <c r="N2942" i="116"/>
  <c r="N2943" i="116"/>
  <c r="N2944" i="116"/>
  <c r="N2945" i="116"/>
  <c r="N2946" i="116"/>
  <c r="N2947" i="116"/>
  <c r="M2948" i="116"/>
  <c r="N2949" i="116"/>
  <c r="N2950" i="116"/>
  <c r="N2951" i="116"/>
  <c r="N2952" i="116"/>
  <c r="N2953" i="116"/>
  <c r="N2954" i="116"/>
  <c r="N2955" i="116"/>
  <c r="M2956" i="116"/>
  <c r="N2957" i="116"/>
  <c r="N2958" i="116"/>
  <c r="N2959" i="116"/>
  <c r="N2960" i="116"/>
  <c r="N2961" i="116"/>
  <c r="N2962" i="116"/>
  <c r="N2963" i="116"/>
  <c r="N2964" i="116"/>
  <c r="N2965" i="116"/>
  <c r="N2966" i="116"/>
  <c r="N2967" i="116"/>
  <c r="N2968" i="116"/>
  <c r="N2969" i="116"/>
  <c r="N2970" i="116"/>
  <c r="N2971" i="116"/>
  <c r="N2972" i="116"/>
  <c r="N2973" i="116"/>
  <c r="N2974" i="116"/>
  <c r="M2975" i="116"/>
  <c r="N2976" i="116"/>
  <c r="N2977" i="116"/>
  <c r="N2978" i="116"/>
  <c r="N2979" i="116"/>
  <c r="N2980" i="116"/>
  <c r="N2981" i="116"/>
  <c r="N2982" i="116"/>
  <c r="M2983" i="116"/>
  <c r="N2984" i="116"/>
  <c r="N2985" i="116"/>
  <c r="N2986" i="116"/>
  <c r="N2987" i="116"/>
  <c r="N2988" i="116"/>
  <c r="N2989" i="116"/>
  <c r="N2990" i="116"/>
  <c r="N2991" i="116"/>
  <c r="N2992" i="116"/>
  <c r="N2993" i="116"/>
  <c r="N2994" i="116"/>
  <c r="N2995" i="116"/>
  <c r="N2996" i="116"/>
  <c r="N2997" i="116"/>
  <c r="N2998" i="116"/>
  <c r="N2999" i="116"/>
  <c r="N3000" i="116"/>
  <c r="N3001" i="116"/>
  <c r="M3181" i="116"/>
  <c r="N3182" i="116"/>
  <c r="N3183" i="116"/>
  <c r="N3184" i="116"/>
  <c r="N3185" i="116"/>
  <c r="N3186" i="116"/>
  <c r="N3187" i="116"/>
  <c r="N3188" i="116"/>
  <c r="N3189" i="116"/>
  <c r="N3190" i="116"/>
  <c r="N3191" i="116"/>
  <c r="M3192" i="116"/>
  <c r="N3193" i="116"/>
  <c r="N3194" i="116"/>
  <c r="M3195" i="116"/>
  <c r="N3196" i="116"/>
  <c r="N3197" i="116"/>
  <c r="N3198" i="116"/>
  <c r="N3199" i="116"/>
  <c r="M3200" i="116"/>
  <c r="N3201" i="116"/>
  <c r="N3202" i="116"/>
  <c r="M3203" i="116"/>
  <c r="N3204" i="116"/>
  <c r="N3205" i="116"/>
  <c r="N3206" i="116"/>
  <c r="N3207" i="116"/>
  <c r="M3208" i="116"/>
  <c r="N3209" i="116"/>
  <c r="N3210" i="116"/>
  <c r="M3211" i="116"/>
  <c r="N3212" i="116"/>
  <c r="N3213" i="116"/>
  <c r="N3214" i="116"/>
  <c r="N3215" i="116"/>
  <c r="M3216" i="116"/>
  <c r="N3217" i="116"/>
  <c r="N3218" i="116"/>
  <c r="M3219" i="116"/>
  <c r="N3220" i="116"/>
  <c r="N3221" i="116"/>
  <c r="N3222" i="116"/>
  <c r="N3223" i="116"/>
  <c r="M3224" i="116"/>
  <c r="N3225" i="116"/>
  <c r="N3226" i="116"/>
  <c r="M3227" i="116"/>
  <c r="N3228" i="116"/>
  <c r="N3229" i="116"/>
  <c r="M3230" i="116"/>
  <c r="N3231" i="116"/>
  <c r="N3232" i="116"/>
  <c r="N3233" i="116"/>
  <c r="N3234" i="116"/>
  <c r="N3235" i="116"/>
  <c r="N3236" i="116"/>
  <c r="N3237" i="116"/>
  <c r="M3238" i="116"/>
  <c r="N3239" i="116"/>
  <c r="N3240" i="116"/>
  <c r="M3241" i="116"/>
  <c r="N3242" i="116"/>
  <c r="N3243" i="116"/>
  <c r="N3244" i="116"/>
  <c r="N3245" i="116"/>
  <c r="N3246" i="116"/>
  <c r="N3247" i="116"/>
  <c r="N3248" i="116"/>
  <c r="M3249" i="116"/>
  <c r="N3250" i="116"/>
  <c r="N3251" i="116"/>
  <c r="N3252" i="116"/>
  <c r="N3253" i="116"/>
  <c r="N3254" i="116"/>
  <c r="N3255" i="116"/>
  <c r="N3256" i="116"/>
  <c r="M3257" i="116"/>
  <c r="N3258" i="116"/>
  <c r="N3259" i="116"/>
  <c r="M3260" i="116"/>
  <c r="N3261" i="116"/>
  <c r="N3262" i="116"/>
  <c r="N3263" i="116"/>
  <c r="N3264" i="116"/>
  <c r="N3265" i="116"/>
  <c r="N3266" i="116"/>
  <c r="N3267" i="116"/>
  <c r="N3268" i="116"/>
  <c r="N3269" i="116"/>
  <c r="N3270" i="116"/>
  <c r="M3271" i="116"/>
  <c r="N3272" i="116"/>
  <c r="N3273" i="116"/>
  <c r="N3274" i="116"/>
  <c r="N3275" i="116"/>
  <c r="N3276" i="116"/>
  <c r="N3277" i="116"/>
  <c r="N3278" i="116"/>
  <c r="M3279" i="116"/>
  <c r="N3280" i="116"/>
  <c r="N3281" i="116"/>
  <c r="N3282" i="116"/>
  <c r="N3283" i="116"/>
  <c r="N3284" i="116"/>
  <c r="N3285" i="116"/>
  <c r="N3286" i="116"/>
  <c r="M3287" i="116"/>
  <c r="N3288" i="116"/>
  <c r="N3289" i="116"/>
  <c r="N3290" i="116"/>
  <c r="N3291" i="116"/>
  <c r="N3292" i="116"/>
  <c r="M3293" i="116"/>
  <c r="N3294" i="116"/>
  <c r="N3295" i="116"/>
  <c r="N3296" i="116"/>
  <c r="N3297" i="116"/>
  <c r="M3298" i="116"/>
  <c r="N3299" i="116"/>
  <c r="N3300" i="116"/>
  <c r="N3301" i="116"/>
  <c r="N3335" i="116"/>
  <c r="N3336" i="116"/>
  <c r="M3337" i="116"/>
  <c r="N3338" i="116"/>
  <c r="N3339" i="116"/>
  <c r="N3340" i="116"/>
  <c r="N3341" i="116"/>
  <c r="M3342" i="116"/>
  <c r="N3343" i="116"/>
  <c r="N3344" i="116"/>
  <c r="M3345" i="116"/>
  <c r="N3346" i="116"/>
  <c r="N3347" i="116"/>
  <c r="N3348" i="116"/>
  <c r="N3349" i="116"/>
  <c r="M3350" i="116"/>
  <c r="O3350" i="116" s="1"/>
  <c r="N3351" i="116"/>
  <c r="N3352" i="116"/>
  <c r="N3353" i="116"/>
  <c r="N3354" i="116"/>
  <c r="N3355" i="116"/>
  <c r="N3356" i="116"/>
  <c r="N3357" i="116"/>
  <c r="N3358" i="116"/>
  <c r="N3359" i="116"/>
  <c r="N3360" i="116"/>
  <c r="N3361" i="116"/>
  <c r="N3362" i="116"/>
  <c r="N3363" i="116"/>
  <c r="M3364" i="116"/>
  <c r="N3365" i="116"/>
  <c r="N3366" i="116"/>
  <c r="N3367" i="116"/>
  <c r="N3368" i="116"/>
  <c r="N3369" i="116"/>
  <c r="N3370" i="116"/>
  <c r="N3371" i="116"/>
  <c r="N3372" i="116"/>
  <c r="N3373" i="116"/>
  <c r="N3374" i="116"/>
  <c r="M3375" i="116"/>
  <c r="N3376" i="116"/>
  <c r="N3377" i="116"/>
  <c r="N3378" i="116"/>
  <c r="N3379" i="116"/>
  <c r="N3380" i="116"/>
  <c r="N3381" i="116"/>
  <c r="N3382" i="116"/>
  <c r="M3383" i="116"/>
  <c r="N3384" i="116"/>
  <c r="N3385" i="116"/>
  <c r="N3386" i="116"/>
  <c r="N3387" i="116"/>
  <c r="N3388" i="116"/>
  <c r="M3389" i="116"/>
  <c r="N3390" i="116"/>
  <c r="N3391" i="116"/>
  <c r="N3392" i="116"/>
  <c r="N3393" i="116"/>
  <c r="M3394" i="116"/>
  <c r="N3395" i="116"/>
  <c r="N3396" i="116"/>
  <c r="N3397" i="116"/>
  <c r="N3398" i="116"/>
  <c r="N3399" i="116"/>
  <c r="M3400" i="116"/>
  <c r="N3401" i="116"/>
  <c r="N3402" i="116"/>
  <c r="N3403" i="116"/>
  <c r="N3404" i="116"/>
  <c r="N3405" i="116"/>
  <c r="N3406" i="116"/>
  <c r="N3407" i="116"/>
  <c r="M3408" i="116"/>
  <c r="N3409" i="116"/>
  <c r="N3410" i="116"/>
  <c r="N3411" i="116"/>
  <c r="N3412" i="116"/>
  <c r="N3413" i="116"/>
  <c r="N3414" i="116"/>
  <c r="N3415" i="116"/>
  <c r="M3416" i="116"/>
  <c r="N3417" i="116"/>
  <c r="N3418" i="116"/>
  <c r="N3419" i="116"/>
  <c r="N3420" i="116"/>
  <c r="N3421" i="116"/>
  <c r="N3422" i="116"/>
  <c r="N3423" i="116"/>
  <c r="M3424" i="116"/>
  <c r="N3425" i="116"/>
  <c r="N3426" i="116"/>
  <c r="M3427" i="116"/>
  <c r="N3428" i="116"/>
  <c r="N3429" i="116"/>
  <c r="M3430" i="116"/>
  <c r="N3431" i="116"/>
  <c r="N3432" i="116"/>
  <c r="N3433" i="116"/>
  <c r="N3434" i="116"/>
  <c r="N3435" i="116"/>
  <c r="N3436" i="116"/>
  <c r="N3437" i="116"/>
  <c r="M3438" i="116"/>
  <c r="N3439" i="116"/>
  <c r="N3440" i="116"/>
  <c r="N3441" i="116"/>
  <c r="N3442" i="116"/>
  <c r="N3443" i="116"/>
  <c r="N3444" i="116"/>
  <c r="N3445" i="116"/>
  <c r="M3446" i="116"/>
  <c r="N3447" i="116"/>
  <c r="N3448" i="116"/>
  <c r="N3449" i="116"/>
  <c r="N3450" i="116"/>
  <c r="N3451" i="116"/>
  <c r="N3452" i="116"/>
  <c r="N3453" i="116"/>
  <c r="N3454" i="116"/>
  <c r="M3455" i="116"/>
  <c r="M3456" i="116"/>
  <c r="N3457" i="116"/>
  <c r="N3458" i="116"/>
  <c r="M3459" i="116"/>
  <c r="N3460" i="116"/>
  <c r="N3461" i="116"/>
  <c r="N3462" i="116"/>
  <c r="M3463" i="116"/>
  <c r="M3464" i="116"/>
  <c r="N3465" i="116"/>
  <c r="M3466" i="116"/>
  <c r="M3467" i="116"/>
  <c r="N3468" i="116"/>
  <c r="N3469" i="116"/>
  <c r="N3470" i="116"/>
  <c r="M3471" i="116"/>
  <c r="O3471" i="116" s="1"/>
  <c r="M3472" i="116"/>
  <c r="N3473" i="116"/>
  <c r="M3474" i="116"/>
  <c r="M3475" i="116"/>
  <c r="N3476" i="116"/>
  <c r="N3477" i="116"/>
  <c r="N3478" i="116"/>
  <c r="M3479" i="116"/>
  <c r="M3480" i="116"/>
  <c r="N3481" i="116"/>
  <c r="M3482" i="116"/>
  <c r="M3483" i="116"/>
  <c r="N3484" i="116"/>
  <c r="N3485" i="116"/>
  <c r="N3486" i="116"/>
  <c r="M3487" i="116"/>
  <c r="M3488" i="116"/>
  <c r="N3489" i="116"/>
  <c r="N3490" i="116"/>
  <c r="M3491" i="116"/>
  <c r="N3492" i="116"/>
  <c r="N3493" i="116"/>
  <c r="N3494" i="116"/>
  <c r="M3495" i="116"/>
  <c r="N3496" i="116"/>
  <c r="N3497" i="116"/>
  <c r="M3498" i="116"/>
  <c r="M3499" i="116"/>
  <c r="N3500" i="116"/>
  <c r="N3501" i="116"/>
  <c r="N3502" i="116"/>
  <c r="M3503" i="116"/>
  <c r="N3504" i="116"/>
  <c r="N3505" i="116"/>
  <c r="M3506" i="116"/>
  <c r="M3507" i="116"/>
  <c r="N3508" i="116"/>
  <c r="N3509" i="116"/>
  <c r="N3510" i="116"/>
  <c r="M3511" i="116"/>
  <c r="N3512" i="116"/>
  <c r="N3513" i="116"/>
  <c r="M3514" i="116"/>
  <c r="M3515" i="116"/>
  <c r="N3516" i="116"/>
  <c r="N3517" i="116"/>
  <c r="N3518" i="116"/>
  <c r="M3519" i="116"/>
  <c r="N3520" i="116"/>
  <c r="N3521" i="116"/>
  <c r="M3522" i="116"/>
  <c r="M3523" i="116"/>
  <c r="N3524" i="116"/>
  <c r="N3525" i="116"/>
  <c r="N3526" i="116"/>
  <c r="M3527" i="116"/>
  <c r="N3528" i="116"/>
  <c r="N3529" i="116"/>
  <c r="M3530" i="116"/>
  <c r="N3531" i="116"/>
  <c r="N3532" i="116"/>
  <c r="N3533" i="116"/>
  <c r="N3534" i="116"/>
  <c r="M3535" i="116"/>
  <c r="N3536" i="116"/>
  <c r="N3537" i="116"/>
  <c r="M3538" i="116"/>
  <c r="N3539" i="116"/>
  <c r="N3540" i="116"/>
  <c r="N3541" i="116"/>
  <c r="N3542" i="116"/>
  <c r="M3543" i="116"/>
  <c r="N3544" i="116"/>
  <c r="N3545" i="116"/>
  <c r="M3546" i="116"/>
  <c r="N3547" i="116"/>
  <c r="N3548" i="116"/>
  <c r="N3549" i="116"/>
  <c r="N3550" i="116"/>
  <c r="N3551" i="116"/>
  <c r="N3552" i="116"/>
  <c r="N3553" i="116"/>
  <c r="N3554" i="116"/>
  <c r="N3555" i="116"/>
  <c r="N3556" i="116"/>
  <c r="N3557" i="116"/>
  <c r="N3558" i="116"/>
  <c r="N3559" i="116"/>
  <c r="N3560" i="116"/>
  <c r="N3561" i="116"/>
  <c r="N3562" i="116"/>
  <c r="N3563" i="116"/>
  <c r="N3564" i="116"/>
  <c r="M3565" i="116"/>
  <c r="N3566" i="116"/>
  <c r="N3567" i="116"/>
  <c r="N3568" i="116"/>
  <c r="N3569" i="116"/>
  <c r="N3570" i="116"/>
  <c r="N3571" i="116"/>
  <c r="N3572" i="116"/>
  <c r="M3573" i="116"/>
  <c r="N3574" i="116"/>
  <c r="N3575" i="116"/>
  <c r="N3576" i="116"/>
  <c r="N3577" i="116"/>
  <c r="N3578" i="116"/>
  <c r="N3579" i="116"/>
  <c r="N3580" i="116"/>
  <c r="N3581" i="116"/>
  <c r="N3582" i="116"/>
  <c r="N3583" i="116"/>
  <c r="M3584" i="116"/>
  <c r="N3585" i="116"/>
  <c r="N3586" i="116"/>
  <c r="M3587" i="116"/>
  <c r="N3588" i="116"/>
  <c r="N3589" i="116"/>
  <c r="M3590" i="116"/>
  <c r="N3591" i="116"/>
  <c r="N3592" i="116"/>
  <c r="N3593" i="116"/>
  <c r="N3594" i="116"/>
  <c r="N3595" i="116"/>
  <c r="N3596" i="116"/>
  <c r="N3597" i="116"/>
  <c r="M3598" i="116"/>
  <c r="N3599" i="116"/>
  <c r="N3600" i="116"/>
  <c r="N3601" i="116"/>
  <c r="N3602" i="116"/>
  <c r="N3603" i="116"/>
  <c r="M3604" i="116"/>
  <c r="N3605" i="116"/>
  <c r="M3606" i="116"/>
  <c r="N3607" i="116"/>
  <c r="N3608" i="116"/>
  <c r="N3609" i="116"/>
  <c r="N3610" i="116"/>
  <c r="N3611" i="116"/>
  <c r="N3612" i="116"/>
  <c r="N3613" i="116"/>
  <c r="N3614" i="116"/>
  <c r="N3615" i="116"/>
  <c r="N3616" i="116"/>
  <c r="M3617" i="116"/>
  <c r="N3618" i="116"/>
  <c r="N3619" i="116"/>
  <c r="N3620" i="116"/>
  <c r="N3621" i="116"/>
  <c r="N3622" i="116"/>
  <c r="N3623" i="116"/>
  <c r="N3624" i="116"/>
  <c r="N3625" i="116"/>
  <c r="M3626" i="116"/>
  <c r="N3627" i="116"/>
  <c r="N3628" i="116"/>
  <c r="N3629" i="116"/>
  <c r="N3630" i="116"/>
  <c r="M3631" i="116"/>
  <c r="N3632" i="116"/>
  <c r="N3633" i="116"/>
  <c r="N3634" i="116"/>
  <c r="N3635" i="116"/>
  <c r="N3636" i="116"/>
  <c r="N3637" i="116"/>
  <c r="N3638" i="116"/>
  <c r="N3639" i="116"/>
  <c r="N3640" i="116"/>
  <c r="N3641" i="116"/>
  <c r="M3642" i="116"/>
  <c r="N3643" i="116"/>
  <c r="N3644" i="116"/>
  <c r="N3645" i="116"/>
  <c r="N3646" i="116"/>
  <c r="M3647" i="116"/>
  <c r="N3648" i="116"/>
  <c r="N3649" i="116"/>
  <c r="M3650" i="116"/>
  <c r="N3651" i="116"/>
  <c r="N3652" i="116"/>
  <c r="N3653" i="116"/>
  <c r="N3654" i="116"/>
  <c r="N3655" i="116"/>
  <c r="N3656" i="116"/>
  <c r="N3657" i="116"/>
  <c r="M3658" i="116"/>
  <c r="N3659" i="116"/>
  <c r="N3660" i="116"/>
  <c r="N3661" i="116"/>
  <c r="N3662" i="116"/>
  <c r="N3663" i="116"/>
  <c r="N3664" i="116"/>
  <c r="N3665" i="116"/>
  <c r="M3666" i="116"/>
  <c r="N3667" i="116"/>
  <c r="N3668" i="116"/>
  <c r="N3669" i="116"/>
  <c r="N3670" i="116"/>
  <c r="N3671" i="116"/>
  <c r="N3672" i="116"/>
  <c r="N3673" i="116"/>
  <c r="M3674" i="116"/>
  <c r="N3675" i="116"/>
  <c r="N3676" i="116"/>
  <c r="M3677" i="116"/>
  <c r="N3678" i="116"/>
  <c r="N3679" i="116"/>
  <c r="N3680" i="116"/>
  <c r="N3681" i="116"/>
  <c r="N3682" i="116"/>
  <c r="N3683" i="116"/>
  <c r="N3684" i="116"/>
  <c r="M3685" i="116"/>
  <c r="N3686" i="116"/>
  <c r="N3687" i="116"/>
  <c r="N3688" i="116"/>
  <c r="N3689" i="116"/>
  <c r="N3690" i="116"/>
  <c r="N3691" i="116"/>
  <c r="N3692" i="116"/>
  <c r="N3693" i="116"/>
  <c r="N3694" i="116"/>
  <c r="N3695" i="116"/>
  <c r="M3696" i="116"/>
  <c r="N3697" i="116"/>
  <c r="N3698" i="116"/>
  <c r="M3699" i="116"/>
  <c r="N3700" i="116"/>
  <c r="N3701" i="116"/>
  <c r="N3702" i="116"/>
  <c r="N3703" i="116"/>
  <c r="M3704" i="116"/>
  <c r="N3705" i="116"/>
  <c r="N3706" i="116"/>
  <c r="M3707" i="116"/>
  <c r="N3708" i="116"/>
  <c r="N3709" i="116"/>
  <c r="M3710" i="116"/>
  <c r="N3711" i="116"/>
  <c r="N3712" i="116"/>
  <c r="N3713" i="116"/>
  <c r="N3714" i="116"/>
  <c r="N3715" i="116"/>
  <c r="N3716" i="116"/>
  <c r="N3717" i="116"/>
  <c r="M3718" i="116"/>
  <c r="N3719" i="116"/>
  <c r="N3720" i="116"/>
  <c r="N3721" i="116"/>
  <c r="N3722" i="116"/>
  <c r="N3723" i="116"/>
  <c r="N3724" i="116"/>
  <c r="N3725" i="116"/>
  <c r="M3726" i="116"/>
  <c r="N3727" i="116"/>
  <c r="N3728" i="116"/>
  <c r="N3729" i="116"/>
  <c r="N3730" i="116"/>
  <c r="N3731" i="116"/>
  <c r="N3732" i="116"/>
  <c r="N3733" i="116"/>
  <c r="M3734" i="116"/>
  <c r="N3735" i="116"/>
  <c r="N3736" i="116"/>
  <c r="N3737" i="116"/>
  <c r="N3738" i="116"/>
  <c r="N3739" i="116"/>
  <c r="N3740" i="116"/>
  <c r="N3741" i="116"/>
  <c r="N3742" i="116"/>
  <c r="N3743" i="116"/>
  <c r="N3744" i="116"/>
  <c r="M3745" i="116"/>
  <c r="N3746" i="116"/>
  <c r="N3747" i="116"/>
  <c r="N3748" i="116"/>
  <c r="N3749" i="116"/>
  <c r="N3750" i="116"/>
  <c r="N3751" i="116"/>
  <c r="N3752" i="116"/>
  <c r="M3753" i="116"/>
  <c r="N3754" i="116"/>
  <c r="N3755" i="116"/>
  <c r="N3756" i="116"/>
  <c r="N3757" i="116"/>
  <c r="N3758" i="116"/>
  <c r="N3759" i="116"/>
  <c r="N3760" i="116"/>
  <c r="M3761" i="116"/>
  <c r="N3762" i="116"/>
  <c r="N3763" i="116"/>
  <c r="N3764" i="116"/>
  <c r="N3765" i="116"/>
  <c r="N3766" i="116"/>
  <c r="N3767" i="116"/>
  <c r="N3768" i="116"/>
  <c r="M3769" i="116"/>
  <c r="N3770" i="116"/>
  <c r="N3771" i="116"/>
  <c r="M3772" i="116"/>
  <c r="N3773" i="116"/>
  <c r="N3774" i="116"/>
  <c r="N3775" i="116"/>
  <c r="N3776" i="116"/>
  <c r="N3777" i="116"/>
  <c r="N3778" i="116"/>
  <c r="N3779" i="116"/>
  <c r="M3780" i="116"/>
  <c r="N3781" i="116"/>
  <c r="N3782" i="116"/>
  <c r="N3783" i="116"/>
  <c r="N3784" i="116"/>
  <c r="N3785" i="116"/>
  <c r="N3786" i="116"/>
  <c r="N3787" i="116"/>
  <c r="M3788" i="116"/>
  <c r="N3789" i="116"/>
  <c r="N3790" i="116"/>
  <c r="N3791" i="116"/>
  <c r="N3792" i="116"/>
  <c r="N3793" i="116"/>
  <c r="N3794" i="116"/>
  <c r="N3795" i="116"/>
  <c r="M3796" i="116"/>
  <c r="N3797" i="116"/>
  <c r="N3798" i="116"/>
  <c r="N3799" i="116"/>
  <c r="N3800" i="116"/>
  <c r="N3801" i="116"/>
  <c r="N3802" i="116"/>
  <c r="N3803" i="116"/>
  <c r="N3804" i="116"/>
  <c r="N3805" i="116"/>
  <c r="N3806" i="116"/>
  <c r="M3807" i="116"/>
  <c r="N3808" i="116"/>
  <c r="N3809" i="116"/>
  <c r="M3810" i="116"/>
  <c r="N3811" i="116"/>
  <c r="N3812" i="116"/>
  <c r="N3813" i="116"/>
  <c r="N3814" i="116"/>
  <c r="M3815" i="116"/>
  <c r="N3816" i="116"/>
  <c r="N3817" i="116"/>
  <c r="M3818" i="116"/>
  <c r="N3819" i="116"/>
  <c r="N3820" i="116"/>
  <c r="N3821" i="116"/>
  <c r="N3822" i="116"/>
  <c r="N3823" i="116"/>
  <c r="N3824" i="116"/>
  <c r="N3825" i="116"/>
  <c r="M3826" i="116"/>
  <c r="N3827" i="116"/>
  <c r="N3828" i="116"/>
  <c r="N3829" i="116"/>
  <c r="N3830" i="116"/>
  <c r="N3831" i="116"/>
  <c r="N3832" i="116"/>
  <c r="N3833" i="116"/>
  <c r="M3834" i="116"/>
  <c r="N3835" i="116"/>
  <c r="N3836" i="116"/>
  <c r="M3837" i="116"/>
  <c r="N3838" i="116"/>
  <c r="N3839" i="116"/>
  <c r="N3840" i="116"/>
  <c r="N3841" i="116"/>
  <c r="N3842" i="116"/>
  <c r="N3843" i="116"/>
  <c r="N3844" i="116"/>
  <c r="M3845" i="116"/>
  <c r="N3846" i="116"/>
  <c r="N3847" i="116"/>
  <c r="N3848" i="116"/>
  <c r="N3849" i="116"/>
  <c r="N3850" i="116"/>
  <c r="N3851" i="116"/>
  <c r="N3852" i="116"/>
  <c r="M3853" i="116"/>
  <c r="N3854" i="116"/>
  <c r="N3855" i="116"/>
  <c r="N3856" i="116"/>
  <c r="N3857" i="116"/>
  <c r="N3858" i="116"/>
  <c r="N3859" i="116"/>
  <c r="N3860" i="116"/>
  <c r="M3861" i="116"/>
  <c r="N3862" i="116"/>
  <c r="N3863" i="116"/>
  <c r="N3864" i="116"/>
  <c r="N3865" i="116"/>
  <c r="N3866" i="116"/>
  <c r="N3867" i="116"/>
  <c r="N3868" i="116"/>
  <c r="N3869" i="116"/>
  <c r="N3870" i="116"/>
  <c r="N3871" i="116"/>
  <c r="M3872" i="116"/>
  <c r="N3873" i="116"/>
  <c r="N3874" i="116"/>
  <c r="M3875" i="116"/>
  <c r="N3876" i="116"/>
  <c r="N3877" i="116"/>
  <c r="N3878" i="116"/>
  <c r="N3879" i="116"/>
  <c r="M3880" i="116"/>
  <c r="N3881" i="116"/>
  <c r="N3882" i="116"/>
  <c r="M3883" i="116"/>
  <c r="N3884" i="116"/>
  <c r="N3885" i="116"/>
  <c r="M3886" i="116"/>
  <c r="N3887" i="116"/>
  <c r="N3888" i="116"/>
  <c r="N3889" i="116"/>
  <c r="N3890" i="116"/>
  <c r="N3891" i="116"/>
  <c r="N3892" i="116"/>
  <c r="N3893" i="116"/>
  <c r="N3894" i="116"/>
  <c r="N3895" i="116"/>
  <c r="N3896" i="116"/>
  <c r="M3897" i="116"/>
  <c r="N3898" i="116"/>
  <c r="N3899" i="116"/>
  <c r="N3900" i="116"/>
  <c r="N3901" i="116"/>
  <c r="N4082" i="116"/>
  <c r="N4083" i="116"/>
  <c r="M4084" i="116"/>
  <c r="N4085" i="116"/>
  <c r="N4086" i="116"/>
  <c r="N4087" i="116"/>
  <c r="N4088" i="116"/>
  <c r="M4089" i="116"/>
  <c r="N4090" i="116"/>
  <c r="N4091" i="116"/>
  <c r="M4092" i="116"/>
  <c r="N4093" i="116"/>
  <c r="N4094" i="116"/>
  <c r="N4095" i="116"/>
  <c r="N4096" i="116"/>
  <c r="N4097" i="116"/>
  <c r="N4098" i="116"/>
  <c r="N4099" i="116"/>
  <c r="M4100" i="116"/>
  <c r="N4101" i="116"/>
  <c r="N4102" i="116"/>
  <c r="N4103" i="116"/>
  <c r="N4104" i="116"/>
  <c r="N4105" i="116"/>
  <c r="N4106" i="116"/>
  <c r="N4107" i="116"/>
  <c r="N4108" i="116"/>
  <c r="N4109" i="116"/>
  <c r="N4110" i="116"/>
  <c r="N4111" i="116"/>
  <c r="N4112" i="116"/>
  <c r="N4113" i="116"/>
  <c r="M4114" i="116"/>
  <c r="N4115" i="116"/>
  <c r="N4116" i="116"/>
  <c r="N4117" i="116"/>
  <c r="N4118" i="116"/>
  <c r="N4119" i="116"/>
  <c r="M4120" i="116"/>
  <c r="N4121" i="116"/>
  <c r="N4122" i="116"/>
  <c r="N4123" i="116"/>
  <c r="N4124" i="116"/>
  <c r="M4125" i="116"/>
  <c r="N4126" i="116"/>
  <c r="N4127" i="116"/>
  <c r="M4128" i="116"/>
  <c r="N4129" i="116"/>
  <c r="N4130" i="116"/>
  <c r="N4131" i="116"/>
  <c r="N4132" i="116"/>
  <c r="M4133" i="116"/>
  <c r="N4134" i="116"/>
  <c r="N4135" i="116"/>
  <c r="N4136" i="116"/>
  <c r="N4137" i="116"/>
  <c r="N4138" i="116"/>
  <c r="M4139" i="116"/>
  <c r="N4140" i="116"/>
  <c r="N4141" i="116"/>
  <c r="N4142" i="116"/>
  <c r="N4143" i="116"/>
  <c r="N4144" i="116"/>
  <c r="N4145" i="116"/>
  <c r="N4146" i="116"/>
  <c r="M4147" i="116"/>
  <c r="N4148" i="116"/>
  <c r="N4149" i="116"/>
  <c r="N4150" i="116"/>
  <c r="N4151" i="116"/>
  <c r="N4152" i="116"/>
  <c r="N4153" i="116"/>
  <c r="N4154" i="116"/>
  <c r="M4155" i="116"/>
  <c r="N4156" i="116"/>
  <c r="N4157" i="116"/>
  <c r="N4158" i="116"/>
  <c r="N4159" i="116"/>
  <c r="N4160" i="116"/>
  <c r="N4161" i="116"/>
  <c r="N4162" i="116"/>
  <c r="N4163" i="116"/>
  <c r="N4164" i="116"/>
  <c r="N4165" i="116"/>
  <c r="M4166" i="116"/>
  <c r="N4167" i="116"/>
  <c r="N4168" i="116"/>
  <c r="N4169" i="116"/>
  <c r="N4170" i="116"/>
  <c r="N4171" i="116"/>
  <c r="N4172" i="116"/>
  <c r="N4173" i="116"/>
  <c r="M4174" i="116"/>
  <c r="N4175" i="116"/>
  <c r="N4176" i="116"/>
  <c r="M4177" i="116"/>
  <c r="N4178" i="116"/>
  <c r="N4179" i="116"/>
  <c r="N4180" i="116"/>
  <c r="N4181" i="116"/>
  <c r="N4182" i="116"/>
  <c r="N4183" i="116"/>
  <c r="N4184" i="116"/>
  <c r="N4185" i="116"/>
  <c r="N4186" i="116"/>
  <c r="N4187" i="116"/>
  <c r="N4188" i="116"/>
  <c r="N4189" i="116"/>
  <c r="N4190" i="116"/>
  <c r="N4191" i="116"/>
  <c r="N4192" i="116"/>
  <c r="N4193" i="116"/>
  <c r="N4194" i="116"/>
  <c r="N4195" i="116"/>
  <c r="N4196" i="116"/>
  <c r="N4197" i="116"/>
  <c r="N4198" i="116"/>
  <c r="N4199" i="116"/>
  <c r="N4200" i="116"/>
  <c r="N4201" i="116"/>
  <c r="N4240" i="116"/>
  <c r="N4241" i="116"/>
  <c r="N4242" i="116"/>
  <c r="N4243" i="116"/>
  <c r="M4244" i="116"/>
  <c r="N4245" i="116"/>
  <c r="N4246" i="116"/>
  <c r="N4247" i="116"/>
  <c r="N4248" i="116"/>
  <c r="N4249" i="116"/>
  <c r="N4250" i="116"/>
  <c r="N4251" i="116"/>
  <c r="N4252" i="116"/>
  <c r="N4253" i="116"/>
  <c r="N4254" i="116"/>
  <c r="M4255" i="116"/>
  <c r="N4256" i="116"/>
  <c r="N4257" i="116"/>
  <c r="M4258" i="116"/>
  <c r="N4259" i="116"/>
  <c r="N4260" i="116"/>
  <c r="N4261" i="116"/>
  <c r="N4262" i="116"/>
  <c r="N4263" i="116"/>
  <c r="M4264" i="116"/>
  <c r="N4265" i="116"/>
  <c r="N4266" i="116"/>
  <c r="N4267" i="116"/>
  <c r="N4268" i="116"/>
  <c r="M4269" i="116"/>
  <c r="N4270" i="116"/>
  <c r="N4271" i="116"/>
  <c r="M4272" i="116"/>
  <c r="N4273" i="116"/>
  <c r="N4274" i="116"/>
  <c r="N4275" i="116"/>
  <c r="N4276" i="116"/>
  <c r="N4277" i="116"/>
  <c r="M4278" i="116"/>
  <c r="N4279" i="116"/>
  <c r="N4280" i="116"/>
  <c r="M4281" i="116"/>
  <c r="N4282" i="116"/>
  <c r="N4283" i="116"/>
  <c r="N4284" i="116"/>
  <c r="N4285" i="116"/>
  <c r="N4286" i="116"/>
  <c r="N4287" i="116"/>
  <c r="N4288" i="116"/>
  <c r="N4289" i="116"/>
  <c r="N4290" i="116"/>
  <c r="N4291" i="116"/>
  <c r="M4292" i="116"/>
  <c r="N4293" i="116"/>
  <c r="N4294" i="116"/>
  <c r="N4295" i="116"/>
  <c r="N4296" i="116"/>
  <c r="N4297" i="116"/>
  <c r="M4298" i="116"/>
  <c r="N4299" i="116"/>
  <c r="N4300" i="116"/>
  <c r="N4301" i="116"/>
  <c r="N4302" i="116"/>
  <c r="N4303" i="116"/>
  <c r="N4304" i="116"/>
  <c r="N4305" i="116"/>
  <c r="M4306" i="116"/>
  <c r="N4307" i="116"/>
  <c r="N4308" i="116"/>
  <c r="N4309" i="116"/>
  <c r="N4310" i="116"/>
  <c r="N4311" i="116"/>
  <c r="M4312" i="116"/>
  <c r="N4313" i="116"/>
  <c r="N4314" i="116"/>
  <c r="M4315" i="116"/>
  <c r="N4316" i="116"/>
  <c r="N4317" i="116"/>
  <c r="N4318" i="116"/>
  <c r="N4319" i="116"/>
  <c r="N4320" i="116"/>
  <c r="N4321" i="116"/>
  <c r="N4322" i="116"/>
  <c r="N4323" i="116"/>
  <c r="N4324" i="116"/>
  <c r="N4325" i="116"/>
  <c r="M4326" i="116"/>
  <c r="N4327" i="116"/>
  <c r="N4328" i="116"/>
  <c r="N4329" i="116"/>
  <c r="N4330" i="116"/>
  <c r="N4331" i="116"/>
  <c r="N4332" i="116"/>
  <c r="N4333" i="116"/>
  <c r="N4334" i="116"/>
  <c r="N4335" i="116"/>
  <c r="N4336" i="116"/>
  <c r="M4337" i="116"/>
  <c r="N4338" i="116"/>
  <c r="N4339" i="116"/>
  <c r="M4340" i="116"/>
  <c r="N4341" i="116"/>
  <c r="N4342" i="116"/>
  <c r="N4343" i="116"/>
  <c r="N4344" i="116"/>
  <c r="N4345" i="116"/>
  <c r="N4346" i="116"/>
  <c r="N4347" i="116"/>
  <c r="N4348" i="116"/>
  <c r="N4349" i="116"/>
  <c r="N4350" i="116"/>
  <c r="M4351" i="116"/>
  <c r="M4377" i="116"/>
  <c r="N4378" i="116"/>
  <c r="N4379" i="116"/>
  <c r="M4380" i="116"/>
  <c r="N4381" i="116"/>
  <c r="N4382" i="116"/>
  <c r="M4383" i="116"/>
  <c r="N4384" i="116"/>
  <c r="M4385" i="116"/>
  <c r="O4385" i="116" s="1"/>
  <c r="N4386" i="116"/>
  <c r="N4387" i="116"/>
  <c r="N4389" i="116"/>
  <c r="N4390" i="116"/>
  <c r="M4391" i="116"/>
  <c r="N4392" i="116"/>
  <c r="M4393" i="116"/>
  <c r="N4394" i="116"/>
  <c r="N4395" i="116"/>
  <c r="N4397" i="116"/>
  <c r="N4398" i="116"/>
  <c r="M4399" i="116"/>
  <c r="N4400" i="116"/>
  <c r="N4401" i="116"/>
  <c r="N4402" i="116"/>
  <c r="N4403" i="116"/>
  <c r="M4404" i="116"/>
  <c r="N4405" i="116"/>
  <c r="N4406" i="116"/>
  <c r="M4407" i="116"/>
  <c r="N4408" i="116"/>
  <c r="N4409" i="116"/>
  <c r="N4410" i="116"/>
  <c r="N4411" i="116"/>
  <c r="M4412" i="116"/>
  <c r="N4413" i="116"/>
  <c r="N4414" i="116"/>
  <c r="M4415" i="116"/>
  <c r="N4416" i="116"/>
  <c r="N4417" i="116"/>
  <c r="M4418" i="116"/>
  <c r="N4419" i="116"/>
  <c r="N4420" i="116"/>
  <c r="N4421" i="116"/>
  <c r="N4422" i="116"/>
  <c r="N4423" i="116"/>
  <c r="N4424" i="116"/>
  <c r="N4425" i="116"/>
  <c r="M4426" i="116"/>
  <c r="N4427" i="116"/>
  <c r="N4428" i="116"/>
  <c r="N4430" i="116"/>
  <c r="N4431" i="116"/>
  <c r="N4433" i="116"/>
  <c r="N4434" i="116"/>
  <c r="N4436" i="116"/>
  <c r="M4437" i="116"/>
  <c r="N4438" i="116"/>
  <c r="N4439" i="116"/>
  <c r="M4440" i="116"/>
  <c r="N4441" i="116"/>
  <c r="N4442" i="116"/>
  <c r="N4444" i="116"/>
  <c r="M4445" i="116"/>
  <c r="O4445" i="116" s="1"/>
  <c r="N4446" i="116"/>
  <c r="N4447" i="116"/>
  <c r="M4448" i="116"/>
  <c r="N4449" i="116"/>
  <c r="N4450" i="116"/>
  <c r="N4452" i="116"/>
  <c r="M4453" i="116"/>
  <c r="N4454" i="116"/>
  <c r="N4455" i="116"/>
  <c r="M4456" i="116"/>
  <c r="N4457" i="116"/>
  <c r="N4458" i="116"/>
  <c r="N4460" i="116"/>
  <c r="M4461" i="116"/>
  <c r="N4462" i="116"/>
  <c r="N4463" i="116"/>
  <c r="M4464" i="116"/>
  <c r="N4465" i="116"/>
  <c r="N4466" i="116"/>
  <c r="N4467" i="116"/>
  <c r="N4468" i="116"/>
  <c r="M4469" i="116"/>
  <c r="N4470" i="116"/>
  <c r="N4471" i="116"/>
  <c r="N4472" i="116"/>
  <c r="N4473" i="116"/>
  <c r="N4474" i="116"/>
  <c r="N4475" i="116"/>
  <c r="N4476" i="116"/>
  <c r="M4477" i="116"/>
  <c r="N4478" i="116"/>
  <c r="N4479" i="116"/>
  <c r="N4480" i="116"/>
  <c r="N4481" i="116"/>
  <c r="N4482" i="116"/>
  <c r="N4483" i="116"/>
  <c r="N4484" i="116"/>
  <c r="M4485" i="116"/>
  <c r="N4486" i="116"/>
  <c r="N4487" i="116"/>
  <c r="N4488" i="116"/>
  <c r="N4489" i="116"/>
  <c r="N4490" i="116"/>
  <c r="N4491" i="116"/>
  <c r="N4492" i="116"/>
  <c r="M4493" i="116"/>
  <c r="N4494" i="116"/>
  <c r="N4495" i="116"/>
  <c r="N4496" i="116"/>
  <c r="N4497" i="116"/>
  <c r="N4498" i="116"/>
  <c r="N4499" i="116"/>
  <c r="N4500" i="116"/>
  <c r="M4501" i="116"/>
  <c r="N4502" i="116"/>
  <c r="N4503" i="116"/>
  <c r="N4504" i="116"/>
  <c r="N4505" i="116"/>
  <c r="M4506" i="116"/>
  <c r="N4507" i="116"/>
  <c r="N4508" i="116"/>
  <c r="N4509" i="116"/>
  <c r="N4510" i="116"/>
  <c r="N4511" i="116"/>
  <c r="N4512" i="116"/>
  <c r="N4513" i="116"/>
  <c r="M4514" i="116"/>
  <c r="N4515" i="116"/>
  <c r="N4516" i="116"/>
  <c r="N4517" i="116"/>
  <c r="N4518" i="116"/>
  <c r="N4519" i="116"/>
  <c r="N4520" i="116"/>
  <c r="N4521" i="116"/>
  <c r="M4522" i="116"/>
  <c r="N4523" i="116"/>
  <c r="N4524" i="116"/>
  <c r="N4525" i="116"/>
  <c r="N4526" i="116"/>
  <c r="N4527" i="116"/>
  <c r="N4528" i="116"/>
  <c r="N4529" i="116"/>
  <c r="M4530" i="116"/>
  <c r="N4531" i="116"/>
  <c r="N4532" i="116"/>
  <c r="N4533" i="116"/>
  <c r="N4534" i="116"/>
  <c r="N4535" i="116"/>
  <c r="N4536" i="116"/>
  <c r="N4537" i="116"/>
  <c r="M4538" i="116"/>
  <c r="N4539" i="116"/>
  <c r="N4540" i="116"/>
  <c r="N4541" i="116"/>
  <c r="N4542" i="116"/>
  <c r="N4543" i="116"/>
  <c r="N4544" i="116"/>
  <c r="N4545" i="116"/>
  <c r="M4546" i="116"/>
  <c r="N4547" i="116"/>
  <c r="N4548" i="116"/>
  <c r="N4549" i="116"/>
  <c r="N4550" i="116"/>
  <c r="N4551" i="116"/>
  <c r="N4552" i="116"/>
  <c r="N4553" i="116"/>
  <c r="M4554" i="116"/>
  <c r="N4555" i="116"/>
  <c r="N4556" i="116"/>
  <c r="N4557" i="116"/>
  <c r="N4558" i="116"/>
  <c r="N4559" i="116"/>
  <c r="N4560" i="116"/>
  <c r="N4561" i="116"/>
  <c r="M4562" i="116"/>
  <c r="N4563" i="116"/>
  <c r="N4564" i="116"/>
  <c r="N4565" i="116"/>
  <c r="N4566" i="116"/>
  <c r="N4567" i="116"/>
  <c r="N4568" i="116"/>
  <c r="N4569" i="116"/>
  <c r="M4570" i="116"/>
  <c r="N4571" i="116"/>
  <c r="N4572" i="116"/>
  <c r="N4573" i="116"/>
  <c r="N4574" i="116"/>
  <c r="N4575" i="116"/>
  <c r="N4576" i="116"/>
  <c r="N4577" i="116"/>
  <c r="M4578" i="116"/>
  <c r="N4579" i="116"/>
  <c r="N4580" i="116"/>
  <c r="N4581" i="116"/>
  <c r="N4582" i="116"/>
  <c r="N4583" i="116"/>
  <c r="N4584" i="116"/>
  <c r="N4585" i="116"/>
  <c r="M4586" i="116"/>
  <c r="N4587" i="116"/>
  <c r="N4588" i="116"/>
  <c r="N4589" i="116"/>
  <c r="N4590" i="116"/>
  <c r="N4591" i="116"/>
  <c r="N4592" i="116"/>
  <c r="N4593" i="116"/>
  <c r="M4594" i="116"/>
  <c r="N4595" i="116"/>
  <c r="N4596" i="116"/>
  <c r="N4597" i="116"/>
  <c r="N4598" i="116"/>
  <c r="N4599" i="116"/>
  <c r="N4600" i="116"/>
  <c r="N4601" i="116"/>
  <c r="M4602" i="116"/>
  <c r="N4603" i="116"/>
  <c r="N4604" i="116"/>
  <c r="N4605" i="116"/>
  <c r="N4606" i="116"/>
  <c r="N4607" i="116"/>
  <c r="N4608" i="116"/>
  <c r="N4609" i="116"/>
  <c r="M4610" i="116"/>
  <c r="N4611" i="116"/>
  <c r="N4612" i="116"/>
  <c r="N4613" i="116"/>
  <c r="N4614" i="116"/>
  <c r="N4615" i="116"/>
  <c r="N4616" i="116"/>
  <c r="N4617" i="116"/>
  <c r="M4618" i="116"/>
  <c r="N4619" i="116"/>
  <c r="N4620" i="116"/>
  <c r="N4621" i="116"/>
  <c r="N4622" i="116"/>
  <c r="N4623" i="116"/>
  <c r="N4624" i="116"/>
  <c r="N4625" i="116"/>
  <c r="M4626" i="116"/>
  <c r="N4627" i="116"/>
  <c r="N4628" i="116"/>
  <c r="N4629" i="116"/>
  <c r="N4630" i="116"/>
  <c r="N4631" i="116"/>
  <c r="N4632" i="116"/>
  <c r="N4633" i="116"/>
  <c r="M4634" i="116"/>
  <c r="N4635" i="116"/>
  <c r="N4636" i="116"/>
  <c r="N4637" i="116"/>
  <c r="N4638" i="116"/>
  <c r="N4639" i="116"/>
  <c r="N4640" i="116"/>
  <c r="N4641" i="116"/>
  <c r="M4642" i="116"/>
  <c r="N4643" i="116"/>
  <c r="N4644" i="116"/>
  <c r="N4645" i="116"/>
  <c r="N4646" i="116"/>
  <c r="N4647" i="116"/>
  <c r="N4648" i="116"/>
  <c r="N4649" i="116"/>
  <c r="M4650" i="116"/>
  <c r="N4651" i="116"/>
  <c r="N4352" i="116"/>
  <c r="M4352" i="116"/>
  <c r="N4202" i="116"/>
  <c r="M4202" i="116"/>
  <c r="M3902" i="116"/>
  <c r="N3902" i="116"/>
  <c r="N3334" i="116"/>
  <c r="M3334" i="116"/>
  <c r="M3333" i="116"/>
  <c r="N3333" i="116"/>
  <c r="N3302" i="116"/>
  <c r="M3302" i="116"/>
  <c r="N3180" i="116"/>
  <c r="M3180" i="116"/>
  <c r="M3152" i="116"/>
  <c r="N3152" i="116"/>
  <c r="N3002" i="116"/>
  <c r="M3002" i="116"/>
  <c r="M2852" i="116"/>
  <c r="N2852" i="116"/>
  <c r="N2702" i="116"/>
  <c r="M2702" i="116"/>
  <c r="N2252" i="116"/>
  <c r="M2252" i="116"/>
  <c r="M2102" i="116"/>
  <c r="N2102" i="116"/>
  <c r="N2145" i="116"/>
  <c r="M2145" i="116"/>
  <c r="N1802" i="116"/>
  <c r="M1802" i="116"/>
  <c r="N1652" i="116"/>
  <c r="M1652" i="116"/>
  <c r="N1202" i="116"/>
  <c r="M1202" i="116"/>
  <c r="M1052" i="116"/>
  <c r="N1052" i="116"/>
  <c r="N902" i="116"/>
  <c r="M902" i="116"/>
  <c r="N752" i="116"/>
  <c r="M752" i="116"/>
  <c r="N303" i="116"/>
  <c r="N304" i="116"/>
  <c r="N305" i="116"/>
  <c r="N306" i="116"/>
  <c r="M307" i="116"/>
  <c r="N308" i="116"/>
  <c r="N309" i="116"/>
  <c r="M310" i="116"/>
  <c r="N311" i="116"/>
  <c r="N312" i="116"/>
  <c r="N313" i="116"/>
  <c r="N314" i="116"/>
  <c r="N315" i="116"/>
  <c r="N316" i="116"/>
  <c r="N317" i="116"/>
  <c r="M318" i="116"/>
  <c r="N319" i="116"/>
  <c r="N320" i="116"/>
  <c r="M321" i="116"/>
  <c r="N322" i="116"/>
  <c r="N323" i="116"/>
  <c r="N324" i="116"/>
  <c r="N325" i="116"/>
  <c r="N326" i="116"/>
  <c r="N327" i="116"/>
  <c r="N328" i="116"/>
  <c r="N329" i="116"/>
  <c r="N330" i="116"/>
  <c r="N331" i="116"/>
  <c r="M332" i="116"/>
  <c r="N333" i="116"/>
  <c r="N334" i="116"/>
  <c r="N335" i="116"/>
  <c r="N336" i="116"/>
  <c r="N337" i="116"/>
  <c r="N338" i="116"/>
  <c r="N339" i="116"/>
  <c r="N340" i="116"/>
  <c r="N341" i="116"/>
  <c r="N342" i="116"/>
  <c r="M343" i="116"/>
  <c r="N344" i="116"/>
  <c r="N345" i="116"/>
  <c r="M346" i="116"/>
  <c r="N347" i="116"/>
  <c r="N348" i="116"/>
  <c r="M349" i="116"/>
  <c r="N350" i="116"/>
  <c r="N351" i="116"/>
  <c r="N352" i="116"/>
  <c r="N353" i="116"/>
  <c r="N354" i="116"/>
  <c r="N355" i="116"/>
  <c r="N356" i="116"/>
  <c r="N357" i="116"/>
  <c r="N358" i="116"/>
  <c r="N359" i="116"/>
  <c r="M360" i="116"/>
  <c r="N361" i="116"/>
  <c r="N362" i="116"/>
  <c r="M363" i="116"/>
  <c r="N364" i="116"/>
  <c r="N365" i="116"/>
  <c r="N366" i="116"/>
  <c r="N367" i="116"/>
  <c r="N368" i="116"/>
  <c r="N369" i="116"/>
  <c r="N370" i="116"/>
  <c r="M371" i="116"/>
  <c r="N372" i="116"/>
  <c r="N373" i="116"/>
  <c r="M374" i="116"/>
  <c r="N375" i="116"/>
  <c r="N376" i="116"/>
  <c r="N377" i="116"/>
  <c r="N378" i="116"/>
  <c r="N379" i="116"/>
  <c r="N380" i="116"/>
  <c r="N381" i="116"/>
  <c r="M382" i="116"/>
  <c r="N383" i="116"/>
  <c r="N384" i="116"/>
  <c r="M385" i="116"/>
  <c r="N386" i="116"/>
  <c r="N387" i="116"/>
  <c r="N388" i="116"/>
  <c r="N389" i="116"/>
  <c r="N390" i="116"/>
  <c r="N391" i="116"/>
  <c r="N392" i="116"/>
  <c r="N393" i="116"/>
  <c r="N394" i="116"/>
  <c r="N395" i="116"/>
  <c r="M396" i="116"/>
  <c r="N397" i="116"/>
  <c r="N398" i="116"/>
  <c r="N399" i="116"/>
  <c r="N400" i="116"/>
  <c r="N401" i="116"/>
  <c r="N402" i="116"/>
  <c r="N403" i="116"/>
  <c r="N404" i="116"/>
  <c r="N405" i="116"/>
  <c r="N406" i="116"/>
  <c r="M407" i="116"/>
  <c r="N408" i="116"/>
  <c r="N409" i="116"/>
  <c r="M410" i="116"/>
  <c r="N411" i="116"/>
  <c r="N412" i="116"/>
  <c r="M413" i="116"/>
  <c r="N414" i="116"/>
  <c r="N415" i="116"/>
  <c r="N416" i="116"/>
  <c r="N417" i="116"/>
  <c r="N418" i="116"/>
  <c r="N419" i="116"/>
  <c r="N420" i="116"/>
  <c r="N421" i="116"/>
  <c r="N422" i="116"/>
  <c r="N423" i="116"/>
  <c r="M424" i="116"/>
  <c r="N425" i="116"/>
  <c r="N426" i="116"/>
  <c r="M427" i="116"/>
  <c r="N428" i="116"/>
  <c r="N429" i="116"/>
  <c r="N430" i="116"/>
  <c r="N431" i="116"/>
  <c r="N432" i="116"/>
  <c r="N433" i="116"/>
  <c r="N434" i="116"/>
  <c r="M435" i="116"/>
  <c r="N436" i="116"/>
  <c r="N437" i="116"/>
  <c r="M438" i="116"/>
  <c r="N439" i="116"/>
  <c r="N440" i="116"/>
  <c r="N441" i="116"/>
  <c r="N442" i="116"/>
  <c r="N443" i="116"/>
  <c r="N444" i="116"/>
  <c r="N445" i="116"/>
  <c r="M446" i="116"/>
  <c r="N447" i="116"/>
  <c r="N448" i="116"/>
  <c r="M449" i="116"/>
  <c r="N450" i="116"/>
  <c r="N451" i="116"/>
  <c r="N302" i="116"/>
  <c r="N191" i="116"/>
  <c r="N192" i="116"/>
  <c r="N193" i="116"/>
  <c r="N194" i="116"/>
  <c r="N195" i="116"/>
  <c r="N196" i="116"/>
  <c r="N197" i="116"/>
  <c r="M198" i="116"/>
  <c r="N199" i="116"/>
  <c r="N200" i="116"/>
  <c r="M201" i="116"/>
  <c r="N202" i="116"/>
  <c r="N203" i="116"/>
  <c r="N204" i="116"/>
  <c r="N205" i="116"/>
  <c r="N206" i="116"/>
  <c r="N207" i="116"/>
  <c r="N208" i="116"/>
  <c r="N209" i="116"/>
  <c r="N210" i="116"/>
  <c r="N211" i="116"/>
  <c r="M212" i="116"/>
  <c r="N213" i="116"/>
  <c r="N214" i="116"/>
  <c r="N215" i="116"/>
  <c r="N216" i="116"/>
  <c r="N217" i="116"/>
  <c r="N218" i="116"/>
  <c r="N219" i="116"/>
  <c r="N220" i="116"/>
  <c r="N221" i="116"/>
  <c r="N222" i="116"/>
  <c r="M223" i="116"/>
  <c r="N224" i="116"/>
  <c r="N225" i="116"/>
  <c r="M226" i="116"/>
  <c r="N227" i="116"/>
  <c r="N228" i="116"/>
  <c r="M229" i="116"/>
  <c r="N230" i="116"/>
  <c r="N231" i="116"/>
  <c r="M232" i="116"/>
  <c r="N233" i="116"/>
  <c r="N234" i="116"/>
  <c r="N235" i="116"/>
  <c r="N236" i="116"/>
  <c r="N237" i="116"/>
  <c r="N238" i="116"/>
  <c r="N239" i="116"/>
  <c r="N240" i="116"/>
  <c r="N241" i="116"/>
  <c r="N242" i="116"/>
  <c r="M243" i="116"/>
  <c r="N244" i="116"/>
  <c r="N245" i="116"/>
  <c r="N246" i="116"/>
  <c r="N247" i="116"/>
  <c r="N248" i="116"/>
  <c r="N249" i="116"/>
  <c r="N250" i="116"/>
  <c r="N252" i="116"/>
  <c r="N253" i="116"/>
  <c r="N254" i="116"/>
  <c r="N255" i="116"/>
  <c r="N256" i="116"/>
  <c r="N257" i="116"/>
  <c r="N258" i="116"/>
  <c r="N259" i="116"/>
  <c r="N260" i="116"/>
  <c r="N261" i="116"/>
  <c r="M262" i="116"/>
  <c r="N263" i="116"/>
  <c r="N264" i="116"/>
  <c r="M265" i="116"/>
  <c r="N266" i="116"/>
  <c r="N267" i="116"/>
  <c r="M268" i="116"/>
  <c r="N269" i="116"/>
  <c r="N270" i="116"/>
  <c r="N271" i="116"/>
  <c r="N272" i="116"/>
  <c r="N273" i="116"/>
  <c r="N274" i="116"/>
  <c r="N275" i="116"/>
  <c r="N276" i="116"/>
  <c r="N277" i="116"/>
  <c r="N278" i="116"/>
  <c r="M279" i="116"/>
  <c r="N280" i="116"/>
  <c r="N281" i="116"/>
  <c r="M282" i="116"/>
  <c r="N283" i="116"/>
  <c r="N284" i="116"/>
  <c r="M285" i="116"/>
  <c r="N286" i="116"/>
  <c r="N287" i="116"/>
  <c r="N288" i="116"/>
  <c r="N289" i="116"/>
  <c r="N290" i="116"/>
  <c r="N291" i="116"/>
  <c r="N292" i="116"/>
  <c r="N293" i="116"/>
  <c r="N294" i="116"/>
  <c r="N295" i="116"/>
  <c r="M296" i="116"/>
  <c r="N297" i="116"/>
  <c r="N298" i="116"/>
  <c r="M299" i="116"/>
  <c r="N300" i="116"/>
  <c r="N301" i="116"/>
  <c r="N32" i="116"/>
  <c r="M33" i="116"/>
  <c r="N34" i="116"/>
  <c r="M35" i="116"/>
  <c r="N36" i="116"/>
  <c r="M37" i="116"/>
  <c r="N38" i="116"/>
  <c r="M39" i="116"/>
  <c r="N40" i="116"/>
  <c r="M41" i="116"/>
  <c r="N42" i="116"/>
  <c r="N44" i="116"/>
  <c r="M45" i="116"/>
  <c r="N46" i="116"/>
  <c r="M47" i="116"/>
  <c r="N48" i="116"/>
  <c r="M49" i="116"/>
  <c r="N50" i="116"/>
  <c r="M51" i="116"/>
  <c r="N52" i="116"/>
  <c r="M53" i="116"/>
  <c r="N54" i="116"/>
  <c r="N56" i="116"/>
  <c r="M57" i="116"/>
  <c r="N58" i="116"/>
  <c r="M59" i="116"/>
  <c r="N60" i="116"/>
  <c r="M61" i="116"/>
  <c r="N62" i="116"/>
  <c r="N64" i="116"/>
  <c r="N65" i="116"/>
  <c r="N66" i="116"/>
  <c r="N68" i="116"/>
  <c r="M69" i="116"/>
  <c r="N70" i="116"/>
  <c r="N72" i="116"/>
  <c r="M73" i="116"/>
  <c r="N74" i="116"/>
  <c r="N76" i="116"/>
  <c r="M77" i="116"/>
  <c r="N78" i="116"/>
  <c r="N80" i="116"/>
  <c r="N81" i="116"/>
  <c r="N82" i="116"/>
  <c r="M83" i="116"/>
  <c r="N84" i="116"/>
  <c r="N85" i="116"/>
  <c r="N86" i="116"/>
  <c r="N88" i="116"/>
  <c r="N89" i="116"/>
  <c r="N92" i="116"/>
  <c r="N93" i="116"/>
  <c r="N96" i="116"/>
  <c r="N97" i="116"/>
  <c r="N100" i="116"/>
  <c r="N101" i="116"/>
  <c r="N104" i="116"/>
  <c r="N105" i="116"/>
  <c r="N108" i="116"/>
  <c r="N109" i="116"/>
  <c r="N112" i="116"/>
  <c r="N113" i="116"/>
  <c r="N116" i="116"/>
  <c r="N117" i="116"/>
  <c r="N120" i="116"/>
  <c r="N121" i="116"/>
  <c r="N122" i="116"/>
  <c r="N124" i="116"/>
  <c r="N125" i="116"/>
  <c r="N126" i="116"/>
  <c r="N128" i="116"/>
  <c r="N129" i="116"/>
  <c r="N130" i="116"/>
  <c r="N131" i="116"/>
  <c r="N132" i="116"/>
  <c r="N134" i="116"/>
  <c r="N135" i="116"/>
  <c r="N136" i="116"/>
  <c r="N137" i="116"/>
  <c r="N2" i="116"/>
  <c r="M152" i="116"/>
  <c r="N152" i="116"/>
  <c r="O4269" i="116" l="1"/>
  <c r="O3918" i="116"/>
  <c r="O3383" i="116"/>
  <c r="O2708" i="116"/>
  <c r="O1813" i="116"/>
  <c r="O2122" i="116"/>
  <c r="O262" i="116"/>
  <c r="O3507" i="116"/>
  <c r="O1998" i="116"/>
  <c r="O1955" i="116"/>
  <c r="O2104" i="116"/>
  <c r="O4326" i="116"/>
  <c r="O4477" i="116"/>
  <c r="O3342" i="116"/>
  <c r="O3173" i="116"/>
  <c r="O2558" i="116"/>
  <c r="O4219" i="116"/>
  <c r="O824" i="116"/>
  <c r="O4228" i="116"/>
  <c r="O4054" i="116"/>
  <c r="O3480" i="116"/>
  <c r="O2103" i="116"/>
  <c r="O2744" i="116"/>
  <c r="O2098" i="116"/>
  <c r="O2012" i="116"/>
  <c r="O2740" i="116"/>
  <c r="O4056" i="116"/>
  <c r="O3944" i="116"/>
  <c r="O4213" i="116"/>
  <c r="O4501" i="116"/>
  <c r="O2584" i="116"/>
  <c r="O2023" i="116"/>
  <c r="O3511" i="116"/>
  <c r="O4029" i="116"/>
  <c r="O1704" i="116"/>
  <c r="O778" i="116"/>
  <c r="O787" i="116"/>
  <c r="O4272" i="116"/>
  <c r="O4036" i="116"/>
  <c r="O1822" i="116"/>
  <c r="O2867" i="116"/>
  <c r="O2128" i="116"/>
  <c r="O3483" i="116"/>
  <c r="O3424" i="116"/>
  <c r="O4412" i="116"/>
  <c r="O3463" i="116"/>
  <c r="O3972" i="116"/>
  <c r="O1213" i="116"/>
  <c r="O931" i="116"/>
  <c r="O229" i="116"/>
  <c r="O4042" i="116"/>
  <c r="O3929" i="116"/>
  <c r="O955" i="116"/>
  <c r="O3963" i="116"/>
  <c r="O4000" i="116"/>
  <c r="O3953" i="116"/>
  <c r="O2856" i="116"/>
  <c r="O1825" i="116"/>
  <c r="O3048" i="116"/>
  <c r="O4461" i="116"/>
  <c r="O4244" i="116"/>
  <c r="O3943" i="116"/>
  <c r="O1225" i="116"/>
  <c r="O4210" i="116"/>
  <c r="O3917" i="116"/>
  <c r="O2725" i="116"/>
  <c r="O2736" i="116"/>
  <c r="O2101" i="116"/>
  <c r="O968" i="116"/>
  <c r="O3994" i="116"/>
  <c r="O4028" i="116"/>
  <c r="O4068" i="116"/>
  <c r="O2567" i="116"/>
  <c r="O3922" i="116"/>
  <c r="O2275" i="116"/>
  <c r="O3030" i="116"/>
  <c r="O3606" i="116"/>
  <c r="O1746" i="116"/>
  <c r="O4393" i="116"/>
  <c r="O4469" i="116"/>
  <c r="O3394" i="116"/>
  <c r="O1680" i="116"/>
  <c r="O2112" i="116"/>
  <c r="O4278" i="116"/>
  <c r="O3035" i="116"/>
  <c r="O3971" i="116"/>
  <c r="O1973" i="116"/>
  <c r="O2273" i="116"/>
  <c r="O2855" i="116"/>
  <c r="O1959" i="116"/>
  <c r="O1993" i="116"/>
  <c r="O2866" i="116"/>
  <c r="O4421" i="116"/>
  <c r="O3584" i="116"/>
  <c r="O3576" i="116"/>
  <c r="O3488" i="116"/>
  <c r="O3464" i="116"/>
  <c r="O2375" i="116"/>
  <c r="O2311" i="116"/>
  <c r="O3915" i="116"/>
  <c r="O1683" i="116"/>
  <c r="O1233" i="116"/>
  <c r="O4448" i="116"/>
  <c r="O3487" i="116"/>
  <c r="O2049" i="116"/>
  <c r="O4426" i="116"/>
  <c r="O1794" i="116"/>
  <c r="O4062" i="116"/>
  <c r="O3974" i="116"/>
  <c r="O4437" i="116"/>
  <c r="O1971" i="116"/>
  <c r="O943" i="116"/>
  <c r="O2862" i="116"/>
  <c r="O3940" i="116"/>
  <c r="O4207" i="116"/>
  <c r="O169" i="116"/>
  <c r="O799" i="116"/>
  <c r="O1066" i="116"/>
  <c r="O1070" i="116"/>
  <c r="O1956" i="116"/>
  <c r="O2719" i="116"/>
  <c r="O3036" i="116"/>
  <c r="O3052" i="116"/>
  <c r="O3160" i="116"/>
  <c r="O3923" i="116"/>
  <c r="O4027" i="116"/>
  <c r="O4077" i="116"/>
  <c r="O3958" i="116"/>
  <c r="O1662" i="116"/>
  <c r="O3948" i="116"/>
  <c r="O783" i="116"/>
  <c r="O1986" i="116"/>
  <c r="O2139" i="116"/>
  <c r="O4233" i="116"/>
  <c r="O4005" i="116"/>
  <c r="O3938" i="116"/>
  <c r="O1991" i="116"/>
  <c r="O2714" i="116"/>
  <c r="O4258" i="116"/>
  <c r="O1716" i="116"/>
  <c r="O4052" i="116"/>
  <c r="O4238" i="116"/>
  <c r="O3957" i="116"/>
  <c r="O1674" i="116"/>
  <c r="O1690" i="116"/>
  <c r="O3911" i="116"/>
  <c r="O794" i="116"/>
  <c r="O2040" i="116"/>
  <c r="O2723" i="116"/>
  <c r="O2735" i="116"/>
  <c r="O3117" i="116"/>
  <c r="O1676" i="116"/>
  <c r="O630" i="116"/>
  <c r="O453" i="116"/>
  <c r="O3979" i="116"/>
  <c r="O2860" i="116"/>
  <c r="O2724" i="116"/>
  <c r="O3003" i="116"/>
  <c r="O1830" i="116"/>
  <c r="O1838" i="116"/>
  <c r="O2111" i="116"/>
  <c r="O3304" i="116"/>
  <c r="O792" i="116"/>
  <c r="O4485" i="116"/>
  <c r="O4340" i="116"/>
  <c r="O3626" i="116"/>
  <c r="O3941" i="116"/>
  <c r="O777" i="116"/>
  <c r="O3617" i="116"/>
  <c r="O2624" i="116"/>
  <c r="O1960" i="116"/>
  <c r="O757" i="116"/>
  <c r="O953" i="116"/>
  <c r="O3102" i="116"/>
  <c r="O1724" i="116"/>
  <c r="O1708" i="116"/>
  <c r="O3914" i="116"/>
  <c r="O159" i="116"/>
  <c r="O2003" i="116"/>
  <c r="O690" i="116"/>
  <c r="O612" i="116"/>
  <c r="O3327" i="116"/>
  <c r="O4464" i="116"/>
  <c r="O4418" i="116"/>
  <c r="O3573" i="116"/>
  <c r="O3389" i="116"/>
  <c r="O619" i="116"/>
  <c r="O3033" i="116"/>
  <c r="O3988" i="116"/>
  <c r="O1237" i="116"/>
  <c r="O1839" i="116"/>
  <c r="O1963" i="116"/>
  <c r="O1744" i="116"/>
  <c r="O2876" i="116"/>
  <c r="O2718" i="116"/>
  <c r="O2728" i="116"/>
  <c r="O226" i="116"/>
  <c r="O223" i="116"/>
  <c r="O198" i="116"/>
  <c r="O173" i="116"/>
  <c r="O4205" i="116"/>
  <c r="O265" i="116"/>
  <c r="O2632" i="116"/>
  <c r="O832" i="116"/>
  <c r="O4225" i="116"/>
  <c r="O1227" i="116"/>
  <c r="O1654" i="116"/>
  <c r="O1848" i="116"/>
  <c r="O2007" i="116"/>
  <c r="O2343" i="116"/>
  <c r="O1957" i="116"/>
  <c r="O911" i="116"/>
  <c r="O771" i="116"/>
  <c r="O2873" i="116"/>
  <c r="O3316" i="116"/>
  <c r="O796" i="116"/>
  <c r="O184" i="116"/>
  <c r="O1823" i="116"/>
  <c r="O170" i="116"/>
  <c r="O1807" i="116"/>
  <c r="O3161" i="116"/>
  <c r="O4055" i="116"/>
  <c r="O4351" i="116"/>
  <c r="O4255" i="116"/>
  <c r="O2644" i="116"/>
  <c r="O603" i="116"/>
  <c r="O3926" i="116"/>
  <c r="O2035" i="116"/>
  <c r="O4368" i="116"/>
  <c r="O2863" i="116"/>
  <c r="O1954" i="116"/>
  <c r="O4375" i="116"/>
  <c r="O756" i="116"/>
  <c r="O775" i="116"/>
  <c r="O823" i="116"/>
  <c r="O1232" i="116"/>
  <c r="O4057" i="116"/>
  <c r="O5218" i="116"/>
  <c r="O971" i="116"/>
  <c r="O4009" i="116"/>
  <c r="O175" i="116"/>
  <c r="O1858" i="116"/>
  <c r="O4234" i="116"/>
  <c r="O4220" i="116"/>
  <c r="O165" i="116"/>
  <c r="O816" i="116"/>
  <c r="O1853" i="116"/>
  <c r="O2715" i="116"/>
  <c r="O2857" i="116"/>
  <c r="O3112" i="116"/>
  <c r="O3324" i="116"/>
  <c r="O4039" i="116"/>
  <c r="O4038" i="116"/>
  <c r="O923" i="116"/>
  <c r="O1689" i="116"/>
  <c r="O2108" i="116"/>
  <c r="O3004" i="116"/>
  <c r="O3919" i="116"/>
  <c r="O759" i="116"/>
  <c r="O1660" i="116"/>
  <c r="O2869" i="116"/>
  <c r="O3047" i="116"/>
  <c r="O4359" i="116"/>
  <c r="O3174" i="116"/>
  <c r="O3928" i="116"/>
  <c r="O3930" i="116"/>
  <c r="O3325" i="116"/>
  <c r="O1856" i="116"/>
  <c r="O2870" i="116"/>
  <c r="O801" i="116"/>
  <c r="O4380" i="116"/>
  <c r="O4315" i="116"/>
  <c r="O3966" i="116"/>
  <c r="O4058" i="116"/>
  <c r="O1842" i="116"/>
  <c r="O1984" i="116"/>
  <c r="O1965" i="116"/>
  <c r="O709" i="116"/>
  <c r="O4026" i="116"/>
  <c r="O3998" i="116"/>
  <c r="O1854" i="116"/>
  <c r="O2036" i="116"/>
  <c r="O2733" i="116"/>
  <c r="O2109" i="116"/>
  <c r="O789" i="116"/>
  <c r="O2858" i="116"/>
  <c r="O3920" i="116"/>
  <c r="O3008" i="116"/>
  <c r="O4404" i="116"/>
  <c r="O3543" i="116"/>
  <c r="O3503" i="116"/>
  <c r="O3479" i="116"/>
  <c r="O4070" i="116"/>
  <c r="O780" i="116"/>
  <c r="O3945" i="116"/>
  <c r="O3317" i="116"/>
  <c r="O2141" i="116"/>
  <c r="O2004" i="116"/>
  <c r="O3031" i="116"/>
  <c r="O4040" i="116"/>
  <c r="O4004" i="116"/>
  <c r="O1964" i="116"/>
  <c r="O950" i="116"/>
  <c r="O1127" i="116"/>
  <c r="O1243" i="116"/>
  <c r="O2265" i="116"/>
  <c r="O3020" i="116"/>
  <c r="O3063" i="116"/>
  <c r="O2627" i="116"/>
  <c r="O2555" i="116"/>
  <c r="O3908" i="116"/>
  <c r="O4080" i="116"/>
  <c r="O915" i="116"/>
  <c r="O939" i="116"/>
  <c r="O3587" i="116"/>
  <c r="O3459" i="116"/>
  <c r="O760" i="116"/>
  <c r="O2008" i="116"/>
  <c r="O3018" i="116"/>
  <c r="O187" i="116"/>
  <c r="O938" i="116"/>
  <c r="O1074" i="116"/>
  <c r="O1078" i="116"/>
  <c r="O2138" i="116"/>
  <c r="O3044" i="116"/>
  <c r="O3056" i="116"/>
  <c r="O3072" i="116"/>
  <c r="O3119" i="116"/>
  <c r="O3128" i="116"/>
  <c r="O3133" i="116"/>
  <c r="O3973" i="116"/>
  <c r="O3995" i="116"/>
  <c r="O4011" i="116"/>
  <c r="O2410" i="116"/>
  <c r="O3967" i="116"/>
  <c r="O4033" i="116"/>
  <c r="O3110" i="116"/>
  <c r="O3984" i="116"/>
  <c r="O4051" i="116"/>
  <c r="O608" i="116"/>
  <c r="O464" i="116"/>
  <c r="O2132" i="116"/>
  <c r="O4222" i="116"/>
  <c r="O847" i="116"/>
  <c r="O4216" i="116"/>
  <c r="O3079" i="116"/>
  <c r="O3095" i="116"/>
  <c r="O3981" i="116"/>
  <c r="O4007" i="116"/>
  <c r="O4071" i="116"/>
  <c r="O6303" i="116"/>
  <c r="O828" i="116"/>
  <c r="O172" i="116"/>
  <c r="O4356" i="116"/>
  <c r="O774" i="116"/>
  <c r="O2279" i="116"/>
  <c r="O6271" i="116"/>
  <c r="O622" i="116"/>
  <c r="O671" i="116"/>
  <c r="O685" i="116"/>
  <c r="O803" i="116"/>
  <c r="O825" i="116"/>
  <c r="O954" i="116"/>
  <c r="O1214" i="116"/>
  <c r="O1234" i="116"/>
  <c r="O1242" i="116"/>
  <c r="O2046" i="116"/>
  <c r="O3032" i="116"/>
  <c r="O3131" i="116"/>
  <c r="O3143" i="116"/>
  <c r="O3172" i="116"/>
  <c r="O855" i="116"/>
  <c r="O701" i="116"/>
  <c r="O4076" i="116"/>
  <c r="O1014" i="116"/>
  <c r="O1953" i="116"/>
  <c r="O139" i="116"/>
  <c r="O147" i="116"/>
  <c r="O180" i="116"/>
  <c r="O905" i="116"/>
  <c r="O929" i="116"/>
  <c r="O945" i="116"/>
  <c r="O1238" i="116"/>
  <c r="O3168" i="116"/>
  <c r="O3932" i="116"/>
  <c r="O4067" i="116"/>
  <c r="O162" i="116"/>
  <c r="O739" i="116"/>
  <c r="O3631" i="116"/>
  <c r="O3535" i="116"/>
  <c r="O3519" i="116"/>
  <c r="O2446" i="116"/>
  <c r="O2090" i="116"/>
  <c r="O2081" i="116"/>
  <c r="O2070" i="116"/>
  <c r="O990" i="116"/>
  <c r="O638" i="116"/>
  <c r="O3935" i="116"/>
  <c r="O3959" i="116"/>
  <c r="O4001" i="116"/>
  <c r="O3964" i="116"/>
  <c r="O1810" i="116"/>
  <c r="O3010" i="116"/>
  <c r="O2133" i="116"/>
  <c r="O907" i="116"/>
  <c r="O1231" i="116"/>
  <c r="O1665" i="116"/>
  <c r="O1677" i="116"/>
  <c r="O4211" i="116"/>
  <c r="O143" i="116"/>
  <c r="O151" i="116"/>
  <c r="O189" i="116"/>
  <c r="O930" i="116"/>
  <c r="O934" i="116"/>
  <c r="O940" i="116"/>
  <c r="O1067" i="116"/>
  <c r="O1091" i="116"/>
  <c r="O1095" i="116"/>
  <c r="O1099" i="116"/>
  <c r="O1107" i="116"/>
  <c r="O1111" i="116"/>
  <c r="O1115" i="116"/>
  <c r="O1124" i="116"/>
  <c r="O1666" i="116"/>
  <c r="O1841" i="116"/>
  <c r="O1860" i="116"/>
  <c r="O2038" i="116"/>
  <c r="O2044" i="116"/>
  <c r="O2254" i="116"/>
  <c r="O2703" i="116"/>
  <c r="O3015" i="116"/>
  <c r="O3023" i="116"/>
  <c r="O3960" i="116"/>
  <c r="O3962" i="116"/>
  <c r="O4229" i="116"/>
  <c r="O7023" i="116"/>
  <c r="O836" i="116"/>
  <c r="O1203" i="116"/>
  <c r="O920" i="116"/>
  <c r="O1112" i="116"/>
  <c r="O2255" i="116"/>
  <c r="O6077" i="116"/>
  <c r="O6211" i="116"/>
  <c r="O5193" i="116"/>
  <c r="O1036" i="116"/>
  <c r="O4018" i="116"/>
  <c r="O785" i="116"/>
  <c r="O1207" i="116"/>
  <c r="O4223" i="116"/>
  <c r="O1700" i="116"/>
  <c r="O4453" i="116"/>
  <c r="O1800" i="116"/>
  <c r="O1735" i="116"/>
  <c r="O1719" i="116"/>
  <c r="O489" i="116"/>
  <c r="O4041" i="116"/>
  <c r="O4025" i="116"/>
  <c r="O4046" i="116"/>
  <c r="O3946" i="116"/>
  <c r="O820" i="116"/>
  <c r="O3925" i="116"/>
  <c r="O2278" i="116"/>
  <c r="O1653" i="116"/>
  <c r="O1681" i="116"/>
  <c r="O1835" i="116"/>
  <c r="O1812" i="116"/>
  <c r="O176" i="116"/>
  <c r="O914" i="116"/>
  <c r="O932" i="116"/>
  <c r="O961" i="116"/>
  <c r="O1061" i="116"/>
  <c r="O1069" i="116"/>
  <c r="O1077" i="116"/>
  <c r="O1101" i="116"/>
  <c r="O1117" i="116"/>
  <c r="O1687" i="116"/>
  <c r="O1703" i="116"/>
  <c r="O7673" i="116"/>
  <c r="O212" i="116"/>
  <c r="O4493" i="116"/>
  <c r="O4292" i="116"/>
  <c r="O2053" i="116"/>
  <c r="O1783" i="116"/>
  <c r="O4037" i="116"/>
  <c r="O4014" i="116"/>
  <c r="O3936" i="116"/>
  <c r="O3992" i="116"/>
  <c r="O3970" i="116"/>
  <c r="O1664" i="116"/>
  <c r="O1995" i="116"/>
  <c r="O3329" i="116"/>
  <c r="O3309" i="116"/>
  <c r="O2123" i="116"/>
  <c r="O817" i="116"/>
  <c r="O919" i="116"/>
  <c r="O2281" i="116"/>
  <c r="O138" i="116"/>
  <c r="O142" i="116"/>
  <c r="O146" i="116"/>
  <c r="O6653" i="116"/>
  <c r="O6266" i="116"/>
  <c r="O2576" i="116"/>
  <c r="O776" i="116"/>
  <c r="O1840" i="116"/>
  <c r="O2027" i="116"/>
  <c r="O3154" i="116"/>
  <c r="O3175" i="116"/>
  <c r="O7261" i="116"/>
  <c r="O7387" i="116"/>
  <c r="O7355" i="116"/>
  <c r="O6969" i="116"/>
  <c r="O6540" i="116"/>
  <c r="O161" i="116"/>
  <c r="O784" i="116"/>
  <c r="O2145" i="116"/>
  <c r="O1658" i="116"/>
  <c r="O793" i="116"/>
  <c r="O802" i="116"/>
  <c r="O913" i="116"/>
  <c r="O926" i="116"/>
  <c r="O941" i="116"/>
  <c r="O964" i="116"/>
  <c r="O1084" i="116"/>
  <c r="O1088" i="116"/>
  <c r="O1092" i="116"/>
  <c r="O1096" i="116"/>
  <c r="O1104" i="116"/>
  <c r="O1126" i="116"/>
  <c r="O1222" i="116"/>
  <c r="O1240" i="116"/>
  <c r="O1667" i="116"/>
  <c r="O1829" i="116"/>
  <c r="O1861" i="116"/>
  <c r="O2868" i="116"/>
  <c r="O3042" i="116"/>
  <c r="O3062" i="116"/>
  <c r="O3066" i="116"/>
  <c r="O3082" i="116"/>
  <c r="O3086" i="116"/>
  <c r="O3090" i="116"/>
  <c r="O4003" i="116"/>
  <c r="O4073" i="116"/>
  <c r="O4236" i="116"/>
  <c r="O4358" i="116"/>
  <c r="O2734" i="116"/>
  <c r="O1980" i="116"/>
  <c r="O1966" i="116"/>
  <c r="O712" i="116"/>
  <c r="O668" i="116"/>
  <c r="O149" i="116"/>
  <c r="O186" i="116"/>
  <c r="O1844" i="116"/>
  <c r="O4204" i="116"/>
  <c r="O6913" i="116"/>
  <c r="O761" i="116"/>
  <c r="O781" i="116"/>
  <c r="O806" i="116"/>
  <c r="O819" i="116"/>
  <c r="O933" i="116"/>
  <c r="O962" i="116"/>
  <c r="O1082" i="116"/>
  <c r="O1114" i="116"/>
  <c r="O1123" i="116"/>
  <c r="O2014" i="116"/>
  <c r="O3166" i="116"/>
  <c r="O6902" i="116"/>
  <c r="O6732" i="116"/>
  <c r="O6392" i="116"/>
  <c r="O1732" i="116"/>
  <c r="O812" i="116"/>
  <c r="O1671" i="116"/>
  <c r="O3158" i="116"/>
  <c r="O3024" i="116"/>
  <c r="O2285" i="116"/>
  <c r="O3902" i="116"/>
  <c r="O682" i="116"/>
  <c r="O144" i="116"/>
  <c r="O1970" i="116"/>
  <c r="O2124" i="116"/>
  <c r="O2258" i="116"/>
  <c r="O2268" i="116"/>
  <c r="O2272" i="116"/>
  <c r="O2293" i="116"/>
  <c r="O2298" i="116"/>
  <c r="O2865" i="116"/>
  <c r="O2875" i="116"/>
  <c r="O3089" i="116"/>
  <c r="O3319" i="116"/>
  <c r="O3976" i="116"/>
  <c r="O4015" i="116"/>
  <c r="O4079" i="116"/>
  <c r="O4435" i="116"/>
  <c r="O4451" i="116"/>
  <c r="O4061" i="116"/>
  <c r="O2000" i="116"/>
  <c r="O3951" i="116"/>
  <c r="O2864" i="116"/>
  <c r="O2716" i="116"/>
  <c r="O752" i="116"/>
  <c r="O2252" i="116"/>
  <c r="O840" i="116"/>
  <c r="O17" i="116"/>
  <c r="O190" i="116"/>
  <c r="O810" i="116"/>
  <c r="O1212" i="116"/>
  <c r="O1657" i="116"/>
  <c r="O3115" i="116"/>
  <c r="O7417" i="116"/>
  <c r="O7301" i="116"/>
  <c r="O6796" i="116"/>
  <c r="O6759" i="116"/>
  <c r="O6800" i="116"/>
  <c r="O6727" i="116"/>
  <c r="O6644" i="116"/>
  <c r="O6564" i="116"/>
  <c r="O6861" i="116"/>
  <c r="O6791" i="116"/>
  <c r="O6580" i="116"/>
  <c r="O6893" i="116"/>
  <c r="O6267" i="116"/>
  <c r="O6312" i="116"/>
  <c r="O6436" i="116"/>
  <c r="O6463" i="116"/>
  <c r="O6344" i="116"/>
  <c r="O1849" i="116"/>
  <c r="O1809" i="116"/>
  <c r="O936" i="116"/>
  <c r="O2017" i="116"/>
  <c r="O3041" i="116"/>
  <c r="O3106" i="116"/>
  <c r="O3176" i="116"/>
  <c r="O3999" i="116"/>
  <c r="O3178" i="116"/>
  <c r="O3155" i="116"/>
  <c r="O902" i="116"/>
  <c r="O1730" i="116"/>
  <c r="O731" i="116"/>
  <c r="O604" i="116"/>
  <c r="O3939" i="116"/>
  <c r="O4013" i="116"/>
  <c r="O3950" i="116"/>
  <c r="O1221" i="116"/>
  <c r="O1850" i="116"/>
  <c r="O4360" i="116"/>
  <c r="O2705" i="116"/>
  <c r="O797" i="116"/>
  <c r="O2121" i="116"/>
  <c r="O2732" i="116"/>
  <c r="O4367" i="116"/>
  <c r="O140" i="116"/>
  <c r="O150" i="116"/>
  <c r="O167" i="116"/>
  <c r="O818" i="116"/>
  <c r="O908" i="116"/>
  <c r="O942" i="116"/>
  <c r="O965" i="116"/>
  <c r="O1093" i="116"/>
  <c r="O2283" i="116"/>
  <c r="O2290" i="116"/>
  <c r="O7052" i="116"/>
  <c r="O7044" i="116"/>
  <c r="O6591" i="116"/>
  <c r="O6360" i="116"/>
  <c r="O6597" i="116"/>
  <c r="O6340" i="116"/>
  <c r="O6533" i="116"/>
  <c r="O5185" i="116"/>
  <c r="O7682" i="116"/>
  <c r="O3604" i="116"/>
  <c r="O3364" i="116"/>
  <c r="O2587" i="116"/>
  <c r="O2087" i="116"/>
  <c r="O1785" i="116"/>
  <c r="O1752" i="116"/>
  <c r="O995" i="116"/>
  <c r="O627" i="116"/>
  <c r="O3990" i="116"/>
  <c r="O4020" i="116"/>
  <c r="O1692" i="116"/>
  <c r="O1999" i="116"/>
  <c r="O4206" i="116"/>
  <c r="O4064" i="116"/>
  <c r="O2737" i="116"/>
  <c r="O168" i="116"/>
  <c r="O765" i="116"/>
  <c r="O4231" i="116"/>
  <c r="O762" i="116"/>
  <c r="O1209" i="116"/>
  <c r="O1226" i="116"/>
  <c r="O2031" i="116"/>
  <c r="O2706" i="116"/>
  <c r="O4074" i="116"/>
  <c r="O1228" i="116"/>
  <c r="O1204" i="116"/>
  <c r="O475" i="116"/>
  <c r="O3523" i="116"/>
  <c r="O3515" i="116"/>
  <c r="O3491" i="116"/>
  <c r="O3467" i="116"/>
  <c r="O3427" i="116"/>
  <c r="O2354" i="116"/>
  <c r="O2095" i="116"/>
  <c r="O687" i="116"/>
  <c r="O3927" i="116"/>
  <c r="O3986" i="116"/>
  <c r="O3996" i="116"/>
  <c r="O4024" i="116"/>
  <c r="O4016" i="116"/>
  <c r="O2032" i="116"/>
  <c r="O3163" i="116"/>
  <c r="O3034" i="116"/>
  <c r="O2859" i="116"/>
  <c r="O2726" i="116"/>
  <c r="O1847" i="116"/>
  <c r="O1852" i="116"/>
  <c r="O141" i="116"/>
  <c r="O148" i="116"/>
  <c r="O171" i="116"/>
  <c r="O181" i="116"/>
  <c r="O679" i="116"/>
  <c r="O693" i="116"/>
  <c r="O763" i="116"/>
  <c r="O807" i="116"/>
  <c r="O922" i="116"/>
  <c r="O952" i="116"/>
  <c r="O957" i="116"/>
  <c r="O1086" i="116"/>
  <c r="O1090" i="116"/>
  <c r="O1827" i="116"/>
  <c r="O1833" i="116"/>
  <c r="O1859" i="116"/>
  <c r="O1969" i="116"/>
  <c r="O2001" i="116"/>
  <c r="O2021" i="116"/>
  <c r="O2026" i="116"/>
  <c r="O2034" i="116"/>
  <c r="O2120" i="116"/>
  <c r="O2130" i="116"/>
  <c r="O2137" i="116"/>
  <c r="O7019" i="116"/>
  <c r="O5249" i="116"/>
  <c r="O7665" i="116"/>
  <c r="O201" i="116"/>
  <c r="O3658" i="116"/>
  <c r="O2601" i="116"/>
  <c r="O1766" i="116"/>
  <c r="O1718" i="116"/>
  <c r="O695" i="116"/>
  <c r="O4050" i="116"/>
  <c r="O3910" i="116"/>
  <c r="O768" i="116"/>
  <c r="O1241" i="116"/>
  <c r="O1975" i="116"/>
  <c r="O4362" i="116"/>
  <c r="O4072" i="116"/>
  <c r="O3307" i="116"/>
  <c r="O2115" i="116"/>
  <c r="O947" i="116"/>
  <c r="O1697" i="116"/>
  <c r="O4208" i="116"/>
  <c r="O145" i="116"/>
  <c r="O822" i="116"/>
  <c r="O912" i="116"/>
  <c r="O958" i="116"/>
  <c r="O963" i="116"/>
  <c r="O1055" i="116"/>
  <c r="O1059" i="116"/>
  <c r="O1075" i="116"/>
  <c r="O1079" i="116"/>
  <c r="O1230" i="116"/>
  <c r="O2257" i="116"/>
  <c r="O2266" i="116"/>
  <c r="O3005" i="116"/>
  <c r="O3105" i="116"/>
  <c r="O4432" i="116"/>
  <c r="O6428" i="116"/>
  <c r="O6300" i="116"/>
  <c r="O6259" i="116"/>
  <c r="O6420" i="116"/>
  <c r="O7681" i="116"/>
  <c r="O7672" i="116"/>
  <c r="O7649" i="116"/>
  <c r="O7657" i="116"/>
  <c r="O7443" i="116"/>
  <c r="O7395" i="116"/>
  <c r="O7307" i="116"/>
  <c r="O7390" i="116"/>
  <c r="O7358" i="116"/>
  <c r="O7269" i="116"/>
  <c r="O7256" i="116"/>
  <c r="O7435" i="116"/>
  <c r="O7427" i="116"/>
  <c r="O7379" i="116"/>
  <c r="O7406" i="116"/>
  <c r="O7374" i="116"/>
  <c r="O7342" i="116"/>
  <c r="O7454" i="116"/>
  <c r="O7363" i="116"/>
  <c r="O7126" i="116"/>
  <c r="O7083" i="116"/>
  <c r="O7079" i="116"/>
  <c r="O7095" i="116"/>
  <c r="O7190" i="116"/>
  <c r="O7206" i="116"/>
  <c r="O7198" i="116"/>
  <c r="O7246" i="116"/>
  <c r="O7115" i="116"/>
  <c r="O7182" i="116"/>
  <c r="O7092" i="116"/>
  <c r="O7084" i="116"/>
  <c r="O7150" i="116"/>
  <c r="O7060" i="116"/>
  <c r="O7037" i="116"/>
  <c r="O7004" i="116"/>
  <c r="O7067" i="116"/>
  <c r="O7229" i="116"/>
  <c r="O7108" i="116"/>
  <c r="O7100" i="116"/>
  <c r="O7131" i="116"/>
  <c r="O7116" i="116"/>
  <c r="O7214" i="116"/>
  <c r="O7009" i="116"/>
  <c r="O7145" i="116"/>
  <c r="O6910" i="116"/>
  <c r="O6808" i="116"/>
  <c r="O6838" i="116"/>
  <c r="O6775" i="116"/>
  <c r="O6820" i="116"/>
  <c r="O6942" i="116"/>
  <c r="O6792" i="116"/>
  <c r="O6894" i="116"/>
  <c r="O6854" i="116"/>
  <c r="O6926" i="116"/>
  <c r="O6953" i="116"/>
  <c r="O6890" i="116"/>
  <c r="O6760" i="116"/>
  <c r="O6934" i="116"/>
  <c r="O6985" i="116"/>
  <c r="O6862" i="116"/>
  <c r="O6824" i="116"/>
  <c r="O6831" i="116"/>
  <c r="O6768" i="116"/>
  <c r="O6918" i="116"/>
  <c r="O6961" i="116"/>
  <c r="O6993" i="116"/>
  <c r="O6804" i="116"/>
  <c r="O6816" i="116"/>
  <c r="O6837" i="116"/>
  <c r="O6716" i="116"/>
  <c r="O6508" i="116"/>
  <c r="O6556" i="116"/>
  <c r="O6668" i="116"/>
  <c r="O6559" i="116"/>
  <c r="O6660" i="116"/>
  <c r="O6527" i="116"/>
  <c r="O6691" i="116"/>
  <c r="O6684" i="116"/>
  <c r="O6740" i="116"/>
  <c r="O6743" i="116"/>
  <c r="O6612" i="116"/>
  <c r="O6578" i="116"/>
  <c r="O6563" i="116"/>
  <c r="O6610" i="116"/>
  <c r="O6588" i="116"/>
  <c r="O6678" i="116"/>
  <c r="O6531" i="116"/>
  <c r="O6616" i="116"/>
  <c r="O6639" i="116"/>
  <c r="O6748" i="116"/>
  <c r="O6572" i="116"/>
  <c r="O6652" i="116"/>
  <c r="O6636" i="116"/>
  <c r="O6595" i="116"/>
  <c r="O6712" i="116"/>
  <c r="O6696" i="116"/>
  <c r="O6700" i="116"/>
  <c r="O6720" i="116"/>
  <c r="O6620" i="116"/>
  <c r="O6548" i="116"/>
  <c r="O6699" i="116"/>
  <c r="O6452" i="116"/>
  <c r="O6456" i="116"/>
  <c r="O6339" i="116"/>
  <c r="O6412" i="116"/>
  <c r="O6468" i="116"/>
  <c r="O6284" i="116"/>
  <c r="O6472" i="116"/>
  <c r="O6501" i="116"/>
  <c r="O6460" i="116"/>
  <c r="O6332" i="116"/>
  <c r="O6408" i="116"/>
  <c r="O6308" i="116"/>
  <c r="O6292" i="116"/>
  <c r="O6279" i="116"/>
  <c r="O6316" i="116"/>
  <c r="O6372" i="116"/>
  <c r="O6275" i="116"/>
  <c r="O6388" i="116"/>
  <c r="O6324" i="116"/>
  <c r="O6482" i="116"/>
  <c r="O6296" i="116"/>
  <c r="O6373" i="116"/>
  <c r="O6476" i="116"/>
  <c r="O6022" i="116"/>
  <c r="O6162" i="116"/>
  <c r="O6045" i="116"/>
  <c r="O6013" i="116"/>
  <c r="O6037" i="116"/>
  <c r="O6005" i="116"/>
  <c r="O6194" i="116"/>
  <c r="O6101" i="116"/>
  <c r="O6125" i="116"/>
  <c r="O6093" i="116"/>
  <c r="O6176" i="116"/>
  <c r="O6166" i="116"/>
  <c r="O6053" i="116"/>
  <c r="O6021" i="116"/>
  <c r="O6030" i="116"/>
  <c r="O6158" i="116"/>
  <c r="O6170" i="116"/>
  <c r="O6113" i="116"/>
  <c r="O6120" i="116"/>
  <c r="O6139" i="116"/>
  <c r="O6243" i="116"/>
  <c r="O6143" i="116"/>
  <c r="O6159" i="116"/>
  <c r="O6214" i="116"/>
  <c r="O6226" i="116"/>
  <c r="O6179" i="116"/>
  <c r="O5982" i="116"/>
  <c r="O5886" i="116"/>
  <c r="O5878" i="116"/>
  <c r="O5821" i="116"/>
  <c r="O5610" i="116"/>
  <c r="O5730" i="116"/>
  <c r="O5666" i="116"/>
  <c r="O5933" i="116"/>
  <c r="O5837" i="116"/>
  <c r="O5546" i="116"/>
  <c r="O5658" i="116"/>
  <c r="O5514" i="116"/>
  <c r="O5917" i="116"/>
  <c r="O5947" i="116"/>
  <c r="O5861" i="116"/>
  <c r="O5765" i="116"/>
  <c r="O5893" i="116"/>
  <c r="O5846" i="116"/>
  <c r="O5934" i="116"/>
  <c r="O5845" i="116"/>
  <c r="O5738" i="116"/>
  <c r="O5674" i="116"/>
  <c r="O5862" i="116"/>
  <c r="O5830" i="116"/>
  <c r="O5909" i="116"/>
  <c r="O5905" i="116"/>
  <c r="O5829" i="116"/>
  <c r="O5964" i="116"/>
  <c r="O5552" i="116"/>
  <c r="O5521" i="116"/>
  <c r="O5989" i="116"/>
  <c r="O5789" i="116"/>
  <c r="O5814" i="116"/>
  <c r="O5584" i="116"/>
  <c r="O5974" i="116"/>
  <c r="O5894" i="116"/>
  <c r="O5822" i="116"/>
  <c r="O5853" i="116"/>
  <c r="O5806" i="116"/>
  <c r="O5722" i="116"/>
  <c r="O5869" i="116"/>
  <c r="O5547" i="116"/>
  <c r="O5941" i="116"/>
  <c r="O5981" i="116"/>
  <c r="O5902" i="116"/>
  <c r="O5698" i="116"/>
  <c r="O5625" i="116"/>
  <c r="O5598" i="116"/>
  <c r="O5579" i="116"/>
  <c r="O5553" i="116"/>
  <c r="O5973" i="116"/>
  <c r="O5990" i="116"/>
  <c r="O5714" i="116"/>
  <c r="O5998" i="116"/>
  <c r="O5885" i="116"/>
  <c r="O5928" i="116"/>
  <c r="O5838" i="116"/>
  <c r="O5960" i="116"/>
  <c r="O5515" i="116"/>
  <c r="O5533" i="116"/>
  <c r="O5401" i="116"/>
  <c r="O5341" i="116"/>
  <c r="O5386" i="116"/>
  <c r="O5412" i="116"/>
  <c r="O5291" i="116"/>
  <c r="O5337" i="116"/>
  <c r="O5265" i="116"/>
  <c r="O5318" i="116"/>
  <c r="O5477" i="116"/>
  <c r="O5363" i="116"/>
  <c r="O5310" i="116"/>
  <c r="O5257" i="116"/>
  <c r="O5266" i="116"/>
  <c r="O5348" i="116"/>
  <c r="O5258" i="116"/>
  <c r="O5450" i="116"/>
  <c r="O5355" i="116"/>
  <c r="O5322" i="116"/>
  <c r="O5446" i="116"/>
  <c r="O5273" i="116"/>
  <c r="O5488" i="116"/>
  <c r="O5282" i="116"/>
  <c r="O5491" i="116"/>
  <c r="O5281" i="116"/>
  <c r="O5329" i="116"/>
  <c r="O5420" i="116"/>
  <c r="O5274" i="116"/>
  <c r="O5476" i="116"/>
  <c r="O5209" i="116"/>
  <c r="O5142" i="116"/>
  <c r="O5161" i="116"/>
  <c r="O5210" i="116"/>
  <c r="O5201" i="116"/>
  <c r="O5233" i="116"/>
  <c r="O5225" i="116"/>
  <c r="O5242" i="116"/>
  <c r="O5202" i="116"/>
  <c r="O5502" i="116"/>
  <c r="O7315" i="116"/>
  <c r="O7213" i="116"/>
  <c r="O7221" i="116"/>
  <c r="O6878" i="116"/>
  <c r="O6853" i="116"/>
  <c r="O6776" i="116"/>
  <c r="O6788" i="116"/>
  <c r="O6444" i="116"/>
  <c r="O6756" i="116"/>
  <c r="O6596" i="116"/>
  <c r="O6532" i="116"/>
  <c r="O6858" i="116"/>
  <c r="O6628" i="116"/>
  <c r="O6492" i="116"/>
  <c r="O6364" i="116"/>
  <c r="O6929" i="116"/>
  <c r="O6772" i="116"/>
  <c r="O6784" i="116"/>
  <c r="O6208" i="116"/>
  <c r="O6223" i="116"/>
  <c r="O5901" i="116"/>
  <c r="O5870" i="116"/>
  <c r="O5797" i="116"/>
  <c r="O6014" i="116"/>
  <c r="O5900" i="116"/>
  <c r="O5757" i="116"/>
  <c r="O5706" i="116"/>
  <c r="O5781" i="116"/>
  <c r="O5966" i="116"/>
  <c r="O5805" i="116"/>
  <c r="O5565" i="116"/>
  <c r="O5356" i="116"/>
  <c r="O5382" i="116"/>
  <c r="O5572" i="116"/>
  <c r="O5458" i="116"/>
  <c r="O5360" i="116"/>
  <c r="O5169" i="116"/>
  <c r="O5501" i="116"/>
  <c r="O5484" i="116"/>
  <c r="O5419" i="116"/>
  <c r="O5177" i="116"/>
  <c r="O5520" i="116"/>
  <c r="O5349" i="116"/>
  <c r="O5234" i="116"/>
  <c r="O7446" i="116"/>
  <c r="O7411" i="116"/>
  <c r="O7347" i="116"/>
  <c r="O7419" i="116"/>
  <c r="O7238" i="116"/>
  <c r="O7403" i="116"/>
  <c r="O7371" i="116"/>
  <c r="O7339" i="116"/>
  <c r="O7165" i="116"/>
  <c r="O7068" i="116"/>
  <c r="O7076" i="116"/>
  <c r="O6977" i="116"/>
  <c r="O6886" i="116"/>
  <c r="O6997" i="116"/>
  <c r="O7107" i="116"/>
  <c r="O6990" i="116"/>
  <c r="O7099" i="116"/>
  <c r="O6728" i="116"/>
  <c r="O6764" i="116"/>
  <c r="O6604" i="116"/>
  <c r="O6348" i="116"/>
  <c r="O6812" i="116"/>
  <c r="O6683" i="116"/>
  <c r="O6945" i="116"/>
  <c r="O6516" i="116"/>
  <c r="O6328" i="116"/>
  <c r="O6356" i="116"/>
  <c r="O6704" i="116"/>
  <c r="O6488" i="116"/>
  <c r="O6693" i="116"/>
  <c r="O6424" i="116"/>
  <c r="O6147" i="116"/>
  <c r="O5925" i="116"/>
  <c r="O6151" i="116"/>
  <c r="O6484" i="116"/>
  <c r="O6246" i="116"/>
  <c r="O6201" i="116"/>
  <c r="O6418" i="116"/>
  <c r="O6182" i="116"/>
  <c r="O6565" i="116"/>
  <c r="O5749" i="116"/>
  <c r="O5682" i="116"/>
  <c r="O5413" i="116"/>
  <c r="O5194" i="116"/>
  <c r="O5432" i="116"/>
  <c r="O5292" i="116"/>
  <c r="O5226" i="116"/>
  <c r="O5374" i="116"/>
  <c r="O5158" i="116"/>
  <c r="O5296" i="116"/>
  <c r="O5241" i="116"/>
  <c r="O5427" i="116"/>
  <c r="O6839" i="116"/>
  <c r="O6855" i="116"/>
  <c r="O6199" i="116"/>
  <c r="O6248" i="116"/>
  <c r="O5642" i="116"/>
  <c r="O7035" i="116"/>
  <c r="O6231" i="116"/>
  <c r="O5465" i="116"/>
  <c r="O5150" i="116"/>
  <c r="O5508" i="116"/>
  <c r="O5483" i="116"/>
  <c r="O6184" i="116"/>
  <c r="O6240" i="116"/>
  <c r="O5394" i="116"/>
  <c r="O7331" i="116"/>
  <c r="O7222" i="116"/>
  <c r="O7293" i="116"/>
  <c r="O7323" i="116"/>
  <c r="O7230" i="116"/>
  <c r="O7285" i="116"/>
  <c r="O7277" i="116"/>
  <c r="O7091" i="116"/>
  <c r="O7138" i="116"/>
  <c r="O6870" i="116"/>
  <c r="O6865" i="116"/>
  <c r="O6744" i="116"/>
  <c r="O6887" i="116"/>
  <c r="O6780" i="116"/>
  <c r="O6752" i="116"/>
  <c r="O6380" i="116"/>
  <c r="O6708" i="116"/>
  <c r="O6500" i="116"/>
  <c r="O6897" i="116"/>
  <c r="O6724" i="116"/>
  <c r="O6524" i="116"/>
  <c r="O6396" i="116"/>
  <c r="O7005" i="116"/>
  <c r="O6830" i="116"/>
  <c r="O6736" i="116"/>
  <c r="O6514" i="116"/>
  <c r="O6404" i="116"/>
  <c r="O6546" i="116"/>
  <c r="O6440" i="116"/>
  <c r="O6376" i="116"/>
  <c r="O6711" i="116"/>
  <c r="O6280" i="116"/>
  <c r="O6106" i="116"/>
  <c r="O5957" i="116"/>
  <c r="O6399" i="116"/>
  <c r="O6191" i="116"/>
  <c r="O6061" i="116"/>
  <c r="O6216" i="116"/>
  <c r="O6085" i="116"/>
  <c r="O5949" i="116"/>
  <c r="O6069" i="116"/>
  <c r="O6437" i="116"/>
  <c r="O6233" i="116"/>
  <c r="O6029" i="116"/>
  <c r="O5997" i="116"/>
  <c r="O5965" i="116"/>
  <c r="O5932" i="116"/>
  <c r="O5854" i="116"/>
  <c r="O5898" i="116"/>
  <c r="O5937" i="116"/>
  <c r="O5773" i="116"/>
  <c r="O6006" i="116"/>
  <c r="O5877" i="116"/>
  <c r="O5813" i="116"/>
  <c r="O5915" i="116"/>
  <c r="O5690" i="116"/>
  <c r="O5640" i="116"/>
  <c r="O5368" i="116"/>
  <c r="O5330" i="116"/>
  <c r="O5217" i="116"/>
  <c r="O5393" i="116"/>
  <c r="O5304" i="116"/>
  <c r="O5534" i="116"/>
  <c r="O5457" i="116"/>
  <c r="O5405" i="116"/>
  <c r="O5496" i="116"/>
  <c r="O5424" i="116"/>
  <c r="O5469" i="116"/>
  <c r="O5299" i="116"/>
  <c r="O5540" i="116"/>
  <c r="O5438" i="116"/>
  <c r="O5250" i="116"/>
  <c r="O4364" i="116"/>
  <c r="O4361" i="116"/>
  <c r="O4373" i="116"/>
  <c r="O4059" i="116"/>
  <c r="O4043" i="116"/>
  <c r="O4031" i="116"/>
  <c r="O4202" i="116"/>
  <c r="O4215" i="116"/>
  <c r="O4006" i="116"/>
  <c r="O4023" i="116"/>
  <c r="O4352" i="116"/>
  <c r="O4237" i="116"/>
  <c r="O4440" i="116"/>
  <c r="O4044" i="116"/>
  <c r="O4047" i="116"/>
  <c r="O4357" i="116"/>
  <c r="O4456" i="116"/>
  <c r="O4377" i="116"/>
  <c r="O4402" i="116"/>
  <c r="O4203" i="116"/>
  <c r="O4355" i="116"/>
  <c r="O4002" i="116"/>
  <c r="O3934" i="116"/>
  <c r="O3969" i="116"/>
  <c r="O3991" i="116"/>
  <c r="O3987" i="116"/>
  <c r="O3980" i="116"/>
  <c r="O3947" i="116"/>
  <c r="O3975" i="116"/>
  <c r="O3909" i="116"/>
  <c r="O3983" i="116"/>
  <c r="O3942" i="116"/>
  <c r="O3993" i="116"/>
  <c r="O3956" i="116"/>
  <c r="O3913" i="116"/>
  <c r="O3906" i="116"/>
  <c r="O3904" i="116"/>
  <c r="O3961" i="116"/>
  <c r="O3977" i="116"/>
  <c r="O3610" i="116"/>
  <c r="O3499" i="116"/>
  <c r="O3475" i="116"/>
  <c r="O3318" i="116"/>
  <c r="O3456" i="116"/>
  <c r="O3326" i="116"/>
  <c r="O3308" i="116"/>
  <c r="O3331" i="116"/>
  <c r="O3310" i="116"/>
  <c r="O3011" i="116"/>
  <c r="O3027" i="116"/>
  <c r="O3039" i="116"/>
  <c r="O3045" i="116"/>
  <c r="O3130" i="116"/>
  <c r="O3152" i="116"/>
  <c r="O3051" i="116"/>
  <c r="O3055" i="116"/>
  <c r="O3100" i="116"/>
  <c r="O3076" i="116"/>
  <c r="O3180" i="116"/>
  <c r="O3014" i="116"/>
  <c r="O3140" i="116"/>
  <c r="O3134" i="116"/>
  <c r="O3141" i="116"/>
  <c r="O3050" i="116"/>
  <c r="O3121" i="116"/>
  <c r="O3156" i="116"/>
  <c r="O3164" i="116"/>
  <c r="O3028" i="116"/>
  <c r="O3068" i="116"/>
  <c r="O3080" i="116"/>
  <c r="O3084" i="116"/>
  <c r="O3088" i="116"/>
  <c r="O3092" i="116"/>
  <c r="O3096" i="116"/>
  <c r="O3113" i="116"/>
  <c r="O3118" i="116"/>
  <c r="O3127" i="116"/>
  <c r="O3006" i="116"/>
  <c r="O3037" i="116"/>
  <c r="O3053" i="116"/>
  <c r="O3061" i="116"/>
  <c r="O3065" i="116"/>
  <c r="O3069" i="116"/>
  <c r="O3073" i="116"/>
  <c r="O3077" i="116"/>
  <c r="O3137" i="116"/>
  <c r="O3151" i="116"/>
  <c r="O3046" i="116"/>
  <c r="O3138" i="116"/>
  <c r="O3054" i="116"/>
  <c r="O3058" i="116"/>
  <c r="O3074" i="116"/>
  <c r="O3094" i="116"/>
  <c r="O3147" i="116"/>
  <c r="O3043" i="116"/>
  <c r="O3075" i="116"/>
  <c r="O3091" i="116"/>
  <c r="O3103" i="116"/>
  <c r="O3170" i="116"/>
  <c r="O3002" i="116"/>
  <c r="O2712" i="116"/>
  <c r="O2743" i="116"/>
  <c r="O2722" i="116"/>
  <c r="O2711" i="116"/>
  <c r="O2739" i="116"/>
  <c r="O2707" i="116"/>
  <c r="O2720" i="116"/>
  <c r="O2713" i="116"/>
  <c r="O2717" i="116"/>
  <c r="O2727" i="116"/>
  <c r="O2861" i="116"/>
  <c r="O3057" i="116"/>
  <c r="O3109" i="116"/>
  <c r="O3122" i="116"/>
  <c r="O3332" i="116"/>
  <c r="O4224" i="116"/>
  <c r="O3144" i="116"/>
  <c r="O3129" i="116"/>
  <c r="O3098" i="116"/>
  <c r="O4012" i="116"/>
  <c r="O4081" i="116"/>
  <c r="O4060" i="116"/>
  <c r="O3933" i="116"/>
  <c r="O3921" i="116"/>
  <c r="O3019" i="116"/>
  <c r="O3009" i="116"/>
  <c r="O2871" i="116"/>
  <c r="O2742" i="116"/>
  <c r="O2702" i="116"/>
  <c r="O3333" i="116"/>
  <c r="O2641" i="116"/>
  <c r="O3070" i="116"/>
  <c r="O3081" i="116"/>
  <c r="O3085" i="116"/>
  <c r="O3093" i="116"/>
  <c r="O3097" i="116"/>
  <c r="O3101" i="116"/>
  <c r="O3165" i="116"/>
  <c r="O3312" i="116"/>
  <c r="O4239" i="116"/>
  <c r="O4429" i="116"/>
  <c r="O4443" i="116"/>
  <c r="O4459" i="116"/>
  <c r="O3989" i="116"/>
  <c r="O3142" i="116"/>
  <c r="O3123" i="116"/>
  <c r="O3978" i="116"/>
  <c r="O4372" i="116"/>
  <c r="O4365" i="116"/>
  <c r="O4235" i="116"/>
  <c r="O4226" i="116"/>
  <c r="O4214" i="116"/>
  <c r="O3955" i="116"/>
  <c r="O3306" i="116"/>
  <c r="O3162" i="116"/>
  <c r="O2741" i="116"/>
  <c r="O3334" i="116"/>
  <c r="O2613" i="116"/>
  <c r="O3013" i="116"/>
  <c r="O3040" i="116"/>
  <c r="O3124" i="116"/>
  <c r="O3120" i="116"/>
  <c r="O3997" i="116"/>
  <c r="O4371" i="116"/>
  <c r="O4069" i="116"/>
  <c r="O3954" i="116"/>
  <c r="O3931" i="116"/>
  <c r="O3907" i="116"/>
  <c r="O3026" i="116"/>
  <c r="O3017" i="116"/>
  <c r="O3007" i="116"/>
  <c r="O2731" i="116"/>
  <c r="O2721" i="116"/>
  <c r="O2710" i="116"/>
  <c r="O3472" i="116"/>
  <c r="O3059" i="116"/>
  <c r="O3067" i="116"/>
  <c r="O3071" i="116"/>
  <c r="O3078" i="116"/>
  <c r="O3330" i="116"/>
  <c r="O4388" i="116"/>
  <c r="O4370" i="116"/>
  <c r="O4363" i="116"/>
  <c r="O3905" i="116"/>
  <c r="O3323" i="116"/>
  <c r="O3315" i="116"/>
  <c r="O3303" i="116"/>
  <c r="O3171" i="116"/>
  <c r="O3025" i="116"/>
  <c r="O3016" i="116"/>
  <c r="O2738" i="116"/>
  <c r="O2730" i="116"/>
  <c r="O2709" i="116"/>
  <c r="O2852" i="116"/>
  <c r="O3647" i="116"/>
  <c r="O3527" i="116"/>
  <c r="O3495" i="116"/>
  <c r="O3455" i="116"/>
  <c r="O3375" i="116"/>
  <c r="O2598" i="116"/>
  <c r="O3029" i="116"/>
  <c r="O3099" i="116"/>
  <c r="O3107" i="116"/>
  <c r="O3116" i="116"/>
  <c r="O3125" i="116"/>
  <c r="O3150" i="116"/>
  <c r="O3114" i="116"/>
  <c r="O3968" i="116"/>
  <c r="O4376" i="116"/>
  <c r="O4232" i="116"/>
  <c r="O4221" i="116"/>
  <c r="O4209" i="116"/>
  <c r="O4066" i="116"/>
  <c r="O3952" i="116"/>
  <c r="O3916" i="116"/>
  <c r="O3903" i="116"/>
  <c r="O3322" i="116"/>
  <c r="O3314" i="116"/>
  <c r="O3179" i="116"/>
  <c r="O2729" i="116"/>
  <c r="O4250" i="116"/>
  <c r="O4525" i="116"/>
  <c r="O4565" i="116"/>
  <c r="O4621" i="116"/>
  <c r="O4017" i="116"/>
  <c r="O3136" i="116"/>
  <c r="O3111" i="116"/>
  <c r="O4035" i="116"/>
  <c r="O4354" i="116"/>
  <c r="O4075" i="116"/>
  <c r="O3965" i="116"/>
  <c r="O3321" i="116"/>
  <c r="O3313" i="116"/>
  <c r="O3169" i="116"/>
  <c r="O3157" i="116"/>
  <c r="O3012" i="116"/>
  <c r="O2874" i="116"/>
  <c r="O2854" i="116"/>
  <c r="O3302" i="116"/>
  <c r="O2877" i="116"/>
  <c r="O3038" i="116"/>
  <c r="O3049" i="116"/>
  <c r="O3060" i="116"/>
  <c r="O3064" i="116"/>
  <c r="O3083" i="116"/>
  <c r="O3087" i="116"/>
  <c r="O3126" i="116"/>
  <c r="O3148" i="116"/>
  <c r="O3985" i="116"/>
  <c r="O4212" i="116"/>
  <c r="O4396" i="116"/>
  <c r="O3135" i="116"/>
  <c r="O3108" i="116"/>
  <c r="O4049" i="116"/>
  <c r="O4010" i="116"/>
  <c r="O3982" i="116"/>
  <c r="O4218" i="116"/>
  <c r="O4063" i="116"/>
  <c r="O3937" i="116"/>
  <c r="O3924" i="116"/>
  <c r="O3328" i="116"/>
  <c r="O3311" i="116"/>
  <c r="O3167" i="116"/>
  <c r="O3022" i="116"/>
  <c r="O2853" i="116"/>
  <c r="O3145" i="116"/>
  <c r="O3132" i="116"/>
  <c r="O3104" i="116"/>
  <c r="O4048" i="116"/>
  <c r="O4032" i="116"/>
  <c r="O4008" i="116"/>
  <c r="O4374" i="116"/>
  <c r="O4366" i="116"/>
  <c r="O4217" i="116"/>
  <c r="O3177" i="116"/>
  <c r="O3153" i="116"/>
  <c r="O3021" i="116"/>
  <c r="O2872" i="116"/>
  <c r="O2704" i="116"/>
  <c r="O2327" i="116"/>
  <c r="O2260" i="116"/>
  <c r="O2270" i="116"/>
  <c r="O2296" i="116"/>
  <c r="O2253" i="116"/>
  <c r="O2370" i="116"/>
  <c r="O2443" i="116"/>
  <c r="O2256" i="116"/>
  <c r="O2276" i="116"/>
  <c r="O2284" i="116"/>
  <c r="O2291" i="116"/>
  <c r="O2261" i="116"/>
  <c r="O2287" i="116"/>
  <c r="O2391" i="116"/>
  <c r="O2359" i="116"/>
  <c r="O2263" i="116"/>
  <c r="O2294" i="116"/>
  <c r="O2277" i="116"/>
  <c r="O2262" i="116"/>
  <c r="O2271" i="116"/>
  <c r="O2280" i="116"/>
  <c r="O2292" i="116"/>
  <c r="O2286" i="116"/>
  <c r="O2289" i="116"/>
  <c r="O2297" i="116"/>
  <c r="O2264" i="116"/>
  <c r="O2282" i="116"/>
  <c r="O2269" i="116"/>
  <c r="O2295" i="116"/>
  <c r="O2006" i="116"/>
  <c r="O2025" i="116"/>
  <c r="O2118" i="116"/>
  <c r="O2143" i="116"/>
  <c r="O2041" i="116"/>
  <c r="O2056" i="116"/>
  <c r="O2042" i="116"/>
  <c r="O2050" i="116"/>
  <c r="O2009" i="116"/>
  <c r="O2136" i="116"/>
  <c r="O2010" i="116"/>
  <c r="O2037" i="116"/>
  <c r="O2029" i="116"/>
  <c r="O2093" i="116"/>
  <c r="O2142" i="116"/>
  <c r="O2022" i="116"/>
  <c r="O2047" i="116"/>
  <c r="O2084" i="116"/>
  <c r="O2024" i="116"/>
  <c r="O2110" i="116"/>
  <c r="O2062" i="116"/>
  <c r="O2073" i="116"/>
  <c r="O2144" i="116"/>
  <c r="O2131" i="116"/>
  <c r="O2119" i="116"/>
  <c r="O2020" i="116"/>
  <c r="O2140" i="116"/>
  <c r="O2129" i="116"/>
  <c r="O2117" i="116"/>
  <c r="O2018" i="116"/>
  <c r="O2065" i="116"/>
  <c r="O2076" i="116"/>
  <c r="O2045" i="116"/>
  <c r="O2019" i="116"/>
  <c r="O2107" i="116"/>
  <c r="O2102" i="116"/>
  <c r="O2016" i="116"/>
  <c r="O2127" i="116"/>
  <c r="O2105" i="116"/>
  <c r="O2013" i="116"/>
  <c r="O2068" i="116"/>
  <c r="O2079" i="116"/>
  <c r="O2114" i="116"/>
  <c r="O2043" i="116"/>
  <c r="O2030" i="116"/>
  <c r="O2015" i="116"/>
  <c r="O2135" i="116"/>
  <c r="O2126" i="116"/>
  <c r="O2113" i="116"/>
  <c r="O2106" i="116"/>
  <c r="O2028" i="116"/>
  <c r="O2134" i="116"/>
  <c r="O2125" i="116"/>
  <c r="O2039" i="116"/>
  <c r="O2011" i="116"/>
  <c r="O2005" i="116"/>
  <c r="O2002" i="116"/>
  <c r="O1808" i="116"/>
  <c r="O1816" i="116"/>
  <c r="O1805" i="116"/>
  <c r="O1962" i="116"/>
  <c r="O1837" i="116"/>
  <c r="O1788" i="116"/>
  <c r="O1769" i="116"/>
  <c r="O1802" i="116"/>
  <c r="O1774" i="116"/>
  <c r="O1817" i="116"/>
  <c r="O1828" i="116"/>
  <c r="O1990" i="116"/>
  <c r="O1780" i="116"/>
  <c r="O1772" i="116"/>
  <c r="O1836" i="116"/>
  <c r="O1958" i="116"/>
  <c r="O1976" i="116"/>
  <c r="O1826" i="116"/>
  <c r="O1814" i="116"/>
  <c r="O1978" i="116"/>
  <c r="O1994" i="116"/>
  <c r="O1967" i="116"/>
  <c r="O1804" i="116"/>
  <c r="O1824" i="116"/>
  <c r="O1832" i="116"/>
  <c r="O1799" i="116"/>
  <c r="O1791" i="116"/>
  <c r="O1792" i="116"/>
  <c r="O1834" i="116"/>
  <c r="O1831" i="116"/>
  <c r="O1819" i="116"/>
  <c r="O1989" i="116"/>
  <c r="O1979" i="116"/>
  <c r="O1820" i="116"/>
  <c r="O1987" i="116"/>
  <c r="O1857" i="116"/>
  <c r="O1846" i="116"/>
  <c r="O1818" i="116"/>
  <c r="O1806" i="116"/>
  <c r="O1997" i="116"/>
  <c r="O1988" i="116"/>
  <c r="O1977" i="116"/>
  <c r="O1855" i="116"/>
  <c r="O1843" i="116"/>
  <c r="O1815" i="116"/>
  <c r="O1996" i="116"/>
  <c r="O1803" i="116"/>
  <c r="O1786" i="116"/>
  <c r="O1961" i="116"/>
  <c r="O1983" i="116"/>
  <c r="O1851" i="116"/>
  <c r="O1992" i="116"/>
  <c r="O1982" i="116"/>
  <c r="O1845" i="116"/>
  <c r="O1821" i="116"/>
  <c r="O1981" i="116"/>
  <c r="O1968" i="116"/>
  <c r="O1691" i="116"/>
  <c r="O1694" i="116"/>
  <c r="O1652" i="116"/>
  <c r="O1663" i="116"/>
  <c r="O1655" i="116"/>
  <c r="O1678" i="116"/>
  <c r="O1736" i="116"/>
  <c r="O1675" i="116"/>
  <c r="O1661" i="116"/>
  <c r="O1686" i="116"/>
  <c r="O1721" i="116"/>
  <c r="O1711" i="116"/>
  <c r="O1728" i="116"/>
  <c r="O1750" i="116"/>
  <c r="O1669" i="116"/>
  <c r="O1688" i="116"/>
  <c r="O1668" i="116"/>
  <c r="O1722" i="116"/>
  <c r="O1738" i="116"/>
  <c r="O1705" i="116"/>
  <c r="O1696" i="116"/>
  <c r="O1673" i="116"/>
  <c r="O1684" i="116"/>
  <c r="O1672" i="116"/>
  <c r="O1659" i="116"/>
  <c r="O1693" i="116"/>
  <c r="O1063" i="116"/>
  <c r="O1083" i="116"/>
  <c r="O1106" i="116"/>
  <c r="O1110" i="116"/>
  <c r="O1118" i="116"/>
  <c r="O1210" i="116"/>
  <c r="O1218" i="116"/>
  <c r="O1056" i="116"/>
  <c r="O1064" i="116"/>
  <c r="O1072" i="116"/>
  <c r="O1065" i="116"/>
  <c r="O1073" i="116"/>
  <c r="O1100" i="116"/>
  <c r="O1120" i="116"/>
  <c r="O1097" i="116"/>
  <c r="O1105" i="116"/>
  <c r="O1109" i="116"/>
  <c r="O1068" i="116"/>
  <c r="O1076" i="116"/>
  <c r="O1128" i="116"/>
  <c r="O1062" i="116"/>
  <c r="O1085" i="116"/>
  <c r="O1089" i="116"/>
  <c r="O1044" i="116"/>
  <c r="O1202" i="116"/>
  <c r="O1071" i="116"/>
  <c r="O1102" i="116"/>
  <c r="O1216" i="116"/>
  <c r="O1239" i="116"/>
  <c r="O1217" i="116"/>
  <c r="O1060" i="116"/>
  <c r="O1108" i="116"/>
  <c r="O1116" i="116"/>
  <c r="O1215" i="116"/>
  <c r="O1053" i="116"/>
  <c r="O1057" i="116"/>
  <c r="O1236" i="116"/>
  <c r="O1052" i="116"/>
  <c r="O1235" i="116"/>
  <c r="O1224" i="116"/>
  <c r="O1054" i="116"/>
  <c r="O1058" i="116"/>
  <c r="O1087" i="116"/>
  <c r="O1094" i="116"/>
  <c r="O1098" i="116"/>
  <c r="O1113" i="116"/>
  <c r="O1122" i="116"/>
  <c r="O1206" i="116"/>
  <c r="O1223" i="116"/>
  <c r="O1080" i="116"/>
  <c r="O1125" i="116"/>
  <c r="O1208" i="116"/>
  <c r="O1081" i="116"/>
  <c r="O1121" i="116"/>
  <c r="O1220" i="116"/>
  <c r="O1103" i="116"/>
  <c r="O1119" i="116"/>
  <c r="O1229" i="116"/>
  <c r="O1219" i="116"/>
  <c r="O1205" i="116"/>
  <c r="O766" i="116"/>
  <c r="O916" i="116"/>
  <c r="O928" i="116"/>
  <c r="O937" i="116"/>
  <c r="O948" i="116"/>
  <c r="O772" i="116"/>
  <c r="O959" i="116"/>
  <c r="O800" i="116"/>
  <c r="O788" i="116"/>
  <c r="O779" i="116"/>
  <c r="O956" i="116"/>
  <c r="O770" i="116"/>
  <c r="O790" i="116"/>
  <c r="O795" i="116"/>
  <c r="O811" i="116"/>
  <c r="O906" i="116"/>
  <c r="O918" i="116"/>
  <c r="O925" i="116"/>
  <c r="O944" i="116"/>
  <c r="O813" i="116"/>
  <c r="O769" i="116"/>
  <c r="O758" i="116"/>
  <c r="O798" i="116"/>
  <c r="O786" i="116"/>
  <c r="O951" i="116"/>
  <c r="O927" i="116"/>
  <c r="O791" i="116"/>
  <c r="O814" i="116"/>
  <c r="O809" i="116"/>
  <c r="O767" i="116"/>
  <c r="O808" i="116"/>
  <c r="O755" i="116"/>
  <c r="O815" i="116"/>
  <c r="O904" i="116"/>
  <c r="O909" i="116"/>
  <c r="O921" i="116"/>
  <c r="O946" i="116"/>
  <c r="O960" i="116"/>
  <c r="O821" i="116"/>
  <c r="O805" i="116"/>
  <c r="O754" i="116"/>
  <c r="O804" i="116"/>
  <c r="O782" i="116"/>
  <c r="O773" i="116"/>
  <c r="O753" i="116"/>
  <c r="O611" i="116"/>
  <c r="O704" i="116"/>
  <c r="O652" i="116"/>
  <c r="O669" i="116"/>
  <c r="O676" i="116"/>
  <c r="O696" i="116"/>
  <c r="O750" i="116"/>
  <c r="O660" i="116"/>
  <c r="O486" i="116"/>
  <c r="O481" i="116"/>
  <c r="O163" i="116"/>
  <c r="O153" i="116"/>
  <c r="O178" i="116"/>
  <c r="O160" i="116"/>
  <c r="O177" i="116"/>
  <c r="O152" i="116"/>
  <c r="O154" i="116"/>
  <c r="O185" i="116"/>
  <c r="O166" i="116"/>
  <c r="O158" i="116"/>
  <c r="O156" i="116"/>
  <c r="O157" i="116"/>
  <c r="O183" i="116"/>
  <c r="O174" i="116"/>
  <c r="O164" i="116"/>
  <c r="O155" i="116"/>
  <c r="O4533" i="116"/>
  <c r="O4568" i="116"/>
  <c r="O4629" i="116"/>
  <c r="O4541" i="116"/>
  <c r="O4573" i="116"/>
  <c r="O4637" i="116"/>
  <c r="O4544" i="116"/>
  <c r="O4581" i="116"/>
  <c r="O4645" i="116"/>
  <c r="O4549" i="116"/>
  <c r="O4589" i="116"/>
  <c r="O4552" i="116"/>
  <c r="O4597" i="116"/>
  <c r="O4509" i="116"/>
  <c r="O4557" i="116"/>
  <c r="O4605" i="116"/>
  <c r="O4517" i="116"/>
  <c r="O4560" i="116"/>
  <c r="O4613" i="116"/>
  <c r="N4506" i="116"/>
  <c r="O4506" i="116" s="1"/>
  <c r="N4514" i="116"/>
  <c r="O4514" i="116" s="1"/>
  <c r="N4522" i="116"/>
  <c r="O4522" i="116" s="1"/>
  <c r="N4530" i="116"/>
  <c r="O4530" i="116" s="1"/>
  <c r="N4538" i="116"/>
  <c r="O4538" i="116" s="1"/>
  <c r="N4546" i="116"/>
  <c r="O4546" i="116" s="1"/>
  <c r="N4554" i="116"/>
  <c r="O4554" i="116" s="1"/>
  <c r="N4562" i="116"/>
  <c r="O4562" i="116" s="1"/>
  <c r="N4570" i="116"/>
  <c r="O4570" i="116" s="1"/>
  <c r="N4578" i="116"/>
  <c r="O4578" i="116" s="1"/>
  <c r="N4586" i="116"/>
  <c r="O4586" i="116" s="1"/>
  <c r="N4594" i="116"/>
  <c r="O4594" i="116" s="1"/>
  <c r="N4602" i="116"/>
  <c r="O4602" i="116" s="1"/>
  <c r="N4610" i="116"/>
  <c r="O4610" i="116" s="1"/>
  <c r="N4618" i="116"/>
  <c r="O4618" i="116" s="1"/>
  <c r="N4626" i="116"/>
  <c r="O4626" i="116" s="1"/>
  <c r="N4634" i="116"/>
  <c r="O4634" i="116" s="1"/>
  <c r="N4642" i="116"/>
  <c r="O4642" i="116" s="1"/>
  <c r="N4650" i="116"/>
  <c r="O4650" i="116" s="1"/>
  <c r="M4504" i="116"/>
  <c r="O4504" i="116" s="1"/>
  <c r="M4507" i="116"/>
  <c r="O4507" i="116" s="1"/>
  <c r="M4512" i="116"/>
  <c r="O4512" i="116" s="1"/>
  <c r="M4515" i="116"/>
  <c r="O4515" i="116" s="1"/>
  <c r="M4520" i="116"/>
  <c r="O4520" i="116" s="1"/>
  <c r="M4523" i="116"/>
  <c r="O4523" i="116" s="1"/>
  <c r="M4528" i="116"/>
  <c r="O4528" i="116" s="1"/>
  <c r="M4531" i="116"/>
  <c r="O4531" i="116" s="1"/>
  <c r="M4536" i="116"/>
  <c r="O4536" i="116" s="1"/>
  <c r="M4539" i="116"/>
  <c r="O4539" i="116" s="1"/>
  <c r="M4547" i="116"/>
  <c r="O4547" i="116" s="1"/>
  <c r="M4555" i="116"/>
  <c r="O4555" i="116" s="1"/>
  <c r="M4563" i="116"/>
  <c r="O4563" i="116" s="1"/>
  <c r="M4571" i="116"/>
  <c r="O4571" i="116" s="1"/>
  <c r="M4576" i="116"/>
  <c r="O4576" i="116" s="1"/>
  <c r="M4579" i="116"/>
  <c r="O4579" i="116" s="1"/>
  <c r="M4584" i="116"/>
  <c r="O4584" i="116" s="1"/>
  <c r="M4587" i="116"/>
  <c r="O4587" i="116" s="1"/>
  <c r="M4592" i="116"/>
  <c r="O4592" i="116" s="1"/>
  <c r="M4595" i="116"/>
  <c r="O4595" i="116" s="1"/>
  <c r="M4600" i="116"/>
  <c r="O4600" i="116" s="1"/>
  <c r="M4603" i="116"/>
  <c r="O4603" i="116" s="1"/>
  <c r="M4608" i="116"/>
  <c r="O4608" i="116" s="1"/>
  <c r="M4611" i="116"/>
  <c r="O4611" i="116" s="1"/>
  <c r="M4616" i="116"/>
  <c r="O4616" i="116" s="1"/>
  <c r="M4619" i="116"/>
  <c r="O4619" i="116" s="1"/>
  <c r="M4624" i="116"/>
  <c r="O4624" i="116" s="1"/>
  <c r="M4627" i="116"/>
  <c r="O4627" i="116" s="1"/>
  <c r="M4632" i="116"/>
  <c r="O4632" i="116" s="1"/>
  <c r="M4635" i="116"/>
  <c r="O4635" i="116" s="1"/>
  <c r="M4640" i="116"/>
  <c r="O4640" i="116" s="1"/>
  <c r="M4643" i="116"/>
  <c r="O4643" i="116" s="1"/>
  <c r="M4648" i="116"/>
  <c r="O4648" i="116" s="1"/>
  <c r="M4651" i="116"/>
  <c r="O4651" i="116" s="1"/>
  <c r="M4502" i="116"/>
  <c r="O4502" i="116" s="1"/>
  <c r="M4510" i="116"/>
  <c r="O4510" i="116" s="1"/>
  <c r="M4518" i="116"/>
  <c r="O4518" i="116" s="1"/>
  <c r="M4526" i="116"/>
  <c r="O4526" i="116" s="1"/>
  <c r="M4534" i="116"/>
  <c r="O4534" i="116" s="1"/>
  <c r="M4542" i="116"/>
  <c r="O4542" i="116" s="1"/>
  <c r="M4550" i="116"/>
  <c r="O4550" i="116" s="1"/>
  <c r="M4574" i="116"/>
  <c r="O4574" i="116" s="1"/>
  <c r="M4598" i="116"/>
  <c r="O4598" i="116" s="1"/>
  <c r="M4606" i="116"/>
  <c r="O4606" i="116" s="1"/>
  <c r="M4614" i="116"/>
  <c r="O4614" i="116" s="1"/>
  <c r="M4622" i="116"/>
  <c r="O4622" i="116" s="1"/>
  <c r="M4630" i="116"/>
  <c r="O4630" i="116" s="1"/>
  <c r="M4638" i="116"/>
  <c r="O4638" i="116" s="1"/>
  <c r="M4646" i="116"/>
  <c r="O4646" i="116" s="1"/>
  <c r="M4558" i="116"/>
  <c r="O4558" i="116" s="1"/>
  <c r="M4566" i="116"/>
  <c r="O4566" i="116" s="1"/>
  <c r="M4582" i="116"/>
  <c r="O4582" i="116" s="1"/>
  <c r="M4590" i="116"/>
  <c r="O4590" i="116" s="1"/>
  <c r="M4505" i="116"/>
  <c r="O4505" i="116" s="1"/>
  <c r="M4513" i="116"/>
  <c r="O4513" i="116" s="1"/>
  <c r="M4521" i="116"/>
  <c r="O4521" i="116" s="1"/>
  <c r="M4529" i="116"/>
  <c r="O4529" i="116" s="1"/>
  <c r="M4537" i="116"/>
  <c r="O4537" i="116" s="1"/>
  <c r="M4545" i="116"/>
  <c r="O4545" i="116" s="1"/>
  <c r="M4553" i="116"/>
  <c r="O4553" i="116" s="1"/>
  <c r="M4561" i="116"/>
  <c r="O4561" i="116" s="1"/>
  <c r="M4569" i="116"/>
  <c r="O4569" i="116" s="1"/>
  <c r="M4577" i="116"/>
  <c r="O4577" i="116" s="1"/>
  <c r="M4585" i="116"/>
  <c r="O4585" i="116" s="1"/>
  <c r="M4593" i="116"/>
  <c r="O4593" i="116" s="1"/>
  <c r="M4601" i="116"/>
  <c r="O4601" i="116" s="1"/>
  <c r="M4609" i="116"/>
  <c r="O4609" i="116" s="1"/>
  <c r="M4617" i="116"/>
  <c r="O4617" i="116" s="1"/>
  <c r="M4625" i="116"/>
  <c r="O4625" i="116" s="1"/>
  <c r="M4633" i="116"/>
  <c r="O4633" i="116" s="1"/>
  <c r="M4641" i="116"/>
  <c r="O4641" i="116" s="1"/>
  <c r="M4649" i="116"/>
  <c r="O4649" i="116" s="1"/>
  <c r="M4508" i="116"/>
  <c r="O4508" i="116" s="1"/>
  <c r="M4516" i="116"/>
  <c r="O4516" i="116" s="1"/>
  <c r="M4524" i="116"/>
  <c r="O4524" i="116" s="1"/>
  <c r="M4532" i="116"/>
  <c r="O4532" i="116" s="1"/>
  <c r="M4540" i="116"/>
  <c r="O4540" i="116" s="1"/>
  <c r="M4548" i="116"/>
  <c r="O4548" i="116" s="1"/>
  <c r="M4556" i="116"/>
  <c r="O4556" i="116" s="1"/>
  <c r="M4564" i="116"/>
  <c r="O4564" i="116" s="1"/>
  <c r="M4572" i="116"/>
  <c r="O4572" i="116" s="1"/>
  <c r="M4580" i="116"/>
  <c r="O4580" i="116" s="1"/>
  <c r="M4588" i="116"/>
  <c r="O4588" i="116" s="1"/>
  <c r="M4596" i="116"/>
  <c r="O4596" i="116" s="1"/>
  <c r="M4604" i="116"/>
  <c r="O4604" i="116" s="1"/>
  <c r="M4612" i="116"/>
  <c r="O4612" i="116" s="1"/>
  <c r="M4620" i="116"/>
  <c r="O4620" i="116" s="1"/>
  <c r="M4628" i="116"/>
  <c r="O4628" i="116" s="1"/>
  <c r="M4636" i="116"/>
  <c r="O4636" i="116" s="1"/>
  <c r="M4644" i="116"/>
  <c r="O4644" i="116" s="1"/>
  <c r="M4503" i="116"/>
  <c r="O4503" i="116" s="1"/>
  <c r="M4511" i="116"/>
  <c r="O4511" i="116" s="1"/>
  <c r="M4519" i="116"/>
  <c r="O4519" i="116" s="1"/>
  <c r="M4527" i="116"/>
  <c r="O4527" i="116" s="1"/>
  <c r="M4535" i="116"/>
  <c r="O4535" i="116" s="1"/>
  <c r="M4543" i="116"/>
  <c r="O4543" i="116" s="1"/>
  <c r="M4551" i="116"/>
  <c r="O4551" i="116" s="1"/>
  <c r="M4559" i="116"/>
  <c r="O4559" i="116" s="1"/>
  <c r="M4567" i="116"/>
  <c r="O4567" i="116" s="1"/>
  <c r="M4575" i="116"/>
  <c r="O4575" i="116" s="1"/>
  <c r="M4583" i="116"/>
  <c r="O4583" i="116" s="1"/>
  <c r="M4591" i="116"/>
  <c r="O4591" i="116" s="1"/>
  <c r="M4599" i="116"/>
  <c r="O4599" i="116" s="1"/>
  <c r="M4607" i="116"/>
  <c r="O4607" i="116" s="1"/>
  <c r="M4615" i="116"/>
  <c r="O4615" i="116" s="1"/>
  <c r="M4623" i="116"/>
  <c r="O4623" i="116" s="1"/>
  <c r="M4631" i="116"/>
  <c r="O4631" i="116" s="1"/>
  <c r="M4639" i="116"/>
  <c r="O4639" i="116" s="1"/>
  <c r="M4647" i="116"/>
  <c r="O4647" i="116" s="1"/>
  <c r="O4499" i="116"/>
  <c r="O4410" i="116"/>
  <c r="O4480" i="116"/>
  <c r="O4483" i="116"/>
  <c r="O4467" i="116"/>
  <c r="O4488" i="116"/>
  <c r="O4424" i="116"/>
  <c r="O4491" i="116"/>
  <c r="O4472" i="116"/>
  <c r="O4427" i="116"/>
  <c r="O4475" i="116"/>
  <c r="O4496" i="116"/>
  <c r="N4415" i="116"/>
  <c r="O4415" i="116" s="1"/>
  <c r="M4438" i="116"/>
  <c r="O4438" i="116" s="1"/>
  <c r="M4454" i="116"/>
  <c r="O4454" i="116" s="1"/>
  <c r="M4462" i="116"/>
  <c r="O4462" i="116" s="1"/>
  <c r="M4470" i="116"/>
  <c r="O4470" i="116" s="1"/>
  <c r="M4478" i="116"/>
  <c r="O4478" i="116" s="1"/>
  <c r="M4486" i="116"/>
  <c r="O4486" i="116" s="1"/>
  <c r="M4494" i="116"/>
  <c r="O4494" i="116" s="1"/>
  <c r="M4353" i="116"/>
  <c r="O4353" i="116" s="1"/>
  <c r="M4378" i="116"/>
  <c r="O4378" i="116" s="1"/>
  <c r="N4383" i="116"/>
  <c r="O4383" i="116" s="1"/>
  <c r="M4386" i="116"/>
  <c r="O4386" i="116" s="1"/>
  <c r="N4391" i="116"/>
  <c r="O4391" i="116" s="1"/>
  <c r="M4394" i="116"/>
  <c r="O4394" i="116" s="1"/>
  <c r="N4399" i="116"/>
  <c r="O4399" i="116" s="1"/>
  <c r="M4405" i="116"/>
  <c r="O4405" i="116" s="1"/>
  <c r="M4408" i="116"/>
  <c r="O4408" i="116" s="1"/>
  <c r="M4413" i="116"/>
  <c r="O4413" i="116" s="1"/>
  <c r="M4419" i="116"/>
  <c r="O4419" i="116" s="1"/>
  <c r="M4430" i="116"/>
  <c r="O4430" i="116" s="1"/>
  <c r="M4446" i="116"/>
  <c r="O4446" i="116" s="1"/>
  <c r="M4369" i="116"/>
  <c r="O4369" i="116" s="1"/>
  <c r="M4381" i="116"/>
  <c r="O4381" i="116" s="1"/>
  <c r="M4389" i="116"/>
  <c r="O4389" i="116" s="1"/>
  <c r="M4397" i="116"/>
  <c r="O4397" i="116" s="1"/>
  <c r="M4403" i="116"/>
  <c r="O4403" i="116" s="1"/>
  <c r="M4411" i="116"/>
  <c r="O4411" i="116" s="1"/>
  <c r="M4416" i="116"/>
  <c r="O4416" i="116" s="1"/>
  <c r="M4422" i="116"/>
  <c r="O4422" i="116" s="1"/>
  <c r="M4433" i="116"/>
  <c r="O4433" i="116" s="1"/>
  <c r="M4441" i="116"/>
  <c r="O4441" i="116" s="1"/>
  <c r="M4449" i="116"/>
  <c r="O4449" i="116" s="1"/>
  <c r="M4457" i="116"/>
  <c r="O4457" i="116" s="1"/>
  <c r="M4465" i="116"/>
  <c r="O4465" i="116" s="1"/>
  <c r="M4473" i="116"/>
  <c r="O4473" i="116" s="1"/>
  <c r="M4481" i="116"/>
  <c r="O4481" i="116" s="1"/>
  <c r="M4489" i="116"/>
  <c r="O4489" i="116" s="1"/>
  <c r="M4497" i="116"/>
  <c r="O4497" i="116" s="1"/>
  <c r="M4379" i="116"/>
  <c r="O4379" i="116" s="1"/>
  <c r="M4384" i="116"/>
  <c r="O4384" i="116" s="1"/>
  <c r="M4387" i="116"/>
  <c r="O4387" i="116" s="1"/>
  <c r="M4392" i="116"/>
  <c r="O4392" i="116" s="1"/>
  <c r="M4395" i="116"/>
  <c r="O4395" i="116" s="1"/>
  <c r="M4400" i="116"/>
  <c r="O4400" i="116" s="1"/>
  <c r="M4406" i="116"/>
  <c r="O4406" i="116" s="1"/>
  <c r="M4414" i="116"/>
  <c r="O4414" i="116" s="1"/>
  <c r="M4425" i="116"/>
  <c r="O4425" i="116" s="1"/>
  <c r="M4436" i="116"/>
  <c r="O4436" i="116" s="1"/>
  <c r="M4444" i="116"/>
  <c r="O4444" i="116" s="1"/>
  <c r="M4452" i="116"/>
  <c r="O4452" i="116" s="1"/>
  <c r="M4460" i="116"/>
  <c r="O4460" i="116" s="1"/>
  <c r="M4468" i="116"/>
  <c r="O4468" i="116" s="1"/>
  <c r="M4476" i="116"/>
  <c r="O4476" i="116" s="1"/>
  <c r="M4484" i="116"/>
  <c r="O4484" i="116" s="1"/>
  <c r="M4492" i="116"/>
  <c r="O4492" i="116" s="1"/>
  <c r="M4500" i="116"/>
  <c r="O4500" i="116" s="1"/>
  <c r="M4382" i="116"/>
  <c r="O4382" i="116" s="1"/>
  <c r="M4390" i="116"/>
  <c r="O4390" i="116" s="1"/>
  <c r="M4398" i="116"/>
  <c r="O4398" i="116" s="1"/>
  <c r="M4417" i="116"/>
  <c r="O4417" i="116" s="1"/>
  <c r="M4428" i="116"/>
  <c r="O4428" i="116" s="1"/>
  <c r="M4431" i="116"/>
  <c r="O4431" i="116" s="1"/>
  <c r="M4434" i="116"/>
  <c r="O4434" i="116" s="1"/>
  <c r="M4439" i="116"/>
  <c r="O4439" i="116" s="1"/>
  <c r="M4442" i="116"/>
  <c r="O4442" i="116" s="1"/>
  <c r="M4447" i="116"/>
  <c r="O4447" i="116" s="1"/>
  <c r="M4450" i="116"/>
  <c r="O4450" i="116" s="1"/>
  <c r="M4455" i="116"/>
  <c r="O4455" i="116" s="1"/>
  <c r="M4458" i="116"/>
  <c r="O4458" i="116" s="1"/>
  <c r="M4463" i="116"/>
  <c r="O4463" i="116" s="1"/>
  <c r="M4466" i="116"/>
  <c r="O4466" i="116" s="1"/>
  <c r="M4471" i="116"/>
  <c r="O4471" i="116" s="1"/>
  <c r="M4474" i="116"/>
  <c r="O4474" i="116" s="1"/>
  <c r="M4479" i="116"/>
  <c r="O4479" i="116" s="1"/>
  <c r="M4482" i="116"/>
  <c r="O4482" i="116" s="1"/>
  <c r="M4487" i="116"/>
  <c r="O4487" i="116" s="1"/>
  <c r="M4490" i="116"/>
  <c r="O4490" i="116" s="1"/>
  <c r="M4495" i="116"/>
  <c r="O4495" i="116" s="1"/>
  <c r="M4498" i="116"/>
  <c r="O4498" i="116" s="1"/>
  <c r="M4401" i="116"/>
  <c r="O4401" i="116" s="1"/>
  <c r="M4409" i="116"/>
  <c r="O4409" i="116" s="1"/>
  <c r="M4420" i="116"/>
  <c r="O4420" i="116" s="1"/>
  <c r="M4423" i="116"/>
  <c r="O4423" i="116" s="1"/>
  <c r="N4407" i="116"/>
  <c r="O4407" i="116" s="1"/>
  <c r="O4343" i="116"/>
  <c r="O4295" i="116"/>
  <c r="O4304" i="116"/>
  <c r="O4261" i="116"/>
  <c r="O4309" i="116"/>
  <c r="O4267" i="116"/>
  <c r="O4318" i="116"/>
  <c r="O4247" i="116"/>
  <c r="M4329" i="116"/>
  <c r="O4329" i="116" s="1"/>
  <c r="N4337" i="116"/>
  <c r="O4337" i="116" s="1"/>
  <c r="M4346" i="116"/>
  <c r="O4346" i="116" s="1"/>
  <c r="M4227" i="116"/>
  <c r="O4227" i="116" s="1"/>
  <c r="M4242" i="116"/>
  <c r="O4242" i="116" s="1"/>
  <c r="M4253" i="116"/>
  <c r="O4253" i="116" s="1"/>
  <c r="M4256" i="116"/>
  <c r="O4256" i="116" s="1"/>
  <c r="M4259" i="116"/>
  <c r="O4259" i="116" s="1"/>
  <c r="N4264" i="116"/>
  <c r="O4264" i="116" s="1"/>
  <c r="M4270" i="116"/>
  <c r="O4270" i="116" s="1"/>
  <c r="M4273" i="116"/>
  <c r="O4273" i="116" s="1"/>
  <c r="M4276" i="116"/>
  <c r="O4276" i="116" s="1"/>
  <c r="N4281" i="116"/>
  <c r="O4281" i="116" s="1"/>
  <c r="M4284" i="116"/>
  <c r="O4284" i="116" s="1"/>
  <c r="M4287" i="116"/>
  <c r="O4287" i="116" s="1"/>
  <c r="M4290" i="116"/>
  <c r="O4290" i="116" s="1"/>
  <c r="N4298" i="116"/>
  <c r="O4298" i="116" s="1"/>
  <c r="M4301" i="116"/>
  <c r="O4301" i="116" s="1"/>
  <c r="M4307" i="116"/>
  <c r="O4307" i="116" s="1"/>
  <c r="N4312" i="116"/>
  <c r="O4312" i="116" s="1"/>
  <c r="M4321" i="116"/>
  <c r="O4321" i="116" s="1"/>
  <c r="M4332" i="116"/>
  <c r="O4332" i="116" s="1"/>
  <c r="M4349" i="116"/>
  <c r="O4349" i="116" s="1"/>
  <c r="N4306" i="116"/>
  <c r="O4306" i="116" s="1"/>
  <c r="M4240" i="116"/>
  <c r="O4240" i="116" s="1"/>
  <c r="M4245" i="116"/>
  <c r="O4245" i="116" s="1"/>
  <c r="M4248" i="116"/>
  <c r="O4248" i="116" s="1"/>
  <c r="M4251" i="116"/>
  <c r="O4251" i="116" s="1"/>
  <c r="M4262" i="116"/>
  <c r="O4262" i="116" s="1"/>
  <c r="M4279" i="116"/>
  <c r="O4279" i="116" s="1"/>
  <c r="M4293" i="116"/>
  <c r="O4293" i="116" s="1"/>
  <c r="M4296" i="116"/>
  <c r="O4296" i="116" s="1"/>
  <c r="M4299" i="116"/>
  <c r="O4299" i="116" s="1"/>
  <c r="M4310" i="116"/>
  <c r="O4310" i="116" s="1"/>
  <c r="M4313" i="116"/>
  <c r="O4313" i="116" s="1"/>
  <c r="M4316" i="116"/>
  <c r="O4316" i="116" s="1"/>
  <c r="M4324" i="116"/>
  <c r="O4324" i="116" s="1"/>
  <c r="M4327" i="116"/>
  <c r="O4327" i="116" s="1"/>
  <c r="M4335" i="116"/>
  <c r="O4335" i="116" s="1"/>
  <c r="M4338" i="116"/>
  <c r="O4338" i="116" s="1"/>
  <c r="M4344" i="116"/>
  <c r="O4344" i="116" s="1"/>
  <c r="M4347" i="116"/>
  <c r="O4347" i="116" s="1"/>
  <c r="M4243" i="116"/>
  <c r="O4243" i="116" s="1"/>
  <c r="M4254" i="116"/>
  <c r="O4254" i="116" s="1"/>
  <c r="M4265" i="116"/>
  <c r="O4265" i="116" s="1"/>
  <c r="M4282" i="116"/>
  <c r="O4282" i="116" s="1"/>
  <c r="M4288" i="116"/>
  <c r="O4288" i="116" s="1"/>
  <c r="M4291" i="116"/>
  <c r="O4291" i="116" s="1"/>
  <c r="M4302" i="116"/>
  <c r="O4302" i="116" s="1"/>
  <c r="M4319" i="116"/>
  <c r="O4319" i="116" s="1"/>
  <c r="M4330" i="116"/>
  <c r="O4330" i="116" s="1"/>
  <c r="M4341" i="116"/>
  <c r="O4341" i="116" s="1"/>
  <c r="M4350" i="116"/>
  <c r="O4350" i="116" s="1"/>
  <c r="M4246" i="116"/>
  <c r="O4246" i="116" s="1"/>
  <c r="M4257" i="116"/>
  <c r="O4257" i="116" s="1"/>
  <c r="M4260" i="116"/>
  <c r="O4260" i="116" s="1"/>
  <c r="M4268" i="116"/>
  <c r="O4268" i="116" s="1"/>
  <c r="M4271" i="116"/>
  <c r="O4271" i="116" s="1"/>
  <c r="M4274" i="116"/>
  <c r="O4274" i="116" s="1"/>
  <c r="M4280" i="116"/>
  <c r="O4280" i="116" s="1"/>
  <c r="M4285" i="116"/>
  <c r="O4285" i="116" s="1"/>
  <c r="M4294" i="116"/>
  <c r="O4294" i="116" s="1"/>
  <c r="M4305" i="116"/>
  <c r="O4305" i="116" s="1"/>
  <c r="M4322" i="116"/>
  <c r="O4322" i="116" s="1"/>
  <c r="M4328" i="116"/>
  <c r="O4328" i="116" s="1"/>
  <c r="M4333" i="116"/>
  <c r="O4333" i="116" s="1"/>
  <c r="M4336" i="116"/>
  <c r="O4336" i="116" s="1"/>
  <c r="M4339" i="116"/>
  <c r="O4339" i="116" s="1"/>
  <c r="M4249" i="116"/>
  <c r="O4249" i="116" s="1"/>
  <c r="M4252" i="116"/>
  <c r="O4252" i="116" s="1"/>
  <c r="M4263" i="116"/>
  <c r="O4263" i="116" s="1"/>
  <c r="M4277" i="116"/>
  <c r="O4277" i="116" s="1"/>
  <c r="M4283" i="116"/>
  <c r="O4283" i="116" s="1"/>
  <c r="M4297" i="116"/>
  <c r="O4297" i="116" s="1"/>
  <c r="M4300" i="116"/>
  <c r="O4300" i="116" s="1"/>
  <c r="M4308" i="116"/>
  <c r="O4308" i="116" s="1"/>
  <c r="M4311" i="116"/>
  <c r="O4311" i="116" s="1"/>
  <c r="M4314" i="116"/>
  <c r="O4314" i="116" s="1"/>
  <c r="M4320" i="116"/>
  <c r="O4320" i="116" s="1"/>
  <c r="M4325" i="116"/>
  <c r="O4325" i="116" s="1"/>
  <c r="M4331" i="116"/>
  <c r="O4331" i="116" s="1"/>
  <c r="M4342" i="116"/>
  <c r="O4342" i="116" s="1"/>
  <c r="M4345" i="116"/>
  <c r="O4345" i="116" s="1"/>
  <c r="M4241" i="116"/>
  <c r="O4241" i="116" s="1"/>
  <c r="M4266" i="116"/>
  <c r="O4266" i="116" s="1"/>
  <c r="M4275" i="116"/>
  <c r="O4275" i="116" s="1"/>
  <c r="M4286" i="116"/>
  <c r="O4286" i="116" s="1"/>
  <c r="M4289" i="116"/>
  <c r="O4289" i="116" s="1"/>
  <c r="M4303" i="116"/>
  <c r="O4303" i="116" s="1"/>
  <c r="M4317" i="116"/>
  <c r="O4317" i="116" s="1"/>
  <c r="M4323" i="116"/>
  <c r="O4323" i="116" s="1"/>
  <c r="M4334" i="116"/>
  <c r="O4334" i="116" s="1"/>
  <c r="M4348" i="116"/>
  <c r="O4348" i="116" s="1"/>
  <c r="M4230" i="116"/>
  <c r="O4230" i="116" s="1"/>
  <c r="N4084" i="116"/>
  <c r="O4084" i="116" s="1"/>
  <c r="M4087" i="116"/>
  <c r="O4087" i="116" s="1"/>
  <c r="N4089" i="116"/>
  <c r="O4089" i="116" s="1"/>
  <c r="N4092" i="116"/>
  <c r="O4092" i="116" s="1"/>
  <c r="M4095" i="116"/>
  <c r="O4095" i="116" s="1"/>
  <c r="N4100" i="116"/>
  <c r="O4100" i="116" s="1"/>
  <c r="M4103" i="116"/>
  <c r="O4103" i="116" s="1"/>
  <c r="M4112" i="116"/>
  <c r="O4112" i="116" s="1"/>
  <c r="N4114" i="116"/>
  <c r="O4114" i="116" s="1"/>
  <c r="M4117" i="116"/>
  <c r="O4117" i="116" s="1"/>
  <c r="N4120" i="116"/>
  <c r="O4120" i="116" s="1"/>
  <c r="M4123" i="116"/>
  <c r="O4123" i="116" s="1"/>
  <c r="N4125" i="116"/>
  <c r="O4125" i="116" s="1"/>
  <c r="N4128" i="116"/>
  <c r="O4128" i="116" s="1"/>
  <c r="M4131" i="116"/>
  <c r="O4131" i="116" s="1"/>
  <c r="N4133" i="116"/>
  <c r="O4133" i="116" s="1"/>
  <c r="N4147" i="116"/>
  <c r="O4147" i="116" s="1"/>
  <c r="M4150" i="116"/>
  <c r="O4150" i="116" s="1"/>
  <c r="N4166" i="116"/>
  <c r="O4166" i="116" s="1"/>
  <c r="M4169" i="116"/>
  <c r="O4169" i="116" s="1"/>
  <c r="M4172" i="116"/>
  <c r="O4172" i="116" s="1"/>
  <c r="N4174" i="116"/>
  <c r="O4174" i="116" s="1"/>
  <c r="N4177" i="116"/>
  <c r="O4177" i="116" s="1"/>
  <c r="M4180" i="116"/>
  <c r="O4180" i="116" s="1"/>
  <c r="M4191" i="116"/>
  <c r="O4191" i="116" s="1"/>
  <c r="M4194" i="116"/>
  <c r="O4194" i="116" s="1"/>
  <c r="M4200" i="116"/>
  <c r="O4200" i="116" s="1"/>
  <c r="M4090" i="116"/>
  <c r="O4090" i="116" s="1"/>
  <c r="M4098" i="116"/>
  <c r="O4098" i="116" s="1"/>
  <c r="M4106" i="116"/>
  <c r="O4106" i="116" s="1"/>
  <c r="M4109" i="116"/>
  <c r="O4109" i="116" s="1"/>
  <c r="M4115" i="116"/>
  <c r="O4115" i="116" s="1"/>
  <c r="M4126" i="116"/>
  <c r="O4126" i="116" s="1"/>
  <c r="N4139" i="116"/>
  <c r="O4139" i="116" s="1"/>
  <c r="M4142" i="116"/>
  <c r="O4142" i="116" s="1"/>
  <c r="M4153" i="116"/>
  <c r="O4153" i="116" s="1"/>
  <c r="N4155" i="116"/>
  <c r="O4155" i="116" s="1"/>
  <c r="M4158" i="116"/>
  <c r="O4158" i="116" s="1"/>
  <c r="M4161" i="116"/>
  <c r="O4161" i="116" s="1"/>
  <c r="M4175" i="116"/>
  <c r="O4175" i="116" s="1"/>
  <c r="M4183" i="116"/>
  <c r="O4183" i="116" s="1"/>
  <c r="M4186" i="116"/>
  <c r="O4186" i="116" s="1"/>
  <c r="M4197" i="116"/>
  <c r="O4197" i="116" s="1"/>
  <c r="M4082" i="116"/>
  <c r="O4082" i="116" s="1"/>
  <c r="M4093" i="116"/>
  <c r="O4093" i="116" s="1"/>
  <c r="M4096" i="116"/>
  <c r="O4096" i="116" s="1"/>
  <c r="M4101" i="116"/>
  <c r="O4101" i="116" s="1"/>
  <c r="M4104" i="116"/>
  <c r="O4104" i="116" s="1"/>
  <c r="M4129" i="116"/>
  <c r="O4129" i="116" s="1"/>
  <c r="M4134" i="116"/>
  <c r="O4134" i="116" s="1"/>
  <c r="M4137" i="116"/>
  <c r="O4137" i="116" s="1"/>
  <c r="M4145" i="116"/>
  <c r="O4145" i="116" s="1"/>
  <c r="M4156" i="116"/>
  <c r="O4156" i="116" s="1"/>
  <c r="M4164" i="116"/>
  <c r="O4164" i="116" s="1"/>
  <c r="M4178" i="116"/>
  <c r="O4178" i="116" s="1"/>
  <c r="M4189" i="116"/>
  <c r="O4189" i="116" s="1"/>
  <c r="M4192" i="116"/>
  <c r="O4192" i="116" s="1"/>
  <c r="M4195" i="116"/>
  <c r="O4195" i="116" s="1"/>
  <c r="M4085" i="116"/>
  <c r="O4085" i="116" s="1"/>
  <c r="M4088" i="116"/>
  <c r="O4088" i="116" s="1"/>
  <c r="M4091" i="116"/>
  <c r="O4091" i="116" s="1"/>
  <c r="M4099" i="116"/>
  <c r="O4099" i="116" s="1"/>
  <c r="M4107" i="116"/>
  <c r="O4107" i="116" s="1"/>
  <c r="M4110" i="116"/>
  <c r="O4110" i="116" s="1"/>
  <c r="M4113" i="116"/>
  <c r="O4113" i="116" s="1"/>
  <c r="M4118" i="116"/>
  <c r="O4118" i="116" s="1"/>
  <c r="M4121" i="116"/>
  <c r="O4121" i="116" s="1"/>
  <c r="M4132" i="116"/>
  <c r="O4132" i="116" s="1"/>
  <c r="M4140" i="116"/>
  <c r="O4140" i="116" s="1"/>
  <c r="M4148" i="116"/>
  <c r="O4148" i="116" s="1"/>
  <c r="M4159" i="116"/>
  <c r="O4159" i="116" s="1"/>
  <c r="M4167" i="116"/>
  <c r="O4167" i="116" s="1"/>
  <c r="M4170" i="116"/>
  <c r="O4170" i="116" s="1"/>
  <c r="M4176" i="116"/>
  <c r="O4176" i="116" s="1"/>
  <c r="M4181" i="116"/>
  <c r="O4181" i="116" s="1"/>
  <c r="M4184" i="116"/>
  <c r="O4184" i="116" s="1"/>
  <c r="M4187" i="116"/>
  <c r="O4187" i="116" s="1"/>
  <c r="M4198" i="116"/>
  <c r="O4198" i="116" s="1"/>
  <c r="M4078" i="116"/>
  <c r="O4078" i="116" s="1"/>
  <c r="M4083" i="116"/>
  <c r="O4083" i="116" s="1"/>
  <c r="M4102" i="116"/>
  <c r="O4102" i="116" s="1"/>
  <c r="M4116" i="116"/>
  <c r="O4116" i="116" s="1"/>
  <c r="M4124" i="116"/>
  <c r="O4124" i="116" s="1"/>
  <c r="M4135" i="116"/>
  <c r="O4135" i="116" s="1"/>
  <c r="M4143" i="116"/>
  <c r="O4143" i="116" s="1"/>
  <c r="M4151" i="116"/>
  <c r="O4151" i="116" s="1"/>
  <c r="M4162" i="116"/>
  <c r="O4162" i="116" s="1"/>
  <c r="M4173" i="116"/>
  <c r="O4173" i="116" s="1"/>
  <c r="M4179" i="116"/>
  <c r="O4179" i="116" s="1"/>
  <c r="M4190" i="116"/>
  <c r="O4190" i="116" s="1"/>
  <c r="M4201" i="116"/>
  <c r="O4201" i="116" s="1"/>
  <c r="M4094" i="116"/>
  <c r="O4094" i="116" s="1"/>
  <c r="M4119" i="116"/>
  <c r="O4119" i="116" s="1"/>
  <c r="M4127" i="116"/>
  <c r="O4127" i="116" s="1"/>
  <c r="M4138" i="116"/>
  <c r="O4138" i="116" s="1"/>
  <c r="M4146" i="116"/>
  <c r="O4146" i="116" s="1"/>
  <c r="M4154" i="116"/>
  <c r="O4154" i="116" s="1"/>
  <c r="M4160" i="116"/>
  <c r="O4160" i="116" s="1"/>
  <c r="M4165" i="116"/>
  <c r="O4165" i="116" s="1"/>
  <c r="M4168" i="116"/>
  <c r="O4168" i="116" s="1"/>
  <c r="M4171" i="116"/>
  <c r="O4171" i="116" s="1"/>
  <c r="M4182" i="116"/>
  <c r="O4182" i="116" s="1"/>
  <c r="M4193" i="116"/>
  <c r="O4193" i="116" s="1"/>
  <c r="M4196" i="116"/>
  <c r="O4196" i="116" s="1"/>
  <c r="M4086" i="116"/>
  <c r="O4086" i="116" s="1"/>
  <c r="M4097" i="116"/>
  <c r="O4097" i="116" s="1"/>
  <c r="M4105" i="116"/>
  <c r="O4105" i="116" s="1"/>
  <c r="M4108" i="116"/>
  <c r="O4108" i="116" s="1"/>
  <c r="M4111" i="116"/>
  <c r="O4111" i="116" s="1"/>
  <c r="M4122" i="116"/>
  <c r="O4122" i="116" s="1"/>
  <c r="M4130" i="116"/>
  <c r="O4130" i="116" s="1"/>
  <c r="M4136" i="116"/>
  <c r="O4136" i="116" s="1"/>
  <c r="M4141" i="116"/>
  <c r="O4141" i="116" s="1"/>
  <c r="M4144" i="116"/>
  <c r="O4144" i="116" s="1"/>
  <c r="M4149" i="116"/>
  <c r="O4149" i="116" s="1"/>
  <c r="M4152" i="116"/>
  <c r="O4152" i="116" s="1"/>
  <c r="M4157" i="116"/>
  <c r="O4157" i="116" s="1"/>
  <c r="M4163" i="116"/>
  <c r="O4163" i="116" s="1"/>
  <c r="M4185" i="116"/>
  <c r="O4185" i="116" s="1"/>
  <c r="M4188" i="116"/>
  <c r="O4188" i="116" s="1"/>
  <c r="M4199" i="116"/>
  <c r="O4199" i="116" s="1"/>
  <c r="O4022" i="116"/>
  <c r="O4021" i="116"/>
  <c r="M3949" i="116"/>
  <c r="O3949" i="116" s="1"/>
  <c r="N4045" i="116"/>
  <c r="O4045" i="116" s="1"/>
  <c r="M4034" i="116"/>
  <c r="O4034" i="116" s="1"/>
  <c r="M4030" i="116"/>
  <c r="O4030" i="116" s="1"/>
  <c r="M4019" i="116"/>
  <c r="O4019" i="116" s="1"/>
  <c r="M3756" i="116"/>
  <c r="O3756" i="116" s="1"/>
  <c r="N3761" i="116"/>
  <c r="O3761" i="116" s="1"/>
  <c r="M3764" i="116"/>
  <c r="O3764" i="116" s="1"/>
  <c r="N3769" i="116"/>
  <c r="O3769" i="116" s="1"/>
  <c r="N3772" i="116"/>
  <c r="O3772" i="116" s="1"/>
  <c r="M3775" i="116"/>
  <c r="O3775" i="116" s="1"/>
  <c r="M3778" i="116"/>
  <c r="O3778" i="116" s="1"/>
  <c r="N3780" i="116"/>
  <c r="O3780" i="116" s="1"/>
  <c r="M3783" i="116"/>
  <c r="O3783" i="116" s="1"/>
  <c r="M3786" i="116"/>
  <c r="O3786" i="116" s="1"/>
  <c r="N3788" i="116"/>
  <c r="O3788" i="116" s="1"/>
  <c r="M3791" i="116"/>
  <c r="O3791" i="116" s="1"/>
  <c r="M3794" i="116"/>
  <c r="O3794" i="116" s="1"/>
  <c r="N3796" i="116"/>
  <c r="O3796" i="116" s="1"/>
  <c r="M3799" i="116"/>
  <c r="O3799" i="116" s="1"/>
  <c r="M3802" i="116"/>
  <c r="O3802" i="116" s="1"/>
  <c r="N3807" i="116"/>
  <c r="O3807" i="116" s="1"/>
  <c r="N3815" i="116"/>
  <c r="O3815" i="116" s="1"/>
  <c r="M3821" i="116"/>
  <c r="O3821" i="116" s="1"/>
  <c r="N3826" i="116"/>
  <c r="O3826" i="116" s="1"/>
  <c r="M3829" i="116"/>
  <c r="O3829" i="116" s="1"/>
  <c r="N3834" i="116"/>
  <c r="O3834" i="116" s="1"/>
  <c r="N3837" i="116"/>
  <c r="O3837" i="116" s="1"/>
  <c r="M3840" i="116"/>
  <c r="O3840" i="116" s="1"/>
  <c r="M3843" i="116"/>
  <c r="O3843" i="116" s="1"/>
  <c r="N3845" i="116"/>
  <c r="O3845" i="116" s="1"/>
  <c r="M3848" i="116"/>
  <c r="O3848" i="116" s="1"/>
  <c r="M3851" i="116"/>
  <c r="O3851" i="116" s="1"/>
  <c r="N3853" i="116"/>
  <c r="O3853" i="116" s="1"/>
  <c r="M3856" i="116"/>
  <c r="O3856" i="116" s="1"/>
  <c r="M3859" i="116"/>
  <c r="O3859" i="116" s="1"/>
  <c r="N3861" i="116"/>
  <c r="O3861" i="116" s="1"/>
  <c r="M3864" i="116"/>
  <c r="O3864" i="116" s="1"/>
  <c r="M3867" i="116"/>
  <c r="O3867" i="116" s="1"/>
  <c r="M3870" i="116"/>
  <c r="O3870" i="116" s="1"/>
  <c r="N3872" i="116"/>
  <c r="O3872" i="116" s="1"/>
  <c r="N3875" i="116"/>
  <c r="O3875" i="116" s="1"/>
  <c r="M3878" i="116"/>
  <c r="O3878" i="116" s="1"/>
  <c r="N3880" i="116"/>
  <c r="O3880" i="116" s="1"/>
  <c r="N3883" i="116"/>
  <c r="O3883" i="116" s="1"/>
  <c r="N3886" i="116"/>
  <c r="O3886" i="116" s="1"/>
  <c r="M3889" i="116"/>
  <c r="O3889" i="116" s="1"/>
  <c r="N3897" i="116"/>
  <c r="O3897" i="116" s="1"/>
  <c r="M3900" i="116"/>
  <c r="O3900" i="116" s="1"/>
  <c r="N3753" i="116"/>
  <c r="O3753" i="116" s="1"/>
  <c r="M3759" i="116"/>
  <c r="O3759" i="116" s="1"/>
  <c r="M3762" i="116"/>
  <c r="O3762" i="116" s="1"/>
  <c r="M3767" i="116"/>
  <c r="O3767" i="116" s="1"/>
  <c r="M3770" i="116"/>
  <c r="O3770" i="116" s="1"/>
  <c r="M3805" i="116"/>
  <c r="O3805" i="116" s="1"/>
  <c r="N3810" i="116"/>
  <c r="O3810" i="116" s="1"/>
  <c r="M3813" i="116"/>
  <c r="O3813" i="116" s="1"/>
  <c r="N3818" i="116"/>
  <c r="O3818" i="116" s="1"/>
  <c r="M3824" i="116"/>
  <c r="O3824" i="116" s="1"/>
  <c r="M3827" i="116"/>
  <c r="O3827" i="116" s="1"/>
  <c r="M3832" i="116"/>
  <c r="O3832" i="116" s="1"/>
  <c r="M3835" i="116"/>
  <c r="O3835" i="116" s="1"/>
  <c r="M3838" i="116"/>
  <c r="O3838" i="116" s="1"/>
  <c r="M3846" i="116"/>
  <c r="O3846" i="116" s="1"/>
  <c r="M3854" i="116"/>
  <c r="O3854" i="116" s="1"/>
  <c r="M3862" i="116"/>
  <c r="O3862" i="116" s="1"/>
  <c r="M3873" i="116"/>
  <c r="O3873" i="116" s="1"/>
  <c r="M3881" i="116"/>
  <c r="O3881" i="116" s="1"/>
  <c r="M3892" i="116"/>
  <c r="O3892" i="116" s="1"/>
  <c r="M3754" i="116"/>
  <c r="O3754" i="116" s="1"/>
  <c r="M3773" i="116"/>
  <c r="O3773" i="116" s="1"/>
  <c r="M3781" i="116"/>
  <c r="O3781" i="116" s="1"/>
  <c r="M3789" i="116"/>
  <c r="O3789" i="116" s="1"/>
  <c r="M3797" i="116"/>
  <c r="O3797" i="116" s="1"/>
  <c r="M3808" i="116"/>
  <c r="O3808" i="116" s="1"/>
  <c r="M3811" i="116"/>
  <c r="O3811" i="116" s="1"/>
  <c r="M3816" i="116"/>
  <c r="O3816" i="116" s="1"/>
  <c r="M3819" i="116"/>
  <c r="O3819" i="116" s="1"/>
  <c r="M3822" i="116"/>
  <c r="O3822" i="116" s="1"/>
  <c r="M3830" i="116"/>
  <c r="O3830" i="116" s="1"/>
  <c r="M3841" i="116"/>
  <c r="O3841" i="116" s="1"/>
  <c r="M3849" i="116"/>
  <c r="O3849" i="116" s="1"/>
  <c r="M3857" i="116"/>
  <c r="O3857" i="116" s="1"/>
  <c r="M3865" i="116"/>
  <c r="O3865" i="116" s="1"/>
  <c r="M3884" i="116"/>
  <c r="O3884" i="116" s="1"/>
  <c r="M3895" i="116"/>
  <c r="O3895" i="116" s="1"/>
  <c r="M3757" i="116"/>
  <c r="O3757" i="116" s="1"/>
  <c r="M3765" i="116"/>
  <c r="O3765" i="116" s="1"/>
  <c r="M3776" i="116"/>
  <c r="O3776" i="116" s="1"/>
  <c r="M3779" i="116"/>
  <c r="O3779" i="116" s="1"/>
  <c r="M3784" i="116"/>
  <c r="O3784" i="116" s="1"/>
  <c r="M3787" i="116"/>
  <c r="O3787" i="116" s="1"/>
  <c r="M3792" i="116"/>
  <c r="O3792" i="116" s="1"/>
  <c r="M3795" i="116"/>
  <c r="O3795" i="116" s="1"/>
  <c r="M3800" i="116"/>
  <c r="O3800" i="116" s="1"/>
  <c r="M3803" i="116"/>
  <c r="O3803" i="116" s="1"/>
  <c r="M3806" i="116"/>
  <c r="O3806" i="116" s="1"/>
  <c r="M3814" i="116"/>
  <c r="O3814" i="116" s="1"/>
  <c r="M3825" i="116"/>
  <c r="O3825" i="116" s="1"/>
  <c r="M3833" i="116"/>
  <c r="O3833" i="116" s="1"/>
  <c r="M3868" i="116"/>
  <c r="O3868" i="116" s="1"/>
  <c r="M3876" i="116"/>
  <c r="O3876" i="116" s="1"/>
  <c r="M3887" i="116"/>
  <c r="O3887" i="116" s="1"/>
  <c r="M3898" i="116"/>
  <c r="O3898" i="116" s="1"/>
  <c r="M3901" i="116"/>
  <c r="O3901" i="116" s="1"/>
  <c r="M3760" i="116"/>
  <c r="O3760" i="116" s="1"/>
  <c r="M3763" i="116"/>
  <c r="O3763" i="116" s="1"/>
  <c r="M3768" i="116"/>
  <c r="O3768" i="116" s="1"/>
  <c r="M3771" i="116"/>
  <c r="O3771" i="116" s="1"/>
  <c r="M3774" i="116"/>
  <c r="O3774" i="116" s="1"/>
  <c r="M3782" i="116"/>
  <c r="O3782" i="116" s="1"/>
  <c r="M3790" i="116"/>
  <c r="O3790" i="116" s="1"/>
  <c r="M3798" i="116"/>
  <c r="O3798" i="116" s="1"/>
  <c r="M3809" i="116"/>
  <c r="O3809" i="116" s="1"/>
  <c r="M3817" i="116"/>
  <c r="O3817" i="116" s="1"/>
  <c r="M3836" i="116"/>
  <c r="O3836" i="116" s="1"/>
  <c r="M3844" i="116"/>
  <c r="O3844" i="116" s="1"/>
  <c r="M3852" i="116"/>
  <c r="O3852" i="116" s="1"/>
  <c r="M3860" i="116"/>
  <c r="O3860" i="116" s="1"/>
  <c r="M3871" i="116"/>
  <c r="O3871" i="116" s="1"/>
  <c r="M3879" i="116"/>
  <c r="O3879" i="116" s="1"/>
  <c r="M3890" i="116"/>
  <c r="O3890" i="116" s="1"/>
  <c r="M3893" i="116"/>
  <c r="O3893" i="116" s="1"/>
  <c r="M3752" i="116"/>
  <c r="O3752" i="116" s="1"/>
  <c r="M3755" i="116"/>
  <c r="O3755" i="116" s="1"/>
  <c r="M3758" i="116"/>
  <c r="O3758" i="116" s="1"/>
  <c r="M3766" i="116"/>
  <c r="O3766" i="116" s="1"/>
  <c r="M3777" i="116"/>
  <c r="O3777" i="116" s="1"/>
  <c r="M3785" i="116"/>
  <c r="O3785" i="116" s="1"/>
  <c r="M3793" i="116"/>
  <c r="O3793" i="116" s="1"/>
  <c r="M3801" i="116"/>
  <c r="O3801" i="116" s="1"/>
  <c r="M3820" i="116"/>
  <c r="O3820" i="116" s="1"/>
  <c r="M3828" i="116"/>
  <c r="O3828" i="116" s="1"/>
  <c r="M3839" i="116"/>
  <c r="O3839" i="116" s="1"/>
  <c r="M3842" i="116"/>
  <c r="O3842" i="116" s="1"/>
  <c r="M3847" i="116"/>
  <c r="O3847" i="116" s="1"/>
  <c r="M3855" i="116"/>
  <c r="O3855" i="116" s="1"/>
  <c r="M3863" i="116"/>
  <c r="O3863" i="116" s="1"/>
  <c r="M3874" i="116"/>
  <c r="O3874" i="116" s="1"/>
  <c r="M3882" i="116"/>
  <c r="O3882" i="116" s="1"/>
  <c r="M3885" i="116"/>
  <c r="O3885" i="116" s="1"/>
  <c r="M3896" i="116"/>
  <c r="O3896" i="116" s="1"/>
  <c r="M3899" i="116"/>
  <c r="O3899" i="116" s="1"/>
  <c r="M3804" i="116"/>
  <c r="O3804" i="116" s="1"/>
  <c r="M3812" i="116"/>
  <c r="O3812" i="116" s="1"/>
  <c r="M3823" i="116"/>
  <c r="O3823" i="116" s="1"/>
  <c r="M3831" i="116"/>
  <c r="O3831" i="116" s="1"/>
  <c r="M3850" i="116"/>
  <c r="O3850" i="116" s="1"/>
  <c r="M3858" i="116"/>
  <c r="O3858" i="116" s="1"/>
  <c r="M3866" i="116"/>
  <c r="O3866" i="116" s="1"/>
  <c r="M3869" i="116"/>
  <c r="O3869" i="116" s="1"/>
  <c r="M3877" i="116"/>
  <c r="O3877" i="116" s="1"/>
  <c r="M3888" i="116"/>
  <c r="O3888" i="116" s="1"/>
  <c r="M3891" i="116"/>
  <c r="O3891" i="116" s="1"/>
  <c r="M3894" i="116"/>
  <c r="O3894" i="116" s="1"/>
  <c r="O3609" i="116"/>
  <c r="O3634" i="116"/>
  <c r="O3618" i="116"/>
  <c r="O3620" i="116"/>
  <c r="O3623" i="116"/>
  <c r="M3653" i="116"/>
  <c r="O3653" i="116" s="1"/>
  <c r="M3661" i="116"/>
  <c r="O3661" i="116" s="1"/>
  <c r="N3666" i="116"/>
  <c r="O3666" i="116" s="1"/>
  <c r="M3669" i="116"/>
  <c r="O3669" i="116" s="1"/>
  <c r="N3674" i="116"/>
  <c r="O3674" i="116" s="1"/>
  <c r="N3677" i="116"/>
  <c r="O3677" i="116" s="1"/>
  <c r="M3680" i="116"/>
  <c r="O3680" i="116" s="1"/>
  <c r="M3683" i="116"/>
  <c r="O3683" i="116" s="1"/>
  <c r="N3685" i="116"/>
  <c r="O3685" i="116" s="1"/>
  <c r="M3688" i="116"/>
  <c r="O3688" i="116" s="1"/>
  <c r="M3691" i="116"/>
  <c r="O3691" i="116" s="1"/>
  <c r="M3694" i="116"/>
  <c r="O3694" i="116" s="1"/>
  <c r="N3696" i="116"/>
  <c r="O3696" i="116" s="1"/>
  <c r="N3699" i="116"/>
  <c r="O3699" i="116" s="1"/>
  <c r="M3702" i="116"/>
  <c r="O3702" i="116" s="1"/>
  <c r="N3704" i="116"/>
  <c r="O3704" i="116" s="1"/>
  <c r="N3707" i="116"/>
  <c r="O3707" i="116" s="1"/>
  <c r="M3713" i="116"/>
  <c r="O3713" i="116" s="1"/>
  <c r="N3718" i="116"/>
  <c r="O3718" i="116" s="1"/>
  <c r="M3721" i="116"/>
  <c r="O3721" i="116" s="1"/>
  <c r="N3726" i="116"/>
  <c r="O3726" i="116" s="1"/>
  <c r="M3729" i="116"/>
  <c r="O3729" i="116" s="1"/>
  <c r="N3734" i="116"/>
  <c r="O3734" i="116" s="1"/>
  <c r="M3737" i="116"/>
  <c r="O3737" i="116" s="1"/>
  <c r="N3745" i="116"/>
  <c r="O3745" i="116" s="1"/>
  <c r="M3607" i="116"/>
  <c r="O3607" i="116" s="1"/>
  <c r="M3612" i="116"/>
  <c r="O3612" i="116" s="1"/>
  <c r="M3615" i="116"/>
  <c r="O3615" i="116" s="1"/>
  <c r="M3637" i="116"/>
  <c r="O3637" i="116" s="1"/>
  <c r="N3642" i="116"/>
  <c r="O3642" i="116" s="1"/>
  <c r="M3645" i="116"/>
  <c r="O3645" i="116" s="1"/>
  <c r="N3650" i="116"/>
  <c r="O3650" i="116" s="1"/>
  <c r="M3656" i="116"/>
  <c r="O3656" i="116" s="1"/>
  <c r="M3659" i="116"/>
  <c r="O3659" i="116" s="1"/>
  <c r="M3664" i="116"/>
  <c r="O3664" i="116" s="1"/>
  <c r="M3667" i="116"/>
  <c r="O3667" i="116" s="1"/>
  <c r="M3672" i="116"/>
  <c r="O3672" i="116" s="1"/>
  <c r="M3675" i="116"/>
  <c r="O3675" i="116" s="1"/>
  <c r="M3678" i="116"/>
  <c r="O3678" i="116" s="1"/>
  <c r="M3686" i="116"/>
  <c r="O3686" i="116" s="1"/>
  <c r="M3705" i="116"/>
  <c r="O3705" i="116" s="1"/>
  <c r="N3710" i="116"/>
  <c r="O3710" i="116" s="1"/>
  <c r="M3740" i="116"/>
  <c r="O3740" i="116" s="1"/>
  <c r="M3748" i="116"/>
  <c r="O3748" i="116" s="1"/>
  <c r="M3621" i="116"/>
  <c r="O3621" i="116" s="1"/>
  <c r="M3629" i="116"/>
  <c r="O3629" i="116" s="1"/>
  <c r="M3640" i="116"/>
  <c r="O3640" i="116" s="1"/>
  <c r="M3643" i="116"/>
  <c r="O3643" i="116" s="1"/>
  <c r="M3648" i="116"/>
  <c r="O3648" i="116" s="1"/>
  <c r="M3651" i="116"/>
  <c r="O3651" i="116" s="1"/>
  <c r="M3654" i="116"/>
  <c r="O3654" i="116" s="1"/>
  <c r="M3662" i="116"/>
  <c r="O3662" i="116" s="1"/>
  <c r="M3670" i="116"/>
  <c r="O3670" i="116" s="1"/>
  <c r="M3681" i="116"/>
  <c r="O3681" i="116" s="1"/>
  <c r="M3689" i="116"/>
  <c r="O3689" i="116" s="1"/>
  <c r="M3697" i="116"/>
  <c r="O3697" i="116" s="1"/>
  <c r="M3708" i="116"/>
  <c r="O3708" i="116" s="1"/>
  <c r="M3716" i="116"/>
  <c r="O3716" i="116" s="1"/>
  <c r="M3724" i="116"/>
  <c r="O3724" i="116" s="1"/>
  <c r="M3732" i="116"/>
  <c r="O3732" i="116" s="1"/>
  <c r="M3743" i="116"/>
  <c r="O3743" i="116" s="1"/>
  <c r="M3746" i="116"/>
  <c r="O3746" i="116" s="1"/>
  <c r="M3751" i="116"/>
  <c r="O3751" i="116" s="1"/>
  <c r="M3602" i="116"/>
  <c r="O3602" i="116" s="1"/>
  <c r="M3613" i="116"/>
  <c r="O3613" i="116" s="1"/>
  <c r="M3624" i="116"/>
  <c r="O3624" i="116" s="1"/>
  <c r="M3627" i="116"/>
  <c r="O3627" i="116" s="1"/>
  <c r="M3632" i="116"/>
  <c r="O3632" i="116" s="1"/>
  <c r="M3635" i="116"/>
  <c r="O3635" i="116" s="1"/>
  <c r="M3638" i="116"/>
  <c r="O3638" i="116" s="1"/>
  <c r="M3646" i="116"/>
  <c r="O3646" i="116" s="1"/>
  <c r="M3665" i="116"/>
  <c r="O3665" i="116" s="1"/>
  <c r="M3673" i="116"/>
  <c r="O3673" i="116" s="1"/>
  <c r="M3692" i="116"/>
  <c r="O3692" i="116" s="1"/>
  <c r="M3700" i="116"/>
  <c r="O3700" i="116" s="1"/>
  <c r="M3711" i="116"/>
  <c r="O3711" i="116" s="1"/>
  <c r="M3714" i="116"/>
  <c r="O3714" i="116" s="1"/>
  <c r="M3719" i="116"/>
  <c r="O3719" i="116" s="1"/>
  <c r="M3722" i="116"/>
  <c r="O3722" i="116" s="1"/>
  <c r="M3727" i="116"/>
  <c r="O3727" i="116" s="1"/>
  <c r="M3730" i="116"/>
  <c r="O3730" i="116" s="1"/>
  <c r="M3735" i="116"/>
  <c r="O3735" i="116" s="1"/>
  <c r="M3738" i="116"/>
  <c r="O3738" i="116" s="1"/>
  <c r="M3605" i="116"/>
  <c r="O3605" i="116" s="1"/>
  <c r="M3616" i="116"/>
  <c r="O3616" i="116" s="1"/>
  <c r="M3619" i="116"/>
  <c r="O3619" i="116" s="1"/>
  <c r="M3622" i="116"/>
  <c r="O3622" i="116" s="1"/>
  <c r="M3630" i="116"/>
  <c r="O3630" i="116" s="1"/>
  <c r="M3649" i="116"/>
  <c r="O3649" i="116" s="1"/>
  <c r="M3657" i="116"/>
  <c r="O3657" i="116" s="1"/>
  <c r="M3676" i="116"/>
  <c r="O3676" i="116" s="1"/>
  <c r="M3684" i="116"/>
  <c r="O3684" i="116" s="1"/>
  <c r="M3695" i="116"/>
  <c r="O3695" i="116" s="1"/>
  <c r="M3698" i="116"/>
  <c r="O3698" i="116" s="1"/>
  <c r="M3703" i="116"/>
  <c r="O3703" i="116" s="1"/>
  <c r="M3706" i="116"/>
  <c r="O3706" i="116" s="1"/>
  <c r="M3741" i="116"/>
  <c r="O3741" i="116" s="1"/>
  <c r="M3749" i="116"/>
  <c r="O3749" i="116" s="1"/>
  <c r="M3608" i="116"/>
  <c r="O3608" i="116" s="1"/>
  <c r="M3611" i="116"/>
  <c r="O3611" i="116" s="1"/>
  <c r="M3614" i="116"/>
  <c r="O3614" i="116" s="1"/>
  <c r="M3625" i="116"/>
  <c r="O3625" i="116" s="1"/>
  <c r="M3633" i="116"/>
  <c r="O3633" i="116" s="1"/>
  <c r="M3641" i="116"/>
  <c r="O3641" i="116" s="1"/>
  <c r="M3652" i="116"/>
  <c r="O3652" i="116" s="1"/>
  <c r="M3655" i="116"/>
  <c r="O3655" i="116" s="1"/>
  <c r="M3660" i="116"/>
  <c r="O3660" i="116" s="1"/>
  <c r="M3668" i="116"/>
  <c r="O3668" i="116" s="1"/>
  <c r="M3679" i="116"/>
  <c r="O3679" i="116" s="1"/>
  <c r="M3682" i="116"/>
  <c r="O3682" i="116" s="1"/>
  <c r="M3687" i="116"/>
  <c r="O3687" i="116" s="1"/>
  <c r="M3690" i="116"/>
  <c r="O3690" i="116" s="1"/>
  <c r="M3709" i="116"/>
  <c r="O3709" i="116" s="1"/>
  <c r="M3717" i="116"/>
  <c r="O3717" i="116" s="1"/>
  <c r="M3725" i="116"/>
  <c r="O3725" i="116" s="1"/>
  <c r="M3733" i="116"/>
  <c r="O3733" i="116" s="1"/>
  <c r="M3744" i="116"/>
  <c r="O3744" i="116" s="1"/>
  <c r="M3747" i="116"/>
  <c r="O3747" i="116" s="1"/>
  <c r="M3603" i="116"/>
  <c r="O3603" i="116" s="1"/>
  <c r="M3628" i="116"/>
  <c r="O3628" i="116" s="1"/>
  <c r="M3636" i="116"/>
  <c r="O3636" i="116" s="1"/>
  <c r="M3639" i="116"/>
  <c r="O3639" i="116" s="1"/>
  <c r="M3644" i="116"/>
  <c r="O3644" i="116" s="1"/>
  <c r="M3663" i="116"/>
  <c r="O3663" i="116" s="1"/>
  <c r="M3671" i="116"/>
  <c r="O3671" i="116" s="1"/>
  <c r="M3693" i="116"/>
  <c r="O3693" i="116" s="1"/>
  <c r="M3701" i="116"/>
  <c r="O3701" i="116" s="1"/>
  <c r="M3712" i="116"/>
  <c r="O3712" i="116" s="1"/>
  <c r="M3715" i="116"/>
  <c r="O3715" i="116" s="1"/>
  <c r="M3720" i="116"/>
  <c r="O3720" i="116" s="1"/>
  <c r="M3723" i="116"/>
  <c r="O3723" i="116" s="1"/>
  <c r="M3728" i="116"/>
  <c r="O3728" i="116" s="1"/>
  <c r="M3731" i="116"/>
  <c r="O3731" i="116" s="1"/>
  <c r="M3736" i="116"/>
  <c r="O3736" i="116" s="1"/>
  <c r="M3739" i="116"/>
  <c r="O3739" i="116" s="1"/>
  <c r="M3742" i="116"/>
  <c r="O3742" i="116" s="1"/>
  <c r="M3750" i="116"/>
  <c r="O3750" i="116" s="1"/>
  <c r="O3462" i="116"/>
  <c r="O3549" i="116"/>
  <c r="O3593" i="116"/>
  <c r="O3557" i="116"/>
  <c r="O3601" i="116"/>
  <c r="O3453" i="116"/>
  <c r="O3454" i="116"/>
  <c r="O3579" i="116"/>
  <c r="O3582" i="116"/>
  <c r="M3458" i="116"/>
  <c r="O3458" i="116" s="1"/>
  <c r="M3490" i="116"/>
  <c r="O3490" i="116" s="1"/>
  <c r="M3461" i="116"/>
  <c r="O3461" i="116" s="1"/>
  <c r="N3466" i="116"/>
  <c r="O3466" i="116" s="1"/>
  <c r="M3469" i="116"/>
  <c r="O3469" i="116" s="1"/>
  <c r="N3474" i="116"/>
  <c r="O3474" i="116" s="1"/>
  <c r="M3477" i="116"/>
  <c r="O3477" i="116" s="1"/>
  <c r="N3482" i="116"/>
  <c r="O3482" i="116" s="1"/>
  <c r="M3485" i="116"/>
  <c r="O3485" i="116" s="1"/>
  <c r="M3493" i="116"/>
  <c r="O3493" i="116" s="1"/>
  <c r="M3496" i="116"/>
  <c r="O3496" i="116" s="1"/>
  <c r="N3498" i="116"/>
  <c r="O3498" i="116" s="1"/>
  <c r="M3501" i="116"/>
  <c r="O3501" i="116" s="1"/>
  <c r="M3504" i="116"/>
  <c r="O3504" i="116" s="1"/>
  <c r="N3506" i="116"/>
  <c r="O3506" i="116" s="1"/>
  <c r="M3509" i="116"/>
  <c r="O3509" i="116" s="1"/>
  <c r="M3512" i="116"/>
  <c r="O3512" i="116" s="1"/>
  <c r="N3514" i="116"/>
  <c r="O3514" i="116" s="1"/>
  <c r="M3517" i="116"/>
  <c r="O3517" i="116" s="1"/>
  <c r="M3520" i="116"/>
  <c r="O3520" i="116" s="1"/>
  <c r="N3522" i="116"/>
  <c r="O3522" i="116" s="1"/>
  <c r="M3525" i="116"/>
  <c r="O3525" i="116" s="1"/>
  <c r="M3528" i="116"/>
  <c r="O3528" i="116" s="1"/>
  <c r="N3530" i="116"/>
  <c r="O3530" i="116" s="1"/>
  <c r="M3533" i="116"/>
  <c r="O3533" i="116" s="1"/>
  <c r="M3536" i="116"/>
  <c r="O3536" i="116" s="1"/>
  <c r="N3538" i="116"/>
  <c r="O3538" i="116" s="1"/>
  <c r="M3541" i="116"/>
  <c r="O3541" i="116" s="1"/>
  <c r="M3544" i="116"/>
  <c r="O3544" i="116" s="1"/>
  <c r="M3547" i="116"/>
  <c r="O3547" i="116" s="1"/>
  <c r="M3552" i="116"/>
  <c r="O3552" i="116" s="1"/>
  <c r="M3560" i="116"/>
  <c r="O3560" i="116" s="1"/>
  <c r="N3565" i="116"/>
  <c r="O3565" i="116" s="1"/>
  <c r="M3568" i="116"/>
  <c r="O3568" i="116" s="1"/>
  <c r="M3585" i="116"/>
  <c r="O3585" i="116" s="1"/>
  <c r="N3590" i="116"/>
  <c r="O3590" i="116" s="1"/>
  <c r="M3596" i="116"/>
  <c r="O3596" i="116" s="1"/>
  <c r="N3598" i="116"/>
  <c r="O3598" i="116" s="1"/>
  <c r="M3531" i="116"/>
  <c r="O3531" i="116" s="1"/>
  <c r="M3539" i="116"/>
  <c r="O3539" i="116" s="1"/>
  <c r="M3550" i="116"/>
  <c r="O3550" i="116" s="1"/>
  <c r="M3555" i="116"/>
  <c r="O3555" i="116" s="1"/>
  <c r="M3558" i="116"/>
  <c r="O3558" i="116" s="1"/>
  <c r="M3563" i="116"/>
  <c r="O3563" i="116" s="1"/>
  <c r="M3566" i="116"/>
  <c r="O3566" i="116" s="1"/>
  <c r="M3571" i="116"/>
  <c r="O3571" i="116" s="1"/>
  <c r="M3574" i="116"/>
  <c r="O3574" i="116" s="1"/>
  <c r="M3599" i="116"/>
  <c r="O3599" i="116" s="1"/>
  <c r="M3470" i="116"/>
  <c r="O3470" i="116" s="1"/>
  <c r="M3478" i="116"/>
  <c r="O3478" i="116" s="1"/>
  <c r="M3486" i="116"/>
  <c r="O3486" i="116" s="1"/>
  <c r="M3494" i="116"/>
  <c r="O3494" i="116" s="1"/>
  <c r="M3502" i="116"/>
  <c r="O3502" i="116" s="1"/>
  <c r="M3510" i="116"/>
  <c r="O3510" i="116" s="1"/>
  <c r="M3518" i="116"/>
  <c r="O3518" i="116" s="1"/>
  <c r="M3526" i="116"/>
  <c r="O3526" i="116" s="1"/>
  <c r="M3534" i="116"/>
  <c r="O3534" i="116" s="1"/>
  <c r="M3542" i="116"/>
  <c r="O3542" i="116" s="1"/>
  <c r="M3545" i="116"/>
  <c r="O3545" i="116" s="1"/>
  <c r="M3553" i="116"/>
  <c r="O3553" i="116" s="1"/>
  <c r="M3561" i="116"/>
  <c r="O3561" i="116" s="1"/>
  <c r="M3577" i="116"/>
  <c r="O3577" i="116" s="1"/>
  <c r="M3588" i="116"/>
  <c r="O3588" i="116" s="1"/>
  <c r="M3591" i="116"/>
  <c r="O3591" i="116" s="1"/>
  <c r="M3457" i="116"/>
  <c r="O3457" i="116" s="1"/>
  <c r="M3465" i="116"/>
  <c r="O3465" i="116" s="1"/>
  <c r="M3473" i="116"/>
  <c r="O3473" i="116" s="1"/>
  <c r="M3481" i="116"/>
  <c r="O3481" i="116" s="1"/>
  <c r="M3489" i="116"/>
  <c r="O3489" i="116" s="1"/>
  <c r="M3497" i="116"/>
  <c r="O3497" i="116" s="1"/>
  <c r="M3505" i="116"/>
  <c r="O3505" i="116" s="1"/>
  <c r="M3513" i="116"/>
  <c r="O3513" i="116" s="1"/>
  <c r="M3521" i="116"/>
  <c r="O3521" i="116" s="1"/>
  <c r="M3529" i="116"/>
  <c r="O3529" i="116" s="1"/>
  <c r="M3537" i="116"/>
  <c r="O3537" i="116" s="1"/>
  <c r="M3548" i="116"/>
  <c r="O3548" i="116" s="1"/>
  <c r="M3556" i="116"/>
  <c r="O3556" i="116" s="1"/>
  <c r="M3564" i="116"/>
  <c r="O3564" i="116" s="1"/>
  <c r="M3569" i="116"/>
  <c r="O3569" i="116" s="1"/>
  <c r="M3572" i="116"/>
  <c r="O3572" i="116" s="1"/>
  <c r="M3580" i="116"/>
  <c r="O3580" i="116" s="1"/>
  <c r="M3583" i="116"/>
  <c r="O3583" i="116" s="1"/>
  <c r="M3594" i="116"/>
  <c r="O3594" i="116" s="1"/>
  <c r="M3452" i="116"/>
  <c r="O3452" i="116" s="1"/>
  <c r="M3460" i="116"/>
  <c r="O3460" i="116" s="1"/>
  <c r="M3468" i="116"/>
  <c r="O3468" i="116" s="1"/>
  <c r="M3476" i="116"/>
  <c r="O3476" i="116" s="1"/>
  <c r="M3484" i="116"/>
  <c r="O3484" i="116" s="1"/>
  <c r="M3492" i="116"/>
  <c r="O3492" i="116" s="1"/>
  <c r="M3500" i="116"/>
  <c r="O3500" i="116" s="1"/>
  <c r="M3508" i="116"/>
  <c r="O3508" i="116" s="1"/>
  <c r="M3516" i="116"/>
  <c r="O3516" i="116" s="1"/>
  <c r="M3524" i="116"/>
  <c r="O3524" i="116" s="1"/>
  <c r="M3532" i="116"/>
  <c r="O3532" i="116" s="1"/>
  <c r="M3540" i="116"/>
  <c r="O3540" i="116" s="1"/>
  <c r="M3551" i="116"/>
  <c r="O3551" i="116" s="1"/>
  <c r="M3559" i="116"/>
  <c r="O3559" i="116" s="1"/>
  <c r="M3567" i="116"/>
  <c r="O3567" i="116" s="1"/>
  <c r="M3575" i="116"/>
  <c r="O3575" i="116" s="1"/>
  <c r="M3578" i="116"/>
  <c r="O3578" i="116" s="1"/>
  <c r="M3586" i="116"/>
  <c r="O3586" i="116" s="1"/>
  <c r="M3589" i="116"/>
  <c r="O3589" i="116" s="1"/>
  <c r="M3597" i="116"/>
  <c r="O3597" i="116" s="1"/>
  <c r="N3546" i="116"/>
  <c r="O3546" i="116" s="1"/>
  <c r="M3554" i="116"/>
  <c r="O3554" i="116" s="1"/>
  <c r="M3562" i="116"/>
  <c r="O3562" i="116" s="1"/>
  <c r="M3570" i="116"/>
  <c r="O3570" i="116" s="1"/>
  <c r="M3581" i="116"/>
  <c r="O3581" i="116" s="1"/>
  <c r="M3592" i="116"/>
  <c r="O3592" i="116" s="1"/>
  <c r="M3595" i="116"/>
  <c r="O3595" i="116" s="1"/>
  <c r="M3600" i="116"/>
  <c r="O3600" i="116" s="1"/>
  <c r="O3378" i="116"/>
  <c r="O3411" i="116"/>
  <c r="O3381" i="116"/>
  <c r="O3419" i="116"/>
  <c r="O3422" i="116"/>
  <c r="O3356" i="116"/>
  <c r="O3386" i="116"/>
  <c r="O3367" i="116"/>
  <c r="O3392" i="116"/>
  <c r="O3373" i="116"/>
  <c r="O3403" i="116"/>
  <c r="N3345" i="116"/>
  <c r="O3345" i="116" s="1"/>
  <c r="M3353" i="116"/>
  <c r="O3353" i="116" s="1"/>
  <c r="M3433" i="116"/>
  <c r="O3433" i="116" s="1"/>
  <c r="M3441" i="116"/>
  <c r="O3441" i="116" s="1"/>
  <c r="M3449" i="116"/>
  <c r="O3449" i="116" s="1"/>
  <c r="M3320" i="116"/>
  <c r="O3320" i="116" s="1"/>
  <c r="N3337" i="116"/>
  <c r="O3337" i="116" s="1"/>
  <c r="M3340" i="116"/>
  <c r="O3340" i="116" s="1"/>
  <c r="M3348" i="116"/>
  <c r="O3348" i="116" s="1"/>
  <c r="M3359" i="116"/>
  <c r="O3359" i="116" s="1"/>
  <c r="M3365" i="116"/>
  <c r="O3365" i="116" s="1"/>
  <c r="M3370" i="116"/>
  <c r="O3370" i="116" s="1"/>
  <c r="M3376" i="116"/>
  <c r="O3376" i="116" s="1"/>
  <c r="M3384" i="116"/>
  <c r="O3384" i="116" s="1"/>
  <c r="M3395" i="116"/>
  <c r="O3395" i="116" s="1"/>
  <c r="M3398" i="116"/>
  <c r="O3398" i="116" s="1"/>
  <c r="N3400" i="116"/>
  <c r="O3400" i="116" s="1"/>
  <c r="M3406" i="116"/>
  <c r="O3406" i="116" s="1"/>
  <c r="N3408" i="116"/>
  <c r="O3408" i="116" s="1"/>
  <c r="M3414" i="116"/>
  <c r="O3414" i="116" s="1"/>
  <c r="N3416" i="116"/>
  <c r="O3416" i="116" s="1"/>
  <c r="M3425" i="116"/>
  <c r="O3425" i="116" s="1"/>
  <c r="N3430" i="116"/>
  <c r="O3430" i="116" s="1"/>
  <c r="M3436" i="116"/>
  <c r="O3436" i="116" s="1"/>
  <c r="N3438" i="116"/>
  <c r="O3438" i="116" s="1"/>
  <c r="M3444" i="116"/>
  <c r="O3444" i="116" s="1"/>
  <c r="N3446" i="116"/>
  <c r="O3446" i="116" s="1"/>
  <c r="M3335" i="116"/>
  <c r="O3335" i="116" s="1"/>
  <c r="M3343" i="116"/>
  <c r="O3343" i="116" s="1"/>
  <c r="M3351" i="116"/>
  <c r="O3351" i="116" s="1"/>
  <c r="M3357" i="116"/>
  <c r="O3357" i="116" s="1"/>
  <c r="M3362" i="116"/>
  <c r="O3362" i="116" s="1"/>
  <c r="M3368" i="116"/>
  <c r="O3368" i="116" s="1"/>
  <c r="M3379" i="116"/>
  <c r="O3379" i="116" s="1"/>
  <c r="M3387" i="116"/>
  <c r="O3387" i="116" s="1"/>
  <c r="M3390" i="116"/>
  <c r="O3390" i="116" s="1"/>
  <c r="M3401" i="116"/>
  <c r="O3401" i="116" s="1"/>
  <c r="M3409" i="116"/>
  <c r="O3409" i="116" s="1"/>
  <c r="M3417" i="116"/>
  <c r="O3417" i="116" s="1"/>
  <c r="M3428" i="116"/>
  <c r="O3428" i="116" s="1"/>
  <c r="M3338" i="116"/>
  <c r="O3338" i="116" s="1"/>
  <c r="M3341" i="116"/>
  <c r="O3341" i="116" s="1"/>
  <c r="M3346" i="116"/>
  <c r="O3346" i="116" s="1"/>
  <c r="M3349" i="116"/>
  <c r="O3349" i="116" s="1"/>
  <c r="M3354" i="116"/>
  <c r="O3354" i="116" s="1"/>
  <c r="M3360" i="116"/>
  <c r="O3360" i="116" s="1"/>
  <c r="M3371" i="116"/>
  <c r="O3371" i="116" s="1"/>
  <c r="M3374" i="116"/>
  <c r="O3374" i="116" s="1"/>
  <c r="M3382" i="116"/>
  <c r="O3382" i="116" s="1"/>
  <c r="M3393" i="116"/>
  <c r="O3393" i="116" s="1"/>
  <c r="M3420" i="116"/>
  <c r="O3420" i="116" s="1"/>
  <c r="M3431" i="116"/>
  <c r="O3431" i="116" s="1"/>
  <c r="M3439" i="116"/>
  <c r="O3439" i="116" s="1"/>
  <c r="M3447" i="116"/>
  <c r="O3447" i="116" s="1"/>
  <c r="M3336" i="116"/>
  <c r="O3336" i="116" s="1"/>
  <c r="M3344" i="116"/>
  <c r="O3344" i="116" s="1"/>
  <c r="M3352" i="116"/>
  <c r="O3352" i="116" s="1"/>
  <c r="M3363" i="116"/>
  <c r="O3363" i="116" s="1"/>
  <c r="M3366" i="116"/>
  <c r="O3366" i="116" s="1"/>
  <c r="M3396" i="116"/>
  <c r="O3396" i="116" s="1"/>
  <c r="M3404" i="116"/>
  <c r="O3404" i="116" s="1"/>
  <c r="M3412" i="116"/>
  <c r="O3412" i="116" s="1"/>
  <c r="M3423" i="116"/>
  <c r="O3423" i="116" s="1"/>
  <c r="M3429" i="116"/>
  <c r="O3429" i="116" s="1"/>
  <c r="M3434" i="116"/>
  <c r="O3434" i="116" s="1"/>
  <c r="M3437" i="116"/>
  <c r="O3437" i="116" s="1"/>
  <c r="M3442" i="116"/>
  <c r="O3442" i="116" s="1"/>
  <c r="M3445" i="116"/>
  <c r="O3445" i="116" s="1"/>
  <c r="M3450" i="116"/>
  <c r="O3450" i="116" s="1"/>
  <c r="M3339" i="116"/>
  <c r="O3339" i="116" s="1"/>
  <c r="M3347" i="116"/>
  <c r="O3347" i="116" s="1"/>
  <c r="M3355" i="116"/>
  <c r="O3355" i="116" s="1"/>
  <c r="M3358" i="116"/>
  <c r="O3358" i="116" s="1"/>
  <c r="M3369" i="116"/>
  <c r="O3369" i="116" s="1"/>
  <c r="M3377" i="116"/>
  <c r="O3377" i="116" s="1"/>
  <c r="M3385" i="116"/>
  <c r="O3385" i="116" s="1"/>
  <c r="M3388" i="116"/>
  <c r="O3388" i="116" s="1"/>
  <c r="M3399" i="116"/>
  <c r="O3399" i="116" s="1"/>
  <c r="M3407" i="116"/>
  <c r="O3407" i="116" s="1"/>
  <c r="M3415" i="116"/>
  <c r="O3415" i="116" s="1"/>
  <c r="M3421" i="116"/>
  <c r="O3421" i="116" s="1"/>
  <c r="M3426" i="116"/>
  <c r="O3426" i="116" s="1"/>
  <c r="M3432" i="116"/>
  <c r="O3432" i="116" s="1"/>
  <c r="M3440" i="116"/>
  <c r="O3440" i="116" s="1"/>
  <c r="M3448" i="116"/>
  <c r="O3448" i="116" s="1"/>
  <c r="M3361" i="116"/>
  <c r="O3361" i="116" s="1"/>
  <c r="M3372" i="116"/>
  <c r="O3372" i="116" s="1"/>
  <c r="M3380" i="116"/>
  <c r="O3380" i="116" s="1"/>
  <c r="M3391" i="116"/>
  <c r="O3391" i="116" s="1"/>
  <c r="M3397" i="116"/>
  <c r="O3397" i="116" s="1"/>
  <c r="M3402" i="116"/>
  <c r="O3402" i="116" s="1"/>
  <c r="M3405" i="116"/>
  <c r="O3405" i="116" s="1"/>
  <c r="M3410" i="116"/>
  <c r="O3410" i="116" s="1"/>
  <c r="M3413" i="116"/>
  <c r="O3413" i="116" s="1"/>
  <c r="M3418" i="116"/>
  <c r="O3418" i="116" s="1"/>
  <c r="M3435" i="116"/>
  <c r="O3435" i="116" s="1"/>
  <c r="M3443" i="116"/>
  <c r="O3443" i="116" s="1"/>
  <c r="M3451" i="116"/>
  <c r="O3451" i="116" s="1"/>
  <c r="N3181" i="116"/>
  <c r="O3181" i="116" s="1"/>
  <c r="M3184" i="116"/>
  <c r="O3184" i="116" s="1"/>
  <c r="M3187" i="116"/>
  <c r="O3187" i="116" s="1"/>
  <c r="N3192" i="116"/>
  <c r="O3192" i="116" s="1"/>
  <c r="N3195" i="116"/>
  <c r="O3195" i="116" s="1"/>
  <c r="M3198" i="116"/>
  <c r="O3198" i="116" s="1"/>
  <c r="N3200" i="116"/>
  <c r="O3200" i="116" s="1"/>
  <c r="N3203" i="116"/>
  <c r="O3203" i="116" s="1"/>
  <c r="M3206" i="116"/>
  <c r="O3206" i="116" s="1"/>
  <c r="N3208" i="116"/>
  <c r="O3208" i="116" s="1"/>
  <c r="N3211" i="116"/>
  <c r="O3211" i="116" s="1"/>
  <c r="M3214" i="116"/>
  <c r="O3214" i="116" s="1"/>
  <c r="N3216" i="116"/>
  <c r="O3216" i="116" s="1"/>
  <c r="N3219" i="116"/>
  <c r="O3219" i="116" s="1"/>
  <c r="M3222" i="116"/>
  <c r="O3222" i="116" s="1"/>
  <c r="N3224" i="116"/>
  <c r="O3224" i="116" s="1"/>
  <c r="N3227" i="116"/>
  <c r="O3227" i="116" s="1"/>
  <c r="M3233" i="116"/>
  <c r="O3233" i="116" s="1"/>
  <c r="N3238" i="116"/>
  <c r="O3238" i="116" s="1"/>
  <c r="N3241" i="116"/>
  <c r="O3241" i="116" s="1"/>
  <c r="M3244" i="116"/>
  <c r="O3244" i="116" s="1"/>
  <c r="N3249" i="116"/>
  <c r="O3249" i="116" s="1"/>
  <c r="M3252" i="116"/>
  <c r="O3252" i="116" s="1"/>
  <c r="N3257" i="116"/>
  <c r="O3257" i="116" s="1"/>
  <c r="N3260" i="116"/>
  <c r="O3260" i="116" s="1"/>
  <c r="M3263" i="116"/>
  <c r="O3263" i="116" s="1"/>
  <c r="M3269" i="116"/>
  <c r="O3269" i="116" s="1"/>
  <c r="N3271" i="116"/>
  <c r="O3271" i="116" s="1"/>
  <c r="M3274" i="116"/>
  <c r="O3274" i="116" s="1"/>
  <c r="M3277" i="116"/>
  <c r="O3277" i="116" s="1"/>
  <c r="N3279" i="116"/>
  <c r="O3279" i="116" s="1"/>
  <c r="M3282" i="116"/>
  <c r="O3282" i="116" s="1"/>
  <c r="M3285" i="116"/>
  <c r="O3285" i="116" s="1"/>
  <c r="N3287" i="116"/>
  <c r="O3287" i="116" s="1"/>
  <c r="M3290" i="116"/>
  <c r="O3290" i="116" s="1"/>
  <c r="N3293" i="116"/>
  <c r="O3293" i="116" s="1"/>
  <c r="M3296" i="116"/>
  <c r="O3296" i="116" s="1"/>
  <c r="N3298" i="116"/>
  <c r="O3298" i="116" s="1"/>
  <c r="M3190" i="116"/>
  <c r="O3190" i="116" s="1"/>
  <c r="M3201" i="116"/>
  <c r="O3201" i="116" s="1"/>
  <c r="N3230" i="116"/>
  <c r="O3230" i="116" s="1"/>
  <c r="M3236" i="116"/>
  <c r="O3236" i="116" s="1"/>
  <c r="M3247" i="116"/>
  <c r="O3247" i="116" s="1"/>
  <c r="M3255" i="116"/>
  <c r="O3255" i="116" s="1"/>
  <c r="M3261" i="116"/>
  <c r="O3261" i="116" s="1"/>
  <c r="M3266" i="116"/>
  <c r="O3266" i="116" s="1"/>
  <c r="M3272" i="116"/>
  <c r="O3272" i="116" s="1"/>
  <c r="M3280" i="116"/>
  <c r="O3280" i="116" s="1"/>
  <c r="M3288" i="116"/>
  <c r="O3288" i="116" s="1"/>
  <c r="M3299" i="116"/>
  <c r="O3299" i="116" s="1"/>
  <c r="M3182" i="116"/>
  <c r="O3182" i="116" s="1"/>
  <c r="M3193" i="116"/>
  <c r="O3193" i="116" s="1"/>
  <c r="M3204" i="116"/>
  <c r="O3204" i="116" s="1"/>
  <c r="M3209" i="116"/>
  <c r="O3209" i="116" s="1"/>
  <c r="M3217" i="116"/>
  <c r="O3217" i="116" s="1"/>
  <c r="M3225" i="116"/>
  <c r="O3225" i="116" s="1"/>
  <c r="M3228" i="116"/>
  <c r="O3228" i="116" s="1"/>
  <c r="M3239" i="116"/>
  <c r="O3239" i="116" s="1"/>
  <c r="M3245" i="116"/>
  <c r="O3245" i="116" s="1"/>
  <c r="M3250" i="116"/>
  <c r="O3250" i="116" s="1"/>
  <c r="M3253" i="116"/>
  <c r="O3253" i="116" s="1"/>
  <c r="M3258" i="116"/>
  <c r="O3258" i="116" s="1"/>
  <c r="M3264" i="116"/>
  <c r="O3264" i="116" s="1"/>
  <c r="M3275" i="116"/>
  <c r="O3275" i="116" s="1"/>
  <c r="M3283" i="116"/>
  <c r="O3283" i="116" s="1"/>
  <c r="M3291" i="116"/>
  <c r="O3291" i="116" s="1"/>
  <c r="M3294" i="116"/>
  <c r="O3294" i="116" s="1"/>
  <c r="M3185" i="116"/>
  <c r="O3185" i="116" s="1"/>
  <c r="M3196" i="116"/>
  <c r="O3196" i="116" s="1"/>
  <c r="M3212" i="116"/>
  <c r="O3212" i="116" s="1"/>
  <c r="M3220" i="116"/>
  <c r="O3220" i="116" s="1"/>
  <c r="M3231" i="116"/>
  <c r="O3231" i="116" s="1"/>
  <c r="M3237" i="116"/>
  <c r="O3237" i="116" s="1"/>
  <c r="M3242" i="116"/>
  <c r="O3242" i="116" s="1"/>
  <c r="M3248" i="116"/>
  <c r="O3248" i="116" s="1"/>
  <c r="M3256" i="116"/>
  <c r="O3256" i="116" s="1"/>
  <c r="M3267" i="116"/>
  <c r="O3267" i="116" s="1"/>
  <c r="M3270" i="116"/>
  <c r="O3270" i="116" s="1"/>
  <c r="M3278" i="116"/>
  <c r="O3278" i="116" s="1"/>
  <c r="M3286" i="116"/>
  <c r="O3286" i="116" s="1"/>
  <c r="M3297" i="116"/>
  <c r="O3297" i="116" s="1"/>
  <c r="M3188" i="116"/>
  <c r="O3188" i="116" s="1"/>
  <c r="M3191" i="116"/>
  <c r="O3191" i="116" s="1"/>
  <c r="M3199" i="116"/>
  <c r="O3199" i="116" s="1"/>
  <c r="M3207" i="116"/>
  <c r="O3207" i="116" s="1"/>
  <c r="M3215" i="116"/>
  <c r="O3215" i="116" s="1"/>
  <c r="M3223" i="116"/>
  <c r="O3223" i="116" s="1"/>
  <c r="M3229" i="116"/>
  <c r="O3229" i="116" s="1"/>
  <c r="M3234" i="116"/>
  <c r="O3234" i="116" s="1"/>
  <c r="M3251" i="116"/>
  <c r="O3251" i="116" s="1"/>
  <c r="M3259" i="116"/>
  <c r="O3259" i="116" s="1"/>
  <c r="M3262" i="116"/>
  <c r="O3262" i="116" s="1"/>
  <c r="M3281" i="116"/>
  <c r="O3281" i="116" s="1"/>
  <c r="M3300" i="116"/>
  <c r="O3300" i="116" s="1"/>
  <c r="M3194" i="116"/>
  <c r="O3194" i="116" s="1"/>
  <c r="M3197" i="116"/>
  <c r="O3197" i="116" s="1"/>
  <c r="M3202" i="116"/>
  <c r="O3202" i="116" s="1"/>
  <c r="M3205" i="116"/>
  <c r="O3205" i="116" s="1"/>
  <c r="M3210" i="116"/>
  <c r="O3210" i="116" s="1"/>
  <c r="M3213" i="116"/>
  <c r="O3213" i="116" s="1"/>
  <c r="M3218" i="116"/>
  <c r="O3218" i="116" s="1"/>
  <c r="M3221" i="116"/>
  <c r="O3221" i="116" s="1"/>
  <c r="M3226" i="116"/>
  <c r="O3226" i="116" s="1"/>
  <c r="M3240" i="116"/>
  <c r="O3240" i="116" s="1"/>
  <c r="M3243" i="116"/>
  <c r="O3243" i="116" s="1"/>
  <c r="M3246" i="116"/>
  <c r="O3246" i="116" s="1"/>
  <c r="M3254" i="116"/>
  <c r="O3254" i="116" s="1"/>
  <c r="M3265" i="116"/>
  <c r="O3265" i="116" s="1"/>
  <c r="M3273" i="116"/>
  <c r="O3273" i="116" s="1"/>
  <c r="M3289" i="116"/>
  <c r="O3289" i="116" s="1"/>
  <c r="M3292" i="116"/>
  <c r="O3292" i="116" s="1"/>
  <c r="M3183" i="116"/>
  <c r="O3183" i="116" s="1"/>
  <c r="M3186" i="116"/>
  <c r="O3186" i="116" s="1"/>
  <c r="M3189" i="116"/>
  <c r="O3189" i="116" s="1"/>
  <c r="M3232" i="116"/>
  <c r="O3232" i="116" s="1"/>
  <c r="M3235" i="116"/>
  <c r="O3235" i="116" s="1"/>
  <c r="M3268" i="116"/>
  <c r="O3268" i="116" s="1"/>
  <c r="M3276" i="116"/>
  <c r="O3276" i="116" s="1"/>
  <c r="M3284" i="116"/>
  <c r="O3284" i="116" s="1"/>
  <c r="M3295" i="116"/>
  <c r="O3295" i="116" s="1"/>
  <c r="M3301" i="116"/>
  <c r="O3301" i="116" s="1"/>
  <c r="M3146" i="116"/>
  <c r="O3146" i="116" s="1"/>
  <c r="M3149" i="116"/>
  <c r="O3149" i="116" s="1"/>
  <c r="M3139" i="116"/>
  <c r="O3139" i="116" s="1"/>
  <c r="M2881" i="116"/>
  <c r="O2881" i="116" s="1"/>
  <c r="N2883" i="116"/>
  <c r="O2883" i="116" s="1"/>
  <c r="M2886" i="116"/>
  <c r="O2886" i="116" s="1"/>
  <c r="N2889" i="116"/>
  <c r="O2889" i="116" s="1"/>
  <c r="M2892" i="116"/>
  <c r="O2892" i="116" s="1"/>
  <c r="N2894" i="116"/>
  <c r="O2894" i="116" s="1"/>
  <c r="M2903" i="116"/>
  <c r="O2903" i="116" s="1"/>
  <c r="N2908" i="116"/>
  <c r="O2908" i="116" s="1"/>
  <c r="N2911" i="116"/>
  <c r="O2911" i="116" s="1"/>
  <c r="N2914" i="116"/>
  <c r="O2914" i="116" s="1"/>
  <c r="N2917" i="116"/>
  <c r="O2917" i="116" s="1"/>
  <c r="N2922" i="116"/>
  <c r="O2922" i="116" s="1"/>
  <c r="N2925" i="116"/>
  <c r="O2925" i="116" s="1"/>
  <c r="N2928" i="116"/>
  <c r="O2928" i="116" s="1"/>
  <c r="M2931" i="116"/>
  <c r="O2931" i="116" s="1"/>
  <c r="M2937" i="116"/>
  <c r="O2937" i="116" s="1"/>
  <c r="N2939" i="116"/>
  <c r="O2939" i="116" s="1"/>
  <c r="M2942" i="116"/>
  <c r="O2942" i="116" s="1"/>
  <c r="N2948" i="116"/>
  <c r="O2948" i="116" s="1"/>
  <c r="M2967" i="116"/>
  <c r="O2967" i="116" s="1"/>
  <c r="N2975" i="116"/>
  <c r="O2975" i="116" s="1"/>
  <c r="M2978" i="116"/>
  <c r="O2978" i="116" s="1"/>
  <c r="M2981" i="116"/>
  <c r="O2981" i="116" s="1"/>
  <c r="N2983" i="116"/>
  <c r="O2983" i="116" s="1"/>
  <c r="M2986" i="116"/>
  <c r="O2986" i="116" s="1"/>
  <c r="M2989" i="116"/>
  <c r="O2989" i="116" s="1"/>
  <c r="M2992" i="116"/>
  <c r="O2992" i="116" s="1"/>
  <c r="M3000" i="116"/>
  <c r="O3000" i="116" s="1"/>
  <c r="M2884" i="116"/>
  <c r="O2884" i="116" s="1"/>
  <c r="M2895" i="116"/>
  <c r="O2895" i="116" s="1"/>
  <c r="M2898" i="116"/>
  <c r="O2898" i="116" s="1"/>
  <c r="M2901" i="116"/>
  <c r="O2901" i="116" s="1"/>
  <c r="M2906" i="116"/>
  <c r="O2906" i="116" s="1"/>
  <c r="M2909" i="116"/>
  <c r="O2909" i="116" s="1"/>
  <c r="M2912" i="116"/>
  <c r="O2912" i="116" s="1"/>
  <c r="M2920" i="116"/>
  <c r="O2920" i="116" s="1"/>
  <c r="M2929" i="116"/>
  <c r="O2929" i="116" s="1"/>
  <c r="M2934" i="116"/>
  <c r="O2934" i="116" s="1"/>
  <c r="M2940" i="116"/>
  <c r="O2940" i="116" s="1"/>
  <c r="M2951" i="116"/>
  <c r="O2951" i="116" s="1"/>
  <c r="N2956" i="116"/>
  <c r="O2956" i="116" s="1"/>
  <c r="M2959" i="116"/>
  <c r="O2959" i="116" s="1"/>
  <c r="M2962" i="116"/>
  <c r="O2962" i="116" s="1"/>
  <c r="M2965" i="116"/>
  <c r="O2965" i="116" s="1"/>
  <c r="M2970" i="116"/>
  <c r="O2970" i="116" s="1"/>
  <c r="M2973" i="116"/>
  <c r="O2973" i="116" s="1"/>
  <c r="M2995" i="116"/>
  <c r="O2995" i="116" s="1"/>
  <c r="M2878" i="116"/>
  <c r="O2878" i="116" s="1"/>
  <c r="M2915" i="116"/>
  <c r="O2915" i="116" s="1"/>
  <c r="M2923" i="116"/>
  <c r="O2923" i="116" s="1"/>
  <c r="M2932" i="116"/>
  <c r="O2932" i="116" s="1"/>
  <c r="M2943" i="116"/>
  <c r="O2943" i="116" s="1"/>
  <c r="M2946" i="116"/>
  <c r="O2946" i="116" s="1"/>
  <c r="M2949" i="116"/>
  <c r="O2949" i="116" s="1"/>
  <c r="M2954" i="116"/>
  <c r="O2954" i="116" s="1"/>
  <c r="M2957" i="116"/>
  <c r="O2957" i="116" s="1"/>
  <c r="M2976" i="116"/>
  <c r="O2976" i="116" s="1"/>
  <c r="M2984" i="116"/>
  <c r="O2984" i="116" s="1"/>
  <c r="M2993" i="116"/>
  <c r="O2993" i="116" s="1"/>
  <c r="M2998" i="116"/>
  <c r="O2998" i="116" s="1"/>
  <c r="M3001" i="116"/>
  <c r="O3001" i="116" s="1"/>
  <c r="M2887" i="116"/>
  <c r="O2887" i="116" s="1"/>
  <c r="M2890" i="116"/>
  <c r="O2890" i="116" s="1"/>
  <c r="M2893" i="116"/>
  <c r="O2893" i="116" s="1"/>
  <c r="M2896" i="116"/>
  <c r="O2896" i="116" s="1"/>
  <c r="M2904" i="116"/>
  <c r="O2904" i="116" s="1"/>
  <c r="M2913" i="116"/>
  <c r="O2913" i="116" s="1"/>
  <c r="M2918" i="116"/>
  <c r="O2918" i="116" s="1"/>
  <c r="M2921" i="116"/>
  <c r="O2921" i="116" s="1"/>
  <c r="M2926" i="116"/>
  <c r="O2926" i="116" s="1"/>
  <c r="M2935" i="116"/>
  <c r="O2935" i="116" s="1"/>
  <c r="M2960" i="116"/>
  <c r="O2960" i="116" s="1"/>
  <c r="M2968" i="116"/>
  <c r="O2968" i="116" s="1"/>
  <c r="M2979" i="116"/>
  <c r="O2979" i="116" s="1"/>
  <c r="M2987" i="116"/>
  <c r="O2987" i="116" s="1"/>
  <c r="M2996" i="116"/>
  <c r="O2996" i="116" s="1"/>
  <c r="M2879" i="116"/>
  <c r="O2879" i="116" s="1"/>
  <c r="M2882" i="116"/>
  <c r="O2882" i="116" s="1"/>
  <c r="M2885" i="116"/>
  <c r="O2885" i="116" s="1"/>
  <c r="M2899" i="116"/>
  <c r="O2899" i="116" s="1"/>
  <c r="M2907" i="116"/>
  <c r="O2907" i="116" s="1"/>
  <c r="M2916" i="116"/>
  <c r="O2916" i="116" s="1"/>
  <c r="M2924" i="116"/>
  <c r="O2924" i="116" s="1"/>
  <c r="M2938" i="116"/>
  <c r="O2938" i="116" s="1"/>
  <c r="M2941" i="116"/>
  <c r="O2941" i="116" s="1"/>
  <c r="M2944" i="116"/>
  <c r="O2944" i="116" s="1"/>
  <c r="M2952" i="116"/>
  <c r="O2952" i="116" s="1"/>
  <c r="M2963" i="116"/>
  <c r="O2963" i="116" s="1"/>
  <c r="M2971" i="116"/>
  <c r="O2971" i="116" s="1"/>
  <c r="M2977" i="116"/>
  <c r="O2977" i="116" s="1"/>
  <c r="M2982" i="116"/>
  <c r="O2982" i="116" s="1"/>
  <c r="M2985" i="116"/>
  <c r="O2985" i="116" s="1"/>
  <c r="M2990" i="116"/>
  <c r="O2990" i="116" s="1"/>
  <c r="M2888" i="116"/>
  <c r="O2888" i="116" s="1"/>
  <c r="M2897" i="116"/>
  <c r="O2897" i="116" s="1"/>
  <c r="M2902" i="116"/>
  <c r="O2902" i="116" s="1"/>
  <c r="M2905" i="116"/>
  <c r="O2905" i="116" s="1"/>
  <c r="M2910" i="116"/>
  <c r="O2910" i="116" s="1"/>
  <c r="M2927" i="116"/>
  <c r="O2927" i="116" s="1"/>
  <c r="M2930" i="116"/>
  <c r="O2930" i="116" s="1"/>
  <c r="M2933" i="116"/>
  <c r="O2933" i="116" s="1"/>
  <c r="M2947" i="116"/>
  <c r="O2947" i="116" s="1"/>
  <c r="M2955" i="116"/>
  <c r="O2955" i="116" s="1"/>
  <c r="M2961" i="116"/>
  <c r="O2961" i="116" s="1"/>
  <c r="M2966" i="116"/>
  <c r="O2966" i="116" s="1"/>
  <c r="M2969" i="116"/>
  <c r="O2969" i="116" s="1"/>
  <c r="M2974" i="116"/>
  <c r="O2974" i="116" s="1"/>
  <c r="M2980" i="116"/>
  <c r="O2980" i="116" s="1"/>
  <c r="M2988" i="116"/>
  <c r="O2988" i="116" s="1"/>
  <c r="M2999" i="116"/>
  <c r="O2999" i="116" s="1"/>
  <c r="M2880" i="116"/>
  <c r="O2880" i="116" s="1"/>
  <c r="M2891" i="116"/>
  <c r="O2891" i="116" s="1"/>
  <c r="M2900" i="116"/>
  <c r="O2900" i="116" s="1"/>
  <c r="M2919" i="116"/>
  <c r="O2919" i="116" s="1"/>
  <c r="M2936" i="116"/>
  <c r="O2936" i="116" s="1"/>
  <c r="M2945" i="116"/>
  <c r="O2945" i="116" s="1"/>
  <c r="M2950" i="116"/>
  <c r="O2950" i="116" s="1"/>
  <c r="M2953" i="116"/>
  <c r="O2953" i="116" s="1"/>
  <c r="M2958" i="116"/>
  <c r="O2958" i="116" s="1"/>
  <c r="M2964" i="116"/>
  <c r="O2964" i="116" s="1"/>
  <c r="M2972" i="116"/>
  <c r="O2972" i="116" s="1"/>
  <c r="M2991" i="116"/>
  <c r="O2991" i="116" s="1"/>
  <c r="M2994" i="116"/>
  <c r="O2994" i="116" s="1"/>
  <c r="M2997" i="116"/>
  <c r="O2997" i="116" s="1"/>
  <c r="N2746" i="116"/>
  <c r="O2746" i="116" s="1"/>
  <c r="N2749" i="116"/>
  <c r="O2749" i="116" s="1"/>
  <c r="N2752" i="116"/>
  <c r="O2752" i="116" s="1"/>
  <c r="M2755" i="116"/>
  <c r="O2755" i="116" s="1"/>
  <c r="M2761" i="116"/>
  <c r="O2761" i="116" s="1"/>
  <c r="N2763" i="116"/>
  <c r="O2763" i="116" s="1"/>
  <c r="M2766" i="116"/>
  <c r="O2766" i="116" s="1"/>
  <c r="N2772" i="116"/>
  <c r="O2772" i="116" s="1"/>
  <c r="M2783" i="116"/>
  <c r="O2783" i="116" s="1"/>
  <c r="M2786" i="116"/>
  <c r="O2786" i="116" s="1"/>
  <c r="M2789" i="116"/>
  <c r="O2789" i="116" s="1"/>
  <c r="N2791" i="116"/>
  <c r="O2791" i="116" s="1"/>
  <c r="M2794" i="116"/>
  <c r="O2794" i="116" s="1"/>
  <c r="M2797" i="116"/>
  <c r="O2797" i="116" s="1"/>
  <c r="M2800" i="116"/>
  <c r="O2800" i="116" s="1"/>
  <c r="N2808" i="116"/>
  <c r="O2808" i="116" s="1"/>
  <c r="M2811" i="116"/>
  <c r="O2811" i="116" s="1"/>
  <c r="N2817" i="116"/>
  <c r="O2817" i="116" s="1"/>
  <c r="M2820" i="116"/>
  <c r="O2820" i="116" s="1"/>
  <c r="N2822" i="116"/>
  <c r="O2822" i="116" s="1"/>
  <c r="M2831" i="116"/>
  <c r="O2831" i="116" s="1"/>
  <c r="M2834" i="116"/>
  <c r="O2834" i="116" s="1"/>
  <c r="M2837" i="116"/>
  <c r="O2837" i="116" s="1"/>
  <c r="N2839" i="116"/>
  <c r="O2839" i="116" s="1"/>
  <c r="M2842" i="116"/>
  <c r="O2842" i="116" s="1"/>
  <c r="M2845" i="116"/>
  <c r="O2845" i="116" s="1"/>
  <c r="M2848" i="116"/>
  <c r="O2848" i="116" s="1"/>
  <c r="M2747" i="116"/>
  <c r="O2747" i="116" s="1"/>
  <c r="M2753" i="116"/>
  <c r="O2753" i="116" s="1"/>
  <c r="M2758" i="116"/>
  <c r="O2758" i="116" s="1"/>
  <c r="M2764" i="116"/>
  <c r="O2764" i="116" s="1"/>
  <c r="M2775" i="116"/>
  <c r="O2775" i="116" s="1"/>
  <c r="N2780" i="116"/>
  <c r="O2780" i="116" s="1"/>
  <c r="M2803" i="116"/>
  <c r="O2803" i="116" s="1"/>
  <c r="M2809" i="116"/>
  <c r="O2809" i="116" s="1"/>
  <c r="M2814" i="116"/>
  <c r="O2814" i="116" s="1"/>
  <c r="N2828" i="116"/>
  <c r="O2828" i="116" s="1"/>
  <c r="M2851" i="116"/>
  <c r="O2851" i="116" s="1"/>
  <c r="M2756" i="116"/>
  <c r="O2756" i="116" s="1"/>
  <c r="M2767" i="116"/>
  <c r="O2767" i="116" s="1"/>
  <c r="M2770" i="116"/>
  <c r="O2770" i="116" s="1"/>
  <c r="M2773" i="116"/>
  <c r="O2773" i="116" s="1"/>
  <c r="M2778" i="116"/>
  <c r="O2778" i="116" s="1"/>
  <c r="M2781" i="116"/>
  <c r="O2781" i="116" s="1"/>
  <c r="M2784" i="116"/>
  <c r="O2784" i="116" s="1"/>
  <c r="M2792" i="116"/>
  <c r="O2792" i="116" s="1"/>
  <c r="M2801" i="116"/>
  <c r="O2801" i="116" s="1"/>
  <c r="M2806" i="116"/>
  <c r="O2806" i="116" s="1"/>
  <c r="M2812" i="116"/>
  <c r="O2812" i="116" s="1"/>
  <c r="M2823" i="116"/>
  <c r="O2823" i="116" s="1"/>
  <c r="M2826" i="116"/>
  <c r="O2826" i="116" s="1"/>
  <c r="M2829" i="116"/>
  <c r="O2829" i="116" s="1"/>
  <c r="M2832" i="116"/>
  <c r="O2832" i="116" s="1"/>
  <c r="M2840" i="116"/>
  <c r="O2840" i="116" s="1"/>
  <c r="M2849" i="116"/>
  <c r="O2849" i="116" s="1"/>
  <c r="M2745" i="116"/>
  <c r="O2745" i="116" s="1"/>
  <c r="M2750" i="116"/>
  <c r="O2750" i="116" s="1"/>
  <c r="M2787" i="116"/>
  <c r="O2787" i="116" s="1"/>
  <c r="M2795" i="116"/>
  <c r="O2795" i="116" s="1"/>
  <c r="M2804" i="116"/>
  <c r="O2804" i="116" s="1"/>
  <c r="M2815" i="116"/>
  <c r="O2815" i="116" s="1"/>
  <c r="M2818" i="116"/>
  <c r="O2818" i="116" s="1"/>
  <c r="M2821" i="116"/>
  <c r="O2821" i="116" s="1"/>
  <c r="M2835" i="116"/>
  <c r="O2835" i="116" s="1"/>
  <c r="M2843" i="116"/>
  <c r="O2843" i="116" s="1"/>
  <c r="M2748" i="116"/>
  <c r="O2748" i="116" s="1"/>
  <c r="M2759" i="116"/>
  <c r="O2759" i="116" s="1"/>
  <c r="M2762" i="116"/>
  <c r="O2762" i="116" s="1"/>
  <c r="M2765" i="116"/>
  <c r="O2765" i="116" s="1"/>
  <c r="M2768" i="116"/>
  <c r="O2768" i="116" s="1"/>
  <c r="M2776" i="116"/>
  <c r="O2776" i="116" s="1"/>
  <c r="M2785" i="116"/>
  <c r="O2785" i="116" s="1"/>
  <c r="M2790" i="116"/>
  <c r="O2790" i="116" s="1"/>
  <c r="M2793" i="116"/>
  <c r="O2793" i="116" s="1"/>
  <c r="M2798" i="116"/>
  <c r="O2798" i="116" s="1"/>
  <c r="M2807" i="116"/>
  <c r="O2807" i="116" s="1"/>
  <c r="M2824" i="116"/>
  <c r="O2824" i="116" s="1"/>
  <c r="M2833" i="116"/>
  <c r="O2833" i="116" s="1"/>
  <c r="M2838" i="116"/>
  <c r="O2838" i="116" s="1"/>
  <c r="M2841" i="116"/>
  <c r="O2841" i="116" s="1"/>
  <c r="M2846" i="116"/>
  <c r="O2846" i="116" s="1"/>
  <c r="M2751" i="116"/>
  <c r="O2751" i="116" s="1"/>
  <c r="M2754" i="116"/>
  <c r="O2754" i="116" s="1"/>
  <c r="M2757" i="116"/>
  <c r="O2757" i="116" s="1"/>
  <c r="M2771" i="116"/>
  <c r="O2771" i="116" s="1"/>
  <c r="M2779" i="116"/>
  <c r="O2779" i="116" s="1"/>
  <c r="M2788" i="116"/>
  <c r="O2788" i="116" s="1"/>
  <c r="M2796" i="116"/>
  <c r="O2796" i="116" s="1"/>
  <c r="M2810" i="116"/>
  <c r="O2810" i="116" s="1"/>
  <c r="M2813" i="116"/>
  <c r="O2813" i="116" s="1"/>
  <c r="M2816" i="116"/>
  <c r="O2816" i="116" s="1"/>
  <c r="M2827" i="116"/>
  <c r="O2827" i="116" s="1"/>
  <c r="M2836" i="116"/>
  <c r="O2836" i="116" s="1"/>
  <c r="M2844" i="116"/>
  <c r="O2844" i="116" s="1"/>
  <c r="M2760" i="116"/>
  <c r="O2760" i="116" s="1"/>
  <c r="M2769" i="116"/>
  <c r="O2769" i="116" s="1"/>
  <c r="M2774" i="116"/>
  <c r="O2774" i="116" s="1"/>
  <c r="M2777" i="116"/>
  <c r="O2777" i="116" s="1"/>
  <c r="M2782" i="116"/>
  <c r="O2782" i="116" s="1"/>
  <c r="M2799" i="116"/>
  <c r="O2799" i="116" s="1"/>
  <c r="M2802" i="116"/>
  <c r="O2802" i="116" s="1"/>
  <c r="M2805" i="116"/>
  <c r="O2805" i="116" s="1"/>
  <c r="M2819" i="116"/>
  <c r="O2819" i="116" s="1"/>
  <c r="M2825" i="116"/>
  <c r="O2825" i="116" s="1"/>
  <c r="M2830" i="116"/>
  <c r="O2830" i="116" s="1"/>
  <c r="M2847" i="116"/>
  <c r="O2847" i="116" s="1"/>
  <c r="M2850" i="116"/>
  <c r="O2850" i="116" s="1"/>
  <c r="O2590" i="116"/>
  <c r="O2593" i="116"/>
  <c r="O2596" i="116"/>
  <c r="O2635" i="116"/>
  <c r="O2573" i="116"/>
  <c r="O2579" i="116"/>
  <c r="O2607" i="116"/>
  <c r="M2570" i="116"/>
  <c r="O2570" i="116" s="1"/>
  <c r="M2610" i="116"/>
  <c r="O2610" i="116" s="1"/>
  <c r="N2615" i="116"/>
  <c r="O2615" i="116" s="1"/>
  <c r="N2618" i="116"/>
  <c r="O2618" i="116" s="1"/>
  <c r="M2621" i="116"/>
  <c r="O2621" i="116" s="1"/>
  <c r="M2638" i="116"/>
  <c r="O2638" i="116" s="1"/>
  <c r="M2655" i="116"/>
  <c r="O2655" i="116" s="1"/>
  <c r="M2658" i="116"/>
  <c r="O2658" i="116" s="1"/>
  <c r="M2661" i="116"/>
  <c r="O2661" i="116" s="1"/>
  <c r="N2663" i="116"/>
  <c r="O2663" i="116" s="1"/>
  <c r="N2666" i="116"/>
  <c r="O2666" i="116" s="1"/>
  <c r="N2669" i="116"/>
  <c r="O2669" i="116" s="1"/>
  <c r="M2673" i="116"/>
  <c r="O2673" i="116" s="1"/>
  <c r="N2675" i="116"/>
  <c r="O2675" i="116" s="1"/>
  <c r="N2678" i="116"/>
  <c r="O2678" i="116" s="1"/>
  <c r="N2684" i="116"/>
  <c r="O2684" i="116" s="1"/>
  <c r="N2687" i="116"/>
  <c r="O2687" i="116" s="1"/>
  <c r="N2690" i="116"/>
  <c r="O2690" i="116" s="1"/>
  <c r="N2693" i="116"/>
  <c r="O2693" i="116" s="1"/>
  <c r="M2553" i="116"/>
  <c r="O2553" i="116" s="1"/>
  <c r="M2556" i="116"/>
  <c r="O2556" i="116" s="1"/>
  <c r="M2559" i="116"/>
  <c r="O2559" i="116" s="1"/>
  <c r="M2562" i="116"/>
  <c r="O2562" i="116" s="1"/>
  <c r="M2565" i="116"/>
  <c r="O2565" i="116" s="1"/>
  <c r="M2582" i="116"/>
  <c r="O2582" i="116" s="1"/>
  <c r="N2604" i="116"/>
  <c r="O2604" i="116" s="1"/>
  <c r="M2630" i="116"/>
  <c r="O2630" i="116" s="1"/>
  <c r="M2633" i="116"/>
  <c r="O2633" i="116" s="1"/>
  <c r="M2642" i="116"/>
  <c r="O2642" i="116" s="1"/>
  <c r="M2647" i="116"/>
  <c r="O2647" i="116" s="1"/>
  <c r="N2652" i="116"/>
  <c r="O2652" i="116" s="1"/>
  <c r="M2664" i="116"/>
  <c r="O2664" i="116" s="1"/>
  <c r="M2667" i="116"/>
  <c r="O2667" i="116" s="1"/>
  <c r="M2676" i="116"/>
  <c r="O2676" i="116" s="1"/>
  <c r="M2679" i="116"/>
  <c r="O2679" i="116" s="1"/>
  <c r="M2682" i="116"/>
  <c r="O2682" i="116" s="1"/>
  <c r="M2685" i="116"/>
  <c r="O2685" i="116" s="1"/>
  <c r="M2688" i="116"/>
  <c r="O2688" i="116" s="1"/>
  <c r="M2697" i="116"/>
  <c r="O2697" i="116" s="1"/>
  <c r="M2700" i="116"/>
  <c r="O2700" i="116" s="1"/>
  <c r="M2568" i="116"/>
  <c r="O2568" i="116" s="1"/>
  <c r="M2577" i="116"/>
  <c r="O2577" i="116" s="1"/>
  <c r="M2580" i="116"/>
  <c r="O2580" i="116" s="1"/>
  <c r="M2585" i="116"/>
  <c r="O2585" i="116" s="1"/>
  <c r="M2588" i="116"/>
  <c r="O2588" i="116" s="1"/>
  <c r="M2594" i="116"/>
  <c r="O2594" i="116" s="1"/>
  <c r="M2599" i="116"/>
  <c r="O2599" i="116" s="1"/>
  <c r="M2602" i="116"/>
  <c r="O2602" i="116" s="1"/>
  <c r="M2605" i="116"/>
  <c r="O2605" i="116" s="1"/>
  <c r="M2608" i="116"/>
  <c r="O2608" i="116" s="1"/>
  <c r="M2616" i="116"/>
  <c r="O2616" i="116" s="1"/>
  <c r="M2625" i="116"/>
  <c r="O2625" i="116" s="1"/>
  <c r="M2628" i="116"/>
  <c r="O2628" i="116" s="1"/>
  <c r="M2636" i="116"/>
  <c r="O2636" i="116" s="1"/>
  <c r="M2639" i="116"/>
  <c r="O2639" i="116" s="1"/>
  <c r="M2645" i="116"/>
  <c r="O2645" i="116" s="1"/>
  <c r="M2650" i="116"/>
  <c r="O2650" i="116" s="1"/>
  <c r="M2653" i="116"/>
  <c r="O2653" i="116" s="1"/>
  <c r="M2656" i="116"/>
  <c r="O2656" i="116" s="1"/>
  <c r="M2670" i="116"/>
  <c r="O2670" i="116" s="1"/>
  <c r="M2691" i="116"/>
  <c r="O2691" i="116" s="1"/>
  <c r="M2694" i="116"/>
  <c r="O2694" i="116" s="1"/>
  <c r="M2554" i="116"/>
  <c r="O2554" i="116" s="1"/>
  <c r="M2560" i="116"/>
  <c r="O2560" i="116" s="1"/>
  <c r="M2563" i="116"/>
  <c r="O2563" i="116" s="1"/>
  <c r="M2571" i="116"/>
  <c r="O2571" i="116" s="1"/>
  <c r="M2574" i="116"/>
  <c r="O2574" i="116" s="1"/>
  <c r="M2591" i="116"/>
  <c r="O2591" i="116" s="1"/>
  <c r="M2597" i="116"/>
  <c r="O2597" i="116" s="1"/>
  <c r="M2611" i="116"/>
  <c r="O2611" i="116" s="1"/>
  <c r="M2619" i="116"/>
  <c r="O2619" i="116" s="1"/>
  <c r="M2622" i="116"/>
  <c r="O2622" i="116" s="1"/>
  <c r="M2659" i="116"/>
  <c r="O2659" i="116" s="1"/>
  <c r="M2680" i="116"/>
  <c r="O2680" i="116" s="1"/>
  <c r="M2689" i="116"/>
  <c r="O2689" i="116" s="1"/>
  <c r="M2566" i="116"/>
  <c r="O2566" i="116" s="1"/>
  <c r="M2569" i="116"/>
  <c r="O2569" i="116" s="1"/>
  <c r="M2578" i="116"/>
  <c r="O2578" i="116" s="1"/>
  <c r="M2583" i="116"/>
  <c r="O2583" i="116" s="1"/>
  <c r="M2600" i="116"/>
  <c r="O2600" i="116" s="1"/>
  <c r="M2609" i="116"/>
  <c r="O2609" i="116" s="1"/>
  <c r="M2614" i="116"/>
  <c r="O2614" i="116" s="1"/>
  <c r="M2631" i="116"/>
  <c r="O2631" i="116" s="1"/>
  <c r="M2640" i="116"/>
  <c r="O2640" i="116" s="1"/>
  <c r="M2648" i="116"/>
  <c r="O2648" i="116" s="1"/>
  <c r="M2651" i="116"/>
  <c r="O2651" i="116" s="1"/>
  <c r="M2662" i="116"/>
  <c r="O2662" i="116" s="1"/>
  <c r="M2665" i="116"/>
  <c r="O2665" i="116" s="1"/>
  <c r="M2668" i="116"/>
  <c r="O2668" i="116" s="1"/>
  <c r="M2671" i="116"/>
  <c r="O2671" i="116" s="1"/>
  <c r="M2674" i="116"/>
  <c r="O2674" i="116" s="1"/>
  <c r="M2677" i="116"/>
  <c r="O2677" i="116" s="1"/>
  <c r="M2683" i="116"/>
  <c r="O2683" i="116" s="1"/>
  <c r="M2692" i="116"/>
  <c r="O2692" i="116" s="1"/>
  <c r="M2695" i="116"/>
  <c r="O2695" i="116" s="1"/>
  <c r="M2698" i="116"/>
  <c r="O2698" i="116" s="1"/>
  <c r="M2701" i="116"/>
  <c r="O2701" i="116" s="1"/>
  <c r="M2557" i="116"/>
  <c r="O2557" i="116" s="1"/>
  <c r="M2572" i="116"/>
  <c r="O2572" i="116" s="1"/>
  <c r="M2575" i="116"/>
  <c r="O2575" i="116" s="1"/>
  <c r="M2581" i="116"/>
  <c r="O2581" i="116" s="1"/>
  <c r="M2586" i="116"/>
  <c r="O2586" i="116" s="1"/>
  <c r="M2589" i="116"/>
  <c r="O2589" i="116" s="1"/>
  <c r="M2592" i="116"/>
  <c r="O2592" i="116" s="1"/>
  <c r="M2603" i="116"/>
  <c r="O2603" i="116" s="1"/>
  <c r="M2612" i="116"/>
  <c r="O2612" i="116" s="1"/>
  <c r="M2617" i="116"/>
  <c r="O2617" i="116" s="1"/>
  <c r="M2620" i="116"/>
  <c r="O2620" i="116" s="1"/>
  <c r="M2623" i="116"/>
  <c r="O2623" i="116" s="1"/>
  <c r="M2626" i="116"/>
  <c r="O2626" i="116" s="1"/>
  <c r="M2629" i="116"/>
  <c r="O2629" i="116" s="1"/>
  <c r="M2634" i="116"/>
  <c r="O2634" i="116" s="1"/>
  <c r="M2637" i="116"/>
  <c r="O2637" i="116" s="1"/>
  <c r="M2643" i="116"/>
  <c r="O2643" i="116" s="1"/>
  <c r="M2654" i="116"/>
  <c r="O2654" i="116" s="1"/>
  <c r="M2657" i="116"/>
  <c r="O2657" i="116" s="1"/>
  <c r="M2660" i="116"/>
  <c r="O2660" i="116" s="1"/>
  <c r="M2686" i="116"/>
  <c r="O2686" i="116" s="1"/>
  <c r="M2552" i="116"/>
  <c r="O2552" i="116" s="1"/>
  <c r="M2561" i="116"/>
  <c r="O2561" i="116" s="1"/>
  <c r="M2564" i="116"/>
  <c r="O2564" i="116" s="1"/>
  <c r="M2595" i="116"/>
  <c r="O2595" i="116" s="1"/>
  <c r="M2606" i="116"/>
  <c r="O2606" i="116" s="1"/>
  <c r="M2646" i="116"/>
  <c r="O2646" i="116" s="1"/>
  <c r="M2649" i="116"/>
  <c r="O2649" i="116" s="1"/>
  <c r="M2672" i="116"/>
  <c r="O2672" i="116" s="1"/>
  <c r="M2681" i="116"/>
  <c r="O2681" i="116" s="1"/>
  <c r="M2696" i="116"/>
  <c r="O2696" i="116" s="1"/>
  <c r="M2699" i="116"/>
  <c r="O2699" i="116" s="1"/>
  <c r="O2413" i="116"/>
  <c r="O2421" i="116"/>
  <c r="O2427" i="116"/>
  <c r="O2438" i="116"/>
  <c r="O2405" i="116"/>
  <c r="M2408" i="116"/>
  <c r="O2408" i="116" s="1"/>
  <c r="N2432" i="116"/>
  <c r="O2432" i="116" s="1"/>
  <c r="M2449" i="116"/>
  <c r="O2449" i="116" s="1"/>
  <c r="M2452" i="116"/>
  <c r="O2452" i="116" s="1"/>
  <c r="N2454" i="116"/>
  <c r="O2454" i="116" s="1"/>
  <c r="M2457" i="116"/>
  <c r="O2457" i="116" s="1"/>
  <c r="M2460" i="116"/>
  <c r="O2460" i="116" s="1"/>
  <c r="M2463" i="116"/>
  <c r="O2463" i="116" s="1"/>
  <c r="N2465" i="116"/>
  <c r="O2465" i="116" s="1"/>
  <c r="N2468" i="116"/>
  <c r="O2468" i="116" s="1"/>
  <c r="M2471" i="116"/>
  <c r="O2471" i="116" s="1"/>
  <c r="N2473" i="116"/>
  <c r="O2473" i="116" s="1"/>
  <c r="N2476" i="116"/>
  <c r="O2476" i="116" s="1"/>
  <c r="M2479" i="116"/>
  <c r="O2479" i="116" s="1"/>
  <c r="N2481" i="116"/>
  <c r="O2481" i="116" s="1"/>
  <c r="N2484" i="116"/>
  <c r="O2484" i="116" s="1"/>
  <c r="M2487" i="116"/>
  <c r="O2487" i="116" s="1"/>
  <c r="N2489" i="116"/>
  <c r="O2489" i="116" s="1"/>
  <c r="N2495" i="116"/>
  <c r="O2495" i="116" s="1"/>
  <c r="N2498" i="116"/>
  <c r="O2498" i="116" s="1"/>
  <c r="M2501" i="116"/>
  <c r="O2501" i="116" s="1"/>
  <c r="N2506" i="116"/>
  <c r="O2506" i="116" s="1"/>
  <c r="N2509" i="116"/>
  <c r="O2509" i="116" s="1"/>
  <c r="M2512" i="116"/>
  <c r="O2512" i="116" s="1"/>
  <c r="N2517" i="116"/>
  <c r="O2517" i="116" s="1"/>
  <c r="M2520" i="116"/>
  <c r="O2520" i="116" s="1"/>
  <c r="N2528" i="116"/>
  <c r="O2528" i="116" s="1"/>
  <c r="M2531" i="116"/>
  <c r="O2531" i="116" s="1"/>
  <c r="N2536" i="116"/>
  <c r="O2536" i="116" s="1"/>
  <c r="M2539" i="116"/>
  <c r="O2539" i="116" s="1"/>
  <c r="N2544" i="116"/>
  <c r="O2544" i="116" s="1"/>
  <c r="M2547" i="116"/>
  <c r="O2547" i="116" s="1"/>
  <c r="M2403" i="116"/>
  <c r="O2403" i="116" s="1"/>
  <c r="M2411" i="116"/>
  <c r="O2411" i="116" s="1"/>
  <c r="M2416" i="116"/>
  <c r="O2416" i="116" s="1"/>
  <c r="M2419" i="116"/>
  <c r="O2419" i="116" s="1"/>
  <c r="M2424" i="116"/>
  <c r="O2424" i="116" s="1"/>
  <c r="M2430" i="116"/>
  <c r="O2430" i="116" s="1"/>
  <c r="N2435" i="116"/>
  <c r="O2435" i="116" s="1"/>
  <c r="M2441" i="116"/>
  <c r="O2441" i="116" s="1"/>
  <c r="M2444" i="116"/>
  <c r="O2444" i="116" s="1"/>
  <c r="M2447" i="116"/>
  <c r="O2447" i="116" s="1"/>
  <c r="M2455" i="116"/>
  <c r="O2455" i="116" s="1"/>
  <c r="M2466" i="116"/>
  <c r="O2466" i="116" s="1"/>
  <c r="M2490" i="116"/>
  <c r="O2490" i="116" s="1"/>
  <c r="M2493" i="116"/>
  <c r="O2493" i="116" s="1"/>
  <c r="M2504" i="116"/>
  <c r="O2504" i="116" s="1"/>
  <c r="M2515" i="116"/>
  <c r="O2515" i="116" s="1"/>
  <c r="M2523" i="116"/>
  <c r="O2523" i="116" s="1"/>
  <c r="M2526" i="116"/>
  <c r="O2526" i="116" s="1"/>
  <c r="M2534" i="116"/>
  <c r="O2534" i="116" s="1"/>
  <c r="M2542" i="116"/>
  <c r="O2542" i="116" s="1"/>
  <c r="M2550" i="116"/>
  <c r="O2550" i="116" s="1"/>
  <c r="M2433" i="116"/>
  <c r="O2433" i="116" s="1"/>
  <c r="M2436" i="116"/>
  <c r="O2436" i="116" s="1"/>
  <c r="M2439" i="116"/>
  <c r="O2439" i="116" s="1"/>
  <c r="M2458" i="116"/>
  <c r="O2458" i="116" s="1"/>
  <c r="M2474" i="116"/>
  <c r="O2474" i="116" s="1"/>
  <c r="M2482" i="116"/>
  <c r="O2482" i="116" s="1"/>
  <c r="M2496" i="116"/>
  <c r="O2496" i="116" s="1"/>
  <c r="M2507" i="116"/>
  <c r="O2507" i="116" s="1"/>
  <c r="M2510" i="116"/>
  <c r="O2510" i="116" s="1"/>
  <c r="M2518" i="116"/>
  <c r="O2518" i="116" s="1"/>
  <c r="M2529" i="116"/>
  <c r="O2529" i="116" s="1"/>
  <c r="M2532" i="116"/>
  <c r="O2532" i="116" s="1"/>
  <c r="M2537" i="116"/>
  <c r="O2537" i="116" s="1"/>
  <c r="M2540" i="116"/>
  <c r="O2540" i="116" s="1"/>
  <c r="M2545" i="116"/>
  <c r="O2545" i="116" s="1"/>
  <c r="M2548" i="116"/>
  <c r="O2548" i="116" s="1"/>
  <c r="M2406" i="116"/>
  <c r="O2406" i="116" s="1"/>
  <c r="M2414" i="116"/>
  <c r="O2414" i="116" s="1"/>
  <c r="M2422" i="116"/>
  <c r="O2422" i="116" s="1"/>
  <c r="M2428" i="116"/>
  <c r="O2428" i="116" s="1"/>
  <c r="M2431" i="116"/>
  <c r="O2431" i="116" s="1"/>
  <c r="M2442" i="116"/>
  <c r="O2442" i="116" s="1"/>
  <c r="M2450" i="116"/>
  <c r="O2450" i="116" s="1"/>
  <c r="M2461" i="116"/>
  <c r="O2461" i="116" s="1"/>
  <c r="M2469" i="116"/>
  <c r="O2469" i="116" s="1"/>
  <c r="M2477" i="116"/>
  <c r="O2477" i="116" s="1"/>
  <c r="M2485" i="116"/>
  <c r="O2485" i="116" s="1"/>
  <c r="M2499" i="116"/>
  <c r="O2499" i="116" s="1"/>
  <c r="M2502" i="116"/>
  <c r="O2502" i="116" s="1"/>
  <c r="M2513" i="116"/>
  <c r="O2513" i="116" s="1"/>
  <c r="M2516" i="116"/>
  <c r="O2516" i="116" s="1"/>
  <c r="M2521" i="116"/>
  <c r="O2521" i="116" s="1"/>
  <c r="M2524" i="116"/>
  <c r="O2524" i="116" s="1"/>
  <c r="M2527" i="116"/>
  <c r="O2527" i="116" s="1"/>
  <c r="M2535" i="116"/>
  <c r="O2535" i="116" s="1"/>
  <c r="M2543" i="116"/>
  <c r="O2543" i="116" s="1"/>
  <c r="M2551" i="116"/>
  <c r="O2551" i="116" s="1"/>
  <c r="M2404" i="116"/>
  <c r="O2404" i="116" s="1"/>
  <c r="M2409" i="116"/>
  <c r="O2409" i="116" s="1"/>
  <c r="M2412" i="116"/>
  <c r="O2412" i="116" s="1"/>
  <c r="M2417" i="116"/>
  <c r="O2417" i="116" s="1"/>
  <c r="M2420" i="116"/>
  <c r="O2420" i="116" s="1"/>
  <c r="M2425" i="116"/>
  <c r="O2425" i="116" s="1"/>
  <c r="M2434" i="116"/>
  <c r="O2434" i="116" s="1"/>
  <c r="M2445" i="116"/>
  <c r="O2445" i="116" s="1"/>
  <c r="M2453" i="116"/>
  <c r="O2453" i="116" s="1"/>
  <c r="M2464" i="116"/>
  <c r="O2464" i="116" s="1"/>
  <c r="M2472" i="116"/>
  <c r="O2472" i="116" s="1"/>
  <c r="M2480" i="116"/>
  <c r="O2480" i="116" s="1"/>
  <c r="M2488" i="116"/>
  <c r="O2488" i="116" s="1"/>
  <c r="M2491" i="116"/>
  <c r="O2491" i="116" s="1"/>
  <c r="M2494" i="116"/>
  <c r="O2494" i="116" s="1"/>
  <c r="M2505" i="116"/>
  <c r="O2505" i="116" s="1"/>
  <c r="M2508" i="116"/>
  <c r="O2508" i="116" s="1"/>
  <c r="M2511" i="116"/>
  <c r="O2511" i="116" s="1"/>
  <c r="M2519" i="116"/>
  <c r="O2519" i="116" s="1"/>
  <c r="M2407" i="116"/>
  <c r="O2407" i="116" s="1"/>
  <c r="M2415" i="116"/>
  <c r="O2415" i="116" s="1"/>
  <c r="M2423" i="116"/>
  <c r="O2423" i="116" s="1"/>
  <c r="M2437" i="116"/>
  <c r="O2437" i="116" s="1"/>
  <c r="M2448" i="116"/>
  <c r="O2448" i="116" s="1"/>
  <c r="M2456" i="116"/>
  <c r="O2456" i="116" s="1"/>
  <c r="M2467" i="116"/>
  <c r="O2467" i="116" s="1"/>
  <c r="M2475" i="116"/>
  <c r="O2475" i="116" s="1"/>
  <c r="M2483" i="116"/>
  <c r="O2483" i="116" s="1"/>
  <c r="M2497" i="116"/>
  <c r="O2497" i="116" s="1"/>
  <c r="M2500" i="116"/>
  <c r="O2500" i="116" s="1"/>
  <c r="M2503" i="116"/>
  <c r="O2503" i="116" s="1"/>
  <c r="M2522" i="116"/>
  <c r="O2522" i="116" s="1"/>
  <c r="M2530" i="116"/>
  <c r="O2530" i="116" s="1"/>
  <c r="M2538" i="116"/>
  <c r="O2538" i="116" s="1"/>
  <c r="M2546" i="116"/>
  <c r="O2546" i="116" s="1"/>
  <c r="M2402" i="116"/>
  <c r="O2402" i="116" s="1"/>
  <c r="M2418" i="116"/>
  <c r="O2418" i="116" s="1"/>
  <c r="M2426" i="116"/>
  <c r="O2426" i="116" s="1"/>
  <c r="M2429" i="116"/>
  <c r="O2429" i="116" s="1"/>
  <c r="M2440" i="116"/>
  <c r="O2440" i="116" s="1"/>
  <c r="M2451" i="116"/>
  <c r="O2451" i="116" s="1"/>
  <c r="M2459" i="116"/>
  <c r="O2459" i="116" s="1"/>
  <c r="M2462" i="116"/>
  <c r="O2462" i="116" s="1"/>
  <c r="M2470" i="116"/>
  <c r="O2470" i="116" s="1"/>
  <c r="M2478" i="116"/>
  <c r="O2478" i="116" s="1"/>
  <c r="M2486" i="116"/>
  <c r="O2486" i="116" s="1"/>
  <c r="M2492" i="116"/>
  <c r="O2492" i="116" s="1"/>
  <c r="M2514" i="116"/>
  <c r="O2514" i="116" s="1"/>
  <c r="M2525" i="116"/>
  <c r="O2525" i="116" s="1"/>
  <c r="M2533" i="116"/>
  <c r="O2533" i="116" s="1"/>
  <c r="M2541" i="116"/>
  <c r="O2541" i="116" s="1"/>
  <c r="M2549" i="116"/>
  <c r="O2549" i="116" s="1"/>
  <c r="O2330" i="116"/>
  <c r="O2338" i="116"/>
  <c r="O2378" i="116"/>
  <c r="O2386" i="116"/>
  <c r="O2306" i="116"/>
  <c r="O2346" i="116"/>
  <c r="O2394" i="116"/>
  <c r="O2314" i="116"/>
  <c r="O2322" i="116"/>
  <c r="O2362" i="116"/>
  <c r="M2301" i="116"/>
  <c r="O2301" i="116" s="1"/>
  <c r="M2309" i="116"/>
  <c r="O2309" i="116" s="1"/>
  <c r="M2312" i="116"/>
  <c r="O2312" i="116" s="1"/>
  <c r="M2317" i="116"/>
  <c r="O2317" i="116" s="1"/>
  <c r="M2325" i="116"/>
  <c r="O2325" i="116" s="1"/>
  <c r="M2328" i="116"/>
  <c r="O2328" i="116" s="1"/>
  <c r="M2333" i="116"/>
  <c r="O2333" i="116" s="1"/>
  <c r="M2341" i="116"/>
  <c r="O2341" i="116" s="1"/>
  <c r="M2344" i="116"/>
  <c r="O2344" i="116" s="1"/>
  <c r="M2349" i="116"/>
  <c r="O2349" i="116" s="1"/>
  <c r="M2357" i="116"/>
  <c r="O2357" i="116" s="1"/>
  <c r="M2360" i="116"/>
  <c r="O2360" i="116" s="1"/>
  <c r="M2365" i="116"/>
  <c r="O2365" i="116" s="1"/>
  <c r="M2373" i="116"/>
  <c r="O2373" i="116" s="1"/>
  <c r="M2376" i="116"/>
  <c r="O2376" i="116" s="1"/>
  <c r="M2381" i="116"/>
  <c r="O2381" i="116" s="1"/>
  <c r="M2389" i="116"/>
  <c r="O2389" i="116" s="1"/>
  <c r="M2392" i="116"/>
  <c r="O2392" i="116" s="1"/>
  <c r="M2397" i="116"/>
  <c r="O2397" i="116" s="1"/>
  <c r="M2259" i="116"/>
  <c r="O2259" i="116" s="1"/>
  <c r="M2299" i="116"/>
  <c r="O2299" i="116" s="1"/>
  <c r="M2304" i="116"/>
  <c r="O2304" i="116" s="1"/>
  <c r="M2307" i="116"/>
  <c r="O2307" i="116" s="1"/>
  <c r="M2315" i="116"/>
  <c r="O2315" i="116" s="1"/>
  <c r="M2320" i="116"/>
  <c r="O2320" i="116" s="1"/>
  <c r="M2323" i="116"/>
  <c r="O2323" i="116" s="1"/>
  <c r="M2331" i="116"/>
  <c r="O2331" i="116" s="1"/>
  <c r="M2336" i="116"/>
  <c r="O2336" i="116" s="1"/>
  <c r="M2339" i="116"/>
  <c r="O2339" i="116" s="1"/>
  <c r="M2347" i="116"/>
  <c r="O2347" i="116" s="1"/>
  <c r="M2352" i="116"/>
  <c r="O2352" i="116" s="1"/>
  <c r="M2355" i="116"/>
  <c r="O2355" i="116" s="1"/>
  <c r="M2363" i="116"/>
  <c r="O2363" i="116" s="1"/>
  <c r="M2368" i="116"/>
  <c r="O2368" i="116" s="1"/>
  <c r="M2371" i="116"/>
  <c r="O2371" i="116" s="1"/>
  <c r="M2379" i="116"/>
  <c r="O2379" i="116" s="1"/>
  <c r="M2384" i="116"/>
  <c r="O2384" i="116" s="1"/>
  <c r="M2387" i="116"/>
  <c r="O2387" i="116" s="1"/>
  <c r="M2395" i="116"/>
  <c r="O2395" i="116" s="1"/>
  <c r="M2400" i="116"/>
  <c r="O2400" i="116" s="1"/>
  <c r="M2274" i="116"/>
  <c r="O2274" i="116" s="1"/>
  <c r="M2302" i="116"/>
  <c r="O2302" i="116" s="1"/>
  <c r="M2310" i="116"/>
  <c r="O2310" i="116" s="1"/>
  <c r="M2318" i="116"/>
  <c r="O2318" i="116" s="1"/>
  <c r="M2326" i="116"/>
  <c r="O2326" i="116" s="1"/>
  <c r="M2334" i="116"/>
  <c r="O2334" i="116" s="1"/>
  <c r="M2342" i="116"/>
  <c r="O2342" i="116" s="1"/>
  <c r="M2350" i="116"/>
  <c r="O2350" i="116" s="1"/>
  <c r="M2358" i="116"/>
  <c r="O2358" i="116" s="1"/>
  <c r="M2366" i="116"/>
  <c r="O2366" i="116" s="1"/>
  <c r="M2374" i="116"/>
  <c r="O2374" i="116" s="1"/>
  <c r="M2382" i="116"/>
  <c r="O2382" i="116" s="1"/>
  <c r="M2390" i="116"/>
  <c r="O2390" i="116" s="1"/>
  <c r="M2398" i="116"/>
  <c r="O2398" i="116" s="1"/>
  <c r="M2300" i="116"/>
  <c r="O2300" i="116" s="1"/>
  <c r="M2305" i="116"/>
  <c r="O2305" i="116" s="1"/>
  <c r="M2308" i="116"/>
  <c r="O2308" i="116" s="1"/>
  <c r="M2313" i="116"/>
  <c r="O2313" i="116" s="1"/>
  <c r="M2316" i="116"/>
  <c r="O2316" i="116" s="1"/>
  <c r="M2321" i="116"/>
  <c r="O2321" i="116" s="1"/>
  <c r="M2324" i="116"/>
  <c r="O2324" i="116" s="1"/>
  <c r="M2329" i="116"/>
  <c r="O2329" i="116" s="1"/>
  <c r="M2332" i="116"/>
  <c r="O2332" i="116" s="1"/>
  <c r="M2337" i="116"/>
  <c r="O2337" i="116" s="1"/>
  <c r="M2340" i="116"/>
  <c r="O2340" i="116" s="1"/>
  <c r="M2345" i="116"/>
  <c r="O2345" i="116" s="1"/>
  <c r="M2348" i="116"/>
  <c r="O2348" i="116" s="1"/>
  <c r="M2353" i="116"/>
  <c r="O2353" i="116" s="1"/>
  <c r="M2356" i="116"/>
  <c r="O2356" i="116" s="1"/>
  <c r="M2361" i="116"/>
  <c r="O2361" i="116" s="1"/>
  <c r="M2364" i="116"/>
  <c r="O2364" i="116" s="1"/>
  <c r="M2369" i="116"/>
  <c r="O2369" i="116" s="1"/>
  <c r="M2372" i="116"/>
  <c r="O2372" i="116" s="1"/>
  <c r="M2377" i="116"/>
  <c r="O2377" i="116" s="1"/>
  <c r="M2380" i="116"/>
  <c r="O2380" i="116" s="1"/>
  <c r="M2385" i="116"/>
  <c r="O2385" i="116" s="1"/>
  <c r="M2388" i="116"/>
  <c r="O2388" i="116" s="1"/>
  <c r="M2393" i="116"/>
  <c r="O2393" i="116" s="1"/>
  <c r="M2396" i="116"/>
  <c r="O2396" i="116" s="1"/>
  <c r="M2401" i="116"/>
  <c r="O2401" i="116" s="1"/>
  <c r="M2267" i="116"/>
  <c r="O2267" i="116" s="1"/>
  <c r="M2288" i="116"/>
  <c r="O2288" i="116" s="1"/>
  <c r="M2303" i="116"/>
  <c r="O2303" i="116" s="1"/>
  <c r="M2319" i="116"/>
  <c r="O2319" i="116" s="1"/>
  <c r="M2335" i="116"/>
  <c r="O2335" i="116" s="1"/>
  <c r="M2351" i="116"/>
  <c r="O2351" i="116" s="1"/>
  <c r="M2367" i="116"/>
  <c r="O2367" i="116" s="1"/>
  <c r="M2383" i="116"/>
  <c r="O2383" i="116" s="1"/>
  <c r="M2399" i="116"/>
  <c r="O2399" i="116" s="1"/>
  <c r="M2151" i="116"/>
  <c r="O2151" i="116" s="1"/>
  <c r="N2156" i="116"/>
  <c r="O2156" i="116" s="1"/>
  <c r="M2162" i="116"/>
  <c r="O2162" i="116" s="1"/>
  <c r="N2167" i="116"/>
  <c r="O2167" i="116" s="1"/>
  <c r="M2171" i="116"/>
  <c r="O2171" i="116" s="1"/>
  <c r="N2173" i="116"/>
  <c r="O2173" i="116" s="1"/>
  <c r="N2176" i="116"/>
  <c r="O2176" i="116" s="1"/>
  <c r="M2179" i="116"/>
  <c r="O2179" i="116" s="1"/>
  <c r="M2182" i="116"/>
  <c r="O2182" i="116" s="1"/>
  <c r="N2184" i="116"/>
  <c r="O2184" i="116" s="1"/>
  <c r="N2187" i="116"/>
  <c r="O2187" i="116" s="1"/>
  <c r="M2190" i="116"/>
  <c r="O2190" i="116" s="1"/>
  <c r="N2198" i="116"/>
  <c r="O2198" i="116" s="1"/>
  <c r="M2201" i="116"/>
  <c r="O2201" i="116" s="1"/>
  <c r="M2207" i="116"/>
  <c r="O2207" i="116" s="1"/>
  <c r="M2210" i="116"/>
  <c r="O2210" i="116" s="1"/>
  <c r="N2215" i="116"/>
  <c r="O2215" i="116" s="1"/>
  <c r="N2218" i="116"/>
  <c r="O2218" i="116" s="1"/>
  <c r="M2221" i="116"/>
  <c r="O2221" i="116" s="1"/>
  <c r="N2226" i="116"/>
  <c r="O2226" i="116" s="1"/>
  <c r="M2229" i="116"/>
  <c r="O2229" i="116" s="1"/>
  <c r="M2235" i="116"/>
  <c r="O2235" i="116" s="1"/>
  <c r="M2238" i="116"/>
  <c r="O2238" i="116" s="1"/>
  <c r="M2244" i="116"/>
  <c r="O2244" i="116" s="1"/>
  <c r="N2249" i="116"/>
  <c r="O2249" i="116" s="1"/>
  <c r="M2148" i="116"/>
  <c r="O2148" i="116" s="1"/>
  <c r="M2154" i="116"/>
  <c r="O2154" i="116" s="1"/>
  <c r="M2157" i="116"/>
  <c r="O2157" i="116" s="1"/>
  <c r="N2159" i="116"/>
  <c r="O2159" i="116" s="1"/>
  <c r="M2165" i="116"/>
  <c r="O2165" i="116" s="1"/>
  <c r="M2168" i="116"/>
  <c r="O2168" i="116" s="1"/>
  <c r="M2174" i="116"/>
  <c r="O2174" i="116" s="1"/>
  <c r="M2185" i="116"/>
  <c r="O2185" i="116" s="1"/>
  <c r="M2193" i="116"/>
  <c r="O2193" i="116" s="1"/>
  <c r="M2204" i="116"/>
  <c r="O2204" i="116" s="1"/>
  <c r="M2213" i="116"/>
  <c r="O2213" i="116" s="1"/>
  <c r="M2219" i="116"/>
  <c r="O2219" i="116" s="1"/>
  <c r="M2224" i="116"/>
  <c r="O2224" i="116" s="1"/>
  <c r="M2227" i="116"/>
  <c r="O2227" i="116" s="1"/>
  <c r="M2232" i="116"/>
  <c r="O2232" i="116" s="1"/>
  <c r="M2241" i="116"/>
  <c r="O2241" i="116" s="1"/>
  <c r="M2247" i="116"/>
  <c r="O2247" i="116" s="1"/>
  <c r="M2250" i="116"/>
  <c r="O2250" i="116" s="1"/>
  <c r="M2146" i="116"/>
  <c r="O2146" i="116" s="1"/>
  <c r="M2160" i="116"/>
  <c r="O2160" i="116" s="1"/>
  <c r="M2177" i="116"/>
  <c r="O2177" i="116" s="1"/>
  <c r="M2180" i="116"/>
  <c r="O2180" i="116" s="1"/>
  <c r="M2188" i="116"/>
  <c r="O2188" i="116" s="1"/>
  <c r="M2191" i="116"/>
  <c r="O2191" i="116" s="1"/>
  <c r="M2196" i="116"/>
  <c r="O2196" i="116" s="1"/>
  <c r="M2199" i="116"/>
  <c r="O2199" i="116" s="1"/>
  <c r="M2211" i="116"/>
  <c r="O2211" i="116" s="1"/>
  <c r="M2216" i="116"/>
  <c r="O2216" i="116" s="1"/>
  <c r="M2230" i="116"/>
  <c r="O2230" i="116" s="1"/>
  <c r="M2149" i="116"/>
  <c r="O2149" i="116" s="1"/>
  <c r="M2155" i="116"/>
  <c r="O2155" i="116" s="1"/>
  <c r="M2163" i="116"/>
  <c r="O2163" i="116" s="1"/>
  <c r="M2172" i="116"/>
  <c r="O2172" i="116" s="1"/>
  <c r="M2175" i="116"/>
  <c r="O2175" i="116" s="1"/>
  <c r="M2183" i="116"/>
  <c r="O2183" i="116" s="1"/>
  <c r="M2186" i="116"/>
  <c r="O2186" i="116" s="1"/>
  <c r="M2202" i="116"/>
  <c r="O2202" i="116" s="1"/>
  <c r="M2205" i="116"/>
  <c r="O2205" i="116" s="1"/>
  <c r="M2208" i="116"/>
  <c r="O2208" i="116" s="1"/>
  <c r="M2214" i="116"/>
  <c r="O2214" i="116" s="1"/>
  <c r="M2222" i="116"/>
  <c r="O2222" i="116" s="1"/>
  <c r="M2233" i="116"/>
  <c r="O2233" i="116" s="1"/>
  <c r="M2239" i="116"/>
  <c r="O2239" i="116" s="1"/>
  <c r="M2242" i="116"/>
  <c r="O2242" i="116" s="1"/>
  <c r="M2152" i="116"/>
  <c r="O2152" i="116" s="1"/>
  <c r="M2158" i="116"/>
  <c r="O2158" i="116" s="1"/>
  <c r="M2166" i="116"/>
  <c r="O2166" i="116" s="1"/>
  <c r="M2169" i="116"/>
  <c r="O2169" i="116" s="1"/>
  <c r="M2178" i="116"/>
  <c r="O2178" i="116" s="1"/>
  <c r="M2194" i="116"/>
  <c r="O2194" i="116" s="1"/>
  <c r="M2217" i="116"/>
  <c r="O2217" i="116" s="1"/>
  <c r="M2220" i="116"/>
  <c r="O2220" i="116" s="1"/>
  <c r="M2225" i="116"/>
  <c r="O2225" i="116" s="1"/>
  <c r="M2236" i="116"/>
  <c r="O2236" i="116" s="1"/>
  <c r="M2245" i="116"/>
  <c r="O2245" i="116" s="1"/>
  <c r="M2251" i="116"/>
  <c r="O2251" i="116" s="1"/>
  <c r="M2147" i="116"/>
  <c r="O2147" i="116" s="1"/>
  <c r="M2150" i="116"/>
  <c r="O2150" i="116" s="1"/>
  <c r="M2161" i="116"/>
  <c r="O2161" i="116" s="1"/>
  <c r="M2164" i="116"/>
  <c r="O2164" i="116" s="1"/>
  <c r="M2189" i="116"/>
  <c r="O2189" i="116" s="1"/>
  <c r="M2197" i="116"/>
  <c r="O2197" i="116" s="1"/>
  <c r="M2203" i="116"/>
  <c r="O2203" i="116" s="1"/>
  <c r="M2206" i="116"/>
  <c r="O2206" i="116" s="1"/>
  <c r="M2212" i="116"/>
  <c r="O2212" i="116" s="1"/>
  <c r="M2223" i="116"/>
  <c r="O2223" i="116" s="1"/>
  <c r="M2228" i="116"/>
  <c r="O2228" i="116" s="1"/>
  <c r="M2231" i="116"/>
  <c r="O2231" i="116" s="1"/>
  <c r="M2243" i="116"/>
  <c r="O2243" i="116" s="1"/>
  <c r="M2248" i="116"/>
  <c r="O2248" i="116" s="1"/>
  <c r="M2153" i="116"/>
  <c r="O2153" i="116" s="1"/>
  <c r="M2170" i="116"/>
  <c r="O2170" i="116" s="1"/>
  <c r="M2181" i="116"/>
  <c r="O2181" i="116" s="1"/>
  <c r="M2192" i="116"/>
  <c r="O2192" i="116" s="1"/>
  <c r="M2195" i="116"/>
  <c r="O2195" i="116" s="1"/>
  <c r="M2200" i="116"/>
  <c r="O2200" i="116" s="1"/>
  <c r="M2209" i="116"/>
  <c r="O2209" i="116" s="1"/>
  <c r="M2234" i="116"/>
  <c r="O2234" i="116" s="1"/>
  <c r="M2237" i="116"/>
  <c r="O2237" i="116" s="1"/>
  <c r="M2240" i="116"/>
  <c r="O2240" i="116" s="1"/>
  <c r="M2246" i="116"/>
  <c r="O2246" i="116" s="1"/>
  <c r="O2054" i="116"/>
  <c r="O2096" i="116"/>
  <c r="O2071" i="116"/>
  <c r="N2052" i="116"/>
  <c r="O2052" i="116" s="1"/>
  <c r="N2055" i="116"/>
  <c r="O2055" i="116" s="1"/>
  <c r="N2058" i="116"/>
  <c r="O2058" i="116" s="1"/>
  <c r="M2061" i="116"/>
  <c r="O2061" i="116" s="1"/>
  <c r="M2064" i="116"/>
  <c r="O2064" i="116" s="1"/>
  <c r="M2067" i="116"/>
  <c r="O2067" i="116" s="1"/>
  <c r="N2072" i="116"/>
  <c r="O2072" i="116" s="1"/>
  <c r="N2075" i="116"/>
  <c r="O2075" i="116" s="1"/>
  <c r="M2078" i="116"/>
  <c r="O2078" i="116" s="1"/>
  <c r="N2083" i="116"/>
  <c r="O2083" i="116" s="1"/>
  <c r="N2089" i="116"/>
  <c r="O2089" i="116" s="1"/>
  <c r="M2092" i="116"/>
  <c r="O2092" i="116" s="1"/>
  <c r="M2099" i="116"/>
  <c r="O2099" i="116" s="1"/>
  <c r="M2048" i="116"/>
  <c r="O2048" i="116" s="1"/>
  <c r="M2059" i="116"/>
  <c r="O2059" i="116" s="1"/>
  <c r="M2033" i="116"/>
  <c r="O2033" i="116" s="1"/>
  <c r="N2051" i="116"/>
  <c r="O2051" i="116" s="1"/>
  <c r="M2057" i="116"/>
  <c r="O2057" i="116" s="1"/>
  <c r="M2066" i="116"/>
  <c r="O2066" i="116" s="1"/>
  <c r="N2082" i="116"/>
  <c r="O2082" i="116" s="1"/>
  <c r="M2085" i="116"/>
  <c r="O2085" i="116" s="1"/>
  <c r="M1952" i="116"/>
  <c r="O1952" i="116" s="1"/>
  <c r="M2060" i="116"/>
  <c r="O2060" i="116" s="1"/>
  <c r="M2063" i="116"/>
  <c r="O2063" i="116" s="1"/>
  <c r="M2069" i="116"/>
  <c r="O2069" i="116" s="1"/>
  <c r="M2074" i="116"/>
  <c r="O2074" i="116" s="1"/>
  <c r="M2080" i="116"/>
  <c r="O2080" i="116" s="1"/>
  <c r="M2088" i="116"/>
  <c r="O2088" i="116" s="1"/>
  <c r="M2091" i="116"/>
  <c r="O2091" i="116" s="1"/>
  <c r="M2094" i="116"/>
  <c r="O2094" i="116" s="1"/>
  <c r="N1972" i="116"/>
  <c r="O1972" i="116" s="1"/>
  <c r="M2077" i="116"/>
  <c r="O2077" i="116" s="1"/>
  <c r="M2086" i="116"/>
  <c r="O2086" i="116" s="1"/>
  <c r="M2097" i="116"/>
  <c r="O2097" i="116" s="1"/>
  <c r="M2100" i="116"/>
  <c r="O2100" i="116" s="1"/>
  <c r="N1864" i="116"/>
  <c r="O1864" i="116" s="1"/>
  <c r="M1875" i="116"/>
  <c r="O1875" i="116" s="1"/>
  <c r="M1878" i="116"/>
  <c r="O1878" i="116" s="1"/>
  <c r="M1881" i="116"/>
  <c r="O1881" i="116" s="1"/>
  <c r="N1883" i="116"/>
  <c r="O1883" i="116" s="1"/>
  <c r="M1886" i="116"/>
  <c r="O1886" i="116" s="1"/>
  <c r="N1897" i="116"/>
  <c r="O1897" i="116" s="1"/>
  <c r="N1900" i="116"/>
  <c r="O1900" i="116" s="1"/>
  <c r="M1903" i="116"/>
  <c r="O1903" i="116" s="1"/>
  <c r="N1911" i="116"/>
  <c r="O1911" i="116" s="1"/>
  <c r="M1914" i="116"/>
  <c r="O1914" i="116" s="1"/>
  <c r="M1917" i="116"/>
  <c r="O1917" i="116" s="1"/>
  <c r="M1920" i="116"/>
  <c r="O1920" i="116" s="1"/>
  <c r="N1922" i="116"/>
  <c r="O1922" i="116" s="1"/>
  <c r="N1925" i="116"/>
  <c r="O1925" i="116" s="1"/>
  <c r="N1928" i="116"/>
  <c r="O1928" i="116" s="1"/>
  <c r="M1939" i="116"/>
  <c r="O1939" i="116" s="1"/>
  <c r="M1945" i="116"/>
  <c r="O1945" i="116" s="1"/>
  <c r="N1947" i="116"/>
  <c r="O1947" i="116" s="1"/>
  <c r="M1950" i="116"/>
  <c r="O1950" i="116" s="1"/>
  <c r="M1867" i="116"/>
  <c r="O1867" i="116" s="1"/>
  <c r="M1873" i="116"/>
  <c r="O1873" i="116" s="1"/>
  <c r="M1884" i="116"/>
  <c r="O1884" i="116" s="1"/>
  <c r="N1889" i="116"/>
  <c r="O1889" i="116" s="1"/>
  <c r="M1892" i="116"/>
  <c r="O1892" i="116" s="1"/>
  <c r="M1895" i="116"/>
  <c r="O1895" i="116" s="1"/>
  <c r="M1906" i="116"/>
  <c r="O1906" i="116" s="1"/>
  <c r="M1909" i="116"/>
  <c r="O1909" i="116" s="1"/>
  <c r="M1912" i="116"/>
  <c r="O1912" i="116" s="1"/>
  <c r="M1931" i="116"/>
  <c r="O1931" i="116" s="1"/>
  <c r="M1937" i="116"/>
  <c r="O1937" i="116" s="1"/>
  <c r="M1942" i="116"/>
  <c r="O1942" i="116" s="1"/>
  <c r="M1948" i="116"/>
  <c r="O1948" i="116" s="1"/>
  <c r="M1865" i="116"/>
  <c r="O1865" i="116" s="1"/>
  <c r="M1870" i="116"/>
  <c r="O1870" i="116" s="1"/>
  <c r="M1887" i="116"/>
  <c r="O1887" i="116" s="1"/>
  <c r="M1898" i="116"/>
  <c r="O1898" i="116" s="1"/>
  <c r="M1901" i="116"/>
  <c r="O1901" i="116" s="1"/>
  <c r="M1904" i="116"/>
  <c r="O1904" i="116" s="1"/>
  <c r="M1923" i="116"/>
  <c r="O1923" i="116" s="1"/>
  <c r="M1929" i="116"/>
  <c r="O1929" i="116" s="1"/>
  <c r="M1934" i="116"/>
  <c r="O1934" i="116" s="1"/>
  <c r="M1940" i="116"/>
  <c r="O1940" i="116" s="1"/>
  <c r="M1951" i="116"/>
  <c r="O1951" i="116" s="1"/>
  <c r="M1862" i="116"/>
  <c r="O1862" i="116" s="1"/>
  <c r="M1868" i="116"/>
  <c r="O1868" i="116" s="1"/>
  <c r="M1876" i="116"/>
  <c r="O1876" i="116" s="1"/>
  <c r="M1879" i="116"/>
  <c r="O1879" i="116" s="1"/>
  <c r="M1890" i="116"/>
  <c r="O1890" i="116" s="1"/>
  <c r="M1893" i="116"/>
  <c r="O1893" i="116" s="1"/>
  <c r="M1896" i="116"/>
  <c r="O1896" i="116" s="1"/>
  <c r="M1915" i="116"/>
  <c r="O1915" i="116" s="1"/>
  <c r="M1921" i="116"/>
  <c r="O1921" i="116" s="1"/>
  <c r="M1926" i="116"/>
  <c r="O1926" i="116" s="1"/>
  <c r="M1932" i="116"/>
  <c r="O1932" i="116" s="1"/>
  <c r="M1943" i="116"/>
  <c r="O1943" i="116" s="1"/>
  <c r="M1871" i="116"/>
  <c r="O1871" i="116" s="1"/>
  <c r="M1882" i="116"/>
  <c r="O1882" i="116" s="1"/>
  <c r="M1885" i="116"/>
  <c r="O1885" i="116" s="1"/>
  <c r="M1888" i="116"/>
  <c r="O1888" i="116" s="1"/>
  <c r="M1907" i="116"/>
  <c r="O1907" i="116" s="1"/>
  <c r="M1910" i="116"/>
  <c r="O1910" i="116" s="1"/>
  <c r="M1913" i="116"/>
  <c r="O1913" i="116" s="1"/>
  <c r="M1918" i="116"/>
  <c r="O1918" i="116" s="1"/>
  <c r="M1924" i="116"/>
  <c r="O1924" i="116" s="1"/>
  <c r="M1935" i="116"/>
  <c r="O1935" i="116" s="1"/>
  <c r="M1946" i="116"/>
  <c r="O1946" i="116" s="1"/>
  <c r="M1949" i="116"/>
  <c r="O1949" i="116" s="1"/>
  <c r="M1863" i="116"/>
  <c r="O1863" i="116" s="1"/>
  <c r="M1874" i="116"/>
  <c r="O1874" i="116" s="1"/>
  <c r="M1877" i="116"/>
  <c r="O1877" i="116" s="1"/>
  <c r="M1880" i="116"/>
  <c r="O1880" i="116" s="1"/>
  <c r="M1899" i="116"/>
  <c r="O1899" i="116" s="1"/>
  <c r="M1905" i="116"/>
  <c r="O1905" i="116" s="1"/>
  <c r="M1916" i="116"/>
  <c r="O1916" i="116" s="1"/>
  <c r="M1927" i="116"/>
  <c r="O1927" i="116" s="1"/>
  <c r="M1938" i="116"/>
  <c r="O1938" i="116" s="1"/>
  <c r="M1941" i="116"/>
  <c r="O1941" i="116" s="1"/>
  <c r="M1944" i="116"/>
  <c r="O1944" i="116" s="1"/>
  <c r="M1866" i="116"/>
  <c r="O1866" i="116" s="1"/>
  <c r="M1869" i="116"/>
  <c r="O1869" i="116" s="1"/>
  <c r="M1872" i="116"/>
  <c r="O1872" i="116" s="1"/>
  <c r="M1891" i="116"/>
  <c r="O1891" i="116" s="1"/>
  <c r="M1894" i="116"/>
  <c r="O1894" i="116" s="1"/>
  <c r="M1902" i="116"/>
  <c r="O1902" i="116" s="1"/>
  <c r="M1908" i="116"/>
  <c r="O1908" i="116" s="1"/>
  <c r="M1919" i="116"/>
  <c r="O1919" i="116" s="1"/>
  <c r="M1930" i="116"/>
  <c r="O1930" i="116" s="1"/>
  <c r="M1933" i="116"/>
  <c r="O1933" i="116" s="1"/>
  <c r="M1936" i="116"/>
  <c r="O1936" i="116" s="1"/>
  <c r="O1753" i="116"/>
  <c r="O1758" i="116"/>
  <c r="O1710" i="116"/>
  <c r="O1727" i="116"/>
  <c r="O1775" i="116"/>
  <c r="M1741" i="116"/>
  <c r="O1741" i="116" s="1"/>
  <c r="N1707" i="116"/>
  <c r="O1707" i="116" s="1"/>
  <c r="N1749" i="116"/>
  <c r="O1749" i="116" s="1"/>
  <c r="M1763" i="116"/>
  <c r="O1763" i="116" s="1"/>
  <c r="N1771" i="116"/>
  <c r="O1771" i="116" s="1"/>
  <c r="M1695" i="116"/>
  <c r="O1695" i="116" s="1"/>
  <c r="M1685" i="116"/>
  <c r="O1685" i="116" s="1"/>
  <c r="N1713" i="116"/>
  <c r="O1713" i="116" s="1"/>
  <c r="M1733" i="116"/>
  <c r="O1733" i="116" s="1"/>
  <c r="M1755" i="116"/>
  <c r="O1755" i="116" s="1"/>
  <c r="M1761" i="116"/>
  <c r="O1761" i="116" s="1"/>
  <c r="N1777" i="116"/>
  <c r="O1777" i="116" s="1"/>
  <c r="M1797" i="116"/>
  <c r="O1797" i="116" s="1"/>
  <c r="M1679" i="116"/>
  <c r="O1679" i="116" s="1"/>
  <c r="N1656" i="116"/>
  <c r="O1656" i="116" s="1"/>
  <c r="M1699" i="116"/>
  <c r="O1699" i="116" s="1"/>
  <c r="M1714" i="116"/>
  <c r="O1714" i="116" s="1"/>
  <c r="M1717" i="116"/>
  <c r="O1717" i="116" s="1"/>
  <c r="M1720" i="116"/>
  <c r="O1720" i="116" s="1"/>
  <c r="N1725" i="116"/>
  <c r="O1725" i="116" s="1"/>
  <c r="M1739" i="116"/>
  <c r="O1739" i="116" s="1"/>
  <c r="M1745" i="116"/>
  <c r="O1745" i="116" s="1"/>
  <c r="N1747" i="116"/>
  <c r="O1747" i="116" s="1"/>
  <c r="M1756" i="116"/>
  <c r="O1756" i="116" s="1"/>
  <c r="M1764" i="116"/>
  <c r="O1764" i="116" s="1"/>
  <c r="M1767" i="116"/>
  <c r="O1767" i="116" s="1"/>
  <c r="M1778" i="116"/>
  <c r="O1778" i="116" s="1"/>
  <c r="M1781" i="116"/>
  <c r="O1781" i="116" s="1"/>
  <c r="M1784" i="116"/>
  <c r="O1784" i="116" s="1"/>
  <c r="N1789" i="116"/>
  <c r="O1789" i="116" s="1"/>
  <c r="M1670" i="116"/>
  <c r="O1670" i="116" s="1"/>
  <c r="N1698" i="116"/>
  <c r="O1698" i="116" s="1"/>
  <c r="M1706" i="116"/>
  <c r="O1706" i="116" s="1"/>
  <c r="M1709" i="116"/>
  <c r="O1709" i="116" s="1"/>
  <c r="M1712" i="116"/>
  <c r="O1712" i="116" s="1"/>
  <c r="M1731" i="116"/>
  <c r="O1731" i="116" s="1"/>
  <c r="M1737" i="116"/>
  <c r="O1737" i="116" s="1"/>
  <c r="M1742" i="116"/>
  <c r="O1742" i="116" s="1"/>
  <c r="M1759" i="116"/>
  <c r="O1759" i="116" s="1"/>
  <c r="M1770" i="116"/>
  <c r="O1770" i="116" s="1"/>
  <c r="M1773" i="116"/>
  <c r="O1773" i="116" s="1"/>
  <c r="M1776" i="116"/>
  <c r="O1776" i="116" s="1"/>
  <c r="M1795" i="116"/>
  <c r="O1795" i="116" s="1"/>
  <c r="M1801" i="116"/>
  <c r="O1801" i="116" s="1"/>
  <c r="M1723" i="116"/>
  <c r="O1723" i="116" s="1"/>
  <c r="M1729" i="116"/>
  <c r="O1729" i="116" s="1"/>
  <c r="M1734" i="116"/>
  <c r="O1734" i="116" s="1"/>
  <c r="M1740" i="116"/>
  <c r="O1740" i="116" s="1"/>
  <c r="M1748" i="116"/>
  <c r="O1748" i="116" s="1"/>
  <c r="M1751" i="116"/>
  <c r="O1751" i="116" s="1"/>
  <c r="M1762" i="116"/>
  <c r="O1762" i="116" s="1"/>
  <c r="M1765" i="116"/>
  <c r="O1765" i="116" s="1"/>
  <c r="M1768" i="116"/>
  <c r="O1768" i="116" s="1"/>
  <c r="M1787" i="116"/>
  <c r="O1787" i="116" s="1"/>
  <c r="M1793" i="116"/>
  <c r="O1793" i="116" s="1"/>
  <c r="M1798" i="116"/>
  <c r="O1798" i="116" s="1"/>
  <c r="M1701" i="116"/>
  <c r="O1701" i="116" s="1"/>
  <c r="M1715" i="116"/>
  <c r="O1715" i="116" s="1"/>
  <c r="M1726" i="116"/>
  <c r="O1726" i="116" s="1"/>
  <c r="M1743" i="116"/>
  <c r="O1743" i="116" s="1"/>
  <c r="M1754" i="116"/>
  <c r="O1754" i="116" s="1"/>
  <c r="M1757" i="116"/>
  <c r="O1757" i="116" s="1"/>
  <c r="M1760" i="116"/>
  <c r="O1760" i="116" s="1"/>
  <c r="M1779" i="116"/>
  <c r="O1779" i="116" s="1"/>
  <c r="M1782" i="116"/>
  <c r="O1782" i="116" s="1"/>
  <c r="M1790" i="116"/>
  <c r="O1790" i="116" s="1"/>
  <c r="M1796" i="116"/>
  <c r="O1796" i="116" s="1"/>
  <c r="M1682" i="116"/>
  <c r="O1682" i="116" s="1"/>
  <c r="N1702" i="116"/>
  <c r="O1702" i="116" s="1"/>
  <c r="M1507" i="116"/>
  <c r="O1507" i="116" s="1"/>
  <c r="M1513" i="116"/>
  <c r="O1513" i="116" s="1"/>
  <c r="M1516" i="116"/>
  <c r="O1516" i="116" s="1"/>
  <c r="N1521" i="116"/>
  <c r="O1521" i="116" s="1"/>
  <c r="N1524" i="116"/>
  <c r="O1524" i="116" s="1"/>
  <c r="M1527" i="116"/>
  <c r="O1527" i="116" s="1"/>
  <c r="M1533" i="116"/>
  <c r="O1533" i="116" s="1"/>
  <c r="N1535" i="116"/>
  <c r="O1535" i="116" s="1"/>
  <c r="M1538" i="116"/>
  <c r="O1538" i="116" s="1"/>
  <c r="M1541" i="116"/>
  <c r="O1541" i="116" s="1"/>
  <c r="M1544" i="116"/>
  <c r="O1544" i="116" s="1"/>
  <c r="N1546" i="116"/>
  <c r="O1546" i="116" s="1"/>
  <c r="N1552" i="116"/>
  <c r="O1552" i="116" s="1"/>
  <c r="N1560" i="116"/>
  <c r="O1560" i="116" s="1"/>
  <c r="N1563" i="116"/>
  <c r="O1563" i="116" s="1"/>
  <c r="M1566" i="116"/>
  <c r="O1566" i="116" s="1"/>
  <c r="M1569" i="116"/>
  <c r="O1569" i="116" s="1"/>
  <c r="N1571" i="116"/>
  <c r="O1571" i="116" s="1"/>
  <c r="M1574" i="116"/>
  <c r="O1574" i="116" s="1"/>
  <c r="N1577" i="116"/>
  <c r="O1577" i="116" s="1"/>
  <c r="M1580" i="116"/>
  <c r="O1580" i="116" s="1"/>
  <c r="N1585" i="116"/>
  <c r="O1585" i="116" s="1"/>
  <c r="N1588" i="116"/>
  <c r="O1588" i="116" s="1"/>
  <c r="M1591" i="116"/>
  <c r="O1591" i="116" s="1"/>
  <c r="M1597" i="116"/>
  <c r="O1597" i="116" s="1"/>
  <c r="N1599" i="116"/>
  <c r="O1599" i="116" s="1"/>
  <c r="M1602" i="116"/>
  <c r="O1602" i="116" s="1"/>
  <c r="M1605" i="116"/>
  <c r="O1605" i="116" s="1"/>
  <c r="M1608" i="116"/>
  <c r="O1608" i="116" s="1"/>
  <c r="N1610" i="116"/>
  <c r="O1610" i="116" s="1"/>
  <c r="N1616" i="116"/>
  <c r="O1616" i="116" s="1"/>
  <c r="N1627" i="116"/>
  <c r="O1627" i="116" s="1"/>
  <c r="N1630" i="116"/>
  <c r="O1630" i="116" s="1"/>
  <c r="M1645" i="116"/>
  <c r="O1645" i="116" s="1"/>
  <c r="N1647" i="116"/>
  <c r="O1647" i="116" s="1"/>
  <c r="M1650" i="116"/>
  <c r="O1650" i="116" s="1"/>
  <c r="M1502" i="116"/>
  <c r="O1502" i="116" s="1"/>
  <c r="M1505" i="116"/>
  <c r="O1505" i="116" s="1"/>
  <c r="M1510" i="116"/>
  <c r="O1510" i="116" s="1"/>
  <c r="M1519" i="116"/>
  <c r="O1519" i="116" s="1"/>
  <c r="M1530" i="116"/>
  <c r="O1530" i="116" s="1"/>
  <c r="M1536" i="116"/>
  <c r="O1536" i="116" s="1"/>
  <c r="M1547" i="116"/>
  <c r="O1547" i="116" s="1"/>
  <c r="M1550" i="116"/>
  <c r="O1550" i="116" s="1"/>
  <c r="M1555" i="116"/>
  <c r="O1555" i="116" s="1"/>
  <c r="M1558" i="116"/>
  <c r="O1558" i="116" s="1"/>
  <c r="M1561" i="116"/>
  <c r="O1561" i="116" s="1"/>
  <c r="M1564" i="116"/>
  <c r="O1564" i="116" s="1"/>
  <c r="M1583" i="116"/>
  <c r="O1583" i="116" s="1"/>
  <c r="M1594" i="116"/>
  <c r="O1594" i="116" s="1"/>
  <c r="M1600" i="116"/>
  <c r="O1600" i="116" s="1"/>
  <c r="M1611" i="116"/>
  <c r="O1611" i="116" s="1"/>
  <c r="M1614" i="116"/>
  <c r="O1614" i="116" s="1"/>
  <c r="M1619" i="116"/>
  <c r="O1619" i="116" s="1"/>
  <c r="M1625" i="116"/>
  <c r="O1625" i="116" s="1"/>
  <c r="M1628" i="116"/>
  <c r="O1628" i="116" s="1"/>
  <c r="N1633" i="116"/>
  <c r="O1633" i="116" s="1"/>
  <c r="M1636" i="116"/>
  <c r="O1636" i="116" s="1"/>
  <c r="M1639" i="116"/>
  <c r="O1639" i="116" s="1"/>
  <c r="M1648" i="116"/>
  <c r="O1648" i="116" s="1"/>
  <c r="M1517" i="116"/>
  <c r="O1517" i="116" s="1"/>
  <c r="M1522" i="116"/>
  <c r="O1522" i="116" s="1"/>
  <c r="M1525" i="116"/>
  <c r="O1525" i="116" s="1"/>
  <c r="M1528" i="116"/>
  <c r="O1528" i="116" s="1"/>
  <c r="M1553" i="116"/>
  <c r="O1553" i="116" s="1"/>
  <c r="M1572" i="116"/>
  <c r="O1572" i="116" s="1"/>
  <c r="M1575" i="116"/>
  <c r="O1575" i="116" s="1"/>
  <c r="M1581" i="116"/>
  <c r="O1581" i="116" s="1"/>
  <c r="M1586" i="116"/>
  <c r="O1586" i="116" s="1"/>
  <c r="M1589" i="116"/>
  <c r="O1589" i="116" s="1"/>
  <c r="M1592" i="116"/>
  <c r="O1592" i="116" s="1"/>
  <c r="M1617" i="116"/>
  <c r="O1617" i="116" s="1"/>
  <c r="M1622" i="116"/>
  <c r="O1622" i="116" s="1"/>
  <c r="M1631" i="116"/>
  <c r="O1631" i="116" s="1"/>
  <c r="M1642" i="116"/>
  <c r="O1642" i="116" s="1"/>
  <c r="M1508" i="116"/>
  <c r="O1508" i="116" s="1"/>
  <c r="M1511" i="116"/>
  <c r="O1511" i="116" s="1"/>
  <c r="M1520" i="116"/>
  <c r="O1520" i="116" s="1"/>
  <c r="M1531" i="116"/>
  <c r="O1531" i="116" s="1"/>
  <c r="M1539" i="116"/>
  <c r="O1539" i="116" s="1"/>
  <c r="M1542" i="116"/>
  <c r="O1542" i="116" s="1"/>
  <c r="M1545" i="116"/>
  <c r="O1545" i="116" s="1"/>
  <c r="M1567" i="116"/>
  <c r="O1567" i="116" s="1"/>
  <c r="M1578" i="116"/>
  <c r="O1578" i="116" s="1"/>
  <c r="M1584" i="116"/>
  <c r="O1584" i="116" s="1"/>
  <c r="M1595" i="116"/>
  <c r="O1595" i="116" s="1"/>
  <c r="M1603" i="116"/>
  <c r="O1603" i="116" s="1"/>
  <c r="M1606" i="116"/>
  <c r="O1606" i="116" s="1"/>
  <c r="M1609" i="116"/>
  <c r="O1609" i="116" s="1"/>
  <c r="M1629" i="116"/>
  <c r="O1629" i="116" s="1"/>
  <c r="M1634" i="116"/>
  <c r="O1634" i="116" s="1"/>
  <c r="M1637" i="116"/>
  <c r="O1637" i="116" s="1"/>
  <c r="M1640" i="116"/>
  <c r="O1640" i="116" s="1"/>
  <c r="M1651" i="116"/>
  <c r="O1651" i="116" s="1"/>
  <c r="M1503" i="116"/>
  <c r="O1503" i="116" s="1"/>
  <c r="M1514" i="116"/>
  <c r="O1514" i="116" s="1"/>
  <c r="M1534" i="116"/>
  <c r="O1534" i="116" s="1"/>
  <c r="M1537" i="116"/>
  <c r="O1537" i="116" s="1"/>
  <c r="M1548" i="116"/>
  <c r="O1548" i="116" s="1"/>
  <c r="M1556" i="116"/>
  <c r="O1556" i="116" s="1"/>
  <c r="M1559" i="116"/>
  <c r="O1559" i="116" s="1"/>
  <c r="M1565" i="116"/>
  <c r="O1565" i="116" s="1"/>
  <c r="M1570" i="116"/>
  <c r="O1570" i="116" s="1"/>
  <c r="M1573" i="116"/>
  <c r="O1573" i="116" s="1"/>
  <c r="M1576" i="116"/>
  <c r="O1576" i="116" s="1"/>
  <c r="M1598" i="116"/>
  <c r="O1598" i="116" s="1"/>
  <c r="M1601" i="116"/>
  <c r="O1601" i="116" s="1"/>
  <c r="M1612" i="116"/>
  <c r="O1612" i="116" s="1"/>
  <c r="M1620" i="116"/>
  <c r="O1620" i="116" s="1"/>
  <c r="M1623" i="116"/>
  <c r="O1623" i="116" s="1"/>
  <c r="M1632" i="116"/>
  <c r="O1632" i="116" s="1"/>
  <c r="M1643" i="116"/>
  <c r="O1643" i="116" s="1"/>
  <c r="M1646" i="116"/>
  <c r="O1646" i="116" s="1"/>
  <c r="M1649" i="116"/>
  <c r="O1649" i="116" s="1"/>
  <c r="M1506" i="116"/>
  <c r="O1506" i="116" s="1"/>
  <c r="M1509" i="116"/>
  <c r="O1509" i="116" s="1"/>
  <c r="M1512" i="116"/>
  <c r="O1512" i="116" s="1"/>
  <c r="M1518" i="116"/>
  <c r="O1518" i="116" s="1"/>
  <c r="M1523" i="116"/>
  <c r="O1523" i="116" s="1"/>
  <c r="M1529" i="116"/>
  <c r="O1529" i="116" s="1"/>
  <c r="M1532" i="116"/>
  <c r="O1532" i="116" s="1"/>
  <c r="M1551" i="116"/>
  <c r="O1551" i="116" s="1"/>
  <c r="M1562" i="116"/>
  <c r="O1562" i="116" s="1"/>
  <c r="M1568" i="116"/>
  <c r="O1568" i="116" s="1"/>
  <c r="M1579" i="116"/>
  <c r="O1579" i="116" s="1"/>
  <c r="M1582" i="116"/>
  <c r="O1582" i="116" s="1"/>
  <c r="M1587" i="116"/>
  <c r="O1587" i="116" s="1"/>
  <c r="M1593" i="116"/>
  <c r="O1593" i="116" s="1"/>
  <c r="M1596" i="116"/>
  <c r="O1596" i="116" s="1"/>
  <c r="M1615" i="116"/>
  <c r="O1615" i="116" s="1"/>
  <c r="M1626" i="116"/>
  <c r="O1626" i="116" s="1"/>
  <c r="M1504" i="116"/>
  <c r="O1504" i="116" s="1"/>
  <c r="M1515" i="116"/>
  <c r="O1515" i="116" s="1"/>
  <c r="M1526" i="116"/>
  <c r="O1526" i="116" s="1"/>
  <c r="M1540" i="116"/>
  <c r="O1540" i="116" s="1"/>
  <c r="M1543" i="116"/>
  <c r="O1543" i="116" s="1"/>
  <c r="M1549" i="116"/>
  <c r="O1549" i="116" s="1"/>
  <c r="M1554" i="116"/>
  <c r="O1554" i="116" s="1"/>
  <c r="M1557" i="116"/>
  <c r="O1557" i="116" s="1"/>
  <c r="M1590" i="116"/>
  <c r="O1590" i="116" s="1"/>
  <c r="M1604" i="116"/>
  <c r="O1604" i="116" s="1"/>
  <c r="M1607" i="116"/>
  <c r="O1607" i="116" s="1"/>
  <c r="M1613" i="116"/>
  <c r="O1613" i="116" s="1"/>
  <c r="M1618" i="116"/>
  <c r="O1618" i="116" s="1"/>
  <c r="M1621" i="116"/>
  <c r="O1621" i="116" s="1"/>
  <c r="M1624" i="116"/>
  <c r="O1624" i="116" s="1"/>
  <c r="M1635" i="116"/>
  <c r="O1635" i="116" s="1"/>
  <c r="M1638" i="116"/>
  <c r="O1638" i="116" s="1"/>
  <c r="M1641" i="116"/>
  <c r="O1641" i="116" s="1"/>
  <c r="M1644" i="116"/>
  <c r="O1644" i="116" s="1"/>
  <c r="N1355" i="116"/>
  <c r="O1355" i="116" s="1"/>
  <c r="M1358" i="116"/>
  <c r="O1358" i="116" s="1"/>
  <c r="M1361" i="116"/>
  <c r="O1361" i="116" s="1"/>
  <c r="M1373" i="116"/>
  <c r="O1373" i="116" s="1"/>
  <c r="N1375" i="116"/>
  <c r="O1375" i="116" s="1"/>
  <c r="M1378" i="116"/>
  <c r="O1378" i="116" s="1"/>
  <c r="M1381" i="116"/>
  <c r="O1381" i="116" s="1"/>
  <c r="M1384" i="116"/>
  <c r="O1384" i="116" s="1"/>
  <c r="N1386" i="116"/>
  <c r="O1386" i="116" s="1"/>
  <c r="N1392" i="116"/>
  <c r="O1392" i="116" s="1"/>
  <c r="N1400" i="116"/>
  <c r="O1400" i="116" s="1"/>
  <c r="N1403" i="116"/>
  <c r="O1403" i="116" s="1"/>
  <c r="N1420" i="116"/>
  <c r="O1420" i="116" s="1"/>
  <c r="M1423" i="116"/>
  <c r="O1423" i="116" s="1"/>
  <c r="N1428" i="116"/>
  <c r="O1428" i="116" s="1"/>
  <c r="N1431" i="116"/>
  <c r="O1431" i="116" s="1"/>
  <c r="M1434" i="116"/>
  <c r="O1434" i="116" s="1"/>
  <c r="N1440" i="116"/>
  <c r="O1440" i="116" s="1"/>
  <c r="N1448" i="116"/>
  <c r="O1448" i="116" s="1"/>
  <c r="N1451" i="116"/>
  <c r="O1451" i="116" s="1"/>
  <c r="M1454" i="116"/>
  <c r="O1454" i="116" s="1"/>
  <c r="M1457" i="116"/>
  <c r="O1457" i="116" s="1"/>
  <c r="N1459" i="116"/>
  <c r="O1459" i="116" s="1"/>
  <c r="M1462" i="116"/>
  <c r="O1462" i="116" s="1"/>
  <c r="N1465" i="116"/>
  <c r="O1465" i="116" s="1"/>
  <c r="N1468" i="116"/>
  <c r="O1468" i="116" s="1"/>
  <c r="M1471" i="116"/>
  <c r="O1471" i="116" s="1"/>
  <c r="N1476" i="116"/>
  <c r="O1476" i="116" s="1"/>
  <c r="N1479" i="116"/>
  <c r="O1479" i="116" s="1"/>
  <c r="M1482" i="116"/>
  <c r="O1482" i="116" s="1"/>
  <c r="N1485" i="116"/>
  <c r="O1485" i="116" s="1"/>
  <c r="M1488" i="116"/>
  <c r="O1488" i="116" s="1"/>
  <c r="N1490" i="116"/>
  <c r="O1490" i="116" s="1"/>
  <c r="N1493" i="116"/>
  <c r="O1493" i="116" s="1"/>
  <c r="M1499" i="116"/>
  <c r="O1499" i="116" s="1"/>
  <c r="M1353" i="116"/>
  <c r="O1353" i="116" s="1"/>
  <c r="M1364" i="116"/>
  <c r="O1364" i="116" s="1"/>
  <c r="M1367" i="116"/>
  <c r="O1367" i="116" s="1"/>
  <c r="M1376" i="116"/>
  <c r="O1376" i="116" s="1"/>
  <c r="M1387" i="116"/>
  <c r="O1387" i="116" s="1"/>
  <c r="M1395" i="116"/>
  <c r="O1395" i="116" s="1"/>
  <c r="M1401" i="116"/>
  <c r="O1401" i="116" s="1"/>
  <c r="M1404" i="116"/>
  <c r="O1404" i="116" s="1"/>
  <c r="N1409" i="116"/>
  <c r="O1409" i="116" s="1"/>
  <c r="M1412" i="116"/>
  <c r="O1412" i="116" s="1"/>
  <c r="M1415" i="116"/>
  <c r="O1415" i="116" s="1"/>
  <c r="M1421" i="116"/>
  <c r="O1421" i="116" s="1"/>
  <c r="M1426" i="116"/>
  <c r="O1426" i="116" s="1"/>
  <c r="M1429" i="116"/>
  <c r="O1429" i="116" s="1"/>
  <c r="M1432" i="116"/>
  <c r="O1432" i="116" s="1"/>
  <c r="M1443" i="116"/>
  <c r="O1443" i="116" s="1"/>
  <c r="M1449" i="116"/>
  <c r="O1449" i="116" s="1"/>
  <c r="M1452" i="116"/>
  <c r="O1452" i="116" s="1"/>
  <c r="M1460" i="116"/>
  <c r="O1460" i="116" s="1"/>
  <c r="M1469" i="116"/>
  <c r="O1469" i="116" s="1"/>
  <c r="M1474" i="116"/>
  <c r="O1474" i="116" s="1"/>
  <c r="M1477" i="116"/>
  <c r="O1477" i="116" s="1"/>
  <c r="M1480" i="116"/>
  <c r="O1480" i="116" s="1"/>
  <c r="N1496" i="116"/>
  <c r="O1496" i="116" s="1"/>
  <c r="M1356" i="116"/>
  <c r="O1356" i="116" s="1"/>
  <c r="M1359" i="116"/>
  <c r="O1359" i="116" s="1"/>
  <c r="M1370" i="116"/>
  <c r="O1370" i="116" s="1"/>
  <c r="M1390" i="116"/>
  <c r="O1390" i="116" s="1"/>
  <c r="M1393" i="116"/>
  <c r="O1393" i="116" s="1"/>
  <c r="M1398" i="116"/>
  <c r="O1398" i="116" s="1"/>
  <c r="M1407" i="116"/>
  <c r="O1407" i="116" s="1"/>
  <c r="M1418" i="116"/>
  <c r="O1418" i="116" s="1"/>
  <c r="M1424" i="116"/>
  <c r="O1424" i="116" s="1"/>
  <c r="M1435" i="116"/>
  <c r="O1435" i="116" s="1"/>
  <c r="M1438" i="116"/>
  <c r="O1438" i="116" s="1"/>
  <c r="M1441" i="116"/>
  <c r="O1441" i="116" s="1"/>
  <c r="M1446" i="116"/>
  <c r="O1446" i="116" s="1"/>
  <c r="M1463" i="116"/>
  <c r="O1463" i="116" s="1"/>
  <c r="M1472" i="116"/>
  <c r="O1472" i="116" s="1"/>
  <c r="M1483" i="116"/>
  <c r="O1483" i="116" s="1"/>
  <c r="M1491" i="116"/>
  <c r="O1491" i="116" s="1"/>
  <c r="M1494" i="116"/>
  <c r="O1494" i="116" s="1"/>
  <c r="M1497" i="116"/>
  <c r="O1497" i="116" s="1"/>
  <c r="M1362" i="116"/>
  <c r="O1362" i="116" s="1"/>
  <c r="M1365" i="116"/>
  <c r="O1365" i="116" s="1"/>
  <c r="M1368" i="116"/>
  <c r="O1368" i="116" s="1"/>
  <c r="M1379" i="116"/>
  <c r="O1379" i="116" s="1"/>
  <c r="M1382" i="116"/>
  <c r="O1382" i="116" s="1"/>
  <c r="M1385" i="116"/>
  <c r="O1385" i="116" s="1"/>
  <c r="M1388" i="116"/>
  <c r="O1388" i="116" s="1"/>
  <c r="M1396" i="116"/>
  <c r="O1396" i="116" s="1"/>
  <c r="M1405" i="116"/>
  <c r="O1405" i="116" s="1"/>
  <c r="M1410" i="116"/>
  <c r="O1410" i="116" s="1"/>
  <c r="M1413" i="116"/>
  <c r="O1413" i="116" s="1"/>
  <c r="M1416" i="116"/>
  <c r="O1416" i="116" s="1"/>
  <c r="M1455" i="116"/>
  <c r="O1455" i="116" s="1"/>
  <c r="M1466" i="116"/>
  <c r="O1466" i="116" s="1"/>
  <c r="M1486" i="116"/>
  <c r="O1486" i="116" s="1"/>
  <c r="M1489" i="116"/>
  <c r="O1489" i="116" s="1"/>
  <c r="M1500" i="116"/>
  <c r="O1500" i="116" s="1"/>
  <c r="M1354" i="116"/>
  <c r="O1354" i="116" s="1"/>
  <c r="M1357" i="116"/>
  <c r="O1357" i="116" s="1"/>
  <c r="M1360" i="116"/>
  <c r="O1360" i="116" s="1"/>
  <c r="M1371" i="116"/>
  <c r="O1371" i="116" s="1"/>
  <c r="M1374" i="116"/>
  <c r="O1374" i="116" s="1"/>
  <c r="M1377" i="116"/>
  <c r="O1377" i="116" s="1"/>
  <c r="M1399" i="116"/>
  <c r="O1399" i="116" s="1"/>
  <c r="M1408" i="116"/>
  <c r="O1408" i="116" s="1"/>
  <c r="M1419" i="116"/>
  <c r="O1419" i="116" s="1"/>
  <c r="M1427" i="116"/>
  <c r="O1427" i="116" s="1"/>
  <c r="M1430" i="116"/>
  <c r="O1430" i="116" s="1"/>
  <c r="M1433" i="116"/>
  <c r="O1433" i="116" s="1"/>
  <c r="M1436" i="116"/>
  <c r="O1436" i="116" s="1"/>
  <c r="M1444" i="116"/>
  <c r="O1444" i="116" s="1"/>
  <c r="M1447" i="116"/>
  <c r="O1447" i="116" s="1"/>
  <c r="M1453" i="116"/>
  <c r="O1453" i="116" s="1"/>
  <c r="M1458" i="116"/>
  <c r="O1458" i="116" s="1"/>
  <c r="M1461" i="116"/>
  <c r="O1461" i="116" s="1"/>
  <c r="M1464" i="116"/>
  <c r="O1464" i="116" s="1"/>
  <c r="M1470" i="116"/>
  <c r="O1470" i="116" s="1"/>
  <c r="M1475" i="116"/>
  <c r="O1475" i="116" s="1"/>
  <c r="M1478" i="116"/>
  <c r="O1478" i="116" s="1"/>
  <c r="M1481" i="116"/>
  <c r="O1481" i="116" s="1"/>
  <c r="M1492" i="116"/>
  <c r="O1492" i="116" s="1"/>
  <c r="M1352" i="116"/>
  <c r="O1352" i="116" s="1"/>
  <c r="M1391" i="116"/>
  <c r="O1391" i="116" s="1"/>
  <c r="M1402" i="116"/>
  <c r="O1402" i="116" s="1"/>
  <c r="M1422" i="116"/>
  <c r="O1422" i="116" s="1"/>
  <c r="M1425" i="116"/>
  <c r="O1425" i="116" s="1"/>
  <c r="M1439" i="116"/>
  <c r="O1439" i="116" s="1"/>
  <c r="M1450" i="116"/>
  <c r="O1450" i="116" s="1"/>
  <c r="M1456" i="116"/>
  <c r="O1456" i="116" s="1"/>
  <c r="M1467" i="116"/>
  <c r="O1467" i="116" s="1"/>
  <c r="M1473" i="116"/>
  <c r="O1473" i="116" s="1"/>
  <c r="M1484" i="116"/>
  <c r="O1484" i="116" s="1"/>
  <c r="M1495" i="116"/>
  <c r="O1495" i="116" s="1"/>
  <c r="M1501" i="116"/>
  <c r="O1501" i="116" s="1"/>
  <c r="M1363" i="116"/>
  <c r="O1363" i="116" s="1"/>
  <c r="M1366" i="116"/>
  <c r="O1366" i="116" s="1"/>
  <c r="M1369" i="116"/>
  <c r="O1369" i="116" s="1"/>
  <c r="M1372" i="116"/>
  <c r="O1372" i="116" s="1"/>
  <c r="M1380" i="116"/>
  <c r="O1380" i="116" s="1"/>
  <c r="M1383" i="116"/>
  <c r="O1383" i="116" s="1"/>
  <c r="M1389" i="116"/>
  <c r="O1389" i="116" s="1"/>
  <c r="M1394" i="116"/>
  <c r="O1394" i="116" s="1"/>
  <c r="M1397" i="116"/>
  <c r="O1397" i="116" s="1"/>
  <c r="M1406" i="116"/>
  <c r="O1406" i="116" s="1"/>
  <c r="M1411" i="116"/>
  <c r="O1411" i="116" s="1"/>
  <c r="M1414" i="116"/>
  <c r="O1414" i="116" s="1"/>
  <c r="M1417" i="116"/>
  <c r="O1417" i="116" s="1"/>
  <c r="M1437" i="116"/>
  <c r="O1437" i="116" s="1"/>
  <c r="M1442" i="116"/>
  <c r="O1442" i="116" s="1"/>
  <c r="M1445" i="116"/>
  <c r="O1445" i="116" s="1"/>
  <c r="M1487" i="116"/>
  <c r="O1487" i="116" s="1"/>
  <c r="M1498" i="116"/>
  <c r="O1498" i="116" s="1"/>
  <c r="O1211" i="116"/>
  <c r="N1249" i="116"/>
  <c r="O1249" i="116" s="1"/>
  <c r="M1253" i="116"/>
  <c r="O1253" i="116" s="1"/>
  <c r="N1255" i="116"/>
  <c r="O1255" i="116" s="1"/>
  <c r="M1258" i="116"/>
  <c r="O1258" i="116" s="1"/>
  <c r="M1261" i="116"/>
  <c r="O1261" i="116" s="1"/>
  <c r="M1264" i="116"/>
  <c r="O1264" i="116" s="1"/>
  <c r="N1266" i="116"/>
  <c r="O1266" i="116" s="1"/>
  <c r="M1269" i="116"/>
  <c r="O1269" i="116" s="1"/>
  <c r="M1272" i="116"/>
  <c r="O1272" i="116" s="1"/>
  <c r="M1275" i="116"/>
  <c r="O1275" i="116" s="1"/>
  <c r="N1277" i="116"/>
  <c r="O1277" i="116" s="1"/>
  <c r="N1285" i="116"/>
  <c r="O1285" i="116" s="1"/>
  <c r="M1291" i="116"/>
  <c r="O1291" i="116" s="1"/>
  <c r="N1302" i="116"/>
  <c r="O1302" i="116" s="1"/>
  <c r="M1305" i="116"/>
  <c r="O1305" i="116" s="1"/>
  <c r="M1308" i="116"/>
  <c r="O1308" i="116" s="1"/>
  <c r="M1311" i="116"/>
  <c r="O1311" i="116" s="1"/>
  <c r="M1317" i="116"/>
  <c r="O1317" i="116" s="1"/>
  <c r="N1319" i="116"/>
  <c r="O1319" i="116" s="1"/>
  <c r="N1322" i="116"/>
  <c r="O1322" i="116" s="1"/>
  <c r="N1328" i="116"/>
  <c r="O1328" i="116" s="1"/>
  <c r="M1331" i="116"/>
  <c r="O1331" i="116" s="1"/>
  <c r="N1333" i="116"/>
  <c r="O1333" i="116" s="1"/>
  <c r="N1336" i="116"/>
  <c r="O1336" i="116" s="1"/>
  <c r="M1339" i="116"/>
  <c r="O1339" i="116" s="1"/>
  <c r="N1344" i="116"/>
  <c r="O1344" i="116" s="1"/>
  <c r="M1347" i="116"/>
  <c r="O1347" i="116" s="1"/>
  <c r="M1244" i="116"/>
  <c r="O1244" i="116" s="1"/>
  <c r="M1247" i="116"/>
  <c r="O1247" i="116" s="1"/>
  <c r="M1250" i="116"/>
  <c r="O1250" i="116" s="1"/>
  <c r="M1256" i="116"/>
  <c r="O1256" i="116" s="1"/>
  <c r="M1267" i="116"/>
  <c r="O1267" i="116" s="1"/>
  <c r="M1278" i="116"/>
  <c r="O1278" i="116" s="1"/>
  <c r="N1280" i="116"/>
  <c r="O1280" i="116" s="1"/>
  <c r="M1283" i="116"/>
  <c r="O1283" i="116" s="1"/>
  <c r="M1286" i="116"/>
  <c r="O1286" i="116" s="1"/>
  <c r="N1288" i="116"/>
  <c r="O1288" i="116" s="1"/>
  <c r="M1294" i="116"/>
  <c r="O1294" i="116" s="1"/>
  <c r="M1297" i="116"/>
  <c r="O1297" i="116" s="1"/>
  <c r="M1300" i="116"/>
  <c r="O1300" i="116" s="1"/>
  <c r="M1303" i="116"/>
  <c r="O1303" i="116" s="1"/>
  <c r="M1314" i="116"/>
  <c r="O1314" i="116" s="1"/>
  <c r="M1320" i="116"/>
  <c r="O1320" i="116" s="1"/>
  <c r="M1323" i="116"/>
  <c r="O1323" i="116" s="1"/>
  <c r="M1326" i="116"/>
  <c r="O1326" i="116" s="1"/>
  <c r="M1342" i="116"/>
  <c r="O1342" i="116" s="1"/>
  <c r="M1345" i="116"/>
  <c r="O1345" i="116" s="1"/>
  <c r="M1350" i="116"/>
  <c r="O1350" i="116" s="1"/>
  <c r="M1259" i="116"/>
  <c r="O1259" i="116" s="1"/>
  <c r="M1270" i="116"/>
  <c r="O1270" i="116" s="1"/>
  <c r="M1281" i="116"/>
  <c r="O1281" i="116" s="1"/>
  <c r="M1289" i="116"/>
  <c r="O1289" i="116" s="1"/>
  <c r="M1292" i="116"/>
  <c r="O1292" i="116" s="1"/>
  <c r="M1306" i="116"/>
  <c r="O1306" i="116" s="1"/>
  <c r="M1329" i="116"/>
  <c r="O1329" i="116" s="1"/>
  <c r="M1334" i="116"/>
  <c r="O1334" i="116" s="1"/>
  <c r="M1348" i="116"/>
  <c r="O1348" i="116" s="1"/>
  <c r="M1245" i="116"/>
  <c r="O1245" i="116" s="1"/>
  <c r="M1254" i="116"/>
  <c r="O1254" i="116" s="1"/>
  <c r="M1262" i="116"/>
  <c r="O1262" i="116" s="1"/>
  <c r="M1265" i="116"/>
  <c r="O1265" i="116" s="1"/>
  <c r="M1273" i="116"/>
  <c r="O1273" i="116" s="1"/>
  <c r="M1276" i="116"/>
  <c r="O1276" i="116" s="1"/>
  <c r="M1284" i="116"/>
  <c r="O1284" i="116" s="1"/>
  <c r="M1295" i="116"/>
  <c r="O1295" i="116" s="1"/>
  <c r="M1309" i="116"/>
  <c r="O1309" i="116" s="1"/>
  <c r="M1312" i="116"/>
  <c r="O1312" i="116" s="1"/>
  <c r="M1318" i="116"/>
  <c r="O1318" i="116" s="1"/>
  <c r="M1332" i="116"/>
  <c r="O1332" i="116" s="1"/>
  <c r="M1337" i="116"/>
  <c r="O1337" i="116" s="1"/>
  <c r="M1351" i="116"/>
  <c r="O1351" i="116" s="1"/>
  <c r="M1248" i="116"/>
  <c r="O1248" i="116" s="1"/>
  <c r="M1251" i="116"/>
  <c r="O1251" i="116" s="1"/>
  <c r="M1257" i="116"/>
  <c r="O1257" i="116" s="1"/>
  <c r="M1268" i="116"/>
  <c r="O1268" i="116" s="1"/>
  <c r="M1279" i="116"/>
  <c r="O1279" i="116" s="1"/>
  <c r="M1298" i="116"/>
  <c r="O1298" i="116" s="1"/>
  <c r="M1304" i="116"/>
  <c r="O1304" i="116" s="1"/>
  <c r="M1307" i="116"/>
  <c r="O1307" i="116" s="1"/>
  <c r="M1315" i="116"/>
  <c r="O1315" i="116" s="1"/>
  <c r="M1324" i="116"/>
  <c r="O1324" i="116" s="1"/>
  <c r="M1340" i="116"/>
  <c r="O1340" i="116" s="1"/>
  <c r="M1343" i="116"/>
  <c r="O1343" i="116" s="1"/>
  <c r="M1260" i="116"/>
  <c r="O1260" i="116" s="1"/>
  <c r="M1287" i="116"/>
  <c r="O1287" i="116" s="1"/>
  <c r="M1290" i="116"/>
  <c r="O1290" i="116" s="1"/>
  <c r="M1293" i="116"/>
  <c r="O1293" i="116" s="1"/>
  <c r="M1296" i="116"/>
  <c r="O1296" i="116" s="1"/>
  <c r="M1301" i="116"/>
  <c r="O1301" i="116" s="1"/>
  <c r="M1310" i="116"/>
  <c r="O1310" i="116" s="1"/>
  <c r="M1321" i="116"/>
  <c r="O1321" i="116" s="1"/>
  <c r="M1327" i="116"/>
  <c r="O1327" i="116" s="1"/>
  <c r="M1335" i="116"/>
  <c r="O1335" i="116" s="1"/>
  <c r="M1346" i="116"/>
  <c r="O1346" i="116" s="1"/>
  <c r="M1349" i="116"/>
  <c r="O1349" i="116" s="1"/>
  <c r="M1246" i="116"/>
  <c r="O1246" i="116" s="1"/>
  <c r="M1252" i="116"/>
  <c r="O1252" i="116" s="1"/>
  <c r="M1263" i="116"/>
  <c r="O1263" i="116" s="1"/>
  <c r="M1271" i="116"/>
  <c r="O1271" i="116" s="1"/>
  <c r="M1274" i="116"/>
  <c r="O1274" i="116" s="1"/>
  <c r="M1282" i="116"/>
  <c r="O1282" i="116" s="1"/>
  <c r="M1299" i="116"/>
  <c r="O1299" i="116" s="1"/>
  <c r="M1313" i="116"/>
  <c r="O1313" i="116" s="1"/>
  <c r="M1316" i="116"/>
  <c r="O1316" i="116" s="1"/>
  <c r="M1325" i="116"/>
  <c r="O1325" i="116" s="1"/>
  <c r="M1330" i="116"/>
  <c r="O1330" i="116" s="1"/>
  <c r="M1338" i="116"/>
  <c r="O1338" i="116" s="1"/>
  <c r="M1341" i="116"/>
  <c r="O1341" i="116" s="1"/>
  <c r="M1136" i="116"/>
  <c r="O1136" i="116" s="1"/>
  <c r="N1138" i="116"/>
  <c r="O1138" i="116" s="1"/>
  <c r="N1141" i="116"/>
  <c r="O1141" i="116" s="1"/>
  <c r="N1144" i="116"/>
  <c r="O1144" i="116" s="1"/>
  <c r="M1147" i="116"/>
  <c r="O1147" i="116" s="1"/>
  <c r="N1155" i="116"/>
  <c r="O1155" i="116" s="1"/>
  <c r="M1158" i="116"/>
  <c r="O1158" i="116" s="1"/>
  <c r="N1161" i="116"/>
  <c r="O1161" i="116" s="1"/>
  <c r="M1164" i="116"/>
  <c r="O1164" i="116" s="1"/>
  <c r="N1166" i="116"/>
  <c r="O1166" i="116" s="1"/>
  <c r="N1169" i="116"/>
  <c r="O1169" i="116" s="1"/>
  <c r="N1172" i="116"/>
  <c r="O1172" i="116" s="1"/>
  <c r="M1175" i="116"/>
  <c r="O1175" i="116" s="1"/>
  <c r="M1178" i="116"/>
  <c r="O1178" i="116" s="1"/>
  <c r="M1183" i="116"/>
  <c r="O1183" i="116" s="1"/>
  <c r="M1189" i="116"/>
  <c r="O1189" i="116" s="1"/>
  <c r="N1191" i="116"/>
  <c r="O1191" i="116" s="1"/>
  <c r="N1194" i="116"/>
  <c r="O1194" i="116" s="1"/>
  <c r="M1197" i="116"/>
  <c r="O1197" i="116" s="1"/>
  <c r="N1199" i="116"/>
  <c r="O1199" i="116" s="1"/>
  <c r="N1133" i="116"/>
  <c r="O1133" i="116" s="1"/>
  <c r="M1139" i="116"/>
  <c r="O1139" i="116" s="1"/>
  <c r="M1145" i="116"/>
  <c r="O1145" i="116" s="1"/>
  <c r="M1150" i="116"/>
  <c r="O1150" i="116" s="1"/>
  <c r="M1153" i="116"/>
  <c r="O1153" i="116" s="1"/>
  <c r="M1156" i="116"/>
  <c r="O1156" i="116" s="1"/>
  <c r="M1181" i="116"/>
  <c r="O1181" i="116" s="1"/>
  <c r="M1186" i="116"/>
  <c r="O1186" i="116" s="1"/>
  <c r="M1200" i="116"/>
  <c r="O1200" i="116" s="1"/>
  <c r="M1131" i="116"/>
  <c r="O1131" i="116" s="1"/>
  <c r="M1142" i="116"/>
  <c r="O1142" i="116" s="1"/>
  <c r="M1148" i="116"/>
  <c r="O1148" i="116" s="1"/>
  <c r="M1159" i="116"/>
  <c r="O1159" i="116" s="1"/>
  <c r="M1162" i="116"/>
  <c r="O1162" i="116" s="1"/>
  <c r="M1167" i="116"/>
  <c r="O1167" i="116" s="1"/>
  <c r="M1173" i="116"/>
  <c r="O1173" i="116" s="1"/>
  <c r="M1184" i="116"/>
  <c r="O1184" i="116" s="1"/>
  <c r="M1192" i="116"/>
  <c r="O1192" i="116" s="1"/>
  <c r="M1129" i="116"/>
  <c r="O1129" i="116" s="1"/>
  <c r="M1134" i="116"/>
  <c r="O1134" i="116" s="1"/>
  <c r="M1137" i="116"/>
  <c r="O1137" i="116" s="1"/>
  <c r="M1140" i="116"/>
  <c r="O1140" i="116" s="1"/>
  <c r="M1165" i="116"/>
  <c r="O1165" i="116" s="1"/>
  <c r="M1170" i="116"/>
  <c r="O1170" i="116" s="1"/>
  <c r="M1176" i="116"/>
  <c r="O1176" i="116" s="1"/>
  <c r="M1187" i="116"/>
  <c r="O1187" i="116" s="1"/>
  <c r="M1195" i="116"/>
  <c r="O1195" i="116" s="1"/>
  <c r="M1132" i="116"/>
  <c r="O1132" i="116" s="1"/>
  <c r="M1143" i="116"/>
  <c r="O1143" i="116" s="1"/>
  <c r="M1146" i="116"/>
  <c r="O1146" i="116" s="1"/>
  <c r="M1151" i="116"/>
  <c r="O1151" i="116" s="1"/>
  <c r="M1157" i="116"/>
  <c r="O1157" i="116" s="1"/>
  <c r="M1168" i="116"/>
  <c r="O1168" i="116" s="1"/>
  <c r="M1179" i="116"/>
  <c r="O1179" i="116" s="1"/>
  <c r="M1190" i="116"/>
  <c r="O1190" i="116" s="1"/>
  <c r="M1193" i="116"/>
  <c r="O1193" i="116" s="1"/>
  <c r="M1198" i="116"/>
  <c r="O1198" i="116" s="1"/>
  <c r="M1201" i="116"/>
  <c r="O1201" i="116" s="1"/>
  <c r="M1149" i="116"/>
  <c r="O1149" i="116" s="1"/>
  <c r="M1154" i="116"/>
  <c r="O1154" i="116" s="1"/>
  <c r="M1160" i="116"/>
  <c r="O1160" i="116" s="1"/>
  <c r="M1171" i="116"/>
  <c r="O1171" i="116" s="1"/>
  <c r="M1177" i="116"/>
  <c r="O1177" i="116" s="1"/>
  <c r="M1182" i="116"/>
  <c r="O1182" i="116" s="1"/>
  <c r="M1185" i="116"/>
  <c r="O1185" i="116" s="1"/>
  <c r="M1188" i="116"/>
  <c r="O1188" i="116" s="1"/>
  <c r="M1196" i="116"/>
  <c r="O1196" i="116" s="1"/>
  <c r="M1130" i="116"/>
  <c r="O1130" i="116" s="1"/>
  <c r="M1135" i="116"/>
  <c r="O1135" i="116" s="1"/>
  <c r="M1152" i="116"/>
  <c r="O1152" i="116" s="1"/>
  <c r="M1163" i="116"/>
  <c r="O1163" i="116" s="1"/>
  <c r="M1174" i="116"/>
  <c r="O1174" i="116" s="1"/>
  <c r="M1180" i="116"/>
  <c r="O1180" i="116" s="1"/>
  <c r="O982" i="116"/>
  <c r="O1039" i="116"/>
  <c r="O1047" i="116"/>
  <c r="O1001" i="116"/>
  <c r="O1020" i="116"/>
  <c r="O1028" i="116"/>
  <c r="O974" i="116"/>
  <c r="M1009" i="116"/>
  <c r="O1009" i="116" s="1"/>
  <c r="N1017" i="116"/>
  <c r="O1017" i="116" s="1"/>
  <c r="N1025" i="116"/>
  <c r="O1025" i="116" s="1"/>
  <c r="M966" i="116"/>
  <c r="O966" i="116" s="1"/>
  <c r="N979" i="116"/>
  <c r="O979" i="116" s="1"/>
  <c r="M985" i="116"/>
  <c r="O985" i="116" s="1"/>
  <c r="M993" i="116"/>
  <c r="O993" i="116" s="1"/>
  <c r="N998" i="116"/>
  <c r="O998" i="116" s="1"/>
  <c r="M1004" i="116"/>
  <c r="O1004" i="116" s="1"/>
  <c r="M1012" i="116"/>
  <c r="O1012" i="116" s="1"/>
  <c r="M1023" i="116"/>
  <c r="O1023" i="116" s="1"/>
  <c r="M1031" i="116"/>
  <c r="O1031" i="116" s="1"/>
  <c r="M1034" i="116"/>
  <c r="O1034" i="116" s="1"/>
  <c r="M1037" i="116"/>
  <c r="O1037" i="116" s="1"/>
  <c r="M1042" i="116"/>
  <c r="O1042" i="116" s="1"/>
  <c r="M1045" i="116"/>
  <c r="O1045" i="116" s="1"/>
  <c r="M1050" i="116"/>
  <c r="O1050" i="116" s="1"/>
  <c r="M917" i="116"/>
  <c r="O917" i="116" s="1"/>
  <c r="M969" i="116"/>
  <c r="O969" i="116" s="1"/>
  <c r="M977" i="116"/>
  <c r="O977" i="116" s="1"/>
  <c r="M988" i="116"/>
  <c r="O988" i="116" s="1"/>
  <c r="M996" i="116"/>
  <c r="O996" i="116" s="1"/>
  <c r="M1007" i="116"/>
  <c r="O1007" i="116" s="1"/>
  <c r="M1015" i="116"/>
  <c r="O1015" i="116" s="1"/>
  <c r="M1018" i="116"/>
  <c r="O1018" i="116" s="1"/>
  <c r="M1021" i="116"/>
  <c r="O1021" i="116" s="1"/>
  <c r="M1026" i="116"/>
  <c r="O1026" i="116" s="1"/>
  <c r="M1029" i="116"/>
  <c r="O1029" i="116" s="1"/>
  <c r="M1040" i="116"/>
  <c r="O1040" i="116" s="1"/>
  <c r="M1048" i="116"/>
  <c r="O1048" i="116" s="1"/>
  <c r="M903" i="116"/>
  <c r="O903" i="116" s="1"/>
  <c r="M949" i="116"/>
  <c r="O949" i="116" s="1"/>
  <c r="M972" i="116"/>
  <c r="O972" i="116" s="1"/>
  <c r="M980" i="116"/>
  <c r="O980" i="116" s="1"/>
  <c r="M991" i="116"/>
  <c r="O991" i="116" s="1"/>
  <c r="M999" i="116"/>
  <c r="O999" i="116" s="1"/>
  <c r="M1002" i="116"/>
  <c r="O1002" i="116" s="1"/>
  <c r="M1005" i="116"/>
  <c r="O1005" i="116" s="1"/>
  <c r="M1010" i="116"/>
  <c r="O1010" i="116" s="1"/>
  <c r="M1013" i="116"/>
  <c r="O1013" i="116" s="1"/>
  <c r="M1024" i="116"/>
  <c r="O1024" i="116" s="1"/>
  <c r="M1032" i="116"/>
  <c r="O1032" i="116" s="1"/>
  <c r="M1035" i="116"/>
  <c r="O1035" i="116" s="1"/>
  <c r="M1043" i="116"/>
  <c r="O1043" i="116" s="1"/>
  <c r="M1051" i="116"/>
  <c r="O1051" i="116" s="1"/>
  <c r="M975" i="116"/>
  <c r="O975" i="116" s="1"/>
  <c r="M983" i="116"/>
  <c r="O983" i="116" s="1"/>
  <c r="M986" i="116"/>
  <c r="O986" i="116" s="1"/>
  <c r="M989" i="116"/>
  <c r="O989" i="116" s="1"/>
  <c r="M994" i="116"/>
  <c r="O994" i="116" s="1"/>
  <c r="M997" i="116"/>
  <c r="O997" i="116" s="1"/>
  <c r="M1008" i="116"/>
  <c r="O1008" i="116" s="1"/>
  <c r="M1016" i="116"/>
  <c r="O1016" i="116" s="1"/>
  <c r="M1019" i="116"/>
  <c r="O1019" i="116" s="1"/>
  <c r="M1027" i="116"/>
  <c r="O1027" i="116" s="1"/>
  <c r="M1038" i="116"/>
  <c r="O1038" i="116" s="1"/>
  <c r="M1046" i="116"/>
  <c r="O1046" i="116" s="1"/>
  <c r="N935" i="116"/>
  <c r="O935" i="116" s="1"/>
  <c r="M967" i="116"/>
  <c r="O967" i="116" s="1"/>
  <c r="M970" i="116"/>
  <c r="O970" i="116" s="1"/>
  <c r="M973" i="116"/>
  <c r="O973" i="116" s="1"/>
  <c r="M978" i="116"/>
  <c r="O978" i="116" s="1"/>
  <c r="M981" i="116"/>
  <c r="O981" i="116" s="1"/>
  <c r="M992" i="116"/>
  <c r="O992" i="116" s="1"/>
  <c r="M1000" i="116"/>
  <c r="O1000" i="116" s="1"/>
  <c r="M1003" i="116"/>
  <c r="O1003" i="116" s="1"/>
  <c r="M1011" i="116"/>
  <c r="O1011" i="116" s="1"/>
  <c r="M1022" i="116"/>
  <c r="O1022" i="116" s="1"/>
  <c r="M1030" i="116"/>
  <c r="O1030" i="116" s="1"/>
  <c r="M1049" i="116"/>
  <c r="O1049" i="116" s="1"/>
  <c r="M910" i="116"/>
  <c r="O910" i="116" s="1"/>
  <c r="M924" i="116"/>
  <c r="O924" i="116" s="1"/>
  <c r="M976" i="116"/>
  <c r="O976" i="116" s="1"/>
  <c r="M984" i="116"/>
  <c r="O984" i="116" s="1"/>
  <c r="M987" i="116"/>
  <c r="O987" i="116" s="1"/>
  <c r="M1006" i="116"/>
  <c r="O1006" i="116" s="1"/>
  <c r="M1033" i="116"/>
  <c r="O1033" i="116" s="1"/>
  <c r="M1041" i="116"/>
  <c r="O1041" i="116" s="1"/>
  <c r="O831" i="116"/>
  <c r="O839" i="116"/>
  <c r="O845" i="116"/>
  <c r="M830" i="116"/>
  <c r="O830" i="116" s="1"/>
  <c r="N835" i="116"/>
  <c r="O835" i="116" s="1"/>
  <c r="M841" i="116"/>
  <c r="O841" i="116" s="1"/>
  <c r="N846" i="116"/>
  <c r="O846" i="116" s="1"/>
  <c r="M849" i="116"/>
  <c r="O849" i="116" s="1"/>
  <c r="N854" i="116"/>
  <c r="O854" i="116" s="1"/>
  <c r="M857" i="116"/>
  <c r="O857" i="116" s="1"/>
  <c r="N862" i="116"/>
  <c r="O862" i="116" s="1"/>
  <c r="M865" i="116"/>
  <c r="O865" i="116" s="1"/>
  <c r="N870" i="116"/>
  <c r="O870" i="116" s="1"/>
  <c r="N873" i="116"/>
  <c r="O873" i="116" s="1"/>
  <c r="M876" i="116"/>
  <c r="O876" i="116" s="1"/>
  <c r="N881" i="116"/>
  <c r="O881" i="116" s="1"/>
  <c r="M884" i="116"/>
  <c r="O884" i="116" s="1"/>
  <c r="N889" i="116"/>
  <c r="O889" i="116" s="1"/>
  <c r="M892" i="116"/>
  <c r="O892" i="116" s="1"/>
  <c r="N897" i="116"/>
  <c r="O897" i="116" s="1"/>
  <c r="M900" i="116"/>
  <c r="O900" i="116" s="1"/>
  <c r="M833" i="116"/>
  <c r="O833" i="116" s="1"/>
  <c r="N838" i="116"/>
  <c r="O838" i="116" s="1"/>
  <c r="M844" i="116"/>
  <c r="O844" i="116" s="1"/>
  <c r="M852" i="116"/>
  <c r="O852" i="116" s="1"/>
  <c r="M860" i="116"/>
  <c r="O860" i="116" s="1"/>
  <c r="M868" i="116"/>
  <c r="O868" i="116" s="1"/>
  <c r="M879" i="116"/>
  <c r="O879" i="116" s="1"/>
  <c r="M887" i="116"/>
  <c r="O887" i="116" s="1"/>
  <c r="M895" i="116"/>
  <c r="O895" i="116" s="1"/>
  <c r="M863" i="116"/>
  <c r="O863" i="116" s="1"/>
  <c r="M871" i="116"/>
  <c r="O871" i="116" s="1"/>
  <c r="M874" i="116"/>
  <c r="O874" i="116" s="1"/>
  <c r="M877" i="116"/>
  <c r="O877" i="116" s="1"/>
  <c r="M882" i="116"/>
  <c r="O882" i="116" s="1"/>
  <c r="M885" i="116"/>
  <c r="O885" i="116" s="1"/>
  <c r="M890" i="116"/>
  <c r="O890" i="116" s="1"/>
  <c r="M893" i="116"/>
  <c r="O893" i="116" s="1"/>
  <c r="M898" i="116"/>
  <c r="O898" i="116" s="1"/>
  <c r="M901" i="116"/>
  <c r="O901" i="116" s="1"/>
  <c r="M842" i="116"/>
  <c r="O842" i="116" s="1"/>
  <c r="M850" i="116"/>
  <c r="O850" i="116" s="1"/>
  <c r="M853" i="116"/>
  <c r="O853" i="116" s="1"/>
  <c r="M858" i="116"/>
  <c r="O858" i="116" s="1"/>
  <c r="M861" i="116"/>
  <c r="O861" i="116" s="1"/>
  <c r="M866" i="116"/>
  <c r="O866" i="116" s="1"/>
  <c r="M869" i="116"/>
  <c r="O869" i="116" s="1"/>
  <c r="M880" i="116"/>
  <c r="O880" i="116" s="1"/>
  <c r="M888" i="116"/>
  <c r="O888" i="116" s="1"/>
  <c r="M896" i="116"/>
  <c r="O896" i="116" s="1"/>
  <c r="M826" i="116"/>
  <c r="O826" i="116" s="1"/>
  <c r="M829" i="116"/>
  <c r="O829" i="116" s="1"/>
  <c r="M834" i="116"/>
  <c r="O834" i="116" s="1"/>
  <c r="M837" i="116"/>
  <c r="O837" i="116" s="1"/>
  <c r="M848" i="116"/>
  <c r="O848" i="116" s="1"/>
  <c r="M856" i="116"/>
  <c r="O856" i="116" s="1"/>
  <c r="M864" i="116"/>
  <c r="O864" i="116" s="1"/>
  <c r="M872" i="116"/>
  <c r="O872" i="116" s="1"/>
  <c r="M875" i="116"/>
  <c r="O875" i="116" s="1"/>
  <c r="M883" i="116"/>
  <c r="O883" i="116" s="1"/>
  <c r="M891" i="116"/>
  <c r="O891" i="116" s="1"/>
  <c r="M899" i="116"/>
  <c r="O899" i="116" s="1"/>
  <c r="M843" i="116"/>
  <c r="O843" i="116" s="1"/>
  <c r="M851" i="116"/>
  <c r="O851" i="116" s="1"/>
  <c r="M859" i="116"/>
  <c r="O859" i="116" s="1"/>
  <c r="M867" i="116"/>
  <c r="O867" i="116" s="1"/>
  <c r="M827" i="116"/>
  <c r="O827" i="116" s="1"/>
  <c r="M878" i="116"/>
  <c r="O878" i="116" s="1"/>
  <c r="M886" i="116"/>
  <c r="O886" i="116" s="1"/>
  <c r="M894" i="116"/>
  <c r="O894" i="116" s="1"/>
  <c r="O614" i="116"/>
  <c r="O666" i="116"/>
  <c r="O615" i="116"/>
  <c r="O644" i="116"/>
  <c r="O606" i="116"/>
  <c r="O607" i="116"/>
  <c r="O655" i="116"/>
  <c r="O699" i="116"/>
  <c r="O734" i="116"/>
  <c r="O674" i="116"/>
  <c r="O688" i="116"/>
  <c r="O726" i="116"/>
  <c r="O636" i="116"/>
  <c r="O663" i="116"/>
  <c r="O677" i="116"/>
  <c r="O707" i="116"/>
  <c r="N602" i="116"/>
  <c r="O602" i="116" s="1"/>
  <c r="N605" i="116"/>
  <c r="O605" i="116" s="1"/>
  <c r="N610" i="116"/>
  <c r="O610" i="116" s="1"/>
  <c r="N613" i="116"/>
  <c r="O613" i="116" s="1"/>
  <c r="M616" i="116"/>
  <c r="O616" i="116" s="1"/>
  <c r="N624" i="116"/>
  <c r="O624" i="116" s="1"/>
  <c r="N632" i="116"/>
  <c r="O632" i="116" s="1"/>
  <c r="N651" i="116"/>
  <c r="O651" i="116" s="1"/>
  <c r="M654" i="116"/>
  <c r="O654" i="116" s="1"/>
  <c r="N659" i="116"/>
  <c r="O659" i="116" s="1"/>
  <c r="M665" i="116"/>
  <c r="O665" i="116" s="1"/>
  <c r="N670" i="116"/>
  <c r="O670" i="116" s="1"/>
  <c r="M673" i="116"/>
  <c r="O673" i="116" s="1"/>
  <c r="N678" i="116"/>
  <c r="O678" i="116" s="1"/>
  <c r="N681" i="116"/>
  <c r="O681" i="116" s="1"/>
  <c r="M684" i="116"/>
  <c r="O684" i="116" s="1"/>
  <c r="N689" i="116"/>
  <c r="O689" i="116" s="1"/>
  <c r="M692" i="116"/>
  <c r="O692" i="116" s="1"/>
  <c r="N700" i="116"/>
  <c r="O700" i="116" s="1"/>
  <c r="M703" i="116"/>
  <c r="O703" i="116" s="1"/>
  <c r="N708" i="116"/>
  <c r="O708" i="116" s="1"/>
  <c r="M711" i="116"/>
  <c r="O711" i="116" s="1"/>
  <c r="M714" i="116"/>
  <c r="O714" i="116" s="1"/>
  <c r="M717" i="116"/>
  <c r="O717" i="116" s="1"/>
  <c r="N719" i="116"/>
  <c r="O719" i="116" s="1"/>
  <c r="M722" i="116"/>
  <c r="O722" i="116" s="1"/>
  <c r="M725" i="116"/>
  <c r="O725" i="116" s="1"/>
  <c r="N727" i="116"/>
  <c r="O727" i="116" s="1"/>
  <c r="N730" i="116"/>
  <c r="O730" i="116" s="1"/>
  <c r="N733" i="116"/>
  <c r="O733" i="116" s="1"/>
  <c r="M736" i="116"/>
  <c r="O736" i="116" s="1"/>
  <c r="N738" i="116"/>
  <c r="O738" i="116" s="1"/>
  <c r="N741" i="116"/>
  <c r="O741" i="116" s="1"/>
  <c r="M744" i="116"/>
  <c r="O744" i="116" s="1"/>
  <c r="M747" i="116"/>
  <c r="O747" i="116" s="1"/>
  <c r="N635" i="116"/>
  <c r="O635" i="116" s="1"/>
  <c r="N643" i="116"/>
  <c r="O643" i="116" s="1"/>
  <c r="M646" i="116"/>
  <c r="O646" i="116" s="1"/>
  <c r="M649" i="116"/>
  <c r="O649" i="116" s="1"/>
  <c r="M657" i="116"/>
  <c r="O657" i="116" s="1"/>
  <c r="N662" i="116"/>
  <c r="O662" i="116" s="1"/>
  <c r="M698" i="116"/>
  <c r="O698" i="116" s="1"/>
  <c r="M706" i="116"/>
  <c r="O706" i="116" s="1"/>
  <c r="M720" i="116"/>
  <c r="O720" i="116" s="1"/>
  <c r="M728" i="116"/>
  <c r="O728" i="116" s="1"/>
  <c r="M633" i="116"/>
  <c r="O633" i="116" s="1"/>
  <c r="M641" i="116"/>
  <c r="O641" i="116" s="1"/>
  <c r="M715" i="116"/>
  <c r="O715" i="116" s="1"/>
  <c r="M723" i="116"/>
  <c r="O723" i="116" s="1"/>
  <c r="M742" i="116"/>
  <c r="O742" i="116" s="1"/>
  <c r="M617" i="116"/>
  <c r="O617" i="116" s="1"/>
  <c r="M625" i="116"/>
  <c r="O625" i="116" s="1"/>
  <c r="M745" i="116"/>
  <c r="O745" i="116" s="1"/>
  <c r="M609" i="116"/>
  <c r="O609" i="116" s="1"/>
  <c r="M620" i="116"/>
  <c r="O620" i="116" s="1"/>
  <c r="M628" i="116"/>
  <c r="O628" i="116" s="1"/>
  <c r="M639" i="116"/>
  <c r="O639" i="116" s="1"/>
  <c r="M647" i="116"/>
  <c r="O647" i="116" s="1"/>
  <c r="M650" i="116"/>
  <c r="O650" i="116" s="1"/>
  <c r="M653" i="116"/>
  <c r="O653" i="116" s="1"/>
  <c r="M658" i="116"/>
  <c r="O658" i="116" s="1"/>
  <c r="M661" i="116"/>
  <c r="O661" i="116" s="1"/>
  <c r="M672" i="116"/>
  <c r="O672" i="116" s="1"/>
  <c r="M680" i="116"/>
  <c r="O680" i="116" s="1"/>
  <c r="M683" i="116"/>
  <c r="O683" i="116" s="1"/>
  <c r="M691" i="116"/>
  <c r="O691" i="116" s="1"/>
  <c r="M718" i="116"/>
  <c r="O718" i="116" s="1"/>
  <c r="M729" i="116"/>
  <c r="O729" i="116" s="1"/>
  <c r="M737" i="116"/>
  <c r="O737" i="116" s="1"/>
  <c r="M748" i="116"/>
  <c r="O748" i="116" s="1"/>
  <c r="M623" i="116"/>
  <c r="O623" i="116" s="1"/>
  <c r="M631" i="116"/>
  <c r="O631" i="116" s="1"/>
  <c r="M634" i="116"/>
  <c r="O634" i="116" s="1"/>
  <c r="M637" i="116"/>
  <c r="O637" i="116" s="1"/>
  <c r="M642" i="116"/>
  <c r="O642" i="116" s="1"/>
  <c r="M645" i="116"/>
  <c r="O645" i="116" s="1"/>
  <c r="M656" i="116"/>
  <c r="O656" i="116" s="1"/>
  <c r="M664" i="116"/>
  <c r="O664" i="116" s="1"/>
  <c r="M667" i="116"/>
  <c r="O667" i="116" s="1"/>
  <c r="M675" i="116"/>
  <c r="O675" i="116" s="1"/>
  <c r="M694" i="116"/>
  <c r="O694" i="116" s="1"/>
  <c r="M702" i="116"/>
  <c r="O702" i="116" s="1"/>
  <c r="M710" i="116"/>
  <c r="O710" i="116" s="1"/>
  <c r="M713" i="116"/>
  <c r="O713" i="116" s="1"/>
  <c r="M721" i="116"/>
  <c r="O721" i="116" s="1"/>
  <c r="M732" i="116"/>
  <c r="O732" i="116" s="1"/>
  <c r="M740" i="116"/>
  <c r="O740" i="116" s="1"/>
  <c r="M751" i="116"/>
  <c r="O751" i="116" s="1"/>
  <c r="M618" i="116"/>
  <c r="O618" i="116" s="1"/>
  <c r="M621" i="116"/>
  <c r="O621" i="116" s="1"/>
  <c r="M626" i="116"/>
  <c r="O626" i="116" s="1"/>
  <c r="M629" i="116"/>
  <c r="O629" i="116" s="1"/>
  <c r="M640" i="116"/>
  <c r="O640" i="116" s="1"/>
  <c r="M648" i="116"/>
  <c r="O648" i="116" s="1"/>
  <c r="M686" i="116"/>
  <c r="O686" i="116" s="1"/>
  <c r="M697" i="116"/>
  <c r="O697" i="116" s="1"/>
  <c r="M705" i="116"/>
  <c r="O705" i="116" s="1"/>
  <c r="M716" i="116"/>
  <c r="O716" i="116" s="1"/>
  <c r="M724" i="116"/>
  <c r="O724" i="116" s="1"/>
  <c r="M735" i="116"/>
  <c r="O735" i="116" s="1"/>
  <c r="M743" i="116"/>
  <c r="O743" i="116" s="1"/>
  <c r="M746" i="116"/>
  <c r="O746" i="116" s="1"/>
  <c r="M749" i="116"/>
  <c r="O749" i="116" s="1"/>
  <c r="O478" i="116"/>
  <c r="O456" i="116"/>
  <c r="O459" i="116"/>
  <c r="O492" i="116"/>
  <c r="O470" i="116"/>
  <c r="M452" i="116"/>
  <c r="O452" i="116" s="1"/>
  <c r="N460" i="116"/>
  <c r="O460" i="116" s="1"/>
  <c r="M463" i="116"/>
  <c r="O463" i="116" s="1"/>
  <c r="M466" i="116"/>
  <c r="O466" i="116" s="1"/>
  <c r="M469" i="116"/>
  <c r="O469" i="116" s="1"/>
  <c r="N471" i="116"/>
  <c r="O471" i="116" s="1"/>
  <c r="N474" i="116"/>
  <c r="O474" i="116" s="1"/>
  <c r="N477" i="116"/>
  <c r="O477" i="116" s="1"/>
  <c r="M480" i="116"/>
  <c r="O480" i="116" s="1"/>
  <c r="M483" i="116"/>
  <c r="O483" i="116" s="1"/>
  <c r="N488" i="116"/>
  <c r="O488" i="116" s="1"/>
  <c r="N499" i="116"/>
  <c r="O499" i="116" s="1"/>
  <c r="M505" i="116"/>
  <c r="O505" i="116" s="1"/>
  <c r="N510" i="116"/>
  <c r="O510" i="116" s="1"/>
  <c r="N513" i="116"/>
  <c r="O513" i="116" s="1"/>
  <c r="M516" i="116"/>
  <c r="O516" i="116" s="1"/>
  <c r="N524" i="116"/>
  <c r="O524" i="116" s="1"/>
  <c r="M527" i="116"/>
  <c r="O527" i="116" s="1"/>
  <c r="M530" i="116"/>
  <c r="O530" i="116" s="1"/>
  <c r="M533" i="116"/>
  <c r="O533" i="116" s="1"/>
  <c r="N535" i="116"/>
  <c r="O535" i="116" s="1"/>
  <c r="N538" i="116"/>
  <c r="O538" i="116" s="1"/>
  <c r="N541" i="116"/>
  <c r="O541" i="116" s="1"/>
  <c r="M544" i="116"/>
  <c r="O544" i="116" s="1"/>
  <c r="M547" i="116"/>
  <c r="O547" i="116" s="1"/>
  <c r="N552" i="116"/>
  <c r="O552" i="116" s="1"/>
  <c r="N563" i="116"/>
  <c r="O563" i="116" s="1"/>
  <c r="M569" i="116"/>
  <c r="O569" i="116" s="1"/>
  <c r="N574" i="116"/>
  <c r="O574" i="116" s="1"/>
  <c r="N577" i="116"/>
  <c r="O577" i="116" s="1"/>
  <c r="M580" i="116"/>
  <c r="O580" i="116" s="1"/>
  <c r="N588" i="116"/>
  <c r="O588" i="116" s="1"/>
  <c r="M591" i="116"/>
  <c r="O591" i="116" s="1"/>
  <c r="M594" i="116"/>
  <c r="O594" i="116" s="1"/>
  <c r="M597" i="116"/>
  <c r="O597" i="116" s="1"/>
  <c r="N599" i="116"/>
  <c r="O599" i="116" s="1"/>
  <c r="M455" i="116"/>
  <c r="O455" i="116" s="1"/>
  <c r="M458" i="116"/>
  <c r="O458" i="116" s="1"/>
  <c r="M461" i="116"/>
  <c r="O461" i="116" s="1"/>
  <c r="M472" i="116"/>
  <c r="O472" i="116" s="1"/>
  <c r="N491" i="116"/>
  <c r="O491" i="116" s="1"/>
  <c r="M494" i="116"/>
  <c r="O494" i="116" s="1"/>
  <c r="M497" i="116"/>
  <c r="O497" i="116" s="1"/>
  <c r="N502" i="116"/>
  <c r="O502" i="116" s="1"/>
  <c r="M508" i="116"/>
  <c r="O508" i="116" s="1"/>
  <c r="M519" i="116"/>
  <c r="O519" i="116" s="1"/>
  <c r="M522" i="116"/>
  <c r="O522" i="116" s="1"/>
  <c r="M525" i="116"/>
  <c r="O525" i="116" s="1"/>
  <c r="M536" i="116"/>
  <c r="O536" i="116" s="1"/>
  <c r="M539" i="116"/>
  <c r="O539" i="116" s="1"/>
  <c r="N555" i="116"/>
  <c r="O555" i="116" s="1"/>
  <c r="M558" i="116"/>
  <c r="O558" i="116" s="1"/>
  <c r="M561" i="116"/>
  <c r="O561" i="116" s="1"/>
  <c r="N566" i="116"/>
  <c r="O566" i="116" s="1"/>
  <c r="M572" i="116"/>
  <c r="O572" i="116" s="1"/>
  <c r="M583" i="116"/>
  <c r="O583" i="116" s="1"/>
  <c r="M586" i="116"/>
  <c r="O586" i="116" s="1"/>
  <c r="M589" i="116"/>
  <c r="O589" i="116" s="1"/>
  <c r="M600" i="116"/>
  <c r="O600" i="116" s="1"/>
  <c r="M467" i="116"/>
  <c r="O467" i="116" s="1"/>
  <c r="M500" i="116"/>
  <c r="O500" i="116" s="1"/>
  <c r="M511" i="116"/>
  <c r="O511" i="116" s="1"/>
  <c r="M514" i="116"/>
  <c r="O514" i="116" s="1"/>
  <c r="M517" i="116"/>
  <c r="O517" i="116" s="1"/>
  <c r="M528" i="116"/>
  <c r="O528" i="116" s="1"/>
  <c r="M531" i="116"/>
  <c r="O531" i="116" s="1"/>
  <c r="M550" i="116"/>
  <c r="O550" i="116" s="1"/>
  <c r="M553" i="116"/>
  <c r="O553" i="116" s="1"/>
  <c r="M564" i="116"/>
  <c r="O564" i="116" s="1"/>
  <c r="M575" i="116"/>
  <c r="O575" i="116" s="1"/>
  <c r="M578" i="116"/>
  <c r="O578" i="116" s="1"/>
  <c r="M581" i="116"/>
  <c r="O581" i="116" s="1"/>
  <c r="M592" i="116"/>
  <c r="O592" i="116" s="1"/>
  <c r="M595" i="116"/>
  <c r="O595" i="116" s="1"/>
  <c r="M503" i="116"/>
  <c r="O503" i="116" s="1"/>
  <c r="M506" i="116"/>
  <c r="O506" i="116" s="1"/>
  <c r="M509" i="116"/>
  <c r="O509" i="116" s="1"/>
  <c r="M520" i="116"/>
  <c r="O520" i="116" s="1"/>
  <c r="M523" i="116"/>
  <c r="O523" i="116" s="1"/>
  <c r="M534" i="116"/>
  <c r="O534" i="116" s="1"/>
  <c r="M542" i="116"/>
  <c r="O542" i="116" s="1"/>
  <c r="M545" i="116"/>
  <c r="O545" i="116" s="1"/>
  <c r="M556" i="116"/>
  <c r="O556" i="116" s="1"/>
  <c r="M567" i="116"/>
  <c r="O567" i="116" s="1"/>
  <c r="M570" i="116"/>
  <c r="O570" i="116" s="1"/>
  <c r="M573" i="116"/>
  <c r="O573" i="116" s="1"/>
  <c r="M584" i="116"/>
  <c r="O584" i="116" s="1"/>
  <c r="M587" i="116"/>
  <c r="O587" i="116" s="1"/>
  <c r="M598" i="116"/>
  <c r="O598" i="116" s="1"/>
  <c r="M473" i="116"/>
  <c r="O473" i="116" s="1"/>
  <c r="M484" i="116"/>
  <c r="O484" i="116" s="1"/>
  <c r="M495" i="116"/>
  <c r="O495" i="116" s="1"/>
  <c r="M498" i="116"/>
  <c r="O498" i="116" s="1"/>
  <c r="M501" i="116"/>
  <c r="O501" i="116" s="1"/>
  <c r="M512" i="116"/>
  <c r="O512" i="116" s="1"/>
  <c r="M515" i="116"/>
  <c r="O515" i="116" s="1"/>
  <c r="M537" i="116"/>
  <c r="O537" i="116" s="1"/>
  <c r="M548" i="116"/>
  <c r="O548" i="116" s="1"/>
  <c r="M559" i="116"/>
  <c r="O559" i="116" s="1"/>
  <c r="M562" i="116"/>
  <c r="O562" i="116" s="1"/>
  <c r="M565" i="116"/>
  <c r="O565" i="116" s="1"/>
  <c r="M576" i="116"/>
  <c r="O576" i="116" s="1"/>
  <c r="M579" i="116"/>
  <c r="O579" i="116" s="1"/>
  <c r="M601" i="116"/>
  <c r="O601" i="116" s="1"/>
  <c r="M462" i="116"/>
  <c r="O462" i="116" s="1"/>
  <c r="M465" i="116"/>
  <c r="O465" i="116" s="1"/>
  <c r="M476" i="116"/>
  <c r="O476" i="116" s="1"/>
  <c r="M487" i="116"/>
  <c r="O487" i="116" s="1"/>
  <c r="M490" i="116"/>
  <c r="O490" i="116" s="1"/>
  <c r="M493" i="116"/>
  <c r="O493" i="116" s="1"/>
  <c r="M504" i="116"/>
  <c r="O504" i="116" s="1"/>
  <c r="M507" i="116"/>
  <c r="O507" i="116" s="1"/>
  <c r="M526" i="116"/>
  <c r="O526" i="116" s="1"/>
  <c r="M529" i="116"/>
  <c r="O529" i="116" s="1"/>
  <c r="M540" i="116"/>
  <c r="O540" i="116" s="1"/>
  <c r="M551" i="116"/>
  <c r="O551" i="116" s="1"/>
  <c r="M554" i="116"/>
  <c r="O554" i="116" s="1"/>
  <c r="M557" i="116"/>
  <c r="O557" i="116" s="1"/>
  <c r="M568" i="116"/>
  <c r="O568" i="116" s="1"/>
  <c r="M571" i="116"/>
  <c r="O571" i="116" s="1"/>
  <c r="M590" i="116"/>
  <c r="O590" i="116" s="1"/>
  <c r="M593" i="116"/>
  <c r="O593" i="116" s="1"/>
  <c r="M454" i="116"/>
  <c r="O454" i="116" s="1"/>
  <c r="M457" i="116"/>
  <c r="O457" i="116" s="1"/>
  <c r="M468" i="116"/>
  <c r="O468" i="116" s="1"/>
  <c r="M479" i="116"/>
  <c r="O479" i="116" s="1"/>
  <c r="M482" i="116"/>
  <c r="O482" i="116" s="1"/>
  <c r="M485" i="116"/>
  <c r="O485" i="116" s="1"/>
  <c r="M496" i="116"/>
  <c r="O496" i="116" s="1"/>
  <c r="M518" i="116"/>
  <c r="O518" i="116" s="1"/>
  <c r="M521" i="116"/>
  <c r="O521" i="116" s="1"/>
  <c r="M532" i="116"/>
  <c r="O532" i="116" s="1"/>
  <c r="M543" i="116"/>
  <c r="O543" i="116" s="1"/>
  <c r="M546" i="116"/>
  <c r="O546" i="116" s="1"/>
  <c r="M549" i="116"/>
  <c r="O549" i="116" s="1"/>
  <c r="M560" i="116"/>
  <c r="O560" i="116" s="1"/>
  <c r="M582" i="116"/>
  <c r="O582" i="116" s="1"/>
  <c r="M585" i="116"/>
  <c r="O585" i="116" s="1"/>
  <c r="M596" i="116"/>
  <c r="O596" i="116" s="1"/>
  <c r="N307" i="116"/>
  <c r="O307" i="116" s="1"/>
  <c r="M313" i="116"/>
  <c r="O313" i="116" s="1"/>
  <c r="N318" i="116"/>
  <c r="O318" i="116" s="1"/>
  <c r="N321" i="116"/>
  <c r="O321" i="116" s="1"/>
  <c r="M324" i="116"/>
  <c r="O324" i="116" s="1"/>
  <c r="N332" i="116"/>
  <c r="O332" i="116" s="1"/>
  <c r="M335" i="116"/>
  <c r="O335" i="116" s="1"/>
  <c r="M338" i="116"/>
  <c r="O338" i="116" s="1"/>
  <c r="M341" i="116"/>
  <c r="O341" i="116" s="1"/>
  <c r="N343" i="116"/>
  <c r="O343" i="116" s="1"/>
  <c r="N346" i="116"/>
  <c r="O346" i="116" s="1"/>
  <c r="N349" i="116"/>
  <c r="O349" i="116" s="1"/>
  <c r="M352" i="116"/>
  <c r="O352" i="116" s="1"/>
  <c r="M355" i="116"/>
  <c r="O355" i="116" s="1"/>
  <c r="N360" i="116"/>
  <c r="O360" i="116" s="1"/>
  <c r="N371" i="116"/>
  <c r="O371" i="116" s="1"/>
  <c r="M377" i="116"/>
  <c r="O377" i="116" s="1"/>
  <c r="N382" i="116"/>
  <c r="O382" i="116" s="1"/>
  <c r="N385" i="116"/>
  <c r="O385" i="116" s="1"/>
  <c r="M388" i="116"/>
  <c r="O388" i="116" s="1"/>
  <c r="N396" i="116"/>
  <c r="O396" i="116" s="1"/>
  <c r="M399" i="116"/>
  <c r="O399" i="116" s="1"/>
  <c r="M402" i="116"/>
  <c r="O402" i="116" s="1"/>
  <c r="M405" i="116"/>
  <c r="O405" i="116" s="1"/>
  <c r="N407" i="116"/>
  <c r="O407" i="116" s="1"/>
  <c r="N410" i="116"/>
  <c r="O410" i="116" s="1"/>
  <c r="N413" i="116"/>
  <c r="O413" i="116" s="1"/>
  <c r="M416" i="116"/>
  <c r="O416" i="116" s="1"/>
  <c r="M419" i="116"/>
  <c r="O419" i="116" s="1"/>
  <c r="N424" i="116"/>
  <c r="O424" i="116" s="1"/>
  <c r="N435" i="116"/>
  <c r="O435" i="116" s="1"/>
  <c r="M441" i="116"/>
  <c r="O441" i="116" s="1"/>
  <c r="N446" i="116"/>
  <c r="O446" i="116" s="1"/>
  <c r="N449" i="116"/>
  <c r="O449" i="116" s="1"/>
  <c r="M302" i="116"/>
  <c r="O302" i="116" s="1"/>
  <c r="M305" i="116"/>
  <c r="O305" i="116" s="1"/>
  <c r="N310" i="116"/>
  <c r="O310" i="116" s="1"/>
  <c r="M316" i="116"/>
  <c r="O316" i="116" s="1"/>
  <c r="M327" i="116"/>
  <c r="O327" i="116" s="1"/>
  <c r="M330" i="116"/>
  <c r="O330" i="116" s="1"/>
  <c r="M333" i="116"/>
  <c r="O333" i="116" s="1"/>
  <c r="M344" i="116"/>
  <c r="O344" i="116" s="1"/>
  <c r="M347" i="116"/>
  <c r="O347" i="116" s="1"/>
  <c r="N363" i="116"/>
  <c r="O363" i="116" s="1"/>
  <c r="M366" i="116"/>
  <c r="O366" i="116" s="1"/>
  <c r="M369" i="116"/>
  <c r="O369" i="116" s="1"/>
  <c r="N374" i="116"/>
  <c r="O374" i="116" s="1"/>
  <c r="M380" i="116"/>
  <c r="O380" i="116" s="1"/>
  <c r="M391" i="116"/>
  <c r="O391" i="116" s="1"/>
  <c r="M394" i="116"/>
  <c r="O394" i="116" s="1"/>
  <c r="M397" i="116"/>
  <c r="O397" i="116" s="1"/>
  <c r="M408" i="116"/>
  <c r="O408" i="116" s="1"/>
  <c r="M411" i="116"/>
  <c r="O411" i="116" s="1"/>
  <c r="N427" i="116"/>
  <c r="O427" i="116" s="1"/>
  <c r="M430" i="116"/>
  <c r="O430" i="116" s="1"/>
  <c r="M433" i="116"/>
  <c r="O433" i="116" s="1"/>
  <c r="N438" i="116"/>
  <c r="O438" i="116" s="1"/>
  <c r="M444" i="116"/>
  <c r="O444" i="116" s="1"/>
  <c r="M308" i="116"/>
  <c r="O308" i="116" s="1"/>
  <c r="M319" i="116"/>
  <c r="O319" i="116" s="1"/>
  <c r="M322" i="116"/>
  <c r="O322" i="116" s="1"/>
  <c r="M325" i="116"/>
  <c r="O325" i="116" s="1"/>
  <c r="M336" i="116"/>
  <c r="O336" i="116" s="1"/>
  <c r="M339" i="116"/>
  <c r="O339" i="116" s="1"/>
  <c r="M358" i="116"/>
  <c r="O358" i="116" s="1"/>
  <c r="M361" i="116"/>
  <c r="O361" i="116" s="1"/>
  <c r="M372" i="116"/>
  <c r="O372" i="116" s="1"/>
  <c r="M383" i="116"/>
  <c r="O383" i="116" s="1"/>
  <c r="M386" i="116"/>
  <c r="O386" i="116" s="1"/>
  <c r="M389" i="116"/>
  <c r="O389" i="116" s="1"/>
  <c r="M400" i="116"/>
  <c r="O400" i="116" s="1"/>
  <c r="M403" i="116"/>
  <c r="O403" i="116" s="1"/>
  <c r="M422" i="116"/>
  <c r="O422" i="116" s="1"/>
  <c r="M425" i="116"/>
  <c r="O425" i="116" s="1"/>
  <c r="M436" i="116"/>
  <c r="O436" i="116" s="1"/>
  <c r="M447" i="116"/>
  <c r="O447" i="116" s="1"/>
  <c r="M450" i="116"/>
  <c r="O450" i="116" s="1"/>
  <c r="M311" i="116"/>
  <c r="O311" i="116" s="1"/>
  <c r="M314" i="116"/>
  <c r="O314" i="116" s="1"/>
  <c r="M317" i="116"/>
  <c r="O317" i="116" s="1"/>
  <c r="M328" i="116"/>
  <c r="O328" i="116" s="1"/>
  <c r="M331" i="116"/>
  <c r="O331" i="116" s="1"/>
  <c r="M342" i="116"/>
  <c r="O342" i="116" s="1"/>
  <c r="M350" i="116"/>
  <c r="O350" i="116" s="1"/>
  <c r="M353" i="116"/>
  <c r="O353" i="116" s="1"/>
  <c r="M364" i="116"/>
  <c r="O364" i="116" s="1"/>
  <c r="M375" i="116"/>
  <c r="O375" i="116" s="1"/>
  <c r="M378" i="116"/>
  <c r="O378" i="116" s="1"/>
  <c r="M381" i="116"/>
  <c r="O381" i="116" s="1"/>
  <c r="M392" i="116"/>
  <c r="O392" i="116" s="1"/>
  <c r="M395" i="116"/>
  <c r="O395" i="116" s="1"/>
  <c r="M406" i="116"/>
  <c r="O406" i="116" s="1"/>
  <c r="M414" i="116"/>
  <c r="O414" i="116" s="1"/>
  <c r="M417" i="116"/>
  <c r="O417" i="116" s="1"/>
  <c r="M428" i="116"/>
  <c r="O428" i="116" s="1"/>
  <c r="M439" i="116"/>
  <c r="O439" i="116" s="1"/>
  <c r="M442" i="116"/>
  <c r="O442" i="116" s="1"/>
  <c r="M445" i="116"/>
  <c r="O445" i="116" s="1"/>
  <c r="M303" i="116"/>
  <c r="O303" i="116" s="1"/>
  <c r="M306" i="116"/>
  <c r="O306" i="116" s="1"/>
  <c r="M309" i="116"/>
  <c r="O309" i="116" s="1"/>
  <c r="M320" i="116"/>
  <c r="O320" i="116" s="1"/>
  <c r="M323" i="116"/>
  <c r="O323" i="116" s="1"/>
  <c r="M345" i="116"/>
  <c r="O345" i="116" s="1"/>
  <c r="M356" i="116"/>
  <c r="O356" i="116" s="1"/>
  <c r="M367" i="116"/>
  <c r="O367" i="116" s="1"/>
  <c r="M370" i="116"/>
  <c r="O370" i="116" s="1"/>
  <c r="M373" i="116"/>
  <c r="O373" i="116" s="1"/>
  <c r="M384" i="116"/>
  <c r="O384" i="116" s="1"/>
  <c r="M387" i="116"/>
  <c r="O387" i="116" s="1"/>
  <c r="M409" i="116"/>
  <c r="O409" i="116" s="1"/>
  <c r="M420" i="116"/>
  <c r="O420" i="116" s="1"/>
  <c r="M431" i="116"/>
  <c r="O431" i="116" s="1"/>
  <c r="M434" i="116"/>
  <c r="O434" i="116" s="1"/>
  <c r="M437" i="116"/>
  <c r="O437" i="116" s="1"/>
  <c r="M448" i="116"/>
  <c r="O448" i="116" s="1"/>
  <c r="M451" i="116"/>
  <c r="O451" i="116" s="1"/>
  <c r="M312" i="116"/>
  <c r="O312" i="116" s="1"/>
  <c r="M315" i="116"/>
  <c r="O315" i="116" s="1"/>
  <c r="M334" i="116"/>
  <c r="O334" i="116" s="1"/>
  <c r="M337" i="116"/>
  <c r="O337" i="116" s="1"/>
  <c r="M348" i="116"/>
  <c r="O348" i="116" s="1"/>
  <c r="M359" i="116"/>
  <c r="O359" i="116" s="1"/>
  <c r="M362" i="116"/>
  <c r="O362" i="116" s="1"/>
  <c r="M365" i="116"/>
  <c r="O365" i="116" s="1"/>
  <c r="M376" i="116"/>
  <c r="O376" i="116" s="1"/>
  <c r="M379" i="116"/>
  <c r="O379" i="116" s="1"/>
  <c r="M398" i="116"/>
  <c r="O398" i="116" s="1"/>
  <c r="M401" i="116"/>
  <c r="O401" i="116" s="1"/>
  <c r="M412" i="116"/>
  <c r="O412" i="116" s="1"/>
  <c r="M423" i="116"/>
  <c r="O423" i="116" s="1"/>
  <c r="M426" i="116"/>
  <c r="O426" i="116" s="1"/>
  <c r="M429" i="116"/>
  <c r="O429" i="116" s="1"/>
  <c r="M440" i="116"/>
  <c r="O440" i="116" s="1"/>
  <c r="M443" i="116"/>
  <c r="O443" i="116" s="1"/>
  <c r="M304" i="116"/>
  <c r="O304" i="116" s="1"/>
  <c r="M326" i="116"/>
  <c r="O326" i="116" s="1"/>
  <c r="M329" i="116"/>
  <c r="O329" i="116" s="1"/>
  <c r="M340" i="116"/>
  <c r="O340" i="116" s="1"/>
  <c r="M351" i="116"/>
  <c r="O351" i="116" s="1"/>
  <c r="M354" i="116"/>
  <c r="O354" i="116" s="1"/>
  <c r="M357" i="116"/>
  <c r="O357" i="116" s="1"/>
  <c r="M368" i="116"/>
  <c r="O368" i="116" s="1"/>
  <c r="M390" i="116"/>
  <c r="O390" i="116" s="1"/>
  <c r="M393" i="116"/>
  <c r="O393" i="116" s="1"/>
  <c r="M404" i="116"/>
  <c r="O404" i="116" s="1"/>
  <c r="M415" i="116"/>
  <c r="O415" i="116" s="1"/>
  <c r="M418" i="116"/>
  <c r="O418" i="116" s="1"/>
  <c r="M421" i="116"/>
  <c r="O421" i="116" s="1"/>
  <c r="M432" i="116"/>
  <c r="O432" i="116" s="1"/>
  <c r="O204" i="116"/>
  <c r="O235" i="116"/>
  <c r="O246" i="116"/>
  <c r="O215" i="116"/>
  <c r="O218" i="116"/>
  <c r="O254" i="116"/>
  <c r="O221" i="116"/>
  <c r="O257" i="116"/>
  <c r="O193" i="116"/>
  <c r="M179" i="116"/>
  <c r="O179" i="116" s="1"/>
  <c r="N182" i="116"/>
  <c r="O182" i="116" s="1"/>
  <c r="M196" i="116"/>
  <c r="O196" i="116" s="1"/>
  <c r="M207" i="116"/>
  <c r="O207" i="116" s="1"/>
  <c r="M210" i="116"/>
  <c r="O210" i="116" s="1"/>
  <c r="M213" i="116"/>
  <c r="O213" i="116" s="1"/>
  <c r="M224" i="116"/>
  <c r="O224" i="116" s="1"/>
  <c r="M227" i="116"/>
  <c r="O227" i="116" s="1"/>
  <c r="N232" i="116"/>
  <c r="O232" i="116" s="1"/>
  <c r="N243" i="116"/>
  <c r="O243" i="116" s="1"/>
  <c r="M249" i="116"/>
  <c r="O249" i="116" s="1"/>
  <c r="M260" i="116"/>
  <c r="O260" i="116" s="1"/>
  <c r="N268" i="116"/>
  <c r="O268" i="116" s="1"/>
  <c r="M271" i="116"/>
  <c r="O271" i="116" s="1"/>
  <c r="M274" i="116"/>
  <c r="O274" i="116" s="1"/>
  <c r="M277" i="116"/>
  <c r="O277" i="116" s="1"/>
  <c r="N279" i="116"/>
  <c r="O279" i="116" s="1"/>
  <c r="N282" i="116"/>
  <c r="O282" i="116" s="1"/>
  <c r="N285" i="116"/>
  <c r="O285" i="116" s="1"/>
  <c r="M288" i="116"/>
  <c r="O288" i="116" s="1"/>
  <c r="M291" i="116"/>
  <c r="O291" i="116" s="1"/>
  <c r="N296" i="116"/>
  <c r="O296" i="116" s="1"/>
  <c r="M188" i="116"/>
  <c r="O188" i="116" s="1"/>
  <c r="M199" i="116"/>
  <c r="O199" i="116" s="1"/>
  <c r="M202" i="116"/>
  <c r="O202" i="116" s="1"/>
  <c r="M205" i="116"/>
  <c r="O205" i="116" s="1"/>
  <c r="M216" i="116"/>
  <c r="O216" i="116" s="1"/>
  <c r="M219" i="116"/>
  <c r="O219" i="116" s="1"/>
  <c r="M230" i="116"/>
  <c r="O230" i="116" s="1"/>
  <c r="M238" i="116"/>
  <c r="O238" i="116" s="1"/>
  <c r="M241" i="116"/>
  <c r="O241" i="116" s="1"/>
  <c r="M252" i="116"/>
  <c r="O252" i="116" s="1"/>
  <c r="M263" i="116"/>
  <c r="O263" i="116" s="1"/>
  <c r="M266" i="116"/>
  <c r="O266" i="116" s="1"/>
  <c r="M269" i="116"/>
  <c r="O269" i="116" s="1"/>
  <c r="M280" i="116"/>
  <c r="O280" i="116" s="1"/>
  <c r="M283" i="116"/>
  <c r="O283" i="116" s="1"/>
  <c r="M294" i="116"/>
  <c r="O294" i="116" s="1"/>
  <c r="N299" i="116"/>
  <c r="O299" i="116" s="1"/>
  <c r="M191" i="116"/>
  <c r="O191" i="116" s="1"/>
  <c r="M194" i="116"/>
  <c r="O194" i="116" s="1"/>
  <c r="M197" i="116"/>
  <c r="O197" i="116" s="1"/>
  <c r="M208" i="116"/>
  <c r="O208" i="116" s="1"/>
  <c r="M211" i="116"/>
  <c r="O211" i="116" s="1"/>
  <c r="M233" i="116"/>
  <c r="O233" i="116" s="1"/>
  <c r="M244" i="116"/>
  <c r="O244" i="116" s="1"/>
  <c r="M255" i="116"/>
  <c r="O255" i="116" s="1"/>
  <c r="M258" i="116"/>
  <c r="O258" i="116" s="1"/>
  <c r="M261" i="116"/>
  <c r="O261" i="116" s="1"/>
  <c r="M272" i="116"/>
  <c r="O272" i="116" s="1"/>
  <c r="M275" i="116"/>
  <c r="O275" i="116" s="1"/>
  <c r="M297" i="116"/>
  <c r="O297" i="116" s="1"/>
  <c r="M200" i="116"/>
  <c r="O200" i="116" s="1"/>
  <c r="M203" i="116"/>
  <c r="O203" i="116" s="1"/>
  <c r="M214" i="116"/>
  <c r="O214" i="116" s="1"/>
  <c r="M222" i="116"/>
  <c r="O222" i="116" s="1"/>
  <c r="M225" i="116"/>
  <c r="O225" i="116" s="1"/>
  <c r="M236" i="116"/>
  <c r="O236" i="116" s="1"/>
  <c r="M247" i="116"/>
  <c r="O247" i="116" s="1"/>
  <c r="O250" i="116"/>
  <c r="M253" i="116"/>
  <c r="O253" i="116" s="1"/>
  <c r="M264" i="116"/>
  <c r="O264" i="116" s="1"/>
  <c r="M267" i="116"/>
  <c r="O267" i="116" s="1"/>
  <c r="M278" i="116"/>
  <c r="O278" i="116" s="1"/>
  <c r="M286" i="116"/>
  <c r="O286" i="116" s="1"/>
  <c r="M289" i="116"/>
  <c r="O289" i="116" s="1"/>
  <c r="M300" i="116"/>
  <c r="O300" i="116" s="1"/>
  <c r="M192" i="116"/>
  <c r="O192" i="116" s="1"/>
  <c r="M195" i="116"/>
  <c r="O195" i="116" s="1"/>
  <c r="M217" i="116"/>
  <c r="O217" i="116" s="1"/>
  <c r="M228" i="116"/>
  <c r="O228" i="116" s="1"/>
  <c r="M239" i="116"/>
  <c r="O239" i="116" s="1"/>
  <c r="M242" i="116"/>
  <c r="O242" i="116" s="1"/>
  <c r="M245" i="116"/>
  <c r="O245" i="116" s="1"/>
  <c r="M256" i="116"/>
  <c r="O256" i="116" s="1"/>
  <c r="M259" i="116"/>
  <c r="O259" i="116" s="1"/>
  <c r="M281" i="116"/>
  <c r="O281" i="116" s="1"/>
  <c r="M292" i="116"/>
  <c r="O292" i="116" s="1"/>
  <c r="M206" i="116"/>
  <c r="O206" i="116" s="1"/>
  <c r="M209" i="116"/>
  <c r="O209" i="116" s="1"/>
  <c r="M220" i="116"/>
  <c r="O220" i="116" s="1"/>
  <c r="M231" i="116"/>
  <c r="O231" i="116" s="1"/>
  <c r="M234" i="116"/>
  <c r="O234" i="116" s="1"/>
  <c r="M237" i="116"/>
  <c r="O237" i="116" s="1"/>
  <c r="M248" i="116"/>
  <c r="O248" i="116" s="1"/>
  <c r="M270" i="116"/>
  <c r="O270" i="116" s="1"/>
  <c r="M273" i="116"/>
  <c r="O273" i="116" s="1"/>
  <c r="M284" i="116"/>
  <c r="O284" i="116" s="1"/>
  <c r="M295" i="116"/>
  <c r="O295" i="116" s="1"/>
  <c r="M298" i="116"/>
  <c r="O298" i="116" s="1"/>
  <c r="M301" i="116"/>
  <c r="O301" i="116" s="1"/>
  <c r="M240" i="116"/>
  <c r="O240" i="116" s="1"/>
  <c r="M276" i="116"/>
  <c r="O276" i="116" s="1"/>
  <c r="M287" i="116"/>
  <c r="O287" i="116" s="1"/>
  <c r="M290" i="116"/>
  <c r="O290" i="116" s="1"/>
  <c r="M293" i="116"/>
  <c r="O293" i="116" s="1"/>
  <c r="M6" i="116"/>
  <c r="O6" i="116" s="1"/>
  <c r="M135" i="116"/>
  <c r="O135" i="116" s="1"/>
  <c r="M26" i="116"/>
  <c r="O26" i="116" s="1"/>
  <c r="M22" i="116"/>
  <c r="O22" i="116" s="1"/>
  <c r="M18" i="116"/>
  <c r="O18" i="116" s="1"/>
  <c r="N69" i="116"/>
  <c r="O69" i="116" s="1"/>
  <c r="N73" i="116"/>
  <c r="O73" i="116" s="1"/>
  <c r="M137" i="116"/>
  <c r="O137" i="116" s="1"/>
  <c r="M136" i="116"/>
  <c r="O136" i="116" s="1"/>
  <c r="M134" i="116"/>
  <c r="O134" i="116" s="1"/>
  <c r="N133" i="116"/>
  <c r="M133" i="116"/>
  <c r="M132" i="116"/>
  <c r="O132" i="116" s="1"/>
  <c r="M131" i="116"/>
  <c r="O131" i="116" s="1"/>
  <c r="M130" i="116"/>
  <c r="O130" i="116" s="1"/>
  <c r="M129" i="116"/>
  <c r="O129" i="116" s="1"/>
  <c r="M128" i="116"/>
  <c r="O128" i="116" s="1"/>
  <c r="N127" i="116"/>
  <c r="M127" i="116"/>
  <c r="O30" i="116"/>
  <c r="M66" i="116"/>
  <c r="O66" i="116" s="1"/>
  <c r="N31" i="116"/>
  <c r="O31" i="116" s="1"/>
  <c r="N27" i="116"/>
  <c r="O27" i="116" s="1"/>
  <c r="N23" i="116"/>
  <c r="O23" i="116" s="1"/>
  <c r="N19" i="116"/>
  <c r="O19" i="116" s="1"/>
  <c r="O25" i="116"/>
  <c r="N123" i="116"/>
  <c r="N119" i="116"/>
  <c r="N115" i="116"/>
  <c r="N111" i="116"/>
  <c r="N107" i="116"/>
  <c r="N103" i="116"/>
  <c r="N99" i="116"/>
  <c r="N95" i="116"/>
  <c r="N91" i="116"/>
  <c r="N87" i="116"/>
  <c r="N79" i="116"/>
  <c r="N75" i="116"/>
  <c r="N71" i="116"/>
  <c r="N67" i="116"/>
  <c r="N63" i="116"/>
  <c r="N59" i="116"/>
  <c r="O59" i="116" s="1"/>
  <c r="N55" i="116"/>
  <c r="O55" i="116" s="1"/>
  <c r="N51" i="116"/>
  <c r="O51" i="116" s="1"/>
  <c r="N47" i="116"/>
  <c r="O47" i="116" s="1"/>
  <c r="N43" i="116"/>
  <c r="O43" i="116" s="1"/>
  <c r="N39" i="116"/>
  <c r="O39" i="116" s="1"/>
  <c r="N35" i="116"/>
  <c r="O35" i="116" s="1"/>
  <c r="M118" i="116"/>
  <c r="M114" i="116"/>
  <c r="M110" i="116"/>
  <c r="M106" i="116"/>
  <c r="M102" i="116"/>
  <c r="M98" i="116"/>
  <c r="M94" i="116"/>
  <c r="M90" i="116"/>
  <c r="M62" i="116"/>
  <c r="O62" i="116" s="1"/>
  <c r="O13" i="116"/>
  <c r="O20" i="116"/>
  <c r="O24" i="116"/>
  <c r="O28" i="116"/>
  <c r="N33" i="116"/>
  <c r="O33" i="116" s="1"/>
  <c r="N37" i="116"/>
  <c r="O37" i="116" s="1"/>
  <c r="N41" i="116"/>
  <c r="O41" i="116" s="1"/>
  <c r="N45" i="116"/>
  <c r="O45" i="116" s="1"/>
  <c r="N49" i="116"/>
  <c r="O49" i="116" s="1"/>
  <c r="N53" i="116"/>
  <c r="O53" i="116" s="1"/>
  <c r="N57" i="116"/>
  <c r="O57" i="116" s="1"/>
  <c r="N61" i="116"/>
  <c r="O61" i="116" s="1"/>
  <c r="M68" i="116"/>
  <c r="O68" i="116" s="1"/>
  <c r="M72" i="116"/>
  <c r="O72" i="116" s="1"/>
  <c r="M76" i="116"/>
  <c r="O76" i="116" s="1"/>
  <c r="M80" i="116"/>
  <c r="O80" i="116" s="1"/>
  <c r="N83" i="116"/>
  <c r="O83" i="116" s="1"/>
  <c r="M87" i="116"/>
  <c r="N90" i="116"/>
  <c r="N94" i="116"/>
  <c r="N98" i="116"/>
  <c r="N102" i="116"/>
  <c r="N106" i="116"/>
  <c r="N110" i="116"/>
  <c r="N114" i="116"/>
  <c r="N118" i="116"/>
  <c r="M122" i="116"/>
  <c r="O122" i="116" s="1"/>
  <c r="M126" i="116"/>
  <c r="O126" i="116" s="1"/>
  <c r="M34" i="116"/>
  <c r="O34" i="116" s="1"/>
  <c r="M38" i="116"/>
  <c r="O38" i="116" s="1"/>
  <c r="M42" i="116"/>
  <c r="O42" i="116" s="1"/>
  <c r="M46" i="116"/>
  <c r="O46" i="116" s="1"/>
  <c r="M50" i="116"/>
  <c r="O50" i="116" s="1"/>
  <c r="M54" i="116"/>
  <c r="O54" i="116" s="1"/>
  <c r="M58" i="116"/>
  <c r="O58" i="116" s="1"/>
  <c r="M65" i="116"/>
  <c r="O65" i="116" s="1"/>
  <c r="M91" i="116"/>
  <c r="M95" i="116"/>
  <c r="M99" i="116"/>
  <c r="M103" i="116"/>
  <c r="M107" i="116"/>
  <c r="M111" i="116"/>
  <c r="M115" i="116"/>
  <c r="M119" i="116"/>
  <c r="O7" i="116"/>
  <c r="M84" i="116"/>
  <c r="O84" i="116" s="1"/>
  <c r="M88" i="116"/>
  <c r="O88" i="116" s="1"/>
  <c r="M123" i="116"/>
  <c r="M81" i="116"/>
  <c r="O81" i="116" s="1"/>
  <c r="M92" i="116"/>
  <c r="O92" i="116" s="1"/>
  <c r="M96" i="116"/>
  <c r="O96" i="116" s="1"/>
  <c r="M100" i="116"/>
  <c r="O100" i="116" s="1"/>
  <c r="M104" i="116"/>
  <c r="O104" i="116" s="1"/>
  <c r="M108" i="116"/>
  <c r="O108" i="116" s="1"/>
  <c r="M112" i="116"/>
  <c r="O112" i="116" s="1"/>
  <c r="M116" i="116"/>
  <c r="O116" i="116" s="1"/>
  <c r="M120" i="116"/>
  <c r="O120" i="116" s="1"/>
  <c r="M63" i="116"/>
  <c r="M70" i="116"/>
  <c r="O70" i="116" s="1"/>
  <c r="M74" i="116"/>
  <c r="O74" i="116" s="1"/>
  <c r="M78" i="116"/>
  <c r="O78" i="116" s="1"/>
  <c r="M85" i="116"/>
  <c r="O85" i="116" s="1"/>
  <c r="M124" i="116"/>
  <c r="O124" i="116" s="1"/>
  <c r="M32" i="116"/>
  <c r="O32" i="116" s="1"/>
  <c r="M36" i="116"/>
  <c r="O36" i="116" s="1"/>
  <c r="M40" i="116"/>
  <c r="O40" i="116" s="1"/>
  <c r="M44" i="116"/>
  <c r="O44" i="116" s="1"/>
  <c r="M48" i="116"/>
  <c r="O48" i="116" s="1"/>
  <c r="M52" i="116"/>
  <c r="O52" i="116" s="1"/>
  <c r="M56" i="116"/>
  <c r="O56" i="116" s="1"/>
  <c r="M60" i="116"/>
  <c r="O60" i="116" s="1"/>
  <c r="M67" i="116"/>
  <c r="M82" i="116"/>
  <c r="O82" i="116" s="1"/>
  <c r="M89" i="116"/>
  <c r="O89" i="116" s="1"/>
  <c r="M93" i="116"/>
  <c r="O93" i="116" s="1"/>
  <c r="M97" i="116"/>
  <c r="O97" i="116" s="1"/>
  <c r="M101" i="116"/>
  <c r="O101" i="116" s="1"/>
  <c r="M105" i="116"/>
  <c r="O105" i="116" s="1"/>
  <c r="M109" i="116"/>
  <c r="O109" i="116" s="1"/>
  <c r="M113" i="116"/>
  <c r="O113" i="116" s="1"/>
  <c r="M117" i="116"/>
  <c r="O117" i="116" s="1"/>
  <c r="M121" i="116"/>
  <c r="O121" i="116" s="1"/>
  <c r="M64" i="116"/>
  <c r="O64" i="116" s="1"/>
  <c r="M71" i="116"/>
  <c r="M75" i="116"/>
  <c r="M79" i="116"/>
  <c r="M86" i="116"/>
  <c r="O86" i="116" s="1"/>
  <c r="M125" i="116"/>
  <c r="O125" i="116" s="1"/>
  <c r="O11" i="116"/>
  <c r="O77" i="116"/>
  <c r="O21" i="116"/>
  <c r="O29" i="116"/>
  <c r="O10" i="116"/>
  <c r="O14" i="116"/>
  <c r="O15" i="116"/>
  <c r="O8" i="116"/>
  <c r="M2" i="116"/>
  <c r="O2" i="116" s="1"/>
  <c r="O4" i="116"/>
  <c r="O16" i="116"/>
  <c r="O9" i="116"/>
  <c r="N3" i="116"/>
  <c r="O3" i="116" s="1"/>
  <c r="O12" i="116"/>
  <c r="O5" i="116"/>
  <c r="O98" i="116" l="1"/>
  <c r="O110" i="116"/>
  <c r="O123" i="116"/>
  <c r="O79" i="116"/>
  <c r="O91" i="116"/>
  <c r="O94" i="116"/>
  <c r="O115" i="116"/>
  <c r="O118" i="116"/>
  <c r="O63" i="116"/>
  <c r="O99" i="116"/>
  <c r="O133" i="116"/>
  <c r="O127" i="116"/>
  <c r="O103" i="116"/>
  <c r="O107" i="116"/>
  <c r="O71" i="116"/>
  <c r="O87" i="116"/>
  <c r="O95" i="116"/>
  <c r="O119" i="116"/>
  <c r="O90" i="116"/>
  <c r="O106" i="116"/>
  <c r="O114" i="116"/>
  <c r="O102" i="116"/>
  <c r="O67" i="116"/>
  <c r="O75" i="116"/>
  <c r="O111" i="116"/>
  <c r="P2" i="116" l="1"/>
  <c r="Q2" i="116" s="1"/>
  <c r="B864" i="132" l="1"/>
  <c r="B313" i="132"/>
  <c r="B633" i="132"/>
  <c r="B146" i="132"/>
  <c r="E116" i="132"/>
  <c r="B959" i="132"/>
  <c r="B703" i="132"/>
  <c r="B866" i="132"/>
  <c r="B752" i="132"/>
  <c r="B449" i="132"/>
  <c r="B818" i="132"/>
  <c r="B395" i="132"/>
  <c r="B114" i="132"/>
  <c r="B814" i="132"/>
  <c r="B68" i="132"/>
  <c r="B766" i="132"/>
  <c r="B291" i="132"/>
  <c r="B324" i="132"/>
  <c r="B135" i="135"/>
  <c r="B110" i="135"/>
  <c r="B678" i="132"/>
  <c r="B54" i="132"/>
  <c r="B406" i="132"/>
  <c r="B944" i="132"/>
  <c r="B535" i="132"/>
  <c r="B602" i="132"/>
  <c r="B173" i="132"/>
  <c r="B421" i="132"/>
  <c r="B427" i="132"/>
  <c r="B500" i="132"/>
  <c r="B95" i="132"/>
  <c r="B102" i="135"/>
  <c r="B745" i="132"/>
  <c r="B600" i="132"/>
  <c r="B822" i="132"/>
  <c r="B480" i="132"/>
  <c r="B630" i="132"/>
  <c r="B81" i="132"/>
  <c r="B119" i="135"/>
  <c r="B290" i="132"/>
  <c r="B263" i="132"/>
  <c r="B938" i="132"/>
  <c r="B122" i="132"/>
  <c r="B268" i="132"/>
  <c r="B442" i="132"/>
  <c r="B270" i="132"/>
  <c r="B923" i="132"/>
  <c r="B301" i="132"/>
  <c r="B782" i="132"/>
  <c r="B936" i="132"/>
  <c r="B115" i="135"/>
  <c r="B397" i="132"/>
  <c r="B915" i="132"/>
  <c r="B100" i="132"/>
  <c r="B472" i="132"/>
  <c r="B349" i="132"/>
  <c r="B446" i="132"/>
  <c r="B586" i="132"/>
  <c r="B94" i="132"/>
  <c r="B413" i="132"/>
  <c r="B418" i="132"/>
  <c r="B641" i="132"/>
  <c r="B171" i="132"/>
  <c r="B287" i="132"/>
  <c r="B180" i="132"/>
  <c r="B26" i="132"/>
  <c r="B790" i="132"/>
  <c r="B286" i="132"/>
  <c r="B378" i="132"/>
  <c r="B379" i="132"/>
  <c r="B114" i="135"/>
  <c r="B539" i="132"/>
  <c r="B340" i="132"/>
  <c r="B120" i="132"/>
  <c r="B167" i="132"/>
  <c r="B169" i="132"/>
  <c r="B510" i="132"/>
  <c r="B45" i="132"/>
  <c r="B751" i="132"/>
  <c r="B608" i="132"/>
  <c r="B955" i="132"/>
  <c r="B625" i="132"/>
  <c r="B674" i="132"/>
  <c r="B159" i="132"/>
  <c r="B233" i="132"/>
  <c r="B601" i="132"/>
  <c r="B954" i="132"/>
  <c r="B754" i="132"/>
  <c r="B67" i="132"/>
  <c r="B746" i="132"/>
  <c r="B922" i="132"/>
  <c r="B361" i="132"/>
  <c r="B211" i="132"/>
  <c r="B506" i="132"/>
  <c r="B178" i="132"/>
  <c r="B520" i="132"/>
  <c r="B963" i="132"/>
  <c r="B731" i="132"/>
  <c r="B111" i="135"/>
  <c r="B187" i="132"/>
  <c r="B463" i="132"/>
  <c r="B336" i="132"/>
  <c r="B188" i="132"/>
  <c r="B679" i="132"/>
  <c r="B503" i="132"/>
  <c r="B797" i="132"/>
  <c r="B969" i="132"/>
  <c r="B467" i="132"/>
  <c r="B109" i="132"/>
  <c r="B23" i="132"/>
  <c r="B620" i="132"/>
  <c r="B579" i="132"/>
  <c r="B759" i="132"/>
  <c r="B136" i="132"/>
  <c r="B222" i="132"/>
  <c r="B902" i="132"/>
  <c r="B423" i="132"/>
  <c r="B847" i="132"/>
  <c r="B873" i="132"/>
  <c r="B483" i="132"/>
  <c r="B27" i="132"/>
  <c r="B430" i="132"/>
  <c r="B863" i="132"/>
  <c r="B57" i="132"/>
  <c r="B885" i="132"/>
  <c r="B907" i="132"/>
  <c r="B153" i="132"/>
  <c r="B115" i="132"/>
  <c r="B396" i="132"/>
  <c r="B9" i="132"/>
  <c r="B328" i="132"/>
  <c r="B819" i="132"/>
  <c r="B643" i="132"/>
  <c r="B578" i="132"/>
  <c r="B216" i="132"/>
  <c r="B690" i="132"/>
  <c r="B499" i="132"/>
  <c r="B447" i="132"/>
  <c r="B966" i="132"/>
  <c r="B131" i="135"/>
  <c r="B363" i="132"/>
  <c r="B405" i="132"/>
  <c r="B382" i="132"/>
  <c r="B556" i="132"/>
  <c r="B574" i="132"/>
  <c r="B817" i="132"/>
  <c r="B857" i="132"/>
  <c r="B385" i="132"/>
  <c r="B515" i="132"/>
  <c r="B649" i="132"/>
  <c r="B670" i="132"/>
  <c r="B529" i="132"/>
  <c r="B943" i="132"/>
  <c r="B315" i="132"/>
  <c r="B917" i="132"/>
  <c r="B79" i="132"/>
  <c r="B448" i="132"/>
  <c r="B308" i="132"/>
  <c r="B958" i="132"/>
  <c r="B567" i="132"/>
  <c r="B58" i="132"/>
  <c r="B128" i="135"/>
  <c r="B581" i="132"/>
  <c r="B383" i="132"/>
  <c r="B570" i="132"/>
  <c r="B193" i="132"/>
  <c r="B424" i="132"/>
  <c r="B584" i="132"/>
  <c r="B197" i="132"/>
  <c r="B825" i="132"/>
  <c r="B741" i="132"/>
  <c r="B927" i="132"/>
  <c r="B108" i="132"/>
  <c r="B91" i="132"/>
  <c r="B661" i="132"/>
  <c r="B306" i="132"/>
  <c r="B776" i="132"/>
  <c r="B208" i="132"/>
  <c r="B131" i="132"/>
  <c r="B12" i="132"/>
  <c r="B872" i="132"/>
  <c r="B434" i="132"/>
  <c r="B910" i="132"/>
  <c r="B38" i="132"/>
  <c r="B198" i="132"/>
  <c r="B451" i="132"/>
  <c r="B101" i="135"/>
  <c r="B543" i="132"/>
  <c r="B309" i="132"/>
  <c r="B780" i="132"/>
  <c r="B28" i="132"/>
  <c r="B329" i="132"/>
  <c r="B175" i="132"/>
  <c r="B466" i="132"/>
  <c r="B880" i="132"/>
  <c r="B618" i="132"/>
  <c r="B87" i="132"/>
  <c r="B311" i="132"/>
  <c r="B225" i="132"/>
  <c r="B952" i="132"/>
  <c r="B212" i="132"/>
  <c r="B76" i="132"/>
  <c r="B479" i="132"/>
  <c r="B592" i="132"/>
  <c r="B375" i="132"/>
  <c r="B871" i="132"/>
  <c r="B429" i="132"/>
  <c r="B675" i="132"/>
  <c r="B509" i="132"/>
  <c r="B48" i="132"/>
  <c r="B127" i="135"/>
  <c r="B772" i="132"/>
  <c r="B707" i="132"/>
  <c r="B947" i="132"/>
  <c r="B113" i="135"/>
  <c r="B444" i="132"/>
  <c r="B96" i="132"/>
  <c r="B261" i="132"/>
  <c r="B245" i="132"/>
  <c r="B112" i="132"/>
  <c r="B619" i="132"/>
  <c r="B8" i="132"/>
  <c r="B412" i="132"/>
  <c r="B93" i="132"/>
  <c r="B121" i="135"/>
  <c r="B231" i="132"/>
  <c r="B916" i="132"/>
  <c r="B461" i="132"/>
  <c r="B332" i="132"/>
  <c r="B134" i="132"/>
  <c r="B541" i="132"/>
  <c r="B651" i="132"/>
  <c r="B562" i="132"/>
  <c r="B176" i="132"/>
  <c r="B599" i="132"/>
  <c r="B213" i="132"/>
  <c r="B950" i="132"/>
  <c r="B481" i="132"/>
  <c r="B760" i="132"/>
  <c r="B152" i="132"/>
  <c r="B892" i="132"/>
  <c r="B399" i="132"/>
  <c r="B202" i="132"/>
  <c r="B251" i="132"/>
  <c r="B226" i="132"/>
  <c r="B293" i="132"/>
  <c r="B532" i="132"/>
  <c r="B17" i="132"/>
  <c r="B321" i="132"/>
  <c r="B948" i="132"/>
  <c r="B744" i="132"/>
  <c r="B241" i="132"/>
  <c r="B637" i="132"/>
  <c r="B236" i="132"/>
  <c r="B150" i="132"/>
  <c r="B342" i="132"/>
  <c r="B269" i="132"/>
  <c r="B573" i="132"/>
  <c r="B784" i="132"/>
  <c r="B228" i="132"/>
  <c r="B875" i="132"/>
  <c r="B194" i="132"/>
  <c r="B830" i="132"/>
  <c r="B691" i="132"/>
  <c r="B133" i="135"/>
  <c r="B598" i="132"/>
  <c r="B84" i="132"/>
  <c r="B768" i="132"/>
  <c r="B199" i="132"/>
  <c r="B149" i="132"/>
  <c r="B595" i="132"/>
  <c r="B207" i="132"/>
  <c r="B118" i="132"/>
  <c r="B65" i="132"/>
  <c r="B611" i="132"/>
  <c r="B458" i="132"/>
  <c r="B576" i="132"/>
  <c r="B163" i="132"/>
  <c r="B273" i="132"/>
  <c r="B536" i="132"/>
  <c r="B338" i="132"/>
  <c r="B577" i="132"/>
  <c r="B733" i="132"/>
  <c r="B565" i="132"/>
  <c r="B255" i="132"/>
  <c r="B839" i="132"/>
  <c r="B320" i="132"/>
  <c r="B104" i="132"/>
  <c r="B747" i="132"/>
  <c r="B734" i="132"/>
  <c r="B157" i="132"/>
  <c r="B126" i="135"/>
  <c r="B870" i="132"/>
  <c r="B478" i="132"/>
  <c r="B929" i="132"/>
  <c r="B417" i="132"/>
  <c r="B698" i="132"/>
  <c r="B49" i="132"/>
  <c r="B177" i="132"/>
  <c r="B571" i="132"/>
  <c r="B74" i="132"/>
  <c r="B622" i="132"/>
  <c r="B585" i="132"/>
  <c r="B823" i="132"/>
  <c r="B204" i="132"/>
  <c r="B307" i="132"/>
  <c r="B934" i="132"/>
  <c r="B607" i="132"/>
  <c r="B116" i="135"/>
  <c r="B672" i="132"/>
  <c r="B688" i="132"/>
  <c r="B831" i="132"/>
  <c r="B83" i="132"/>
  <c r="B696" i="132"/>
  <c r="B195" i="132"/>
  <c r="B794" i="132"/>
  <c r="B770" i="132"/>
  <c r="B706" i="132"/>
  <c r="B560" i="132"/>
  <c r="B468" i="132"/>
  <c r="B252" i="132"/>
  <c r="B971" i="132"/>
  <c r="B761" i="132"/>
  <c r="B530" i="132"/>
  <c r="B303" i="132"/>
  <c r="B337" i="132"/>
  <c r="B450" i="132"/>
  <c r="B867" i="132"/>
  <c r="B650" i="132"/>
  <c r="H99" i="132"/>
  <c r="B881" i="132"/>
  <c r="B148" i="132"/>
  <c r="B697" i="132"/>
  <c r="B874" i="132"/>
  <c r="B398" i="132"/>
  <c r="B692" i="132"/>
  <c r="B640" i="132"/>
  <c r="B605" i="132"/>
  <c r="B860" i="132"/>
  <c r="B200" i="132"/>
  <c r="B635" i="132"/>
  <c r="B135" i="132"/>
  <c r="B323" i="132"/>
  <c r="B821" i="132"/>
  <c r="B404" i="132"/>
  <c r="B789" i="132"/>
  <c r="B796" i="132"/>
  <c r="B369" i="132"/>
  <c r="B629" i="132"/>
  <c r="B773" i="132"/>
  <c r="B31" i="132"/>
  <c r="B151" i="132"/>
  <c r="B793" i="132"/>
  <c r="B161" i="132"/>
  <c r="B302" i="132"/>
  <c r="B134" i="135"/>
  <c r="B840" i="132"/>
  <c r="B452" i="132"/>
  <c r="B326" i="132"/>
  <c r="B828" i="132"/>
  <c r="B671" i="132"/>
  <c r="B121" i="132"/>
  <c r="B66" i="132"/>
  <c r="B591" i="132"/>
  <c r="B513" i="132"/>
  <c r="B791" i="132"/>
  <c r="B838" i="132"/>
  <c r="B521" i="132"/>
  <c r="B762" i="132"/>
  <c r="B970" i="132"/>
  <c r="B172" i="132"/>
  <c r="B973" i="132"/>
  <c r="B788" i="132"/>
  <c r="B330" i="132"/>
  <c r="B431" i="132"/>
  <c r="B627" i="132"/>
  <c r="B889" i="132"/>
  <c r="B310" i="132"/>
  <c r="B441" i="132"/>
  <c r="B436" i="132"/>
  <c r="B72" i="132"/>
  <c r="B689" i="132"/>
  <c r="B7" i="132"/>
  <c r="B237" i="132"/>
  <c r="B240" i="132"/>
  <c r="B335" i="132"/>
  <c r="B422" i="132"/>
  <c r="B942" i="132"/>
  <c r="B957" i="132"/>
  <c r="B738" i="132"/>
  <c r="B107" i="132"/>
  <c r="B705" i="132"/>
  <c r="B70" i="132"/>
  <c r="B473" i="132"/>
  <c r="B893" i="132"/>
  <c r="B189" i="132"/>
  <c r="B639" i="132"/>
  <c r="B218" i="132"/>
  <c r="B333" i="132"/>
  <c r="B755" i="132"/>
  <c r="B482" i="132"/>
  <c r="B206" i="132"/>
  <c r="B609" i="132"/>
  <c r="B783" i="132"/>
  <c r="B884" i="132"/>
  <c r="B583" i="132"/>
  <c r="B895" i="132"/>
  <c r="B901" i="132"/>
  <c r="B111" i="132"/>
  <c r="B460" i="132"/>
  <c r="B294" i="132"/>
  <c r="B914" i="132"/>
  <c r="B391" i="132"/>
  <c r="B350" i="132"/>
  <c r="B282" i="132"/>
  <c r="B281" i="132"/>
  <c r="B846" i="132"/>
  <c r="B217" i="132"/>
  <c r="B347" i="132"/>
  <c r="B877" i="132"/>
  <c r="B89" i="132"/>
  <c r="B647" i="132"/>
  <c r="B179" i="132"/>
  <c r="B60" i="132"/>
  <c r="B668" i="132"/>
  <c r="B667" i="132"/>
  <c r="B107" i="135"/>
  <c r="B103" i="132"/>
  <c r="B756" i="132"/>
  <c r="B486" i="132"/>
  <c r="B433" i="132"/>
  <c r="B341" i="132"/>
  <c r="B537" i="132"/>
  <c r="B254" i="132"/>
  <c r="B253" i="132"/>
  <c r="B663" i="132"/>
  <c r="B909" i="132"/>
  <c r="B230" i="132"/>
  <c r="B665" i="132"/>
  <c r="B411" i="132"/>
  <c r="B879" i="132"/>
  <c r="B409" i="132"/>
  <c r="B15" i="132"/>
  <c r="B453" i="132"/>
  <c r="B919" i="132"/>
  <c r="B400" i="132"/>
  <c r="B964" i="132"/>
  <c r="B292" i="132"/>
  <c r="B810" i="132"/>
  <c r="B428" i="132"/>
  <c r="B317" i="132"/>
  <c r="B224" i="132"/>
  <c r="B407" i="132"/>
  <c r="B110" i="132"/>
  <c r="B588" i="132"/>
  <c r="B517" i="132"/>
  <c r="B765" i="132"/>
  <c r="B835" i="132"/>
  <c r="B502" i="132"/>
  <c r="B364" i="132"/>
  <c r="B811" i="132"/>
  <c r="B376" i="132"/>
  <c r="B344" i="132"/>
  <c r="B924" i="132"/>
  <c r="B437" i="132"/>
  <c r="B244" i="132"/>
  <c r="B272" i="132"/>
  <c r="B314" i="132"/>
  <c r="B798" i="132"/>
  <c r="B265" i="132"/>
  <c r="B677" i="132"/>
  <c r="B372" i="132"/>
  <c r="B289" i="132"/>
  <c r="B223" i="132"/>
  <c r="B239" i="132"/>
  <c r="B488" i="132"/>
  <c r="B490" i="132"/>
  <c r="B220" i="132"/>
  <c r="B90" i="132"/>
  <c r="B930" i="132"/>
  <c r="B616" i="132"/>
  <c r="B118" i="135"/>
  <c r="B777" i="132"/>
  <c r="B156" i="132"/>
  <c r="B266" i="132"/>
  <c r="B928" i="132"/>
  <c r="B64" i="132"/>
  <c r="B593" i="132"/>
  <c r="E99" i="132"/>
  <c r="B868" i="132"/>
  <c r="B572" i="132"/>
  <c r="B401" i="132"/>
  <c r="B527" i="132"/>
  <c r="B632" i="132"/>
  <c r="B912" i="132"/>
  <c r="B456" i="132"/>
  <c r="B221" i="132"/>
  <c r="B360" i="132"/>
  <c r="B53" i="132"/>
  <c r="B443" i="132"/>
  <c r="B105" i="132"/>
  <c r="B590" i="132"/>
  <c r="B357" i="132"/>
  <c r="B888" i="132"/>
  <c r="B642" i="132"/>
  <c r="B906" i="132"/>
  <c r="B51" i="132"/>
  <c r="B123" i="135"/>
  <c r="B816" i="132"/>
  <c r="B899" i="132"/>
  <c r="B695" i="132"/>
  <c r="B295" i="132"/>
  <c r="B664" i="132"/>
  <c r="B39" i="132"/>
  <c r="B219" i="132"/>
  <c r="B78" i="132"/>
  <c r="B898" i="132"/>
  <c r="B232" i="132"/>
  <c r="B238" i="132"/>
  <c r="B103" i="135"/>
  <c r="B504" i="132"/>
  <c r="B931" i="132"/>
  <c r="B36" i="132"/>
  <c r="B557" i="132"/>
  <c r="B319" i="132"/>
  <c r="B808" i="132"/>
  <c r="B201" i="132"/>
  <c r="B155" i="132"/>
  <c r="B123" i="132"/>
  <c r="B534" i="132"/>
  <c r="B525" i="132"/>
  <c r="B271" i="132"/>
  <c r="B37" i="132"/>
  <c r="B546" i="132"/>
  <c r="B86" i="132"/>
  <c r="B365" i="132"/>
  <c r="B288" i="132"/>
  <c r="B112" i="135"/>
  <c r="B20" i="132"/>
  <c r="B41" i="132"/>
  <c r="B961" i="132"/>
  <c r="B62" i="132"/>
  <c r="B170" i="132"/>
  <c r="B704" i="132"/>
  <c r="B147" i="132"/>
  <c r="B327" i="132"/>
  <c r="B920" i="132"/>
  <c r="B304" i="132"/>
  <c r="B16" i="132"/>
  <c r="B75" i="132"/>
  <c r="B362" i="132"/>
  <c r="B626" i="132"/>
  <c r="B63" i="132"/>
  <c r="B459" i="132"/>
  <c r="B393" i="132"/>
  <c r="B859" i="132"/>
  <c r="B164" i="132"/>
  <c r="B702" i="132"/>
  <c r="B457" i="132"/>
  <c r="B73" i="132"/>
  <c r="B46" i="132"/>
  <c r="B331" i="132"/>
  <c r="B569" i="132"/>
  <c r="B563" i="132"/>
  <c r="B471" i="132"/>
  <c r="B410" i="132"/>
  <c r="B522" i="132"/>
  <c r="B192" i="132"/>
  <c r="B545" i="132"/>
  <c r="B882" i="132"/>
  <c r="B555" i="132"/>
  <c r="B528" i="132"/>
  <c r="B56" i="132"/>
  <c r="B334" i="132"/>
  <c r="B234" i="132"/>
  <c r="B587" i="132"/>
  <c r="B88" i="132"/>
  <c r="B366" i="132"/>
  <c r="B564" i="132"/>
  <c r="B781" i="132"/>
  <c r="B125" i="132"/>
  <c r="B43" i="132"/>
  <c r="B59" i="132"/>
  <c r="B615" i="132"/>
  <c r="B833" i="132"/>
  <c r="B160" i="132"/>
  <c r="B951" i="132"/>
  <c r="B415" i="132"/>
  <c r="B120" i="135"/>
  <c r="B824" i="132"/>
  <c r="B158" i="132"/>
  <c r="B215" i="132"/>
  <c r="B941" i="132"/>
  <c r="B367" i="132"/>
  <c r="B394" i="132"/>
  <c r="B795" i="132"/>
  <c r="B542" i="132"/>
  <c r="B129" i="135"/>
  <c r="B807" i="132"/>
  <c r="B623" i="132"/>
  <c r="B439" i="132"/>
  <c r="B203" i="132"/>
  <c r="B117" i="132"/>
  <c r="B356" i="132"/>
  <c r="B247" i="132"/>
  <c r="B900" i="132"/>
  <c r="B124" i="132"/>
  <c r="B740" i="132"/>
  <c r="B908" i="132"/>
  <c r="B235" i="132"/>
  <c r="B82" i="132"/>
  <c r="B346" i="132"/>
  <c r="B127" i="132"/>
  <c r="B374" i="132"/>
  <c r="H116" i="132"/>
  <c r="B377" i="132"/>
  <c r="B50" i="132"/>
  <c r="B699" i="132"/>
  <c r="B384" i="132"/>
  <c r="B322" i="132"/>
  <c r="B22" i="132"/>
  <c r="B965" i="132"/>
  <c r="B227" i="132"/>
  <c r="B844" i="132"/>
  <c r="B558" i="132"/>
  <c r="B345" i="132"/>
  <c r="B249" i="132"/>
  <c r="B432" i="132"/>
  <c r="B693" i="132"/>
  <c r="B524" i="132"/>
  <c r="B737" i="132"/>
  <c r="B21" i="132"/>
  <c r="B426" i="132"/>
  <c r="B730" i="132"/>
  <c r="B742" i="132"/>
  <c r="B470" i="132"/>
  <c r="B250" i="132"/>
  <c r="B935" i="132"/>
  <c r="B634" i="132"/>
  <c r="B837" i="132"/>
  <c r="B815" i="132"/>
  <c r="B489" i="132"/>
  <c r="B339" i="132"/>
  <c r="B242" i="132"/>
  <c r="B403" i="132"/>
  <c r="B732" i="132"/>
  <c r="B775" i="132"/>
  <c r="B162" i="132"/>
  <c r="B763" i="132"/>
  <c r="B373" i="132"/>
  <c r="B105" i="135"/>
  <c r="B949" i="132"/>
  <c r="B284" i="132"/>
  <c r="B786" i="132"/>
  <c r="B80" i="132"/>
  <c r="B133" i="132"/>
  <c r="B921" i="132"/>
  <c r="B312" i="132"/>
  <c r="B856" i="132"/>
  <c r="B787" i="132"/>
  <c r="B518" i="132"/>
  <c r="B97" i="132"/>
  <c r="B109" i="135"/>
  <c r="B125" i="135"/>
  <c r="B408" i="132"/>
  <c r="B749" i="132"/>
  <c r="B325" i="132"/>
  <c r="B274" i="132"/>
  <c r="B474" i="132"/>
  <c r="B891" i="132"/>
  <c r="B968" i="132"/>
  <c r="B33" i="132"/>
  <c r="B507" i="132"/>
  <c r="B29" i="132"/>
  <c r="B937" i="132"/>
  <c r="B283" i="132"/>
  <c r="B229" i="132"/>
  <c r="B523" i="132"/>
  <c r="B842" i="132"/>
  <c r="B359" i="132"/>
  <c r="B896" i="132"/>
  <c r="B440" i="132"/>
  <c r="B108" i="135"/>
  <c r="B580" i="132"/>
  <c r="B735" i="132"/>
  <c r="B416" i="132"/>
  <c r="B77" i="132"/>
  <c r="B613" i="132"/>
  <c r="B104" i="135"/>
  <c r="B905" i="132"/>
  <c r="B435" i="132"/>
  <c r="B414" i="132"/>
  <c r="B18" i="132"/>
  <c r="B769" i="132"/>
  <c r="B676" i="132"/>
  <c r="B843" i="132"/>
  <c r="B940" i="132"/>
  <c r="B894" i="132"/>
  <c r="B508" i="132"/>
  <c r="B845" i="132"/>
  <c r="B248" i="132"/>
  <c r="B191" i="132"/>
  <c r="B606" i="132"/>
  <c r="B262" i="132"/>
  <c r="B419" i="132"/>
  <c r="B186" i="132"/>
  <c r="B69" i="132"/>
  <c r="B809" i="132"/>
  <c r="B531" i="132"/>
  <c r="B106" i="132"/>
  <c r="B464" i="132"/>
  <c r="B597" i="132"/>
  <c r="B174" i="132"/>
  <c r="B662" i="132"/>
  <c r="B544" i="132"/>
  <c r="B113" i="132"/>
  <c r="B538" i="132"/>
  <c r="B454" i="132"/>
  <c r="B475" i="132"/>
  <c r="B604" i="132"/>
  <c r="B972" i="132"/>
  <c r="B380" i="132"/>
  <c r="B945" i="132"/>
  <c r="B485" i="132"/>
  <c r="B106" i="135"/>
  <c r="B92" i="132"/>
  <c r="B826" i="132"/>
  <c r="B669" i="132"/>
  <c r="B861" i="132"/>
  <c r="B101" i="132"/>
  <c r="B748" i="132"/>
  <c r="B210" i="132"/>
  <c r="B559" i="132"/>
  <c r="B285" i="132"/>
  <c r="B371" i="132"/>
  <c r="B71" i="132"/>
  <c r="B32" i="132"/>
  <c r="B566" i="132"/>
  <c r="B514" i="132"/>
  <c r="B130" i="132"/>
  <c r="B501" i="132"/>
  <c r="B465" i="132"/>
  <c r="B487" i="132"/>
  <c r="B358" i="132"/>
  <c r="B887" i="132"/>
  <c r="B209" i="132"/>
  <c r="B132" i="135"/>
  <c r="B98" i="132"/>
  <c r="B956" i="132"/>
  <c r="B962" i="132"/>
  <c r="B812" i="132"/>
  <c r="B402" i="132"/>
  <c r="B44" i="132"/>
  <c r="B646" i="132"/>
  <c r="B168" i="132"/>
  <c r="B392" i="132"/>
  <c r="B511" i="132"/>
  <c r="B243" i="132"/>
  <c r="B126" i="132"/>
  <c r="B758" i="132"/>
  <c r="B305" i="132"/>
  <c r="B858" i="132"/>
  <c r="B196" i="132"/>
  <c r="B370" i="132"/>
  <c r="B275" i="132"/>
  <c r="B316" i="132"/>
  <c r="B61" i="132"/>
  <c r="B660" i="132"/>
  <c r="B445" i="132"/>
  <c r="B836" i="132"/>
  <c r="B154" i="132"/>
  <c r="B832" i="132"/>
  <c r="B130" i="135"/>
  <c r="B420" i="132"/>
  <c r="B368" i="132"/>
  <c r="B628" i="132"/>
  <c r="B700" i="132"/>
  <c r="B648" i="132"/>
  <c r="B165" i="132"/>
  <c r="B455" i="132"/>
  <c r="B865" i="132"/>
  <c r="B594" i="132"/>
  <c r="B52" i="132"/>
  <c r="B246" i="132"/>
  <c r="B122" i="135"/>
  <c r="B117" i="135"/>
  <c r="B614" i="132"/>
  <c r="B829" i="132"/>
  <c r="B264" i="132"/>
  <c r="B124" i="135"/>
  <c r="B913" i="132"/>
  <c r="B462" i="132"/>
  <c r="B438" i="132"/>
  <c r="B129" i="132"/>
  <c r="B166" i="132"/>
  <c r="B214" i="132"/>
  <c r="B42" i="132"/>
  <c r="B878" i="132"/>
  <c r="B40" i="132"/>
  <c r="B644" i="132"/>
  <c r="B267" i="132"/>
  <c r="B612" i="132"/>
  <c r="B34" i="132"/>
  <c r="B903" i="132"/>
  <c r="B636" i="132"/>
  <c r="B132" i="132"/>
  <c r="B318" i="132"/>
  <c r="B774" i="132"/>
  <c r="B205" i="132"/>
  <c r="B926" i="132"/>
  <c r="B469" i="132"/>
  <c r="B886" i="132"/>
  <c r="B753" i="132"/>
  <c r="B425" i="132"/>
  <c r="B348" i="132"/>
  <c r="B55" i="132"/>
  <c r="B739" i="132"/>
  <c r="B767" i="132"/>
  <c r="B343" i="132"/>
  <c r="B190" i="132"/>
  <c r="B47" i="132"/>
  <c r="B381" i="132"/>
  <c r="B516" i="132"/>
  <c r="B779" i="132"/>
  <c r="B933" i="132"/>
  <c r="B621" i="132"/>
  <c r="B932" i="132" l="1"/>
  <c r="B778" i="132"/>
  <c r="B185" i="132"/>
  <c r="B925" i="132"/>
  <c r="B259" i="132"/>
  <c r="B659" i="132"/>
  <c r="B653" i="132"/>
  <c r="B851" i="132"/>
  <c r="B300" i="132"/>
  <c r="B757" i="132"/>
  <c r="B387" i="132"/>
  <c r="B645" i="132"/>
  <c r="B805" i="132"/>
  <c r="B353" i="132"/>
  <c r="B494" i="132"/>
  <c r="B552" i="132"/>
  <c r="B854" i="132"/>
  <c r="B484" i="132"/>
  <c r="B603" i="132"/>
  <c r="B655" i="132"/>
  <c r="B596" i="132"/>
  <c r="B802" i="132"/>
  <c r="B257" i="132"/>
  <c r="B939" i="132"/>
  <c r="B904" i="132"/>
  <c r="B728" i="132"/>
  <c r="B721" i="132" s="1"/>
  <c r="B714" i="132" s="1"/>
  <c r="B354" i="132"/>
  <c r="B841" i="132"/>
  <c r="B967" i="132"/>
  <c r="B890" i="132"/>
  <c r="B849" i="132"/>
  <c r="B855" i="132"/>
  <c r="B785" i="132"/>
  <c r="B725" i="132"/>
  <c r="B718" i="132" s="1"/>
  <c r="B711" i="132" s="1"/>
  <c r="B723" i="132"/>
  <c r="B729" i="132"/>
  <c r="B736" i="132"/>
  <c r="B686" i="132"/>
  <c r="B551" i="132"/>
  <c r="B806" i="132"/>
  <c r="B800" i="132"/>
  <c r="B389" i="132"/>
  <c r="B548" i="132"/>
  <c r="B554" i="132"/>
  <c r="B568" i="132"/>
  <c r="B701" i="132"/>
  <c r="B852" i="132"/>
  <c r="B388" i="132"/>
  <c r="B299" i="132"/>
  <c r="B142" i="132"/>
  <c r="B960" i="132"/>
  <c r="B19" i="132"/>
  <c r="B533" i="132"/>
  <c r="B801" i="132"/>
  <c r="B550" i="132"/>
  <c r="B497" i="132"/>
  <c r="B897" i="132"/>
  <c r="B657" i="132"/>
  <c r="B280" i="132"/>
  <c r="B694" i="132"/>
  <c r="B352" i="132"/>
  <c r="B351" i="132" s="1"/>
  <c r="B589" i="132"/>
  <c r="B355" i="132"/>
  <c r="B911" i="132"/>
  <c r="B631" i="132"/>
  <c r="B526" i="132"/>
  <c r="B260" i="132"/>
  <c r="B804" i="132"/>
  <c r="B495" i="132"/>
  <c r="B834" i="132"/>
  <c r="B764" i="132"/>
  <c r="B803" i="132"/>
  <c r="B277" i="132"/>
  <c r="B918" i="132"/>
  <c r="B14" i="132"/>
  <c r="B658" i="132"/>
  <c r="B656" i="132"/>
  <c r="B666" i="132"/>
  <c r="B876" i="132"/>
  <c r="B279" i="132"/>
  <c r="B582" i="132"/>
  <c r="B883" i="132"/>
  <c r="B638" i="132"/>
  <c r="B184" i="132"/>
  <c r="B5" i="132"/>
  <c r="B4" i="132"/>
  <c r="R2" i="116" s="1"/>
  <c r="S2" i="116" s="1"/>
  <c r="B682" i="132"/>
  <c r="B512" i="132"/>
  <c r="B827" i="132"/>
  <c r="B297" i="132"/>
  <c r="B792" i="132"/>
  <c r="B30" i="132"/>
  <c r="B820" i="132"/>
  <c r="B853" i="132"/>
  <c r="B685" i="132"/>
  <c r="B143" i="132"/>
  <c r="B298" i="132"/>
  <c r="B553" i="132"/>
  <c r="B681" i="132"/>
  <c r="B687" i="132"/>
  <c r="B477" i="132"/>
  <c r="B869" i="132"/>
  <c r="B727" i="132"/>
  <c r="B720" i="132" s="1"/>
  <c r="B713" i="132" s="1"/>
  <c r="B726" i="132"/>
  <c r="B719" i="132" s="1"/>
  <c r="B712" i="132" s="1"/>
  <c r="B575" i="132"/>
  <c r="B610" i="132"/>
  <c r="B144" i="132"/>
  <c r="B684" i="132"/>
  <c r="B145" i="132"/>
  <c r="B743" i="132"/>
  <c r="B278" i="132"/>
  <c r="B561" i="132"/>
  <c r="B540" i="132"/>
  <c r="B946" i="132"/>
  <c r="B771" i="132"/>
  <c r="B617" i="132"/>
  <c r="B654" i="132"/>
  <c r="B850" i="132"/>
  <c r="B549" i="132"/>
  <c r="B498" i="132"/>
  <c r="B492" i="132"/>
  <c r="B683" i="132"/>
  <c r="B862" i="132"/>
  <c r="B496" i="132"/>
  <c r="B183" i="132"/>
  <c r="B182" i="132"/>
  <c r="B724" i="132"/>
  <c r="B519" i="132"/>
  <c r="B505" i="132"/>
  <c r="B953" i="132"/>
  <c r="B673" i="132"/>
  <c r="B624" i="132"/>
  <c r="B750" i="132"/>
  <c r="B25" i="132"/>
  <c r="B258" i="132"/>
  <c r="B493" i="132"/>
  <c r="B813" i="132"/>
  <c r="B390" i="132"/>
  <c r="B99" i="132"/>
  <c r="B116" i="132"/>
  <c r="B799" i="132" l="1"/>
  <c r="B716" i="132"/>
  <c r="B709" i="132" s="1"/>
  <c r="B722" i="132"/>
  <c r="B715" i="132" s="1"/>
  <c r="B708" i="132" s="1"/>
  <c r="B256" i="132"/>
  <c r="B386" i="132"/>
  <c r="B680" i="132"/>
  <c r="T2" i="116"/>
  <c r="U2" i="116"/>
  <c r="B717" i="132"/>
  <c r="B710" i="132" s="1"/>
  <c r="B491" i="132"/>
  <c r="B276" i="132"/>
  <c r="B141" i="132"/>
  <c r="B181" i="132"/>
  <c r="B296" i="132"/>
  <c r="B547" i="132"/>
  <c r="B848" i="132"/>
  <c r="B652" i="132"/>
  <c r="B137" i="132" l="1"/>
  <c r="B138" i="132" s="1"/>
  <c r="B139" i="132"/>
  <c r="B140" i="132" s="1"/>
</calcChain>
</file>

<file path=xl/sharedStrings.xml><?xml version="1.0" encoding="utf-8"?>
<sst xmlns="http://schemas.openxmlformats.org/spreadsheetml/2006/main" count="24429" uniqueCount="321">
  <si>
    <t>PwC</t>
  </si>
  <si>
    <t>Carer</t>
  </si>
  <si>
    <t>New</t>
  </si>
  <si>
    <t>Male</t>
  </si>
  <si>
    <t>Female</t>
  </si>
  <si>
    <t>Journey Stage</t>
  </si>
  <si>
    <t>Activity</t>
  </si>
  <si>
    <t>Programme</t>
  </si>
  <si>
    <t>Cancer Site</t>
  </si>
  <si>
    <t>Brain/CNS</t>
  </si>
  <si>
    <t>Breast</t>
  </si>
  <si>
    <t>Gynae</t>
  </si>
  <si>
    <t>Head/Neck</t>
  </si>
  <si>
    <t>Lower GI</t>
  </si>
  <si>
    <t>Skin/Mel</t>
  </si>
  <si>
    <t>Upper GI</t>
  </si>
  <si>
    <t>Urolog</t>
  </si>
  <si>
    <t>Booked</t>
  </si>
  <si>
    <t>Telephone Support</t>
  </si>
  <si>
    <t>E-mail Support</t>
  </si>
  <si>
    <t>Look Good Feel Better</t>
  </si>
  <si>
    <t>Yoga</t>
  </si>
  <si>
    <t>Other Visitor</t>
  </si>
  <si>
    <t>Lung</t>
  </si>
  <si>
    <t>Total Visits (excluding other visitors)</t>
  </si>
  <si>
    <t>Person</t>
  </si>
  <si>
    <t>Male/Female</t>
  </si>
  <si>
    <t>Criteria</t>
  </si>
  <si>
    <t>New PwC</t>
  </si>
  <si>
    <t>Returning PwC</t>
  </si>
  <si>
    <t>New Carer</t>
  </si>
  <si>
    <t>Returning Carer</t>
  </si>
  <si>
    <t>Total Programme</t>
  </si>
  <si>
    <t>New Male</t>
  </si>
  <si>
    <t>Returning Male</t>
  </si>
  <si>
    <t>New Female</t>
  </si>
  <si>
    <t>Returning Female</t>
  </si>
  <si>
    <t>Total Visits</t>
  </si>
  <si>
    <t>Total New</t>
  </si>
  <si>
    <t>Total Male</t>
  </si>
  <si>
    <t>Total Female</t>
  </si>
  <si>
    <t>Cancer Site (PwC only)</t>
  </si>
  <si>
    <t>Total Visits (including other visitors)</t>
  </si>
  <si>
    <t>New Drop In</t>
  </si>
  <si>
    <t>Returning Drop In</t>
  </si>
  <si>
    <t>Total Drop In</t>
  </si>
  <si>
    <t>New Programme</t>
  </si>
  <si>
    <t>Returning Programme</t>
  </si>
  <si>
    <t>New Booked</t>
  </si>
  <si>
    <t>Returning Booked</t>
  </si>
  <si>
    <t>Total Booked</t>
  </si>
  <si>
    <t>Male PwC</t>
  </si>
  <si>
    <t>Male Carer</t>
  </si>
  <si>
    <t>Female PwC</t>
  </si>
  <si>
    <t>Female Carer</t>
  </si>
  <si>
    <t>Gender</t>
  </si>
  <si>
    <t>Prostate</t>
  </si>
  <si>
    <t>Facilitated Support Groups</t>
  </si>
  <si>
    <t>Daily Visitor Log</t>
  </si>
  <si>
    <t>Programme name</t>
  </si>
  <si>
    <t>Cancer site</t>
  </si>
  <si>
    <t>C</t>
  </si>
  <si>
    <t>Office Use Only</t>
  </si>
  <si>
    <t>Psychological Support</t>
  </si>
  <si>
    <t>Visit Type</t>
  </si>
  <si>
    <t>Female Drop In</t>
  </si>
  <si>
    <t>Female Programme</t>
  </si>
  <si>
    <t>Male Booked</t>
  </si>
  <si>
    <t>Female Booked</t>
  </si>
  <si>
    <t>New TS</t>
  </si>
  <si>
    <t>Male TS</t>
  </si>
  <si>
    <t>Female TS</t>
  </si>
  <si>
    <t>New ES</t>
  </si>
  <si>
    <t>Male ES</t>
  </si>
  <si>
    <t>Female ES</t>
  </si>
  <si>
    <t>Carer Drop In</t>
  </si>
  <si>
    <t>PwC Programme</t>
  </si>
  <si>
    <t>Carer Programme</t>
  </si>
  <si>
    <t>PwC Booked</t>
  </si>
  <si>
    <t>Carer Booked</t>
  </si>
  <si>
    <t>PwC TS</t>
  </si>
  <si>
    <t>Carer TS</t>
  </si>
  <si>
    <t>PwC ES</t>
  </si>
  <si>
    <t>Carer ES</t>
  </si>
  <si>
    <t>Total Telephone Support</t>
  </si>
  <si>
    <t>Total E-mail Support</t>
  </si>
  <si>
    <t>Male Drop In</t>
  </si>
  <si>
    <t>Do not type data, add or delete rows below this point</t>
  </si>
  <si>
    <t>Instructions:</t>
  </si>
  <si>
    <t>To add a new category to a drop down list:</t>
  </si>
  <si>
    <t>Add the new category where you want it to appear in the list (using Insert Rows)</t>
  </si>
  <si>
    <t>If the new category is in the middle of an existing list it will automatically be included</t>
  </si>
  <si>
    <t>Changing the length of one drop down list has no impact on other lists</t>
  </si>
  <si>
    <t>All categories in a drop down list are grouped together using a NAME (which represents a group of cells)</t>
  </si>
  <si>
    <t>If you have added a row at the top/bottom of an existing list you need to update the NAME to ensure it includes the new categories</t>
  </si>
  <si>
    <t>Select Insert, Name, highlight relevant NAME, update the cells it refers to (eg. =Categories!$A$8:$A$13) to include new cells</t>
  </si>
  <si>
    <t>Drop down lists for all worksheets</t>
  </si>
  <si>
    <t xml:space="preserve">To display a drop down list in the Visitor Logs, reference the relevant NAME in the Validation menu (eg. =ValidPerson) </t>
  </si>
  <si>
    <t>Nature of Visit</t>
  </si>
  <si>
    <t>Mindfulness</t>
  </si>
  <si>
    <t>Cancer Site (New PwC only)</t>
  </si>
  <si>
    <t>Gardening</t>
  </si>
  <si>
    <t>Gentle Exercise</t>
  </si>
  <si>
    <t>Meditation</t>
  </si>
  <si>
    <t>Scrapbooking</t>
  </si>
  <si>
    <t>Where Now?</t>
  </si>
  <si>
    <t>Haemat</t>
  </si>
  <si>
    <t>End of Life</t>
  </si>
  <si>
    <t>Male Programme</t>
  </si>
  <si>
    <t>Date</t>
  </si>
  <si>
    <t>Not Stated</t>
  </si>
  <si>
    <t>Seen by</t>
  </si>
  <si>
    <t>Centre Head</t>
  </si>
  <si>
    <t>CSS</t>
  </si>
  <si>
    <t>Psychologist</t>
  </si>
  <si>
    <t>Benefits Advisor</t>
  </si>
  <si>
    <t>Sessional Staff</t>
  </si>
  <si>
    <t>Networking Group</t>
  </si>
  <si>
    <t>FSG Young Women's</t>
  </si>
  <si>
    <t>FSG Men's</t>
  </si>
  <si>
    <t>FSG Family and Friends</t>
  </si>
  <si>
    <t>NG Breast</t>
  </si>
  <si>
    <t>NG Prostate</t>
  </si>
  <si>
    <t>NG Laryngectomy</t>
  </si>
  <si>
    <t>NG Lymphoedema</t>
  </si>
  <si>
    <t>NG Lower GI</t>
  </si>
  <si>
    <t>NG Upper GI</t>
  </si>
  <si>
    <t>NG Lung</t>
  </si>
  <si>
    <t>NG Haematology</t>
  </si>
  <si>
    <t>NG Gynae</t>
  </si>
  <si>
    <t>Psych Support - Individual</t>
  </si>
  <si>
    <t>Psych Support - Family</t>
  </si>
  <si>
    <t>Psych Support - Couple</t>
  </si>
  <si>
    <t>Relaxation</t>
  </si>
  <si>
    <t>Tai Chi/Qi Gong</t>
  </si>
  <si>
    <t>Prosthesis</t>
  </si>
  <si>
    <t>Genetics</t>
  </si>
  <si>
    <t>Benefits - Individual</t>
  </si>
  <si>
    <t>Always add new drop down lists to column A so categories can be added/removed without impacting other lists</t>
  </si>
  <si>
    <t>Networking Groups</t>
  </si>
  <si>
    <t>Laryngectomy</t>
  </si>
  <si>
    <t>Lymphoedema</t>
  </si>
  <si>
    <t>Haematology</t>
  </si>
  <si>
    <t>Nutrition</t>
  </si>
  <si>
    <t>Sleep</t>
  </si>
  <si>
    <t>Benefits</t>
  </si>
  <si>
    <t>Expressive Art</t>
  </si>
  <si>
    <t>Other Visitors</t>
  </si>
  <si>
    <t>NG Myeloma</t>
  </si>
  <si>
    <t>NG Sarcoma</t>
  </si>
  <si>
    <t>Benefits - Couple</t>
  </si>
  <si>
    <t>Benefits - Family</t>
  </si>
  <si>
    <t>Myeloma</t>
  </si>
  <si>
    <t>Sarcoma</t>
  </si>
  <si>
    <t>Pre-Diagnosis</t>
  </si>
  <si>
    <t>Curative Intent</t>
  </si>
  <si>
    <t>Non-Curative Intent</t>
  </si>
  <si>
    <t>Palliative Care</t>
  </si>
  <si>
    <t>Bereaved</t>
  </si>
  <si>
    <t>Drop-In</t>
  </si>
  <si>
    <t>Activity 1</t>
  </si>
  <si>
    <t>Activity 2</t>
  </si>
  <si>
    <t>Activity 3</t>
  </si>
  <si>
    <t>Column Labels</t>
  </si>
  <si>
    <t>Row Labels</t>
  </si>
  <si>
    <t>Grand Total</t>
  </si>
  <si>
    <t>Count Visitors Including Other Visitors</t>
  </si>
  <si>
    <t>(blank)</t>
  </si>
  <si>
    <t>Count New/ Returning</t>
  </si>
  <si>
    <t>Count Male/Female</t>
  </si>
  <si>
    <t>Count Nature of Visit</t>
  </si>
  <si>
    <t>Count Cancer Site</t>
  </si>
  <si>
    <t>Count Journey Stage</t>
  </si>
  <si>
    <t>Count of Date</t>
  </si>
  <si>
    <t>Count Activity</t>
  </si>
  <si>
    <t>Working Days</t>
  </si>
  <si>
    <t>Brain</t>
  </si>
  <si>
    <t>Returning</t>
  </si>
  <si>
    <t>3rd</t>
  </si>
  <si>
    <t>4th</t>
  </si>
  <si>
    <t>7th</t>
  </si>
  <si>
    <t>8th</t>
  </si>
  <si>
    <t>9th</t>
  </si>
  <si>
    <t>10th</t>
  </si>
  <si>
    <t>11th</t>
  </si>
  <si>
    <t>14th</t>
  </si>
  <si>
    <t>15th</t>
  </si>
  <si>
    <t>16th</t>
  </si>
  <si>
    <t>17th</t>
  </si>
  <si>
    <t>18th</t>
  </si>
  <si>
    <t>21st</t>
  </si>
  <si>
    <t>22nd</t>
  </si>
  <si>
    <t>23rd</t>
  </si>
  <si>
    <t>24th</t>
  </si>
  <si>
    <t>25th</t>
  </si>
  <si>
    <t>28th</t>
  </si>
  <si>
    <t>30th</t>
  </si>
  <si>
    <t>31st</t>
  </si>
  <si>
    <t>New/Returning</t>
  </si>
  <si>
    <t>Total Returning</t>
  </si>
  <si>
    <t>Returning TS</t>
  </si>
  <si>
    <t>Returning ES</t>
  </si>
  <si>
    <t>Professional</t>
  </si>
  <si>
    <t>1st</t>
  </si>
  <si>
    <t>2nd</t>
  </si>
  <si>
    <t>Fundraiser</t>
  </si>
  <si>
    <t>6th</t>
  </si>
  <si>
    <t>12th</t>
  </si>
  <si>
    <t>19th</t>
  </si>
  <si>
    <t>20th</t>
  </si>
  <si>
    <t>26th</t>
  </si>
  <si>
    <t>27th</t>
  </si>
  <si>
    <t>Count of Seen by</t>
  </si>
  <si>
    <t>Fundraising</t>
  </si>
  <si>
    <t>PwC count</t>
  </si>
  <si>
    <t>Carer count</t>
  </si>
  <si>
    <t>Sum</t>
  </si>
  <si>
    <t>Total cells</t>
  </si>
  <si>
    <t>Complete rows</t>
  </si>
  <si>
    <t xml:space="preserve">No. Visitors </t>
  </si>
  <si>
    <t>No. cells required</t>
  </si>
  <si>
    <t>Percentage</t>
  </si>
  <si>
    <t>No. blank</t>
  </si>
  <si>
    <t>If more rows needed, please contact admin.</t>
  </si>
  <si>
    <t xml:space="preserve">5th </t>
  </si>
  <si>
    <t xml:space="preserve">13th </t>
  </si>
  <si>
    <t xml:space="preserve">29th </t>
  </si>
  <si>
    <t>Activity by Staff Group</t>
  </si>
  <si>
    <t>Post Treatment - Curative Intent</t>
  </si>
  <si>
    <t>Outreach</t>
  </si>
  <si>
    <t>Architectural</t>
  </si>
  <si>
    <t>International</t>
  </si>
  <si>
    <t>Under 18 Male</t>
  </si>
  <si>
    <t>Under 18 Female</t>
  </si>
  <si>
    <t>Rare</t>
  </si>
  <si>
    <t>Unknown Primary</t>
  </si>
  <si>
    <t>Liver</t>
  </si>
  <si>
    <t>Pancreatic</t>
  </si>
  <si>
    <t>Core</t>
  </si>
  <si>
    <t>FSG Bereavement</t>
  </si>
  <si>
    <t>FSG General</t>
  </si>
  <si>
    <t>FSG Secondary Cancer</t>
  </si>
  <si>
    <t>NG Brain</t>
  </si>
  <si>
    <t>NG Head/Neck</t>
  </si>
  <si>
    <t>NG Rare</t>
  </si>
  <si>
    <t>Benefits Advice</t>
  </si>
  <si>
    <t>C&amp;W</t>
  </si>
  <si>
    <t>Benefits Workshop</t>
  </si>
  <si>
    <t>Getting Started with Cancer Treatment</t>
  </si>
  <si>
    <t>Kids Days</t>
  </si>
  <si>
    <t>Lecture Series</t>
  </si>
  <si>
    <t>Managing Stress</t>
  </si>
  <si>
    <t>Caring for Someone with Cancer</t>
  </si>
  <si>
    <t>Sessional</t>
  </si>
  <si>
    <t>Creative Writing</t>
  </si>
  <si>
    <t>Expressive art</t>
  </si>
  <si>
    <t>Additional</t>
  </si>
  <si>
    <t>Cancer in the Workplace</t>
  </si>
  <si>
    <t>Fatigue Management</t>
  </si>
  <si>
    <t>Introduction to Radiotherapy</t>
  </si>
  <si>
    <t>Living With and Beyond Prostate Cancer</t>
  </si>
  <si>
    <t>Mind over Mood</t>
  </si>
  <si>
    <t>Music Therapy/Choir</t>
  </si>
  <si>
    <t>Nordic Walking</t>
  </si>
  <si>
    <t>Pilates</t>
  </si>
  <si>
    <t>FSG Young Person's</t>
  </si>
  <si>
    <t>Under 18 Male PwC</t>
  </si>
  <si>
    <t>Under 18 Male Carer</t>
  </si>
  <si>
    <t>Under 18 Female PwC</t>
  </si>
  <si>
    <t>Under 18 Female Carer</t>
  </si>
  <si>
    <t>Total Fundraising</t>
  </si>
  <si>
    <t>PwC Fundraising</t>
  </si>
  <si>
    <t>Carer Fundraising</t>
  </si>
  <si>
    <t>Other Visitor Fundraising</t>
  </si>
  <si>
    <t>Professional Fundraising</t>
  </si>
  <si>
    <t>International Fundraising</t>
  </si>
  <si>
    <t>Architectural Fundraising</t>
  </si>
  <si>
    <t>Testicular</t>
  </si>
  <si>
    <t>Bereavement Course</t>
  </si>
  <si>
    <t>Courses and Workshops: Core</t>
  </si>
  <si>
    <t>Talking Heads; Managing Hair Loss</t>
  </si>
  <si>
    <t>Sessional Programme</t>
  </si>
  <si>
    <t>Auricular Acupuncture</t>
  </si>
  <si>
    <t>Additional Programme</t>
  </si>
  <si>
    <t>Fundraising  (N of V)</t>
  </si>
  <si>
    <r>
      <t xml:space="preserve">Courses and Workshops - 
</t>
    </r>
    <r>
      <rPr>
        <b/>
        <sz val="10"/>
        <rFont val="Arial"/>
        <family val="2"/>
      </rPr>
      <t>Core &amp; Sessional</t>
    </r>
  </si>
  <si>
    <r>
      <t xml:space="preserve">Courses and Workshops - (All)
</t>
    </r>
    <r>
      <rPr>
        <b/>
        <sz val="10"/>
        <rFont val="Arial"/>
        <family val="2"/>
      </rPr>
      <t>Core, Sessional &amp; Additional</t>
    </r>
  </si>
  <si>
    <t>Living with and Beyond Prostate Cancer</t>
  </si>
  <si>
    <t>Core C&amp;W</t>
  </si>
  <si>
    <t>Sessional C&amp;W</t>
  </si>
  <si>
    <t>Additional C&amp;W</t>
  </si>
  <si>
    <t>Drop-in  (N of V)</t>
  </si>
  <si>
    <t>Average per visit</t>
  </si>
  <si>
    <t>PwC Drop In</t>
  </si>
  <si>
    <t>Count of Person</t>
  </si>
  <si>
    <t>Journey Stage (New PwC Only*)</t>
  </si>
  <si>
    <t>Journey Stage (All)</t>
  </si>
  <si>
    <t xml:space="preserve">  * Bereaved = New PwC + New Carers</t>
  </si>
  <si>
    <t>Total Outreach</t>
  </si>
  <si>
    <t>PwC Outreach</t>
  </si>
  <si>
    <t>Carer Outreach</t>
  </si>
  <si>
    <t>New Outreach</t>
  </si>
  <si>
    <t>Returning Outreach</t>
  </si>
  <si>
    <t>Male Outreach</t>
  </si>
  <si>
    <t>Female Outreach</t>
  </si>
  <si>
    <t>Activity Core Programme: (FSG, NG, Psych, Benefits, C&amp;W, Sessional &amp; Drop-in)</t>
  </si>
  <si>
    <t>Activity All: (Core Programme + Additional + TS + ES + Outreach + Fundraising)</t>
  </si>
  <si>
    <t/>
  </si>
  <si>
    <t>Activity by Staff Group 2016</t>
  </si>
  <si>
    <t>cs</t>
  </si>
  <si>
    <t>Professional2</t>
  </si>
  <si>
    <t>Returning2</t>
  </si>
  <si>
    <t>Drop-In2</t>
  </si>
  <si>
    <t>Blank</t>
  </si>
  <si>
    <t xml:space="preserve">                 </t>
  </si>
  <si>
    <t>p</t>
  </si>
  <si>
    <t>rare</t>
  </si>
  <si>
    <t>Talking Heads; Managing Hair Loss2</t>
  </si>
  <si>
    <t>Gentle Exercise2</t>
  </si>
  <si>
    <t>pwC</t>
  </si>
  <si>
    <t>Auricular Acupuncture2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</si>
</sst>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2"/>
      <name val="Courier"/>
      <family val="3"/>
    </font>
    <font>
      <b/>
      <sz val="10"/>
      <color indexed="10"/>
      <name val="Arial"/>
      <family val="2"/>
    </font>
    <font>
      <sz val="10"/>
      <color indexed="55"/>
      <name val="Arial"/>
      <family val="2"/>
    </font>
    <font>
      <b/>
      <sz val="10"/>
      <color indexed="55"/>
      <name val="Arial"/>
      <family val="2"/>
    </font>
    <font>
      <b/>
      <sz val="10"/>
      <color indexed="55"/>
      <name val="Arial"/>
      <family val="2"/>
    </font>
    <font>
      <sz val="10"/>
      <color indexed="55"/>
      <name val="Arial"/>
      <family val="2"/>
    </font>
    <font>
      <sz val="10"/>
      <color theme="0" tint="-0.249977111117893"/>
      <name val="Arial"/>
      <family val="2"/>
    </font>
    <font>
      <sz val="10"/>
      <color theme="0" tint="-0.34998626667073579"/>
      <name val="Arial"/>
      <family val="2"/>
    </font>
    <font>
      <b/>
      <sz val="10"/>
      <color theme="0" tint="-0.34998626667073579"/>
      <name val="Arial"/>
      <family val="2"/>
    </font>
    <font>
      <sz val="10"/>
      <color theme="0" tint="-0.34998626667073579"/>
      <name val="Tahoma"/>
      <family val="2"/>
    </font>
    <font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0"/>
      <color theme="9" tint="0.59999389629810485"/>
      <name val="Arial"/>
      <family val="2"/>
    </font>
    <font>
      <b/>
      <sz val="20"/>
      <color theme="1"/>
      <name val="Calibri"/>
      <family val="2"/>
      <scheme val="minor"/>
    </font>
    <font>
      <b/>
      <sz val="10"/>
      <color rgb="FF333333"/>
      <name val="Verdana"/>
      <family val="2"/>
    </font>
  </fonts>
  <fills count="1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31869B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55"/>
      </left>
      <right/>
      <top style="medium">
        <color indexed="55"/>
      </top>
      <bottom/>
      <diagonal/>
    </border>
    <border>
      <left/>
      <right/>
      <top style="medium">
        <color indexed="55"/>
      </top>
      <bottom/>
      <diagonal/>
    </border>
    <border>
      <left/>
      <right style="medium">
        <color indexed="55"/>
      </right>
      <top style="medium">
        <color indexed="55"/>
      </top>
      <bottom/>
      <diagonal/>
    </border>
    <border>
      <left style="medium">
        <color indexed="55"/>
      </left>
      <right/>
      <top/>
      <bottom/>
      <diagonal/>
    </border>
    <border>
      <left/>
      <right style="medium">
        <color indexed="55"/>
      </right>
      <top/>
      <bottom/>
      <diagonal/>
    </border>
    <border>
      <left style="medium">
        <color indexed="55"/>
      </left>
      <right/>
      <top/>
      <bottom style="medium">
        <color indexed="55"/>
      </bottom>
      <diagonal/>
    </border>
    <border>
      <left/>
      <right/>
      <top/>
      <bottom style="medium">
        <color indexed="55"/>
      </bottom>
      <diagonal/>
    </border>
    <border>
      <left/>
      <right style="medium">
        <color indexed="55"/>
      </right>
      <top/>
      <bottom style="medium">
        <color indexed="55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21" fillId="0" borderId="0"/>
    <xf numFmtId="0" fontId="7" fillId="0" borderId="0"/>
    <xf numFmtId="0" fontId="10" fillId="0" borderId="0"/>
    <xf numFmtId="9" fontId="22" fillId="0" borderId="0" applyFont="0" applyFill="0" applyBorder="0" applyAlignment="0" applyProtection="0"/>
  </cellStyleXfs>
  <cellXfs count="172">
    <xf numFmtId="0" fontId="0" fillId="0" borderId="0" xfId="0"/>
    <xf numFmtId="0" fontId="0" fillId="0" borderId="0" xfId="0" applyBorder="1"/>
    <xf numFmtId="0" fontId="12" fillId="0" borderId="0" xfId="0" applyFont="1"/>
    <xf numFmtId="0" fontId="15" fillId="0" borderId="0" xfId="0" applyFont="1" applyBorder="1"/>
    <xf numFmtId="0" fontId="13" fillId="0" borderId="0" xfId="0" applyFont="1" applyBorder="1"/>
    <xf numFmtId="0" fontId="13" fillId="0" borderId="0" xfId="0" applyFont="1" applyFill="1" applyBorder="1"/>
    <xf numFmtId="0" fontId="16" fillId="0" borderId="0" xfId="0" applyFont="1" applyBorder="1"/>
    <xf numFmtId="0" fontId="13" fillId="0" borderId="0" xfId="0" applyFont="1" applyFill="1" applyBorder="1" applyAlignment="1"/>
    <xf numFmtId="0" fontId="16" fillId="0" borderId="0" xfId="0" applyFont="1" applyFill="1" applyBorder="1"/>
    <xf numFmtId="0" fontId="15" fillId="0" borderId="0" xfId="0" applyFont="1"/>
    <xf numFmtId="0" fontId="15" fillId="0" borderId="2" xfId="0" applyFont="1" applyFill="1" applyBorder="1" applyAlignment="1"/>
    <xf numFmtId="0" fontId="0" fillId="0" borderId="3" xfId="0" applyBorder="1"/>
    <xf numFmtId="0" fontId="0" fillId="0" borderId="4" xfId="0" applyBorder="1"/>
    <xf numFmtId="0" fontId="13" fillId="0" borderId="5" xfId="0" applyFont="1" applyFill="1" applyBorder="1" applyAlignment="1"/>
    <xf numFmtId="0" fontId="0" fillId="0" borderId="6" xfId="0" applyBorder="1"/>
    <xf numFmtId="0" fontId="13" fillId="0" borderId="5" xfId="0" applyFont="1" applyBorder="1"/>
    <xf numFmtId="0" fontId="0" fillId="0" borderId="5" xfId="0" applyBorder="1"/>
    <xf numFmtId="0" fontId="0" fillId="0" borderId="7" xfId="0" applyBorder="1"/>
    <xf numFmtId="0" fontId="13" fillId="0" borderId="8" xfId="0" applyFont="1" applyBorder="1"/>
    <xf numFmtId="0" fontId="0" fillId="0" borderId="8" xfId="0" applyBorder="1"/>
    <xf numFmtId="0" fontId="0" fillId="0" borderId="9" xfId="0" applyBorder="1"/>
    <xf numFmtId="0" fontId="15" fillId="0" borderId="6" xfId="0" applyFont="1" applyBorder="1"/>
    <xf numFmtId="0" fontId="17" fillId="0" borderId="0" xfId="0" applyFont="1" applyBorder="1"/>
    <xf numFmtId="0" fontId="18" fillId="0" borderId="0" xfId="0" applyFont="1" applyFill="1" applyBorder="1"/>
    <xf numFmtId="0" fontId="18" fillId="0" borderId="0" xfId="0" applyFont="1" applyBorder="1"/>
    <xf numFmtId="0" fontId="19" fillId="0" borderId="0" xfId="0" applyFont="1" applyBorder="1"/>
    <xf numFmtId="0" fontId="20" fillId="0" borderId="0" xfId="0" applyFont="1" applyBorder="1"/>
    <xf numFmtId="0" fontId="19" fillId="0" borderId="0" xfId="0" applyFont="1" applyFill="1" applyBorder="1"/>
    <xf numFmtId="0" fontId="21" fillId="0" borderId="0" xfId="1"/>
    <xf numFmtId="0" fontId="21" fillId="0" borderId="0" xfId="1" applyAlignment="1">
      <alignment horizontal="center" vertical="center"/>
    </xf>
    <xf numFmtId="0" fontId="9" fillId="3" borderId="1" xfId="1" applyFont="1" applyFill="1" applyBorder="1" applyAlignment="1">
      <alignment horizontal="center" vertical="center" wrapText="1"/>
    </xf>
    <xf numFmtId="0" fontId="11" fillId="0" borderId="0" xfId="1" applyFont="1"/>
    <xf numFmtId="0" fontId="9" fillId="3" borderId="1" xfId="2" applyFont="1" applyFill="1" applyBorder="1" applyAlignment="1">
      <alignment vertical="center" wrapText="1"/>
    </xf>
    <xf numFmtId="0" fontId="7" fillId="0" borderId="0" xfId="2"/>
    <xf numFmtId="14" fontId="7" fillId="0" borderId="0" xfId="2" applyNumberFormat="1"/>
    <xf numFmtId="0" fontId="9" fillId="3" borderId="1" xfId="2" applyFont="1" applyFill="1" applyBorder="1" applyAlignment="1">
      <alignment horizontal="center" vertical="center"/>
    </xf>
    <xf numFmtId="0" fontId="9" fillId="3" borderId="1" xfId="2" applyFont="1" applyFill="1" applyBorder="1" applyAlignment="1">
      <alignment vertical="center"/>
    </xf>
    <xf numFmtId="0" fontId="9" fillId="0" borderId="1" xfId="2" applyFont="1" applyFill="1" applyBorder="1"/>
    <xf numFmtId="0" fontId="9" fillId="4" borderId="1" xfId="2" applyFont="1" applyFill="1" applyBorder="1"/>
    <xf numFmtId="0" fontId="10" fillId="12" borderId="1" xfId="2" applyFont="1" applyFill="1" applyBorder="1"/>
    <xf numFmtId="0" fontId="10" fillId="5" borderId="1" xfId="2" applyFont="1" applyFill="1" applyBorder="1"/>
    <xf numFmtId="0" fontId="10" fillId="0" borderId="1" xfId="2" applyFont="1" applyBorder="1"/>
    <xf numFmtId="0" fontId="10" fillId="0" borderId="1" xfId="2" applyFont="1" applyBorder="1" applyAlignment="1"/>
    <xf numFmtId="0" fontId="10" fillId="0" borderId="1" xfId="2" applyFont="1" applyFill="1" applyBorder="1"/>
    <xf numFmtId="0" fontId="7" fillId="5" borderId="1" xfId="2" applyFill="1" applyBorder="1"/>
    <xf numFmtId="0" fontId="7" fillId="0" borderId="1" xfId="2" applyFill="1" applyBorder="1" applyAlignment="1">
      <alignment horizontal="right"/>
    </xf>
    <xf numFmtId="0" fontId="7" fillId="0" borderId="1" xfId="2" applyFill="1" applyBorder="1"/>
    <xf numFmtId="0" fontId="10" fillId="8" borderId="1" xfId="2" applyFont="1" applyFill="1" applyBorder="1"/>
    <xf numFmtId="0" fontId="10" fillId="7" borderId="1" xfId="2" applyFont="1" applyFill="1" applyBorder="1" applyAlignment="1">
      <alignment horizontal="right"/>
    </xf>
    <xf numFmtId="0" fontId="10" fillId="5" borderId="1" xfId="2" applyFont="1" applyFill="1" applyBorder="1" applyAlignment="1">
      <alignment horizontal="left"/>
    </xf>
    <xf numFmtId="0" fontId="10" fillId="8" borderId="1" xfId="2" applyFont="1" applyFill="1" applyBorder="1" applyAlignment="1">
      <alignment horizontal="left"/>
    </xf>
    <xf numFmtId="0" fontId="7" fillId="12" borderId="1" xfId="2" applyFill="1" applyBorder="1"/>
    <xf numFmtId="0" fontId="10" fillId="11" borderId="1" xfId="2" applyFont="1" applyFill="1" applyBorder="1"/>
    <xf numFmtId="0" fontId="10" fillId="10" borderId="1" xfId="2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6" fillId="0" borderId="0" xfId="2" applyNumberFormat="1" applyFont="1"/>
    <xf numFmtId="0" fontId="5" fillId="0" borderId="1" xfId="2" applyFont="1" applyFill="1" applyBorder="1"/>
    <xf numFmtId="0" fontId="10" fillId="13" borderId="1" xfId="2" applyFont="1" applyFill="1" applyBorder="1"/>
    <xf numFmtId="0" fontId="10" fillId="0" borderId="0" xfId="3"/>
    <xf numFmtId="0" fontId="4" fillId="0" borderId="0" xfId="2" applyFont="1"/>
    <xf numFmtId="10" fontId="4" fillId="0" borderId="0" xfId="4" applyNumberFormat="1" applyFont="1"/>
    <xf numFmtId="14" fontId="3" fillId="0" borderId="0" xfId="2" applyNumberFormat="1" applyFont="1"/>
    <xf numFmtId="14" fontId="6" fillId="0" borderId="0" xfId="2" applyNumberFormat="1" applyFont="1" applyBorder="1"/>
    <xf numFmtId="0" fontId="0" fillId="0" borderId="0" xfId="0" applyBorder="1" applyAlignment="1"/>
    <xf numFmtId="0" fontId="7" fillId="0" borderId="0" xfId="2" applyBorder="1"/>
    <xf numFmtId="14" fontId="3" fillId="0" borderId="16" xfId="2" applyNumberFormat="1" applyFont="1" applyBorder="1"/>
    <xf numFmtId="0" fontId="0" fillId="0" borderId="16" xfId="0" applyBorder="1"/>
    <xf numFmtId="0" fontId="0" fillId="0" borderId="16" xfId="0" applyBorder="1" applyAlignment="1"/>
    <xf numFmtId="0" fontId="7" fillId="0" borderId="16" xfId="2" applyBorder="1"/>
    <xf numFmtId="0" fontId="0" fillId="0" borderId="17" xfId="0" applyBorder="1" applyAlignment="1"/>
    <xf numFmtId="0" fontId="0" fillId="0" borderId="18" xfId="0" applyBorder="1" applyAlignment="1"/>
    <xf numFmtId="0" fontId="4" fillId="0" borderId="0" xfId="2" applyFont="1" applyBorder="1"/>
    <xf numFmtId="0" fontId="4" fillId="0" borderId="12" xfId="2" applyFont="1" applyBorder="1"/>
    <xf numFmtId="0" fontId="7" fillId="0" borderId="12" xfId="2" applyBorder="1"/>
    <xf numFmtId="0" fontId="7" fillId="0" borderId="19" xfId="2" applyBorder="1"/>
    <xf numFmtId="0" fontId="7" fillId="0" borderId="14" xfId="2" applyBorder="1"/>
    <xf numFmtId="0" fontId="0" fillId="0" borderId="14" xfId="0" applyBorder="1" applyAlignment="1"/>
    <xf numFmtId="0" fontId="0" fillId="0" borderId="21" xfId="0" applyBorder="1" applyAlignment="1"/>
    <xf numFmtId="14" fontId="9" fillId="3" borderId="20" xfId="2" applyNumberFormat="1" applyFont="1" applyFill="1" applyBorder="1" applyAlignment="1">
      <alignment vertical="center" wrapText="1"/>
    </xf>
    <xf numFmtId="0" fontId="0" fillId="0" borderId="14" xfId="0" applyBorder="1"/>
    <xf numFmtId="0" fontId="0" fillId="0" borderId="12" xfId="0" applyBorder="1"/>
    <xf numFmtId="0" fontId="0" fillId="0" borderId="21" xfId="0" applyBorder="1"/>
    <xf numFmtId="0" fontId="0" fillId="0" borderId="19" xfId="0" applyBorder="1"/>
    <xf numFmtId="0" fontId="0" fillId="0" borderId="12" xfId="0" applyBorder="1" applyAlignment="1"/>
    <xf numFmtId="0" fontId="7" fillId="0" borderId="13" xfId="2" applyBorder="1"/>
    <xf numFmtId="0" fontId="0" fillId="0" borderId="13" xfId="0" applyBorder="1" applyAlignment="1"/>
    <xf numFmtId="0" fontId="0" fillId="0" borderId="22" xfId="0" applyBorder="1" applyAlignment="1"/>
    <xf numFmtId="0" fontId="0" fillId="0" borderId="19" xfId="0" applyBorder="1" applyAlignment="1"/>
    <xf numFmtId="0" fontId="7" fillId="0" borderId="22" xfId="2" applyBorder="1"/>
    <xf numFmtId="0" fontId="7" fillId="0" borderId="21" xfId="2" applyBorder="1"/>
    <xf numFmtId="14" fontId="3" fillId="0" borderId="0" xfId="2" applyNumberFormat="1" applyFont="1" applyBorder="1"/>
    <xf numFmtId="14" fontId="3" fillId="0" borderId="12" xfId="2" applyNumberFormat="1" applyFont="1" applyBorder="1"/>
    <xf numFmtId="14" fontId="3" fillId="0" borderId="19" xfId="2" applyNumberFormat="1" applyFont="1" applyBorder="1"/>
    <xf numFmtId="14" fontId="7" fillId="14" borderId="0" xfId="2" applyNumberFormat="1" applyFill="1"/>
    <xf numFmtId="0" fontId="7" fillId="14" borderId="14" xfId="2" applyFill="1" applyBorder="1"/>
    <xf numFmtId="0" fontId="7" fillId="14" borderId="0" xfId="2" applyFill="1" applyBorder="1"/>
    <xf numFmtId="0" fontId="7" fillId="14" borderId="12" xfId="2" applyFill="1" applyBorder="1"/>
    <xf numFmtId="0" fontId="7" fillId="14" borderId="13" xfId="2" applyFill="1" applyBorder="1"/>
    <xf numFmtId="0" fontId="7" fillId="14" borderId="0" xfId="2" applyFill="1"/>
    <xf numFmtId="0" fontId="10" fillId="0" borderId="0" xfId="0" applyFont="1"/>
    <xf numFmtId="0" fontId="23" fillId="15" borderId="0" xfId="0" applyFont="1" applyFill="1"/>
    <xf numFmtId="0" fontId="23" fillId="15" borderId="0" xfId="0" applyFont="1" applyFill="1" applyAlignment="1">
      <alignment horizontal="right"/>
    </xf>
    <xf numFmtId="0" fontId="24" fillId="0" borderId="0" xfId="0" applyFont="1" applyFill="1" applyBorder="1" applyAlignment="1">
      <alignment horizontal="left" indent="1"/>
    </xf>
    <xf numFmtId="0" fontId="24" fillId="0" borderId="0" xfId="0" applyFont="1" applyFill="1" applyBorder="1" applyAlignment="1">
      <alignment horizontal="right"/>
    </xf>
    <xf numFmtId="0" fontId="9" fillId="0" borderId="0" xfId="0" applyFont="1" applyBorder="1"/>
    <xf numFmtId="0" fontId="14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Alignment="1">
      <alignment horizontal="left" indent="2"/>
    </xf>
    <xf numFmtId="0" fontId="7" fillId="0" borderId="0" xfId="2" applyFill="1"/>
    <xf numFmtId="0" fontId="2" fillId="0" borderId="1" xfId="2" applyFont="1" applyFill="1" applyBorder="1"/>
    <xf numFmtId="0" fontId="7" fillId="0" borderId="1" xfId="2" applyFill="1" applyBorder="1" applyAlignment="1">
      <alignment horizontal="left"/>
    </xf>
    <xf numFmtId="0" fontId="10" fillId="0" borderId="1" xfId="2" applyFont="1" applyFill="1" applyBorder="1" applyAlignment="1">
      <alignment horizontal="left"/>
    </xf>
    <xf numFmtId="0" fontId="7" fillId="5" borderId="1" xfId="2" applyFill="1" applyBorder="1" applyAlignment="1">
      <alignment horizontal="left"/>
    </xf>
    <xf numFmtId="0" fontId="2" fillId="0" borderId="1" xfId="2" applyFont="1" applyFill="1" applyBorder="1" applyAlignment="1">
      <alignment horizontal="left"/>
    </xf>
    <xf numFmtId="0" fontId="2" fillId="0" borderId="1" xfId="2" applyFont="1" applyBorder="1" applyAlignment="1">
      <alignment horizontal="left"/>
    </xf>
    <xf numFmtId="0" fontId="25" fillId="0" borderId="0" xfId="2" applyFont="1" applyFill="1"/>
    <xf numFmtId="0" fontId="9" fillId="11" borderId="1" xfId="2" applyFont="1" applyFill="1" applyBorder="1" applyAlignment="1">
      <alignment wrapText="1"/>
    </xf>
    <xf numFmtId="0" fontId="26" fillId="16" borderId="1" xfId="2" applyFont="1" applyFill="1" applyBorder="1" applyAlignment="1">
      <alignment horizontal="left"/>
    </xf>
    <xf numFmtId="0" fontId="10" fillId="16" borderId="1" xfId="2" applyFont="1" applyFill="1" applyBorder="1" applyAlignment="1">
      <alignment wrapText="1"/>
    </xf>
    <xf numFmtId="0" fontId="10" fillId="8" borderId="24" xfId="2" applyFont="1" applyFill="1" applyBorder="1"/>
    <xf numFmtId="0" fontId="7" fillId="0" borderId="23" xfId="2" applyFill="1" applyBorder="1"/>
    <xf numFmtId="0" fontId="1" fillId="0" borderId="1" xfId="2" applyFont="1" applyFill="1" applyBorder="1" applyAlignment="1">
      <alignment horizontal="left"/>
    </xf>
    <xf numFmtId="0" fontId="1" fillId="0" borderId="0" xfId="2" applyFont="1"/>
    <xf numFmtId="0" fontId="9" fillId="13" borderId="1" xfId="2" applyFont="1" applyFill="1" applyBorder="1" applyAlignment="1">
      <alignment wrapText="1"/>
    </xf>
    <xf numFmtId="0" fontId="9" fillId="0" borderId="1" xfId="2" applyFont="1" applyFill="1" applyBorder="1" applyAlignment="1">
      <alignment vertical="center"/>
    </xf>
    <xf numFmtId="0" fontId="9" fillId="4" borderId="1" xfId="2" applyFont="1" applyFill="1" applyBorder="1" applyAlignment="1">
      <alignment vertical="center"/>
    </xf>
    <xf numFmtId="0" fontId="10" fillId="12" borderId="1" xfId="2" applyFont="1" applyFill="1" applyBorder="1" applyAlignment="1">
      <alignment vertical="center"/>
    </xf>
    <xf numFmtId="0" fontId="10" fillId="5" borderId="1" xfId="2" applyFont="1" applyFill="1" applyBorder="1" applyAlignment="1">
      <alignment vertical="center"/>
    </xf>
    <xf numFmtId="0" fontId="10" fillId="0" borderId="1" xfId="2" applyFont="1" applyBorder="1" applyAlignment="1">
      <alignment vertical="center"/>
    </xf>
    <xf numFmtId="0" fontId="10" fillId="0" borderId="1" xfId="2" applyFont="1" applyFill="1" applyBorder="1" applyAlignment="1">
      <alignment vertical="center"/>
    </xf>
    <xf numFmtId="0" fontId="7" fillId="5" borderId="1" xfId="2" applyFill="1" applyBorder="1" applyAlignment="1">
      <alignment vertical="center"/>
    </xf>
    <xf numFmtId="0" fontId="7" fillId="0" borderId="1" xfId="2" applyFill="1" applyBorder="1" applyAlignment="1">
      <alignment vertical="center"/>
    </xf>
    <xf numFmtId="0" fontId="9" fillId="13" borderId="1" xfId="2" applyFont="1" applyFill="1" applyBorder="1" applyAlignment="1">
      <alignment vertical="center"/>
    </xf>
    <xf numFmtId="164" fontId="0" fillId="0" borderId="1" xfId="0" applyNumberFormat="1" applyBorder="1" applyAlignment="1">
      <alignment vertical="center"/>
    </xf>
    <xf numFmtId="164" fontId="0" fillId="0" borderId="23" xfId="0" applyNumberFormat="1" applyBorder="1" applyAlignment="1">
      <alignment vertical="center"/>
    </xf>
    <xf numFmtId="0" fontId="10" fillId="8" borderId="24" xfId="2" applyFont="1" applyFill="1" applyBorder="1" applyAlignment="1">
      <alignment vertical="center"/>
    </xf>
    <xf numFmtId="0" fontId="10" fillId="7" borderId="1" xfId="2" applyFont="1" applyFill="1" applyBorder="1" applyAlignment="1">
      <alignment vertical="center"/>
    </xf>
    <xf numFmtId="0" fontId="10" fillId="8" borderId="1" xfId="2" applyFont="1" applyFill="1" applyBorder="1" applyAlignment="1">
      <alignment vertical="center"/>
    </xf>
    <xf numFmtId="0" fontId="7" fillId="12" borderId="1" xfId="2" applyFill="1" applyBorder="1" applyAlignment="1">
      <alignment vertical="center"/>
    </xf>
    <xf numFmtId="0" fontId="10" fillId="13" borderId="1" xfId="2" applyFont="1" applyFill="1" applyBorder="1" applyAlignment="1">
      <alignment vertical="center"/>
    </xf>
    <xf numFmtId="0" fontId="10" fillId="11" borderId="1" xfId="2" applyFont="1" applyFill="1" applyBorder="1" applyAlignment="1">
      <alignment vertical="center"/>
    </xf>
    <xf numFmtId="0" fontId="10" fillId="10" borderId="1" xfId="2" applyFont="1" applyFill="1" applyBorder="1" applyAlignment="1">
      <alignment vertical="center"/>
    </xf>
    <xf numFmtId="0" fontId="10" fillId="16" borderId="1" xfId="2" applyFont="1" applyFill="1" applyBorder="1" applyAlignment="1">
      <alignment vertical="center"/>
    </xf>
    <xf numFmtId="0" fontId="7" fillId="0" borderId="0" xfId="2" applyAlignment="1">
      <alignment vertical="center"/>
    </xf>
    <xf numFmtId="0" fontId="9" fillId="13" borderId="24" xfId="2" applyFont="1" applyFill="1" applyBorder="1" applyAlignment="1">
      <alignment wrapText="1"/>
    </xf>
    <xf numFmtId="0" fontId="9" fillId="13" borderId="24" xfId="2" applyFont="1" applyFill="1" applyBorder="1" applyAlignment="1">
      <alignment vertical="center"/>
    </xf>
    <xf numFmtId="0" fontId="7" fillId="0" borderId="23" xfId="2" applyFill="1" applyBorder="1" applyAlignment="1">
      <alignment vertical="center"/>
    </xf>
    <xf numFmtId="3" fontId="0" fillId="0" borderId="0" xfId="0" applyNumberFormat="1" applyAlignment="1">
      <alignment horizontal="center"/>
    </xf>
    <xf numFmtId="0" fontId="23" fillId="15" borderId="0" xfId="0" applyFont="1" applyFill="1" applyAlignment="1">
      <alignment horizontal="center"/>
    </xf>
    <xf numFmtId="3" fontId="23" fillId="15" borderId="0" xfId="0" applyNumberFormat="1" applyFont="1" applyFill="1" applyAlignment="1">
      <alignment horizontal="center"/>
    </xf>
    <xf numFmtId="0" fontId="24" fillId="0" borderId="0" xfId="0" applyFont="1" applyFill="1" applyBorder="1" applyAlignment="1">
      <alignment horizontal="center"/>
    </xf>
    <xf numFmtId="0" fontId="9" fillId="3" borderId="1" xfId="1" applyFont="1" applyFill="1" applyBorder="1" applyAlignment="1">
      <alignment horizontal="center" vertical="center" wrapText="1"/>
    </xf>
    <xf numFmtId="0" fontId="28" fillId="15" borderId="0" xfId="0" applyFont="1" applyFill="1" applyAlignment="1">
      <alignment horizontal="center" vertical="center"/>
    </xf>
    <xf numFmtId="0" fontId="21" fillId="0" borderId="0" xfId="1" applyProtection="1">
      <protection locked="0"/>
    </xf>
    <xf numFmtId="0" fontId="21" fillId="2" borderId="1" xfId="1" applyFill="1" applyBorder="1" applyProtection="1">
      <protection locked="0"/>
    </xf>
    <xf numFmtId="0" fontId="10" fillId="2" borderId="1" xfId="1" applyFont="1" applyFill="1" applyBorder="1" applyProtection="1">
      <protection locked="0"/>
    </xf>
    <xf numFmtId="0" fontId="10" fillId="0" borderId="0" xfId="1" applyFont="1" applyProtection="1">
      <protection locked="0"/>
    </xf>
    <xf numFmtId="0" fontId="10" fillId="14" borderId="15" xfId="1" applyFont="1" applyFill="1" applyBorder="1" applyAlignment="1">
      <alignment horizontal="center"/>
    </xf>
    <xf numFmtId="0" fontId="21" fillId="14" borderId="15" xfId="1" applyFill="1" applyBorder="1" applyAlignment="1">
      <alignment horizontal="center"/>
    </xf>
    <xf numFmtId="0" fontId="11" fillId="9" borderId="0" xfId="1" applyFont="1" applyFill="1" applyAlignment="1">
      <alignment horizontal="center" vertical="top"/>
    </xf>
    <xf numFmtId="0" fontId="11" fillId="9" borderId="12" xfId="1" applyFont="1" applyFill="1" applyBorder="1" applyAlignment="1">
      <alignment horizontal="center" vertical="top"/>
    </xf>
    <xf numFmtId="0" fontId="11" fillId="9" borderId="11" xfId="1" applyFont="1" applyFill="1" applyBorder="1" applyAlignment="1">
      <alignment horizontal="center" vertical="top"/>
    </xf>
    <xf numFmtId="0" fontId="11" fillId="9" borderId="10" xfId="1" applyFont="1" applyFill="1" applyBorder="1" applyAlignment="1">
      <alignment horizontal="center" vertical="top"/>
    </xf>
    <xf numFmtId="0" fontId="9" fillId="3" borderId="1" xfId="1" applyFont="1" applyFill="1" applyBorder="1" applyAlignment="1">
      <alignment horizontal="center" vertical="center" wrapText="1"/>
    </xf>
    <xf numFmtId="0" fontId="21" fillId="0" borderId="1" xfId="1" applyBorder="1" applyAlignment="1"/>
    <xf numFmtId="0" fontId="9" fillId="6" borderId="0" xfId="0" applyFont="1" applyFill="1" applyBorder="1" applyAlignment="1">
      <alignment horizontal="center"/>
    </xf>
    <xf numFmtId="0" fontId="0" fillId="6" borderId="0" xfId="0" applyFill="1" applyAlignment="1"/>
    <xf numFmtId="0" fontId="0" fillId="0" borderId="0" xfId="0" applyAlignment="1"/>
    <xf numFmtId="0" fontId="27" fillId="0" borderId="0" xfId="0" applyFont="1" applyAlignment="1">
      <alignment horizontal="left" vertical="center"/>
    </xf>
  </cellXfs>
  <cellStyles count="5">
    <cellStyle name="Normal" xfId="0" builtinId="0"/>
    <cellStyle name="Normal 2" xfId="1"/>
    <cellStyle name="Normal 3" xfId="2"/>
    <cellStyle name="Normal 4" xfId="3"/>
    <cellStyle name="Percent" xfId="4" builtinId="5"/>
  </cellStyles>
  <dxfs count="21">
    <dxf>
      <font>
        <color theme="0"/>
      </font>
    </dxf>
    <dxf>
      <font>
        <color theme="3" tint="0.59996337778862885"/>
      </font>
    </dxf>
    <dxf>
      <font>
        <color theme="3" tint="0.59996337778862885"/>
      </font>
    </dxf>
    <dxf>
      <font>
        <color theme="3" tint="0.59996337778862885"/>
      </font>
    </dxf>
    <dxf>
      <font>
        <color theme="3" tint="0.59996337778862885"/>
      </font>
    </dxf>
    <dxf>
      <font>
        <color theme="3" tint="0.59996337778862885"/>
      </font>
    </dxf>
    <dxf>
      <font>
        <color theme="0"/>
      </font>
    </dxf>
    <dxf>
      <font>
        <color theme="3" tint="0.59996337778862885"/>
      </font>
    </dxf>
    <dxf>
      <font>
        <color theme="0"/>
      </font>
    </dxf>
    <dxf>
      <font>
        <color theme="3" tint="0.59996337778862885"/>
      </font>
    </dxf>
    <dxf>
      <font>
        <color theme="0"/>
      </font>
    </dxf>
    <dxf>
      <font>
        <color theme="3" tint="0.59996337778862885"/>
      </font>
    </dxf>
    <dxf>
      <font>
        <color theme="3" tint="0.59996337778862885"/>
      </font>
    </dxf>
    <dxf>
      <font>
        <color theme="3" tint="0.59996337778862885"/>
      </font>
    </dxf>
    <dxf>
      <font>
        <color theme="3" tint="0.59996337778862885"/>
      </font>
    </dxf>
    <dxf>
      <font>
        <color theme="3" tint="0.59996337778862885"/>
      </font>
    </dxf>
    <dxf>
      <font>
        <color theme="0"/>
      </font>
    </dxf>
    <dxf>
      <font>
        <color theme="3" tint="0.59996337778862885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31869B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Tom Yates" refreshedDate="42676.679685416668" createdVersion="3" refreshedVersion="4" minRefreshableVersion="3" recordCount="9290">
  <cacheSource type="worksheet">
    <worksheetSource ref="A1:K1048576" sheet="Do Not Touch"/>
  </cacheSource>
  <cacheFields count="11">
    <cacheField name="Date" numFmtId="0">
      <sharedItems containsBlank="1" count="36">
        <s v="1st"/>
        <s v="2nd"/>
        <s v="3rd"/>
        <s v="4th"/>
        <s v="5th "/>
        <s v="6th"/>
        <s v="7th"/>
        <s v="8th"/>
        <s v="9th"/>
        <s v="10th"/>
        <s v="11th"/>
        <s v="12th"/>
        <s v="13th "/>
        <s v="14th"/>
        <s v="15th"/>
        <s v="16th"/>
        <s v="17th"/>
        <s v="18th"/>
        <s v="19th"/>
        <s v="20th"/>
        <s v="21st"/>
        <s v="22nd"/>
        <s v="23rd"/>
        <s v="24th"/>
        <s v="25th"/>
        <s v="26th"/>
        <s v="27th"/>
        <s v="28th"/>
        <s v="29th "/>
        <s v="30th"/>
        <s v="31st"/>
        <m/>
        <s v="" u="1"/>
        <s v="29th" u="1"/>
        <s v="5th" u="1"/>
        <s v="13th" u="1"/>
      </sharedItems>
    </cacheField>
    <cacheField name="Seen by" numFmtId="0">
      <sharedItems containsBlank="1" count="9">
        <s v="Sessional Staff"/>
        <s v="Psychologist"/>
        <s v="CSS"/>
        <s v=""/>
        <s v="Centre Head"/>
        <s v="Benefits Advisor"/>
        <m/>
        <s v="Fundraiser" u="1"/>
        <e v="#REF!" u="1"/>
      </sharedItems>
    </cacheField>
    <cacheField name="Person" numFmtId="0">
      <sharedItems containsBlank="1" count="10">
        <s v="PwC"/>
        <s v="Carer"/>
        <s v="Professional"/>
        <s v=""/>
        <s v="Other Visitor"/>
        <m/>
        <e v="#REF!" u="1"/>
        <s v="International" u="1"/>
        <s v="Professional Visitor" u="1"/>
        <s v="Architectural" u="1"/>
      </sharedItems>
    </cacheField>
    <cacheField name="Visit Type" numFmtId="0">
      <sharedItems containsBlank="1" count="6">
        <s v="Returning"/>
        <s v=""/>
        <s v="New"/>
        <m/>
        <s v="Return" u="1"/>
        <e v="#REF!" u="1"/>
      </sharedItems>
    </cacheField>
    <cacheField name="Gender" numFmtId="0">
      <sharedItems containsBlank="1" count="11">
        <s v="Male"/>
        <s v="Female"/>
        <s v=""/>
        <s v="Under 18 Male"/>
        <s v="Under 18 Female"/>
        <m/>
        <s v="New" u="1"/>
        <e v="#REF!" u="1"/>
        <s v="Returning" u="1"/>
        <s v="Child" u="1"/>
        <s v="Teenager" u="1"/>
      </sharedItems>
    </cacheField>
    <cacheField name="Cancer Site" numFmtId="0">
      <sharedItems containsBlank="1" count="24">
        <s v="Lower GI"/>
        <s v="Brain/CNS"/>
        <s v="Breast"/>
        <s v=""/>
        <s v="Lung"/>
        <s v="Prostate"/>
        <s v="Head/Neck"/>
        <s v="Gynae"/>
        <s v="Upper GI"/>
        <s v="Not Stated"/>
        <s v="Rare"/>
        <s v="Haemat"/>
        <s v="Urolog"/>
        <s v="Testicular"/>
        <s v="Skin/Mel"/>
        <s v="Liver"/>
        <s v="Unknown Primary"/>
        <s v="Sarcoma"/>
        <s v="Pancreatic"/>
        <m/>
        <e v="#REF!" u="1"/>
        <s v="Female" u="1"/>
        <s v="Testic/Semin/Germ" u="1"/>
        <s v="Other" u="1"/>
      </sharedItems>
    </cacheField>
    <cacheField name="Journey Stage" numFmtId="0">
      <sharedItems containsBlank="1" count="17">
        <s v="Curative Intent"/>
        <s v="Pre-Diagnosis"/>
        <s v="Post Treatment - Curative Intent"/>
        <s v="Bereaved"/>
        <s v="Non-Curative Intent"/>
        <s v=""/>
        <s v="Not Stated"/>
        <s v="Palliative Care"/>
        <m/>
        <s v="j l,;as" u="1"/>
        <s v="Pre-Treatment" u="1"/>
        <s v="End of Life" u="1"/>
        <e v="#REF!" u="1"/>
        <s v="Pre-Treament" u="1"/>
        <s v=" " u="1"/>
        <s v="Lung" u="1"/>
        <s v="Curative Intent - Post Treatment" u="1"/>
      </sharedItems>
    </cacheField>
    <cacheField name="Nature of Visit" numFmtId="0">
      <sharedItems containsBlank="1" count="12">
        <s v="Programme"/>
        <s v="Telephone Support"/>
        <s v="Booked"/>
        <s v=""/>
        <s v="Drop-In"/>
        <s v="Outreach"/>
        <s v="E-mail Support"/>
        <m/>
        <s v="Drop In" u="1"/>
        <s v="Fundraising" u="1"/>
        <e v="#REF!" u="1"/>
        <s v="Palliative Care" u="1"/>
      </sharedItems>
    </cacheField>
    <cacheField name="Activity 1" numFmtId="0">
      <sharedItems containsBlank="1" count="114">
        <s v="Nutrition"/>
        <s v="Managing Stress"/>
        <s v=""/>
        <s v="Psych Support - Individual"/>
        <s v="Relaxation"/>
        <s v="Psych Support - Couple"/>
        <s v="FSG Family and Friends"/>
        <s v="Creative Writing"/>
        <s v="FSG Men's"/>
        <s v="Tai Chi/Qi Gong"/>
        <s v="FSG Bereavement"/>
        <s v="NG Brain"/>
        <s v="NG Laryngectomy"/>
        <s v="Psych Support - Family"/>
        <s v="Where Now?"/>
        <s v="NG Haematology"/>
        <s v="Music Therapy/Choir"/>
        <s v="FSG General"/>
        <s v="Lecture Series"/>
        <s v="Expressive art"/>
        <s v="Benefits - Couple"/>
        <s v="Benefits - Individual"/>
        <s v="Meditation"/>
        <s v="Nordic Walking"/>
        <s v="FSG Young Person's"/>
        <s v="Look Good Feel Better"/>
        <s v="FSG Young Women's"/>
        <s v="Gentle Exercise"/>
        <s v="Talking Heads; Managing Hair Loss"/>
        <s v="Benefits - Family"/>
        <m/>
        <s v="Bereavement " u="1"/>
        <s v="Information - Lecture Series" u="1"/>
        <s v="Online - Young Persons Group" u="1"/>
        <s v="Yoga" u="1"/>
        <s v="Practical - Look Good Feel Better" u="1"/>
        <s v="Practical - Talking Heads" u="1"/>
        <s v="  " u="1"/>
        <s v="FSG Other" u="1"/>
        <e v="#REF!" u="1"/>
        <s v="Benefits - Workshops" u="1"/>
        <s v="NG Breast" u="1"/>
        <s v="Caring for Someone with Cancer" u="1"/>
        <s v="Practical - Gentle Exercise" u="1"/>
        <s v="NG Secondary Cancer" u="1"/>
        <s v="Practical - Prosthesis" u="1"/>
        <s v="Gentle Exercise " u="1"/>
        <s v="NG Head/Neck" u="1"/>
        <s v="C&amp;W - Where Now?" u="1"/>
        <s v="Talking Heads; Manging Hair Loss" u="1"/>
        <s v="Getting Started with Cancer Treatment" u="1"/>
        <s v="NG Myeloma" u="1"/>
        <s v="Benefits Workshop" u="1"/>
        <s v="Online - Generic Cancer Group" u="1"/>
        <s v="Prosthesis " u="1"/>
        <s v="Living With and Beyond Prostate Cancer" u="1"/>
        <s v="Cancer in the Workplace" u="1"/>
        <s v="Genetics" u="1"/>
        <s v="Introduction to Radiotherapy" u="1"/>
        <s v="NG Brain Tumour" u="1"/>
        <s v="Relaxation - Tai Chi/Qi Gong" u="1"/>
        <s v="Creative - Scrapbooking" u="1"/>
        <s v="Auricular Acupuncture" u="1"/>
        <s v="Relaxation - Individual" u="1"/>
        <s v="NG Head and Neck" u="1"/>
        <s v="NG Prostate" u="1"/>
        <s v="Online - Family and Friends Group" u="1"/>
        <s v="C&amp;W - Caring for Someone with Cancer" u="1"/>
        <s v="Relaxation - Meditation" u="1"/>
        <s v="Online - Benefits" u="1"/>
        <s v="NG Gynae" u="1"/>
        <s v="Relaxation - Yoga" u="1"/>
        <s v="Kids Days" u="1"/>
        <s v="NG Sarcoma" u="1"/>
        <s v="Drop-In" u="1"/>
        <s v="Fatigue Management" u="1"/>
        <s v="Creative - Expressive Art" u="1"/>
        <s v="Other Programme 2" u="1"/>
        <s v="Facilitated Support Groups" u="1"/>
        <s v="NG Lower GI" u="1"/>
        <s v="Creative - Gardening" u="1"/>
        <s v="Mindfulness" u="1"/>
        <s v="External Meeting" u="1"/>
        <s v="FSG Secondary Cancer" u="1"/>
        <s v="Prosthesis" u="1"/>
        <s v="Mind over Mood" u="1"/>
        <s v="FSG Young Persons" u="1"/>
        <s v="NG Choriocarcinoma" u="1"/>
        <s v="Other Programme 1" u="1"/>
        <s v="Pilates" u="1"/>
        <s v="Taster Sessions - Kids Days" u="1"/>
        <s v="C&amp;W - Sleep" u="1"/>
        <s v="FSG Connections" u="1"/>
        <s v="h" u="1"/>
        <s v="Online - Connections group" u="1"/>
        <s v="NG Other" u="1"/>
        <s v="NG Upper GI" u="1"/>
        <s v="Benefits - Debt Management" u="1"/>
        <s v="NG Rare" u="1"/>
        <s v="NG Lung" u="1"/>
        <s v="Auricular Acupuncture " u="1"/>
        <s v="NG Lymphoedema" u="1"/>
        <s v="C&amp;W - Getting Started" u="1"/>
        <s v="C&amp;W - Nutrition" u="1"/>
        <s v="Bereavement Course" u="1"/>
        <s v="Relaxation - Drop-in" u="1"/>
        <s v="C&amp;W - Mindfulness" u="1"/>
        <s v="Sleep" u="1"/>
        <s v="C&amp;W - Genetics" u="1"/>
        <s v="Gardening" u="1"/>
        <s v="Creative - Writing" u="1"/>
        <s v="C&amp;W - Stress Management &amp; Visualisation" u="1"/>
        <s v="Scrapbooking" u="1"/>
        <s v="Taster Sessions - Other" u="1"/>
      </sharedItems>
    </cacheField>
    <cacheField name="Activity 2" numFmtId="0">
      <sharedItems containsBlank="1" count="116">
        <s v=""/>
        <s v="Getting Started with Cancer Treatment"/>
        <s v="Caring for Someone with Cancer"/>
        <s v="Look Good Feel Better"/>
        <s v="FSG Young Person's"/>
        <s v="FSG Men's"/>
        <s v="NG Lower GI"/>
        <s v="Creative Writing"/>
        <s v="Expressive art"/>
        <s v="Benefits Workshop"/>
        <s v="                 "/>
        <s v="NG Haematology"/>
        <s v="NG Lymphoedema"/>
        <s v="NG Head/Neck"/>
        <s v="Psych Support - Couple"/>
        <s v="Tai Chi/Qi Gong"/>
        <s v="FSG Bereavement"/>
        <s v="NG Myeloma"/>
        <s v="Kids Days"/>
        <s v="Fatigue Management"/>
        <s v="Auricular Acupuncture"/>
        <s v="NG Laryngectomy"/>
        <m/>
        <s v="Bereavement " u="1"/>
        <s v="Information - Lecture Series" u="1"/>
        <s v="Online - Young Persons Group" u="1"/>
        <s v="Yoga" u="1"/>
        <s v="Practical - Look Good Feel Better" u="1"/>
        <s v="FSG Young Women's" u="1"/>
        <s v="Practical - Talking Heads" u="1"/>
        <s v="FSG Other" u="1"/>
        <e v="#REF!" u="1"/>
        <s v="Benefits - Workshops" u="1"/>
        <s v="Benefits - Family" u="1"/>
        <s v="NG Breast" u="1"/>
        <s v="Practical - Gentle Exercise" u="1"/>
        <s v="NG Secondary Cancer" u="1"/>
        <s v="Music Therapy/Choir" u="1"/>
        <s v="Practical - Prosthesis" u="1"/>
        <s v="Gentle Exercise" u="1"/>
        <s v="Gentle Exercise " u="1"/>
        <s v="Where Now?" u="1"/>
        <s v="C&amp;W - Where Now?" u="1"/>
        <s v="Talking Heads; Manging Hair Loss" u="1"/>
        <s v="NG Brain" u="1"/>
        <s v="Meditation" u="1"/>
        <s v="Managing Stress" u="1"/>
        <s v="Online - Generic Cancer Group" u="1"/>
        <s v="Prosthesis " u="1"/>
        <s v="FSG General" u="1"/>
        <s v="Living With and Beyond Prostate Cancer" u="1"/>
        <s v="Cancer in the Workplace" u="1"/>
        <s v="Other Programme 5" u="1"/>
        <s v="Genetics" u="1"/>
        <s v="Introduction to Radiotherapy" u="1"/>
        <s v="NG Brain Tumour" u="1"/>
        <s v="Relaxation - Tai Chi/Qi Gong" u="1"/>
        <s v="Creative - Scrapbooking" u="1"/>
        <s v="Relaxation - Individual" u="1"/>
        <s v="Other Programme 4" u="1"/>
        <s v="NG Head and Neck" u="1"/>
        <s v="NG Prostate" u="1"/>
        <s v="Online - Family and Friends Group" u="1"/>
        <s v="C&amp;W - Caring for Someone with Cancer" u="1"/>
        <s v="Relaxation - Meditation" u="1"/>
        <s v="Online - Benefits" u="1"/>
        <s v="NG Gynae" u="1"/>
        <s v="Other Programme 3" u="1"/>
        <s v="Relaxation - Yoga" u="1"/>
        <s v="Lecture Series" u="1"/>
        <s v="NG Sarcoma" u="1"/>
        <s v="Creative - Expressive Art" u="1"/>
        <s v="Other Programme 2" u="1"/>
        <s v="Facilitated Support Groups" u="1"/>
        <s v="Creative - Gardening" u="1"/>
        <s v="Mindfulness" u="1"/>
        <s v="External Meeting" u="1"/>
        <s v="FSG Secondary Cancer" u="1"/>
        <s v="Prosthesis" u="1"/>
        <s v="Mind over Mood" u="1"/>
        <s v="FSG Young Persons" u="1"/>
        <s v="NG Choriocarcinoma" u="1"/>
        <s v="Psych Support - Family" u="1"/>
        <s v="Other Programme 1" u="1"/>
        <s v="Pilates" u="1"/>
        <s v="Relaxation" u="1"/>
        <s v="Taster Sessions - Kids Days" u="1"/>
        <s v="Talking Heads; Managing Hair Loss" u="1"/>
        <s v="C&amp;W - Sleep" u="1"/>
        <s v="FSG Connections" u="1"/>
        <s v="Online - Connections group" u="1"/>
        <s v="NG Other" u="1"/>
        <s v="NG Upper GI" u="1"/>
        <s v="Benefits - Couple" u="1"/>
        <s v="Benefits - Debt Management" u="1"/>
        <s v="NG Rare" u="1"/>
        <s v="NG Lung" u="1"/>
        <s v="Auricular Acupuncture " u="1"/>
        <s v="Benefits - Individual" u="1"/>
        <s v="FSG Family and Friends" u="1"/>
        <s v="C&amp;W - Getting Started" u="1"/>
        <s v="Psych Support - Individual" u="1"/>
        <s v="C&amp;W - Nutrition" u="1"/>
        <s v="Bereavement Course" u="1"/>
        <s v="Relaxation - Drop-in" u="1"/>
        <s v=" " u="1"/>
        <s v="C&amp;W - Mindfulness" u="1"/>
        <s v="Sleep" u="1"/>
        <s v="C&amp;W - Genetics" u="1"/>
        <s v="Gardening" u="1"/>
        <s v="Nutrition" u="1"/>
        <s v="Creative - Writing" u="1"/>
        <s v="C&amp;W - Stress Management &amp; Visualisation" u="1"/>
        <s v="Nordic Walking" u="1"/>
        <s v="Scrapbooking" u="1"/>
        <s v="Taster Sessions - Other" u="1"/>
      </sharedItems>
    </cacheField>
    <cacheField name="Activity 3" numFmtId="0">
      <sharedItems containsBlank="1" count="111">
        <s v=""/>
        <s v="Genetics"/>
        <s v="FSG Men's"/>
        <s v="NG Sarcoma"/>
        <s v="NG Laryngectomy"/>
        <s v="Getting Started with Cancer Treatment"/>
        <s v="Sleep"/>
        <s v="Expressive art"/>
        <s v="NG Haematology"/>
        <s v="NG Head/Neck"/>
        <s v="NG Brain"/>
        <s v="Gentle Exercise"/>
        <s v="Nutrition"/>
        <s v="Living With and Beyond Prostate Cancer"/>
        <s v="Where Now?"/>
        <s v="Benefits - Individual"/>
        <s v="Relaxation"/>
        <m/>
        <s v="Bereavement " u="1"/>
        <s v="Information - Lecture Series" u="1"/>
        <s v="Online - Young Persons Group" u="1"/>
        <s v="Yoga" u="1"/>
        <s v="Practical - Look Good Feel Better" u="1"/>
        <s v="FSG Young Women's" u="1"/>
        <s v="Practical - Talking Heads" u="1"/>
        <s v="FSG Other" u="1"/>
        <e v="#REF!" u="1"/>
        <s v="Benefits - Workshops" u="1"/>
        <s v="Benefits - Family" u="1"/>
        <s v="NG Breast" u="1"/>
        <s v="Caring for Someone with Cancer" u="1"/>
        <s v="Practical - Gentle Exercise" u="1"/>
        <s v="NG Secondary Cancer" u="1"/>
        <s v="Music Therapy/Choir" u="1"/>
        <s v="Practical - Prosthesis" u="1"/>
        <s v="Gentle Exercise " u="1"/>
        <s v="C&amp;W - Where Now?" u="1"/>
        <s v="Talking Heads; Manging Hair Loss" u="1"/>
        <s v="Meditation" u="1"/>
        <s v="Managing Stress" u="1"/>
        <s v="NG Myeloma" u="1"/>
        <s v="Benefits Workshop" u="1"/>
        <s v="Online - Generic Cancer Group" u="1"/>
        <s v="Prosthesis " u="1"/>
        <s v="FSG General" u="1"/>
        <s v="Cancer in the Workplace" u="1"/>
        <s v="Introduction to Radiotherapy" u="1"/>
        <s v="NG Brain Tumour" u="1"/>
        <s v="Relaxation - Tai Chi/Qi Gong" u="1"/>
        <s v="Creative - Scrapbooking" u="1"/>
        <s v="Tai Chi/Qi Gong" u="1"/>
        <s v="Auricular Acupuncture" u="1"/>
        <s v="Relaxation - Individual" u="1"/>
        <s v="NG Head and Neck" u="1"/>
        <s v="NG Prostate" u="1"/>
        <s v="Online - Family and Friends Group" u="1"/>
        <s v="C&amp;W - Caring for Someone with Cancer" u="1"/>
        <s v="Relaxation - Meditation" u="1"/>
        <s v="Online - Benefits" u="1"/>
        <s v="NG Gynae" u="1"/>
        <s v="FSG Young Person's" u="1"/>
        <s v="Relaxation - Yoga" u="1"/>
        <s v="Lecture Series" u="1"/>
        <s v="Kids Days" u="1"/>
        <s v="Fatigue Management" u="1"/>
        <s v="Creative - Expressive Art" u="1"/>
        <s v="Other Programme 2" u="1"/>
        <s v="Facilitated Support Groups" u="1"/>
        <s v="NG Lower GI" u="1"/>
        <s v="Creative - Gardening" u="1"/>
        <s v="Mindfulness" u="1"/>
        <s v="External Meeting" u="1"/>
        <s v="FSG Secondary Cancer" u="1"/>
        <s v="Look Good Feel Better" u="1"/>
        <s v="Prosthesis" u="1"/>
        <s v="Mind over Mood" u="1"/>
        <s v="FSG Young Persons" u="1"/>
        <s v="NG Choriocarcinoma" u="1"/>
        <s v="Psych Support - Family" u="1"/>
        <s v="Other Programme 1" u="1"/>
        <s v="Pilates" u="1"/>
        <s v="Taster Sessions - Kids Days" u="1"/>
        <s v="Talking Heads; Managing Hair Loss" u="1"/>
        <s v="FSG Bereavement" u="1"/>
        <s v="C&amp;W - Sleep" u="1"/>
        <s v="FSG Connections" u="1"/>
        <s v="Psych Support - Couple" u="1"/>
        <s v="Online - Connections group" u="1"/>
        <s v="NG Other" u="1"/>
        <s v="NG Upper GI" u="1"/>
        <s v="Benefits - Couple" u="1"/>
        <s v="Benefits - Debt Management" u="1"/>
        <s v="NG Rare" u="1"/>
        <s v="NG Lung" u="1"/>
        <s v="Auricular Acupuncture " u="1"/>
        <s v="FSG Family and Friends" u="1"/>
        <s v="NG Lymphoedema" u="1"/>
        <s v="C&amp;W - Getting Started" u="1"/>
        <s v="Psych Support - Individual" u="1"/>
        <s v="C&amp;W - Nutrition" u="1"/>
        <s v="Bereavement Course" u="1"/>
        <s v="Relaxation - Drop-in" u="1"/>
        <s v="Creative Writing" u="1"/>
        <s v="C&amp;W - Mindfulness" u="1"/>
        <s v="C&amp;W - Genetics" u="1"/>
        <s v="Gardening" u="1"/>
        <s v="Creative - Writing" u="1"/>
        <s v="C&amp;W - Stress Management &amp; Visualisation" u="1"/>
        <s v="Nordic Walking" u="1"/>
        <s v="Scrapbooking" u="1"/>
        <s v="Taster Sessions - Othe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90">
  <r>
    <x v="0"/>
    <x v="0"/>
    <x v="0"/>
    <x v="0"/>
    <x v="0"/>
    <x v="0"/>
    <x v="0"/>
    <x v="0"/>
    <x v="0"/>
    <x v="0"/>
    <x v="0"/>
  </r>
  <r>
    <x v="0"/>
    <x v="0"/>
    <x v="1"/>
    <x v="0"/>
    <x v="1"/>
    <x v="0"/>
    <x v="0"/>
    <x v="0"/>
    <x v="0"/>
    <x v="0"/>
    <x v="0"/>
  </r>
  <r>
    <x v="0"/>
    <x v="1"/>
    <x v="1"/>
    <x v="0"/>
    <x v="1"/>
    <x v="1"/>
    <x v="1"/>
    <x v="0"/>
    <x v="1"/>
    <x v="1"/>
    <x v="1"/>
  </r>
  <r>
    <x v="0"/>
    <x v="1"/>
    <x v="1"/>
    <x v="0"/>
    <x v="0"/>
    <x v="2"/>
    <x v="1"/>
    <x v="0"/>
    <x v="1"/>
    <x v="1"/>
    <x v="0"/>
  </r>
  <r>
    <x v="0"/>
    <x v="1"/>
    <x v="0"/>
    <x v="0"/>
    <x v="1"/>
    <x v="0"/>
    <x v="2"/>
    <x v="0"/>
    <x v="1"/>
    <x v="1"/>
    <x v="1"/>
  </r>
  <r>
    <x v="0"/>
    <x v="1"/>
    <x v="0"/>
    <x v="0"/>
    <x v="1"/>
    <x v="2"/>
    <x v="2"/>
    <x v="0"/>
    <x v="1"/>
    <x v="1"/>
    <x v="0"/>
  </r>
  <r>
    <x v="0"/>
    <x v="2"/>
    <x v="1"/>
    <x v="0"/>
    <x v="1"/>
    <x v="1"/>
    <x v="3"/>
    <x v="1"/>
    <x v="2"/>
    <x v="0"/>
    <x v="0"/>
  </r>
  <r>
    <x v="0"/>
    <x v="2"/>
    <x v="0"/>
    <x v="0"/>
    <x v="1"/>
    <x v="2"/>
    <x v="4"/>
    <x v="1"/>
    <x v="2"/>
    <x v="0"/>
    <x v="0"/>
  </r>
  <r>
    <x v="0"/>
    <x v="2"/>
    <x v="0"/>
    <x v="0"/>
    <x v="1"/>
    <x v="2"/>
    <x v="2"/>
    <x v="2"/>
    <x v="3"/>
    <x v="0"/>
    <x v="0"/>
  </r>
  <r>
    <x v="0"/>
    <x v="2"/>
    <x v="2"/>
    <x v="1"/>
    <x v="2"/>
    <x v="3"/>
    <x v="5"/>
    <x v="3"/>
    <x v="2"/>
    <x v="0"/>
    <x v="0"/>
  </r>
  <r>
    <x v="0"/>
    <x v="2"/>
    <x v="0"/>
    <x v="0"/>
    <x v="0"/>
    <x v="4"/>
    <x v="2"/>
    <x v="4"/>
    <x v="2"/>
    <x v="0"/>
    <x v="0"/>
  </r>
  <r>
    <x v="0"/>
    <x v="2"/>
    <x v="0"/>
    <x v="0"/>
    <x v="0"/>
    <x v="5"/>
    <x v="2"/>
    <x v="4"/>
    <x v="2"/>
    <x v="0"/>
    <x v="0"/>
  </r>
  <r>
    <x v="0"/>
    <x v="1"/>
    <x v="0"/>
    <x v="0"/>
    <x v="0"/>
    <x v="6"/>
    <x v="2"/>
    <x v="2"/>
    <x v="3"/>
    <x v="0"/>
    <x v="0"/>
  </r>
  <r>
    <x v="0"/>
    <x v="1"/>
    <x v="0"/>
    <x v="0"/>
    <x v="1"/>
    <x v="2"/>
    <x v="2"/>
    <x v="2"/>
    <x v="3"/>
    <x v="1"/>
    <x v="1"/>
  </r>
  <r>
    <x v="0"/>
    <x v="1"/>
    <x v="1"/>
    <x v="0"/>
    <x v="0"/>
    <x v="7"/>
    <x v="3"/>
    <x v="2"/>
    <x v="3"/>
    <x v="1"/>
    <x v="1"/>
  </r>
  <r>
    <x v="0"/>
    <x v="1"/>
    <x v="0"/>
    <x v="0"/>
    <x v="1"/>
    <x v="0"/>
    <x v="4"/>
    <x v="2"/>
    <x v="2"/>
    <x v="0"/>
    <x v="0"/>
  </r>
  <r>
    <x v="0"/>
    <x v="1"/>
    <x v="0"/>
    <x v="0"/>
    <x v="0"/>
    <x v="8"/>
    <x v="4"/>
    <x v="2"/>
    <x v="3"/>
    <x v="0"/>
    <x v="0"/>
  </r>
  <r>
    <x v="0"/>
    <x v="2"/>
    <x v="0"/>
    <x v="0"/>
    <x v="1"/>
    <x v="1"/>
    <x v="4"/>
    <x v="4"/>
    <x v="2"/>
    <x v="0"/>
    <x v="0"/>
  </r>
  <r>
    <x v="0"/>
    <x v="2"/>
    <x v="1"/>
    <x v="0"/>
    <x v="1"/>
    <x v="1"/>
    <x v="4"/>
    <x v="4"/>
    <x v="2"/>
    <x v="0"/>
    <x v="0"/>
  </r>
  <r>
    <x v="0"/>
    <x v="2"/>
    <x v="1"/>
    <x v="0"/>
    <x v="0"/>
    <x v="1"/>
    <x v="4"/>
    <x v="4"/>
    <x v="2"/>
    <x v="0"/>
    <x v="0"/>
  </r>
  <r>
    <x v="0"/>
    <x v="2"/>
    <x v="0"/>
    <x v="0"/>
    <x v="1"/>
    <x v="7"/>
    <x v="4"/>
    <x v="4"/>
    <x v="2"/>
    <x v="0"/>
    <x v="0"/>
  </r>
  <r>
    <x v="0"/>
    <x v="2"/>
    <x v="1"/>
    <x v="0"/>
    <x v="1"/>
    <x v="7"/>
    <x v="4"/>
    <x v="4"/>
    <x v="2"/>
    <x v="0"/>
    <x v="0"/>
  </r>
  <r>
    <x v="0"/>
    <x v="2"/>
    <x v="1"/>
    <x v="0"/>
    <x v="1"/>
    <x v="5"/>
    <x v="4"/>
    <x v="4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0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1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2"/>
    <x v="3"/>
    <x v="3"/>
    <x v="1"/>
    <x v="2"/>
    <x v="3"/>
    <x v="5"/>
    <x v="3"/>
    <x v="2"/>
    <x v="0"/>
    <x v="0"/>
  </r>
  <r>
    <x v="3"/>
    <x v="2"/>
    <x v="0"/>
    <x v="0"/>
    <x v="1"/>
    <x v="1"/>
    <x v="4"/>
    <x v="4"/>
    <x v="2"/>
    <x v="0"/>
    <x v="0"/>
  </r>
  <r>
    <x v="3"/>
    <x v="2"/>
    <x v="1"/>
    <x v="0"/>
    <x v="1"/>
    <x v="1"/>
    <x v="4"/>
    <x v="4"/>
    <x v="2"/>
    <x v="0"/>
    <x v="0"/>
  </r>
  <r>
    <x v="3"/>
    <x v="2"/>
    <x v="1"/>
    <x v="0"/>
    <x v="0"/>
    <x v="1"/>
    <x v="4"/>
    <x v="4"/>
    <x v="2"/>
    <x v="0"/>
    <x v="0"/>
  </r>
  <r>
    <x v="3"/>
    <x v="2"/>
    <x v="1"/>
    <x v="0"/>
    <x v="1"/>
    <x v="4"/>
    <x v="3"/>
    <x v="4"/>
    <x v="2"/>
    <x v="0"/>
    <x v="0"/>
  </r>
  <r>
    <x v="3"/>
    <x v="2"/>
    <x v="0"/>
    <x v="0"/>
    <x v="1"/>
    <x v="2"/>
    <x v="2"/>
    <x v="0"/>
    <x v="4"/>
    <x v="0"/>
    <x v="0"/>
  </r>
  <r>
    <x v="3"/>
    <x v="2"/>
    <x v="0"/>
    <x v="0"/>
    <x v="1"/>
    <x v="2"/>
    <x v="4"/>
    <x v="0"/>
    <x v="4"/>
    <x v="0"/>
    <x v="0"/>
  </r>
  <r>
    <x v="3"/>
    <x v="2"/>
    <x v="1"/>
    <x v="0"/>
    <x v="1"/>
    <x v="9"/>
    <x v="6"/>
    <x v="0"/>
    <x v="4"/>
    <x v="0"/>
    <x v="0"/>
  </r>
  <r>
    <x v="3"/>
    <x v="2"/>
    <x v="0"/>
    <x v="0"/>
    <x v="1"/>
    <x v="2"/>
    <x v="2"/>
    <x v="0"/>
    <x v="4"/>
    <x v="0"/>
    <x v="0"/>
  </r>
  <r>
    <x v="3"/>
    <x v="2"/>
    <x v="0"/>
    <x v="0"/>
    <x v="0"/>
    <x v="5"/>
    <x v="4"/>
    <x v="0"/>
    <x v="4"/>
    <x v="0"/>
    <x v="0"/>
  </r>
  <r>
    <x v="3"/>
    <x v="2"/>
    <x v="0"/>
    <x v="0"/>
    <x v="1"/>
    <x v="2"/>
    <x v="2"/>
    <x v="0"/>
    <x v="4"/>
    <x v="0"/>
    <x v="0"/>
  </r>
  <r>
    <x v="3"/>
    <x v="2"/>
    <x v="0"/>
    <x v="0"/>
    <x v="1"/>
    <x v="10"/>
    <x v="4"/>
    <x v="0"/>
    <x v="4"/>
    <x v="0"/>
    <x v="0"/>
  </r>
  <r>
    <x v="3"/>
    <x v="2"/>
    <x v="2"/>
    <x v="1"/>
    <x v="2"/>
    <x v="3"/>
    <x v="5"/>
    <x v="3"/>
    <x v="2"/>
    <x v="0"/>
    <x v="0"/>
  </r>
  <r>
    <x v="3"/>
    <x v="4"/>
    <x v="0"/>
    <x v="2"/>
    <x v="0"/>
    <x v="4"/>
    <x v="6"/>
    <x v="4"/>
    <x v="2"/>
    <x v="0"/>
    <x v="0"/>
  </r>
  <r>
    <x v="3"/>
    <x v="4"/>
    <x v="1"/>
    <x v="2"/>
    <x v="1"/>
    <x v="4"/>
    <x v="6"/>
    <x v="4"/>
    <x v="2"/>
    <x v="0"/>
    <x v="0"/>
  </r>
  <r>
    <x v="3"/>
    <x v="4"/>
    <x v="1"/>
    <x v="2"/>
    <x v="1"/>
    <x v="4"/>
    <x v="6"/>
    <x v="4"/>
    <x v="2"/>
    <x v="0"/>
    <x v="0"/>
  </r>
  <r>
    <x v="3"/>
    <x v="4"/>
    <x v="0"/>
    <x v="0"/>
    <x v="1"/>
    <x v="2"/>
    <x v="6"/>
    <x v="4"/>
    <x v="2"/>
    <x v="0"/>
    <x v="0"/>
  </r>
  <r>
    <x v="3"/>
    <x v="4"/>
    <x v="0"/>
    <x v="0"/>
    <x v="0"/>
    <x v="6"/>
    <x v="6"/>
    <x v="4"/>
    <x v="2"/>
    <x v="0"/>
    <x v="0"/>
  </r>
  <r>
    <x v="3"/>
    <x v="4"/>
    <x v="1"/>
    <x v="0"/>
    <x v="1"/>
    <x v="6"/>
    <x v="6"/>
    <x v="4"/>
    <x v="2"/>
    <x v="0"/>
    <x v="0"/>
  </r>
  <r>
    <x v="3"/>
    <x v="4"/>
    <x v="0"/>
    <x v="0"/>
    <x v="0"/>
    <x v="1"/>
    <x v="4"/>
    <x v="2"/>
    <x v="3"/>
    <x v="0"/>
    <x v="0"/>
  </r>
  <r>
    <x v="3"/>
    <x v="4"/>
    <x v="1"/>
    <x v="0"/>
    <x v="1"/>
    <x v="1"/>
    <x v="4"/>
    <x v="4"/>
    <x v="2"/>
    <x v="0"/>
    <x v="0"/>
  </r>
  <r>
    <x v="3"/>
    <x v="4"/>
    <x v="0"/>
    <x v="0"/>
    <x v="1"/>
    <x v="11"/>
    <x v="2"/>
    <x v="2"/>
    <x v="3"/>
    <x v="0"/>
    <x v="0"/>
  </r>
  <r>
    <x v="3"/>
    <x v="4"/>
    <x v="0"/>
    <x v="0"/>
    <x v="1"/>
    <x v="4"/>
    <x v="2"/>
    <x v="2"/>
    <x v="3"/>
    <x v="0"/>
    <x v="0"/>
  </r>
  <r>
    <x v="3"/>
    <x v="4"/>
    <x v="0"/>
    <x v="0"/>
    <x v="0"/>
    <x v="0"/>
    <x v="0"/>
    <x v="4"/>
    <x v="2"/>
    <x v="0"/>
    <x v="0"/>
  </r>
  <r>
    <x v="3"/>
    <x v="4"/>
    <x v="1"/>
    <x v="0"/>
    <x v="1"/>
    <x v="0"/>
    <x v="0"/>
    <x v="4"/>
    <x v="2"/>
    <x v="0"/>
    <x v="0"/>
  </r>
  <r>
    <x v="3"/>
    <x v="4"/>
    <x v="0"/>
    <x v="0"/>
    <x v="1"/>
    <x v="1"/>
    <x v="4"/>
    <x v="4"/>
    <x v="2"/>
    <x v="0"/>
    <x v="0"/>
  </r>
  <r>
    <x v="3"/>
    <x v="4"/>
    <x v="1"/>
    <x v="0"/>
    <x v="0"/>
    <x v="1"/>
    <x v="4"/>
    <x v="4"/>
    <x v="2"/>
    <x v="0"/>
    <x v="0"/>
  </r>
  <r>
    <x v="3"/>
    <x v="4"/>
    <x v="1"/>
    <x v="0"/>
    <x v="1"/>
    <x v="1"/>
    <x v="4"/>
    <x v="4"/>
    <x v="2"/>
    <x v="0"/>
    <x v="0"/>
  </r>
  <r>
    <x v="3"/>
    <x v="4"/>
    <x v="0"/>
    <x v="0"/>
    <x v="0"/>
    <x v="12"/>
    <x v="2"/>
    <x v="4"/>
    <x v="2"/>
    <x v="0"/>
    <x v="0"/>
  </r>
  <r>
    <x v="3"/>
    <x v="4"/>
    <x v="1"/>
    <x v="0"/>
    <x v="0"/>
    <x v="11"/>
    <x v="3"/>
    <x v="4"/>
    <x v="2"/>
    <x v="0"/>
    <x v="0"/>
  </r>
  <r>
    <x v="3"/>
    <x v="4"/>
    <x v="0"/>
    <x v="0"/>
    <x v="0"/>
    <x v="1"/>
    <x v="4"/>
    <x v="2"/>
    <x v="3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2"/>
    <x v="1"/>
    <x v="2"/>
    <x v="3"/>
    <x v="5"/>
    <x v="3"/>
    <x v="2"/>
    <x v="0"/>
    <x v="0"/>
  </r>
  <r>
    <x v="3"/>
    <x v="2"/>
    <x v="0"/>
    <x v="0"/>
    <x v="0"/>
    <x v="8"/>
    <x v="0"/>
    <x v="2"/>
    <x v="5"/>
    <x v="0"/>
    <x v="0"/>
  </r>
  <r>
    <x v="3"/>
    <x v="2"/>
    <x v="1"/>
    <x v="0"/>
    <x v="1"/>
    <x v="8"/>
    <x v="0"/>
    <x v="2"/>
    <x v="5"/>
    <x v="0"/>
    <x v="0"/>
  </r>
  <r>
    <x v="3"/>
    <x v="2"/>
    <x v="1"/>
    <x v="0"/>
    <x v="0"/>
    <x v="8"/>
    <x v="4"/>
    <x v="2"/>
    <x v="3"/>
    <x v="0"/>
    <x v="0"/>
  </r>
  <r>
    <x v="3"/>
    <x v="2"/>
    <x v="1"/>
    <x v="0"/>
    <x v="1"/>
    <x v="1"/>
    <x v="0"/>
    <x v="4"/>
    <x v="2"/>
    <x v="0"/>
    <x v="0"/>
  </r>
  <r>
    <x v="3"/>
    <x v="2"/>
    <x v="0"/>
    <x v="0"/>
    <x v="1"/>
    <x v="2"/>
    <x v="0"/>
    <x v="4"/>
    <x v="2"/>
    <x v="0"/>
    <x v="0"/>
  </r>
  <r>
    <x v="3"/>
    <x v="2"/>
    <x v="0"/>
    <x v="0"/>
    <x v="1"/>
    <x v="12"/>
    <x v="4"/>
    <x v="4"/>
    <x v="2"/>
    <x v="0"/>
    <x v="0"/>
  </r>
  <r>
    <x v="3"/>
    <x v="2"/>
    <x v="1"/>
    <x v="0"/>
    <x v="1"/>
    <x v="11"/>
    <x v="3"/>
    <x v="4"/>
    <x v="2"/>
    <x v="0"/>
    <x v="0"/>
  </r>
  <r>
    <x v="3"/>
    <x v="2"/>
    <x v="0"/>
    <x v="0"/>
    <x v="0"/>
    <x v="9"/>
    <x v="0"/>
    <x v="4"/>
    <x v="2"/>
    <x v="0"/>
    <x v="0"/>
  </r>
  <r>
    <x v="3"/>
    <x v="0"/>
    <x v="0"/>
    <x v="0"/>
    <x v="1"/>
    <x v="0"/>
    <x v="6"/>
    <x v="0"/>
    <x v="0"/>
    <x v="0"/>
    <x v="0"/>
  </r>
  <r>
    <x v="3"/>
    <x v="0"/>
    <x v="1"/>
    <x v="0"/>
    <x v="1"/>
    <x v="0"/>
    <x v="6"/>
    <x v="0"/>
    <x v="0"/>
    <x v="0"/>
    <x v="0"/>
  </r>
  <r>
    <x v="3"/>
    <x v="2"/>
    <x v="0"/>
    <x v="0"/>
    <x v="1"/>
    <x v="2"/>
    <x v="0"/>
    <x v="4"/>
    <x v="2"/>
    <x v="0"/>
    <x v="0"/>
  </r>
  <r>
    <x v="3"/>
    <x v="2"/>
    <x v="1"/>
    <x v="2"/>
    <x v="1"/>
    <x v="2"/>
    <x v="0"/>
    <x v="4"/>
    <x v="2"/>
    <x v="0"/>
    <x v="0"/>
  </r>
  <r>
    <x v="3"/>
    <x v="2"/>
    <x v="1"/>
    <x v="2"/>
    <x v="1"/>
    <x v="2"/>
    <x v="3"/>
    <x v="4"/>
    <x v="2"/>
    <x v="0"/>
    <x v="0"/>
  </r>
  <r>
    <x v="3"/>
    <x v="2"/>
    <x v="0"/>
    <x v="2"/>
    <x v="0"/>
    <x v="9"/>
    <x v="0"/>
    <x v="4"/>
    <x v="2"/>
    <x v="0"/>
    <x v="0"/>
  </r>
  <r>
    <x v="3"/>
    <x v="2"/>
    <x v="1"/>
    <x v="2"/>
    <x v="1"/>
    <x v="9"/>
    <x v="0"/>
    <x v="4"/>
    <x v="2"/>
    <x v="0"/>
    <x v="0"/>
  </r>
  <r>
    <x v="3"/>
    <x v="1"/>
    <x v="0"/>
    <x v="0"/>
    <x v="1"/>
    <x v="4"/>
    <x v="2"/>
    <x v="2"/>
    <x v="3"/>
    <x v="0"/>
    <x v="0"/>
  </r>
  <r>
    <x v="3"/>
    <x v="1"/>
    <x v="0"/>
    <x v="2"/>
    <x v="1"/>
    <x v="0"/>
    <x v="2"/>
    <x v="0"/>
    <x v="3"/>
    <x v="0"/>
    <x v="0"/>
  </r>
  <r>
    <x v="3"/>
    <x v="1"/>
    <x v="1"/>
    <x v="0"/>
    <x v="1"/>
    <x v="2"/>
    <x v="4"/>
    <x v="0"/>
    <x v="6"/>
    <x v="0"/>
    <x v="0"/>
  </r>
  <r>
    <x v="3"/>
    <x v="1"/>
    <x v="1"/>
    <x v="0"/>
    <x v="1"/>
    <x v="11"/>
    <x v="4"/>
    <x v="0"/>
    <x v="6"/>
    <x v="0"/>
    <x v="0"/>
  </r>
  <r>
    <x v="3"/>
    <x v="1"/>
    <x v="1"/>
    <x v="0"/>
    <x v="0"/>
    <x v="0"/>
    <x v="4"/>
    <x v="0"/>
    <x v="6"/>
    <x v="0"/>
    <x v="0"/>
  </r>
  <r>
    <x v="3"/>
    <x v="1"/>
    <x v="1"/>
    <x v="0"/>
    <x v="0"/>
    <x v="11"/>
    <x v="4"/>
    <x v="0"/>
    <x v="6"/>
    <x v="0"/>
    <x v="0"/>
  </r>
  <r>
    <x v="3"/>
    <x v="1"/>
    <x v="1"/>
    <x v="0"/>
    <x v="0"/>
    <x v="1"/>
    <x v="3"/>
    <x v="2"/>
    <x v="3"/>
    <x v="0"/>
    <x v="0"/>
  </r>
  <r>
    <x v="3"/>
    <x v="1"/>
    <x v="0"/>
    <x v="0"/>
    <x v="0"/>
    <x v="5"/>
    <x v="4"/>
    <x v="0"/>
    <x v="7"/>
    <x v="0"/>
    <x v="0"/>
  </r>
  <r>
    <x v="3"/>
    <x v="1"/>
    <x v="0"/>
    <x v="0"/>
    <x v="1"/>
    <x v="2"/>
    <x v="4"/>
    <x v="0"/>
    <x v="7"/>
    <x v="0"/>
    <x v="0"/>
  </r>
  <r>
    <x v="3"/>
    <x v="1"/>
    <x v="0"/>
    <x v="0"/>
    <x v="1"/>
    <x v="2"/>
    <x v="4"/>
    <x v="0"/>
    <x v="7"/>
    <x v="0"/>
    <x v="0"/>
  </r>
  <r>
    <x v="3"/>
    <x v="1"/>
    <x v="0"/>
    <x v="0"/>
    <x v="0"/>
    <x v="5"/>
    <x v="4"/>
    <x v="0"/>
    <x v="8"/>
    <x v="0"/>
    <x v="0"/>
  </r>
  <r>
    <x v="3"/>
    <x v="1"/>
    <x v="0"/>
    <x v="0"/>
    <x v="0"/>
    <x v="4"/>
    <x v="4"/>
    <x v="0"/>
    <x v="8"/>
    <x v="0"/>
    <x v="0"/>
  </r>
  <r>
    <x v="3"/>
    <x v="1"/>
    <x v="0"/>
    <x v="0"/>
    <x v="0"/>
    <x v="4"/>
    <x v="4"/>
    <x v="0"/>
    <x v="8"/>
    <x v="0"/>
    <x v="0"/>
  </r>
  <r>
    <x v="3"/>
    <x v="1"/>
    <x v="0"/>
    <x v="0"/>
    <x v="0"/>
    <x v="0"/>
    <x v="4"/>
    <x v="0"/>
    <x v="8"/>
    <x v="0"/>
    <x v="0"/>
  </r>
  <r>
    <x v="3"/>
    <x v="4"/>
    <x v="0"/>
    <x v="0"/>
    <x v="0"/>
    <x v="11"/>
    <x v="0"/>
    <x v="2"/>
    <x v="3"/>
    <x v="0"/>
    <x v="0"/>
  </r>
  <r>
    <x v="3"/>
    <x v="4"/>
    <x v="0"/>
    <x v="0"/>
    <x v="1"/>
    <x v="11"/>
    <x v="2"/>
    <x v="2"/>
    <x v="3"/>
    <x v="0"/>
    <x v="0"/>
  </r>
  <r>
    <x v="3"/>
    <x v="4"/>
    <x v="0"/>
    <x v="0"/>
    <x v="0"/>
    <x v="1"/>
    <x v="4"/>
    <x v="2"/>
    <x v="3"/>
    <x v="0"/>
    <x v="0"/>
  </r>
  <r>
    <x v="3"/>
    <x v="4"/>
    <x v="1"/>
    <x v="0"/>
    <x v="1"/>
    <x v="1"/>
    <x v="4"/>
    <x v="2"/>
    <x v="3"/>
    <x v="0"/>
    <x v="0"/>
  </r>
  <r>
    <x v="3"/>
    <x v="4"/>
    <x v="0"/>
    <x v="0"/>
    <x v="0"/>
    <x v="0"/>
    <x v="2"/>
    <x v="2"/>
    <x v="3"/>
    <x v="0"/>
    <x v="0"/>
  </r>
  <r>
    <x v="3"/>
    <x v="4"/>
    <x v="1"/>
    <x v="2"/>
    <x v="1"/>
    <x v="12"/>
    <x v="0"/>
    <x v="4"/>
    <x v="2"/>
    <x v="0"/>
    <x v="0"/>
  </r>
  <r>
    <x v="3"/>
    <x v="4"/>
    <x v="1"/>
    <x v="2"/>
    <x v="0"/>
    <x v="12"/>
    <x v="0"/>
    <x v="4"/>
    <x v="2"/>
    <x v="0"/>
    <x v="0"/>
  </r>
  <r>
    <x v="3"/>
    <x v="4"/>
    <x v="1"/>
    <x v="0"/>
    <x v="1"/>
    <x v="0"/>
    <x v="3"/>
    <x v="2"/>
    <x v="3"/>
    <x v="0"/>
    <x v="0"/>
  </r>
  <r>
    <x v="3"/>
    <x v="4"/>
    <x v="1"/>
    <x v="0"/>
    <x v="3"/>
    <x v="0"/>
    <x v="3"/>
    <x v="2"/>
    <x v="3"/>
    <x v="0"/>
    <x v="0"/>
  </r>
  <r>
    <x v="3"/>
    <x v="4"/>
    <x v="1"/>
    <x v="0"/>
    <x v="0"/>
    <x v="5"/>
    <x v="3"/>
    <x v="2"/>
    <x v="3"/>
    <x v="0"/>
    <x v="0"/>
  </r>
  <r>
    <x v="3"/>
    <x v="4"/>
    <x v="1"/>
    <x v="0"/>
    <x v="1"/>
    <x v="12"/>
    <x v="3"/>
    <x v="2"/>
    <x v="3"/>
    <x v="0"/>
    <x v="0"/>
  </r>
  <r>
    <x v="3"/>
    <x v="4"/>
    <x v="0"/>
    <x v="0"/>
    <x v="1"/>
    <x v="2"/>
    <x v="2"/>
    <x v="2"/>
    <x v="3"/>
    <x v="0"/>
    <x v="0"/>
  </r>
  <r>
    <x v="3"/>
    <x v="2"/>
    <x v="0"/>
    <x v="0"/>
    <x v="1"/>
    <x v="2"/>
    <x v="2"/>
    <x v="2"/>
    <x v="3"/>
    <x v="0"/>
    <x v="0"/>
  </r>
  <r>
    <x v="3"/>
    <x v="2"/>
    <x v="1"/>
    <x v="0"/>
    <x v="1"/>
    <x v="12"/>
    <x v="0"/>
    <x v="1"/>
    <x v="2"/>
    <x v="0"/>
    <x v="0"/>
  </r>
  <r>
    <x v="3"/>
    <x v="2"/>
    <x v="1"/>
    <x v="0"/>
    <x v="1"/>
    <x v="2"/>
    <x v="3"/>
    <x v="2"/>
    <x v="3"/>
    <x v="0"/>
    <x v="0"/>
  </r>
  <r>
    <x v="3"/>
    <x v="2"/>
    <x v="0"/>
    <x v="2"/>
    <x v="1"/>
    <x v="2"/>
    <x v="0"/>
    <x v="4"/>
    <x v="2"/>
    <x v="0"/>
    <x v="0"/>
  </r>
  <r>
    <x v="3"/>
    <x v="2"/>
    <x v="1"/>
    <x v="2"/>
    <x v="0"/>
    <x v="2"/>
    <x v="0"/>
    <x v="4"/>
    <x v="2"/>
    <x v="0"/>
    <x v="0"/>
  </r>
  <r>
    <x v="3"/>
    <x v="2"/>
    <x v="0"/>
    <x v="0"/>
    <x v="0"/>
    <x v="11"/>
    <x v="0"/>
    <x v="4"/>
    <x v="2"/>
    <x v="0"/>
    <x v="0"/>
  </r>
  <r>
    <x v="3"/>
    <x v="2"/>
    <x v="1"/>
    <x v="0"/>
    <x v="1"/>
    <x v="11"/>
    <x v="0"/>
    <x v="4"/>
    <x v="2"/>
    <x v="0"/>
    <x v="0"/>
  </r>
  <r>
    <x v="3"/>
    <x v="2"/>
    <x v="0"/>
    <x v="2"/>
    <x v="0"/>
    <x v="4"/>
    <x v="4"/>
    <x v="4"/>
    <x v="2"/>
    <x v="0"/>
    <x v="0"/>
  </r>
  <r>
    <x v="3"/>
    <x v="0"/>
    <x v="0"/>
    <x v="0"/>
    <x v="0"/>
    <x v="9"/>
    <x v="6"/>
    <x v="0"/>
    <x v="9"/>
    <x v="0"/>
    <x v="0"/>
  </r>
  <r>
    <x v="3"/>
    <x v="0"/>
    <x v="0"/>
    <x v="0"/>
    <x v="0"/>
    <x v="9"/>
    <x v="6"/>
    <x v="0"/>
    <x v="9"/>
    <x v="0"/>
    <x v="0"/>
  </r>
  <r>
    <x v="3"/>
    <x v="0"/>
    <x v="0"/>
    <x v="0"/>
    <x v="0"/>
    <x v="9"/>
    <x v="6"/>
    <x v="0"/>
    <x v="9"/>
    <x v="0"/>
    <x v="0"/>
  </r>
  <r>
    <x v="3"/>
    <x v="0"/>
    <x v="0"/>
    <x v="0"/>
    <x v="0"/>
    <x v="9"/>
    <x v="6"/>
    <x v="0"/>
    <x v="9"/>
    <x v="0"/>
    <x v="0"/>
  </r>
  <r>
    <x v="3"/>
    <x v="0"/>
    <x v="0"/>
    <x v="0"/>
    <x v="0"/>
    <x v="9"/>
    <x v="6"/>
    <x v="0"/>
    <x v="9"/>
    <x v="0"/>
    <x v="0"/>
  </r>
  <r>
    <x v="3"/>
    <x v="0"/>
    <x v="0"/>
    <x v="0"/>
    <x v="0"/>
    <x v="9"/>
    <x v="6"/>
    <x v="0"/>
    <x v="9"/>
    <x v="0"/>
    <x v="0"/>
  </r>
  <r>
    <x v="3"/>
    <x v="0"/>
    <x v="0"/>
    <x v="0"/>
    <x v="1"/>
    <x v="9"/>
    <x v="6"/>
    <x v="0"/>
    <x v="9"/>
    <x v="0"/>
    <x v="0"/>
  </r>
  <r>
    <x v="3"/>
    <x v="0"/>
    <x v="0"/>
    <x v="0"/>
    <x v="1"/>
    <x v="9"/>
    <x v="6"/>
    <x v="0"/>
    <x v="9"/>
    <x v="0"/>
    <x v="0"/>
  </r>
  <r>
    <x v="3"/>
    <x v="0"/>
    <x v="0"/>
    <x v="0"/>
    <x v="1"/>
    <x v="9"/>
    <x v="6"/>
    <x v="0"/>
    <x v="9"/>
    <x v="0"/>
    <x v="0"/>
  </r>
  <r>
    <x v="3"/>
    <x v="0"/>
    <x v="0"/>
    <x v="0"/>
    <x v="1"/>
    <x v="9"/>
    <x v="6"/>
    <x v="0"/>
    <x v="9"/>
    <x v="0"/>
    <x v="0"/>
  </r>
  <r>
    <x v="3"/>
    <x v="0"/>
    <x v="0"/>
    <x v="0"/>
    <x v="1"/>
    <x v="9"/>
    <x v="6"/>
    <x v="0"/>
    <x v="9"/>
    <x v="0"/>
    <x v="0"/>
  </r>
  <r>
    <x v="3"/>
    <x v="0"/>
    <x v="0"/>
    <x v="0"/>
    <x v="1"/>
    <x v="9"/>
    <x v="6"/>
    <x v="0"/>
    <x v="9"/>
    <x v="0"/>
    <x v="0"/>
  </r>
  <r>
    <x v="3"/>
    <x v="0"/>
    <x v="0"/>
    <x v="0"/>
    <x v="1"/>
    <x v="9"/>
    <x v="6"/>
    <x v="0"/>
    <x v="9"/>
    <x v="0"/>
    <x v="0"/>
  </r>
  <r>
    <x v="3"/>
    <x v="0"/>
    <x v="0"/>
    <x v="0"/>
    <x v="1"/>
    <x v="9"/>
    <x v="6"/>
    <x v="0"/>
    <x v="9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3"/>
    <x v="3"/>
    <x v="3"/>
    <x v="1"/>
    <x v="2"/>
    <x v="3"/>
    <x v="5"/>
    <x v="3"/>
    <x v="2"/>
    <x v="0"/>
    <x v="0"/>
  </r>
  <r>
    <x v="4"/>
    <x v="2"/>
    <x v="0"/>
    <x v="0"/>
    <x v="0"/>
    <x v="6"/>
    <x v="2"/>
    <x v="2"/>
    <x v="3"/>
    <x v="0"/>
    <x v="0"/>
  </r>
  <r>
    <x v="4"/>
    <x v="2"/>
    <x v="0"/>
    <x v="0"/>
    <x v="1"/>
    <x v="2"/>
    <x v="2"/>
    <x v="2"/>
    <x v="5"/>
    <x v="0"/>
    <x v="0"/>
  </r>
  <r>
    <x v="4"/>
    <x v="2"/>
    <x v="1"/>
    <x v="0"/>
    <x v="0"/>
    <x v="2"/>
    <x v="2"/>
    <x v="2"/>
    <x v="5"/>
    <x v="0"/>
    <x v="0"/>
  </r>
  <r>
    <x v="4"/>
    <x v="2"/>
    <x v="0"/>
    <x v="0"/>
    <x v="1"/>
    <x v="7"/>
    <x v="4"/>
    <x v="4"/>
    <x v="2"/>
    <x v="0"/>
    <x v="0"/>
  </r>
  <r>
    <x v="4"/>
    <x v="2"/>
    <x v="0"/>
    <x v="2"/>
    <x v="1"/>
    <x v="0"/>
    <x v="0"/>
    <x v="4"/>
    <x v="2"/>
    <x v="0"/>
    <x v="0"/>
  </r>
  <r>
    <x v="4"/>
    <x v="2"/>
    <x v="0"/>
    <x v="2"/>
    <x v="1"/>
    <x v="2"/>
    <x v="4"/>
    <x v="4"/>
    <x v="2"/>
    <x v="0"/>
    <x v="0"/>
  </r>
  <r>
    <x v="4"/>
    <x v="2"/>
    <x v="1"/>
    <x v="2"/>
    <x v="1"/>
    <x v="2"/>
    <x v="4"/>
    <x v="4"/>
    <x v="2"/>
    <x v="0"/>
    <x v="0"/>
  </r>
  <r>
    <x v="4"/>
    <x v="2"/>
    <x v="0"/>
    <x v="2"/>
    <x v="1"/>
    <x v="2"/>
    <x v="0"/>
    <x v="4"/>
    <x v="2"/>
    <x v="0"/>
    <x v="0"/>
  </r>
  <r>
    <x v="4"/>
    <x v="2"/>
    <x v="1"/>
    <x v="0"/>
    <x v="1"/>
    <x v="1"/>
    <x v="4"/>
    <x v="2"/>
    <x v="3"/>
    <x v="0"/>
    <x v="0"/>
  </r>
  <r>
    <x v="4"/>
    <x v="2"/>
    <x v="0"/>
    <x v="0"/>
    <x v="0"/>
    <x v="1"/>
    <x v="4"/>
    <x v="4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4"/>
    <x v="1"/>
    <x v="2"/>
    <x v="3"/>
    <x v="5"/>
    <x v="5"/>
    <x v="2"/>
    <x v="0"/>
    <x v="0"/>
  </r>
  <r>
    <x v="4"/>
    <x v="2"/>
    <x v="0"/>
    <x v="2"/>
    <x v="0"/>
    <x v="13"/>
    <x v="2"/>
    <x v="4"/>
    <x v="2"/>
    <x v="0"/>
    <x v="0"/>
  </r>
  <r>
    <x v="4"/>
    <x v="2"/>
    <x v="1"/>
    <x v="2"/>
    <x v="1"/>
    <x v="8"/>
    <x v="4"/>
    <x v="4"/>
    <x v="2"/>
    <x v="0"/>
    <x v="0"/>
  </r>
  <r>
    <x v="4"/>
    <x v="2"/>
    <x v="1"/>
    <x v="2"/>
    <x v="0"/>
    <x v="8"/>
    <x v="4"/>
    <x v="4"/>
    <x v="2"/>
    <x v="0"/>
    <x v="0"/>
  </r>
  <r>
    <x v="4"/>
    <x v="2"/>
    <x v="0"/>
    <x v="0"/>
    <x v="1"/>
    <x v="2"/>
    <x v="2"/>
    <x v="4"/>
    <x v="2"/>
    <x v="0"/>
    <x v="0"/>
  </r>
  <r>
    <x v="4"/>
    <x v="2"/>
    <x v="0"/>
    <x v="2"/>
    <x v="1"/>
    <x v="0"/>
    <x v="4"/>
    <x v="4"/>
    <x v="2"/>
    <x v="0"/>
    <x v="0"/>
  </r>
  <r>
    <x v="4"/>
    <x v="2"/>
    <x v="1"/>
    <x v="2"/>
    <x v="1"/>
    <x v="0"/>
    <x v="4"/>
    <x v="4"/>
    <x v="2"/>
    <x v="0"/>
    <x v="0"/>
  </r>
  <r>
    <x v="4"/>
    <x v="2"/>
    <x v="1"/>
    <x v="0"/>
    <x v="1"/>
    <x v="2"/>
    <x v="4"/>
    <x v="2"/>
    <x v="3"/>
    <x v="0"/>
    <x v="0"/>
  </r>
  <r>
    <x v="4"/>
    <x v="2"/>
    <x v="0"/>
    <x v="0"/>
    <x v="0"/>
    <x v="1"/>
    <x v="0"/>
    <x v="4"/>
    <x v="2"/>
    <x v="0"/>
    <x v="0"/>
  </r>
  <r>
    <x v="4"/>
    <x v="2"/>
    <x v="0"/>
    <x v="0"/>
    <x v="1"/>
    <x v="14"/>
    <x v="0"/>
    <x v="2"/>
    <x v="3"/>
    <x v="0"/>
    <x v="0"/>
  </r>
  <r>
    <x v="4"/>
    <x v="1"/>
    <x v="0"/>
    <x v="0"/>
    <x v="1"/>
    <x v="11"/>
    <x v="4"/>
    <x v="2"/>
    <x v="3"/>
    <x v="0"/>
    <x v="0"/>
  </r>
  <r>
    <x v="4"/>
    <x v="1"/>
    <x v="1"/>
    <x v="0"/>
    <x v="1"/>
    <x v="4"/>
    <x v="4"/>
    <x v="2"/>
    <x v="3"/>
    <x v="0"/>
    <x v="0"/>
  </r>
  <r>
    <x v="4"/>
    <x v="1"/>
    <x v="0"/>
    <x v="0"/>
    <x v="1"/>
    <x v="2"/>
    <x v="2"/>
    <x v="2"/>
    <x v="3"/>
    <x v="0"/>
    <x v="0"/>
  </r>
  <r>
    <x v="4"/>
    <x v="1"/>
    <x v="1"/>
    <x v="0"/>
    <x v="0"/>
    <x v="2"/>
    <x v="3"/>
    <x v="2"/>
    <x v="3"/>
    <x v="0"/>
    <x v="0"/>
  </r>
  <r>
    <x v="4"/>
    <x v="1"/>
    <x v="0"/>
    <x v="0"/>
    <x v="1"/>
    <x v="1"/>
    <x v="2"/>
    <x v="2"/>
    <x v="3"/>
    <x v="0"/>
    <x v="0"/>
  </r>
  <r>
    <x v="4"/>
    <x v="2"/>
    <x v="1"/>
    <x v="0"/>
    <x v="0"/>
    <x v="0"/>
    <x v="3"/>
    <x v="0"/>
    <x v="10"/>
    <x v="0"/>
    <x v="0"/>
  </r>
  <r>
    <x v="4"/>
    <x v="2"/>
    <x v="1"/>
    <x v="0"/>
    <x v="1"/>
    <x v="1"/>
    <x v="3"/>
    <x v="0"/>
    <x v="10"/>
    <x v="0"/>
    <x v="0"/>
  </r>
  <r>
    <x v="4"/>
    <x v="2"/>
    <x v="1"/>
    <x v="0"/>
    <x v="1"/>
    <x v="2"/>
    <x v="3"/>
    <x v="0"/>
    <x v="10"/>
    <x v="0"/>
    <x v="0"/>
  </r>
  <r>
    <x v="4"/>
    <x v="2"/>
    <x v="1"/>
    <x v="0"/>
    <x v="1"/>
    <x v="8"/>
    <x v="3"/>
    <x v="0"/>
    <x v="10"/>
    <x v="0"/>
    <x v="0"/>
  </r>
  <r>
    <x v="4"/>
    <x v="2"/>
    <x v="1"/>
    <x v="0"/>
    <x v="1"/>
    <x v="0"/>
    <x v="3"/>
    <x v="0"/>
    <x v="10"/>
    <x v="0"/>
    <x v="0"/>
  </r>
  <r>
    <x v="4"/>
    <x v="1"/>
    <x v="0"/>
    <x v="0"/>
    <x v="0"/>
    <x v="1"/>
    <x v="4"/>
    <x v="2"/>
    <x v="3"/>
    <x v="0"/>
    <x v="0"/>
  </r>
  <r>
    <x v="4"/>
    <x v="1"/>
    <x v="0"/>
    <x v="0"/>
    <x v="1"/>
    <x v="2"/>
    <x v="2"/>
    <x v="2"/>
    <x v="3"/>
    <x v="0"/>
    <x v="0"/>
  </r>
  <r>
    <x v="4"/>
    <x v="1"/>
    <x v="0"/>
    <x v="2"/>
    <x v="0"/>
    <x v="13"/>
    <x v="2"/>
    <x v="4"/>
    <x v="3"/>
    <x v="0"/>
    <x v="0"/>
  </r>
  <r>
    <x v="4"/>
    <x v="1"/>
    <x v="0"/>
    <x v="0"/>
    <x v="0"/>
    <x v="1"/>
    <x v="4"/>
    <x v="0"/>
    <x v="11"/>
    <x v="0"/>
    <x v="0"/>
  </r>
  <r>
    <x v="4"/>
    <x v="1"/>
    <x v="0"/>
    <x v="0"/>
    <x v="0"/>
    <x v="1"/>
    <x v="4"/>
    <x v="0"/>
    <x v="11"/>
    <x v="0"/>
    <x v="0"/>
  </r>
  <r>
    <x v="4"/>
    <x v="1"/>
    <x v="0"/>
    <x v="0"/>
    <x v="1"/>
    <x v="1"/>
    <x v="4"/>
    <x v="0"/>
    <x v="11"/>
    <x v="0"/>
    <x v="0"/>
  </r>
  <r>
    <x v="4"/>
    <x v="1"/>
    <x v="0"/>
    <x v="0"/>
    <x v="1"/>
    <x v="1"/>
    <x v="4"/>
    <x v="0"/>
    <x v="11"/>
    <x v="0"/>
    <x v="0"/>
  </r>
  <r>
    <x v="4"/>
    <x v="1"/>
    <x v="1"/>
    <x v="0"/>
    <x v="1"/>
    <x v="1"/>
    <x v="3"/>
    <x v="0"/>
    <x v="11"/>
    <x v="0"/>
    <x v="0"/>
  </r>
  <r>
    <x v="4"/>
    <x v="1"/>
    <x v="1"/>
    <x v="0"/>
    <x v="1"/>
    <x v="1"/>
    <x v="3"/>
    <x v="0"/>
    <x v="11"/>
    <x v="0"/>
    <x v="0"/>
  </r>
  <r>
    <x v="4"/>
    <x v="1"/>
    <x v="1"/>
    <x v="0"/>
    <x v="1"/>
    <x v="1"/>
    <x v="3"/>
    <x v="0"/>
    <x v="11"/>
    <x v="0"/>
    <x v="0"/>
  </r>
  <r>
    <x v="4"/>
    <x v="1"/>
    <x v="1"/>
    <x v="0"/>
    <x v="0"/>
    <x v="1"/>
    <x v="3"/>
    <x v="0"/>
    <x v="11"/>
    <x v="0"/>
    <x v="0"/>
  </r>
  <r>
    <x v="4"/>
    <x v="4"/>
    <x v="0"/>
    <x v="0"/>
    <x v="1"/>
    <x v="2"/>
    <x v="2"/>
    <x v="2"/>
    <x v="3"/>
    <x v="0"/>
    <x v="0"/>
  </r>
  <r>
    <x v="4"/>
    <x v="4"/>
    <x v="1"/>
    <x v="2"/>
    <x v="3"/>
    <x v="2"/>
    <x v="2"/>
    <x v="4"/>
    <x v="2"/>
    <x v="0"/>
    <x v="0"/>
  </r>
  <r>
    <x v="4"/>
    <x v="4"/>
    <x v="0"/>
    <x v="2"/>
    <x v="1"/>
    <x v="6"/>
    <x v="4"/>
    <x v="4"/>
    <x v="2"/>
    <x v="0"/>
    <x v="0"/>
  </r>
  <r>
    <x v="4"/>
    <x v="4"/>
    <x v="1"/>
    <x v="2"/>
    <x v="1"/>
    <x v="6"/>
    <x v="4"/>
    <x v="4"/>
    <x v="2"/>
    <x v="0"/>
    <x v="0"/>
  </r>
  <r>
    <x v="4"/>
    <x v="4"/>
    <x v="1"/>
    <x v="2"/>
    <x v="0"/>
    <x v="6"/>
    <x v="4"/>
    <x v="4"/>
    <x v="2"/>
    <x v="0"/>
    <x v="0"/>
  </r>
  <r>
    <x v="4"/>
    <x v="4"/>
    <x v="0"/>
    <x v="0"/>
    <x v="0"/>
    <x v="4"/>
    <x v="0"/>
    <x v="4"/>
    <x v="2"/>
    <x v="0"/>
    <x v="0"/>
  </r>
  <r>
    <x v="4"/>
    <x v="4"/>
    <x v="0"/>
    <x v="0"/>
    <x v="1"/>
    <x v="2"/>
    <x v="2"/>
    <x v="4"/>
    <x v="2"/>
    <x v="0"/>
    <x v="0"/>
  </r>
  <r>
    <x v="4"/>
    <x v="4"/>
    <x v="1"/>
    <x v="0"/>
    <x v="1"/>
    <x v="2"/>
    <x v="2"/>
    <x v="4"/>
    <x v="2"/>
    <x v="0"/>
    <x v="0"/>
  </r>
  <r>
    <x v="4"/>
    <x v="4"/>
    <x v="1"/>
    <x v="0"/>
    <x v="0"/>
    <x v="5"/>
    <x v="4"/>
    <x v="0"/>
    <x v="6"/>
    <x v="0"/>
    <x v="0"/>
  </r>
  <r>
    <x v="4"/>
    <x v="4"/>
    <x v="1"/>
    <x v="0"/>
    <x v="0"/>
    <x v="0"/>
    <x v="4"/>
    <x v="0"/>
    <x v="6"/>
    <x v="0"/>
    <x v="0"/>
  </r>
  <r>
    <x v="4"/>
    <x v="4"/>
    <x v="1"/>
    <x v="0"/>
    <x v="1"/>
    <x v="0"/>
    <x v="4"/>
    <x v="0"/>
    <x v="6"/>
    <x v="0"/>
    <x v="0"/>
  </r>
  <r>
    <x v="4"/>
    <x v="4"/>
    <x v="1"/>
    <x v="0"/>
    <x v="1"/>
    <x v="11"/>
    <x v="4"/>
    <x v="0"/>
    <x v="6"/>
    <x v="0"/>
    <x v="0"/>
  </r>
  <r>
    <x v="4"/>
    <x v="4"/>
    <x v="1"/>
    <x v="0"/>
    <x v="1"/>
    <x v="0"/>
    <x v="4"/>
    <x v="0"/>
    <x v="6"/>
    <x v="0"/>
    <x v="0"/>
  </r>
  <r>
    <x v="4"/>
    <x v="4"/>
    <x v="1"/>
    <x v="0"/>
    <x v="1"/>
    <x v="4"/>
    <x v="4"/>
    <x v="0"/>
    <x v="6"/>
    <x v="0"/>
    <x v="0"/>
  </r>
  <r>
    <x v="4"/>
    <x v="4"/>
    <x v="1"/>
    <x v="0"/>
    <x v="1"/>
    <x v="4"/>
    <x v="4"/>
    <x v="0"/>
    <x v="6"/>
    <x v="0"/>
    <x v="0"/>
  </r>
  <r>
    <x v="4"/>
    <x v="4"/>
    <x v="1"/>
    <x v="0"/>
    <x v="1"/>
    <x v="1"/>
    <x v="4"/>
    <x v="2"/>
    <x v="3"/>
    <x v="0"/>
    <x v="0"/>
  </r>
  <r>
    <x v="4"/>
    <x v="4"/>
    <x v="1"/>
    <x v="0"/>
    <x v="1"/>
    <x v="12"/>
    <x v="3"/>
    <x v="2"/>
    <x v="3"/>
    <x v="0"/>
    <x v="0"/>
  </r>
  <r>
    <x v="4"/>
    <x v="4"/>
    <x v="1"/>
    <x v="0"/>
    <x v="1"/>
    <x v="14"/>
    <x v="3"/>
    <x v="2"/>
    <x v="3"/>
    <x v="0"/>
    <x v="0"/>
  </r>
  <r>
    <x v="4"/>
    <x v="4"/>
    <x v="0"/>
    <x v="0"/>
    <x v="0"/>
    <x v="11"/>
    <x v="0"/>
    <x v="2"/>
    <x v="3"/>
    <x v="0"/>
    <x v="0"/>
  </r>
  <r>
    <x v="4"/>
    <x v="4"/>
    <x v="0"/>
    <x v="0"/>
    <x v="1"/>
    <x v="2"/>
    <x v="2"/>
    <x v="2"/>
    <x v="3"/>
    <x v="0"/>
    <x v="0"/>
  </r>
  <r>
    <x v="4"/>
    <x v="4"/>
    <x v="1"/>
    <x v="0"/>
    <x v="0"/>
    <x v="11"/>
    <x v="3"/>
    <x v="2"/>
    <x v="3"/>
    <x v="0"/>
    <x v="0"/>
  </r>
  <r>
    <x v="4"/>
    <x v="2"/>
    <x v="0"/>
    <x v="2"/>
    <x v="1"/>
    <x v="2"/>
    <x v="0"/>
    <x v="4"/>
    <x v="2"/>
    <x v="0"/>
    <x v="0"/>
  </r>
  <r>
    <x v="4"/>
    <x v="2"/>
    <x v="1"/>
    <x v="0"/>
    <x v="1"/>
    <x v="2"/>
    <x v="0"/>
    <x v="4"/>
    <x v="2"/>
    <x v="0"/>
    <x v="0"/>
  </r>
  <r>
    <x v="4"/>
    <x v="2"/>
    <x v="1"/>
    <x v="0"/>
    <x v="0"/>
    <x v="7"/>
    <x v="0"/>
    <x v="4"/>
    <x v="2"/>
    <x v="0"/>
    <x v="0"/>
  </r>
  <r>
    <x v="4"/>
    <x v="2"/>
    <x v="0"/>
    <x v="0"/>
    <x v="1"/>
    <x v="0"/>
    <x v="4"/>
    <x v="4"/>
    <x v="2"/>
    <x v="0"/>
    <x v="0"/>
  </r>
  <r>
    <x v="4"/>
    <x v="2"/>
    <x v="0"/>
    <x v="0"/>
    <x v="1"/>
    <x v="2"/>
    <x v="0"/>
    <x v="4"/>
    <x v="2"/>
    <x v="0"/>
    <x v="0"/>
  </r>
  <r>
    <x v="4"/>
    <x v="4"/>
    <x v="0"/>
    <x v="0"/>
    <x v="0"/>
    <x v="6"/>
    <x v="0"/>
    <x v="0"/>
    <x v="12"/>
    <x v="0"/>
    <x v="0"/>
  </r>
  <r>
    <x v="4"/>
    <x v="4"/>
    <x v="0"/>
    <x v="0"/>
    <x v="0"/>
    <x v="6"/>
    <x v="0"/>
    <x v="0"/>
    <x v="12"/>
    <x v="0"/>
    <x v="0"/>
  </r>
  <r>
    <x v="4"/>
    <x v="4"/>
    <x v="0"/>
    <x v="0"/>
    <x v="0"/>
    <x v="6"/>
    <x v="0"/>
    <x v="0"/>
    <x v="12"/>
    <x v="0"/>
    <x v="0"/>
  </r>
  <r>
    <x v="4"/>
    <x v="4"/>
    <x v="0"/>
    <x v="0"/>
    <x v="0"/>
    <x v="6"/>
    <x v="0"/>
    <x v="0"/>
    <x v="12"/>
    <x v="0"/>
    <x v="0"/>
  </r>
  <r>
    <x v="4"/>
    <x v="4"/>
    <x v="0"/>
    <x v="0"/>
    <x v="0"/>
    <x v="6"/>
    <x v="0"/>
    <x v="0"/>
    <x v="12"/>
    <x v="2"/>
    <x v="0"/>
  </r>
  <r>
    <x v="4"/>
    <x v="4"/>
    <x v="0"/>
    <x v="0"/>
    <x v="0"/>
    <x v="6"/>
    <x v="0"/>
    <x v="0"/>
    <x v="12"/>
    <x v="0"/>
    <x v="0"/>
  </r>
  <r>
    <x v="4"/>
    <x v="4"/>
    <x v="0"/>
    <x v="0"/>
    <x v="0"/>
    <x v="6"/>
    <x v="0"/>
    <x v="0"/>
    <x v="12"/>
    <x v="0"/>
    <x v="0"/>
  </r>
  <r>
    <x v="4"/>
    <x v="4"/>
    <x v="0"/>
    <x v="0"/>
    <x v="0"/>
    <x v="6"/>
    <x v="0"/>
    <x v="0"/>
    <x v="12"/>
    <x v="0"/>
    <x v="0"/>
  </r>
  <r>
    <x v="4"/>
    <x v="4"/>
    <x v="0"/>
    <x v="0"/>
    <x v="0"/>
    <x v="6"/>
    <x v="0"/>
    <x v="0"/>
    <x v="12"/>
    <x v="2"/>
    <x v="0"/>
  </r>
  <r>
    <x v="4"/>
    <x v="4"/>
    <x v="1"/>
    <x v="0"/>
    <x v="0"/>
    <x v="6"/>
    <x v="0"/>
    <x v="0"/>
    <x v="12"/>
    <x v="2"/>
    <x v="2"/>
  </r>
  <r>
    <x v="4"/>
    <x v="4"/>
    <x v="1"/>
    <x v="0"/>
    <x v="0"/>
    <x v="6"/>
    <x v="0"/>
    <x v="0"/>
    <x v="12"/>
    <x v="2"/>
    <x v="0"/>
  </r>
  <r>
    <x v="4"/>
    <x v="4"/>
    <x v="1"/>
    <x v="0"/>
    <x v="0"/>
    <x v="6"/>
    <x v="0"/>
    <x v="0"/>
    <x v="12"/>
    <x v="2"/>
    <x v="2"/>
  </r>
  <r>
    <x v="4"/>
    <x v="4"/>
    <x v="1"/>
    <x v="0"/>
    <x v="0"/>
    <x v="6"/>
    <x v="0"/>
    <x v="0"/>
    <x v="12"/>
    <x v="2"/>
    <x v="2"/>
  </r>
  <r>
    <x v="4"/>
    <x v="4"/>
    <x v="1"/>
    <x v="0"/>
    <x v="1"/>
    <x v="6"/>
    <x v="0"/>
    <x v="0"/>
    <x v="12"/>
    <x v="2"/>
    <x v="0"/>
  </r>
  <r>
    <x v="4"/>
    <x v="4"/>
    <x v="1"/>
    <x v="0"/>
    <x v="1"/>
    <x v="6"/>
    <x v="0"/>
    <x v="0"/>
    <x v="12"/>
    <x v="0"/>
    <x v="0"/>
  </r>
  <r>
    <x v="4"/>
    <x v="4"/>
    <x v="1"/>
    <x v="0"/>
    <x v="1"/>
    <x v="6"/>
    <x v="0"/>
    <x v="0"/>
    <x v="12"/>
    <x v="0"/>
    <x v="0"/>
  </r>
  <r>
    <x v="4"/>
    <x v="4"/>
    <x v="1"/>
    <x v="0"/>
    <x v="1"/>
    <x v="6"/>
    <x v="0"/>
    <x v="0"/>
    <x v="12"/>
    <x v="2"/>
    <x v="0"/>
  </r>
  <r>
    <x v="4"/>
    <x v="4"/>
    <x v="0"/>
    <x v="0"/>
    <x v="1"/>
    <x v="6"/>
    <x v="0"/>
    <x v="0"/>
    <x v="12"/>
    <x v="2"/>
    <x v="0"/>
  </r>
  <r>
    <x v="4"/>
    <x v="4"/>
    <x v="0"/>
    <x v="0"/>
    <x v="1"/>
    <x v="6"/>
    <x v="0"/>
    <x v="0"/>
    <x v="12"/>
    <x v="2"/>
    <x v="2"/>
  </r>
  <r>
    <x v="4"/>
    <x v="4"/>
    <x v="0"/>
    <x v="0"/>
    <x v="1"/>
    <x v="6"/>
    <x v="0"/>
    <x v="0"/>
    <x v="12"/>
    <x v="2"/>
    <x v="2"/>
  </r>
  <r>
    <x v="4"/>
    <x v="4"/>
    <x v="0"/>
    <x v="0"/>
    <x v="1"/>
    <x v="6"/>
    <x v="0"/>
    <x v="0"/>
    <x v="12"/>
    <x v="0"/>
    <x v="0"/>
  </r>
  <r>
    <x v="4"/>
    <x v="4"/>
    <x v="0"/>
    <x v="0"/>
    <x v="1"/>
    <x v="6"/>
    <x v="0"/>
    <x v="0"/>
    <x v="1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4"/>
    <x v="3"/>
    <x v="3"/>
    <x v="1"/>
    <x v="2"/>
    <x v="3"/>
    <x v="5"/>
    <x v="3"/>
    <x v="2"/>
    <x v="0"/>
    <x v="0"/>
  </r>
  <r>
    <x v="5"/>
    <x v="2"/>
    <x v="0"/>
    <x v="0"/>
    <x v="1"/>
    <x v="1"/>
    <x v="4"/>
    <x v="4"/>
    <x v="2"/>
    <x v="0"/>
    <x v="0"/>
  </r>
  <r>
    <x v="5"/>
    <x v="2"/>
    <x v="1"/>
    <x v="0"/>
    <x v="0"/>
    <x v="1"/>
    <x v="4"/>
    <x v="4"/>
    <x v="2"/>
    <x v="0"/>
    <x v="0"/>
  </r>
  <r>
    <x v="5"/>
    <x v="2"/>
    <x v="0"/>
    <x v="0"/>
    <x v="1"/>
    <x v="2"/>
    <x v="2"/>
    <x v="4"/>
    <x v="2"/>
    <x v="0"/>
    <x v="0"/>
  </r>
  <r>
    <x v="5"/>
    <x v="2"/>
    <x v="0"/>
    <x v="0"/>
    <x v="1"/>
    <x v="2"/>
    <x v="0"/>
    <x v="2"/>
    <x v="3"/>
    <x v="0"/>
    <x v="0"/>
  </r>
  <r>
    <x v="5"/>
    <x v="2"/>
    <x v="0"/>
    <x v="0"/>
    <x v="1"/>
    <x v="2"/>
    <x v="2"/>
    <x v="2"/>
    <x v="3"/>
    <x v="0"/>
    <x v="0"/>
  </r>
  <r>
    <x v="5"/>
    <x v="2"/>
    <x v="0"/>
    <x v="0"/>
    <x v="0"/>
    <x v="6"/>
    <x v="4"/>
    <x v="4"/>
    <x v="2"/>
    <x v="0"/>
    <x v="0"/>
  </r>
  <r>
    <x v="5"/>
    <x v="2"/>
    <x v="0"/>
    <x v="0"/>
    <x v="1"/>
    <x v="7"/>
    <x v="0"/>
    <x v="4"/>
    <x v="2"/>
    <x v="0"/>
    <x v="0"/>
  </r>
  <r>
    <x v="5"/>
    <x v="0"/>
    <x v="1"/>
    <x v="2"/>
    <x v="1"/>
    <x v="6"/>
    <x v="0"/>
    <x v="0"/>
    <x v="0"/>
    <x v="0"/>
    <x v="0"/>
  </r>
  <r>
    <x v="5"/>
    <x v="0"/>
    <x v="0"/>
    <x v="0"/>
    <x v="1"/>
    <x v="6"/>
    <x v="0"/>
    <x v="0"/>
    <x v="0"/>
    <x v="0"/>
    <x v="0"/>
  </r>
  <r>
    <x v="5"/>
    <x v="0"/>
    <x v="1"/>
    <x v="0"/>
    <x v="1"/>
    <x v="11"/>
    <x v="6"/>
    <x v="0"/>
    <x v="0"/>
    <x v="0"/>
    <x v="0"/>
  </r>
  <r>
    <x v="5"/>
    <x v="0"/>
    <x v="0"/>
    <x v="0"/>
    <x v="0"/>
    <x v="11"/>
    <x v="6"/>
    <x v="0"/>
    <x v="0"/>
    <x v="0"/>
    <x v="0"/>
  </r>
  <r>
    <x v="5"/>
    <x v="0"/>
    <x v="1"/>
    <x v="0"/>
    <x v="0"/>
    <x v="7"/>
    <x v="6"/>
    <x v="0"/>
    <x v="0"/>
    <x v="0"/>
    <x v="0"/>
  </r>
  <r>
    <x v="5"/>
    <x v="0"/>
    <x v="0"/>
    <x v="0"/>
    <x v="0"/>
    <x v="11"/>
    <x v="6"/>
    <x v="0"/>
    <x v="0"/>
    <x v="0"/>
    <x v="0"/>
  </r>
  <r>
    <x v="5"/>
    <x v="0"/>
    <x v="1"/>
    <x v="0"/>
    <x v="1"/>
    <x v="15"/>
    <x v="6"/>
    <x v="0"/>
    <x v="0"/>
    <x v="0"/>
    <x v="0"/>
  </r>
  <r>
    <x v="5"/>
    <x v="0"/>
    <x v="0"/>
    <x v="0"/>
    <x v="1"/>
    <x v="2"/>
    <x v="6"/>
    <x v="0"/>
    <x v="0"/>
    <x v="0"/>
    <x v="0"/>
  </r>
  <r>
    <x v="5"/>
    <x v="1"/>
    <x v="1"/>
    <x v="0"/>
    <x v="1"/>
    <x v="4"/>
    <x v="3"/>
    <x v="2"/>
    <x v="3"/>
    <x v="0"/>
    <x v="0"/>
  </r>
  <r>
    <x v="5"/>
    <x v="1"/>
    <x v="1"/>
    <x v="0"/>
    <x v="1"/>
    <x v="1"/>
    <x v="4"/>
    <x v="2"/>
    <x v="3"/>
    <x v="0"/>
    <x v="0"/>
  </r>
  <r>
    <x v="5"/>
    <x v="1"/>
    <x v="1"/>
    <x v="0"/>
    <x v="0"/>
    <x v="1"/>
    <x v="4"/>
    <x v="2"/>
    <x v="3"/>
    <x v="0"/>
    <x v="0"/>
  </r>
  <r>
    <x v="5"/>
    <x v="2"/>
    <x v="0"/>
    <x v="2"/>
    <x v="1"/>
    <x v="7"/>
    <x v="4"/>
    <x v="4"/>
    <x v="2"/>
    <x v="0"/>
    <x v="0"/>
  </r>
  <r>
    <x v="5"/>
    <x v="2"/>
    <x v="1"/>
    <x v="2"/>
    <x v="1"/>
    <x v="7"/>
    <x v="4"/>
    <x v="4"/>
    <x v="2"/>
    <x v="0"/>
    <x v="0"/>
  </r>
  <r>
    <x v="5"/>
    <x v="2"/>
    <x v="0"/>
    <x v="0"/>
    <x v="1"/>
    <x v="2"/>
    <x v="0"/>
    <x v="2"/>
    <x v="13"/>
    <x v="0"/>
    <x v="0"/>
  </r>
  <r>
    <x v="5"/>
    <x v="2"/>
    <x v="1"/>
    <x v="2"/>
    <x v="1"/>
    <x v="2"/>
    <x v="0"/>
    <x v="2"/>
    <x v="13"/>
    <x v="0"/>
    <x v="0"/>
  </r>
  <r>
    <x v="5"/>
    <x v="2"/>
    <x v="1"/>
    <x v="2"/>
    <x v="0"/>
    <x v="2"/>
    <x v="0"/>
    <x v="2"/>
    <x v="13"/>
    <x v="0"/>
    <x v="0"/>
  </r>
  <r>
    <x v="5"/>
    <x v="2"/>
    <x v="0"/>
    <x v="0"/>
    <x v="1"/>
    <x v="2"/>
    <x v="0"/>
    <x v="4"/>
    <x v="2"/>
    <x v="0"/>
    <x v="0"/>
  </r>
  <r>
    <x v="5"/>
    <x v="2"/>
    <x v="1"/>
    <x v="0"/>
    <x v="1"/>
    <x v="2"/>
    <x v="0"/>
    <x v="4"/>
    <x v="2"/>
    <x v="0"/>
    <x v="0"/>
  </r>
  <r>
    <x v="5"/>
    <x v="2"/>
    <x v="0"/>
    <x v="0"/>
    <x v="1"/>
    <x v="0"/>
    <x v="3"/>
    <x v="2"/>
    <x v="3"/>
    <x v="0"/>
    <x v="0"/>
  </r>
  <r>
    <x v="5"/>
    <x v="1"/>
    <x v="0"/>
    <x v="2"/>
    <x v="1"/>
    <x v="2"/>
    <x v="2"/>
    <x v="0"/>
    <x v="14"/>
    <x v="0"/>
    <x v="0"/>
  </r>
  <r>
    <x v="5"/>
    <x v="1"/>
    <x v="0"/>
    <x v="2"/>
    <x v="1"/>
    <x v="2"/>
    <x v="2"/>
    <x v="0"/>
    <x v="14"/>
    <x v="0"/>
    <x v="0"/>
  </r>
  <r>
    <x v="5"/>
    <x v="1"/>
    <x v="0"/>
    <x v="0"/>
    <x v="1"/>
    <x v="2"/>
    <x v="2"/>
    <x v="0"/>
    <x v="14"/>
    <x v="0"/>
    <x v="0"/>
  </r>
  <r>
    <x v="5"/>
    <x v="1"/>
    <x v="0"/>
    <x v="0"/>
    <x v="1"/>
    <x v="2"/>
    <x v="2"/>
    <x v="0"/>
    <x v="14"/>
    <x v="0"/>
    <x v="0"/>
  </r>
  <r>
    <x v="5"/>
    <x v="1"/>
    <x v="0"/>
    <x v="0"/>
    <x v="1"/>
    <x v="2"/>
    <x v="2"/>
    <x v="0"/>
    <x v="14"/>
    <x v="0"/>
    <x v="0"/>
  </r>
  <r>
    <x v="5"/>
    <x v="1"/>
    <x v="0"/>
    <x v="0"/>
    <x v="1"/>
    <x v="2"/>
    <x v="2"/>
    <x v="0"/>
    <x v="14"/>
    <x v="0"/>
    <x v="0"/>
  </r>
  <r>
    <x v="5"/>
    <x v="1"/>
    <x v="1"/>
    <x v="0"/>
    <x v="1"/>
    <x v="2"/>
    <x v="3"/>
    <x v="2"/>
    <x v="3"/>
    <x v="0"/>
    <x v="0"/>
  </r>
  <r>
    <x v="5"/>
    <x v="1"/>
    <x v="1"/>
    <x v="0"/>
    <x v="1"/>
    <x v="1"/>
    <x v="3"/>
    <x v="2"/>
    <x v="3"/>
    <x v="0"/>
    <x v="0"/>
  </r>
  <r>
    <x v="5"/>
    <x v="4"/>
    <x v="0"/>
    <x v="2"/>
    <x v="0"/>
    <x v="4"/>
    <x v="6"/>
    <x v="4"/>
    <x v="2"/>
    <x v="0"/>
    <x v="0"/>
  </r>
  <r>
    <x v="5"/>
    <x v="4"/>
    <x v="1"/>
    <x v="2"/>
    <x v="1"/>
    <x v="4"/>
    <x v="6"/>
    <x v="4"/>
    <x v="2"/>
    <x v="0"/>
    <x v="0"/>
  </r>
  <r>
    <x v="5"/>
    <x v="4"/>
    <x v="1"/>
    <x v="2"/>
    <x v="1"/>
    <x v="4"/>
    <x v="6"/>
    <x v="4"/>
    <x v="2"/>
    <x v="0"/>
    <x v="0"/>
  </r>
  <r>
    <x v="5"/>
    <x v="4"/>
    <x v="0"/>
    <x v="0"/>
    <x v="1"/>
    <x v="2"/>
    <x v="6"/>
    <x v="4"/>
    <x v="2"/>
    <x v="0"/>
    <x v="0"/>
  </r>
  <r>
    <x v="5"/>
    <x v="4"/>
    <x v="0"/>
    <x v="0"/>
    <x v="0"/>
    <x v="6"/>
    <x v="6"/>
    <x v="4"/>
    <x v="2"/>
    <x v="0"/>
    <x v="0"/>
  </r>
  <r>
    <x v="5"/>
    <x v="4"/>
    <x v="1"/>
    <x v="0"/>
    <x v="1"/>
    <x v="6"/>
    <x v="6"/>
    <x v="4"/>
    <x v="2"/>
    <x v="0"/>
    <x v="0"/>
  </r>
  <r>
    <x v="5"/>
    <x v="4"/>
    <x v="0"/>
    <x v="0"/>
    <x v="0"/>
    <x v="0"/>
    <x v="4"/>
    <x v="4"/>
    <x v="2"/>
    <x v="0"/>
    <x v="0"/>
  </r>
  <r>
    <x v="5"/>
    <x v="4"/>
    <x v="1"/>
    <x v="0"/>
    <x v="1"/>
    <x v="0"/>
    <x v="4"/>
    <x v="4"/>
    <x v="2"/>
    <x v="0"/>
    <x v="0"/>
  </r>
  <r>
    <x v="5"/>
    <x v="4"/>
    <x v="0"/>
    <x v="0"/>
    <x v="1"/>
    <x v="2"/>
    <x v="2"/>
    <x v="4"/>
    <x v="2"/>
    <x v="0"/>
    <x v="0"/>
  </r>
  <r>
    <x v="5"/>
    <x v="4"/>
    <x v="0"/>
    <x v="0"/>
    <x v="1"/>
    <x v="12"/>
    <x v="2"/>
    <x v="4"/>
    <x v="2"/>
    <x v="0"/>
    <x v="0"/>
  </r>
  <r>
    <x v="5"/>
    <x v="4"/>
    <x v="0"/>
    <x v="0"/>
    <x v="0"/>
    <x v="6"/>
    <x v="0"/>
    <x v="4"/>
    <x v="2"/>
    <x v="0"/>
    <x v="0"/>
  </r>
  <r>
    <x v="5"/>
    <x v="4"/>
    <x v="1"/>
    <x v="0"/>
    <x v="1"/>
    <x v="6"/>
    <x v="0"/>
    <x v="4"/>
    <x v="2"/>
    <x v="0"/>
    <x v="0"/>
  </r>
  <r>
    <x v="5"/>
    <x v="4"/>
    <x v="0"/>
    <x v="0"/>
    <x v="1"/>
    <x v="4"/>
    <x v="4"/>
    <x v="4"/>
    <x v="2"/>
    <x v="0"/>
    <x v="0"/>
  </r>
  <r>
    <x v="5"/>
    <x v="4"/>
    <x v="1"/>
    <x v="0"/>
    <x v="0"/>
    <x v="15"/>
    <x v="4"/>
    <x v="4"/>
    <x v="2"/>
    <x v="0"/>
    <x v="0"/>
  </r>
  <r>
    <x v="5"/>
    <x v="4"/>
    <x v="1"/>
    <x v="0"/>
    <x v="1"/>
    <x v="0"/>
    <x v="4"/>
    <x v="4"/>
    <x v="2"/>
    <x v="0"/>
    <x v="0"/>
  </r>
  <r>
    <x v="5"/>
    <x v="4"/>
    <x v="0"/>
    <x v="0"/>
    <x v="0"/>
    <x v="12"/>
    <x v="2"/>
    <x v="4"/>
    <x v="2"/>
    <x v="0"/>
    <x v="0"/>
  </r>
  <r>
    <x v="5"/>
    <x v="4"/>
    <x v="1"/>
    <x v="0"/>
    <x v="0"/>
    <x v="11"/>
    <x v="3"/>
    <x v="4"/>
    <x v="2"/>
    <x v="0"/>
    <x v="0"/>
  </r>
  <r>
    <x v="5"/>
    <x v="4"/>
    <x v="0"/>
    <x v="0"/>
    <x v="0"/>
    <x v="1"/>
    <x v="4"/>
    <x v="4"/>
    <x v="2"/>
    <x v="0"/>
    <x v="0"/>
  </r>
  <r>
    <x v="5"/>
    <x v="2"/>
    <x v="0"/>
    <x v="2"/>
    <x v="0"/>
    <x v="4"/>
    <x v="4"/>
    <x v="4"/>
    <x v="2"/>
    <x v="0"/>
    <x v="0"/>
  </r>
  <r>
    <x v="5"/>
    <x v="2"/>
    <x v="1"/>
    <x v="2"/>
    <x v="1"/>
    <x v="4"/>
    <x v="4"/>
    <x v="4"/>
    <x v="2"/>
    <x v="0"/>
    <x v="0"/>
  </r>
  <r>
    <x v="5"/>
    <x v="2"/>
    <x v="1"/>
    <x v="2"/>
    <x v="1"/>
    <x v="4"/>
    <x v="4"/>
    <x v="4"/>
    <x v="2"/>
    <x v="0"/>
    <x v="0"/>
  </r>
  <r>
    <x v="5"/>
    <x v="2"/>
    <x v="0"/>
    <x v="0"/>
    <x v="1"/>
    <x v="2"/>
    <x v="2"/>
    <x v="4"/>
    <x v="2"/>
    <x v="0"/>
    <x v="0"/>
  </r>
  <r>
    <x v="5"/>
    <x v="2"/>
    <x v="0"/>
    <x v="0"/>
    <x v="0"/>
    <x v="6"/>
    <x v="2"/>
    <x v="4"/>
    <x v="2"/>
    <x v="0"/>
    <x v="0"/>
  </r>
  <r>
    <x v="5"/>
    <x v="2"/>
    <x v="1"/>
    <x v="0"/>
    <x v="1"/>
    <x v="6"/>
    <x v="2"/>
    <x v="4"/>
    <x v="2"/>
    <x v="0"/>
    <x v="0"/>
  </r>
  <r>
    <x v="5"/>
    <x v="2"/>
    <x v="0"/>
    <x v="0"/>
    <x v="0"/>
    <x v="0"/>
    <x v="4"/>
    <x v="4"/>
    <x v="2"/>
    <x v="0"/>
    <x v="0"/>
  </r>
  <r>
    <x v="5"/>
    <x v="2"/>
    <x v="1"/>
    <x v="0"/>
    <x v="1"/>
    <x v="0"/>
    <x v="4"/>
    <x v="4"/>
    <x v="2"/>
    <x v="0"/>
    <x v="0"/>
  </r>
  <r>
    <x v="5"/>
    <x v="4"/>
    <x v="0"/>
    <x v="0"/>
    <x v="0"/>
    <x v="11"/>
    <x v="4"/>
    <x v="0"/>
    <x v="15"/>
    <x v="0"/>
    <x v="0"/>
  </r>
  <r>
    <x v="5"/>
    <x v="4"/>
    <x v="0"/>
    <x v="0"/>
    <x v="0"/>
    <x v="11"/>
    <x v="4"/>
    <x v="0"/>
    <x v="15"/>
    <x v="0"/>
    <x v="0"/>
  </r>
  <r>
    <x v="5"/>
    <x v="4"/>
    <x v="0"/>
    <x v="0"/>
    <x v="0"/>
    <x v="11"/>
    <x v="4"/>
    <x v="0"/>
    <x v="15"/>
    <x v="0"/>
    <x v="0"/>
  </r>
  <r>
    <x v="5"/>
    <x v="4"/>
    <x v="0"/>
    <x v="0"/>
    <x v="0"/>
    <x v="11"/>
    <x v="4"/>
    <x v="0"/>
    <x v="15"/>
    <x v="0"/>
    <x v="0"/>
  </r>
  <r>
    <x v="5"/>
    <x v="4"/>
    <x v="0"/>
    <x v="0"/>
    <x v="0"/>
    <x v="11"/>
    <x v="4"/>
    <x v="0"/>
    <x v="15"/>
    <x v="0"/>
    <x v="0"/>
  </r>
  <r>
    <x v="5"/>
    <x v="4"/>
    <x v="0"/>
    <x v="0"/>
    <x v="0"/>
    <x v="11"/>
    <x v="4"/>
    <x v="0"/>
    <x v="15"/>
    <x v="0"/>
    <x v="0"/>
  </r>
  <r>
    <x v="5"/>
    <x v="4"/>
    <x v="0"/>
    <x v="0"/>
    <x v="0"/>
    <x v="11"/>
    <x v="4"/>
    <x v="0"/>
    <x v="15"/>
    <x v="0"/>
    <x v="0"/>
  </r>
  <r>
    <x v="5"/>
    <x v="4"/>
    <x v="0"/>
    <x v="0"/>
    <x v="0"/>
    <x v="11"/>
    <x v="4"/>
    <x v="0"/>
    <x v="15"/>
    <x v="0"/>
    <x v="0"/>
  </r>
  <r>
    <x v="5"/>
    <x v="4"/>
    <x v="0"/>
    <x v="0"/>
    <x v="0"/>
    <x v="11"/>
    <x v="2"/>
    <x v="0"/>
    <x v="15"/>
    <x v="0"/>
    <x v="0"/>
  </r>
  <r>
    <x v="5"/>
    <x v="4"/>
    <x v="0"/>
    <x v="0"/>
    <x v="0"/>
    <x v="11"/>
    <x v="2"/>
    <x v="0"/>
    <x v="15"/>
    <x v="0"/>
    <x v="0"/>
  </r>
  <r>
    <x v="5"/>
    <x v="4"/>
    <x v="0"/>
    <x v="0"/>
    <x v="0"/>
    <x v="11"/>
    <x v="2"/>
    <x v="0"/>
    <x v="15"/>
    <x v="0"/>
    <x v="0"/>
  </r>
  <r>
    <x v="5"/>
    <x v="4"/>
    <x v="0"/>
    <x v="0"/>
    <x v="0"/>
    <x v="11"/>
    <x v="2"/>
    <x v="0"/>
    <x v="15"/>
    <x v="0"/>
    <x v="0"/>
  </r>
  <r>
    <x v="5"/>
    <x v="4"/>
    <x v="0"/>
    <x v="0"/>
    <x v="0"/>
    <x v="11"/>
    <x v="2"/>
    <x v="0"/>
    <x v="15"/>
    <x v="0"/>
    <x v="0"/>
  </r>
  <r>
    <x v="5"/>
    <x v="4"/>
    <x v="0"/>
    <x v="0"/>
    <x v="1"/>
    <x v="11"/>
    <x v="2"/>
    <x v="0"/>
    <x v="15"/>
    <x v="0"/>
    <x v="0"/>
  </r>
  <r>
    <x v="5"/>
    <x v="4"/>
    <x v="0"/>
    <x v="0"/>
    <x v="1"/>
    <x v="11"/>
    <x v="2"/>
    <x v="0"/>
    <x v="15"/>
    <x v="0"/>
    <x v="0"/>
  </r>
  <r>
    <x v="5"/>
    <x v="4"/>
    <x v="0"/>
    <x v="0"/>
    <x v="1"/>
    <x v="11"/>
    <x v="2"/>
    <x v="0"/>
    <x v="15"/>
    <x v="0"/>
    <x v="0"/>
  </r>
  <r>
    <x v="5"/>
    <x v="4"/>
    <x v="0"/>
    <x v="0"/>
    <x v="1"/>
    <x v="11"/>
    <x v="2"/>
    <x v="0"/>
    <x v="15"/>
    <x v="0"/>
    <x v="0"/>
  </r>
  <r>
    <x v="5"/>
    <x v="4"/>
    <x v="0"/>
    <x v="0"/>
    <x v="1"/>
    <x v="11"/>
    <x v="4"/>
    <x v="0"/>
    <x v="15"/>
    <x v="0"/>
    <x v="0"/>
  </r>
  <r>
    <x v="5"/>
    <x v="4"/>
    <x v="0"/>
    <x v="0"/>
    <x v="1"/>
    <x v="11"/>
    <x v="4"/>
    <x v="0"/>
    <x v="15"/>
    <x v="0"/>
    <x v="0"/>
  </r>
  <r>
    <x v="5"/>
    <x v="4"/>
    <x v="0"/>
    <x v="0"/>
    <x v="1"/>
    <x v="11"/>
    <x v="4"/>
    <x v="0"/>
    <x v="15"/>
    <x v="0"/>
    <x v="0"/>
  </r>
  <r>
    <x v="5"/>
    <x v="4"/>
    <x v="0"/>
    <x v="0"/>
    <x v="1"/>
    <x v="11"/>
    <x v="4"/>
    <x v="0"/>
    <x v="15"/>
    <x v="0"/>
    <x v="0"/>
  </r>
  <r>
    <x v="5"/>
    <x v="4"/>
    <x v="0"/>
    <x v="0"/>
    <x v="1"/>
    <x v="11"/>
    <x v="4"/>
    <x v="0"/>
    <x v="15"/>
    <x v="0"/>
    <x v="0"/>
  </r>
  <r>
    <x v="5"/>
    <x v="4"/>
    <x v="0"/>
    <x v="0"/>
    <x v="1"/>
    <x v="11"/>
    <x v="4"/>
    <x v="0"/>
    <x v="15"/>
    <x v="0"/>
    <x v="0"/>
  </r>
  <r>
    <x v="5"/>
    <x v="4"/>
    <x v="0"/>
    <x v="0"/>
    <x v="1"/>
    <x v="11"/>
    <x v="4"/>
    <x v="0"/>
    <x v="15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5"/>
    <x v="3"/>
    <x v="3"/>
    <x v="1"/>
    <x v="2"/>
    <x v="3"/>
    <x v="5"/>
    <x v="3"/>
    <x v="2"/>
    <x v="0"/>
    <x v="0"/>
  </r>
  <r>
    <x v="6"/>
    <x v="2"/>
    <x v="1"/>
    <x v="0"/>
    <x v="0"/>
    <x v="2"/>
    <x v="3"/>
    <x v="4"/>
    <x v="2"/>
    <x v="0"/>
    <x v="0"/>
  </r>
  <r>
    <x v="6"/>
    <x v="2"/>
    <x v="0"/>
    <x v="0"/>
    <x v="1"/>
    <x v="2"/>
    <x v="0"/>
    <x v="4"/>
    <x v="2"/>
    <x v="0"/>
    <x v="0"/>
  </r>
  <r>
    <x v="6"/>
    <x v="2"/>
    <x v="0"/>
    <x v="0"/>
    <x v="1"/>
    <x v="11"/>
    <x v="4"/>
    <x v="0"/>
    <x v="4"/>
    <x v="0"/>
    <x v="0"/>
  </r>
  <r>
    <x v="6"/>
    <x v="2"/>
    <x v="0"/>
    <x v="0"/>
    <x v="1"/>
    <x v="2"/>
    <x v="0"/>
    <x v="0"/>
    <x v="4"/>
    <x v="0"/>
    <x v="0"/>
  </r>
  <r>
    <x v="6"/>
    <x v="2"/>
    <x v="0"/>
    <x v="0"/>
    <x v="1"/>
    <x v="2"/>
    <x v="0"/>
    <x v="0"/>
    <x v="4"/>
    <x v="0"/>
    <x v="0"/>
  </r>
  <r>
    <x v="6"/>
    <x v="2"/>
    <x v="0"/>
    <x v="0"/>
    <x v="1"/>
    <x v="2"/>
    <x v="0"/>
    <x v="0"/>
    <x v="4"/>
    <x v="0"/>
    <x v="0"/>
  </r>
  <r>
    <x v="6"/>
    <x v="2"/>
    <x v="0"/>
    <x v="0"/>
    <x v="1"/>
    <x v="2"/>
    <x v="4"/>
    <x v="0"/>
    <x v="4"/>
    <x v="0"/>
    <x v="0"/>
  </r>
  <r>
    <x v="6"/>
    <x v="2"/>
    <x v="1"/>
    <x v="0"/>
    <x v="0"/>
    <x v="2"/>
    <x v="4"/>
    <x v="0"/>
    <x v="4"/>
    <x v="0"/>
    <x v="0"/>
  </r>
  <r>
    <x v="6"/>
    <x v="2"/>
    <x v="0"/>
    <x v="0"/>
    <x v="1"/>
    <x v="16"/>
    <x v="4"/>
    <x v="0"/>
    <x v="4"/>
    <x v="0"/>
    <x v="0"/>
  </r>
  <r>
    <x v="6"/>
    <x v="2"/>
    <x v="0"/>
    <x v="0"/>
    <x v="0"/>
    <x v="13"/>
    <x v="0"/>
    <x v="0"/>
    <x v="4"/>
    <x v="0"/>
    <x v="0"/>
  </r>
  <r>
    <x v="6"/>
    <x v="2"/>
    <x v="0"/>
    <x v="0"/>
    <x v="0"/>
    <x v="1"/>
    <x v="0"/>
    <x v="0"/>
    <x v="4"/>
    <x v="0"/>
    <x v="0"/>
  </r>
  <r>
    <x v="6"/>
    <x v="2"/>
    <x v="0"/>
    <x v="0"/>
    <x v="0"/>
    <x v="5"/>
    <x v="4"/>
    <x v="0"/>
    <x v="4"/>
    <x v="0"/>
    <x v="0"/>
  </r>
  <r>
    <x v="6"/>
    <x v="2"/>
    <x v="0"/>
    <x v="0"/>
    <x v="1"/>
    <x v="2"/>
    <x v="4"/>
    <x v="0"/>
    <x v="4"/>
    <x v="0"/>
    <x v="0"/>
  </r>
  <r>
    <x v="6"/>
    <x v="2"/>
    <x v="0"/>
    <x v="0"/>
    <x v="1"/>
    <x v="12"/>
    <x v="4"/>
    <x v="2"/>
    <x v="3"/>
    <x v="0"/>
    <x v="0"/>
  </r>
  <r>
    <x v="6"/>
    <x v="2"/>
    <x v="1"/>
    <x v="0"/>
    <x v="1"/>
    <x v="12"/>
    <x v="4"/>
    <x v="4"/>
    <x v="2"/>
    <x v="0"/>
    <x v="0"/>
  </r>
  <r>
    <x v="6"/>
    <x v="2"/>
    <x v="1"/>
    <x v="0"/>
    <x v="1"/>
    <x v="12"/>
    <x v="4"/>
    <x v="4"/>
    <x v="2"/>
    <x v="0"/>
    <x v="0"/>
  </r>
  <r>
    <x v="6"/>
    <x v="2"/>
    <x v="1"/>
    <x v="0"/>
    <x v="0"/>
    <x v="8"/>
    <x v="3"/>
    <x v="2"/>
    <x v="3"/>
    <x v="0"/>
    <x v="0"/>
  </r>
  <r>
    <x v="6"/>
    <x v="2"/>
    <x v="1"/>
    <x v="2"/>
    <x v="0"/>
    <x v="2"/>
    <x v="0"/>
    <x v="4"/>
    <x v="2"/>
    <x v="0"/>
    <x v="0"/>
  </r>
  <r>
    <x v="6"/>
    <x v="2"/>
    <x v="0"/>
    <x v="2"/>
    <x v="0"/>
    <x v="0"/>
    <x v="4"/>
    <x v="4"/>
    <x v="2"/>
    <x v="0"/>
    <x v="0"/>
  </r>
  <r>
    <x v="6"/>
    <x v="2"/>
    <x v="0"/>
    <x v="0"/>
    <x v="1"/>
    <x v="2"/>
    <x v="0"/>
    <x v="0"/>
    <x v="16"/>
    <x v="0"/>
    <x v="0"/>
  </r>
  <r>
    <x v="6"/>
    <x v="2"/>
    <x v="0"/>
    <x v="0"/>
    <x v="1"/>
    <x v="2"/>
    <x v="0"/>
    <x v="0"/>
    <x v="16"/>
    <x v="0"/>
    <x v="0"/>
  </r>
  <r>
    <x v="6"/>
    <x v="2"/>
    <x v="0"/>
    <x v="0"/>
    <x v="1"/>
    <x v="2"/>
    <x v="0"/>
    <x v="0"/>
    <x v="16"/>
    <x v="0"/>
    <x v="0"/>
  </r>
  <r>
    <x v="6"/>
    <x v="2"/>
    <x v="0"/>
    <x v="0"/>
    <x v="1"/>
    <x v="9"/>
    <x v="6"/>
    <x v="0"/>
    <x v="16"/>
    <x v="0"/>
    <x v="0"/>
  </r>
  <r>
    <x v="6"/>
    <x v="2"/>
    <x v="0"/>
    <x v="0"/>
    <x v="1"/>
    <x v="9"/>
    <x v="6"/>
    <x v="0"/>
    <x v="16"/>
    <x v="0"/>
    <x v="0"/>
  </r>
  <r>
    <x v="6"/>
    <x v="1"/>
    <x v="1"/>
    <x v="0"/>
    <x v="0"/>
    <x v="0"/>
    <x v="7"/>
    <x v="2"/>
    <x v="3"/>
    <x v="0"/>
    <x v="0"/>
  </r>
  <r>
    <x v="6"/>
    <x v="1"/>
    <x v="1"/>
    <x v="0"/>
    <x v="0"/>
    <x v="0"/>
    <x v="3"/>
    <x v="2"/>
    <x v="3"/>
    <x v="0"/>
    <x v="0"/>
  </r>
  <r>
    <x v="6"/>
    <x v="1"/>
    <x v="0"/>
    <x v="0"/>
    <x v="0"/>
    <x v="11"/>
    <x v="2"/>
    <x v="0"/>
    <x v="1"/>
    <x v="0"/>
    <x v="0"/>
  </r>
  <r>
    <x v="6"/>
    <x v="1"/>
    <x v="0"/>
    <x v="0"/>
    <x v="0"/>
    <x v="6"/>
    <x v="2"/>
    <x v="0"/>
    <x v="1"/>
    <x v="0"/>
    <x v="0"/>
  </r>
  <r>
    <x v="6"/>
    <x v="1"/>
    <x v="0"/>
    <x v="0"/>
    <x v="1"/>
    <x v="11"/>
    <x v="4"/>
    <x v="0"/>
    <x v="1"/>
    <x v="0"/>
    <x v="0"/>
  </r>
  <r>
    <x v="6"/>
    <x v="1"/>
    <x v="0"/>
    <x v="0"/>
    <x v="1"/>
    <x v="2"/>
    <x v="2"/>
    <x v="0"/>
    <x v="1"/>
    <x v="0"/>
    <x v="0"/>
  </r>
  <r>
    <x v="6"/>
    <x v="1"/>
    <x v="0"/>
    <x v="0"/>
    <x v="1"/>
    <x v="2"/>
    <x v="2"/>
    <x v="0"/>
    <x v="1"/>
    <x v="0"/>
    <x v="0"/>
  </r>
  <r>
    <x v="6"/>
    <x v="1"/>
    <x v="0"/>
    <x v="0"/>
    <x v="1"/>
    <x v="2"/>
    <x v="0"/>
    <x v="0"/>
    <x v="1"/>
    <x v="0"/>
    <x v="0"/>
  </r>
  <r>
    <x v="6"/>
    <x v="1"/>
    <x v="0"/>
    <x v="0"/>
    <x v="1"/>
    <x v="0"/>
    <x v="4"/>
    <x v="4"/>
    <x v="3"/>
    <x v="0"/>
    <x v="0"/>
  </r>
  <r>
    <x v="6"/>
    <x v="1"/>
    <x v="1"/>
    <x v="0"/>
    <x v="0"/>
    <x v="2"/>
    <x v="2"/>
    <x v="2"/>
    <x v="3"/>
    <x v="0"/>
    <x v="0"/>
  </r>
  <r>
    <x v="6"/>
    <x v="1"/>
    <x v="0"/>
    <x v="0"/>
    <x v="0"/>
    <x v="13"/>
    <x v="4"/>
    <x v="2"/>
    <x v="3"/>
    <x v="0"/>
    <x v="0"/>
  </r>
  <r>
    <x v="6"/>
    <x v="2"/>
    <x v="0"/>
    <x v="0"/>
    <x v="0"/>
    <x v="5"/>
    <x v="4"/>
    <x v="0"/>
    <x v="17"/>
    <x v="0"/>
    <x v="0"/>
  </r>
  <r>
    <x v="6"/>
    <x v="2"/>
    <x v="0"/>
    <x v="0"/>
    <x v="1"/>
    <x v="2"/>
    <x v="2"/>
    <x v="0"/>
    <x v="17"/>
    <x v="0"/>
    <x v="0"/>
  </r>
  <r>
    <x v="6"/>
    <x v="2"/>
    <x v="0"/>
    <x v="0"/>
    <x v="0"/>
    <x v="17"/>
    <x v="4"/>
    <x v="0"/>
    <x v="17"/>
    <x v="0"/>
    <x v="0"/>
  </r>
  <r>
    <x v="6"/>
    <x v="2"/>
    <x v="0"/>
    <x v="0"/>
    <x v="1"/>
    <x v="0"/>
    <x v="4"/>
    <x v="0"/>
    <x v="17"/>
    <x v="0"/>
    <x v="0"/>
  </r>
  <r>
    <x v="6"/>
    <x v="2"/>
    <x v="0"/>
    <x v="0"/>
    <x v="1"/>
    <x v="17"/>
    <x v="4"/>
    <x v="0"/>
    <x v="17"/>
    <x v="0"/>
    <x v="0"/>
  </r>
  <r>
    <x v="6"/>
    <x v="2"/>
    <x v="0"/>
    <x v="0"/>
    <x v="1"/>
    <x v="0"/>
    <x v="4"/>
    <x v="0"/>
    <x v="17"/>
    <x v="0"/>
    <x v="0"/>
  </r>
  <r>
    <x v="6"/>
    <x v="2"/>
    <x v="0"/>
    <x v="0"/>
    <x v="1"/>
    <x v="2"/>
    <x v="2"/>
    <x v="2"/>
    <x v="3"/>
    <x v="0"/>
    <x v="0"/>
  </r>
  <r>
    <x v="6"/>
    <x v="2"/>
    <x v="0"/>
    <x v="0"/>
    <x v="0"/>
    <x v="6"/>
    <x v="0"/>
    <x v="2"/>
    <x v="3"/>
    <x v="0"/>
    <x v="0"/>
  </r>
  <r>
    <x v="6"/>
    <x v="2"/>
    <x v="1"/>
    <x v="2"/>
    <x v="1"/>
    <x v="6"/>
    <x v="0"/>
    <x v="2"/>
    <x v="2"/>
    <x v="0"/>
    <x v="0"/>
  </r>
  <r>
    <x v="6"/>
    <x v="2"/>
    <x v="0"/>
    <x v="0"/>
    <x v="1"/>
    <x v="2"/>
    <x v="4"/>
    <x v="2"/>
    <x v="3"/>
    <x v="0"/>
    <x v="0"/>
  </r>
  <r>
    <x v="6"/>
    <x v="2"/>
    <x v="0"/>
    <x v="2"/>
    <x v="1"/>
    <x v="8"/>
    <x v="0"/>
    <x v="4"/>
    <x v="2"/>
    <x v="0"/>
    <x v="0"/>
  </r>
  <r>
    <x v="6"/>
    <x v="2"/>
    <x v="1"/>
    <x v="2"/>
    <x v="1"/>
    <x v="8"/>
    <x v="0"/>
    <x v="4"/>
    <x v="2"/>
    <x v="0"/>
    <x v="0"/>
  </r>
  <r>
    <x v="6"/>
    <x v="2"/>
    <x v="0"/>
    <x v="2"/>
    <x v="1"/>
    <x v="2"/>
    <x v="0"/>
    <x v="4"/>
    <x v="2"/>
    <x v="0"/>
    <x v="0"/>
  </r>
  <r>
    <x v="6"/>
    <x v="2"/>
    <x v="1"/>
    <x v="0"/>
    <x v="1"/>
    <x v="2"/>
    <x v="0"/>
    <x v="4"/>
    <x v="2"/>
    <x v="0"/>
    <x v="0"/>
  </r>
  <r>
    <x v="6"/>
    <x v="2"/>
    <x v="0"/>
    <x v="0"/>
    <x v="0"/>
    <x v="5"/>
    <x v="4"/>
    <x v="4"/>
    <x v="2"/>
    <x v="0"/>
    <x v="0"/>
  </r>
  <r>
    <x v="6"/>
    <x v="2"/>
    <x v="0"/>
    <x v="0"/>
    <x v="1"/>
    <x v="11"/>
    <x v="0"/>
    <x v="4"/>
    <x v="2"/>
    <x v="0"/>
    <x v="0"/>
  </r>
  <r>
    <x v="6"/>
    <x v="2"/>
    <x v="1"/>
    <x v="2"/>
    <x v="0"/>
    <x v="11"/>
    <x v="0"/>
    <x v="4"/>
    <x v="2"/>
    <x v="0"/>
    <x v="0"/>
  </r>
  <r>
    <x v="6"/>
    <x v="2"/>
    <x v="1"/>
    <x v="2"/>
    <x v="1"/>
    <x v="11"/>
    <x v="0"/>
    <x v="4"/>
    <x v="2"/>
    <x v="0"/>
    <x v="0"/>
  </r>
  <r>
    <x v="6"/>
    <x v="2"/>
    <x v="0"/>
    <x v="2"/>
    <x v="1"/>
    <x v="1"/>
    <x v="0"/>
    <x v="4"/>
    <x v="2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2"/>
    <x v="0"/>
    <x v="2"/>
    <x v="1"/>
    <x v="2"/>
    <x v="2"/>
    <x v="0"/>
    <x v="18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6"/>
    <x v="3"/>
    <x v="3"/>
    <x v="1"/>
    <x v="2"/>
    <x v="3"/>
    <x v="5"/>
    <x v="3"/>
    <x v="2"/>
    <x v="0"/>
    <x v="0"/>
  </r>
  <r>
    <x v="7"/>
    <x v="1"/>
    <x v="1"/>
    <x v="0"/>
    <x v="0"/>
    <x v="2"/>
    <x v="0"/>
    <x v="0"/>
    <x v="1"/>
    <x v="0"/>
    <x v="0"/>
  </r>
  <r>
    <x v="7"/>
    <x v="1"/>
    <x v="1"/>
    <x v="0"/>
    <x v="1"/>
    <x v="6"/>
    <x v="0"/>
    <x v="0"/>
    <x v="1"/>
    <x v="0"/>
    <x v="0"/>
  </r>
  <r>
    <x v="7"/>
    <x v="1"/>
    <x v="0"/>
    <x v="0"/>
    <x v="1"/>
    <x v="0"/>
    <x v="2"/>
    <x v="0"/>
    <x v="1"/>
    <x v="0"/>
    <x v="0"/>
  </r>
  <r>
    <x v="7"/>
    <x v="1"/>
    <x v="0"/>
    <x v="0"/>
    <x v="1"/>
    <x v="2"/>
    <x v="0"/>
    <x v="0"/>
    <x v="1"/>
    <x v="0"/>
    <x v="0"/>
  </r>
  <r>
    <x v="7"/>
    <x v="1"/>
    <x v="0"/>
    <x v="0"/>
    <x v="1"/>
    <x v="2"/>
    <x v="2"/>
    <x v="0"/>
    <x v="1"/>
    <x v="0"/>
    <x v="0"/>
  </r>
  <r>
    <x v="7"/>
    <x v="1"/>
    <x v="1"/>
    <x v="0"/>
    <x v="1"/>
    <x v="0"/>
    <x v="3"/>
    <x v="2"/>
    <x v="3"/>
    <x v="0"/>
    <x v="0"/>
  </r>
  <r>
    <x v="7"/>
    <x v="1"/>
    <x v="1"/>
    <x v="0"/>
    <x v="1"/>
    <x v="0"/>
    <x v="3"/>
    <x v="2"/>
    <x v="3"/>
    <x v="0"/>
    <x v="0"/>
  </r>
  <r>
    <x v="7"/>
    <x v="1"/>
    <x v="0"/>
    <x v="0"/>
    <x v="1"/>
    <x v="2"/>
    <x v="2"/>
    <x v="2"/>
    <x v="3"/>
    <x v="0"/>
    <x v="0"/>
  </r>
  <r>
    <x v="7"/>
    <x v="2"/>
    <x v="0"/>
    <x v="0"/>
    <x v="1"/>
    <x v="2"/>
    <x v="0"/>
    <x v="2"/>
    <x v="3"/>
    <x v="0"/>
    <x v="0"/>
  </r>
  <r>
    <x v="7"/>
    <x v="2"/>
    <x v="1"/>
    <x v="0"/>
    <x v="0"/>
    <x v="1"/>
    <x v="2"/>
    <x v="2"/>
    <x v="3"/>
    <x v="0"/>
    <x v="0"/>
  </r>
  <r>
    <x v="7"/>
    <x v="2"/>
    <x v="1"/>
    <x v="0"/>
    <x v="0"/>
    <x v="1"/>
    <x v="2"/>
    <x v="4"/>
    <x v="2"/>
    <x v="0"/>
    <x v="0"/>
  </r>
  <r>
    <x v="7"/>
    <x v="2"/>
    <x v="0"/>
    <x v="2"/>
    <x v="0"/>
    <x v="5"/>
    <x v="0"/>
    <x v="4"/>
    <x v="2"/>
    <x v="0"/>
    <x v="0"/>
  </r>
  <r>
    <x v="7"/>
    <x v="2"/>
    <x v="0"/>
    <x v="0"/>
    <x v="1"/>
    <x v="2"/>
    <x v="2"/>
    <x v="2"/>
    <x v="3"/>
    <x v="0"/>
    <x v="0"/>
  </r>
  <r>
    <x v="7"/>
    <x v="2"/>
    <x v="0"/>
    <x v="0"/>
    <x v="1"/>
    <x v="1"/>
    <x v="4"/>
    <x v="4"/>
    <x v="2"/>
    <x v="0"/>
    <x v="0"/>
  </r>
  <r>
    <x v="7"/>
    <x v="2"/>
    <x v="1"/>
    <x v="0"/>
    <x v="0"/>
    <x v="1"/>
    <x v="4"/>
    <x v="4"/>
    <x v="2"/>
    <x v="0"/>
    <x v="0"/>
  </r>
  <r>
    <x v="7"/>
    <x v="2"/>
    <x v="0"/>
    <x v="0"/>
    <x v="0"/>
    <x v="11"/>
    <x v="0"/>
    <x v="4"/>
    <x v="2"/>
    <x v="0"/>
    <x v="0"/>
  </r>
  <r>
    <x v="7"/>
    <x v="2"/>
    <x v="1"/>
    <x v="0"/>
    <x v="1"/>
    <x v="11"/>
    <x v="0"/>
    <x v="4"/>
    <x v="2"/>
    <x v="0"/>
    <x v="0"/>
  </r>
  <r>
    <x v="7"/>
    <x v="2"/>
    <x v="1"/>
    <x v="2"/>
    <x v="1"/>
    <x v="2"/>
    <x v="4"/>
    <x v="4"/>
    <x v="2"/>
    <x v="0"/>
    <x v="0"/>
  </r>
  <r>
    <x v="7"/>
    <x v="2"/>
    <x v="1"/>
    <x v="0"/>
    <x v="1"/>
    <x v="2"/>
    <x v="4"/>
    <x v="4"/>
    <x v="2"/>
    <x v="0"/>
    <x v="0"/>
  </r>
  <r>
    <x v="7"/>
    <x v="2"/>
    <x v="0"/>
    <x v="0"/>
    <x v="1"/>
    <x v="2"/>
    <x v="2"/>
    <x v="2"/>
    <x v="3"/>
    <x v="0"/>
    <x v="0"/>
  </r>
  <r>
    <x v="7"/>
    <x v="2"/>
    <x v="0"/>
    <x v="0"/>
    <x v="1"/>
    <x v="0"/>
    <x v="4"/>
    <x v="2"/>
    <x v="3"/>
    <x v="0"/>
    <x v="0"/>
  </r>
  <r>
    <x v="7"/>
    <x v="2"/>
    <x v="0"/>
    <x v="0"/>
    <x v="0"/>
    <x v="1"/>
    <x v="0"/>
    <x v="2"/>
    <x v="3"/>
    <x v="0"/>
    <x v="0"/>
  </r>
  <r>
    <x v="7"/>
    <x v="2"/>
    <x v="1"/>
    <x v="2"/>
    <x v="1"/>
    <x v="1"/>
    <x v="0"/>
    <x v="2"/>
    <x v="3"/>
    <x v="3"/>
    <x v="3"/>
  </r>
  <r>
    <x v="7"/>
    <x v="2"/>
    <x v="1"/>
    <x v="0"/>
    <x v="1"/>
    <x v="11"/>
    <x v="4"/>
    <x v="2"/>
    <x v="3"/>
    <x v="0"/>
    <x v="0"/>
  </r>
  <r>
    <x v="7"/>
    <x v="2"/>
    <x v="0"/>
    <x v="2"/>
    <x v="1"/>
    <x v="0"/>
    <x v="4"/>
    <x v="4"/>
    <x v="2"/>
    <x v="0"/>
    <x v="0"/>
  </r>
  <r>
    <x v="7"/>
    <x v="2"/>
    <x v="1"/>
    <x v="2"/>
    <x v="1"/>
    <x v="0"/>
    <x v="4"/>
    <x v="4"/>
    <x v="2"/>
    <x v="0"/>
    <x v="0"/>
  </r>
  <r>
    <x v="7"/>
    <x v="2"/>
    <x v="0"/>
    <x v="2"/>
    <x v="1"/>
    <x v="7"/>
    <x v="2"/>
    <x v="4"/>
    <x v="2"/>
    <x v="0"/>
    <x v="0"/>
  </r>
  <r>
    <x v="7"/>
    <x v="2"/>
    <x v="0"/>
    <x v="2"/>
    <x v="0"/>
    <x v="0"/>
    <x v="0"/>
    <x v="4"/>
    <x v="2"/>
    <x v="0"/>
    <x v="0"/>
  </r>
  <r>
    <x v="7"/>
    <x v="2"/>
    <x v="1"/>
    <x v="2"/>
    <x v="1"/>
    <x v="0"/>
    <x v="0"/>
    <x v="4"/>
    <x v="2"/>
    <x v="0"/>
    <x v="0"/>
  </r>
  <r>
    <x v="7"/>
    <x v="2"/>
    <x v="0"/>
    <x v="2"/>
    <x v="1"/>
    <x v="2"/>
    <x v="0"/>
    <x v="4"/>
    <x v="2"/>
    <x v="0"/>
    <x v="0"/>
  </r>
  <r>
    <x v="7"/>
    <x v="2"/>
    <x v="1"/>
    <x v="2"/>
    <x v="0"/>
    <x v="2"/>
    <x v="0"/>
    <x v="4"/>
    <x v="2"/>
    <x v="0"/>
    <x v="0"/>
  </r>
  <r>
    <x v="7"/>
    <x v="2"/>
    <x v="0"/>
    <x v="2"/>
    <x v="1"/>
    <x v="2"/>
    <x v="0"/>
    <x v="4"/>
    <x v="2"/>
    <x v="0"/>
    <x v="0"/>
  </r>
  <r>
    <x v="7"/>
    <x v="0"/>
    <x v="0"/>
    <x v="0"/>
    <x v="0"/>
    <x v="0"/>
    <x v="2"/>
    <x v="0"/>
    <x v="19"/>
    <x v="0"/>
    <x v="0"/>
  </r>
  <r>
    <x v="7"/>
    <x v="2"/>
    <x v="0"/>
    <x v="0"/>
    <x v="1"/>
    <x v="2"/>
    <x v="2"/>
    <x v="2"/>
    <x v="3"/>
    <x v="0"/>
    <x v="0"/>
  </r>
  <r>
    <x v="7"/>
    <x v="2"/>
    <x v="0"/>
    <x v="0"/>
    <x v="0"/>
    <x v="11"/>
    <x v="4"/>
    <x v="4"/>
    <x v="2"/>
    <x v="0"/>
    <x v="0"/>
  </r>
  <r>
    <x v="7"/>
    <x v="2"/>
    <x v="0"/>
    <x v="0"/>
    <x v="0"/>
    <x v="0"/>
    <x v="4"/>
    <x v="4"/>
    <x v="2"/>
    <x v="0"/>
    <x v="0"/>
  </r>
  <r>
    <x v="7"/>
    <x v="2"/>
    <x v="1"/>
    <x v="0"/>
    <x v="1"/>
    <x v="1"/>
    <x v="3"/>
    <x v="2"/>
    <x v="3"/>
    <x v="0"/>
    <x v="0"/>
  </r>
  <r>
    <x v="7"/>
    <x v="2"/>
    <x v="1"/>
    <x v="0"/>
    <x v="1"/>
    <x v="1"/>
    <x v="3"/>
    <x v="4"/>
    <x v="2"/>
    <x v="0"/>
    <x v="0"/>
  </r>
  <r>
    <x v="7"/>
    <x v="2"/>
    <x v="1"/>
    <x v="0"/>
    <x v="4"/>
    <x v="1"/>
    <x v="3"/>
    <x v="4"/>
    <x v="2"/>
    <x v="0"/>
    <x v="0"/>
  </r>
  <r>
    <x v="7"/>
    <x v="1"/>
    <x v="1"/>
    <x v="0"/>
    <x v="1"/>
    <x v="0"/>
    <x v="3"/>
    <x v="2"/>
    <x v="3"/>
    <x v="0"/>
    <x v="0"/>
  </r>
  <r>
    <x v="7"/>
    <x v="1"/>
    <x v="1"/>
    <x v="0"/>
    <x v="1"/>
    <x v="0"/>
    <x v="3"/>
    <x v="2"/>
    <x v="3"/>
    <x v="3"/>
    <x v="0"/>
  </r>
  <r>
    <x v="7"/>
    <x v="1"/>
    <x v="0"/>
    <x v="0"/>
    <x v="1"/>
    <x v="2"/>
    <x v="2"/>
    <x v="2"/>
    <x v="3"/>
    <x v="3"/>
    <x v="0"/>
  </r>
  <r>
    <x v="7"/>
    <x v="2"/>
    <x v="0"/>
    <x v="0"/>
    <x v="1"/>
    <x v="2"/>
    <x v="0"/>
    <x v="2"/>
    <x v="3"/>
    <x v="3"/>
    <x v="4"/>
  </r>
  <r>
    <x v="7"/>
    <x v="2"/>
    <x v="1"/>
    <x v="0"/>
    <x v="0"/>
    <x v="1"/>
    <x v="2"/>
    <x v="2"/>
    <x v="3"/>
    <x v="0"/>
    <x v="0"/>
  </r>
  <r>
    <x v="7"/>
    <x v="2"/>
    <x v="1"/>
    <x v="0"/>
    <x v="0"/>
    <x v="1"/>
    <x v="2"/>
    <x v="4"/>
    <x v="2"/>
    <x v="0"/>
    <x v="0"/>
  </r>
  <r>
    <x v="7"/>
    <x v="2"/>
    <x v="0"/>
    <x v="2"/>
    <x v="0"/>
    <x v="5"/>
    <x v="0"/>
    <x v="4"/>
    <x v="2"/>
    <x v="0"/>
    <x v="0"/>
  </r>
  <r>
    <x v="7"/>
    <x v="2"/>
    <x v="0"/>
    <x v="0"/>
    <x v="1"/>
    <x v="2"/>
    <x v="2"/>
    <x v="2"/>
    <x v="3"/>
    <x v="4"/>
    <x v="0"/>
  </r>
  <r>
    <x v="7"/>
    <x v="2"/>
    <x v="0"/>
    <x v="0"/>
    <x v="1"/>
    <x v="1"/>
    <x v="4"/>
    <x v="4"/>
    <x v="2"/>
    <x v="0"/>
    <x v="0"/>
  </r>
  <r>
    <x v="7"/>
    <x v="2"/>
    <x v="1"/>
    <x v="0"/>
    <x v="0"/>
    <x v="1"/>
    <x v="4"/>
    <x v="4"/>
    <x v="2"/>
    <x v="0"/>
    <x v="0"/>
  </r>
  <r>
    <x v="7"/>
    <x v="2"/>
    <x v="0"/>
    <x v="0"/>
    <x v="0"/>
    <x v="11"/>
    <x v="0"/>
    <x v="4"/>
    <x v="2"/>
    <x v="0"/>
    <x v="0"/>
  </r>
  <r>
    <x v="7"/>
    <x v="2"/>
    <x v="1"/>
    <x v="0"/>
    <x v="1"/>
    <x v="11"/>
    <x v="0"/>
    <x v="4"/>
    <x v="2"/>
    <x v="0"/>
    <x v="0"/>
  </r>
  <r>
    <x v="7"/>
    <x v="2"/>
    <x v="1"/>
    <x v="2"/>
    <x v="1"/>
    <x v="2"/>
    <x v="4"/>
    <x v="4"/>
    <x v="2"/>
    <x v="0"/>
    <x v="0"/>
  </r>
  <r>
    <x v="7"/>
    <x v="2"/>
    <x v="1"/>
    <x v="0"/>
    <x v="1"/>
    <x v="2"/>
    <x v="4"/>
    <x v="4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7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8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9"/>
    <x v="3"/>
    <x v="3"/>
    <x v="1"/>
    <x v="2"/>
    <x v="3"/>
    <x v="5"/>
    <x v="3"/>
    <x v="2"/>
    <x v="0"/>
    <x v="0"/>
  </r>
  <r>
    <x v="10"/>
    <x v="0"/>
    <x v="0"/>
    <x v="0"/>
    <x v="1"/>
    <x v="8"/>
    <x v="4"/>
    <x v="0"/>
    <x v="0"/>
    <x v="0"/>
    <x v="0"/>
  </r>
  <r>
    <x v="10"/>
    <x v="2"/>
    <x v="0"/>
    <x v="2"/>
    <x v="1"/>
    <x v="7"/>
    <x v="4"/>
    <x v="4"/>
    <x v="2"/>
    <x v="0"/>
    <x v="0"/>
  </r>
  <r>
    <x v="10"/>
    <x v="2"/>
    <x v="1"/>
    <x v="2"/>
    <x v="0"/>
    <x v="7"/>
    <x v="4"/>
    <x v="4"/>
    <x v="2"/>
    <x v="0"/>
    <x v="0"/>
  </r>
  <r>
    <x v="10"/>
    <x v="2"/>
    <x v="1"/>
    <x v="0"/>
    <x v="0"/>
    <x v="2"/>
    <x v="0"/>
    <x v="4"/>
    <x v="2"/>
    <x v="0"/>
    <x v="0"/>
  </r>
  <r>
    <x v="10"/>
    <x v="4"/>
    <x v="0"/>
    <x v="2"/>
    <x v="1"/>
    <x v="1"/>
    <x v="0"/>
    <x v="4"/>
    <x v="2"/>
    <x v="0"/>
    <x v="0"/>
  </r>
  <r>
    <x v="10"/>
    <x v="4"/>
    <x v="1"/>
    <x v="2"/>
    <x v="3"/>
    <x v="1"/>
    <x v="0"/>
    <x v="4"/>
    <x v="2"/>
    <x v="0"/>
    <x v="0"/>
  </r>
  <r>
    <x v="10"/>
    <x v="4"/>
    <x v="0"/>
    <x v="0"/>
    <x v="0"/>
    <x v="4"/>
    <x v="4"/>
    <x v="4"/>
    <x v="2"/>
    <x v="0"/>
    <x v="0"/>
  </r>
  <r>
    <x v="10"/>
    <x v="4"/>
    <x v="1"/>
    <x v="0"/>
    <x v="0"/>
    <x v="4"/>
    <x v="4"/>
    <x v="4"/>
    <x v="2"/>
    <x v="0"/>
    <x v="0"/>
  </r>
  <r>
    <x v="10"/>
    <x v="4"/>
    <x v="1"/>
    <x v="2"/>
    <x v="1"/>
    <x v="4"/>
    <x v="4"/>
    <x v="4"/>
    <x v="2"/>
    <x v="0"/>
    <x v="0"/>
  </r>
  <r>
    <x v="10"/>
    <x v="4"/>
    <x v="0"/>
    <x v="0"/>
    <x v="1"/>
    <x v="2"/>
    <x v="2"/>
    <x v="2"/>
    <x v="3"/>
    <x v="0"/>
    <x v="0"/>
  </r>
  <r>
    <x v="10"/>
    <x v="4"/>
    <x v="0"/>
    <x v="0"/>
    <x v="1"/>
    <x v="2"/>
    <x v="2"/>
    <x v="4"/>
    <x v="2"/>
    <x v="0"/>
    <x v="0"/>
  </r>
  <r>
    <x v="10"/>
    <x v="4"/>
    <x v="1"/>
    <x v="0"/>
    <x v="0"/>
    <x v="2"/>
    <x v="2"/>
    <x v="4"/>
    <x v="2"/>
    <x v="0"/>
    <x v="0"/>
  </r>
  <r>
    <x v="10"/>
    <x v="4"/>
    <x v="0"/>
    <x v="0"/>
    <x v="1"/>
    <x v="6"/>
    <x v="4"/>
    <x v="4"/>
    <x v="2"/>
    <x v="0"/>
    <x v="0"/>
  </r>
  <r>
    <x v="10"/>
    <x v="4"/>
    <x v="1"/>
    <x v="0"/>
    <x v="0"/>
    <x v="6"/>
    <x v="4"/>
    <x v="4"/>
    <x v="2"/>
    <x v="0"/>
    <x v="0"/>
  </r>
  <r>
    <x v="10"/>
    <x v="4"/>
    <x v="1"/>
    <x v="0"/>
    <x v="4"/>
    <x v="6"/>
    <x v="4"/>
    <x v="4"/>
    <x v="2"/>
    <x v="0"/>
    <x v="0"/>
  </r>
  <r>
    <x v="10"/>
    <x v="4"/>
    <x v="1"/>
    <x v="0"/>
    <x v="1"/>
    <x v="4"/>
    <x v="4"/>
    <x v="4"/>
    <x v="2"/>
    <x v="0"/>
    <x v="0"/>
  </r>
  <r>
    <x v="10"/>
    <x v="4"/>
    <x v="0"/>
    <x v="2"/>
    <x v="1"/>
    <x v="2"/>
    <x v="4"/>
    <x v="4"/>
    <x v="2"/>
    <x v="0"/>
    <x v="0"/>
  </r>
  <r>
    <x v="10"/>
    <x v="2"/>
    <x v="1"/>
    <x v="2"/>
    <x v="1"/>
    <x v="2"/>
    <x v="4"/>
    <x v="4"/>
    <x v="2"/>
    <x v="0"/>
    <x v="0"/>
  </r>
  <r>
    <x v="10"/>
    <x v="2"/>
    <x v="0"/>
    <x v="0"/>
    <x v="0"/>
    <x v="11"/>
    <x v="4"/>
    <x v="2"/>
    <x v="2"/>
    <x v="0"/>
    <x v="0"/>
  </r>
  <r>
    <x v="10"/>
    <x v="2"/>
    <x v="2"/>
    <x v="2"/>
    <x v="1"/>
    <x v="3"/>
    <x v="5"/>
    <x v="2"/>
    <x v="2"/>
    <x v="0"/>
    <x v="0"/>
  </r>
  <r>
    <x v="10"/>
    <x v="2"/>
    <x v="0"/>
    <x v="0"/>
    <x v="1"/>
    <x v="2"/>
    <x v="2"/>
    <x v="4"/>
    <x v="2"/>
    <x v="0"/>
    <x v="0"/>
  </r>
  <r>
    <x v="10"/>
    <x v="2"/>
    <x v="1"/>
    <x v="0"/>
    <x v="0"/>
    <x v="2"/>
    <x v="2"/>
    <x v="4"/>
    <x v="2"/>
    <x v="0"/>
    <x v="0"/>
  </r>
  <r>
    <x v="10"/>
    <x v="2"/>
    <x v="0"/>
    <x v="0"/>
    <x v="1"/>
    <x v="11"/>
    <x v="4"/>
    <x v="2"/>
    <x v="3"/>
    <x v="0"/>
    <x v="0"/>
  </r>
  <r>
    <x v="10"/>
    <x v="2"/>
    <x v="1"/>
    <x v="0"/>
    <x v="0"/>
    <x v="11"/>
    <x v="4"/>
    <x v="2"/>
    <x v="3"/>
    <x v="0"/>
    <x v="0"/>
  </r>
  <r>
    <x v="10"/>
    <x v="2"/>
    <x v="0"/>
    <x v="0"/>
    <x v="1"/>
    <x v="2"/>
    <x v="2"/>
    <x v="2"/>
    <x v="3"/>
    <x v="0"/>
    <x v="0"/>
  </r>
  <r>
    <x v="10"/>
    <x v="2"/>
    <x v="0"/>
    <x v="0"/>
    <x v="1"/>
    <x v="2"/>
    <x v="2"/>
    <x v="2"/>
    <x v="3"/>
    <x v="0"/>
    <x v="0"/>
  </r>
  <r>
    <x v="10"/>
    <x v="2"/>
    <x v="1"/>
    <x v="2"/>
    <x v="1"/>
    <x v="0"/>
    <x v="4"/>
    <x v="4"/>
    <x v="2"/>
    <x v="0"/>
    <x v="0"/>
  </r>
  <r>
    <x v="10"/>
    <x v="2"/>
    <x v="1"/>
    <x v="2"/>
    <x v="3"/>
    <x v="0"/>
    <x v="4"/>
    <x v="4"/>
    <x v="2"/>
    <x v="0"/>
    <x v="0"/>
  </r>
  <r>
    <x v="10"/>
    <x v="2"/>
    <x v="1"/>
    <x v="2"/>
    <x v="3"/>
    <x v="0"/>
    <x v="4"/>
    <x v="4"/>
    <x v="2"/>
    <x v="0"/>
    <x v="0"/>
  </r>
  <r>
    <x v="10"/>
    <x v="2"/>
    <x v="1"/>
    <x v="0"/>
    <x v="1"/>
    <x v="4"/>
    <x v="3"/>
    <x v="0"/>
    <x v="4"/>
    <x v="0"/>
    <x v="0"/>
  </r>
  <r>
    <x v="10"/>
    <x v="2"/>
    <x v="0"/>
    <x v="0"/>
    <x v="1"/>
    <x v="2"/>
    <x v="2"/>
    <x v="0"/>
    <x v="4"/>
    <x v="0"/>
    <x v="0"/>
  </r>
  <r>
    <x v="10"/>
    <x v="2"/>
    <x v="0"/>
    <x v="0"/>
    <x v="1"/>
    <x v="11"/>
    <x v="4"/>
    <x v="0"/>
    <x v="4"/>
    <x v="0"/>
    <x v="0"/>
  </r>
  <r>
    <x v="10"/>
    <x v="2"/>
    <x v="1"/>
    <x v="0"/>
    <x v="0"/>
    <x v="11"/>
    <x v="4"/>
    <x v="0"/>
    <x v="4"/>
    <x v="0"/>
    <x v="0"/>
  </r>
  <r>
    <x v="10"/>
    <x v="2"/>
    <x v="0"/>
    <x v="0"/>
    <x v="1"/>
    <x v="15"/>
    <x v="4"/>
    <x v="0"/>
    <x v="4"/>
    <x v="0"/>
    <x v="0"/>
  </r>
  <r>
    <x v="10"/>
    <x v="2"/>
    <x v="0"/>
    <x v="0"/>
    <x v="1"/>
    <x v="7"/>
    <x v="2"/>
    <x v="0"/>
    <x v="4"/>
    <x v="0"/>
    <x v="0"/>
  </r>
  <r>
    <x v="10"/>
    <x v="2"/>
    <x v="0"/>
    <x v="0"/>
    <x v="1"/>
    <x v="2"/>
    <x v="2"/>
    <x v="0"/>
    <x v="4"/>
    <x v="0"/>
    <x v="0"/>
  </r>
  <r>
    <x v="10"/>
    <x v="2"/>
    <x v="0"/>
    <x v="0"/>
    <x v="1"/>
    <x v="7"/>
    <x v="4"/>
    <x v="0"/>
    <x v="4"/>
    <x v="0"/>
    <x v="0"/>
  </r>
  <r>
    <x v="10"/>
    <x v="2"/>
    <x v="0"/>
    <x v="0"/>
    <x v="1"/>
    <x v="2"/>
    <x v="2"/>
    <x v="0"/>
    <x v="4"/>
    <x v="0"/>
    <x v="0"/>
  </r>
  <r>
    <x v="10"/>
    <x v="2"/>
    <x v="0"/>
    <x v="0"/>
    <x v="1"/>
    <x v="4"/>
    <x v="2"/>
    <x v="0"/>
    <x v="4"/>
    <x v="0"/>
    <x v="0"/>
  </r>
  <r>
    <x v="10"/>
    <x v="2"/>
    <x v="0"/>
    <x v="0"/>
    <x v="0"/>
    <x v="5"/>
    <x v="4"/>
    <x v="0"/>
    <x v="4"/>
    <x v="0"/>
    <x v="0"/>
  </r>
  <r>
    <x v="10"/>
    <x v="2"/>
    <x v="0"/>
    <x v="0"/>
    <x v="0"/>
    <x v="5"/>
    <x v="4"/>
    <x v="0"/>
    <x v="4"/>
    <x v="0"/>
    <x v="0"/>
  </r>
  <r>
    <x v="10"/>
    <x v="2"/>
    <x v="0"/>
    <x v="0"/>
    <x v="1"/>
    <x v="2"/>
    <x v="2"/>
    <x v="0"/>
    <x v="4"/>
    <x v="0"/>
    <x v="0"/>
  </r>
  <r>
    <x v="10"/>
    <x v="2"/>
    <x v="0"/>
    <x v="0"/>
    <x v="1"/>
    <x v="0"/>
    <x v="4"/>
    <x v="0"/>
    <x v="4"/>
    <x v="0"/>
    <x v="0"/>
  </r>
  <r>
    <x v="10"/>
    <x v="2"/>
    <x v="1"/>
    <x v="0"/>
    <x v="1"/>
    <x v="0"/>
    <x v="4"/>
    <x v="0"/>
    <x v="4"/>
    <x v="0"/>
    <x v="0"/>
  </r>
  <r>
    <x v="10"/>
    <x v="2"/>
    <x v="2"/>
    <x v="1"/>
    <x v="2"/>
    <x v="3"/>
    <x v="5"/>
    <x v="0"/>
    <x v="4"/>
    <x v="0"/>
    <x v="0"/>
  </r>
  <r>
    <x v="10"/>
    <x v="2"/>
    <x v="0"/>
    <x v="0"/>
    <x v="1"/>
    <x v="7"/>
    <x v="4"/>
    <x v="0"/>
    <x v="4"/>
    <x v="0"/>
    <x v="0"/>
  </r>
  <r>
    <x v="10"/>
    <x v="2"/>
    <x v="0"/>
    <x v="0"/>
    <x v="1"/>
    <x v="1"/>
    <x v="4"/>
    <x v="4"/>
    <x v="2"/>
    <x v="0"/>
    <x v="0"/>
  </r>
  <r>
    <x v="10"/>
    <x v="2"/>
    <x v="1"/>
    <x v="2"/>
    <x v="1"/>
    <x v="9"/>
    <x v="3"/>
    <x v="4"/>
    <x v="2"/>
    <x v="0"/>
    <x v="0"/>
  </r>
  <r>
    <x v="10"/>
    <x v="2"/>
    <x v="1"/>
    <x v="0"/>
    <x v="1"/>
    <x v="4"/>
    <x v="4"/>
    <x v="4"/>
    <x v="2"/>
    <x v="0"/>
    <x v="0"/>
  </r>
  <r>
    <x v="10"/>
    <x v="2"/>
    <x v="1"/>
    <x v="0"/>
    <x v="0"/>
    <x v="2"/>
    <x v="2"/>
    <x v="2"/>
    <x v="2"/>
    <x v="0"/>
    <x v="0"/>
  </r>
  <r>
    <x v="10"/>
    <x v="1"/>
    <x v="1"/>
    <x v="0"/>
    <x v="1"/>
    <x v="17"/>
    <x v="3"/>
    <x v="2"/>
    <x v="3"/>
    <x v="0"/>
    <x v="0"/>
  </r>
  <r>
    <x v="10"/>
    <x v="1"/>
    <x v="0"/>
    <x v="0"/>
    <x v="1"/>
    <x v="2"/>
    <x v="2"/>
    <x v="2"/>
    <x v="3"/>
    <x v="0"/>
    <x v="0"/>
  </r>
  <r>
    <x v="10"/>
    <x v="1"/>
    <x v="1"/>
    <x v="0"/>
    <x v="1"/>
    <x v="0"/>
    <x v="3"/>
    <x v="2"/>
    <x v="3"/>
    <x v="0"/>
    <x v="0"/>
  </r>
  <r>
    <x v="10"/>
    <x v="1"/>
    <x v="1"/>
    <x v="2"/>
    <x v="1"/>
    <x v="0"/>
    <x v="0"/>
    <x v="0"/>
    <x v="6"/>
    <x v="0"/>
    <x v="0"/>
  </r>
  <r>
    <x v="10"/>
    <x v="1"/>
    <x v="1"/>
    <x v="0"/>
    <x v="0"/>
    <x v="11"/>
    <x v="4"/>
    <x v="0"/>
    <x v="6"/>
    <x v="0"/>
    <x v="0"/>
  </r>
  <r>
    <x v="10"/>
    <x v="1"/>
    <x v="1"/>
    <x v="0"/>
    <x v="0"/>
    <x v="0"/>
    <x v="4"/>
    <x v="0"/>
    <x v="6"/>
    <x v="0"/>
    <x v="0"/>
  </r>
  <r>
    <x v="10"/>
    <x v="1"/>
    <x v="1"/>
    <x v="0"/>
    <x v="1"/>
    <x v="9"/>
    <x v="4"/>
    <x v="0"/>
    <x v="6"/>
    <x v="0"/>
    <x v="0"/>
  </r>
  <r>
    <x v="10"/>
    <x v="1"/>
    <x v="0"/>
    <x v="0"/>
    <x v="0"/>
    <x v="5"/>
    <x v="4"/>
    <x v="0"/>
    <x v="7"/>
    <x v="0"/>
    <x v="0"/>
  </r>
  <r>
    <x v="10"/>
    <x v="1"/>
    <x v="0"/>
    <x v="0"/>
    <x v="1"/>
    <x v="2"/>
    <x v="2"/>
    <x v="0"/>
    <x v="7"/>
    <x v="0"/>
    <x v="0"/>
  </r>
  <r>
    <x v="10"/>
    <x v="1"/>
    <x v="0"/>
    <x v="0"/>
    <x v="1"/>
    <x v="2"/>
    <x v="4"/>
    <x v="0"/>
    <x v="7"/>
    <x v="0"/>
    <x v="0"/>
  </r>
  <r>
    <x v="10"/>
    <x v="1"/>
    <x v="0"/>
    <x v="0"/>
    <x v="0"/>
    <x v="4"/>
    <x v="4"/>
    <x v="0"/>
    <x v="8"/>
    <x v="0"/>
    <x v="0"/>
  </r>
  <r>
    <x v="10"/>
    <x v="1"/>
    <x v="0"/>
    <x v="0"/>
    <x v="0"/>
    <x v="6"/>
    <x v="4"/>
    <x v="0"/>
    <x v="8"/>
    <x v="0"/>
    <x v="0"/>
  </r>
  <r>
    <x v="10"/>
    <x v="1"/>
    <x v="0"/>
    <x v="0"/>
    <x v="0"/>
    <x v="4"/>
    <x v="4"/>
    <x v="0"/>
    <x v="8"/>
    <x v="0"/>
    <x v="0"/>
  </r>
  <r>
    <x v="10"/>
    <x v="1"/>
    <x v="0"/>
    <x v="0"/>
    <x v="0"/>
    <x v="0"/>
    <x v="4"/>
    <x v="0"/>
    <x v="8"/>
    <x v="0"/>
    <x v="0"/>
  </r>
  <r>
    <x v="10"/>
    <x v="1"/>
    <x v="0"/>
    <x v="0"/>
    <x v="0"/>
    <x v="12"/>
    <x v="4"/>
    <x v="0"/>
    <x v="8"/>
    <x v="0"/>
    <x v="0"/>
  </r>
  <r>
    <x v="10"/>
    <x v="1"/>
    <x v="1"/>
    <x v="0"/>
    <x v="1"/>
    <x v="0"/>
    <x v="3"/>
    <x v="2"/>
    <x v="3"/>
    <x v="0"/>
    <x v="0"/>
  </r>
  <r>
    <x v="10"/>
    <x v="1"/>
    <x v="0"/>
    <x v="2"/>
    <x v="0"/>
    <x v="11"/>
    <x v="4"/>
    <x v="2"/>
    <x v="3"/>
    <x v="0"/>
    <x v="0"/>
  </r>
  <r>
    <x v="10"/>
    <x v="1"/>
    <x v="1"/>
    <x v="0"/>
    <x v="1"/>
    <x v="11"/>
    <x v="4"/>
    <x v="2"/>
    <x v="3"/>
    <x v="0"/>
    <x v="0"/>
  </r>
  <r>
    <x v="10"/>
    <x v="4"/>
    <x v="0"/>
    <x v="0"/>
    <x v="0"/>
    <x v="11"/>
    <x v="4"/>
    <x v="2"/>
    <x v="3"/>
    <x v="0"/>
    <x v="0"/>
  </r>
  <r>
    <x v="10"/>
    <x v="4"/>
    <x v="0"/>
    <x v="0"/>
    <x v="1"/>
    <x v="2"/>
    <x v="2"/>
    <x v="2"/>
    <x v="3"/>
    <x v="0"/>
    <x v="0"/>
  </r>
  <r>
    <x v="10"/>
    <x v="4"/>
    <x v="0"/>
    <x v="0"/>
    <x v="1"/>
    <x v="10"/>
    <x v="4"/>
    <x v="2"/>
    <x v="3"/>
    <x v="0"/>
    <x v="0"/>
  </r>
  <r>
    <x v="10"/>
    <x v="4"/>
    <x v="0"/>
    <x v="0"/>
    <x v="1"/>
    <x v="10"/>
    <x v="4"/>
    <x v="2"/>
    <x v="3"/>
    <x v="0"/>
    <x v="0"/>
  </r>
  <r>
    <x v="10"/>
    <x v="4"/>
    <x v="1"/>
    <x v="0"/>
    <x v="0"/>
    <x v="10"/>
    <x v="4"/>
    <x v="2"/>
    <x v="3"/>
    <x v="0"/>
    <x v="0"/>
  </r>
  <r>
    <x v="10"/>
    <x v="4"/>
    <x v="0"/>
    <x v="0"/>
    <x v="1"/>
    <x v="8"/>
    <x v="4"/>
    <x v="4"/>
    <x v="2"/>
    <x v="0"/>
    <x v="0"/>
  </r>
  <r>
    <x v="10"/>
    <x v="0"/>
    <x v="0"/>
    <x v="0"/>
    <x v="1"/>
    <x v="8"/>
    <x v="3"/>
    <x v="0"/>
    <x v="0"/>
    <x v="0"/>
    <x v="0"/>
  </r>
  <r>
    <x v="10"/>
    <x v="4"/>
    <x v="1"/>
    <x v="0"/>
    <x v="0"/>
    <x v="8"/>
    <x v="4"/>
    <x v="4"/>
    <x v="0"/>
    <x v="0"/>
    <x v="0"/>
  </r>
  <r>
    <x v="10"/>
    <x v="4"/>
    <x v="1"/>
    <x v="2"/>
    <x v="1"/>
    <x v="8"/>
    <x v="4"/>
    <x v="4"/>
    <x v="2"/>
    <x v="0"/>
    <x v="0"/>
  </r>
  <r>
    <x v="10"/>
    <x v="4"/>
    <x v="0"/>
    <x v="0"/>
    <x v="1"/>
    <x v="2"/>
    <x v="2"/>
    <x v="2"/>
    <x v="3"/>
    <x v="0"/>
    <x v="0"/>
  </r>
  <r>
    <x v="10"/>
    <x v="4"/>
    <x v="0"/>
    <x v="0"/>
    <x v="1"/>
    <x v="11"/>
    <x v="2"/>
    <x v="2"/>
    <x v="3"/>
    <x v="0"/>
    <x v="0"/>
  </r>
  <r>
    <x v="10"/>
    <x v="4"/>
    <x v="0"/>
    <x v="2"/>
    <x v="0"/>
    <x v="6"/>
    <x v="0"/>
    <x v="2"/>
    <x v="3"/>
    <x v="0"/>
    <x v="0"/>
  </r>
  <r>
    <x v="10"/>
    <x v="4"/>
    <x v="0"/>
    <x v="0"/>
    <x v="1"/>
    <x v="2"/>
    <x v="0"/>
    <x v="2"/>
    <x v="3"/>
    <x v="0"/>
    <x v="0"/>
  </r>
  <r>
    <x v="10"/>
    <x v="4"/>
    <x v="1"/>
    <x v="0"/>
    <x v="1"/>
    <x v="12"/>
    <x v="3"/>
    <x v="2"/>
    <x v="3"/>
    <x v="0"/>
    <x v="0"/>
  </r>
  <r>
    <x v="10"/>
    <x v="4"/>
    <x v="0"/>
    <x v="2"/>
    <x v="0"/>
    <x v="12"/>
    <x v="4"/>
    <x v="4"/>
    <x v="2"/>
    <x v="0"/>
    <x v="0"/>
  </r>
  <r>
    <x v="10"/>
    <x v="4"/>
    <x v="1"/>
    <x v="2"/>
    <x v="1"/>
    <x v="12"/>
    <x v="4"/>
    <x v="4"/>
    <x v="2"/>
    <x v="0"/>
    <x v="0"/>
  </r>
  <r>
    <x v="10"/>
    <x v="4"/>
    <x v="1"/>
    <x v="2"/>
    <x v="1"/>
    <x v="12"/>
    <x v="4"/>
    <x v="4"/>
    <x v="2"/>
    <x v="0"/>
    <x v="0"/>
  </r>
  <r>
    <x v="10"/>
    <x v="4"/>
    <x v="0"/>
    <x v="2"/>
    <x v="1"/>
    <x v="2"/>
    <x v="0"/>
    <x v="4"/>
    <x v="2"/>
    <x v="0"/>
    <x v="0"/>
  </r>
  <r>
    <x v="10"/>
    <x v="4"/>
    <x v="0"/>
    <x v="0"/>
    <x v="0"/>
    <x v="11"/>
    <x v="0"/>
    <x v="4"/>
    <x v="2"/>
    <x v="0"/>
    <x v="0"/>
  </r>
  <r>
    <x v="10"/>
    <x v="4"/>
    <x v="1"/>
    <x v="0"/>
    <x v="1"/>
    <x v="11"/>
    <x v="0"/>
    <x v="4"/>
    <x v="2"/>
    <x v="0"/>
    <x v="0"/>
  </r>
  <r>
    <x v="10"/>
    <x v="4"/>
    <x v="1"/>
    <x v="0"/>
    <x v="1"/>
    <x v="11"/>
    <x v="0"/>
    <x v="4"/>
    <x v="2"/>
    <x v="0"/>
    <x v="0"/>
  </r>
  <r>
    <x v="10"/>
    <x v="5"/>
    <x v="0"/>
    <x v="0"/>
    <x v="0"/>
    <x v="5"/>
    <x v="4"/>
    <x v="2"/>
    <x v="20"/>
    <x v="0"/>
    <x v="0"/>
  </r>
  <r>
    <x v="10"/>
    <x v="5"/>
    <x v="1"/>
    <x v="0"/>
    <x v="1"/>
    <x v="5"/>
    <x v="4"/>
    <x v="2"/>
    <x v="20"/>
    <x v="0"/>
    <x v="0"/>
  </r>
  <r>
    <x v="10"/>
    <x v="5"/>
    <x v="0"/>
    <x v="2"/>
    <x v="1"/>
    <x v="2"/>
    <x v="0"/>
    <x v="1"/>
    <x v="21"/>
    <x v="0"/>
    <x v="0"/>
  </r>
  <r>
    <x v="10"/>
    <x v="0"/>
    <x v="0"/>
    <x v="0"/>
    <x v="0"/>
    <x v="9"/>
    <x v="6"/>
    <x v="0"/>
    <x v="9"/>
    <x v="0"/>
    <x v="0"/>
  </r>
  <r>
    <x v="10"/>
    <x v="0"/>
    <x v="0"/>
    <x v="0"/>
    <x v="0"/>
    <x v="9"/>
    <x v="6"/>
    <x v="0"/>
    <x v="9"/>
    <x v="5"/>
    <x v="5"/>
  </r>
  <r>
    <x v="10"/>
    <x v="0"/>
    <x v="0"/>
    <x v="0"/>
    <x v="0"/>
    <x v="9"/>
    <x v="6"/>
    <x v="0"/>
    <x v="9"/>
    <x v="0"/>
    <x v="0"/>
  </r>
  <r>
    <x v="10"/>
    <x v="0"/>
    <x v="0"/>
    <x v="0"/>
    <x v="0"/>
    <x v="9"/>
    <x v="6"/>
    <x v="0"/>
    <x v="9"/>
    <x v="5"/>
    <x v="0"/>
  </r>
  <r>
    <x v="10"/>
    <x v="0"/>
    <x v="0"/>
    <x v="0"/>
    <x v="0"/>
    <x v="9"/>
    <x v="6"/>
    <x v="0"/>
    <x v="9"/>
    <x v="5"/>
    <x v="5"/>
  </r>
  <r>
    <x v="10"/>
    <x v="0"/>
    <x v="0"/>
    <x v="0"/>
    <x v="0"/>
    <x v="9"/>
    <x v="6"/>
    <x v="0"/>
    <x v="9"/>
    <x v="5"/>
    <x v="0"/>
  </r>
  <r>
    <x v="10"/>
    <x v="0"/>
    <x v="0"/>
    <x v="0"/>
    <x v="1"/>
    <x v="9"/>
    <x v="6"/>
    <x v="0"/>
    <x v="9"/>
    <x v="5"/>
    <x v="5"/>
  </r>
  <r>
    <x v="10"/>
    <x v="0"/>
    <x v="0"/>
    <x v="0"/>
    <x v="1"/>
    <x v="9"/>
    <x v="6"/>
    <x v="0"/>
    <x v="9"/>
    <x v="5"/>
    <x v="0"/>
  </r>
  <r>
    <x v="10"/>
    <x v="0"/>
    <x v="0"/>
    <x v="0"/>
    <x v="1"/>
    <x v="9"/>
    <x v="6"/>
    <x v="0"/>
    <x v="9"/>
    <x v="5"/>
    <x v="5"/>
  </r>
  <r>
    <x v="10"/>
    <x v="0"/>
    <x v="0"/>
    <x v="0"/>
    <x v="1"/>
    <x v="9"/>
    <x v="6"/>
    <x v="0"/>
    <x v="9"/>
    <x v="5"/>
    <x v="5"/>
  </r>
  <r>
    <x v="10"/>
    <x v="0"/>
    <x v="0"/>
    <x v="0"/>
    <x v="1"/>
    <x v="9"/>
    <x v="6"/>
    <x v="0"/>
    <x v="9"/>
    <x v="5"/>
    <x v="5"/>
  </r>
  <r>
    <x v="10"/>
    <x v="0"/>
    <x v="0"/>
    <x v="0"/>
    <x v="1"/>
    <x v="9"/>
    <x v="6"/>
    <x v="0"/>
    <x v="9"/>
    <x v="5"/>
    <x v="0"/>
  </r>
  <r>
    <x v="10"/>
    <x v="0"/>
    <x v="0"/>
    <x v="0"/>
    <x v="1"/>
    <x v="9"/>
    <x v="6"/>
    <x v="0"/>
    <x v="9"/>
    <x v="5"/>
    <x v="0"/>
  </r>
  <r>
    <x v="10"/>
    <x v="0"/>
    <x v="0"/>
    <x v="0"/>
    <x v="1"/>
    <x v="9"/>
    <x v="6"/>
    <x v="0"/>
    <x v="9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0"/>
    <x v="3"/>
    <x v="3"/>
    <x v="1"/>
    <x v="2"/>
    <x v="3"/>
    <x v="5"/>
    <x v="3"/>
    <x v="2"/>
    <x v="0"/>
    <x v="0"/>
  </r>
  <r>
    <x v="11"/>
    <x v="2"/>
    <x v="0"/>
    <x v="0"/>
    <x v="1"/>
    <x v="1"/>
    <x v="4"/>
    <x v="2"/>
    <x v="3"/>
    <x v="0"/>
    <x v="0"/>
  </r>
  <r>
    <x v="11"/>
    <x v="2"/>
    <x v="1"/>
    <x v="0"/>
    <x v="1"/>
    <x v="4"/>
    <x v="3"/>
    <x v="2"/>
    <x v="5"/>
    <x v="6"/>
    <x v="0"/>
  </r>
  <r>
    <x v="11"/>
    <x v="2"/>
    <x v="1"/>
    <x v="2"/>
    <x v="1"/>
    <x v="4"/>
    <x v="3"/>
    <x v="2"/>
    <x v="5"/>
    <x v="0"/>
    <x v="0"/>
  </r>
  <r>
    <x v="11"/>
    <x v="2"/>
    <x v="2"/>
    <x v="1"/>
    <x v="1"/>
    <x v="3"/>
    <x v="5"/>
    <x v="3"/>
    <x v="5"/>
    <x v="0"/>
    <x v="0"/>
  </r>
  <r>
    <x v="11"/>
    <x v="2"/>
    <x v="2"/>
    <x v="1"/>
    <x v="1"/>
    <x v="3"/>
    <x v="5"/>
    <x v="3"/>
    <x v="5"/>
    <x v="0"/>
    <x v="0"/>
  </r>
  <r>
    <x v="11"/>
    <x v="2"/>
    <x v="0"/>
    <x v="0"/>
    <x v="0"/>
    <x v="12"/>
    <x v="0"/>
    <x v="4"/>
    <x v="2"/>
    <x v="0"/>
    <x v="0"/>
  </r>
  <r>
    <x v="11"/>
    <x v="2"/>
    <x v="1"/>
    <x v="0"/>
    <x v="0"/>
    <x v="9"/>
    <x v="6"/>
    <x v="4"/>
    <x v="2"/>
    <x v="0"/>
    <x v="0"/>
  </r>
  <r>
    <x v="11"/>
    <x v="2"/>
    <x v="0"/>
    <x v="0"/>
    <x v="1"/>
    <x v="2"/>
    <x v="4"/>
    <x v="0"/>
    <x v="22"/>
    <x v="0"/>
    <x v="0"/>
  </r>
  <r>
    <x v="11"/>
    <x v="2"/>
    <x v="0"/>
    <x v="0"/>
    <x v="1"/>
    <x v="7"/>
    <x v="0"/>
    <x v="0"/>
    <x v="22"/>
    <x v="6"/>
    <x v="0"/>
  </r>
  <r>
    <x v="11"/>
    <x v="2"/>
    <x v="0"/>
    <x v="0"/>
    <x v="0"/>
    <x v="5"/>
    <x v="4"/>
    <x v="0"/>
    <x v="22"/>
    <x v="6"/>
    <x v="0"/>
  </r>
  <r>
    <x v="11"/>
    <x v="2"/>
    <x v="0"/>
    <x v="0"/>
    <x v="1"/>
    <x v="2"/>
    <x v="0"/>
    <x v="0"/>
    <x v="23"/>
    <x v="6"/>
    <x v="0"/>
  </r>
  <r>
    <x v="11"/>
    <x v="2"/>
    <x v="0"/>
    <x v="0"/>
    <x v="1"/>
    <x v="2"/>
    <x v="0"/>
    <x v="0"/>
    <x v="23"/>
    <x v="6"/>
    <x v="0"/>
  </r>
  <r>
    <x v="11"/>
    <x v="2"/>
    <x v="0"/>
    <x v="0"/>
    <x v="1"/>
    <x v="2"/>
    <x v="0"/>
    <x v="0"/>
    <x v="23"/>
    <x v="6"/>
    <x v="0"/>
  </r>
  <r>
    <x v="11"/>
    <x v="2"/>
    <x v="0"/>
    <x v="0"/>
    <x v="1"/>
    <x v="9"/>
    <x v="6"/>
    <x v="0"/>
    <x v="23"/>
    <x v="6"/>
    <x v="0"/>
  </r>
  <r>
    <x v="11"/>
    <x v="2"/>
    <x v="0"/>
    <x v="0"/>
    <x v="1"/>
    <x v="9"/>
    <x v="6"/>
    <x v="0"/>
    <x v="23"/>
    <x v="6"/>
    <x v="0"/>
  </r>
  <r>
    <x v="11"/>
    <x v="2"/>
    <x v="0"/>
    <x v="0"/>
    <x v="1"/>
    <x v="11"/>
    <x v="4"/>
    <x v="4"/>
    <x v="2"/>
    <x v="6"/>
    <x v="0"/>
  </r>
  <r>
    <x v="11"/>
    <x v="2"/>
    <x v="1"/>
    <x v="2"/>
    <x v="1"/>
    <x v="11"/>
    <x v="0"/>
    <x v="4"/>
    <x v="2"/>
    <x v="6"/>
    <x v="0"/>
  </r>
  <r>
    <x v="11"/>
    <x v="2"/>
    <x v="0"/>
    <x v="0"/>
    <x v="1"/>
    <x v="2"/>
    <x v="0"/>
    <x v="4"/>
    <x v="2"/>
    <x v="6"/>
    <x v="0"/>
  </r>
  <r>
    <x v="11"/>
    <x v="5"/>
    <x v="0"/>
    <x v="2"/>
    <x v="1"/>
    <x v="7"/>
    <x v="4"/>
    <x v="1"/>
    <x v="21"/>
    <x v="6"/>
    <x v="0"/>
  </r>
  <r>
    <x v="11"/>
    <x v="5"/>
    <x v="1"/>
    <x v="2"/>
    <x v="1"/>
    <x v="7"/>
    <x v="4"/>
    <x v="1"/>
    <x v="21"/>
    <x v="6"/>
    <x v="0"/>
  </r>
  <r>
    <x v="11"/>
    <x v="5"/>
    <x v="0"/>
    <x v="2"/>
    <x v="1"/>
    <x v="9"/>
    <x v="6"/>
    <x v="1"/>
    <x v="21"/>
    <x v="6"/>
    <x v="0"/>
  </r>
  <r>
    <x v="11"/>
    <x v="5"/>
    <x v="1"/>
    <x v="2"/>
    <x v="1"/>
    <x v="8"/>
    <x v="4"/>
    <x v="1"/>
    <x v="21"/>
    <x v="6"/>
    <x v="0"/>
  </r>
  <r>
    <x v="11"/>
    <x v="2"/>
    <x v="0"/>
    <x v="0"/>
    <x v="0"/>
    <x v="6"/>
    <x v="2"/>
    <x v="4"/>
    <x v="2"/>
    <x v="6"/>
    <x v="0"/>
  </r>
  <r>
    <x v="11"/>
    <x v="2"/>
    <x v="0"/>
    <x v="0"/>
    <x v="0"/>
    <x v="11"/>
    <x v="4"/>
    <x v="4"/>
    <x v="2"/>
    <x v="6"/>
    <x v="0"/>
  </r>
  <r>
    <x v="11"/>
    <x v="2"/>
    <x v="1"/>
    <x v="2"/>
    <x v="0"/>
    <x v="2"/>
    <x v="0"/>
    <x v="4"/>
    <x v="2"/>
    <x v="6"/>
    <x v="0"/>
  </r>
  <r>
    <x v="11"/>
    <x v="2"/>
    <x v="0"/>
    <x v="0"/>
    <x v="1"/>
    <x v="2"/>
    <x v="2"/>
    <x v="2"/>
    <x v="3"/>
    <x v="6"/>
    <x v="0"/>
  </r>
  <r>
    <x v="11"/>
    <x v="2"/>
    <x v="2"/>
    <x v="1"/>
    <x v="2"/>
    <x v="3"/>
    <x v="5"/>
    <x v="5"/>
    <x v="2"/>
    <x v="0"/>
    <x v="0"/>
  </r>
  <r>
    <x v="11"/>
    <x v="2"/>
    <x v="2"/>
    <x v="1"/>
    <x v="2"/>
    <x v="3"/>
    <x v="5"/>
    <x v="5"/>
    <x v="2"/>
    <x v="0"/>
    <x v="0"/>
  </r>
  <r>
    <x v="11"/>
    <x v="2"/>
    <x v="2"/>
    <x v="1"/>
    <x v="2"/>
    <x v="3"/>
    <x v="5"/>
    <x v="5"/>
    <x v="2"/>
    <x v="0"/>
    <x v="0"/>
  </r>
  <r>
    <x v="11"/>
    <x v="2"/>
    <x v="2"/>
    <x v="1"/>
    <x v="2"/>
    <x v="3"/>
    <x v="5"/>
    <x v="5"/>
    <x v="2"/>
    <x v="0"/>
    <x v="0"/>
  </r>
  <r>
    <x v="11"/>
    <x v="2"/>
    <x v="2"/>
    <x v="1"/>
    <x v="2"/>
    <x v="3"/>
    <x v="5"/>
    <x v="5"/>
    <x v="2"/>
    <x v="0"/>
    <x v="0"/>
  </r>
  <r>
    <x v="11"/>
    <x v="2"/>
    <x v="2"/>
    <x v="1"/>
    <x v="2"/>
    <x v="3"/>
    <x v="5"/>
    <x v="5"/>
    <x v="2"/>
    <x v="0"/>
    <x v="0"/>
  </r>
  <r>
    <x v="11"/>
    <x v="2"/>
    <x v="2"/>
    <x v="1"/>
    <x v="2"/>
    <x v="3"/>
    <x v="5"/>
    <x v="5"/>
    <x v="2"/>
    <x v="0"/>
    <x v="0"/>
  </r>
  <r>
    <x v="11"/>
    <x v="2"/>
    <x v="2"/>
    <x v="1"/>
    <x v="2"/>
    <x v="3"/>
    <x v="5"/>
    <x v="5"/>
    <x v="2"/>
    <x v="0"/>
    <x v="0"/>
  </r>
  <r>
    <x v="11"/>
    <x v="2"/>
    <x v="2"/>
    <x v="1"/>
    <x v="2"/>
    <x v="3"/>
    <x v="5"/>
    <x v="5"/>
    <x v="2"/>
    <x v="7"/>
    <x v="0"/>
  </r>
  <r>
    <x v="11"/>
    <x v="2"/>
    <x v="2"/>
    <x v="1"/>
    <x v="2"/>
    <x v="3"/>
    <x v="5"/>
    <x v="5"/>
    <x v="2"/>
    <x v="7"/>
    <x v="0"/>
  </r>
  <r>
    <x v="11"/>
    <x v="1"/>
    <x v="0"/>
    <x v="0"/>
    <x v="1"/>
    <x v="0"/>
    <x v="2"/>
    <x v="2"/>
    <x v="3"/>
    <x v="7"/>
    <x v="0"/>
  </r>
  <r>
    <x v="11"/>
    <x v="1"/>
    <x v="0"/>
    <x v="0"/>
    <x v="1"/>
    <x v="2"/>
    <x v="2"/>
    <x v="2"/>
    <x v="3"/>
    <x v="7"/>
    <x v="0"/>
  </r>
  <r>
    <x v="11"/>
    <x v="1"/>
    <x v="1"/>
    <x v="0"/>
    <x v="1"/>
    <x v="1"/>
    <x v="3"/>
    <x v="2"/>
    <x v="3"/>
    <x v="7"/>
    <x v="0"/>
  </r>
  <r>
    <x v="11"/>
    <x v="1"/>
    <x v="1"/>
    <x v="0"/>
    <x v="1"/>
    <x v="0"/>
    <x v="3"/>
    <x v="0"/>
    <x v="10"/>
    <x v="7"/>
    <x v="0"/>
  </r>
  <r>
    <x v="11"/>
    <x v="1"/>
    <x v="1"/>
    <x v="0"/>
    <x v="1"/>
    <x v="6"/>
    <x v="3"/>
    <x v="0"/>
    <x v="10"/>
    <x v="7"/>
    <x v="0"/>
  </r>
  <r>
    <x v="11"/>
    <x v="1"/>
    <x v="1"/>
    <x v="0"/>
    <x v="1"/>
    <x v="1"/>
    <x v="3"/>
    <x v="0"/>
    <x v="10"/>
    <x v="7"/>
    <x v="0"/>
  </r>
  <r>
    <x v="11"/>
    <x v="1"/>
    <x v="1"/>
    <x v="0"/>
    <x v="1"/>
    <x v="1"/>
    <x v="3"/>
    <x v="0"/>
    <x v="10"/>
    <x v="7"/>
    <x v="0"/>
  </r>
  <r>
    <x v="11"/>
    <x v="1"/>
    <x v="1"/>
    <x v="0"/>
    <x v="1"/>
    <x v="4"/>
    <x v="3"/>
    <x v="0"/>
    <x v="21"/>
    <x v="7"/>
    <x v="0"/>
  </r>
  <r>
    <x v="11"/>
    <x v="2"/>
    <x v="1"/>
    <x v="0"/>
    <x v="1"/>
    <x v="2"/>
    <x v="3"/>
    <x v="2"/>
    <x v="3"/>
    <x v="7"/>
    <x v="0"/>
  </r>
  <r>
    <x v="11"/>
    <x v="2"/>
    <x v="1"/>
    <x v="0"/>
    <x v="0"/>
    <x v="2"/>
    <x v="0"/>
    <x v="2"/>
    <x v="3"/>
    <x v="7"/>
    <x v="0"/>
  </r>
  <r>
    <x v="11"/>
    <x v="1"/>
    <x v="1"/>
    <x v="0"/>
    <x v="1"/>
    <x v="5"/>
    <x v="3"/>
    <x v="2"/>
    <x v="3"/>
    <x v="7"/>
    <x v="0"/>
  </r>
  <r>
    <x v="11"/>
    <x v="1"/>
    <x v="1"/>
    <x v="0"/>
    <x v="0"/>
    <x v="2"/>
    <x v="2"/>
    <x v="2"/>
    <x v="3"/>
    <x v="7"/>
    <x v="0"/>
  </r>
  <r>
    <x v="11"/>
    <x v="1"/>
    <x v="0"/>
    <x v="0"/>
    <x v="0"/>
    <x v="8"/>
    <x v="2"/>
    <x v="2"/>
    <x v="3"/>
    <x v="7"/>
    <x v="0"/>
  </r>
  <r>
    <x v="11"/>
    <x v="4"/>
    <x v="0"/>
    <x v="0"/>
    <x v="0"/>
    <x v="8"/>
    <x v="4"/>
    <x v="4"/>
    <x v="2"/>
    <x v="0"/>
    <x v="0"/>
  </r>
  <r>
    <x v="11"/>
    <x v="4"/>
    <x v="1"/>
    <x v="0"/>
    <x v="1"/>
    <x v="8"/>
    <x v="4"/>
    <x v="4"/>
    <x v="2"/>
    <x v="0"/>
    <x v="0"/>
  </r>
  <r>
    <x v="11"/>
    <x v="4"/>
    <x v="0"/>
    <x v="0"/>
    <x v="1"/>
    <x v="8"/>
    <x v="4"/>
    <x v="2"/>
    <x v="3"/>
    <x v="0"/>
    <x v="0"/>
  </r>
  <r>
    <x v="11"/>
    <x v="4"/>
    <x v="0"/>
    <x v="0"/>
    <x v="0"/>
    <x v="6"/>
    <x v="2"/>
    <x v="2"/>
    <x v="3"/>
    <x v="0"/>
    <x v="0"/>
  </r>
  <r>
    <x v="11"/>
    <x v="4"/>
    <x v="1"/>
    <x v="0"/>
    <x v="1"/>
    <x v="6"/>
    <x v="2"/>
    <x v="2"/>
    <x v="3"/>
    <x v="0"/>
    <x v="0"/>
  </r>
  <r>
    <x v="11"/>
    <x v="4"/>
    <x v="1"/>
    <x v="0"/>
    <x v="0"/>
    <x v="5"/>
    <x v="4"/>
    <x v="2"/>
    <x v="3"/>
    <x v="0"/>
    <x v="0"/>
  </r>
  <r>
    <x v="11"/>
    <x v="4"/>
    <x v="1"/>
    <x v="0"/>
    <x v="1"/>
    <x v="1"/>
    <x v="4"/>
    <x v="2"/>
    <x v="3"/>
    <x v="0"/>
    <x v="0"/>
  </r>
  <r>
    <x v="11"/>
    <x v="4"/>
    <x v="1"/>
    <x v="0"/>
    <x v="1"/>
    <x v="4"/>
    <x v="4"/>
    <x v="2"/>
    <x v="3"/>
    <x v="0"/>
    <x v="0"/>
  </r>
  <r>
    <x v="11"/>
    <x v="4"/>
    <x v="1"/>
    <x v="0"/>
    <x v="1"/>
    <x v="6"/>
    <x v="4"/>
    <x v="2"/>
    <x v="3"/>
    <x v="0"/>
    <x v="0"/>
  </r>
  <r>
    <x v="11"/>
    <x v="4"/>
    <x v="0"/>
    <x v="0"/>
    <x v="1"/>
    <x v="17"/>
    <x v="2"/>
    <x v="2"/>
    <x v="3"/>
    <x v="0"/>
    <x v="0"/>
  </r>
  <r>
    <x v="11"/>
    <x v="4"/>
    <x v="0"/>
    <x v="0"/>
    <x v="1"/>
    <x v="8"/>
    <x v="4"/>
    <x v="2"/>
    <x v="3"/>
    <x v="0"/>
    <x v="0"/>
  </r>
  <r>
    <x v="11"/>
    <x v="4"/>
    <x v="1"/>
    <x v="0"/>
    <x v="1"/>
    <x v="8"/>
    <x v="3"/>
    <x v="2"/>
    <x v="3"/>
    <x v="0"/>
    <x v="0"/>
  </r>
  <r>
    <x v="11"/>
    <x v="4"/>
    <x v="0"/>
    <x v="2"/>
    <x v="0"/>
    <x v="0"/>
    <x v="2"/>
    <x v="2"/>
    <x v="3"/>
    <x v="0"/>
    <x v="0"/>
  </r>
  <r>
    <x v="11"/>
    <x v="4"/>
    <x v="0"/>
    <x v="2"/>
    <x v="0"/>
    <x v="13"/>
    <x v="2"/>
    <x v="2"/>
    <x v="3"/>
    <x v="0"/>
    <x v="0"/>
  </r>
  <r>
    <x v="11"/>
    <x v="4"/>
    <x v="0"/>
    <x v="2"/>
    <x v="0"/>
    <x v="0"/>
    <x v="0"/>
    <x v="4"/>
    <x v="2"/>
    <x v="0"/>
    <x v="0"/>
  </r>
  <r>
    <x v="11"/>
    <x v="4"/>
    <x v="1"/>
    <x v="2"/>
    <x v="1"/>
    <x v="0"/>
    <x v="0"/>
    <x v="4"/>
    <x v="2"/>
    <x v="0"/>
    <x v="0"/>
  </r>
  <r>
    <x v="11"/>
    <x v="4"/>
    <x v="0"/>
    <x v="0"/>
    <x v="0"/>
    <x v="1"/>
    <x v="2"/>
    <x v="0"/>
    <x v="24"/>
    <x v="0"/>
    <x v="0"/>
  </r>
  <r>
    <x v="11"/>
    <x v="4"/>
    <x v="0"/>
    <x v="0"/>
    <x v="0"/>
    <x v="1"/>
    <x v="2"/>
    <x v="0"/>
    <x v="24"/>
    <x v="0"/>
    <x v="0"/>
  </r>
  <r>
    <x v="11"/>
    <x v="4"/>
    <x v="0"/>
    <x v="0"/>
    <x v="0"/>
    <x v="11"/>
    <x v="2"/>
    <x v="0"/>
    <x v="24"/>
    <x v="0"/>
    <x v="0"/>
  </r>
  <r>
    <x v="11"/>
    <x v="4"/>
    <x v="0"/>
    <x v="0"/>
    <x v="1"/>
    <x v="11"/>
    <x v="2"/>
    <x v="0"/>
    <x v="24"/>
    <x v="0"/>
    <x v="0"/>
  </r>
  <r>
    <x v="11"/>
    <x v="4"/>
    <x v="0"/>
    <x v="0"/>
    <x v="1"/>
    <x v="11"/>
    <x v="2"/>
    <x v="0"/>
    <x v="24"/>
    <x v="0"/>
    <x v="0"/>
  </r>
  <r>
    <x v="11"/>
    <x v="4"/>
    <x v="0"/>
    <x v="0"/>
    <x v="1"/>
    <x v="11"/>
    <x v="2"/>
    <x v="0"/>
    <x v="24"/>
    <x v="0"/>
    <x v="0"/>
  </r>
  <r>
    <x v="11"/>
    <x v="4"/>
    <x v="0"/>
    <x v="0"/>
    <x v="1"/>
    <x v="1"/>
    <x v="4"/>
    <x v="0"/>
    <x v="24"/>
    <x v="0"/>
    <x v="0"/>
  </r>
  <r>
    <x v="11"/>
    <x v="4"/>
    <x v="0"/>
    <x v="0"/>
    <x v="1"/>
    <x v="1"/>
    <x v="4"/>
    <x v="0"/>
    <x v="24"/>
    <x v="0"/>
    <x v="0"/>
  </r>
  <r>
    <x v="11"/>
    <x v="4"/>
    <x v="0"/>
    <x v="0"/>
    <x v="1"/>
    <x v="1"/>
    <x v="2"/>
    <x v="0"/>
    <x v="24"/>
    <x v="0"/>
    <x v="0"/>
  </r>
  <r>
    <x v="11"/>
    <x v="4"/>
    <x v="0"/>
    <x v="0"/>
    <x v="1"/>
    <x v="17"/>
    <x v="2"/>
    <x v="0"/>
    <x v="24"/>
    <x v="0"/>
    <x v="0"/>
  </r>
  <r>
    <x v="11"/>
    <x v="4"/>
    <x v="0"/>
    <x v="0"/>
    <x v="1"/>
    <x v="17"/>
    <x v="2"/>
    <x v="0"/>
    <x v="24"/>
    <x v="0"/>
    <x v="0"/>
  </r>
  <r>
    <x v="11"/>
    <x v="4"/>
    <x v="1"/>
    <x v="0"/>
    <x v="1"/>
    <x v="17"/>
    <x v="2"/>
    <x v="0"/>
    <x v="24"/>
    <x v="0"/>
    <x v="0"/>
  </r>
  <r>
    <x v="11"/>
    <x v="4"/>
    <x v="1"/>
    <x v="0"/>
    <x v="1"/>
    <x v="1"/>
    <x v="2"/>
    <x v="0"/>
    <x v="24"/>
    <x v="0"/>
    <x v="0"/>
  </r>
  <r>
    <x v="11"/>
    <x v="4"/>
    <x v="1"/>
    <x v="0"/>
    <x v="0"/>
    <x v="1"/>
    <x v="2"/>
    <x v="0"/>
    <x v="24"/>
    <x v="0"/>
    <x v="0"/>
  </r>
  <r>
    <x v="11"/>
    <x v="0"/>
    <x v="0"/>
    <x v="2"/>
    <x v="1"/>
    <x v="9"/>
    <x v="6"/>
    <x v="0"/>
    <x v="25"/>
    <x v="0"/>
    <x v="0"/>
  </r>
  <r>
    <x v="11"/>
    <x v="0"/>
    <x v="0"/>
    <x v="2"/>
    <x v="1"/>
    <x v="9"/>
    <x v="6"/>
    <x v="0"/>
    <x v="25"/>
    <x v="4"/>
    <x v="6"/>
  </r>
  <r>
    <x v="11"/>
    <x v="0"/>
    <x v="0"/>
    <x v="2"/>
    <x v="1"/>
    <x v="9"/>
    <x v="6"/>
    <x v="0"/>
    <x v="25"/>
    <x v="4"/>
    <x v="6"/>
  </r>
  <r>
    <x v="11"/>
    <x v="0"/>
    <x v="0"/>
    <x v="2"/>
    <x v="1"/>
    <x v="9"/>
    <x v="6"/>
    <x v="0"/>
    <x v="25"/>
    <x v="4"/>
    <x v="6"/>
  </r>
  <r>
    <x v="11"/>
    <x v="0"/>
    <x v="0"/>
    <x v="2"/>
    <x v="1"/>
    <x v="9"/>
    <x v="6"/>
    <x v="0"/>
    <x v="25"/>
    <x v="4"/>
    <x v="6"/>
  </r>
  <r>
    <x v="11"/>
    <x v="0"/>
    <x v="0"/>
    <x v="2"/>
    <x v="1"/>
    <x v="9"/>
    <x v="6"/>
    <x v="0"/>
    <x v="25"/>
    <x v="4"/>
    <x v="6"/>
  </r>
  <r>
    <x v="11"/>
    <x v="0"/>
    <x v="0"/>
    <x v="2"/>
    <x v="1"/>
    <x v="9"/>
    <x v="6"/>
    <x v="0"/>
    <x v="25"/>
    <x v="4"/>
    <x v="6"/>
  </r>
  <r>
    <x v="11"/>
    <x v="0"/>
    <x v="0"/>
    <x v="2"/>
    <x v="1"/>
    <x v="9"/>
    <x v="6"/>
    <x v="0"/>
    <x v="25"/>
    <x v="4"/>
    <x v="6"/>
  </r>
  <r>
    <x v="11"/>
    <x v="0"/>
    <x v="0"/>
    <x v="2"/>
    <x v="1"/>
    <x v="9"/>
    <x v="6"/>
    <x v="0"/>
    <x v="25"/>
    <x v="4"/>
    <x v="6"/>
  </r>
  <r>
    <x v="11"/>
    <x v="0"/>
    <x v="0"/>
    <x v="2"/>
    <x v="1"/>
    <x v="9"/>
    <x v="6"/>
    <x v="0"/>
    <x v="25"/>
    <x v="4"/>
    <x v="6"/>
  </r>
  <r>
    <x v="11"/>
    <x v="0"/>
    <x v="0"/>
    <x v="2"/>
    <x v="1"/>
    <x v="9"/>
    <x v="6"/>
    <x v="0"/>
    <x v="25"/>
    <x v="4"/>
    <x v="6"/>
  </r>
  <r>
    <x v="11"/>
    <x v="0"/>
    <x v="0"/>
    <x v="2"/>
    <x v="1"/>
    <x v="9"/>
    <x v="6"/>
    <x v="0"/>
    <x v="25"/>
    <x v="4"/>
    <x v="6"/>
  </r>
  <r>
    <x v="11"/>
    <x v="0"/>
    <x v="0"/>
    <x v="2"/>
    <x v="1"/>
    <x v="9"/>
    <x v="6"/>
    <x v="0"/>
    <x v="25"/>
    <x v="4"/>
    <x v="6"/>
  </r>
  <r>
    <x v="11"/>
    <x v="0"/>
    <x v="0"/>
    <x v="2"/>
    <x v="1"/>
    <x v="9"/>
    <x v="6"/>
    <x v="0"/>
    <x v="25"/>
    <x v="4"/>
    <x v="6"/>
  </r>
  <r>
    <x v="11"/>
    <x v="0"/>
    <x v="0"/>
    <x v="2"/>
    <x v="1"/>
    <x v="9"/>
    <x v="6"/>
    <x v="0"/>
    <x v="25"/>
    <x v="4"/>
    <x v="6"/>
  </r>
  <r>
    <x v="11"/>
    <x v="0"/>
    <x v="0"/>
    <x v="2"/>
    <x v="1"/>
    <x v="9"/>
    <x v="6"/>
    <x v="0"/>
    <x v="25"/>
    <x v="0"/>
    <x v="0"/>
  </r>
  <r>
    <x v="11"/>
    <x v="4"/>
    <x v="0"/>
    <x v="0"/>
    <x v="1"/>
    <x v="11"/>
    <x v="4"/>
    <x v="0"/>
    <x v="15"/>
    <x v="0"/>
    <x v="0"/>
  </r>
  <r>
    <x v="11"/>
    <x v="4"/>
    <x v="0"/>
    <x v="0"/>
    <x v="1"/>
    <x v="11"/>
    <x v="4"/>
    <x v="0"/>
    <x v="15"/>
    <x v="0"/>
    <x v="0"/>
  </r>
  <r>
    <x v="11"/>
    <x v="4"/>
    <x v="0"/>
    <x v="0"/>
    <x v="1"/>
    <x v="11"/>
    <x v="4"/>
    <x v="0"/>
    <x v="15"/>
    <x v="0"/>
    <x v="0"/>
  </r>
  <r>
    <x v="11"/>
    <x v="4"/>
    <x v="0"/>
    <x v="0"/>
    <x v="1"/>
    <x v="11"/>
    <x v="4"/>
    <x v="0"/>
    <x v="15"/>
    <x v="0"/>
    <x v="0"/>
  </r>
  <r>
    <x v="11"/>
    <x v="4"/>
    <x v="0"/>
    <x v="0"/>
    <x v="1"/>
    <x v="11"/>
    <x v="4"/>
    <x v="0"/>
    <x v="15"/>
    <x v="0"/>
    <x v="0"/>
  </r>
  <r>
    <x v="11"/>
    <x v="4"/>
    <x v="0"/>
    <x v="0"/>
    <x v="1"/>
    <x v="11"/>
    <x v="4"/>
    <x v="0"/>
    <x v="15"/>
    <x v="0"/>
    <x v="0"/>
  </r>
  <r>
    <x v="11"/>
    <x v="4"/>
    <x v="0"/>
    <x v="0"/>
    <x v="1"/>
    <x v="11"/>
    <x v="4"/>
    <x v="0"/>
    <x v="15"/>
    <x v="0"/>
    <x v="0"/>
  </r>
  <r>
    <x v="11"/>
    <x v="4"/>
    <x v="0"/>
    <x v="0"/>
    <x v="1"/>
    <x v="11"/>
    <x v="4"/>
    <x v="0"/>
    <x v="15"/>
    <x v="0"/>
    <x v="0"/>
  </r>
  <r>
    <x v="11"/>
    <x v="4"/>
    <x v="0"/>
    <x v="0"/>
    <x v="1"/>
    <x v="11"/>
    <x v="4"/>
    <x v="0"/>
    <x v="15"/>
    <x v="0"/>
    <x v="0"/>
  </r>
  <r>
    <x v="11"/>
    <x v="4"/>
    <x v="0"/>
    <x v="0"/>
    <x v="1"/>
    <x v="11"/>
    <x v="4"/>
    <x v="0"/>
    <x v="15"/>
    <x v="0"/>
    <x v="0"/>
  </r>
  <r>
    <x v="11"/>
    <x v="4"/>
    <x v="0"/>
    <x v="0"/>
    <x v="1"/>
    <x v="11"/>
    <x v="4"/>
    <x v="0"/>
    <x v="15"/>
    <x v="0"/>
    <x v="0"/>
  </r>
  <r>
    <x v="11"/>
    <x v="4"/>
    <x v="0"/>
    <x v="0"/>
    <x v="1"/>
    <x v="11"/>
    <x v="4"/>
    <x v="0"/>
    <x v="15"/>
    <x v="0"/>
    <x v="0"/>
  </r>
  <r>
    <x v="11"/>
    <x v="4"/>
    <x v="0"/>
    <x v="0"/>
    <x v="1"/>
    <x v="11"/>
    <x v="4"/>
    <x v="0"/>
    <x v="15"/>
    <x v="0"/>
    <x v="0"/>
  </r>
  <r>
    <x v="11"/>
    <x v="4"/>
    <x v="0"/>
    <x v="0"/>
    <x v="0"/>
    <x v="11"/>
    <x v="4"/>
    <x v="0"/>
    <x v="15"/>
    <x v="0"/>
    <x v="0"/>
  </r>
  <r>
    <x v="11"/>
    <x v="4"/>
    <x v="0"/>
    <x v="0"/>
    <x v="0"/>
    <x v="11"/>
    <x v="4"/>
    <x v="0"/>
    <x v="15"/>
    <x v="0"/>
    <x v="0"/>
  </r>
  <r>
    <x v="11"/>
    <x v="4"/>
    <x v="0"/>
    <x v="0"/>
    <x v="0"/>
    <x v="11"/>
    <x v="4"/>
    <x v="0"/>
    <x v="15"/>
    <x v="0"/>
    <x v="0"/>
  </r>
  <r>
    <x v="11"/>
    <x v="4"/>
    <x v="0"/>
    <x v="0"/>
    <x v="0"/>
    <x v="11"/>
    <x v="4"/>
    <x v="0"/>
    <x v="15"/>
    <x v="0"/>
    <x v="0"/>
  </r>
  <r>
    <x v="11"/>
    <x v="4"/>
    <x v="0"/>
    <x v="0"/>
    <x v="0"/>
    <x v="11"/>
    <x v="4"/>
    <x v="0"/>
    <x v="15"/>
    <x v="0"/>
    <x v="0"/>
  </r>
  <r>
    <x v="11"/>
    <x v="4"/>
    <x v="0"/>
    <x v="0"/>
    <x v="0"/>
    <x v="11"/>
    <x v="4"/>
    <x v="0"/>
    <x v="15"/>
    <x v="0"/>
    <x v="0"/>
  </r>
  <r>
    <x v="11"/>
    <x v="4"/>
    <x v="0"/>
    <x v="0"/>
    <x v="0"/>
    <x v="11"/>
    <x v="4"/>
    <x v="0"/>
    <x v="15"/>
    <x v="0"/>
    <x v="0"/>
  </r>
  <r>
    <x v="11"/>
    <x v="4"/>
    <x v="0"/>
    <x v="0"/>
    <x v="0"/>
    <x v="11"/>
    <x v="4"/>
    <x v="0"/>
    <x v="15"/>
    <x v="0"/>
    <x v="0"/>
  </r>
  <r>
    <x v="11"/>
    <x v="4"/>
    <x v="0"/>
    <x v="0"/>
    <x v="0"/>
    <x v="11"/>
    <x v="4"/>
    <x v="0"/>
    <x v="15"/>
    <x v="0"/>
    <x v="0"/>
  </r>
  <r>
    <x v="11"/>
    <x v="4"/>
    <x v="0"/>
    <x v="0"/>
    <x v="0"/>
    <x v="11"/>
    <x v="4"/>
    <x v="0"/>
    <x v="15"/>
    <x v="0"/>
    <x v="0"/>
  </r>
  <r>
    <x v="11"/>
    <x v="4"/>
    <x v="0"/>
    <x v="0"/>
    <x v="0"/>
    <x v="11"/>
    <x v="4"/>
    <x v="0"/>
    <x v="15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1"/>
    <x v="3"/>
    <x v="3"/>
    <x v="1"/>
    <x v="2"/>
    <x v="3"/>
    <x v="5"/>
    <x v="3"/>
    <x v="2"/>
    <x v="0"/>
    <x v="0"/>
  </r>
  <r>
    <x v="12"/>
    <x v="0"/>
    <x v="0"/>
    <x v="0"/>
    <x v="0"/>
    <x v="11"/>
    <x v="6"/>
    <x v="0"/>
    <x v="0"/>
    <x v="0"/>
    <x v="0"/>
  </r>
  <r>
    <x v="12"/>
    <x v="0"/>
    <x v="1"/>
    <x v="0"/>
    <x v="1"/>
    <x v="11"/>
    <x v="6"/>
    <x v="0"/>
    <x v="0"/>
    <x v="0"/>
    <x v="0"/>
  </r>
  <r>
    <x v="12"/>
    <x v="0"/>
    <x v="0"/>
    <x v="0"/>
    <x v="0"/>
    <x v="11"/>
    <x v="6"/>
    <x v="0"/>
    <x v="0"/>
    <x v="0"/>
    <x v="0"/>
  </r>
  <r>
    <x v="12"/>
    <x v="0"/>
    <x v="1"/>
    <x v="0"/>
    <x v="1"/>
    <x v="8"/>
    <x v="4"/>
    <x v="0"/>
    <x v="0"/>
    <x v="0"/>
    <x v="0"/>
  </r>
  <r>
    <x v="12"/>
    <x v="0"/>
    <x v="0"/>
    <x v="0"/>
    <x v="1"/>
    <x v="6"/>
    <x v="0"/>
    <x v="0"/>
    <x v="0"/>
    <x v="0"/>
    <x v="0"/>
  </r>
  <r>
    <x v="12"/>
    <x v="0"/>
    <x v="0"/>
    <x v="0"/>
    <x v="1"/>
    <x v="7"/>
    <x v="6"/>
    <x v="0"/>
    <x v="0"/>
    <x v="0"/>
    <x v="0"/>
  </r>
  <r>
    <x v="12"/>
    <x v="0"/>
    <x v="0"/>
    <x v="0"/>
    <x v="1"/>
    <x v="2"/>
    <x v="6"/>
    <x v="0"/>
    <x v="0"/>
    <x v="0"/>
    <x v="0"/>
  </r>
  <r>
    <x v="12"/>
    <x v="0"/>
    <x v="0"/>
    <x v="2"/>
    <x v="0"/>
    <x v="8"/>
    <x v="6"/>
    <x v="0"/>
    <x v="0"/>
    <x v="0"/>
    <x v="0"/>
  </r>
  <r>
    <x v="12"/>
    <x v="2"/>
    <x v="0"/>
    <x v="0"/>
    <x v="1"/>
    <x v="7"/>
    <x v="2"/>
    <x v="4"/>
    <x v="2"/>
    <x v="0"/>
    <x v="0"/>
  </r>
  <r>
    <x v="12"/>
    <x v="2"/>
    <x v="0"/>
    <x v="0"/>
    <x v="1"/>
    <x v="7"/>
    <x v="2"/>
    <x v="4"/>
    <x v="2"/>
    <x v="0"/>
    <x v="0"/>
  </r>
  <r>
    <x v="12"/>
    <x v="2"/>
    <x v="0"/>
    <x v="2"/>
    <x v="1"/>
    <x v="11"/>
    <x v="4"/>
    <x v="4"/>
    <x v="2"/>
    <x v="0"/>
    <x v="0"/>
  </r>
  <r>
    <x v="12"/>
    <x v="2"/>
    <x v="0"/>
    <x v="2"/>
    <x v="1"/>
    <x v="0"/>
    <x v="4"/>
    <x v="4"/>
    <x v="2"/>
    <x v="0"/>
    <x v="0"/>
  </r>
  <r>
    <x v="12"/>
    <x v="2"/>
    <x v="0"/>
    <x v="0"/>
    <x v="1"/>
    <x v="1"/>
    <x v="4"/>
    <x v="4"/>
    <x v="2"/>
    <x v="0"/>
    <x v="0"/>
  </r>
  <r>
    <x v="12"/>
    <x v="2"/>
    <x v="1"/>
    <x v="0"/>
    <x v="0"/>
    <x v="1"/>
    <x v="4"/>
    <x v="4"/>
    <x v="2"/>
    <x v="0"/>
    <x v="0"/>
  </r>
  <r>
    <x v="12"/>
    <x v="2"/>
    <x v="1"/>
    <x v="0"/>
    <x v="0"/>
    <x v="1"/>
    <x v="4"/>
    <x v="4"/>
    <x v="2"/>
    <x v="0"/>
    <x v="0"/>
  </r>
  <r>
    <x v="12"/>
    <x v="2"/>
    <x v="0"/>
    <x v="0"/>
    <x v="0"/>
    <x v="11"/>
    <x v="4"/>
    <x v="4"/>
    <x v="2"/>
    <x v="0"/>
    <x v="0"/>
  </r>
  <r>
    <x v="12"/>
    <x v="2"/>
    <x v="0"/>
    <x v="0"/>
    <x v="0"/>
    <x v="0"/>
    <x v="0"/>
    <x v="4"/>
    <x v="2"/>
    <x v="0"/>
    <x v="0"/>
  </r>
  <r>
    <x v="12"/>
    <x v="2"/>
    <x v="0"/>
    <x v="0"/>
    <x v="1"/>
    <x v="2"/>
    <x v="4"/>
    <x v="2"/>
    <x v="3"/>
    <x v="0"/>
    <x v="0"/>
  </r>
  <r>
    <x v="12"/>
    <x v="2"/>
    <x v="0"/>
    <x v="0"/>
    <x v="1"/>
    <x v="2"/>
    <x v="0"/>
    <x v="0"/>
    <x v="26"/>
    <x v="0"/>
    <x v="0"/>
  </r>
  <r>
    <x v="12"/>
    <x v="2"/>
    <x v="0"/>
    <x v="0"/>
    <x v="1"/>
    <x v="2"/>
    <x v="0"/>
    <x v="0"/>
    <x v="26"/>
    <x v="8"/>
    <x v="0"/>
  </r>
  <r>
    <x v="12"/>
    <x v="2"/>
    <x v="0"/>
    <x v="0"/>
    <x v="1"/>
    <x v="11"/>
    <x v="0"/>
    <x v="0"/>
    <x v="26"/>
    <x v="8"/>
    <x v="0"/>
  </r>
  <r>
    <x v="12"/>
    <x v="2"/>
    <x v="0"/>
    <x v="0"/>
    <x v="1"/>
    <x v="2"/>
    <x v="0"/>
    <x v="0"/>
    <x v="26"/>
    <x v="8"/>
    <x v="0"/>
  </r>
  <r>
    <x v="12"/>
    <x v="2"/>
    <x v="0"/>
    <x v="0"/>
    <x v="1"/>
    <x v="2"/>
    <x v="0"/>
    <x v="0"/>
    <x v="26"/>
    <x v="0"/>
    <x v="0"/>
  </r>
  <r>
    <x v="12"/>
    <x v="2"/>
    <x v="1"/>
    <x v="0"/>
    <x v="1"/>
    <x v="8"/>
    <x v="3"/>
    <x v="2"/>
    <x v="3"/>
    <x v="0"/>
    <x v="0"/>
  </r>
  <r>
    <x v="12"/>
    <x v="2"/>
    <x v="1"/>
    <x v="0"/>
    <x v="1"/>
    <x v="4"/>
    <x v="4"/>
    <x v="2"/>
    <x v="3"/>
    <x v="0"/>
    <x v="0"/>
  </r>
  <r>
    <x v="12"/>
    <x v="2"/>
    <x v="0"/>
    <x v="2"/>
    <x v="1"/>
    <x v="2"/>
    <x v="0"/>
    <x v="2"/>
    <x v="3"/>
    <x v="0"/>
    <x v="0"/>
  </r>
  <r>
    <x v="12"/>
    <x v="2"/>
    <x v="1"/>
    <x v="2"/>
    <x v="0"/>
    <x v="2"/>
    <x v="0"/>
    <x v="2"/>
    <x v="3"/>
    <x v="0"/>
    <x v="0"/>
  </r>
  <r>
    <x v="12"/>
    <x v="2"/>
    <x v="0"/>
    <x v="2"/>
    <x v="1"/>
    <x v="14"/>
    <x v="0"/>
    <x v="4"/>
    <x v="2"/>
    <x v="0"/>
    <x v="0"/>
  </r>
  <r>
    <x v="12"/>
    <x v="2"/>
    <x v="0"/>
    <x v="0"/>
    <x v="1"/>
    <x v="2"/>
    <x v="0"/>
    <x v="4"/>
    <x v="2"/>
    <x v="0"/>
    <x v="0"/>
  </r>
  <r>
    <x v="12"/>
    <x v="2"/>
    <x v="0"/>
    <x v="0"/>
    <x v="0"/>
    <x v="5"/>
    <x v="2"/>
    <x v="4"/>
    <x v="2"/>
    <x v="0"/>
    <x v="0"/>
  </r>
  <r>
    <x v="12"/>
    <x v="2"/>
    <x v="0"/>
    <x v="2"/>
    <x v="1"/>
    <x v="8"/>
    <x v="0"/>
    <x v="4"/>
    <x v="2"/>
    <x v="0"/>
    <x v="0"/>
  </r>
  <r>
    <x v="12"/>
    <x v="2"/>
    <x v="1"/>
    <x v="2"/>
    <x v="0"/>
    <x v="8"/>
    <x v="0"/>
    <x v="4"/>
    <x v="2"/>
    <x v="0"/>
    <x v="0"/>
  </r>
  <r>
    <x v="12"/>
    <x v="2"/>
    <x v="1"/>
    <x v="0"/>
    <x v="4"/>
    <x v="11"/>
    <x v="3"/>
    <x v="2"/>
    <x v="3"/>
    <x v="0"/>
    <x v="0"/>
  </r>
  <r>
    <x v="12"/>
    <x v="2"/>
    <x v="1"/>
    <x v="2"/>
    <x v="1"/>
    <x v="11"/>
    <x v="0"/>
    <x v="4"/>
    <x v="2"/>
    <x v="0"/>
    <x v="0"/>
  </r>
  <r>
    <x v="12"/>
    <x v="2"/>
    <x v="1"/>
    <x v="0"/>
    <x v="0"/>
    <x v="0"/>
    <x v="3"/>
    <x v="2"/>
    <x v="3"/>
    <x v="0"/>
    <x v="0"/>
  </r>
  <r>
    <x v="12"/>
    <x v="2"/>
    <x v="1"/>
    <x v="0"/>
    <x v="1"/>
    <x v="0"/>
    <x v="0"/>
    <x v="2"/>
    <x v="3"/>
    <x v="0"/>
    <x v="0"/>
  </r>
  <r>
    <x v="12"/>
    <x v="2"/>
    <x v="0"/>
    <x v="0"/>
    <x v="1"/>
    <x v="7"/>
    <x v="0"/>
    <x v="2"/>
    <x v="3"/>
    <x v="0"/>
    <x v="0"/>
  </r>
  <r>
    <x v="12"/>
    <x v="2"/>
    <x v="0"/>
    <x v="0"/>
    <x v="0"/>
    <x v="11"/>
    <x v="4"/>
    <x v="4"/>
    <x v="2"/>
    <x v="0"/>
    <x v="0"/>
  </r>
  <r>
    <x v="12"/>
    <x v="2"/>
    <x v="1"/>
    <x v="0"/>
    <x v="1"/>
    <x v="11"/>
    <x v="4"/>
    <x v="4"/>
    <x v="2"/>
    <x v="0"/>
    <x v="0"/>
  </r>
  <r>
    <x v="12"/>
    <x v="1"/>
    <x v="0"/>
    <x v="0"/>
    <x v="1"/>
    <x v="2"/>
    <x v="4"/>
    <x v="2"/>
    <x v="3"/>
    <x v="0"/>
    <x v="0"/>
  </r>
  <r>
    <x v="12"/>
    <x v="1"/>
    <x v="1"/>
    <x v="0"/>
    <x v="1"/>
    <x v="18"/>
    <x v="3"/>
    <x v="2"/>
    <x v="3"/>
    <x v="9"/>
    <x v="0"/>
  </r>
  <r>
    <x v="12"/>
    <x v="1"/>
    <x v="1"/>
    <x v="0"/>
    <x v="1"/>
    <x v="1"/>
    <x v="3"/>
    <x v="2"/>
    <x v="3"/>
    <x v="9"/>
    <x v="0"/>
  </r>
  <r>
    <x v="12"/>
    <x v="1"/>
    <x v="0"/>
    <x v="0"/>
    <x v="0"/>
    <x v="8"/>
    <x v="4"/>
    <x v="2"/>
    <x v="3"/>
    <x v="9"/>
    <x v="0"/>
  </r>
  <r>
    <x v="12"/>
    <x v="1"/>
    <x v="1"/>
    <x v="0"/>
    <x v="0"/>
    <x v="2"/>
    <x v="3"/>
    <x v="2"/>
    <x v="3"/>
    <x v="9"/>
    <x v="7"/>
  </r>
  <r>
    <x v="12"/>
    <x v="1"/>
    <x v="1"/>
    <x v="0"/>
    <x v="1"/>
    <x v="18"/>
    <x v="3"/>
    <x v="2"/>
    <x v="3"/>
    <x v="9"/>
    <x v="0"/>
  </r>
  <r>
    <x v="12"/>
    <x v="1"/>
    <x v="1"/>
    <x v="2"/>
    <x v="1"/>
    <x v="18"/>
    <x v="3"/>
    <x v="2"/>
    <x v="3"/>
    <x v="9"/>
    <x v="7"/>
  </r>
  <r>
    <x v="12"/>
    <x v="1"/>
    <x v="0"/>
    <x v="0"/>
    <x v="1"/>
    <x v="2"/>
    <x v="2"/>
    <x v="0"/>
    <x v="14"/>
    <x v="9"/>
    <x v="7"/>
  </r>
  <r>
    <x v="12"/>
    <x v="1"/>
    <x v="0"/>
    <x v="0"/>
    <x v="1"/>
    <x v="2"/>
    <x v="2"/>
    <x v="0"/>
    <x v="14"/>
    <x v="9"/>
    <x v="7"/>
  </r>
  <r>
    <x v="12"/>
    <x v="1"/>
    <x v="0"/>
    <x v="0"/>
    <x v="1"/>
    <x v="2"/>
    <x v="2"/>
    <x v="0"/>
    <x v="14"/>
    <x v="9"/>
    <x v="0"/>
  </r>
  <r>
    <x v="12"/>
    <x v="1"/>
    <x v="0"/>
    <x v="0"/>
    <x v="1"/>
    <x v="2"/>
    <x v="2"/>
    <x v="0"/>
    <x v="14"/>
    <x v="9"/>
    <x v="0"/>
  </r>
  <r>
    <x v="12"/>
    <x v="1"/>
    <x v="0"/>
    <x v="0"/>
    <x v="1"/>
    <x v="2"/>
    <x v="2"/>
    <x v="0"/>
    <x v="14"/>
    <x v="9"/>
    <x v="0"/>
  </r>
  <r>
    <x v="12"/>
    <x v="4"/>
    <x v="0"/>
    <x v="0"/>
    <x v="0"/>
    <x v="11"/>
    <x v="2"/>
    <x v="4"/>
    <x v="2"/>
    <x v="0"/>
    <x v="0"/>
  </r>
  <r>
    <x v="12"/>
    <x v="4"/>
    <x v="1"/>
    <x v="0"/>
    <x v="1"/>
    <x v="11"/>
    <x v="2"/>
    <x v="4"/>
    <x v="2"/>
    <x v="0"/>
    <x v="0"/>
  </r>
  <r>
    <x v="12"/>
    <x v="4"/>
    <x v="0"/>
    <x v="2"/>
    <x v="0"/>
    <x v="4"/>
    <x v="4"/>
    <x v="4"/>
    <x v="2"/>
    <x v="0"/>
    <x v="0"/>
  </r>
  <r>
    <x v="12"/>
    <x v="4"/>
    <x v="1"/>
    <x v="2"/>
    <x v="1"/>
    <x v="4"/>
    <x v="4"/>
    <x v="4"/>
    <x v="2"/>
    <x v="0"/>
    <x v="0"/>
  </r>
  <r>
    <x v="12"/>
    <x v="4"/>
    <x v="1"/>
    <x v="2"/>
    <x v="1"/>
    <x v="4"/>
    <x v="4"/>
    <x v="4"/>
    <x v="2"/>
    <x v="0"/>
    <x v="0"/>
  </r>
  <r>
    <x v="12"/>
    <x v="4"/>
    <x v="0"/>
    <x v="0"/>
    <x v="0"/>
    <x v="18"/>
    <x v="2"/>
    <x v="4"/>
    <x v="2"/>
    <x v="0"/>
    <x v="0"/>
  </r>
  <r>
    <x v="12"/>
    <x v="4"/>
    <x v="1"/>
    <x v="0"/>
    <x v="1"/>
    <x v="18"/>
    <x v="2"/>
    <x v="4"/>
    <x v="2"/>
    <x v="0"/>
    <x v="0"/>
  </r>
  <r>
    <x v="12"/>
    <x v="4"/>
    <x v="0"/>
    <x v="0"/>
    <x v="1"/>
    <x v="2"/>
    <x v="4"/>
    <x v="2"/>
    <x v="3"/>
    <x v="0"/>
    <x v="0"/>
  </r>
  <r>
    <x v="12"/>
    <x v="4"/>
    <x v="0"/>
    <x v="0"/>
    <x v="0"/>
    <x v="4"/>
    <x v="4"/>
    <x v="2"/>
    <x v="3"/>
    <x v="0"/>
    <x v="0"/>
  </r>
  <r>
    <x v="12"/>
    <x v="4"/>
    <x v="1"/>
    <x v="0"/>
    <x v="1"/>
    <x v="4"/>
    <x v="4"/>
    <x v="2"/>
    <x v="3"/>
    <x v="9"/>
    <x v="7"/>
  </r>
  <r>
    <x v="12"/>
    <x v="4"/>
    <x v="1"/>
    <x v="0"/>
    <x v="1"/>
    <x v="1"/>
    <x v="4"/>
    <x v="2"/>
    <x v="3"/>
    <x v="0"/>
    <x v="0"/>
  </r>
  <r>
    <x v="12"/>
    <x v="4"/>
    <x v="1"/>
    <x v="0"/>
    <x v="0"/>
    <x v="2"/>
    <x v="3"/>
    <x v="2"/>
    <x v="3"/>
    <x v="0"/>
    <x v="0"/>
  </r>
  <r>
    <x v="12"/>
    <x v="4"/>
    <x v="0"/>
    <x v="2"/>
    <x v="0"/>
    <x v="5"/>
    <x v="4"/>
    <x v="4"/>
    <x v="2"/>
    <x v="0"/>
    <x v="0"/>
  </r>
  <r>
    <x v="12"/>
    <x v="4"/>
    <x v="1"/>
    <x v="2"/>
    <x v="1"/>
    <x v="5"/>
    <x v="4"/>
    <x v="4"/>
    <x v="2"/>
    <x v="0"/>
    <x v="0"/>
  </r>
  <r>
    <x v="12"/>
    <x v="4"/>
    <x v="1"/>
    <x v="2"/>
    <x v="1"/>
    <x v="5"/>
    <x v="4"/>
    <x v="4"/>
    <x v="2"/>
    <x v="0"/>
    <x v="0"/>
  </r>
  <r>
    <x v="12"/>
    <x v="4"/>
    <x v="0"/>
    <x v="0"/>
    <x v="1"/>
    <x v="2"/>
    <x v="0"/>
    <x v="4"/>
    <x v="2"/>
    <x v="10"/>
    <x v="0"/>
  </r>
  <r>
    <x v="12"/>
    <x v="4"/>
    <x v="0"/>
    <x v="0"/>
    <x v="1"/>
    <x v="0"/>
    <x v="0"/>
    <x v="4"/>
    <x v="2"/>
    <x v="0"/>
    <x v="0"/>
  </r>
  <r>
    <x v="12"/>
    <x v="4"/>
    <x v="0"/>
    <x v="0"/>
    <x v="1"/>
    <x v="11"/>
    <x v="2"/>
    <x v="4"/>
    <x v="2"/>
    <x v="0"/>
    <x v="0"/>
  </r>
  <r>
    <x v="12"/>
    <x v="4"/>
    <x v="1"/>
    <x v="0"/>
    <x v="0"/>
    <x v="11"/>
    <x v="2"/>
    <x v="4"/>
    <x v="2"/>
    <x v="0"/>
    <x v="0"/>
  </r>
  <r>
    <x v="12"/>
    <x v="4"/>
    <x v="1"/>
    <x v="0"/>
    <x v="0"/>
    <x v="11"/>
    <x v="2"/>
    <x v="4"/>
    <x v="2"/>
    <x v="0"/>
    <x v="0"/>
  </r>
  <r>
    <x v="12"/>
    <x v="4"/>
    <x v="1"/>
    <x v="0"/>
    <x v="0"/>
    <x v="11"/>
    <x v="2"/>
    <x v="4"/>
    <x v="2"/>
    <x v="0"/>
    <x v="0"/>
  </r>
  <r>
    <x v="12"/>
    <x v="4"/>
    <x v="0"/>
    <x v="0"/>
    <x v="0"/>
    <x v="4"/>
    <x v="4"/>
    <x v="4"/>
    <x v="2"/>
    <x v="0"/>
    <x v="0"/>
  </r>
  <r>
    <x v="12"/>
    <x v="4"/>
    <x v="1"/>
    <x v="0"/>
    <x v="1"/>
    <x v="4"/>
    <x v="4"/>
    <x v="4"/>
    <x v="2"/>
    <x v="0"/>
    <x v="0"/>
  </r>
  <r>
    <x v="12"/>
    <x v="4"/>
    <x v="0"/>
    <x v="2"/>
    <x v="1"/>
    <x v="12"/>
    <x v="4"/>
    <x v="4"/>
    <x v="2"/>
    <x v="0"/>
    <x v="0"/>
  </r>
  <r>
    <x v="12"/>
    <x v="4"/>
    <x v="0"/>
    <x v="2"/>
    <x v="1"/>
    <x v="10"/>
    <x v="4"/>
    <x v="4"/>
    <x v="2"/>
    <x v="0"/>
    <x v="0"/>
  </r>
  <r>
    <x v="12"/>
    <x v="2"/>
    <x v="0"/>
    <x v="2"/>
    <x v="1"/>
    <x v="14"/>
    <x v="0"/>
    <x v="4"/>
    <x v="2"/>
    <x v="0"/>
    <x v="0"/>
  </r>
  <r>
    <x v="12"/>
    <x v="2"/>
    <x v="0"/>
    <x v="2"/>
    <x v="1"/>
    <x v="2"/>
    <x v="0"/>
    <x v="4"/>
    <x v="2"/>
    <x v="0"/>
    <x v="0"/>
  </r>
  <r>
    <x v="12"/>
    <x v="2"/>
    <x v="0"/>
    <x v="2"/>
    <x v="0"/>
    <x v="0"/>
    <x v="2"/>
    <x v="4"/>
    <x v="2"/>
    <x v="0"/>
    <x v="0"/>
  </r>
  <r>
    <x v="12"/>
    <x v="2"/>
    <x v="0"/>
    <x v="2"/>
    <x v="1"/>
    <x v="0"/>
    <x v="0"/>
    <x v="4"/>
    <x v="2"/>
    <x v="0"/>
    <x v="0"/>
  </r>
  <r>
    <x v="12"/>
    <x v="2"/>
    <x v="1"/>
    <x v="2"/>
    <x v="0"/>
    <x v="0"/>
    <x v="0"/>
    <x v="4"/>
    <x v="2"/>
    <x v="0"/>
    <x v="0"/>
  </r>
  <r>
    <x v="12"/>
    <x v="2"/>
    <x v="1"/>
    <x v="2"/>
    <x v="4"/>
    <x v="0"/>
    <x v="0"/>
    <x v="4"/>
    <x v="2"/>
    <x v="0"/>
    <x v="0"/>
  </r>
  <r>
    <x v="12"/>
    <x v="2"/>
    <x v="0"/>
    <x v="2"/>
    <x v="1"/>
    <x v="11"/>
    <x v="0"/>
    <x v="4"/>
    <x v="2"/>
    <x v="0"/>
    <x v="0"/>
  </r>
  <r>
    <x v="12"/>
    <x v="2"/>
    <x v="1"/>
    <x v="2"/>
    <x v="0"/>
    <x v="11"/>
    <x v="3"/>
    <x v="4"/>
    <x v="2"/>
    <x v="0"/>
    <x v="0"/>
  </r>
  <r>
    <x v="12"/>
    <x v="2"/>
    <x v="1"/>
    <x v="2"/>
    <x v="1"/>
    <x v="11"/>
    <x v="0"/>
    <x v="4"/>
    <x v="2"/>
    <x v="0"/>
    <x v="0"/>
  </r>
  <r>
    <x v="12"/>
    <x v="2"/>
    <x v="0"/>
    <x v="2"/>
    <x v="1"/>
    <x v="7"/>
    <x v="0"/>
    <x v="4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2"/>
    <x v="3"/>
    <x v="3"/>
    <x v="1"/>
    <x v="2"/>
    <x v="3"/>
    <x v="5"/>
    <x v="3"/>
    <x v="2"/>
    <x v="0"/>
    <x v="0"/>
  </r>
  <r>
    <x v="13"/>
    <x v="1"/>
    <x v="0"/>
    <x v="0"/>
    <x v="1"/>
    <x v="0"/>
    <x v="2"/>
    <x v="2"/>
    <x v="3"/>
    <x v="0"/>
    <x v="0"/>
  </r>
  <r>
    <x v="13"/>
    <x v="1"/>
    <x v="1"/>
    <x v="0"/>
    <x v="1"/>
    <x v="0"/>
    <x v="3"/>
    <x v="2"/>
    <x v="3"/>
    <x v="0"/>
    <x v="0"/>
  </r>
  <r>
    <x v="13"/>
    <x v="1"/>
    <x v="1"/>
    <x v="2"/>
    <x v="1"/>
    <x v="2"/>
    <x v="2"/>
    <x v="2"/>
    <x v="3"/>
    <x v="0"/>
    <x v="0"/>
  </r>
  <r>
    <x v="13"/>
    <x v="1"/>
    <x v="0"/>
    <x v="0"/>
    <x v="1"/>
    <x v="4"/>
    <x v="2"/>
    <x v="2"/>
    <x v="3"/>
    <x v="0"/>
    <x v="0"/>
  </r>
  <r>
    <x v="13"/>
    <x v="2"/>
    <x v="0"/>
    <x v="0"/>
    <x v="0"/>
    <x v="0"/>
    <x v="0"/>
    <x v="0"/>
    <x v="1"/>
    <x v="0"/>
    <x v="0"/>
  </r>
  <r>
    <x v="13"/>
    <x v="2"/>
    <x v="0"/>
    <x v="0"/>
    <x v="0"/>
    <x v="6"/>
    <x v="2"/>
    <x v="0"/>
    <x v="1"/>
    <x v="0"/>
    <x v="0"/>
  </r>
  <r>
    <x v="13"/>
    <x v="2"/>
    <x v="0"/>
    <x v="0"/>
    <x v="1"/>
    <x v="11"/>
    <x v="4"/>
    <x v="0"/>
    <x v="1"/>
    <x v="0"/>
    <x v="0"/>
  </r>
  <r>
    <x v="13"/>
    <x v="2"/>
    <x v="0"/>
    <x v="0"/>
    <x v="1"/>
    <x v="2"/>
    <x v="2"/>
    <x v="0"/>
    <x v="1"/>
    <x v="0"/>
    <x v="0"/>
  </r>
  <r>
    <x v="13"/>
    <x v="2"/>
    <x v="0"/>
    <x v="0"/>
    <x v="1"/>
    <x v="2"/>
    <x v="2"/>
    <x v="0"/>
    <x v="1"/>
    <x v="0"/>
    <x v="0"/>
  </r>
  <r>
    <x v="13"/>
    <x v="2"/>
    <x v="0"/>
    <x v="0"/>
    <x v="1"/>
    <x v="2"/>
    <x v="0"/>
    <x v="0"/>
    <x v="1"/>
    <x v="0"/>
    <x v="0"/>
  </r>
  <r>
    <x v="13"/>
    <x v="2"/>
    <x v="0"/>
    <x v="0"/>
    <x v="0"/>
    <x v="11"/>
    <x v="2"/>
    <x v="0"/>
    <x v="1"/>
    <x v="0"/>
    <x v="0"/>
  </r>
  <r>
    <x v="13"/>
    <x v="1"/>
    <x v="2"/>
    <x v="2"/>
    <x v="0"/>
    <x v="3"/>
    <x v="5"/>
    <x v="2"/>
    <x v="3"/>
    <x v="0"/>
    <x v="0"/>
  </r>
  <r>
    <x v="13"/>
    <x v="1"/>
    <x v="0"/>
    <x v="0"/>
    <x v="0"/>
    <x v="0"/>
    <x v="4"/>
    <x v="2"/>
    <x v="3"/>
    <x v="0"/>
    <x v="0"/>
  </r>
  <r>
    <x v="13"/>
    <x v="1"/>
    <x v="1"/>
    <x v="0"/>
    <x v="1"/>
    <x v="2"/>
    <x v="3"/>
    <x v="2"/>
    <x v="3"/>
    <x v="0"/>
    <x v="0"/>
  </r>
  <r>
    <x v="13"/>
    <x v="2"/>
    <x v="1"/>
    <x v="0"/>
    <x v="0"/>
    <x v="8"/>
    <x v="3"/>
    <x v="2"/>
    <x v="3"/>
    <x v="0"/>
    <x v="0"/>
  </r>
  <r>
    <x v="13"/>
    <x v="2"/>
    <x v="1"/>
    <x v="0"/>
    <x v="1"/>
    <x v="8"/>
    <x v="3"/>
    <x v="4"/>
    <x v="2"/>
    <x v="0"/>
    <x v="0"/>
  </r>
  <r>
    <x v="13"/>
    <x v="2"/>
    <x v="0"/>
    <x v="0"/>
    <x v="1"/>
    <x v="1"/>
    <x v="4"/>
    <x v="2"/>
    <x v="3"/>
    <x v="0"/>
    <x v="0"/>
  </r>
  <r>
    <x v="13"/>
    <x v="2"/>
    <x v="1"/>
    <x v="2"/>
    <x v="0"/>
    <x v="1"/>
    <x v="4"/>
    <x v="4"/>
    <x v="2"/>
    <x v="0"/>
    <x v="0"/>
  </r>
  <r>
    <x v="13"/>
    <x v="2"/>
    <x v="1"/>
    <x v="2"/>
    <x v="3"/>
    <x v="1"/>
    <x v="4"/>
    <x v="4"/>
    <x v="2"/>
    <x v="0"/>
    <x v="0"/>
  </r>
  <r>
    <x v="13"/>
    <x v="2"/>
    <x v="1"/>
    <x v="2"/>
    <x v="4"/>
    <x v="1"/>
    <x v="4"/>
    <x v="4"/>
    <x v="2"/>
    <x v="0"/>
    <x v="0"/>
  </r>
  <r>
    <x v="13"/>
    <x v="2"/>
    <x v="0"/>
    <x v="2"/>
    <x v="0"/>
    <x v="5"/>
    <x v="0"/>
    <x v="4"/>
    <x v="2"/>
    <x v="0"/>
    <x v="0"/>
  </r>
  <r>
    <x v="13"/>
    <x v="2"/>
    <x v="1"/>
    <x v="2"/>
    <x v="1"/>
    <x v="5"/>
    <x v="0"/>
    <x v="4"/>
    <x v="2"/>
    <x v="0"/>
    <x v="0"/>
  </r>
  <r>
    <x v="13"/>
    <x v="2"/>
    <x v="1"/>
    <x v="0"/>
    <x v="0"/>
    <x v="7"/>
    <x v="0"/>
    <x v="4"/>
    <x v="2"/>
    <x v="0"/>
    <x v="0"/>
  </r>
  <r>
    <x v="13"/>
    <x v="2"/>
    <x v="0"/>
    <x v="0"/>
    <x v="1"/>
    <x v="2"/>
    <x v="2"/>
    <x v="0"/>
    <x v="4"/>
    <x v="0"/>
    <x v="0"/>
  </r>
  <r>
    <x v="13"/>
    <x v="2"/>
    <x v="1"/>
    <x v="0"/>
    <x v="0"/>
    <x v="2"/>
    <x v="2"/>
    <x v="0"/>
    <x v="4"/>
    <x v="0"/>
    <x v="0"/>
  </r>
  <r>
    <x v="13"/>
    <x v="2"/>
    <x v="0"/>
    <x v="0"/>
    <x v="1"/>
    <x v="2"/>
    <x v="4"/>
    <x v="0"/>
    <x v="4"/>
    <x v="0"/>
    <x v="0"/>
  </r>
  <r>
    <x v="13"/>
    <x v="2"/>
    <x v="0"/>
    <x v="0"/>
    <x v="1"/>
    <x v="2"/>
    <x v="2"/>
    <x v="0"/>
    <x v="4"/>
    <x v="0"/>
    <x v="0"/>
  </r>
  <r>
    <x v="13"/>
    <x v="2"/>
    <x v="0"/>
    <x v="0"/>
    <x v="1"/>
    <x v="7"/>
    <x v="2"/>
    <x v="0"/>
    <x v="4"/>
    <x v="0"/>
    <x v="0"/>
  </r>
  <r>
    <x v="13"/>
    <x v="2"/>
    <x v="0"/>
    <x v="0"/>
    <x v="1"/>
    <x v="2"/>
    <x v="2"/>
    <x v="0"/>
    <x v="4"/>
    <x v="0"/>
    <x v="0"/>
  </r>
  <r>
    <x v="13"/>
    <x v="2"/>
    <x v="0"/>
    <x v="0"/>
    <x v="0"/>
    <x v="5"/>
    <x v="2"/>
    <x v="0"/>
    <x v="4"/>
    <x v="0"/>
    <x v="0"/>
  </r>
  <r>
    <x v="13"/>
    <x v="2"/>
    <x v="0"/>
    <x v="0"/>
    <x v="0"/>
    <x v="5"/>
    <x v="4"/>
    <x v="0"/>
    <x v="4"/>
    <x v="0"/>
    <x v="0"/>
  </r>
  <r>
    <x v="13"/>
    <x v="2"/>
    <x v="0"/>
    <x v="0"/>
    <x v="0"/>
    <x v="1"/>
    <x v="4"/>
    <x v="0"/>
    <x v="4"/>
    <x v="0"/>
    <x v="0"/>
  </r>
  <r>
    <x v="13"/>
    <x v="2"/>
    <x v="0"/>
    <x v="0"/>
    <x v="1"/>
    <x v="7"/>
    <x v="4"/>
    <x v="0"/>
    <x v="4"/>
    <x v="0"/>
    <x v="0"/>
  </r>
  <r>
    <x v="13"/>
    <x v="2"/>
    <x v="1"/>
    <x v="0"/>
    <x v="1"/>
    <x v="7"/>
    <x v="4"/>
    <x v="0"/>
    <x v="4"/>
    <x v="0"/>
    <x v="0"/>
  </r>
  <r>
    <x v="13"/>
    <x v="2"/>
    <x v="0"/>
    <x v="0"/>
    <x v="1"/>
    <x v="11"/>
    <x v="4"/>
    <x v="0"/>
    <x v="4"/>
    <x v="0"/>
    <x v="0"/>
  </r>
  <r>
    <x v="13"/>
    <x v="2"/>
    <x v="0"/>
    <x v="0"/>
    <x v="1"/>
    <x v="7"/>
    <x v="4"/>
    <x v="0"/>
    <x v="4"/>
    <x v="0"/>
    <x v="0"/>
  </r>
  <r>
    <x v="13"/>
    <x v="2"/>
    <x v="0"/>
    <x v="2"/>
    <x v="1"/>
    <x v="2"/>
    <x v="0"/>
    <x v="0"/>
    <x v="4"/>
    <x v="0"/>
    <x v="0"/>
  </r>
  <r>
    <x v="13"/>
    <x v="2"/>
    <x v="0"/>
    <x v="2"/>
    <x v="1"/>
    <x v="2"/>
    <x v="0"/>
    <x v="0"/>
    <x v="4"/>
    <x v="0"/>
    <x v="0"/>
  </r>
  <r>
    <x v="13"/>
    <x v="4"/>
    <x v="0"/>
    <x v="2"/>
    <x v="0"/>
    <x v="6"/>
    <x v="4"/>
    <x v="4"/>
    <x v="2"/>
    <x v="0"/>
    <x v="0"/>
  </r>
  <r>
    <x v="13"/>
    <x v="4"/>
    <x v="1"/>
    <x v="2"/>
    <x v="1"/>
    <x v="6"/>
    <x v="4"/>
    <x v="4"/>
    <x v="2"/>
    <x v="0"/>
    <x v="0"/>
  </r>
  <r>
    <x v="13"/>
    <x v="4"/>
    <x v="1"/>
    <x v="2"/>
    <x v="1"/>
    <x v="6"/>
    <x v="4"/>
    <x v="4"/>
    <x v="2"/>
    <x v="0"/>
    <x v="0"/>
  </r>
  <r>
    <x v="13"/>
    <x v="4"/>
    <x v="0"/>
    <x v="0"/>
    <x v="1"/>
    <x v="2"/>
    <x v="4"/>
    <x v="2"/>
    <x v="3"/>
    <x v="0"/>
    <x v="0"/>
  </r>
  <r>
    <x v="13"/>
    <x v="4"/>
    <x v="1"/>
    <x v="0"/>
    <x v="1"/>
    <x v="2"/>
    <x v="4"/>
    <x v="2"/>
    <x v="3"/>
    <x v="0"/>
    <x v="0"/>
  </r>
  <r>
    <x v="13"/>
    <x v="4"/>
    <x v="1"/>
    <x v="0"/>
    <x v="1"/>
    <x v="8"/>
    <x v="3"/>
    <x v="2"/>
    <x v="3"/>
    <x v="0"/>
    <x v="0"/>
  </r>
  <r>
    <x v="13"/>
    <x v="4"/>
    <x v="1"/>
    <x v="0"/>
    <x v="3"/>
    <x v="8"/>
    <x v="3"/>
    <x v="2"/>
    <x v="3"/>
    <x v="0"/>
    <x v="0"/>
  </r>
  <r>
    <x v="13"/>
    <x v="4"/>
    <x v="0"/>
    <x v="2"/>
    <x v="1"/>
    <x v="0"/>
    <x v="0"/>
    <x v="4"/>
    <x v="2"/>
    <x v="0"/>
    <x v="0"/>
  </r>
  <r>
    <x v="13"/>
    <x v="4"/>
    <x v="1"/>
    <x v="2"/>
    <x v="1"/>
    <x v="0"/>
    <x v="0"/>
    <x v="4"/>
    <x v="2"/>
    <x v="0"/>
    <x v="0"/>
  </r>
  <r>
    <x v="13"/>
    <x v="4"/>
    <x v="1"/>
    <x v="0"/>
    <x v="1"/>
    <x v="11"/>
    <x v="3"/>
    <x v="2"/>
    <x v="3"/>
    <x v="0"/>
    <x v="0"/>
  </r>
  <r>
    <x v="13"/>
    <x v="4"/>
    <x v="1"/>
    <x v="0"/>
    <x v="0"/>
    <x v="11"/>
    <x v="3"/>
    <x v="2"/>
    <x v="3"/>
    <x v="0"/>
    <x v="0"/>
  </r>
  <r>
    <x v="13"/>
    <x v="4"/>
    <x v="0"/>
    <x v="0"/>
    <x v="0"/>
    <x v="15"/>
    <x v="2"/>
    <x v="2"/>
    <x v="3"/>
    <x v="0"/>
    <x v="0"/>
  </r>
  <r>
    <x v="13"/>
    <x v="4"/>
    <x v="1"/>
    <x v="0"/>
    <x v="1"/>
    <x v="4"/>
    <x v="4"/>
    <x v="2"/>
    <x v="3"/>
    <x v="0"/>
    <x v="0"/>
  </r>
  <r>
    <x v="13"/>
    <x v="4"/>
    <x v="0"/>
    <x v="0"/>
    <x v="1"/>
    <x v="2"/>
    <x v="2"/>
    <x v="2"/>
    <x v="3"/>
    <x v="0"/>
    <x v="0"/>
  </r>
  <r>
    <x v="13"/>
    <x v="0"/>
    <x v="0"/>
    <x v="0"/>
    <x v="1"/>
    <x v="9"/>
    <x v="6"/>
    <x v="0"/>
    <x v="27"/>
    <x v="0"/>
    <x v="0"/>
  </r>
  <r>
    <x v="13"/>
    <x v="0"/>
    <x v="0"/>
    <x v="0"/>
    <x v="1"/>
    <x v="9"/>
    <x v="6"/>
    <x v="0"/>
    <x v="27"/>
    <x v="0"/>
    <x v="0"/>
  </r>
  <r>
    <x v="13"/>
    <x v="0"/>
    <x v="0"/>
    <x v="0"/>
    <x v="1"/>
    <x v="9"/>
    <x v="6"/>
    <x v="0"/>
    <x v="27"/>
    <x v="0"/>
    <x v="0"/>
  </r>
  <r>
    <x v="13"/>
    <x v="0"/>
    <x v="0"/>
    <x v="0"/>
    <x v="1"/>
    <x v="9"/>
    <x v="6"/>
    <x v="0"/>
    <x v="27"/>
    <x v="0"/>
    <x v="0"/>
  </r>
  <r>
    <x v="13"/>
    <x v="0"/>
    <x v="0"/>
    <x v="0"/>
    <x v="1"/>
    <x v="9"/>
    <x v="6"/>
    <x v="0"/>
    <x v="27"/>
    <x v="0"/>
    <x v="0"/>
  </r>
  <r>
    <x v="13"/>
    <x v="0"/>
    <x v="0"/>
    <x v="0"/>
    <x v="1"/>
    <x v="9"/>
    <x v="6"/>
    <x v="0"/>
    <x v="27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3"/>
    <x v="3"/>
    <x v="3"/>
    <x v="1"/>
    <x v="2"/>
    <x v="3"/>
    <x v="5"/>
    <x v="3"/>
    <x v="2"/>
    <x v="0"/>
    <x v="0"/>
  </r>
  <r>
    <x v="14"/>
    <x v="2"/>
    <x v="0"/>
    <x v="0"/>
    <x v="1"/>
    <x v="9"/>
    <x v="2"/>
    <x v="4"/>
    <x v="2"/>
    <x v="0"/>
    <x v="0"/>
  </r>
  <r>
    <x v="14"/>
    <x v="2"/>
    <x v="1"/>
    <x v="0"/>
    <x v="0"/>
    <x v="9"/>
    <x v="2"/>
    <x v="4"/>
    <x v="2"/>
    <x v="0"/>
    <x v="0"/>
  </r>
  <r>
    <x v="14"/>
    <x v="2"/>
    <x v="0"/>
    <x v="0"/>
    <x v="0"/>
    <x v="5"/>
    <x v="2"/>
    <x v="4"/>
    <x v="2"/>
    <x v="0"/>
    <x v="0"/>
  </r>
  <r>
    <x v="14"/>
    <x v="2"/>
    <x v="0"/>
    <x v="0"/>
    <x v="1"/>
    <x v="2"/>
    <x v="4"/>
    <x v="4"/>
    <x v="2"/>
    <x v="0"/>
    <x v="0"/>
  </r>
  <r>
    <x v="14"/>
    <x v="1"/>
    <x v="1"/>
    <x v="0"/>
    <x v="1"/>
    <x v="6"/>
    <x v="0"/>
    <x v="0"/>
    <x v="1"/>
    <x v="0"/>
    <x v="0"/>
  </r>
  <r>
    <x v="14"/>
    <x v="1"/>
    <x v="0"/>
    <x v="0"/>
    <x v="1"/>
    <x v="0"/>
    <x v="2"/>
    <x v="0"/>
    <x v="1"/>
    <x v="11"/>
    <x v="0"/>
  </r>
  <r>
    <x v="14"/>
    <x v="1"/>
    <x v="1"/>
    <x v="0"/>
    <x v="0"/>
    <x v="2"/>
    <x v="0"/>
    <x v="0"/>
    <x v="1"/>
    <x v="0"/>
    <x v="0"/>
  </r>
  <r>
    <x v="14"/>
    <x v="1"/>
    <x v="0"/>
    <x v="0"/>
    <x v="1"/>
    <x v="2"/>
    <x v="2"/>
    <x v="0"/>
    <x v="1"/>
    <x v="12"/>
    <x v="8"/>
  </r>
  <r>
    <x v="14"/>
    <x v="1"/>
    <x v="0"/>
    <x v="0"/>
    <x v="1"/>
    <x v="4"/>
    <x v="0"/>
    <x v="2"/>
    <x v="3"/>
    <x v="0"/>
    <x v="0"/>
  </r>
  <r>
    <x v="14"/>
    <x v="1"/>
    <x v="0"/>
    <x v="0"/>
    <x v="1"/>
    <x v="11"/>
    <x v="0"/>
    <x v="2"/>
    <x v="3"/>
    <x v="0"/>
    <x v="0"/>
  </r>
  <r>
    <x v="14"/>
    <x v="2"/>
    <x v="0"/>
    <x v="0"/>
    <x v="0"/>
    <x v="0"/>
    <x v="2"/>
    <x v="4"/>
    <x v="2"/>
    <x v="0"/>
    <x v="0"/>
  </r>
  <r>
    <x v="14"/>
    <x v="2"/>
    <x v="0"/>
    <x v="2"/>
    <x v="0"/>
    <x v="4"/>
    <x v="0"/>
    <x v="4"/>
    <x v="2"/>
    <x v="0"/>
    <x v="0"/>
  </r>
  <r>
    <x v="14"/>
    <x v="2"/>
    <x v="1"/>
    <x v="2"/>
    <x v="1"/>
    <x v="4"/>
    <x v="0"/>
    <x v="4"/>
    <x v="2"/>
    <x v="0"/>
    <x v="0"/>
  </r>
  <r>
    <x v="14"/>
    <x v="2"/>
    <x v="1"/>
    <x v="2"/>
    <x v="1"/>
    <x v="7"/>
    <x v="0"/>
    <x v="4"/>
    <x v="2"/>
    <x v="0"/>
    <x v="0"/>
  </r>
  <r>
    <x v="14"/>
    <x v="1"/>
    <x v="0"/>
    <x v="2"/>
    <x v="1"/>
    <x v="12"/>
    <x v="0"/>
    <x v="4"/>
    <x v="2"/>
    <x v="0"/>
    <x v="0"/>
  </r>
  <r>
    <x v="14"/>
    <x v="1"/>
    <x v="1"/>
    <x v="2"/>
    <x v="1"/>
    <x v="12"/>
    <x v="0"/>
    <x v="4"/>
    <x v="2"/>
    <x v="0"/>
    <x v="0"/>
  </r>
  <r>
    <x v="14"/>
    <x v="1"/>
    <x v="1"/>
    <x v="0"/>
    <x v="1"/>
    <x v="0"/>
    <x v="3"/>
    <x v="2"/>
    <x v="2"/>
    <x v="0"/>
    <x v="0"/>
  </r>
  <r>
    <x v="14"/>
    <x v="1"/>
    <x v="0"/>
    <x v="0"/>
    <x v="0"/>
    <x v="5"/>
    <x v="4"/>
    <x v="2"/>
    <x v="2"/>
    <x v="0"/>
    <x v="0"/>
  </r>
  <r>
    <x v="14"/>
    <x v="1"/>
    <x v="1"/>
    <x v="0"/>
    <x v="0"/>
    <x v="4"/>
    <x v="3"/>
    <x v="2"/>
    <x v="2"/>
    <x v="0"/>
    <x v="0"/>
  </r>
  <r>
    <x v="14"/>
    <x v="2"/>
    <x v="0"/>
    <x v="0"/>
    <x v="1"/>
    <x v="1"/>
    <x v="4"/>
    <x v="2"/>
    <x v="3"/>
    <x v="13"/>
    <x v="9"/>
  </r>
  <r>
    <x v="14"/>
    <x v="2"/>
    <x v="1"/>
    <x v="0"/>
    <x v="1"/>
    <x v="4"/>
    <x v="3"/>
    <x v="2"/>
    <x v="5"/>
    <x v="0"/>
    <x v="0"/>
  </r>
  <r>
    <x v="14"/>
    <x v="2"/>
    <x v="1"/>
    <x v="2"/>
    <x v="1"/>
    <x v="4"/>
    <x v="3"/>
    <x v="2"/>
    <x v="5"/>
    <x v="0"/>
    <x v="0"/>
  </r>
  <r>
    <x v="14"/>
    <x v="2"/>
    <x v="0"/>
    <x v="2"/>
    <x v="1"/>
    <x v="7"/>
    <x v="2"/>
    <x v="4"/>
    <x v="2"/>
    <x v="0"/>
    <x v="0"/>
  </r>
  <r>
    <x v="14"/>
    <x v="2"/>
    <x v="0"/>
    <x v="2"/>
    <x v="1"/>
    <x v="7"/>
    <x v="2"/>
    <x v="4"/>
    <x v="2"/>
    <x v="0"/>
    <x v="0"/>
  </r>
  <r>
    <x v="14"/>
    <x v="2"/>
    <x v="0"/>
    <x v="0"/>
    <x v="0"/>
    <x v="12"/>
    <x v="0"/>
    <x v="4"/>
    <x v="2"/>
    <x v="0"/>
    <x v="0"/>
  </r>
  <r>
    <x v="14"/>
    <x v="2"/>
    <x v="1"/>
    <x v="0"/>
    <x v="0"/>
    <x v="9"/>
    <x v="6"/>
    <x v="4"/>
    <x v="2"/>
    <x v="0"/>
    <x v="0"/>
  </r>
  <r>
    <x v="14"/>
    <x v="2"/>
    <x v="0"/>
    <x v="0"/>
    <x v="1"/>
    <x v="2"/>
    <x v="4"/>
    <x v="4"/>
    <x v="2"/>
    <x v="0"/>
    <x v="0"/>
  </r>
  <r>
    <x v="14"/>
    <x v="2"/>
    <x v="0"/>
    <x v="0"/>
    <x v="1"/>
    <x v="7"/>
    <x v="0"/>
    <x v="4"/>
    <x v="2"/>
    <x v="0"/>
    <x v="0"/>
  </r>
  <r>
    <x v="14"/>
    <x v="2"/>
    <x v="0"/>
    <x v="0"/>
    <x v="0"/>
    <x v="5"/>
    <x v="4"/>
    <x v="4"/>
    <x v="2"/>
    <x v="0"/>
    <x v="0"/>
  </r>
  <r>
    <x v="14"/>
    <x v="2"/>
    <x v="0"/>
    <x v="0"/>
    <x v="1"/>
    <x v="6"/>
    <x v="0"/>
    <x v="4"/>
    <x v="2"/>
    <x v="0"/>
    <x v="0"/>
  </r>
  <r>
    <x v="14"/>
    <x v="2"/>
    <x v="0"/>
    <x v="0"/>
    <x v="1"/>
    <x v="6"/>
    <x v="0"/>
    <x v="4"/>
    <x v="2"/>
    <x v="0"/>
    <x v="0"/>
  </r>
  <r>
    <x v="14"/>
    <x v="2"/>
    <x v="0"/>
    <x v="0"/>
    <x v="1"/>
    <x v="6"/>
    <x v="0"/>
    <x v="4"/>
    <x v="2"/>
    <x v="0"/>
    <x v="0"/>
  </r>
  <r>
    <x v="14"/>
    <x v="2"/>
    <x v="0"/>
    <x v="0"/>
    <x v="1"/>
    <x v="0"/>
    <x v="6"/>
    <x v="4"/>
    <x v="2"/>
    <x v="0"/>
    <x v="0"/>
  </r>
  <r>
    <x v="14"/>
    <x v="2"/>
    <x v="0"/>
    <x v="0"/>
    <x v="1"/>
    <x v="0"/>
    <x v="6"/>
    <x v="4"/>
    <x v="2"/>
    <x v="0"/>
    <x v="0"/>
  </r>
  <r>
    <x v="14"/>
    <x v="2"/>
    <x v="0"/>
    <x v="0"/>
    <x v="1"/>
    <x v="11"/>
    <x v="4"/>
    <x v="4"/>
    <x v="2"/>
    <x v="0"/>
    <x v="0"/>
  </r>
  <r>
    <x v="14"/>
    <x v="2"/>
    <x v="1"/>
    <x v="2"/>
    <x v="1"/>
    <x v="11"/>
    <x v="0"/>
    <x v="4"/>
    <x v="2"/>
    <x v="0"/>
    <x v="0"/>
  </r>
  <r>
    <x v="14"/>
    <x v="2"/>
    <x v="0"/>
    <x v="0"/>
    <x v="1"/>
    <x v="2"/>
    <x v="0"/>
    <x v="4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4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5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6"/>
    <x v="3"/>
    <x v="3"/>
    <x v="1"/>
    <x v="2"/>
    <x v="3"/>
    <x v="5"/>
    <x v="3"/>
    <x v="2"/>
    <x v="0"/>
    <x v="0"/>
  </r>
  <r>
    <x v="17"/>
    <x v="4"/>
    <x v="0"/>
    <x v="0"/>
    <x v="0"/>
    <x v="5"/>
    <x v="0"/>
    <x v="2"/>
    <x v="3"/>
    <x v="0"/>
    <x v="0"/>
  </r>
  <r>
    <x v="17"/>
    <x v="4"/>
    <x v="1"/>
    <x v="0"/>
    <x v="1"/>
    <x v="5"/>
    <x v="0"/>
    <x v="4"/>
    <x v="2"/>
    <x v="0"/>
    <x v="0"/>
  </r>
  <r>
    <x v="17"/>
    <x v="4"/>
    <x v="0"/>
    <x v="2"/>
    <x v="0"/>
    <x v="0"/>
    <x v="5"/>
    <x v="2"/>
    <x v="3"/>
    <x v="0"/>
    <x v="0"/>
  </r>
  <r>
    <x v="17"/>
    <x v="4"/>
    <x v="1"/>
    <x v="0"/>
    <x v="1"/>
    <x v="0"/>
    <x v="0"/>
    <x v="2"/>
    <x v="3"/>
    <x v="0"/>
    <x v="0"/>
  </r>
  <r>
    <x v="17"/>
    <x v="0"/>
    <x v="1"/>
    <x v="0"/>
    <x v="1"/>
    <x v="0"/>
    <x v="0"/>
    <x v="0"/>
    <x v="0"/>
    <x v="0"/>
    <x v="0"/>
  </r>
  <r>
    <x v="17"/>
    <x v="0"/>
    <x v="0"/>
    <x v="0"/>
    <x v="0"/>
    <x v="0"/>
    <x v="0"/>
    <x v="0"/>
    <x v="0"/>
    <x v="0"/>
    <x v="0"/>
  </r>
  <r>
    <x v="17"/>
    <x v="2"/>
    <x v="0"/>
    <x v="2"/>
    <x v="1"/>
    <x v="2"/>
    <x v="0"/>
    <x v="4"/>
    <x v="2"/>
    <x v="0"/>
    <x v="0"/>
  </r>
  <r>
    <x v="17"/>
    <x v="2"/>
    <x v="0"/>
    <x v="2"/>
    <x v="0"/>
    <x v="5"/>
    <x v="4"/>
    <x v="4"/>
    <x v="2"/>
    <x v="0"/>
    <x v="0"/>
  </r>
  <r>
    <x v="17"/>
    <x v="2"/>
    <x v="1"/>
    <x v="2"/>
    <x v="1"/>
    <x v="5"/>
    <x v="4"/>
    <x v="4"/>
    <x v="2"/>
    <x v="0"/>
    <x v="0"/>
  </r>
  <r>
    <x v="17"/>
    <x v="2"/>
    <x v="0"/>
    <x v="0"/>
    <x v="1"/>
    <x v="7"/>
    <x v="4"/>
    <x v="0"/>
    <x v="4"/>
    <x v="0"/>
    <x v="0"/>
  </r>
  <r>
    <x v="17"/>
    <x v="2"/>
    <x v="0"/>
    <x v="0"/>
    <x v="0"/>
    <x v="5"/>
    <x v="4"/>
    <x v="0"/>
    <x v="4"/>
    <x v="0"/>
    <x v="0"/>
  </r>
  <r>
    <x v="17"/>
    <x v="2"/>
    <x v="1"/>
    <x v="0"/>
    <x v="0"/>
    <x v="4"/>
    <x v="4"/>
    <x v="0"/>
    <x v="4"/>
    <x v="0"/>
    <x v="0"/>
  </r>
  <r>
    <x v="17"/>
    <x v="2"/>
    <x v="0"/>
    <x v="0"/>
    <x v="1"/>
    <x v="2"/>
    <x v="0"/>
    <x v="0"/>
    <x v="4"/>
    <x v="0"/>
    <x v="0"/>
  </r>
  <r>
    <x v="17"/>
    <x v="2"/>
    <x v="0"/>
    <x v="0"/>
    <x v="1"/>
    <x v="2"/>
    <x v="0"/>
    <x v="0"/>
    <x v="4"/>
    <x v="0"/>
    <x v="0"/>
  </r>
  <r>
    <x v="17"/>
    <x v="2"/>
    <x v="0"/>
    <x v="0"/>
    <x v="1"/>
    <x v="7"/>
    <x v="4"/>
    <x v="0"/>
    <x v="4"/>
    <x v="0"/>
    <x v="0"/>
  </r>
  <r>
    <x v="17"/>
    <x v="2"/>
    <x v="1"/>
    <x v="0"/>
    <x v="1"/>
    <x v="4"/>
    <x v="4"/>
    <x v="0"/>
    <x v="4"/>
    <x v="0"/>
    <x v="0"/>
  </r>
  <r>
    <x v="17"/>
    <x v="2"/>
    <x v="0"/>
    <x v="0"/>
    <x v="1"/>
    <x v="2"/>
    <x v="4"/>
    <x v="0"/>
    <x v="4"/>
    <x v="0"/>
    <x v="0"/>
  </r>
  <r>
    <x v="17"/>
    <x v="2"/>
    <x v="0"/>
    <x v="0"/>
    <x v="1"/>
    <x v="7"/>
    <x v="0"/>
    <x v="0"/>
    <x v="4"/>
    <x v="0"/>
    <x v="0"/>
  </r>
  <r>
    <x v="17"/>
    <x v="2"/>
    <x v="0"/>
    <x v="0"/>
    <x v="1"/>
    <x v="4"/>
    <x v="4"/>
    <x v="0"/>
    <x v="4"/>
    <x v="0"/>
    <x v="0"/>
  </r>
  <r>
    <x v="17"/>
    <x v="2"/>
    <x v="0"/>
    <x v="0"/>
    <x v="1"/>
    <x v="2"/>
    <x v="0"/>
    <x v="0"/>
    <x v="4"/>
    <x v="0"/>
    <x v="0"/>
  </r>
  <r>
    <x v="17"/>
    <x v="2"/>
    <x v="0"/>
    <x v="0"/>
    <x v="1"/>
    <x v="2"/>
    <x v="0"/>
    <x v="0"/>
    <x v="4"/>
    <x v="0"/>
    <x v="0"/>
  </r>
  <r>
    <x v="17"/>
    <x v="4"/>
    <x v="0"/>
    <x v="2"/>
    <x v="0"/>
    <x v="12"/>
    <x v="0"/>
    <x v="4"/>
    <x v="2"/>
    <x v="0"/>
    <x v="0"/>
  </r>
  <r>
    <x v="17"/>
    <x v="4"/>
    <x v="1"/>
    <x v="2"/>
    <x v="1"/>
    <x v="12"/>
    <x v="0"/>
    <x v="4"/>
    <x v="2"/>
    <x v="0"/>
    <x v="0"/>
  </r>
  <r>
    <x v="17"/>
    <x v="4"/>
    <x v="0"/>
    <x v="0"/>
    <x v="1"/>
    <x v="2"/>
    <x v="2"/>
    <x v="4"/>
    <x v="2"/>
    <x v="0"/>
    <x v="0"/>
  </r>
  <r>
    <x v="17"/>
    <x v="4"/>
    <x v="1"/>
    <x v="0"/>
    <x v="0"/>
    <x v="2"/>
    <x v="2"/>
    <x v="4"/>
    <x v="2"/>
    <x v="0"/>
    <x v="0"/>
  </r>
  <r>
    <x v="17"/>
    <x v="4"/>
    <x v="1"/>
    <x v="0"/>
    <x v="1"/>
    <x v="2"/>
    <x v="2"/>
    <x v="4"/>
    <x v="2"/>
    <x v="0"/>
    <x v="0"/>
  </r>
  <r>
    <x v="17"/>
    <x v="4"/>
    <x v="0"/>
    <x v="2"/>
    <x v="1"/>
    <x v="1"/>
    <x v="4"/>
    <x v="4"/>
    <x v="2"/>
    <x v="0"/>
    <x v="0"/>
  </r>
  <r>
    <x v="17"/>
    <x v="4"/>
    <x v="0"/>
    <x v="0"/>
    <x v="0"/>
    <x v="4"/>
    <x v="4"/>
    <x v="4"/>
    <x v="2"/>
    <x v="0"/>
    <x v="0"/>
  </r>
  <r>
    <x v="17"/>
    <x v="4"/>
    <x v="1"/>
    <x v="0"/>
    <x v="0"/>
    <x v="4"/>
    <x v="4"/>
    <x v="4"/>
    <x v="2"/>
    <x v="0"/>
    <x v="0"/>
  </r>
  <r>
    <x v="17"/>
    <x v="4"/>
    <x v="0"/>
    <x v="0"/>
    <x v="1"/>
    <x v="2"/>
    <x v="4"/>
    <x v="4"/>
    <x v="2"/>
    <x v="0"/>
    <x v="0"/>
  </r>
  <r>
    <x v="17"/>
    <x v="4"/>
    <x v="1"/>
    <x v="0"/>
    <x v="0"/>
    <x v="2"/>
    <x v="4"/>
    <x v="4"/>
    <x v="2"/>
    <x v="0"/>
    <x v="0"/>
  </r>
  <r>
    <x v="17"/>
    <x v="4"/>
    <x v="0"/>
    <x v="2"/>
    <x v="0"/>
    <x v="8"/>
    <x v="4"/>
    <x v="4"/>
    <x v="2"/>
    <x v="0"/>
    <x v="0"/>
  </r>
  <r>
    <x v="17"/>
    <x v="4"/>
    <x v="1"/>
    <x v="2"/>
    <x v="1"/>
    <x v="8"/>
    <x v="4"/>
    <x v="4"/>
    <x v="2"/>
    <x v="0"/>
    <x v="0"/>
  </r>
  <r>
    <x v="17"/>
    <x v="4"/>
    <x v="0"/>
    <x v="0"/>
    <x v="0"/>
    <x v="0"/>
    <x v="2"/>
    <x v="2"/>
    <x v="3"/>
    <x v="0"/>
    <x v="0"/>
  </r>
  <r>
    <x v="17"/>
    <x v="4"/>
    <x v="0"/>
    <x v="0"/>
    <x v="0"/>
    <x v="0"/>
    <x v="2"/>
    <x v="4"/>
    <x v="2"/>
    <x v="0"/>
    <x v="0"/>
  </r>
  <r>
    <x v="17"/>
    <x v="4"/>
    <x v="0"/>
    <x v="0"/>
    <x v="0"/>
    <x v="12"/>
    <x v="2"/>
    <x v="4"/>
    <x v="2"/>
    <x v="0"/>
    <x v="0"/>
  </r>
  <r>
    <x v="17"/>
    <x v="2"/>
    <x v="0"/>
    <x v="0"/>
    <x v="1"/>
    <x v="12"/>
    <x v="4"/>
    <x v="2"/>
    <x v="3"/>
    <x v="0"/>
    <x v="0"/>
  </r>
  <r>
    <x v="17"/>
    <x v="2"/>
    <x v="0"/>
    <x v="0"/>
    <x v="1"/>
    <x v="14"/>
    <x v="0"/>
    <x v="2"/>
    <x v="3"/>
    <x v="0"/>
    <x v="0"/>
  </r>
  <r>
    <x v="17"/>
    <x v="2"/>
    <x v="0"/>
    <x v="0"/>
    <x v="1"/>
    <x v="2"/>
    <x v="0"/>
    <x v="4"/>
    <x v="2"/>
    <x v="0"/>
    <x v="0"/>
  </r>
  <r>
    <x v="17"/>
    <x v="2"/>
    <x v="1"/>
    <x v="2"/>
    <x v="0"/>
    <x v="12"/>
    <x v="4"/>
    <x v="4"/>
    <x v="2"/>
    <x v="0"/>
    <x v="0"/>
  </r>
  <r>
    <x v="17"/>
    <x v="4"/>
    <x v="0"/>
    <x v="0"/>
    <x v="0"/>
    <x v="5"/>
    <x v="4"/>
    <x v="4"/>
    <x v="2"/>
    <x v="0"/>
    <x v="0"/>
  </r>
  <r>
    <x v="17"/>
    <x v="4"/>
    <x v="1"/>
    <x v="0"/>
    <x v="1"/>
    <x v="5"/>
    <x v="4"/>
    <x v="4"/>
    <x v="2"/>
    <x v="0"/>
    <x v="0"/>
  </r>
  <r>
    <x v="17"/>
    <x v="4"/>
    <x v="1"/>
    <x v="0"/>
    <x v="1"/>
    <x v="4"/>
    <x v="3"/>
    <x v="2"/>
    <x v="3"/>
    <x v="0"/>
    <x v="0"/>
  </r>
  <r>
    <x v="17"/>
    <x v="4"/>
    <x v="0"/>
    <x v="0"/>
    <x v="1"/>
    <x v="2"/>
    <x v="4"/>
    <x v="4"/>
    <x v="2"/>
    <x v="0"/>
    <x v="0"/>
  </r>
  <r>
    <x v="17"/>
    <x v="4"/>
    <x v="0"/>
    <x v="0"/>
    <x v="1"/>
    <x v="2"/>
    <x v="0"/>
    <x v="4"/>
    <x v="2"/>
    <x v="0"/>
    <x v="0"/>
  </r>
  <r>
    <x v="17"/>
    <x v="4"/>
    <x v="1"/>
    <x v="0"/>
    <x v="1"/>
    <x v="0"/>
    <x v="3"/>
    <x v="2"/>
    <x v="3"/>
    <x v="0"/>
    <x v="0"/>
  </r>
  <r>
    <x v="17"/>
    <x v="4"/>
    <x v="1"/>
    <x v="0"/>
    <x v="3"/>
    <x v="0"/>
    <x v="3"/>
    <x v="2"/>
    <x v="3"/>
    <x v="0"/>
    <x v="0"/>
  </r>
  <r>
    <x v="17"/>
    <x v="4"/>
    <x v="0"/>
    <x v="2"/>
    <x v="1"/>
    <x v="4"/>
    <x v="4"/>
    <x v="4"/>
    <x v="2"/>
    <x v="0"/>
    <x v="0"/>
  </r>
  <r>
    <x v="17"/>
    <x v="4"/>
    <x v="0"/>
    <x v="0"/>
    <x v="0"/>
    <x v="5"/>
    <x v="0"/>
    <x v="4"/>
    <x v="2"/>
    <x v="0"/>
    <x v="0"/>
  </r>
  <r>
    <x v="17"/>
    <x v="4"/>
    <x v="1"/>
    <x v="0"/>
    <x v="0"/>
    <x v="5"/>
    <x v="0"/>
    <x v="4"/>
    <x v="2"/>
    <x v="0"/>
    <x v="0"/>
  </r>
  <r>
    <x v="17"/>
    <x v="4"/>
    <x v="1"/>
    <x v="0"/>
    <x v="1"/>
    <x v="5"/>
    <x v="0"/>
    <x v="4"/>
    <x v="2"/>
    <x v="0"/>
    <x v="0"/>
  </r>
  <r>
    <x v="17"/>
    <x v="4"/>
    <x v="0"/>
    <x v="0"/>
    <x v="1"/>
    <x v="2"/>
    <x v="4"/>
    <x v="4"/>
    <x v="2"/>
    <x v="0"/>
    <x v="0"/>
  </r>
  <r>
    <x v="17"/>
    <x v="4"/>
    <x v="1"/>
    <x v="0"/>
    <x v="0"/>
    <x v="2"/>
    <x v="4"/>
    <x v="4"/>
    <x v="2"/>
    <x v="0"/>
    <x v="0"/>
  </r>
  <r>
    <x v="17"/>
    <x v="2"/>
    <x v="0"/>
    <x v="0"/>
    <x v="1"/>
    <x v="2"/>
    <x v="4"/>
    <x v="4"/>
    <x v="2"/>
    <x v="0"/>
    <x v="0"/>
  </r>
  <r>
    <x v="17"/>
    <x v="2"/>
    <x v="1"/>
    <x v="0"/>
    <x v="0"/>
    <x v="2"/>
    <x v="4"/>
    <x v="4"/>
    <x v="2"/>
    <x v="0"/>
    <x v="0"/>
  </r>
  <r>
    <x v="17"/>
    <x v="2"/>
    <x v="1"/>
    <x v="0"/>
    <x v="0"/>
    <x v="2"/>
    <x v="4"/>
    <x v="4"/>
    <x v="2"/>
    <x v="0"/>
    <x v="0"/>
  </r>
  <r>
    <x v="17"/>
    <x v="2"/>
    <x v="0"/>
    <x v="2"/>
    <x v="1"/>
    <x v="7"/>
    <x v="0"/>
    <x v="4"/>
    <x v="2"/>
    <x v="0"/>
    <x v="0"/>
  </r>
  <r>
    <x v="17"/>
    <x v="2"/>
    <x v="1"/>
    <x v="2"/>
    <x v="1"/>
    <x v="7"/>
    <x v="0"/>
    <x v="4"/>
    <x v="2"/>
    <x v="0"/>
    <x v="0"/>
  </r>
  <r>
    <x v="17"/>
    <x v="1"/>
    <x v="1"/>
    <x v="0"/>
    <x v="1"/>
    <x v="11"/>
    <x v="4"/>
    <x v="2"/>
    <x v="3"/>
    <x v="3"/>
    <x v="0"/>
  </r>
  <r>
    <x v="17"/>
    <x v="1"/>
    <x v="0"/>
    <x v="0"/>
    <x v="1"/>
    <x v="4"/>
    <x v="2"/>
    <x v="2"/>
    <x v="3"/>
    <x v="0"/>
    <x v="0"/>
  </r>
  <r>
    <x v="17"/>
    <x v="1"/>
    <x v="1"/>
    <x v="0"/>
    <x v="1"/>
    <x v="11"/>
    <x v="4"/>
    <x v="0"/>
    <x v="6"/>
    <x v="3"/>
    <x v="0"/>
  </r>
  <r>
    <x v="17"/>
    <x v="1"/>
    <x v="1"/>
    <x v="0"/>
    <x v="1"/>
    <x v="7"/>
    <x v="4"/>
    <x v="0"/>
    <x v="6"/>
    <x v="3"/>
    <x v="0"/>
  </r>
  <r>
    <x v="17"/>
    <x v="1"/>
    <x v="1"/>
    <x v="0"/>
    <x v="0"/>
    <x v="17"/>
    <x v="4"/>
    <x v="0"/>
    <x v="6"/>
    <x v="3"/>
    <x v="0"/>
  </r>
  <r>
    <x v="17"/>
    <x v="1"/>
    <x v="1"/>
    <x v="0"/>
    <x v="0"/>
    <x v="0"/>
    <x v="4"/>
    <x v="0"/>
    <x v="6"/>
    <x v="3"/>
    <x v="10"/>
  </r>
  <r>
    <x v="17"/>
    <x v="1"/>
    <x v="0"/>
    <x v="0"/>
    <x v="0"/>
    <x v="5"/>
    <x v="4"/>
    <x v="0"/>
    <x v="7"/>
    <x v="3"/>
    <x v="0"/>
  </r>
  <r>
    <x v="17"/>
    <x v="1"/>
    <x v="0"/>
    <x v="0"/>
    <x v="1"/>
    <x v="2"/>
    <x v="2"/>
    <x v="0"/>
    <x v="7"/>
    <x v="3"/>
    <x v="0"/>
  </r>
  <r>
    <x v="17"/>
    <x v="1"/>
    <x v="0"/>
    <x v="0"/>
    <x v="0"/>
    <x v="4"/>
    <x v="4"/>
    <x v="0"/>
    <x v="8"/>
    <x v="3"/>
    <x v="10"/>
  </r>
  <r>
    <x v="17"/>
    <x v="1"/>
    <x v="0"/>
    <x v="0"/>
    <x v="0"/>
    <x v="12"/>
    <x v="4"/>
    <x v="0"/>
    <x v="8"/>
    <x v="3"/>
    <x v="10"/>
  </r>
  <r>
    <x v="17"/>
    <x v="1"/>
    <x v="0"/>
    <x v="0"/>
    <x v="0"/>
    <x v="0"/>
    <x v="4"/>
    <x v="0"/>
    <x v="8"/>
    <x v="3"/>
    <x v="10"/>
  </r>
  <r>
    <x v="17"/>
    <x v="1"/>
    <x v="0"/>
    <x v="0"/>
    <x v="0"/>
    <x v="6"/>
    <x v="4"/>
    <x v="0"/>
    <x v="8"/>
    <x v="3"/>
    <x v="10"/>
  </r>
  <r>
    <x v="17"/>
    <x v="1"/>
    <x v="1"/>
    <x v="0"/>
    <x v="1"/>
    <x v="2"/>
    <x v="3"/>
    <x v="2"/>
    <x v="3"/>
    <x v="3"/>
    <x v="10"/>
  </r>
  <r>
    <x v="17"/>
    <x v="1"/>
    <x v="1"/>
    <x v="0"/>
    <x v="0"/>
    <x v="9"/>
    <x v="6"/>
    <x v="2"/>
    <x v="3"/>
    <x v="3"/>
    <x v="0"/>
  </r>
  <r>
    <x v="17"/>
    <x v="1"/>
    <x v="1"/>
    <x v="0"/>
    <x v="1"/>
    <x v="0"/>
    <x v="3"/>
    <x v="2"/>
    <x v="3"/>
    <x v="3"/>
    <x v="0"/>
  </r>
  <r>
    <x v="17"/>
    <x v="1"/>
    <x v="1"/>
    <x v="0"/>
    <x v="1"/>
    <x v="8"/>
    <x v="4"/>
    <x v="4"/>
    <x v="2"/>
    <x v="3"/>
    <x v="0"/>
  </r>
  <r>
    <x v="17"/>
    <x v="5"/>
    <x v="1"/>
    <x v="2"/>
    <x v="0"/>
    <x v="9"/>
    <x v="6"/>
    <x v="1"/>
    <x v="21"/>
    <x v="3"/>
    <x v="0"/>
  </r>
  <r>
    <x v="17"/>
    <x v="5"/>
    <x v="0"/>
    <x v="2"/>
    <x v="0"/>
    <x v="5"/>
    <x v="4"/>
    <x v="4"/>
    <x v="20"/>
    <x v="3"/>
    <x v="0"/>
  </r>
  <r>
    <x v="17"/>
    <x v="5"/>
    <x v="1"/>
    <x v="2"/>
    <x v="1"/>
    <x v="5"/>
    <x v="4"/>
    <x v="4"/>
    <x v="20"/>
    <x v="3"/>
    <x v="0"/>
  </r>
  <r>
    <x v="17"/>
    <x v="5"/>
    <x v="0"/>
    <x v="2"/>
    <x v="1"/>
    <x v="11"/>
    <x v="0"/>
    <x v="1"/>
    <x v="21"/>
    <x v="0"/>
    <x v="0"/>
  </r>
  <r>
    <x v="17"/>
    <x v="5"/>
    <x v="1"/>
    <x v="0"/>
    <x v="1"/>
    <x v="5"/>
    <x v="0"/>
    <x v="1"/>
    <x v="21"/>
    <x v="0"/>
    <x v="0"/>
  </r>
  <r>
    <x v="17"/>
    <x v="5"/>
    <x v="0"/>
    <x v="2"/>
    <x v="0"/>
    <x v="5"/>
    <x v="0"/>
    <x v="4"/>
    <x v="21"/>
    <x v="0"/>
    <x v="0"/>
  </r>
  <r>
    <x v="17"/>
    <x v="5"/>
    <x v="0"/>
    <x v="0"/>
    <x v="0"/>
    <x v="5"/>
    <x v="0"/>
    <x v="1"/>
    <x v="21"/>
    <x v="0"/>
    <x v="0"/>
  </r>
  <r>
    <x v="17"/>
    <x v="5"/>
    <x v="0"/>
    <x v="0"/>
    <x v="0"/>
    <x v="5"/>
    <x v="4"/>
    <x v="4"/>
    <x v="20"/>
    <x v="0"/>
    <x v="0"/>
  </r>
  <r>
    <x v="17"/>
    <x v="5"/>
    <x v="1"/>
    <x v="0"/>
    <x v="1"/>
    <x v="5"/>
    <x v="4"/>
    <x v="4"/>
    <x v="20"/>
    <x v="0"/>
    <x v="0"/>
  </r>
  <r>
    <x v="17"/>
    <x v="4"/>
    <x v="0"/>
    <x v="0"/>
    <x v="1"/>
    <x v="0"/>
    <x v="4"/>
    <x v="4"/>
    <x v="2"/>
    <x v="0"/>
    <x v="0"/>
  </r>
  <r>
    <x v="17"/>
    <x v="4"/>
    <x v="1"/>
    <x v="0"/>
    <x v="1"/>
    <x v="0"/>
    <x v="4"/>
    <x v="4"/>
    <x v="2"/>
    <x v="0"/>
    <x v="0"/>
  </r>
  <r>
    <x v="17"/>
    <x v="4"/>
    <x v="0"/>
    <x v="0"/>
    <x v="0"/>
    <x v="11"/>
    <x v="0"/>
    <x v="4"/>
    <x v="2"/>
    <x v="0"/>
    <x v="0"/>
  </r>
  <r>
    <x v="17"/>
    <x v="4"/>
    <x v="1"/>
    <x v="0"/>
    <x v="1"/>
    <x v="11"/>
    <x v="0"/>
    <x v="4"/>
    <x v="2"/>
    <x v="0"/>
    <x v="0"/>
  </r>
  <r>
    <x v="17"/>
    <x v="4"/>
    <x v="1"/>
    <x v="0"/>
    <x v="1"/>
    <x v="4"/>
    <x v="3"/>
    <x v="2"/>
    <x v="3"/>
    <x v="0"/>
    <x v="0"/>
  </r>
  <r>
    <x v="17"/>
    <x v="4"/>
    <x v="0"/>
    <x v="0"/>
    <x v="1"/>
    <x v="2"/>
    <x v="2"/>
    <x v="2"/>
    <x v="3"/>
    <x v="0"/>
    <x v="0"/>
  </r>
  <r>
    <x v="17"/>
    <x v="0"/>
    <x v="0"/>
    <x v="0"/>
    <x v="0"/>
    <x v="9"/>
    <x v="6"/>
    <x v="0"/>
    <x v="9"/>
    <x v="0"/>
    <x v="0"/>
  </r>
  <r>
    <x v="17"/>
    <x v="0"/>
    <x v="0"/>
    <x v="0"/>
    <x v="0"/>
    <x v="9"/>
    <x v="6"/>
    <x v="0"/>
    <x v="9"/>
    <x v="0"/>
    <x v="0"/>
  </r>
  <r>
    <x v="17"/>
    <x v="0"/>
    <x v="0"/>
    <x v="0"/>
    <x v="0"/>
    <x v="9"/>
    <x v="6"/>
    <x v="0"/>
    <x v="9"/>
    <x v="0"/>
    <x v="0"/>
  </r>
  <r>
    <x v="17"/>
    <x v="0"/>
    <x v="0"/>
    <x v="0"/>
    <x v="0"/>
    <x v="9"/>
    <x v="6"/>
    <x v="0"/>
    <x v="9"/>
    <x v="0"/>
    <x v="0"/>
  </r>
  <r>
    <x v="17"/>
    <x v="0"/>
    <x v="0"/>
    <x v="0"/>
    <x v="0"/>
    <x v="9"/>
    <x v="6"/>
    <x v="0"/>
    <x v="9"/>
    <x v="0"/>
    <x v="0"/>
  </r>
  <r>
    <x v="17"/>
    <x v="0"/>
    <x v="0"/>
    <x v="0"/>
    <x v="0"/>
    <x v="9"/>
    <x v="6"/>
    <x v="0"/>
    <x v="9"/>
    <x v="0"/>
    <x v="0"/>
  </r>
  <r>
    <x v="17"/>
    <x v="0"/>
    <x v="0"/>
    <x v="0"/>
    <x v="1"/>
    <x v="9"/>
    <x v="6"/>
    <x v="0"/>
    <x v="9"/>
    <x v="3"/>
    <x v="10"/>
  </r>
  <r>
    <x v="17"/>
    <x v="0"/>
    <x v="0"/>
    <x v="0"/>
    <x v="1"/>
    <x v="9"/>
    <x v="6"/>
    <x v="0"/>
    <x v="9"/>
    <x v="3"/>
    <x v="10"/>
  </r>
  <r>
    <x v="17"/>
    <x v="0"/>
    <x v="0"/>
    <x v="0"/>
    <x v="1"/>
    <x v="9"/>
    <x v="6"/>
    <x v="0"/>
    <x v="9"/>
    <x v="3"/>
    <x v="10"/>
  </r>
  <r>
    <x v="17"/>
    <x v="0"/>
    <x v="0"/>
    <x v="0"/>
    <x v="1"/>
    <x v="9"/>
    <x v="6"/>
    <x v="0"/>
    <x v="9"/>
    <x v="3"/>
    <x v="0"/>
  </r>
  <r>
    <x v="17"/>
    <x v="0"/>
    <x v="0"/>
    <x v="0"/>
    <x v="1"/>
    <x v="9"/>
    <x v="6"/>
    <x v="0"/>
    <x v="9"/>
    <x v="0"/>
    <x v="0"/>
  </r>
  <r>
    <x v="17"/>
    <x v="0"/>
    <x v="0"/>
    <x v="0"/>
    <x v="1"/>
    <x v="9"/>
    <x v="6"/>
    <x v="0"/>
    <x v="9"/>
    <x v="0"/>
    <x v="0"/>
  </r>
  <r>
    <x v="17"/>
    <x v="0"/>
    <x v="0"/>
    <x v="0"/>
    <x v="1"/>
    <x v="9"/>
    <x v="6"/>
    <x v="0"/>
    <x v="9"/>
    <x v="0"/>
    <x v="0"/>
  </r>
  <r>
    <x v="17"/>
    <x v="0"/>
    <x v="0"/>
    <x v="0"/>
    <x v="1"/>
    <x v="9"/>
    <x v="6"/>
    <x v="0"/>
    <x v="9"/>
    <x v="0"/>
    <x v="0"/>
  </r>
  <r>
    <x v="17"/>
    <x v="4"/>
    <x v="0"/>
    <x v="2"/>
    <x v="0"/>
    <x v="5"/>
    <x v="0"/>
    <x v="4"/>
    <x v="2"/>
    <x v="0"/>
    <x v="0"/>
  </r>
  <r>
    <x v="17"/>
    <x v="4"/>
    <x v="1"/>
    <x v="2"/>
    <x v="0"/>
    <x v="1"/>
    <x v="0"/>
    <x v="4"/>
    <x v="2"/>
    <x v="0"/>
    <x v="0"/>
  </r>
  <r>
    <x v="17"/>
    <x v="4"/>
    <x v="1"/>
    <x v="2"/>
    <x v="1"/>
    <x v="1"/>
    <x v="0"/>
    <x v="4"/>
    <x v="2"/>
    <x v="0"/>
    <x v="0"/>
  </r>
  <r>
    <x v="17"/>
    <x v="4"/>
    <x v="0"/>
    <x v="2"/>
    <x v="1"/>
    <x v="2"/>
    <x v="4"/>
    <x v="4"/>
    <x v="2"/>
    <x v="0"/>
    <x v="0"/>
  </r>
  <r>
    <x v="17"/>
    <x v="4"/>
    <x v="1"/>
    <x v="2"/>
    <x v="0"/>
    <x v="2"/>
    <x v="4"/>
    <x v="4"/>
    <x v="2"/>
    <x v="0"/>
    <x v="0"/>
  </r>
  <r>
    <x v="17"/>
    <x v="2"/>
    <x v="0"/>
    <x v="2"/>
    <x v="1"/>
    <x v="7"/>
    <x v="4"/>
    <x v="4"/>
    <x v="2"/>
    <x v="0"/>
    <x v="0"/>
  </r>
  <r>
    <x v="17"/>
    <x v="2"/>
    <x v="1"/>
    <x v="2"/>
    <x v="0"/>
    <x v="7"/>
    <x v="4"/>
    <x v="4"/>
    <x v="2"/>
    <x v="0"/>
    <x v="0"/>
  </r>
  <r>
    <x v="17"/>
    <x v="2"/>
    <x v="1"/>
    <x v="2"/>
    <x v="0"/>
    <x v="7"/>
    <x v="4"/>
    <x v="4"/>
    <x v="2"/>
    <x v="0"/>
    <x v="0"/>
  </r>
  <r>
    <x v="17"/>
    <x v="2"/>
    <x v="0"/>
    <x v="2"/>
    <x v="1"/>
    <x v="7"/>
    <x v="0"/>
    <x v="4"/>
    <x v="2"/>
    <x v="0"/>
    <x v="0"/>
  </r>
  <r>
    <x v="17"/>
    <x v="2"/>
    <x v="1"/>
    <x v="2"/>
    <x v="1"/>
    <x v="7"/>
    <x v="0"/>
    <x v="4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7"/>
    <x v="3"/>
    <x v="3"/>
    <x v="1"/>
    <x v="2"/>
    <x v="3"/>
    <x v="5"/>
    <x v="3"/>
    <x v="2"/>
    <x v="0"/>
    <x v="0"/>
  </r>
  <r>
    <x v="18"/>
    <x v="2"/>
    <x v="0"/>
    <x v="0"/>
    <x v="1"/>
    <x v="6"/>
    <x v="0"/>
    <x v="4"/>
    <x v="2"/>
    <x v="0"/>
    <x v="0"/>
  </r>
  <r>
    <x v="18"/>
    <x v="2"/>
    <x v="1"/>
    <x v="0"/>
    <x v="0"/>
    <x v="6"/>
    <x v="0"/>
    <x v="4"/>
    <x v="2"/>
    <x v="0"/>
    <x v="0"/>
  </r>
  <r>
    <x v="18"/>
    <x v="2"/>
    <x v="1"/>
    <x v="0"/>
    <x v="0"/>
    <x v="9"/>
    <x v="0"/>
    <x v="4"/>
    <x v="2"/>
    <x v="0"/>
    <x v="0"/>
  </r>
  <r>
    <x v="18"/>
    <x v="2"/>
    <x v="0"/>
    <x v="0"/>
    <x v="1"/>
    <x v="2"/>
    <x v="0"/>
    <x v="4"/>
    <x v="2"/>
    <x v="0"/>
    <x v="0"/>
  </r>
  <r>
    <x v="18"/>
    <x v="2"/>
    <x v="0"/>
    <x v="0"/>
    <x v="1"/>
    <x v="2"/>
    <x v="2"/>
    <x v="2"/>
    <x v="3"/>
    <x v="0"/>
    <x v="0"/>
  </r>
  <r>
    <x v="18"/>
    <x v="2"/>
    <x v="0"/>
    <x v="0"/>
    <x v="1"/>
    <x v="2"/>
    <x v="2"/>
    <x v="2"/>
    <x v="3"/>
    <x v="0"/>
    <x v="0"/>
  </r>
  <r>
    <x v="18"/>
    <x v="2"/>
    <x v="0"/>
    <x v="0"/>
    <x v="1"/>
    <x v="2"/>
    <x v="0"/>
    <x v="2"/>
    <x v="3"/>
    <x v="0"/>
    <x v="0"/>
  </r>
  <r>
    <x v="18"/>
    <x v="0"/>
    <x v="0"/>
    <x v="0"/>
    <x v="1"/>
    <x v="2"/>
    <x v="2"/>
    <x v="0"/>
    <x v="23"/>
    <x v="0"/>
    <x v="0"/>
  </r>
  <r>
    <x v="18"/>
    <x v="0"/>
    <x v="1"/>
    <x v="0"/>
    <x v="0"/>
    <x v="2"/>
    <x v="2"/>
    <x v="0"/>
    <x v="23"/>
    <x v="0"/>
    <x v="0"/>
  </r>
  <r>
    <x v="18"/>
    <x v="0"/>
    <x v="0"/>
    <x v="0"/>
    <x v="0"/>
    <x v="5"/>
    <x v="4"/>
    <x v="0"/>
    <x v="23"/>
    <x v="0"/>
    <x v="0"/>
  </r>
  <r>
    <x v="18"/>
    <x v="0"/>
    <x v="0"/>
    <x v="0"/>
    <x v="1"/>
    <x v="2"/>
    <x v="2"/>
    <x v="0"/>
    <x v="23"/>
    <x v="0"/>
    <x v="0"/>
  </r>
  <r>
    <x v="18"/>
    <x v="0"/>
    <x v="0"/>
    <x v="0"/>
    <x v="1"/>
    <x v="2"/>
    <x v="0"/>
    <x v="0"/>
    <x v="23"/>
    <x v="0"/>
    <x v="0"/>
  </r>
  <r>
    <x v="18"/>
    <x v="0"/>
    <x v="0"/>
    <x v="0"/>
    <x v="1"/>
    <x v="9"/>
    <x v="6"/>
    <x v="0"/>
    <x v="23"/>
    <x v="0"/>
    <x v="0"/>
  </r>
  <r>
    <x v="18"/>
    <x v="0"/>
    <x v="0"/>
    <x v="0"/>
    <x v="1"/>
    <x v="9"/>
    <x v="6"/>
    <x v="0"/>
    <x v="23"/>
    <x v="0"/>
    <x v="0"/>
  </r>
  <r>
    <x v="18"/>
    <x v="0"/>
    <x v="0"/>
    <x v="0"/>
    <x v="1"/>
    <x v="9"/>
    <x v="6"/>
    <x v="0"/>
    <x v="23"/>
    <x v="0"/>
    <x v="0"/>
  </r>
  <r>
    <x v="18"/>
    <x v="2"/>
    <x v="0"/>
    <x v="0"/>
    <x v="1"/>
    <x v="2"/>
    <x v="2"/>
    <x v="4"/>
    <x v="2"/>
    <x v="0"/>
    <x v="0"/>
  </r>
  <r>
    <x v="18"/>
    <x v="2"/>
    <x v="0"/>
    <x v="0"/>
    <x v="1"/>
    <x v="2"/>
    <x v="0"/>
    <x v="2"/>
    <x v="3"/>
    <x v="0"/>
    <x v="0"/>
  </r>
  <r>
    <x v="18"/>
    <x v="2"/>
    <x v="1"/>
    <x v="0"/>
    <x v="1"/>
    <x v="2"/>
    <x v="0"/>
    <x v="4"/>
    <x v="2"/>
    <x v="0"/>
    <x v="0"/>
  </r>
  <r>
    <x v="18"/>
    <x v="2"/>
    <x v="0"/>
    <x v="0"/>
    <x v="1"/>
    <x v="9"/>
    <x v="6"/>
    <x v="0"/>
    <x v="28"/>
    <x v="0"/>
    <x v="0"/>
  </r>
  <r>
    <x v="18"/>
    <x v="2"/>
    <x v="0"/>
    <x v="0"/>
    <x v="1"/>
    <x v="14"/>
    <x v="4"/>
    <x v="0"/>
    <x v="28"/>
    <x v="0"/>
    <x v="0"/>
  </r>
  <r>
    <x v="18"/>
    <x v="4"/>
    <x v="0"/>
    <x v="0"/>
    <x v="0"/>
    <x v="6"/>
    <x v="2"/>
    <x v="0"/>
    <x v="12"/>
    <x v="0"/>
    <x v="0"/>
  </r>
  <r>
    <x v="18"/>
    <x v="4"/>
    <x v="0"/>
    <x v="0"/>
    <x v="0"/>
    <x v="6"/>
    <x v="2"/>
    <x v="0"/>
    <x v="12"/>
    <x v="0"/>
    <x v="0"/>
  </r>
  <r>
    <x v="18"/>
    <x v="4"/>
    <x v="0"/>
    <x v="0"/>
    <x v="0"/>
    <x v="6"/>
    <x v="2"/>
    <x v="0"/>
    <x v="12"/>
    <x v="0"/>
    <x v="0"/>
  </r>
  <r>
    <x v="18"/>
    <x v="4"/>
    <x v="0"/>
    <x v="0"/>
    <x v="1"/>
    <x v="6"/>
    <x v="2"/>
    <x v="0"/>
    <x v="12"/>
    <x v="0"/>
    <x v="0"/>
  </r>
  <r>
    <x v="18"/>
    <x v="4"/>
    <x v="0"/>
    <x v="0"/>
    <x v="1"/>
    <x v="6"/>
    <x v="2"/>
    <x v="0"/>
    <x v="12"/>
    <x v="0"/>
    <x v="0"/>
  </r>
  <r>
    <x v="18"/>
    <x v="4"/>
    <x v="0"/>
    <x v="0"/>
    <x v="1"/>
    <x v="6"/>
    <x v="2"/>
    <x v="0"/>
    <x v="12"/>
    <x v="0"/>
    <x v="0"/>
  </r>
  <r>
    <x v="18"/>
    <x v="4"/>
    <x v="1"/>
    <x v="0"/>
    <x v="0"/>
    <x v="6"/>
    <x v="2"/>
    <x v="0"/>
    <x v="12"/>
    <x v="0"/>
    <x v="0"/>
  </r>
  <r>
    <x v="18"/>
    <x v="4"/>
    <x v="1"/>
    <x v="0"/>
    <x v="0"/>
    <x v="6"/>
    <x v="2"/>
    <x v="0"/>
    <x v="12"/>
    <x v="0"/>
    <x v="0"/>
  </r>
  <r>
    <x v="18"/>
    <x v="4"/>
    <x v="1"/>
    <x v="0"/>
    <x v="0"/>
    <x v="6"/>
    <x v="2"/>
    <x v="0"/>
    <x v="12"/>
    <x v="0"/>
    <x v="0"/>
  </r>
  <r>
    <x v="18"/>
    <x v="4"/>
    <x v="1"/>
    <x v="0"/>
    <x v="0"/>
    <x v="6"/>
    <x v="2"/>
    <x v="0"/>
    <x v="12"/>
    <x v="0"/>
    <x v="0"/>
  </r>
  <r>
    <x v="18"/>
    <x v="4"/>
    <x v="1"/>
    <x v="0"/>
    <x v="0"/>
    <x v="6"/>
    <x v="2"/>
    <x v="0"/>
    <x v="12"/>
    <x v="0"/>
    <x v="0"/>
  </r>
  <r>
    <x v="18"/>
    <x v="4"/>
    <x v="1"/>
    <x v="0"/>
    <x v="0"/>
    <x v="6"/>
    <x v="2"/>
    <x v="0"/>
    <x v="12"/>
    <x v="0"/>
    <x v="0"/>
  </r>
  <r>
    <x v="18"/>
    <x v="4"/>
    <x v="1"/>
    <x v="0"/>
    <x v="1"/>
    <x v="6"/>
    <x v="2"/>
    <x v="0"/>
    <x v="12"/>
    <x v="0"/>
    <x v="0"/>
  </r>
  <r>
    <x v="18"/>
    <x v="4"/>
    <x v="1"/>
    <x v="0"/>
    <x v="1"/>
    <x v="6"/>
    <x v="2"/>
    <x v="0"/>
    <x v="12"/>
    <x v="0"/>
    <x v="0"/>
  </r>
  <r>
    <x v="18"/>
    <x v="4"/>
    <x v="1"/>
    <x v="0"/>
    <x v="1"/>
    <x v="6"/>
    <x v="2"/>
    <x v="0"/>
    <x v="12"/>
    <x v="0"/>
    <x v="0"/>
  </r>
  <r>
    <x v="18"/>
    <x v="4"/>
    <x v="1"/>
    <x v="0"/>
    <x v="1"/>
    <x v="6"/>
    <x v="2"/>
    <x v="0"/>
    <x v="12"/>
    <x v="0"/>
    <x v="0"/>
  </r>
  <r>
    <x v="18"/>
    <x v="4"/>
    <x v="1"/>
    <x v="0"/>
    <x v="1"/>
    <x v="6"/>
    <x v="2"/>
    <x v="0"/>
    <x v="12"/>
    <x v="0"/>
    <x v="0"/>
  </r>
  <r>
    <x v="18"/>
    <x v="4"/>
    <x v="1"/>
    <x v="0"/>
    <x v="1"/>
    <x v="6"/>
    <x v="2"/>
    <x v="0"/>
    <x v="12"/>
    <x v="0"/>
    <x v="0"/>
  </r>
  <r>
    <x v="18"/>
    <x v="4"/>
    <x v="1"/>
    <x v="0"/>
    <x v="1"/>
    <x v="6"/>
    <x v="2"/>
    <x v="0"/>
    <x v="12"/>
    <x v="0"/>
    <x v="0"/>
  </r>
  <r>
    <x v="18"/>
    <x v="4"/>
    <x v="1"/>
    <x v="0"/>
    <x v="1"/>
    <x v="6"/>
    <x v="2"/>
    <x v="0"/>
    <x v="12"/>
    <x v="0"/>
    <x v="0"/>
  </r>
  <r>
    <x v="18"/>
    <x v="4"/>
    <x v="0"/>
    <x v="0"/>
    <x v="1"/>
    <x v="2"/>
    <x v="2"/>
    <x v="2"/>
    <x v="3"/>
    <x v="0"/>
    <x v="0"/>
  </r>
  <r>
    <x v="18"/>
    <x v="4"/>
    <x v="0"/>
    <x v="0"/>
    <x v="1"/>
    <x v="17"/>
    <x v="2"/>
    <x v="2"/>
    <x v="3"/>
    <x v="0"/>
    <x v="0"/>
  </r>
  <r>
    <x v="18"/>
    <x v="4"/>
    <x v="1"/>
    <x v="0"/>
    <x v="1"/>
    <x v="7"/>
    <x v="3"/>
    <x v="2"/>
    <x v="3"/>
    <x v="0"/>
    <x v="0"/>
  </r>
  <r>
    <x v="18"/>
    <x v="4"/>
    <x v="1"/>
    <x v="0"/>
    <x v="0"/>
    <x v="0"/>
    <x v="6"/>
    <x v="0"/>
    <x v="6"/>
    <x v="0"/>
    <x v="0"/>
  </r>
  <r>
    <x v="18"/>
    <x v="4"/>
    <x v="1"/>
    <x v="0"/>
    <x v="0"/>
    <x v="5"/>
    <x v="4"/>
    <x v="2"/>
    <x v="3"/>
    <x v="0"/>
    <x v="0"/>
  </r>
  <r>
    <x v="18"/>
    <x v="4"/>
    <x v="1"/>
    <x v="0"/>
    <x v="1"/>
    <x v="5"/>
    <x v="3"/>
    <x v="2"/>
    <x v="3"/>
    <x v="0"/>
    <x v="0"/>
  </r>
  <r>
    <x v="18"/>
    <x v="4"/>
    <x v="1"/>
    <x v="0"/>
    <x v="1"/>
    <x v="5"/>
    <x v="4"/>
    <x v="0"/>
    <x v="6"/>
    <x v="0"/>
    <x v="0"/>
  </r>
  <r>
    <x v="18"/>
    <x v="4"/>
    <x v="1"/>
    <x v="0"/>
    <x v="1"/>
    <x v="4"/>
    <x v="4"/>
    <x v="0"/>
    <x v="6"/>
    <x v="0"/>
    <x v="0"/>
  </r>
  <r>
    <x v="18"/>
    <x v="4"/>
    <x v="1"/>
    <x v="0"/>
    <x v="1"/>
    <x v="4"/>
    <x v="4"/>
    <x v="0"/>
    <x v="6"/>
    <x v="0"/>
    <x v="0"/>
  </r>
  <r>
    <x v="18"/>
    <x v="4"/>
    <x v="1"/>
    <x v="0"/>
    <x v="1"/>
    <x v="4"/>
    <x v="4"/>
    <x v="0"/>
    <x v="6"/>
    <x v="0"/>
    <x v="0"/>
  </r>
  <r>
    <x v="18"/>
    <x v="4"/>
    <x v="1"/>
    <x v="0"/>
    <x v="1"/>
    <x v="0"/>
    <x v="4"/>
    <x v="0"/>
    <x v="6"/>
    <x v="0"/>
    <x v="0"/>
  </r>
  <r>
    <x v="18"/>
    <x v="5"/>
    <x v="1"/>
    <x v="0"/>
    <x v="1"/>
    <x v="11"/>
    <x v="0"/>
    <x v="2"/>
    <x v="20"/>
    <x v="0"/>
    <x v="0"/>
  </r>
  <r>
    <x v="18"/>
    <x v="5"/>
    <x v="0"/>
    <x v="0"/>
    <x v="0"/>
    <x v="11"/>
    <x v="0"/>
    <x v="2"/>
    <x v="20"/>
    <x v="0"/>
    <x v="0"/>
  </r>
  <r>
    <x v="18"/>
    <x v="5"/>
    <x v="1"/>
    <x v="0"/>
    <x v="1"/>
    <x v="5"/>
    <x v="0"/>
    <x v="1"/>
    <x v="21"/>
    <x v="0"/>
    <x v="0"/>
  </r>
  <r>
    <x v="18"/>
    <x v="5"/>
    <x v="0"/>
    <x v="0"/>
    <x v="1"/>
    <x v="7"/>
    <x v="4"/>
    <x v="1"/>
    <x v="21"/>
    <x v="0"/>
    <x v="0"/>
  </r>
  <r>
    <x v="18"/>
    <x v="2"/>
    <x v="0"/>
    <x v="0"/>
    <x v="0"/>
    <x v="11"/>
    <x v="4"/>
    <x v="4"/>
    <x v="2"/>
    <x v="0"/>
    <x v="0"/>
  </r>
  <r>
    <x v="18"/>
    <x v="2"/>
    <x v="1"/>
    <x v="0"/>
    <x v="1"/>
    <x v="11"/>
    <x v="4"/>
    <x v="4"/>
    <x v="2"/>
    <x v="0"/>
    <x v="0"/>
  </r>
  <r>
    <x v="18"/>
    <x v="2"/>
    <x v="0"/>
    <x v="2"/>
    <x v="1"/>
    <x v="11"/>
    <x v="4"/>
    <x v="4"/>
    <x v="2"/>
    <x v="0"/>
    <x v="0"/>
  </r>
  <r>
    <x v="18"/>
    <x v="2"/>
    <x v="0"/>
    <x v="0"/>
    <x v="1"/>
    <x v="2"/>
    <x v="2"/>
    <x v="2"/>
    <x v="3"/>
    <x v="0"/>
    <x v="0"/>
  </r>
  <r>
    <x v="18"/>
    <x v="2"/>
    <x v="1"/>
    <x v="0"/>
    <x v="1"/>
    <x v="2"/>
    <x v="2"/>
    <x v="4"/>
    <x v="2"/>
    <x v="0"/>
    <x v="0"/>
  </r>
  <r>
    <x v="18"/>
    <x v="1"/>
    <x v="0"/>
    <x v="0"/>
    <x v="1"/>
    <x v="1"/>
    <x v="2"/>
    <x v="2"/>
    <x v="3"/>
    <x v="0"/>
    <x v="0"/>
  </r>
  <r>
    <x v="18"/>
    <x v="1"/>
    <x v="0"/>
    <x v="0"/>
    <x v="1"/>
    <x v="2"/>
    <x v="2"/>
    <x v="2"/>
    <x v="3"/>
    <x v="0"/>
    <x v="0"/>
  </r>
  <r>
    <x v="18"/>
    <x v="1"/>
    <x v="0"/>
    <x v="0"/>
    <x v="1"/>
    <x v="2"/>
    <x v="2"/>
    <x v="2"/>
    <x v="3"/>
    <x v="0"/>
    <x v="0"/>
  </r>
  <r>
    <x v="18"/>
    <x v="1"/>
    <x v="0"/>
    <x v="0"/>
    <x v="1"/>
    <x v="14"/>
    <x v="2"/>
    <x v="2"/>
    <x v="3"/>
    <x v="0"/>
    <x v="0"/>
  </r>
  <r>
    <x v="18"/>
    <x v="1"/>
    <x v="1"/>
    <x v="0"/>
    <x v="1"/>
    <x v="0"/>
    <x v="3"/>
    <x v="2"/>
    <x v="3"/>
    <x v="0"/>
    <x v="0"/>
  </r>
  <r>
    <x v="18"/>
    <x v="1"/>
    <x v="1"/>
    <x v="0"/>
    <x v="0"/>
    <x v="2"/>
    <x v="3"/>
    <x v="0"/>
    <x v="10"/>
    <x v="0"/>
    <x v="0"/>
  </r>
  <r>
    <x v="18"/>
    <x v="1"/>
    <x v="1"/>
    <x v="0"/>
    <x v="0"/>
    <x v="4"/>
    <x v="3"/>
    <x v="0"/>
    <x v="10"/>
    <x v="0"/>
    <x v="0"/>
  </r>
  <r>
    <x v="18"/>
    <x v="1"/>
    <x v="1"/>
    <x v="0"/>
    <x v="1"/>
    <x v="5"/>
    <x v="3"/>
    <x v="0"/>
    <x v="10"/>
    <x v="0"/>
    <x v="0"/>
  </r>
  <r>
    <x v="18"/>
    <x v="1"/>
    <x v="1"/>
    <x v="0"/>
    <x v="1"/>
    <x v="0"/>
    <x v="3"/>
    <x v="0"/>
    <x v="10"/>
    <x v="0"/>
    <x v="0"/>
  </r>
  <r>
    <x v="18"/>
    <x v="1"/>
    <x v="1"/>
    <x v="0"/>
    <x v="1"/>
    <x v="8"/>
    <x v="3"/>
    <x v="0"/>
    <x v="10"/>
    <x v="0"/>
    <x v="0"/>
  </r>
  <r>
    <x v="18"/>
    <x v="1"/>
    <x v="0"/>
    <x v="0"/>
    <x v="0"/>
    <x v="1"/>
    <x v="4"/>
    <x v="2"/>
    <x v="3"/>
    <x v="0"/>
    <x v="0"/>
  </r>
  <r>
    <x v="18"/>
    <x v="1"/>
    <x v="0"/>
    <x v="0"/>
    <x v="0"/>
    <x v="13"/>
    <x v="2"/>
    <x v="2"/>
    <x v="3"/>
    <x v="0"/>
    <x v="0"/>
  </r>
  <r>
    <x v="18"/>
    <x v="1"/>
    <x v="0"/>
    <x v="0"/>
    <x v="1"/>
    <x v="2"/>
    <x v="0"/>
    <x v="2"/>
    <x v="3"/>
    <x v="0"/>
    <x v="0"/>
  </r>
  <r>
    <x v="18"/>
    <x v="4"/>
    <x v="0"/>
    <x v="2"/>
    <x v="0"/>
    <x v="11"/>
    <x v="4"/>
    <x v="4"/>
    <x v="2"/>
    <x v="0"/>
    <x v="0"/>
  </r>
  <r>
    <x v="18"/>
    <x v="4"/>
    <x v="1"/>
    <x v="2"/>
    <x v="0"/>
    <x v="11"/>
    <x v="4"/>
    <x v="4"/>
    <x v="2"/>
    <x v="0"/>
    <x v="0"/>
  </r>
  <r>
    <x v="18"/>
    <x v="4"/>
    <x v="1"/>
    <x v="2"/>
    <x v="1"/>
    <x v="11"/>
    <x v="4"/>
    <x v="4"/>
    <x v="2"/>
    <x v="0"/>
    <x v="0"/>
  </r>
  <r>
    <x v="18"/>
    <x v="1"/>
    <x v="1"/>
    <x v="0"/>
    <x v="0"/>
    <x v="2"/>
    <x v="3"/>
    <x v="0"/>
    <x v="10"/>
    <x v="0"/>
    <x v="0"/>
  </r>
  <r>
    <x v="18"/>
    <x v="1"/>
    <x v="1"/>
    <x v="0"/>
    <x v="0"/>
    <x v="4"/>
    <x v="3"/>
    <x v="0"/>
    <x v="10"/>
    <x v="0"/>
    <x v="0"/>
  </r>
  <r>
    <x v="18"/>
    <x v="1"/>
    <x v="1"/>
    <x v="0"/>
    <x v="1"/>
    <x v="5"/>
    <x v="3"/>
    <x v="0"/>
    <x v="10"/>
    <x v="0"/>
    <x v="0"/>
  </r>
  <r>
    <x v="18"/>
    <x v="1"/>
    <x v="1"/>
    <x v="0"/>
    <x v="1"/>
    <x v="0"/>
    <x v="3"/>
    <x v="0"/>
    <x v="10"/>
    <x v="0"/>
    <x v="0"/>
  </r>
  <r>
    <x v="18"/>
    <x v="1"/>
    <x v="1"/>
    <x v="0"/>
    <x v="1"/>
    <x v="8"/>
    <x v="3"/>
    <x v="0"/>
    <x v="10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8"/>
    <x v="3"/>
    <x v="3"/>
    <x v="1"/>
    <x v="2"/>
    <x v="3"/>
    <x v="5"/>
    <x v="3"/>
    <x v="2"/>
    <x v="0"/>
    <x v="0"/>
  </r>
  <r>
    <x v="19"/>
    <x v="2"/>
    <x v="0"/>
    <x v="0"/>
    <x v="1"/>
    <x v="2"/>
    <x v="0"/>
    <x v="2"/>
    <x v="5"/>
    <x v="0"/>
    <x v="0"/>
  </r>
  <r>
    <x v="19"/>
    <x v="2"/>
    <x v="1"/>
    <x v="0"/>
    <x v="0"/>
    <x v="2"/>
    <x v="0"/>
    <x v="2"/>
    <x v="5"/>
    <x v="0"/>
    <x v="0"/>
  </r>
  <r>
    <x v="19"/>
    <x v="2"/>
    <x v="1"/>
    <x v="2"/>
    <x v="1"/>
    <x v="11"/>
    <x v="0"/>
    <x v="4"/>
    <x v="2"/>
    <x v="0"/>
    <x v="0"/>
  </r>
  <r>
    <x v="19"/>
    <x v="2"/>
    <x v="0"/>
    <x v="0"/>
    <x v="1"/>
    <x v="2"/>
    <x v="0"/>
    <x v="4"/>
    <x v="2"/>
    <x v="0"/>
    <x v="0"/>
  </r>
  <r>
    <x v="19"/>
    <x v="2"/>
    <x v="0"/>
    <x v="2"/>
    <x v="1"/>
    <x v="2"/>
    <x v="0"/>
    <x v="4"/>
    <x v="2"/>
    <x v="0"/>
    <x v="0"/>
  </r>
  <r>
    <x v="19"/>
    <x v="0"/>
    <x v="0"/>
    <x v="0"/>
    <x v="1"/>
    <x v="0"/>
    <x v="4"/>
    <x v="0"/>
    <x v="0"/>
    <x v="14"/>
    <x v="7"/>
  </r>
  <r>
    <x v="19"/>
    <x v="0"/>
    <x v="1"/>
    <x v="2"/>
    <x v="0"/>
    <x v="0"/>
    <x v="4"/>
    <x v="0"/>
    <x v="0"/>
    <x v="14"/>
    <x v="7"/>
  </r>
  <r>
    <x v="19"/>
    <x v="1"/>
    <x v="0"/>
    <x v="0"/>
    <x v="1"/>
    <x v="2"/>
    <x v="2"/>
    <x v="0"/>
    <x v="14"/>
    <x v="14"/>
    <x v="7"/>
  </r>
  <r>
    <x v="19"/>
    <x v="1"/>
    <x v="0"/>
    <x v="0"/>
    <x v="1"/>
    <x v="2"/>
    <x v="2"/>
    <x v="0"/>
    <x v="14"/>
    <x v="14"/>
    <x v="7"/>
  </r>
  <r>
    <x v="19"/>
    <x v="1"/>
    <x v="0"/>
    <x v="0"/>
    <x v="1"/>
    <x v="2"/>
    <x v="2"/>
    <x v="0"/>
    <x v="14"/>
    <x v="14"/>
    <x v="7"/>
  </r>
  <r>
    <x v="19"/>
    <x v="1"/>
    <x v="0"/>
    <x v="0"/>
    <x v="1"/>
    <x v="2"/>
    <x v="2"/>
    <x v="0"/>
    <x v="14"/>
    <x v="14"/>
    <x v="7"/>
  </r>
  <r>
    <x v="19"/>
    <x v="1"/>
    <x v="0"/>
    <x v="0"/>
    <x v="1"/>
    <x v="2"/>
    <x v="2"/>
    <x v="0"/>
    <x v="14"/>
    <x v="14"/>
    <x v="7"/>
  </r>
  <r>
    <x v="19"/>
    <x v="1"/>
    <x v="0"/>
    <x v="0"/>
    <x v="1"/>
    <x v="2"/>
    <x v="2"/>
    <x v="0"/>
    <x v="14"/>
    <x v="14"/>
    <x v="7"/>
  </r>
  <r>
    <x v="19"/>
    <x v="1"/>
    <x v="0"/>
    <x v="0"/>
    <x v="1"/>
    <x v="2"/>
    <x v="2"/>
    <x v="0"/>
    <x v="14"/>
    <x v="14"/>
    <x v="7"/>
  </r>
  <r>
    <x v="19"/>
    <x v="2"/>
    <x v="1"/>
    <x v="0"/>
    <x v="1"/>
    <x v="2"/>
    <x v="3"/>
    <x v="2"/>
    <x v="3"/>
    <x v="14"/>
    <x v="7"/>
  </r>
  <r>
    <x v="19"/>
    <x v="1"/>
    <x v="0"/>
    <x v="0"/>
    <x v="0"/>
    <x v="1"/>
    <x v="4"/>
    <x v="2"/>
    <x v="3"/>
    <x v="14"/>
    <x v="7"/>
  </r>
  <r>
    <x v="19"/>
    <x v="1"/>
    <x v="1"/>
    <x v="0"/>
    <x v="1"/>
    <x v="1"/>
    <x v="4"/>
    <x v="0"/>
    <x v="3"/>
    <x v="14"/>
    <x v="7"/>
  </r>
  <r>
    <x v="19"/>
    <x v="1"/>
    <x v="0"/>
    <x v="0"/>
    <x v="0"/>
    <x v="1"/>
    <x v="4"/>
    <x v="2"/>
    <x v="3"/>
    <x v="14"/>
    <x v="7"/>
  </r>
  <r>
    <x v="19"/>
    <x v="1"/>
    <x v="1"/>
    <x v="0"/>
    <x v="1"/>
    <x v="18"/>
    <x v="3"/>
    <x v="2"/>
    <x v="3"/>
    <x v="14"/>
    <x v="7"/>
  </r>
  <r>
    <x v="19"/>
    <x v="1"/>
    <x v="0"/>
    <x v="0"/>
    <x v="0"/>
    <x v="4"/>
    <x v="0"/>
    <x v="2"/>
    <x v="3"/>
    <x v="14"/>
    <x v="7"/>
  </r>
  <r>
    <x v="19"/>
    <x v="4"/>
    <x v="0"/>
    <x v="0"/>
    <x v="0"/>
    <x v="11"/>
    <x v="0"/>
    <x v="4"/>
    <x v="2"/>
    <x v="0"/>
    <x v="0"/>
  </r>
  <r>
    <x v="19"/>
    <x v="4"/>
    <x v="1"/>
    <x v="0"/>
    <x v="1"/>
    <x v="11"/>
    <x v="0"/>
    <x v="4"/>
    <x v="2"/>
    <x v="0"/>
    <x v="0"/>
  </r>
  <r>
    <x v="19"/>
    <x v="4"/>
    <x v="1"/>
    <x v="0"/>
    <x v="1"/>
    <x v="11"/>
    <x v="0"/>
    <x v="4"/>
    <x v="2"/>
    <x v="0"/>
    <x v="0"/>
  </r>
  <r>
    <x v="19"/>
    <x v="4"/>
    <x v="0"/>
    <x v="2"/>
    <x v="0"/>
    <x v="0"/>
    <x v="2"/>
    <x v="4"/>
    <x v="2"/>
    <x v="0"/>
    <x v="0"/>
  </r>
  <r>
    <x v="19"/>
    <x v="4"/>
    <x v="0"/>
    <x v="2"/>
    <x v="0"/>
    <x v="10"/>
    <x v="4"/>
    <x v="4"/>
    <x v="2"/>
    <x v="0"/>
    <x v="0"/>
  </r>
  <r>
    <x v="19"/>
    <x v="4"/>
    <x v="1"/>
    <x v="2"/>
    <x v="1"/>
    <x v="10"/>
    <x v="4"/>
    <x v="4"/>
    <x v="2"/>
    <x v="0"/>
    <x v="0"/>
  </r>
  <r>
    <x v="19"/>
    <x v="4"/>
    <x v="0"/>
    <x v="0"/>
    <x v="1"/>
    <x v="6"/>
    <x v="4"/>
    <x v="4"/>
    <x v="2"/>
    <x v="0"/>
    <x v="0"/>
  </r>
  <r>
    <x v="19"/>
    <x v="4"/>
    <x v="1"/>
    <x v="0"/>
    <x v="0"/>
    <x v="6"/>
    <x v="4"/>
    <x v="4"/>
    <x v="2"/>
    <x v="0"/>
    <x v="0"/>
  </r>
  <r>
    <x v="19"/>
    <x v="4"/>
    <x v="1"/>
    <x v="0"/>
    <x v="1"/>
    <x v="6"/>
    <x v="4"/>
    <x v="4"/>
    <x v="2"/>
    <x v="0"/>
    <x v="0"/>
  </r>
  <r>
    <x v="19"/>
    <x v="1"/>
    <x v="0"/>
    <x v="0"/>
    <x v="1"/>
    <x v="2"/>
    <x v="2"/>
    <x v="2"/>
    <x v="3"/>
    <x v="13"/>
    <x v="0"/>
  </r>
  <r>
    <x v="19"/>
    <x v="1"/>
    <x v="0"/>
    <x v="0"/>
    <x v="1"/>
    <x v="2"/>
    <x v="2"/>
    <x v="0"/>
    <x v="1"/>
    <x v="13"/>
    <x v="0"/>
  </r>
  <r>
    <x v="19"/>
    <x v="1"/>
    <x v="0"/>
    <x v="0"/>
    <x v="1"/>
    <x v="2"/>
    <x v="2"/>
    <x v="0"/>
    <x v="1"/>
    <x v="13"/>
    <x v="0"/>
  </r>
  <r>
    <x v="19"/>
    <x v="1"/>
    <x v="1"/>
    <x v="0"/>
    <x v="1"/>
    <x v="0"/>
    <x v="0"/>
    <x v="0"/>
    <x v="1"/>
    <x v="13"/>
    <x v="0"/>
  </r>
  <r>
    <x v="19"/>
    <x v="1"/>
    <x v="0"/>
    <x v="0"/>
    <x v="1"/>
    <x v="2"/>
    <x v="2"/>
    <x v="0"/>
    <x v="1"/>
    <x v="13"/>
    <x v="0"/>
  </r>
  <r>
    <x v="19"/>
    <x v="4"/>
    <x v="0"/>
    <x v="2"/>
    <x v="0"/>
    <x v="4"/>
    <x v="4"/>
    <x v="4"/>
    <x v="2"/>
    <x v="0"/>
    <x v="0"/>
  </r>
  <r>
    <x v="19"/>
    <x v="4"/>
    <x v="1"/>
    <x v="2"/>
    <x v="1"/>
    <x v="4"/>
    <x v="4"/>
    <x v="4"/>
    <x v="2"/>
    <x v="0"/>
    <x v="0"/>
  </r>
  <r>
    <x v="19"/>
    <x v="4"/>
    <x v="0"/>
    <x v="0"/>
    <x v="1"/>
    <x v="2"/>
    <x v="0"/>
    <x v="4"/>
    <x v="2"/>
    <x v="0"/>
    <x v="0"/>
  </r>
  <r>
    <x v="19"/>
    <x v="4"/>
    <x v="1"/>
    <x v="0"/>
    <x v="1"/>
    <x v="2"/>
    <x v="0"/>
    <x v="4"/>
    <x v="2"/>
    <x v="0"/>
    <x v="0"/>
  </r>
  <r>
    <x v="19"/>
    <x v="4"/>
    <x v="1"/>
    <x v="0"/>
    <x v="0"/>
    <x v="2"/>
    <x v="0"/>
    <x v="4"/>
    <x v="2"/>
    <x v="0"/>
    <x v="0"/>
  </r>
  <r>
    <x v="19"/>
    <x v="4"/>
    <x v="0"/>
    <x v="0"/>
    <x v="0"/>
    <x v="10"/>
    <x v="4"/>
    <x v="2"/>
    <x v="3"/>
    <x v="0"/>
    <x v="0"/>
  </r>
  <r>
    <x v="19"/>
    <x v="4"/>
    <x v="1"/>
    <x v="0"/>
    <x v="0"/>
    <x v="11"/>
    <x v="4"/>
    <x v="4"/>
    <x v="2"/>
    <x v="0"/>
    <x v="0"/>
  </r>
  <r>
    <x v="19"/>
    <x v="4"/>
    <x v="0"/>
    <x v="0"/>
    <x v="0"/>
    <x v="1"/>
    <x v="4"/>
    <x v="2"/>
    <x v="3"/>
    <x v="0"/>
    <x v="0"/>
  </r>
  <r>
    <x v="19"/>
    <x v="4"/>
    <x v="1"/>
    <x v="0"/>
    <x v="1"/>
    <x v="1"/>
    <x v="4"/>
    <x v="2"/>
    <x v="3"/>
    <x v="0"/>
    <x v="0"/>
  </r>
  <r>
    <x v="19"/>
    <x v="4"/>
    <x v="0"/>
    <x v="2"/>
    <x v="1"/>
    <x v="2"/>
    <x v="0"/>
    <x v="4"/>
    <x v="2"/>
    <x v="0"/>
    <x v="0"/>
  </r>
  <r>
    <x v="19"/>
    <x v="4"/>
    <x v="1"/>
    <x v="2"/>
    <x v="1"/>
    <x v="2"/>
    <x v="0"/>
    <x v="4"/>
    <x v="2"/>
    <x v="0"/>
    <x v="0"/>
  </r>
  <r>
    <x v="19"/>
    <x v="4"/>
    <x v="1"/>
    <x v="2"/>
    <x v="1"/>
    <x v="2"/>
    <x v="0"/>
    <x v="4"/>
    <x v="2"/>
    <x v="0"/>
    <x v="0"/>
  </r>
  <r>
    <x v="19"/>
    <x v="2"/>
    <x v="1"/>
    <x v="2"/>
    <x v="1"/>
    <x v="2"/>
    <x v="3"/>
    <x v="4"/>
    <x v="2"/>
    <x v="0"/>
    <x v="0"/>
  </r>
  <r>
    <x v="19"/>
    <x v="2"/>
    <x v="1"/>
    <x v="2"/>
    <x v="1"/>
    <x v="11"/>
    <x v="0"/>
    <x v="4"/>
    <x v="2"/>
    <x v="0"/>
    <x v="0"/>
  </r>
  <r>
    <x v="19"/>
    <x v="2"/>
    <x v="1"/>
    <x v="2"/>
    <x v="1"/>
    <x v="12"/>
    <x v="0"/>
    <x v="4"/>
    <x v="2"/>
    <x v="0"/>
    <x v="0"/>
  </r>
  <r>
    <x v="19"/>
    <x v="2"/>
    <x v="0"/>
    <x v="0"/>
    <x v="1"/>
    <x v="2"/>
    <x v="2"/>
    <x v="2"/>
    <x v="3"/>
    <x v="0"/>
    <x v="0"/>
  </r>
  <r>
    <x v="19"/>
    <x v="2"/>
    <x v="1"/>
    <x v="0"/>
    <x v="1"/>
    <x v="0"/>
    <x v="4"/>
    <x v="2"/>
    <x v="3"/>
    <x v="0"/>
    <x v="0"/>
  </r>
  <r>
    <x v="19"/>
    <x v="2"/>
    <x v="1"/>
    <x v="0"/>
    <x v="1"/>
    <x v="4"/>
    <x v="4"/>
    <x v="2"/>
    <x v="3"/>
    <x v="0"/>
    <x v="0"/>
  </r>
  <r>
    <x v="19"/>
    <x v="2"/>
    <x v="1"/>
    <x v="2"/>
    <x v="1"/>
    <x v="4"/>
    <x v="4"/>
    <x v="4"/>
    <x v="2"/>
    <x v="0"/>
    <x v="0"/>
  </r>
  <r>
    <x v="19"/>
    <x v="2"/>
    <x v="0"/>
    <x v="0"/>
    <x v="1"/>
    <x v="7"/>
    <x v="4"/>
    <x v="4"/>
    <x v="2"/>
    <x v="0"/>
    <x v="0"/>
  </r>
  <r>
    <x v="19"/>
    <x v="2"/>
    <x v="0"/>
    <x v="0"/>
    <x v="1"/>
    <x v="7"/>
    <x v="4"/>
    <x v="4"/>
    <x v="2"/>
    <x v="0"/>
    <x v="0"/>
  </r>
  <r>
    <x v="19"/>
    <x v="2"/>
    <x v="1"/>
    <x v="0"/>
    <x v="0"/>
    <x v="11"/>
    <x v="3"/>
    <x v="4"/>
    <x v="2"/>
    <x v="0"/>
    <x v="0"/>
  </r>
  <r>
    <x v="19"/>
    <x v="2"/>
    <x v="1"/>
    <x v="0"/>
    <x v="0"/>
    <x v="11"/>
    <x v="3"/>
    <x v="4"/>
    <x v="2"/>
    <x v="0"/>
    <x v="0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0"/>
    <x v="0"/>
    <x v="2"/>
    <x v="1"/>
    <x v="2"/>
    <x v="2"/>
    <x v="0"/>
    <x v="0"/>
    <x v="15"/>
    <x v="11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19"/>
    <x v="3"/>
    <x v="3"/>
    <x v="1"/>
    <x v="2"/>
    <x v="3"/>
    <x v="5"/>
    <x v="3"/>
    <x v="2"/>
    <x v="0"/>
    <x v="0"/>
  </r>
  <r>
    <x v="20"/>
    <x v="4"/>
    <x v="1"/>
    <x v="0"/>
    <x v="0"/>
    <x v="2"/>
    <x v="3"/>
    <x v="4"/>
    <x v="2"/>
    <x v="0"/>
    <x v="0"/>
  </r>
  <r>
    <x v="20"/>
    <x v="4"/>
    <x v="0"/>
    <x v="0"/>
    <x v="0"/>
    <x v="11"/>
    <x v="4"/>
    <x v="2"/>
    <x v="3"/>
    <x v="0"/>
    <x v="0"/>
  </r>
  <r>
    <x v="20"/>
    <x v="4"/>
    <x v="0"/>
    <x v="0"/>
    <x v="0"/>
    <x v="5"/>
    <x v="4"/>
    <x v="0"/>
    <x v="17"/>
    <x v="0"/>
    <x v="0"/>
  </r>
  <r>
    <x v="20"/>
    <x v="4"/>
    <x v="0"/>
    <x v="0"/>
    <x v="1"/>
    <x v="6"/>
    <x v="4"/>
    <x v="0"/>
    <x v="17"/>
    <x v="0"/>
    <x v="0"/>
  </r>
  <r>
    <x v="20"/>
    <x v="4"/>
    <x v="0"/>
    <x v="0"/>
    <x v="1"/>
    <x v="0"/>
    <x v="4"/>
    <x v="0"/>
    <x v="17"/>
    <x v="0"/>
    <x v="0"/>
  </r>
  <r>
    <x v="20"/>
    <x v="4"/>
    <x v="0"/>
    <x v="0"/>
    <x v="1"/>
    <x v="0"/>
    <x v="4"/>
    <x v="0"/>
    <x v="17"/>
    <x v="0"/>
    <x v="0"/>
  </r>
  <r>
    <x v="20"/>
    <x v="4"/>
    <x v="0"/>
    <x v="0"/>
    <x v="1"/>
    <x v="0"/>
    <x v="4"/>
    <x v="0"/>
    <x v="17"/>
    <x v="0"/>
    <x v="0"/>
  </r>
  <r>
    <x v="20"/>
    <x v="4"/>
    <x v="0"/>
    <x v="0"/>
    <x v="1"/>
    <x v="0"/>
    <x v="4"/>
    <x v="0"/>
    <x v="17"/>
    <x v="0"/>
    <x v="0"/>
  </r>
  <r>
    <x v="20"/>
    <x v="4"/>
    <x v="0"/>
    <x v="0"/>
    <x v="1"/>
    <x v="4"/>
    <x v="4"/>
    <x v="0"/>
    <x v="17"/>
    <x v="0"/>
    <x v="0"/>
  </r>
  <r>
    <x v="20"/>
    <x v="4"/>
    <x v="0"/>
    <x v="0"/>
    <x v="1"/>
    <x v="17"/>
    <x v="4"/>
    <x v="0"/>
    <x v="17"/>
    <x v="0"/>
    <x v="0"/>
  </r>
  <r>
    <x v="20"/>
    <x v="4"/>
    <x v="0"/>
    <x v="0"/>
    <x v="1"/>
    <x v="0"/>
    <x v="4"/>
    <x v="0"/>
    <x v="17"/>
    <x v="0"/>
    <x v="0"/>
  </r>
  <r>
    <x v="20"/>
    <x v="4"/>
    <x v="0"/>
    <x v="0"/>
    <x v="1"/>
    <x v="2"/>
    <x v="4"/>
    <x v="0"/>
    <x v="17"/>
    <x v="0"/>
    <x v="0"/>
  </r>
  <r>
    <x v="20"/>
    <x v="4"/>
    <x v="1"/>
    <x v="0"/>
    <x v="1"/>
    <x v="11"/>
    <x v="3"/>
    <x v="2"/>
    <x v="3"/>
    <x v="0"/>
    <x v="0"/>
  </r>
  <r>
    <x v="20"/>
    <x v="4"/>
    <x v="1"/>
    <x v="0"/>
    <x v="1"/>
    <x v="7"/>
    <x v="3"/>
    <x v="2"/>
    <x v="3"/>
    <x v="0"/>
    <x v="0"/>
  </r>
  <r>
    <x v="20"/>
    <x v="2"/>
    <x v="0"/>
    <x v="0"/>
    <x v="1"/>
    <x v="2"/>
    <x v="2"/>
    <x v="4"/>
    <x v="2"/>
    <x v="0"/>
    <x v="0"/>
  </r>
  <r>
    <x v="20"/>
    <x v="2"/>
    <x v="0"/>
    <x v="2"/>
    <x v="1"/>
    <x v="2"/>
    <x v="0"/>
    <x v="4"/>
    <x v="2"/>
    <x v="0"/>
    <x v="0"/>
  </r>
  <r>
    <x v="20"/>
    <x v="2"/>
    <x v="1"/>
    <x v="2"/>
    <x v="0"/>
    <x v="2"/>
    <x v="0"/>
    <x v="4"/>
    <x v="2"/>
    <x v="0"/>
    <x v="0"/>
  </r>
  <r>
    <x v="20"/>
    <x v="2"/>
    <x v="0"/>
    <x v="0"/>
    <x v="1"/>
    <x v="1"/>
    <x v="3"/>
    <x v="2"/>
    <x v="3"/>
    <x v="0"/>
    <x v="0"/>
  </r>
  <r>
    <x v="20"/>
    <x v="2"/>
    <x v="0"/>
    <x v="0"/>
    <x v="1"/>
    <x v="17"/>
    <x v="4"/>
    <x v="4"/>
    <x v="2"/>
    <x v="0"/>
    <x v="0"/>
  </r>
  <r>
    <x v="20"/>
    <x v="2"/>
    <x v="0"/>
    <x v="0"/>
    <x v="1"/>
    <x v="2"/>
    <x v="4"/>
    <x v="4"/>
    <x v="2"/>
    <x v="0"/>
    <x v="0"/>
  </r>
  <r>
    <x v="20"/>
    <x v="2"/>
    <x v="0"/>
    <x v="0"/>
    <x v="0"/>
    <x v="6"/>
    <x v="2"/>
    <x v="2"/>
    <x v="3"/>
    <x v="0"/>
    <x v="0"/>
  </r>
  <r>
    <x v="20"/>
    <x v="2"/>
    <x v="0"/>
    <x v="0"/>
    <x v="0"/>
    <x v="11"/>
    <x v="2"/>
    <x v="0"/>
    <x v="1"/>
    <x v="0"/>
    <x v="0"/>
  </r>
  <r>
    <x v="20"/>
    <x v="2"/>
    <x v="0"/>
    <x v="0"/>
    <x v="1"/>
    <x v="2"/>
    <x v="2"/>
    <x v="0"/>
    <x v="1"/>
    <x v="0"/>
    <x v="0"/>
  </r>
  <r>
    <x v="20"/>
    <x v="2"/>
    <x v="0"/>
    <x v="0"/>
    <x v="1"/>
    <x v="2"/>
    <x v="2"/>
    <x v="0"/>
    <x v="1"/>
    <x v="0"/>
    <x v="0"/>
  </r>
  <r>
    <x v="20"/>
    <x v="2"/>
    <x v="0"/>
    <x v="0"/>
    <x v="1"/>
    <x v="11"/>
    <x v="4"/>
    <x v="0"/>
    <x v="1"/>
    <x v="0"/>
    <x v="0"/>
  </r>
  <r>
    <x v="20"/>
    <x v="2"/>
    <x v="0"/>
    <x v="0"/>
    <x v="0"/>
    <x v="0"/>
    <x v="0"/>
    <x v="0"/>
    <x v="1"/>
    <x v="0"/>
    <x v="0"/>
  </r>
  <r>
    <x v="20"/>
    <x v="2"/>
    <x v="0"/>
    <x v="0"/>
    <x v="0"/>
    <x v="6"/>
    <x v="2"/>
    <x v="0"/>
    <x v="1"/>
    <x v="0"/>
    <x v="0"/>
  </r>
  <r>
    <x v="20"/>
    <x v="2"/>
    <x v="0"/>
    <x v="0"/>
    <x v="1"/>
    <x v="2"/>
    <x v="0"/>
    <x v="0"/>
    <x v="1"/>
    <x v="0"/>
    <x v="0"/>
  </r>
  <r>
    <x v="20"/>
    <x v="2"/>
    <x v="0"/>
    <x v="0"/>
    <x v="1"/>
    <x v="2"/>
    <x v="4"/>
    <x v="0"/>
    <x v="4"/>
    <x v="0"/>
    <x v="0"/>
  </r>
  <r>
    <x v="20"/>
    <x v="2"/>
    <x v="1"/>
    <x v="0"/>
    <x v="0"/>
    <x v="2"/>
    <x v="4"/>
    <x v="0"/>
    <x v="4"/>
    <x v="0"/>
    <x v="0"/>
  </r>
  <r>
    <x v="20"/>
    <x v="2"/>
    <x v="0"/>
    <x v="0"/>
    <x v="1"/>
    <x v="2"/>
    <x v="0"/>
    <x v="0"/>
    <x v="4"/>
    <x v="0"/>
    <x v="0"/>
  </r>
  <r>
    <x v="20"/>
    <x v="2"/>
    <x v="0"/>
    <x v="0"/>
    <x v="1"/>
    <x v="7"/>
    <x v="0"/>
    <x v="0"/>
    <x v="4"/>
    <x v="0"/>
    <x v="0"/>
  </r>
  <r>
    <x v="20"/>
    <x v="2"/>
    <x v="0"/>
    <x v="0"/>
    <x v="1"/>
    <x v="11"/>
    <x v="4"/>
    <x v="0"/>
    <x v="4"/>
    <x v="0"/>
    <x v="0"/>
  </r>
  <r>
    <x v="20"/>
    <x v="2"/>
    <x v="0"/>
    <x v="0"/>
    <x v="1"/>
    <x v="7"/>
    <x v="4"/>
    <x v="0"/>
    <x v="4"/>
    <x v="0"/>
    <x v="0"/>
  </r>
  <r>
    <x v="20"/>
    <x v="2"/>
    <x v="1"/>
    <x v="0"/>
    <x v="0"/>
    <x v="4"/>
    <x v="4"/>
    <x v="0"/>
    <x v="4"/>
    <x v="0"/>
    <x v="0"/>
  </r>
  <r>
    <x v="20"/>
    <x v="2"/>
    <x v="0"/>
    <x v="0"/>
    <x v="1"/>
    <x v="2"/>
    <x v="0"/>
    <x v="0"/>
    <x v="4"/>
    <x v="0"/>
    <x v="0"/>
  </r>
  <r>
    <x v="20"/>
    <x v="2"/>
    <x v="0"/>
    <x v="0"/>
    <x v="0"/>
    <x v="1"/>
    <x v="0"/>
    <x v="0"/>
    <x v="4"/>
    <x v="0"/>
    <x v="0"/>
  </r>
  <r>
    <x v="20"/>
    <x v="2"/>
    <x v="0"/>
    <x v="2"/>
    <x v="0"/>
    <x v="13"/>
    <x v="0"/>
    <x v="2"/>
    <x v="13"/>
    <x v="0"/>
    <x v="0"/>
  </r>
  <r>
    <x v="20"/>
    <x v="2"/>
    <x v="1"/>
    <x v="2"/>
    <x v="0"/>
    <x v="13"/>
    <x v="0"/>
    <x v="2"/>
    <x v="13"/>
    <x v="0"/>
    <x v="0"/>
  </r>
  <r>
    <x v="20"/>
    <x v="2"/>
    <x v="1"/>
    <x v="2"/>
    <x v="1"/>
    <x v="13"/>
    <x v="0"/>
    <x v="2"/>
    <x v="13"/>
    <x v="0"/>
    <x v="0"/>
  </r>
  <r>
    <x v="20"/>
    <x v="2"/>
    <x v="1"/>
    <x v="2"/>
    <x v="1"/>
    <x v="9"/>
    <x v="4"/>
    <x v="2"/>
    <x v="3"/>
    <x v="0"/>
    <x v="0"/>
  </r>
  <r>
    <x v="20"/>
    <x v="2"/>
    <x v="1"/>
    <x v="0"/>
    <x v="1"/>
    <x v="2"/>
    <x v="4"/>
    <x v="2"/>
    <x v="3"/>
    <x v="0"/>
    <x v="0"/>
  </r>
  <r>
    <x v="20"/>
    <x v="2"/>
    <x v="0"/>
    <x v="0"/>
    <x v="1"/>
    <x v="0"/>
    <x v="4"/>
    <x v="2"/>
    <x v="3"/>
    <x v="0"/>
    <x v="0"/>
  </r>
  <r>
    <x v="20"/>
    <x v="2"/>
    <x v="1"/>
    <x v="0"/>
    <x v="1"/>
    <x v="0"/>
    <x v="4"/>
    <x v="4"/>
    <x v="2"/>
    <x v="0"/>
    <x v="0"/>
  </r>
  <r>
    <x v="20"/>
    <x v="4"/>
    <x v="0"/>
    <x v="0"/>
    <x v="0"/>
    <x v="13"/>
    <x v="2"/>
    <x v="2"/>
    <x v="3"/>
    <x v="0"/>
    <x v="0"/>
  </r>
  <r>
    <x v="20"/>
    <x v="4"/>
    <x v="0"/>
    <x v="2"/>
    <x v="0"/>
    <x v="0"/>
    <x v="4"/>
    <x v="4"/>
    <x v="2"/>
    <x v="0"/>
    <x v="0"/>
  </r>
  <r>
    <x v="20"/>
    <x v="4"/>
    <x v="1"/>
    <x v="2"/>
    <x v="0"/>
    <x v="0"/>
    <x v="4"/>
    <x v="4"/>
    <x v="2"/>
    <x v="0"/>
    <x v="0"/>
  </r>
  <r>
    <x v="20"/>
    <x v="4"/>
    <x v="0"/>
    <x v="0"/>
    <x v="0"/>
    <x v="11"/>
    <x v="0"/>
    <x v="4"/>
    <x v="2"/>
    <x v="0"/>
    <x v="0"/>
  </r>
  <r>
    <x v="20"/>
    <x v="4"/>
    <x v="1"/>
    <x v="0"/>
    <x v="1"/>
    <x v="11"/>
    <x v="0"/>
    <x v="4"/>
    <x v="2"/>
    <x v="0"/>
    <x v="0"/>
  </r>
  <r>
    <x v="20"/>
    <x v="4"/>
    <x v="1"/>
    <x v="0"/>
    <x v="1"/>
    <x v="11"/>
    <x v="0"/>
    <x v="4"/>
    <x v="2"/>
    <x v="0"/>
    <x v="0"/>
  </r>
  <r>
    <x v="20"/>
    <x v="4"/>
    <x v="0"/>
    <x v="0"/>
    <x v="1"/>
    <x v="17"/>
    <x v="2"/>
    <x v="2"/>
    <x v="3"/>
    <x v="0"/>
    <x v="0"/>
  </r>
  <r>
    <x v="20"/>
    <x v="4"/>
    <x v="0"/>
    <x v="0"/>
    <x v="1"/>
    <x v="2"/>
    <x v="2"/>
    <x v="4"/>
    <x v="2"/>
    <x v="0"/>
    <x v="0"/>
  </r>
  <r>
    <x v="20"/>
    <x v="4"/>
    <x v="0"/>
    <x v="0"/>
    <x v="1"/>
    <x v="0"/>
    <x v="4"/>
    <x v="4"/>
    <x v="2"/>
    <x v="0"/>
    <x v="0"/>
  </r>
  <r>
    <x v="20"/>
    <x v="4"/>
    <x v="1"/>
    <x v="0"/>
    <x v="0"/>
    <x v="0"/>
    <x v="4"/>
    <x v="4"/>
    <x v="2"/>
    <x v="0"/>
    <x v="0"/>
  </r>
  <r>
    <x v="20"/>
    <x v="4"/>
    <x v="1"/>
    <x v="0"/>
    <x v="0"/>
    <x v="0"/>
    <x v="4"/>
    <x v="4"/>
    <x v="2"/>
    <x v="0"/>
    <x v="0"/>
  </r>
  <r>
    <x v="20"/>
    <x v="2"/>
    <x v="1"/>
    <x v="0"/>
    <x v="1"/>
    <x v="14"/>
    <x v="4"/>
    <x v="1"/>
    <x v="2"/>
    <x v="0"/>
    <x v="0"/>
  </r>
  <r>
    <x v="20"/>
    <x v="4"/>
    <x v="0"/>
    <x v="0"/>
    <x v="0"/>
    <x v="0"/>
    <x v="0"/>
    <x v="4"/>
    <x v="2"/>
    <x v="0"/>
    <x v="0"/>
  </r>
  <r>
    <x v="20"/>
    <x v="4"/>
    <x v="0"/>
    <x v="0"/>
    <x v="1"/>
    <x v="2"/>
    <x v="2"/>
    <x v="4"/>
    <x v="2"/>
    <x v="0"/>
    <x v="0"/>
  </r>
  <r>
    <x v="20"/>
    <x v="4"/>
    <x v="1"/>
    <x v="0"/>
    <x v="1"/>
    <x v="2"/>
    <x v="2"/>
    <x v="4"/>
    <x v="2"/>
    <x v="0"/>
    <x v="0"/>
  </r>
  <r>
    <x v="20"/>
    <x v="4"/>
    <x v="1"/>
    <x v="0"/>
    <x v="1"/>
    <x v="11"/>
    <x v="3"/>
    <x v="2"/>
    <x v="3"/>
    <x v="0"/>
    <x v="0"/>
  </r>
  <r>
    <x v="20"/>
    <x v="4"/>
    <x v="0"/>
    <x v="0"/>
    <x v="1"/>
    <x v="17"/>
    <x v="2"/>
    <x v="2"/>
    <x v="3"/>
    <x v="0"/>
    <x v="0"/>
  </r>
  <r>
    <x v="20"/>
    <x v="4"/>
    <x v="1"/>
    <x v="0"/>
    <x v="0"/>
    <x v="11"/>
    <x v="3"/>
    <x v="2"/>
    <x v="3"/>
    <x v="0"/>
    <x v="0"/>
  </r>
  <r>
    <x v="20"/>
    <x v="4"/>
    <x v="1"/>
    <x v="0"/>
    <x v="1"/>
    <x v="11"/>
    <x v="3"/>
    <x v="2"/>
    <x v="3"/>
    <x v="0"/>
    <x v="0"/>
  </r>
  <r>
    <x v="20"/>
    <x v="4"/>
    <x v="0"/>
    <x v="0"/>
    <x v="0"/>
    <x v="13"/>
    <x v="2"/>
    <x v="2"/>
    <x v="3"/>
    <x v="0"/>
    <x v="0"/>
  </r>
  <r>
    <x v="20"/>
    <x v="4"/>
    <x v="0"/>
    <x v="0"/>
    <x v="1"/>
    <x v="2"/>
    <x v="2"/>
    <x v="2"/>
    <x v="3"/>
    <x v="0"/>
    <x v="0"/>
  </r>
  <r>
    <x v="20"/>
    <x v="0"/>
    <x v="0"/>
    <x v="0"/>
    <x v="1"/>
    <x v="9"/>
    <x v="6"/>
    <x v="0"/>
    <x v="27"/>
    <x v="7"/>
    <x v="0"/>
  </r>
  <r>
    <x v="20"/>
    <x v="0"/>
    <x v="0"/>
    <x v="0"/>
    <x v="1"/>
    <x v="9"/>
    <x v="6"/>
    <x v="0"/>
    <x v="27"/>
    <x v="7"/>
    <x v="0"/>
  </r>
  <r>
    <x v="20"/>
    <x v="0"/>
    <x v="0"/>
    <x v="0"/>
    <x v="1"/>
    <x v="9"/>
    <x v="6"/>
    <x v="0"/>
    <x v="27"/>
    <x v="7"/>
    <x v="0"/>
  </r>
  <r>
    <x v="20"/>
    <x v="0"/>
    <x v="0"/>
    <x v="0"/>
    <x v="1"/>
    <x v="9"/>
    <x v="6"/>
    <x v="0"/>
    <x v="27"/>
    <x v="7"/>
    <x v="0"/>
  </r>
  <r>
    <x v="20"/>
    <x v="0"/>
    <x v="0"/>
    <x v="0"/>
    <x v="1"/>
    <x v="9"/>
    <x v="6"/>
    <x v="0"/>
    <x v="27"/>
    <x v="7"/>
    <x v="0"/>
  </r>
  <r>
    <x v="20"/>
    <x v="0"/>
    <x v="0"/>
    <x v="0"/>
    <x v="1"/>
    <x v="9"/>
    <x v="6"/>
    <x v="0"/>
    <x v="27"/>
    <x v="7"/>
    <x v="12"/>
  </r>
  <r>
    <x v="20"/>
    <x v="0"/>
    <x v="0"/>
    <x v="0"/>
    <x v="1"/>
    <x v="9"/>
    <x v="6"/>
    <x v="0"/>
    <x v="27"/>
    <x v="7"/>
    <x v="0"/>
  </r>
  <r>
    <x v="20"/>
    <x v="0"/>
    <x v="0"/>
    <x v="0"/>
    <x v="1"/>
    <x v="9"/>
    <x v="6"/>
    <x v="0"/>
    <x v="27"/>
    <x v="7"/>
    <x v="0"/>
  </r>
  <r>
    <x v="20"/>
    <x v="0"/>
    <x v="0"/>
    <x v="0"/>
    <x v="1"/>
    <x v="9"/>
    <x v="6"/>
    <x v="0"/>
    <x v="27"/>
    <x v="7"/>
    <x v="0"/>
  </r>
  <r>
    <x v="20"/>
    <x v="0"/>
    <x v="0"/>
    <x v="0"/>
    <x v="1"/>
    <x v="9"/>
    <x v="6"/>
    <x v="0"/>
    <x v="27"/>
    <x v="7"/>
    <x v="0"/>
  </r>
  <r>
    <x v="20"/>
    <x v="0"/>
    <x v="0"/>
    <x v="0"/>
    <x v="0"/>
    <x v="9"/>
    <x v="6"/>
    <x v="0"/>
    <x v="27"/>
    <x v="7"/>
    <x v="0"/>
  </r>
  <r>
    <x v="20"/>
    <x v="0"/>
    <x v="0"/>
    <x v="0"/>
    <x v="1"/>
    <x v="9"/>
    <x v="6"/>
    <x v="0"/>
    <x v="27"/>
    <x v="7"/>
    <x v="12"/>
  </r>
  <r>
    <x v="20"/>
    <x v="0"/>
    <x v="0"/>
    <x v="0"/>
    <x v="1"/>
    <x v="9"/>
    <x v="6"/>
    <x v="0"/>
    <x v="27"/>
    <x v="7"/>
    <x v="0"/>
  </r>
  <r>
    <x v="20"/>
    <x v="0"/>
    <x v="0"/>
    <x v="0"/>
    <x v="1"/>
    <x v="9"/>
    <x v="6"/>
    <x v="0"/>
    <x v="27"/>
    <x v="7"/>
    <x v="0"/>
  </r>
  <r>
    <x v="20"/>
    <x v="0"/>
    <x v="0"/>
    <x v="0"/>
    <x v="0"/>
    <x v="9"/>
    <x v="6"/>
    <x v="0"/>
    <x v="27"/>
    <x v="7"/>
    <x v="12"/>
  </r>
  <r>
    <x v="20"/>
    <x v="4"/>
    <x v="0"/>
    <x v="2"/>
    <x v="1"/>
    <x v="6"/>
    <x v="2"/>
    <x v="0"/>
    <x v="18"/>
    <x v="7"/>
    <x v="0"/>
  </r>
  <r>
    <x v="20"/>
    <x v="4"/>
    <x v="0"/>
    <x v="2"/>
    <x v="1"/>
    <x v="6"/>
    <x v="2"/>
    <x v="0"/>
    <x v="18"/>
    <x v="7"/>
    <x v="0"/>
  </r>
  <r>
    <x v="20"/>
    <x v="4"/>
    <x v="0"/>
    <x v="2"/>
    <x v="1"/>
    <x v="6"/>
    <x v="2"/>
    <x v="0"/>
    <x v="18"/>
    <x v="7"/>
    <x v="0"/>
  </r>
  <r>
    <x v="20"/>
    <x v="4"/>
    <x v="0"/>
    <x v="2"/>
    <x v="1"/>
    <x v="6"/>
    <x v="2"/>
    <x v="0"/>
    <x v="18"/>
    <x v="7"/>
    <x v="0"/>
  </r>
  <r>
    <x v="20"/>
    <x v="4"/>
    <x v="0"/>
    <x v="2"/>
    <x v="1"/>
    <x v="6"/>
    <x v="2"/>
    <x v="0"/>
    <x v="18"/>
    <x v="7"/>
    <x v="0"/>
  </r>
  <r>
    <x v="20"/>
    <x v="4"/>
    <x v="0"/>
    <x v="2"/>
    <x v="1"/>
    <x v="6"/>
    <x v="2"/>
    <x v="0"/>
    <x v="18"/>
    <x v="7"/>
    <x v="12"/>
  </r>
  <r>
    <x v="20"/>
    <x v="4"/>
    <x v="0"/>
    <x v="2"/>
    <x v="1"/>
    <x v="6"/>
    <x v="2"/>
    <x v="0"/>
    <x v="18"/>
    <x v="7"/>
    <x v="0"/>
  </r>
  <r>
    <x v="20"/>
    <x v="4"/>
    <x v="0"/>
    <x v="2"/>
    <x v="1"/>
    <x v="6"/>
    <x v="2"/>
    <x v="0"/>
    <x v="18"/>
    <x v="7"/>
    <x v="0"/>
  </r>
  <r>
    <x v="20"/>
    <x v="4"/>
    <x v="0"/>
    <x v="2"/>
    <x v="0"/>
    <x v="6"/>
    <x v="2"/>
    <x v="0"/>
    <x v="18"/>
    <x v="7"/>
    <x v="12"/>
  </r>
  <r>
    <x v="20"/>
    <x v="4"/>
    <x v="0"/>
    <x v="2"/>
    <x v="0"/>
    <x v="6"/>
    <x v="2"/>
    <x v="0"/>
    <x v="18"/>
    <x v="7"/>
    <x v="12"/>
  </r>
  <r>
    <x v="20"/>
    <x v="4"/>
    <x v="0"/>
    <x v="2"/>
    <x v="0"/>
    <x v="6"/>
    <x v="2"/>
    <x v="0"/>
    <x v="18"/>
    <x v="7"/>
    <x v="12"/>
  </r>
  <r>
    <x v="20"/>
    <x v="4"/>
    <x v="0"/>
    <x v="2"/>
    <x v="0"/>
    <x v="6"/>
    <x v="2"/>
    <x v="0"/>
    <x v="18"/>
    <x v="7"/>
    <x v="0"/>
  </r>
  <r>
    <x v="20"/>
    <x v="4"/>
    <x v="0"/>
    <x v="2"/>
    <x v="0"/>
    <x v="6"/>
    <x v="2"/>
    <x v="0"/>
    <x v="18"/>
    <x v="7"/>
    <x v="12"/>
  </r>
  <r>
    <x v="20"/>
    <x v="4"/>
    <x v="0"/>
    <x v="0"/>
    <x v="0"/>
    <x v="6"/>
    <x v="2"/>
    <x v="0"/>
    <x v="18"/>
    <x v="7"/>
    <x v="0"/>
  </r>
  <r>
    <x v="20"/>
    <x v="4"/>
    <x v="0"/>
    <x v="0"/>
    <x v="0"/>
    <x v="6"/>
    <x v="2"/>
    <x v="0"/>
    <x v="18"/>
    <x v="7"/>
    <x v="0"/>
  </r>
  <r>
    <x v="20"/>
    <x v="4"/>
    <x v="0"/>
    <x v="0"/>
    <x v="0"/>
    <x v="6"/>
    <x v="2"/>
    <x v="0"/>
    <x v="18"/>
    <x v="0"/>
    <x v="0"/>
  </r>
  <r>
    <x v="20"/>
    <x v="4"/>
    <x v="0"/>
    <x v="0"/>
    <x v="0"/>
    <x v="6"/>
    <x v="2"/>
    <x v="0"/>
    <x v="18"/>
    <x v="0"/>
    <x v="0"/>
  </r>
  <r>
    <x v="20"/>
    <x v="4"/>
    <x v="0"/>
    <x v="0"/>
    <x v="1"/>
    <x v="6"/>
    <x v="2"/>
    <x v="0"/>
    <x v="18"/>
    <x v="0"/>
    <x v="0"/>
  </r>
  <r>
    <x v="20"/>
    <x v="4"/>
    <x v="0"/>
    <x v="0"/>
    <x v="1"/>
    <x v="6"/>
    <x v="2"/>
    <x v="0"/>
    <x v="18"/>
    <x v="0"/>
    <x v="0"/>
  </r>
  <r>
    <x v="20"/>
    <x v="4"/>
    <x v="0"/>
    <x v="0"/>
    <x v="1"/>
    <x v="6"/>
    <x v="2"/>
    <x v="0"/>
    <x v="18"/>
    <x v="0"/>
    <x v="0"/>
  </r>
  <r>
    <x v="20"/>
    <x v="4"/>
    <x v="0"/>
    <x v="0"/>
    <x v="1"/>
    <x v="6"/>
    <x v="2"/>
    <x v="0"/>
    <x v="18"/>
    <x v="0"/>
    <x v="0"/>
  </r>
  <r>
    <x v="20"/>
    <x v="4"/>
    <x v="0"/>
    <x v="0"/>
    <x v="1"/>
    <x v="6"/>
    <x v="2"/>
    <x v="0"/>
    <x v="18"/>
    <x v="0"/>
    <x v="0"/>
  </r>
  <r>
    <x v="20"/>
    <x v="4"/>
    <x v="0"/>
    <x v="0"/>
    <x v="1"/>
    <x v="6"/>
    <x v="2"/>
    <x v="0"/>
    <x v="18"/>
    <x v="0"/>
    <x v="0"/>
  </r>
  <r>
    <x v="20"/>
    <x v="4"/>
    <x v="0"/>
    <x v="0"/>
    <x v="1"/>
    <x v="6"/>
    <x v="2"/>
    <x v="0"/>
    <x v="18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0"/>
    <x v="3"/>
    <x v="3"/>
    <x v="1"/>
    <x v="2"/>
    <x v="3"/>
    <x v="5"/>
    <x v="3"/>
    <x v="2"/>
    <x v="0"/>
    <x v="0"/>
  </r>
  <r>
    <x v="21"/>
    <x v="4"/>
    <x v="0"/>
    <x v="0"/>
    <x v="1"/>
    <x v="2"/>
    <x v="2"/>
    <x v="4"/>
    <x v="2"/>
    <x v="0"/>
    <x v="0"/>
  </r>
  <r>
    <x v="21"/>
    <x v="4"/>
    <x v="1"/>
    <x v="0"/>
    <x v="0"/>
    <x v="2"/>
    <x v="2"/>
    <x v="4"/>
    <x v="2"/>
    <x v="0"/>
    <x v="0"/>
  </r>
  <r>
    <x v="21"/>
    <x v="4"/>
    <x v="0"/>
    <x v="0"/>
    <x v="0"/>
    <x v="0"/>
    <x v="4"/>
    <x v="4"/>
    <x v="2"/>
    <x v="0"/>
    <x v="0"/>
  </r>
  <r>
    <x v="21"/>
    <x v="1"/>
    <x v="0"/>
    <x v="2"/>
    <x v="0"/>
    <x v="6"/>
    <x v="4"/>
    <x v="0"/>
    <x v="1"/>
    <x v="16"/>
    <x v="13"/>
  </r>
  <r>
    <x v="21"/>
    <x v="1"/>
    <x v="1"/>
    <x v="0"/>
    <x v="1"/>
    <x v="11"/>
    <x v="4"/>
    <x v="0"/>
    <x v="1"/>
    <x v="16"/>
    <x v="13"/>
  </r>
  <r>
    <x v="21"/>
    <x v="1"/>
    <x v="0"/>
    <x v="0"/>
    <x v="1"/>
    <x v="7"/>
    <x v="2"/>
    <x v="0"/>
    <x v="1"/>
    <x v="16"/>
    <x v="13"/>
  </r>
  <r>
    <x v="21"/>
    <x v="1"/>
    <x v="0"/>
    <x v="0"/>
    <x v="1"/>
    <x v="7"/>
    <x v="2"/>
    <x v="0"/>
    <x v="1"/>
    <x v="16"/>
    <x v="13"/>
  </r>
  <r>
    <x v="21"/>
    <x v="1"/>
    <x v="0"/>
    <x v="0"/>
    <x v="1"/>
    <x v="2"/>
    <x v="0"/>
    <x v="0"/>
    <x v="1"/>
    <x v="16"/>
    <x v="13"/>
  </r>
  <r>
    <x v="21"/>
    <x v="1"/>
    <x v="0"/>
    <x v="0"/>
    <x v="1"/>
    <x v="2"/>
    <x v="2"/>
    <x v="0"/>
    <x v="1"/>
    <x v="16"/>
    <x v="13"/>
  </r>
  <r>
    <x v="21"/>
    <x v="1"/>
    <x v="0"/>
    <x v="0"/>
    <x v="1"/>
    <x v="2"/>
    <x v="0"/>
    <x v="0"/>
    <x v="1"/>
    <x v="16"/>
    <x v="13"/>
  </r>
  <r>
    <x v="21"/>
    <x v="1"/>
    <x v="0"/>
    <x v="2"/>
    <x v="1"/>
    <x v="11"/>
    <x v="0"/>
    <x v="0"/>
    <x v="1"/>
    <x v="16"/>
    <x v="13"/>
  </r>
  <r>
    <x v="21"/>
    <x v="2"/>
    <x v="0"/>
    <x v="2"/>
    <x v="0"/>
    <x v="4"/>
    <x v="0"/>
    <x v="2"/>
    <x v="3"/>
    <x v="16"/>
    <x v="13"/>
  </r>
  <r>
    <x v="21"/>
    <x v="2"/>
    <x v="1"/>
    <x v="2"/>
    <x v="1"/>
    <x v="4"/>
    <x v="0"/>
    <x v="2"/>
    <x v="2"/>
    <x v="0"/>
    <x v="0"/>
  </r>
  <r>
    <x v="21"/>
    <x v="2"/>
    <x v="0"/>
    <x v="2"/>
    <x v="1"/>
    <x v="2"/>
    <x v="0"/>
    <x v="2"/>
    <x v="3"/>
    <x v="0"/>
    <x v="0"/>
  </r>
  <r>
    <x v="21"/>
    <x v="2"/>
    <x v="1"/>
    <x v="2"/>
    <x v="0"/>
    <x v="2"/>
    <x v="0"/>
    <x v="2"/>
    <x v="2"/>
    <x v="0"/>
    <x v="0"/>
  </r>
  <r>
    <x v="21"/>
    <x v="2"/>
    <x v="0"/>
    <x v="0"/>
    <x v="1"/>
    <x v="0"/>
    <x v="4"/>
    <x v="4"/>
    <x v="2"/>
    <x v="0"/>
    <x v="0"/>
  </r>
  <r>
    <x v="21"/>
    <x v="2"/>
    <x v="0"/>
    <x v="0"/>
    <x v="1"/>
    <x v="2"/>
    <x v="4"/>
    <x v="4"/>
    <x v="2"/>
    <x v="0"/>
    <x v="0"/>
  </r>
  <r>
    <x v="21"/>
    <x v="2"/>
    <x v="0"/>
    <x v="2"/>
    <x v="1"/>
    <x v="2"/>
    <x v="2"/>
    <x v="2"/>
    <x v="3"/>
    <x v="0"/>
    <x v="0"/>
  </r>
  <r>
    <x v="21"/>
    <x v="2"/>
    <x v="0"/>
    <x v="0"/>
    <x v="1"/>
    <x v="2"/>
    <x v="3"/>
    <x v="2"/>
    <x v="3"/>
    <x v="0"/>
    <x v="0"/>
  </r>
  <r>
    <x v="21"/>
    <x v="2"/>
    <x v="0"/>
    <x v="0"/>
    <x v="1"/>
    <x v="2"/>
    <x v="0"/>
    <x v="4"/>
    <x v="2"/>
    <x v="0"/>
    <x v="0"/>
  </r>
  <r>
    <x v="21"/>
    <x v="2"/>
    <x v="0"/>
    <x v="0"/>
    <x v="1"/>
    <x v="2"/>
    <x v="4"/>
    <x v="4"/>
    <x v="2"/>
    <x v="0"/>
    <x v="0"/>
  </r>
  <r>
    <x v="21"/>
    <x v="2"/>
    <x v="1"/>
    <x v="0"/>
    <x v="0"/>
    <x v="2"/>
    <x v="4"/>
    <x v="4"/>
    <x v="2"/>
    <x v="0"/>
    <x v="0"/>
  </r>
  <r>
    <x v="21"/>
    <x v="2"/>
    <x v="0"/>
    <x v="0"/>
    <x v="1"/>
    <x v="7"/>
    <x v="0"/>
    <x v="4"/>
    <x v="2"/>
    <x v="0"/>
    <x v="0"/>
  </r>
  <r>
    <x v="21"/>
    <x v="1"/>
    <x v="0"/>
    <x v="0"/>
    <x v="1"/>
    <x v="2"/>
    <x v="2"/>
    <x v="2"/>
    <x v="3"/>
    <x v="0"/>
    <x v="0"/>
  </r>
  <r>
    <x v="21"/>
    <x v="1"/>
    <x v="1"/>
    <x v="0"/>
    <x v="1"/>
    <x v="0"/>
    <x v="3"/>
    <x v="2"/>
    <x v="3"/>
    <x v="0"/>
    <x v="0"/>
  </r>
  <r>
    <x v="21"/>
    <x v="1"/>
    <x v="0"/>
    <x v="0"/>
    <x v="1"/>
    <x v="14"/>
    <x v="2"/>
    <x v="2"/>
    <x v="3"/>
    <x v="0"/>
    <x v="0"/>
  </r>
  <r>
    <x v="21"/>
    <x v="2"/>
    <x v="1"/>
    <x v="0"/>
    <x v="0"/>
    <x v="2"/>
    <x v="0"/>
    <x v="1"/>
    <x v="2"/>
    <x v="0"/>
    <x v="0"/>
  </r>
  <r>
    <x v="21"/>
    <x v="2"/>
    <x v="0"/>
    <x v="2"/>
    <x v="0"/>
    <x v="13"/>
    <x v="0"/>
    <x v="4"/>
    <x v="3"/>
    <x v="0"/>
    <x v="0"/>
  </r>
  <r>
    <x v="21"/>
    <x v="2"/>
    <x v="1"/>
    <x v="2"/>
    <x v="1"/>
    <x v="13"/>
    <x v="0"/>
    <x v="4"/>
    <x v="2"/>
    <x v="0"/>
    <x v="0"/>
  </r>
  <r>
    <x v="21"/>
    <x v="1"/>
    <x v="0"/>
    <x v="0"/>
    <x v="0"/>
    <x v="13"/>
    <x v="0"/>
    <x v="2"/>
    <x v="3"/>
    <x v="0"/>
    <x v="0"/>
  </r>
  <r>
    <x v="21"/>
    <x v="1"/>
    <x v="0"/>
    <x v="0"/>
    <x v="1"/>
    <x v="7"/>
    <x v="4"/>
    <x v="2"/>
    <x v="3"/>
    <x v="0"/>
    <x v="0"/>
  </r>
  <r>
    <x v="21"/>
    <x v="1"/>
    <x v="1"/>
    <x v="0"/>
    <x v="1"/>
    <x v="2"/>
    <x v="3"/>
    <x v="2"/>
    <x v="3"/>
    <x v="0"/>
    <x v="0"/>
  </r>
  <r>
    <x v="21"/>
    <x v="1"/>
    <x v="0"/>
    <x v="0"/>
    <x v="0"/>
    <x v="0"/>
    <x v="0"/>
    <x v="4"/>
    <x v="3"/>
    <x v="0"/>
    <x v="0"/>
  </r>
  <r>
    <x v="21"/>
    <x v="4"/>
    <x v="1"/>
    <x v="0"/>
    <x v="1"/>
    <x v="1"/>
    <x v="4"/>
    <x v="2"/>
    <x v="3"/>
    <x v="0"/>
    <x v="0"/>
  </r>
  <r>
    <x v="21"/>
    <x v="4"/>
    <x v="0"/>
    <x v="2"/>
    <x v="0"/>
    <x v="6"/>
    <x v="1"/>
    <x v="4"/>
    <x v="2"/>
    <x v="0"/>
    <x v="0"/>
  </r>
  <r>
    <x v="21"/>
    <x v="4"/>
    <x v="1"/>
    <x v="2"/>
    <x v="0"/>
    <x v="6"/>
    <x v="1"/>
    <x v="4"/>
    <x v="2"/>
    <x v="0"/>
    <x v="0"/>
  </r>
  <r>
    <x v="21"/>
    <x v="4"/>
    <x v="1"/>
    <x v="2"/>
    <x v="1"/>
    <x v="6"/>
    <x v="1"/>
    <x v="4"/>
    <x v="2"/>
    <x v="0"/>
    <x v="0"/>
  </r>
  <r>
    <x v="21"/>
    <x v="4"/>
    <x v="1"/>
    <x v="0"/>
    <x v="1"/>
    <x v="7"/>
    <x v="3"/>
    <x v="2"/>
    <x v="3"/>
    <x v="0"/>
    <x v="0"/>
  </r>
  <r>
    <x v="21"/>
    <x v="4"/>
    <x v="0"/>
    <x v="0"/>
    <x v="0"/>
    <x v="11"/>
    <x v="0"/>
    <x v="4"/>
    <x v="2"/>
    <x v="0"/>
    <x v="0"/>
  </r>
  <r>
    <x v="21"/>
    <x v="4"/>
    <x v="1"/>
    <x v="0"/>
    <x v="1"/>
    <x v="11"/>
    <x v="0"/>
    <x v="4"/>
    <x v="2"/>
    <x v="0"/>
    <x v="0"/>
  </r>
  <r>
    <x v="21"/>
    <x v="4"/>
    <x v="1"/>
    <x v="0"/>
    <x v="1"/>
    <x v="8"/>
    <x v="3"/>
    <x v="2"/>
    <x v="3"/>
    <x v="0"/>
    <x v="0"/>
  </r>
  <r>
    <x v="21"/>
    <x v="4"/>
    <x v="1"/>
    <x v="0"/>
    <x v="1"/>
    <x v="5"/>
    <x v="3"/>
    <x v="2"/>
    <x v="3"/>
    <x v="0"/>
    <x v="0"/>
  </r>
  <r>
    <x v="21"/>
    <x v="4"/>
    <x v="0"/>
    <x v="0"/>
    <x v="0"/>
    <x v="12"/>
    <x v="0"/>
    <x v="2"/>
    <x v="3"/>
    <x v="0"/>
    <x v="0"/>
  </r>
  <r>
    <x v="21"/>
    <x v="4"/>
    <x v="1"/>
    <x v="0"/>
    <x v="1"/>
    <x v="12"/>
    <x v="0"/>
    <x v="2"/>
    <x v="3"/>
    <x v="0"/>
    <x v="0"/>
  </r>
  <r>
    <x v="21"/>
    <x v="4"/>
    <x v="1"/>
    <x v="0"/>
    <x v="1"/>
    <x v="17"/>
    <x v="3"/>
    <x v="2"/>
    <x v="3"/>
    <x v="0"/>
    <x v="0"/>
  </r>
  <r>
    <x v="21"/>
    <x v="4"/>
    <x v="0"/>
    <x v="0"/>
    <x v="1"/>
    <x v="17"/>
    <x v="2"/>
    <x v="2"/>
    <x v="3"/>
    <x v="0"/>
    <x v="0"/>
  </r>
  <r>
    <x v="21"/>
    <x v="4"/>
    <x v="0"/>
    <x v="0"/>
    <x v="1"/>
    <x v="2"/>
    <x v="0"/>
    <x v="4"/>
    <x v="2"/>
    <x v="0"/>
    <x v="0"/>
  </r>
  <r>
    <x v="21"/>
    <x v="4"/>
    <x v="1"/>
    <x v="0"/>
    <x v="0"/>
    <x v="2"/>
    <x v="0"/>
    <x v="4"/>
    <x v="2"/>
    <x v="0"/>
    <x v="0"/>
  </r>
  <r>
    <x v="21"/>
    <x v="4"/>
    <x v="1"/>
    <x v="2"/>
    <x v="0"/>
    <x v="2"/>
    <x v="0"/>
    <x v="4"/>
    <x v="2"/>
    <x v="0"/>
    <x v="0"/>
  </r>
  <r>
    <x v="21"/>
    <x v="4"/>
    <x v="0"/>
    <x v="0"/>
    <x v="1"/>
    <x v="2"/>
    <x v="0"/>
    <x v="4"/>
    <x v="2"/>
    <x v="0"/>
    <x v="0"/>
  </r>
  <r>
    <x v="21"/>
    <x v="4"/>
    <x v="0"/>
    <x v="2"/>
    <x v="1"/>
    <x v="2"/>
    <x v="0"/>
    <x v="4"/>
    <x v="2"/>
    <x v="0"/>
    <x v="0"/>
  </r>
  <r>
    <x v="21"/>
    <x v="4"/>
    <x v="0"/>
    <x v="2"/>
    <x v="1"/>
    <x v="2"/>
    <x v="0"/>
    <x v="4"/>
    <x v="2"/>
    <x v="0"/>
    <x v="0"/>
  </r>
  <r>
    <x v="21"/>
    <x v="4"/>
    <x v="0"/>
    <x v="2"/>
    <x v="1"/>
    <x v="2"/>
    <x v="0"/>
    <x v="4"/>
    <x v="2"/>
    <x v="0"/>
    <x v="0"/>
  </r>
  <r>
    <x v="21"/>
    <x v="2"/>
    <x v="0"/>
    <x v="0"/>
    <x v="1"/>
    <x v="7"/>
    <x v="0"/>
    <x v="2"/>
    <x v="3"/>
    <x v="0"/>
    <x v="0"/>
  </r>
  <r>
    <x v="21"/>
    <x v="1"/>
    <x v="0"/>
    <x v="0"/>
    <x v="1"/>
    <x v="14"/>
    <x v="2"/>
    <x v="2"/>
    <x v="3"/>
    <x v="0"/>
    <x v="0"/>
  </r>
  <r>
    <x v="21"/>
    <x v="2"/>
    <x v="1"/>
    <x v="0"/>
    <x v="0"/>
    <x v="2"/>
    <x v="0"/>
    <x v="1"/>
    <x v="2"/>
    <x v="0"/>
    <x v="0"/>
  </r>
  <r>
    <x v="21"/>
    <x v="2"/>
    <x v="0"/>
    <x v="2"/>
    <x v="0"/>
    <x v="13"/>
    <x v="0"/>
    <x v="4"/>
    <x v="3"/>
    <x v="0"/>
    <x v="0"/>
  </r>
  <r>
    <x v="21"/>
    <x v="2"/>
    <x v="1"/>
    <x v="2"/>
    <x v="1"/>
    <x v="13"/>
    <x v="0"/>
    <x v="4"/>
    <x v="2"/>
    <x v="0"/>
    <x v="0"/>
  </r>
  <r>
    <x v="21"/>
    <x v="1"/>
    <x v="0"/>
    <x v="0"/>
    <x v="0"/>
    <x v="13"/>
    <x v="0"/>
    <x v="2"/>
    <x v="3"/>
    <x v="17"/>
    <x v="14"/>
  </r>
  <r>
    <x v="21"/>
    <x v="1"/>
    <x v="0"/>
    <x v="0"/>
    <x v="1"/>
    <x v="7"/>
    <x v="4"/>
    <x v="2"/>
    <x v="3"/>
    <x v="17"/>
    <x v="14"/>
  </r>
  <r>
    <x v="21"/>
    <x v="1"/>
    <x v="1"/>
    <x v="0"/>
    <x v="1"/>
    <x v="2"/>
    <x v="3"/>
    <x v="2"/>
    <x v="3"/>
    <x v="17"/>
    <x v="14"/>
  </r>
  <r>
    <x v="21"/>
    <x v="1"/>
    <x v="0"/>
    <x v="0"/>
    <x v="0"/>
    <x v="0"/>
    <x v="0"/>
    <x v="4"/>
    <x v="3"/>
    <x v="17"/>
    <x v="14"/>
  </r>
  <r>
    <x v="21"/>
    <x v="4"/>
    <x v="1"/>
    <x v="0"/>
    <x v="1"/>
    <x v="1"/>
    <x v="4"/>
    <x v="2"/>
    <x v="3"/>
    <x v="17"/>
    <x v="14"/>
  </r>
  <r>
    <x v="21"/>
    <x v="4"/>
    <x v="0"/>
    <x v="2"/>
    <x v="0"/>
    <x v="6"/>
    <x v="1"/>
    <x v="4"/>
    <x v="2"/>
    <x v="0"/>
    <x v="0"/>
  </r>
  <r>
    <x v="21"/>
    <x v="4"/>
    <x v="1"/>
    <x v="2"/>
    <x v="0"/>
    <x v="6"/>
    <x v="1"/>
    <x v="4"/>
    <x v="2"/>
    <x v="0"/>
    <x v="0"/>
  </r>
  <r>
    <x v="21"/>
    <x v="4"/>
    <x v="1"/>
    <x v="2"/>
    <x v="1"/>
    <x v="6"/>
    <x v="1"/>
    <x v="4"/>
    <x v="2"/>
    <x v="0"/>
    <x v="0"/>
  </r>
  <r>
    <x v="21"/>
    <x v="4"/>
    <x v="1"/>
    <x v="0"/>
    <x v="1"/>
    <x v="7"/>
    <x v="3"/>
    <x v="2"/>
    <x v="3"/>
    <x v="0"/>
    <x v="0"/>
  </r>
  <r>
    <x v="21"/>
    <x v="4"/>
    <x v="0"/>
    <x v="0"/>
    <x v="0"/>
    <x v="11"/>
    <x v="0"/>
    <x v="4"/>
    <x v="2"/>
    <x v="0"/>
    <x v="0"/>
  </r>
  <r>
    <x v="21"/>
    <x v="4"/>
    <x v="1"/>
    <x v="0"/>
    <x v="1"/>
    <x v="11"/>
    <x v="0"/>
    <x v="4"/>
    <x v="2"/>
    <x v="0"/>
    <x v="0"/>
  </r>
  <r>
    <x v="21"/>
    <x v="4"/>
    <x v="1"/>
    <x v="0"/>
    <x v="1"/>
    <x v="8"/>
    <x v="3"/>
    <x v="2"/>
    <x v="3"/>
    <x v="18"/>
    <x v="0"/>
  </r>
  <r>
    <x v="21"/>
    <x v="4"/>
    <x v="1"/>
    <x v="0"/>
    <x v="1"/>
    <x v="5"/>
    <x v="3"/>
    <x v="2"/>
    <x v="3"/>
    <x v="18"/>
    <x v="0"/>
  </r>
  <r>
    <x v="21"/>
    <x v="4"/>
    <x v="0"/>
    <x v="0"/>
    <x v="0"/>
    <x v="12"/>
    <x v="0"/>
    <x v="2"/>
    <x v="3"/>
    <x v="18"/>
    <x v="0"/>
  </r>
  <r>
    <x v="21"/>
    <x v="4"/>
    <x v="1"/>
    <x v="0"/>
    <x v="1"/>
    <x v="12"/>
    <x v="0"/>
    <x v="2"/>
    <x v="3"/>
    <x v="18"/>
    <x v="0"/>
  </r>
  <r>
    <x v="21"/>
    <x v="4"/>
    <x v="1"/>
    <x v="0"/>
    <x v="1"/>
    <x v="17"/>
    <x v="3"/>
    <x v="2"/>
    <x v="3"/>
    <x v="18"/>
    <x v="0"/>
  </r>
  <r>
    <x v="21"/>
    <x v="4"/>
    <x v="0"/>
    <x v="0"/>
    <x v="1"/>
    <x v="17"/>
    <x v="2"/>
    <x v="2"/>
    <x v="3"/>
    <x v="18"/>
    <x v="0"/>
  </r>
  <r>
    <x v="21"/>
    <x v="4"/>
    <x v="0"/>
    <x v="0"/>
    <x v="1"/>
    <x v="2"/>
    <x v="0"/>
    <x v="4"/>
    <x v="2"/>
    <x v="0"/>
    <x v="0"/>
  </r>
  <r>
    <x v="21"/>
    <x v="4"/>
    <x v="1"/>
    <x v="0"/>
    <x v="0"/>
    <x v="2"/>
    <x v="0"/>
    <x v="4"/>
    <x v="2"/>
    <x v="0"/>
    <x v="0"/>
  </r>
  <r>
    <x v="21"/>
    <x v="4"/>
    <x v="1"/>
    <x v="2"/>
    <x v="0"/>
    <x v="2"/>
    <x v="0"/>
    <x v="4"/>
    <x v="2"/>
    <x v="0"/>
    <x v="0"/>
  </r>
  <r>
    <x v="21"/>
    <x v="4"/>
    <x v="0"/>
    <x v="0"/>
    <x v="1"/>
    <x v="2"/>
    <x v="0"/>
    <x v="4"/>
    <x v="2"/>
    <x v="0"/>
    <x v="0"/>
  </r>
  <r>
    <x v="21"/>
    <x v="4"/>
    <x v="0"/>
    <x v="2"/>
    <x v="1"/>
    <x v="2"/>
    <x v="0"/>
    <x v="4"/>
    <x v="2"/>
    <x v="0"/>
    <x v="0"/>
  </r>
  <r>
    <x v="21"/>
    <x v="4"/>
    <x v="0"/>
    <x v="2"/>
    <x v="1"/>
    <x v="2"/>
    <x v="0"/>
    <x v="4"/>
    <x v="2"/>
    <x v="0"/>
    <x v="0"/>
  </r>
  <r>
    <x v="21"/>
    <x v="4"/>
    <x v="0"/>
    <x v="2"/>
    <x v="1"/>
    <x v="2"/>
    <x v="0"/>
    <x v="4"/>
    <x v="2"/>
    <x v="0"/>
    <x v="0"/>
  </r>
  <r>
    <x v="21"/>
    <x v="2"/>
    <x v="0"/>
    <x v="0"/>
    <x v="1"/>
    <x v="7"/>
    <x v="0"/>
    <x v="2"/>
    <x v="3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1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2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3"/>
    <x v="3"/>
    <x v="3"/>
    <x v="1"/>
    <x v="2"/>
    <x v="3"/>
    <x v="5"/>
    <x v="3"/>
    <x v="2"/>
    <x v="0"/>
    <x v="0"/>
  </r>
  <r>
    <x v="24"/>
    <x v="4"/>
    <x v="0"/>
    <x v="0"/>
    <x v="0"/>
    <x v="11"/>
    <x v="4"/>
    <x v="2"/>
    <x v="3"/>
    <x v="0"/>
    <x v="0"/>
  </r>
  <r>
    <x v="24"/>
    <x v="2"/>
    <x v="0"/>
    <x v="0"/>
    <x v="0"/>
    <x v="6"/>
    <x v="4"/>
    <x v="4"/>
    <x v="2"/>
    <x v="0"/>
    <x v="0"/>
  </r>
  <r>
    <x v="24"/>
    <x v="2"/>
    <x v="1"/>
    <x v="0"/>
    <x v="1"/>
    <x v="6"/>
    <x v="4"/>
    <x v="4"/>
    <x v="2"/>
    <x v="0"/>
    <x v="0"/>
  </r>
  <r>
    <x v="24"/>
    <x v="2"/>
    <x v="0"/>
    <x v="0"/>
    <x v="1"/>
    <x v="1"/>
    <x v="2"/>
    <x v="4"/>
    <x v="2"/>
    <x v="0"/>
    <x v="0"/>
  </r>
  <r>
    <x v="24"/>
    <x v="4"/>
    <x v="0"/>
    <x v="0"/>
    <x v="0"/>
    <x v="11"/>
    <x v="4"/>
    <x v="4"/>
    <x v="2"/>
    <x v="0"/>
    <x v="0"/>
  </r>
  <r>
    <x v="24"/>
    <x v="4"/>
    <x v="0"/>
    <x v="0"/>
    <x v="0"/>
    <x v="12"/>
    <x v="2"/>
    <x v="4"/>
    <x v="2"/>
    <x v="0"/>
    <x v="0"/>
  </r>
  <r>
    <x v="24"/>
    <x v="4"/>
    <x v="0"/>
    <x v="0"/>
    <x v="1"/>
    <x v="2"/>
    <x v="6"/>
    <x v="2"/>
    <x v="3"/>
    <x v="0"/>
    <x v="0"/>
  </r>
  <r>
    <x v="24"/>
    <x v="4"/>
    <x v="0"/>
    <x v="0"/>
    <x v="1"/>
    <x v="0"/>
    <x v="4"/>
    <x v="4"/>
    <x v="2"/>
    <x v="0"/>
    <x v="0"/>
  </r>
  <r>
    <x v="24"/>
    <x v="4"/>
    <x v="1"/>
    <x v="0"/>
    <x v="1"/>
    <x v="0"/>
    <x v="4"/>
    <x v="4"/>
    <x v="2"/>
    <x v="0"/>
    <x v="0"/>
  </r>
  <r>
    <x v="24"/>
    <x v="2"/>
    <x v="0"/>
    <x v="0"/>
    <x v="1"/>
    <x v="0"/>
    <x v="4"/>
    <x v="4"/>
    <x v="2"/>
    <x v="0"/>
    <x v="0"/>
  </r>
  <r>
    <x v="24"/>
    <x v="2"/>
    <x v="1"/>
    <x v="0"/>
    <x v="1"/>
    <x v="0"/>
    <x v="4"/>
    <x v="4"/>
    <x v="2"/>
    <x v="0"/>
    <x v="0"/>
  </r>
  <r>
    <x v="24"/>
    <x v="2"/>
    <x v="0"/>
    <x v="2"/>
    <x v="1"/>
    <x v="0"/>
    <x v="4"/>
    <x v="2"/>
    <x v="5"/>
    <x v="0"/>
    <x v="0"/>
  </r>
  <r>
    <x v="24"/>
    <x v="2"/>
    <x v="1"/>
    <x v="2"/>
    <x v="1"/>
    <x v="0"/>
    <x v="4"/>
    <x v="2"/>
    <x v="5"/>
    <x v="0"/>
    <x v="0"/>
  </r>
  <r>
    <x v="24"/>
    <x v="2"/>
    <x v="0"/>
    <x v="0"/>
    <x v="0"/>
    <x v="0"/>
    <x v="0"/>
    <x v="2"/>
    <x v="3"/>
    <x v="0"/>
    <x v="0"/>
  </r>
  <r>
    <x v="24"/>
    <x v="2"/>
    <x v="0"/>
    <x v="0"/>
    <x v="1"/>
    <x v="2"/>
    <x v="4"/>
    <x v="4"/>
    <x v="2"/>
    <x v="0"/>
    <x v="0"/>
  </r>
  <r>
    <x v="24"/>
    <x v="5"/>
    <x v="0"/>
    <x v="0"/>
    <x v="0"/>
    <x v="8"/>
    <x v="2"/>
    <x v="6"/>
    <x v="21"/>
    <x v="0"/>
    <x v="0"/>
  </r>
  <r>
    <x v="24"/>
    <x v="5"/>
    <x v="0"/>
    <x v="0"/>
    <x v="1"/>
    <x v="4"/>
    <x v="2"/>
    <x v="1"/>
    <x v="21"/>
    <x v="0"/>
    <x v="0"/>
  </r>
  <r>
    <x v="24"/>
    <x v="5"/>
    <x v="0"/>
    <x v="2"/>
    <x v="1"/>
    <x v="2"/>
    <x v="2"/>
    <x v="1"/>
    <x v="21"/>
    <x v="0"/>
    <x v="0"/>
  </r>
  <r>
    <x v="24"/>
    <x v="5"/>
    <x v="0"/>
    <x v="0"/>
    <x v="0"/>
    <x v="5"/>
    <x v="4"/>
    <x v="2"/>
    <x v="20"/>
    <x v="0"/>
    <x v="0"/>
  </r>
  <r>
    <x v="24"/>
    <x v="5"/>
    <x v="1"/>
    <x v="0"/>
    <x v="1"/>
    <x v="5"/>
    <x v="4"/>
    <x v="2"/>
    <x v="20"/>
    <x v="0"/>
    <x v="0"/>
  </r>
  <r>
    <x v="24"/>
    <x v="2"/>
    <x v="0"/>
    <x v="0"/>
    <x v="1"/>
    <x v="2"/>
    <x v="4"/>
    <x v="2"/>
    <x v="3"/>
    <x v="0"/>
    <x v="0"/>
  </r>
  <r>
    <x v="24"/>
    <x v="2"/>
    <x v="1"/>
    <x v="0"/>
    <x v="1"/>
    <x v="2"/>
    <x v="4"/>
    <x v="4"/>
    <x v="2"/>
    <x v="0"/>
    <x v="0"/>
  </r>
  <r>
    <x v="24"/>
    <x v="2"/>
    <x v="0"/>
    <x v="0"/>
    <x v="1"/>
    <x v="17"/>
    <x v="4"/>
    <x v="2"/>
    <x v="3"/>
    <x v="0"/>
    <x v="0"/>
  </r>
  <r>
    <x v="24"/>
    <x v="2"/>
    <x v="0"/>
    <x v="0"/>
    <x v="1"/>
    <x v="2"/>
    <x v="4"/>
    <x v="2"/>
    <x v="5"/>
    <x v="0"/>
    <x v="0"/>
  </r>
  <r>
    <x v="24"/>
    <x v="2"/>
    <x v="1"/>
    <x v="0"/>
    <x v="1"/>
    <x v="2"/>
    <x v="4"/>
    <x v="2"/>
    <x v="5"/>
    <x v="0"/>
    <x v="0"/>
  </r>
  <r>
    <x v="24"/>
    <x v="4"/>
    <x v="1"/>
    <x v="2"/>
    <x v="0"/>
    <x v="2"/>
    <x v="3"/>
    <x v="4"/>
    <x v="2"/>
    <x v="0"/>
    <x v="0"/>
  </r>
  <r>
    <x v="24"/>
    <x v="4"/>
    <x v="1"/>
    <x v="2"/>
    <x v="0"/>
    <x v="2"/>
    <x v="3"/>
    <x v="4"/>
    <x v="2"/>
    <x v="0"/>
    <x v="0"/>
  </r>
  <r>
    <x v="24"/>
    <x v="4"/>
    <x v="0"/>
    <x v="2"/>
    <x v="0"/>
    <x v="6"/>
    <x v="0"/>
    <x v="4"/>
    <x v="2"/>
    <x v="0"/>
    <x v="0"/>
  </r>
  <r>
    <x v="24"/>
    <x v="4"/>
    <x v="1"/>
    <x v="0"/>
    <x v="0"/>
    <x v="1"/>
    <x v="3"/>
    <x v="2"/>
    <x v="3"/>
    <x v="0"/>
    <x v="0"/>
  </r>
  <r>
    <x v="24"/>
    <x v="4"/>
    <x v="0"/>
    <x v="0"/>
    <x v="1"/>
    <x v="2"/>
    <x v="0"/>
    <x v="4"/>
    <x v="2"/>
    <x v="0"/>
    <x v="0"/>
  </r>
  <r>
    <x v="24"/>
    <x v="4"/>
    <x v="0"/>
    <x v="0"/>
    <x v="0"/>
    <x v="5"/>
    <x v="0"/>
    <x v="4"/>
    <x v="2"/>
    <x v="0"/>
    <x v="0"/>
  </r>
  <r>
    <x v="24"/>
    <x v="4"/>
    <x v="1"/>
    <x v="2"/>
    <x v="0"/>
    <x v="5"/>
    <x v="0"/>
    <x v="4"/>
    <x v="2"/>
    <x v="0"/>
    <x v="0"/>
  </r>
  <r>
    <x v="24"/>
    <x v="4"/>
    <x v="0"/>
    <x v="2"/>
    <x v="0"/>
    <x v="5"/>
    <x v="0"/>
    <x v="4"/>
    <x v="2"/>
    <x v="0"/>
    <x v="0"/>
  </r>
  <r>
    <x v="24"/>
    <x v="4"/>
    <x v="1"/>
    <x v="0"/>
    <x v="1"/>
    <x v="4"/>
    <x v="4"/>
    <x v="4"/>
    <x v="2"/>
    <x v="0"/>
    <x v="0"/>
  </r>
  <r>
    <x v="24"/>
    <x v="4"/>
    <x v="1"/>
    <x v="0"/>
    <x v="0"/>
    <x v="2"/>
    <x v="2"/>
    <x v="4"/>
    <x v="2"/>
    <x v="0"/>
    <x v="0"/>
  </r>
  <r>
    <x v="24"/>
    <x v="4"/>
    <x v="0"/>
    <x v="0"/>
    <x v="1"/>
    <x v="2"/>
    <x v="0"/>
    <x v="2"/>
    <x v="3"/>
    <x v="0"/>
    <x v="0"/>
  </r>
  <r>
    <x v="24"/>
    <x v="4"/>
    <x v="1"/>
    <x v="0"/>
    <x v="0"/>
    <x v="2"/>
    <x v="0"/>
    <x v="4"/>
    <x v="2"/>
    <x v="0"/>
    <x v="0"/>
  </r>
  <r>
    <x v="24"/>
    <x v="4"/>
    <x v="0"/>
    <x v="0"/>
    <x v="0"/>
    <x v="1"/>
    <x v="0"/>
    <x v="4"/>
    <x v="2"/>
    <x v="0"/>
    <x v="0"/>
  </r>
  <r>
    <x v="24"/>
    <x v="4"/>
    <x v="0"/>
    <x v="2"/>
    <x v="0"/>
    <x v="10"/>
    <x v="4"/>
    <x v="4"/>
    <x v="2"/>
    <x v="0"/>
    <x v="0"/>
  </r>
  <r>
    <x v="24"/>
    <x v="5"/>
    <x v="1"/>
    <x v="2"/>
    <x v="1"/>
    <x v="4"/>
    <x v="4"/>
    <x v="4"/>
    <x v="20"/>
    <x v="0"/>
    <x v="0"/>
  </r>
  <r>
    <x v="24"/>
    <x v="5"/>
    <x v="1"/>
    <x v="2"/>
    <x v="0"/>
    <x v="4"/>
    <x v="4"/>
    <x v="4"/>
    <x v="20"/>
    <x v="0"/>
    <x v="0"/>
  </r>
  <r>
    <x v="24"/>
    <x v="5"/>
    <x v="0"/>
    <x v="2"/>
    <x v="0"/>
    <x v="15"/>
    <x v="4"/>
    <x v="4"/>
    <x v="21"/>
    <x v="0"/>
    <x v="0"/>
  </r>
  <r>
    <x v="24"/>
    <x v="2"/>
    <x v="0"/>
    <x v="0"/>
    <x v="1"/>
    <x v="7"/>
    <x v="4"/>
    <x v="2"/>
    <x v="3"/>
    <x v="0"/>
    <x v="0"/>
  </r>
  <r>
    <x v="24"/>
    <x v="2"/>
    <x v="0"/>
    <x v="0"/>
    <x v="1"/>
    <x v="2"/>
    <x v="0"/>
    <x v="2"/>
    <x v="3"/>
    <x v="0"/>
    <x v="0"/>
  </r>
  <r>
    <x v="24"/>
    <x v="2"/>
    <x v="1"/>
    <x v="0"/>
    <x v="0"/>
    <x v="2"/>
    <x v="0"/>
    <x v="4"/>
    <x v="2"/>
    <x v="0"/>
    <x v="0"/>
  </r>
  <r>
    <x v="24"/>
    <x v="2"/>
    <x v="0"/>
    <x v="0"/>
    <x v="0"/>
    <x v="0"/>
    <x v="2"/>
    <x v="4"/>
    <x v="2"/>
    <x v="0"/>
    <x v="0"/>
  </r>
  <r>
    <x v="24"/>
    <x v="2"/>
    <x v="0"/>
    <x v="0"/>
    <x v="1"/>
    <x v="7"/>
    <x v="0"/>
    <x v="0"/>
    <x v="4"/>
    <x v="19"/>
    <x v="0"/>
  </r>
  <r>
    <x v="24"/>
    <x v="2"/>
    <x v="0"/>
    <x v="0"/>
    <x v="1"/>
    <x v="10"/>
    <x v="4"/>
    <x v="0"/>
    <x v="4"/>
    <x v="19"/>
    <x v="0"/>
  </r>
  <r>
    <x v="24"/>
    <x v="2"/>
    <x v="1"/>
    <x v="0"/>
    <x v="1"/>
    <x v="4"/>
    <x v="3"/>
    <x v="0"/>
    <x v="4"/>
    <x v="19"/>
    <x v="0"/>
  </r>
  <r>
    <x v="24"/>
    <x v="2"/>
    <x v="0"/>
    <x v="0"/>
    <x v="1"/>
    <x v="2"/>
    <x v="2"/>
    <x v="0"/>
    <x v="4"/>
    <x v="19"/>
    <x v="0"/>
  </r>
  <r>
    <x v="24"/>
    <x v="2"/>
    <x v="0"/>
    <x v="0"/>
    <x v="1"/>
    <x v="2"/>
    <x v="2"/>
    <x v="0"/>
    <x v="4"/>
    <x v="19"/>
    <x v="0"/>
  </r>
  <r>
    <x v="24"/>
    <x v="2"/>
    <x v="0"/>
    <x v="0"/>
    <x v="1"/>
    <x v="11"/>
    <x v="2"/>
    <x v="0"/>
    <x v="4"/>
    <x v="19"/>
    <x v="0"/>
  </r>
  <r>
    <x v="24"/>
    <x v="2"/>
    <x v="0"/>
    <x v="0"/>
    <x v="1"/>
    <x v="11"/>
    <x v="0"/>
    <x v="0"/>
    <x v="4"/>
    <x v="19"/>
    <x v="0"/>
  </r>
  <r>
    <x v="24"/>
    <x v="2"/>
    <x v="0"/>
    <x v="0"/>
    <x v="1"/>
    <x v="7"/>
    <x v="4"/>
    <x v="0"/>
    <x v="4"/>
    <x v="19"/>
    <x v="0"/>
  </r>
  <r>
    <x v="24"/>
    <x v="2"/>
    <x v="0"/>
    <x v="0"/>
    <x v="1"/>
    <x v="7"/>
    <x v="0"/>
    <x v="0"/>
    <x v="4"/>
    <x v="19"/>
    <x v="0"/>
  </r>
  <r>
    <x v="24"/>
    <x v="2"/>
    <x v="0"/>
    <x v="0"/>
    <x v="0"/>
    <x v="5"/>
    <x v="4"/>
    <x v="0"/>
    <x v="4"/>
    <x v="19"/>
    <x v="0"/>
  </r>
  <r>
    <x v="24"/>
    <x v="2"/>
    <x v="0"/>
    <x v="0"/>
    <x v="0"/>
    <x v="5"/>
    <x v="4"/>
    <x v="0"/>
    <x v="4"/>
    <x v="19"/>
    <x v="0"/>
  </r>
  <r>
    <x v="24"/>
    <x v="2"/>
    <x v="0"/>
    <x v="0"/>
    <x v="1"/>
    <x v="4"/>
    <x v="2"/>
    <x v="0"/>
    <x v="4"/>
    <x v="19"/>
    <x v="0"/>
  </r>
  <r>
    <x v="24"/>
    <x v="2"/>
    <x v="0"/>
    <x v="0"/>
    <x v="1"/>
    <x v="2"/>
    <x v="2"/>
    <x v="0"/>
    <x v="4"/>
    <x v="19"/>
    <x v="0"/>
  </r>
  <r>
    <x v="24"/>
    <x v="2"/>
    <x v="0"/>
    <x v="0"/>
    <x v="1"/>
    <x v="2"/>
    <x v="2"/>
    <x v="0"/>
    <x v="4"/>
    <x v="19"/>
    <x v="0"/>
  </r>
  <r>
    <x v="24"/>
    <x v="2"/>
    <x v="0"/>
    <x v="0"/>
    <x v="0"/>
    <x v="5"/>
    <x v="4"/>
    <x v="0"/>
    <x v="4"/>
    <x v="19"/>
    <x v="0"/>
  </r>
  <r>
    <x v="24"/>
    <x v="2"/>
    <x v="0"/>
    <x v="0"/>
    <x v="1"/>
    <x v="0"/>
    <x v="4"/>
    <x v="4"/>
    <x v="2"/>
    <x v="0"/>
    <x v="0"/>
  </r>
  <r>
    <x v="24"/>
    <x v="1"/>
    <x v="0"/>
    <x v="0"/>
    <x v="1"/>
    <x v="2"/>
    <x v="2"/>
    <x v="2"/>
    <x v="3"/>
    <x v="0"/>
    <x v="0"/>
  </r>
  <r>
    <x v="24"/>
    <x v="1"/>
    <x v="0"/>
    <x v="0"/>
    <x v="1"/>
    <x v="14"/>
    <x v="2"/>
    <x v="2"/>
    <x v="3"/>
    <x v="0"/>
    <x v="0"/>
  </r>
  <r>
    <x v="24"/>
    <x v="1"/>
    <x v="0"/>
    <x v="0"/>
    <x v="1"/>
    <x v="2"/>
    <x v="2"/>
    <x v="2"/>
    <x v="3"/>
    <x v="0"/>
    <x v="0"/>
  </r>
  <r>
    <x v="24"/>
    <x v="2"/>
    <x v="0"/>
    <x v="0"/>
    <x v="1"/>
    <x v="0"/>
    <x v="4"/>
    <x v="4"/>
    <x v="2"/>
    <x v="0"/>
    <x v="0"/>
  </r>
  <r>
    <x v="24"/>
    <x v="2"/>
    <x v="1"/>
    <x v="0"/>
    <x v="0"/>
    <x v="0"/>
    <x v="4"/>
    <x v="4"/>
    <x v="2"/>
    <x v="0"/>
    <x v="0"/>
  </r>
  <r>
    <x v="24"/>
    <x v="2"/>
    <x v="1"/>
    <x v="0"/>
    <x v="1"/>
    <x v="2"/>
    <x v="4"/>
    <x v="4"/>
    <x v="2"/>
    <x v="0"/>
    <x v="0"/>
  </r>
  <r>
    <x v="24"/>
    <x v="4"/>
    <x v="0"/>
    <x v="0"/>
    <x v="1"/>
    <x v="0"/>
    <x v="4"/>
    <x v="4"/>
    <x v="2"/>
    <x v="0"/>
    <x v="0"/>
  </r>
  <r>
    <x v="24"/>
    <x v="4"/>
    <x v="1"/>
    <x v="0"/>
    <x v="1"/>
    <x v="0"/>
    <x v="4"/>
    <x v="4"/>
    <x v="2"/>
    <x v="0"/>
    <x v="0"/>
  </r>
  <r>
    <x v="24"/>
    <x v="4"/>
    <x v="0"/>
    <x v="0"/>
    <x v="0"/>
    <x v="11"/>
    <x v="4"/>
    <x v="4"/>
    <x v="2"/>
    <x v="0"/>
    <x v="0"/>
  </r>
  <r>
    <x v="24"/>
    <x v="1"/>
    <x v="1"/>
    <x v="0"/>
    <x v="1"/>
    <x v="4"/>
    <x v="3"/>
    <x v="2"/>
    <x v="3"/>
    <x v="0"/>
    <x v="0"/>
  </r>
  <r>
    <x v="24"/>
    <x v="1"/>
    <x v="0"/>
    <x v="0"/>
    <x v="0"/>
    <x v="8"/>
    <x v="4"/>
    <x v="2"/>
    <x v="3"/>
    <x v="0"/>
    <x v="0"/>
  </r>
  <r>
    <x v="24"/>
    <x v="1"/>
    <x v="1"/>
    <x v="0"/>
    <x v="1"/>
    <x v="8"/>
    <x v="4"/>
    <x v="2"/>
    <x v="3"/>
    <x v="0"/>
    <x v="0"/>
  </r>
  <r>
    <x v="24"/>
    <x v="1"/>
    <x v="0"/>
    <x v="0"/>
    <x v="0"/>
    <x v="1"/>
    <x v="4"/>
    <x v="0"/>
    <x v="8"/>
    <x v="0"/>
    <x v="0"/>
  </r>
  <r>
    <x v="24"/>
    <x v="1"/>
    <x v="0"/>
    <x v="0"/>
    <x v="0"/>
    <x v="4"/>
    <x v="4"/>
    <x v="0"/>
    <x v="8"/>
    <x v="0"/>
    <x v="0"/>
  </r>
  <r>
    <x v="24"/>
    <x v="1"/>
    <x v="0"/>
    <x v="0"/>
    <x v="0"/>
    <x v="12"/>
    <x v="4"/>
    <x v="0"/>
    <x v="8"/>
    <x v="0"/>
    <x v="0"/>
  </r>
  <r>
    <x v="24"/>
    <x v="1"/>
    <x v="0"/>
    <x v="0"/>
    <x v="0"/>
    <x v="6"/>
    <x v="4"/>
    <x v="0"/>
    <x v="8"/>
    <x v="0"/>
    <x v="0"/>
  </r>
  <r>
    <x v="24"/>
    <x v="1"/>
    <x v="0"/>
    <x v="0"/>
    <x v="0"/>
    <x v="0"/>
    <x v="4"/>
    <x v="0"/>
    <x v="8"/>
    <x v="0"/>
    <x v="0"/>
  </r>
  <r>
    <x v="24"/>
    <x v="1"/>
    <x v="1"/>
    <x v="0"/>
    <x v="1"/>
    <x v="0"/>
    <x v="3"/>
    <x v="2"/>
    <x v="3"/>
    <x v="0"/>
    <x v="0"/>
  </r>
  <r>
    <x v="24"/>
    <x v="1"/>
    <x v="0"/>
    <x v="0"/>
    <x v="0"/>
    <x v="11"/>
    <x v="0"/>
    <x v="2"/>
    <x v="3"/>
    <x v="0"/>
    <x v="0"/>
  </r>
  <r>
    <x v="24"/>
    <x v="1"/>
    <x v="1"/>
    <x v="0"/>
    <x v="1"/>
    <x v="11"/>
    <x v="0"/>
    <x v="2"/>
    <x v="3"/>
    <x v="0"/>
    <x v="0"/>
  </r>
  <r>
    <x v="24"/>
    <x v="1"/>
    <x v="1"/>
    <x v="0"/>
    <x v="0"/>
    <x v="17"/>
    <x v="4"/>
    <x v="0"/>
    <x v="6"/>
    <x v="0"/>
    <x v="0"/>
  </r>
  <r>
    <x v="24"/>
    <x v="1"/>
    <x v="1"/>
    <x v="0"/>
    <x v="1"/>
    <x v="0"/>
    <x v="4"/>
    <x v="0"/>
    <x v="6"/>
    <x v="0"/>
    <x v="0"/>
  </r>
  <r>
    <x v="24"/>
    <x v="1"/>
    <x v="1"/>
    <x v="0"/>
    <x v="1"/>
    <x v="0"/>
    <x v="4"/>
    <x v="0"/>
    <x v="6"/>
    <x v="0"/>
    <x v="0"/>
  </r>
  <r>
    <x v="24"/>
    <x v="1"/>
    <x v="1"/>
    <x v="0"/>
    <x v="1"/>
    <x v="11"/>
    <x v="4"/>
    <x v="0"/>
    <x v="6"/>
    <x v="0"/>
    <x v="0"/>
  </r>
  <r>
    <x v="24"/>
    <x v="0"/>
    <x v="0"/>
    <x v="0"/>
    <x v="0"/>
    <x v="9"/>
    <x v="6"/>
    <x v="0"/>
    <x v="9"/>
    <x v="12"/>
    <x v="0"/>
  </r>
  <r>
    <x v="24"/>
    <x v="0"/>
    <x v="0"/>
    <x v="0"/>
    <x v="0"/>
    <x v="9"/>
    <x v="6"/>
    <x v="0"/>
    <x v="9"/>
    <x v="12"/>
    <x v="0"/>
  </r>
  <r>
    <x v="24"/>
    <x v="0"/>
    <x v="0"/>
    <x v="0"/>
    <x v="0"/>
    <x v="9"/>
    <x v="6"/>
    <x v="0"/>
    <x v="9"/>
    <x v="12"/>
    <x v="8"/>
  </r>
  <r>
    <x v="24"/>
    <x v="0"/>
    <x v="0"/>
    <x v="0"/>
    <x v="0"/>
    <x v="9"/>
    <x v="6"/>
    <x v="0"/>
    <x v="9"/>
    <x v="12"/>
    <x v="0"/>
  </r>
  <r>
    <x v="24"/>
    <x v="0"/>
    <x v="0"/>
    <x v="0"/>
    <x v="1"/>
    <x v="9"/>
    <x v="6"/>
    <x v="0"/>
    <x v="9"/>
    <x v="12"/>
    <x v="0"/>
  </r>
  <r>
    <x v="24"/>
    <x v="0"/>
    <x v="0"/>
    <x v="0"/>
    <x v="1"/>
    <x v="9"/>
    <x v="6"/>
    <x v="0"/>
    <x v="9"/>
    <x v="12"/>
    <x v="0"/>
  </r>
  <r>
    <x v="24"/>
    <x v="0"/>
    <x v="0"/>
    <x v="0"/>
    <x v="1"/>
    <x v="9"/>
    <x v="6"/>
    <x v="0"/>
    <x v="9"/>
    <x v="12"/>
    <x v="8"/>
  </r>
  <r>
    <x v="24"/>
    <x v="0"/>
    <x v="0"/>
    <x v="0"/>
    <x v="1"/>
    <x v="9"/>
    <x v="6"/>
    <x v="0"/>
    <x v="9"/>
    <x v="12"/>
    <x v="0"/>
  </r>
  <r>
    <x v="24"/>
    <x v="0"/>
    <x v="0"/>
    <x v="0"/>
    <x v="1"/>
    <x v="9"/>
    <x v="6"/>
    <x v="0"/>
    <x v="9"/>
    <x v="12"/>
    <x v="0"/>
  </r>
  <r>
    <x v="24"/>
    <x v="0"/>
    <x v="0"/>
    <x v="0"/>
    <x v="1"/>
    <x v="9"/>
    <x v="6"/>
    <x v="0"/>
    <x v="9"/>
    <x v="12"/>
    <x v="8"/>
  </r>
  <r>
    <x v="24"/>
    <x v="0"/>
    <x v="0"/>
    <x v="0"/>
    <x v="1"/>
    <x v="9"/>
    <x v="6"/>
    <x v="0"/>
    <x v="9"/>
    <x v="12"/>
    <x v="0"/>
  </r>
  <r>
    <x v="24"/>
    <x v="0"/>
    <x v="0"/>
    <x v="0"/>
    <x v="1"/>
    <x v="9"/>
    <x v="6"/>
    <x v="0"/>
    <x v="9"/>
    <x v="12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4"/>
    <x v="3"/>
    <x v="3"/>
    <x v="1"/>
    <x v="2"/>
    <x v="3"/>
    <x v="5"/>
    <x v="3"/>
    <x v="2"/>
    <x v="0"/>
    <x v="0"/>
  </r>
  <r>
    <x v="25"/>
    <x v="4"/>
    <x v="0"/>
    <x v="2"/>
    <x v="1"/>
    <x v="6"/>
    <x v="4"/>
    <x v="4"/>
    <x v="2"/>
    <x v="0"/>
    <x v="0"/>
  </r>
  <r>
    <x v="25"/>
    <x v="4"/>
    <x v="0"/>
    <x v="0"/>
    <x v="0"/>
    <x v="5"/>
    <x v="2"/>
    <x v="4"/>
    <x v="2"/>
    <x v="0"/>
    <x v="0"/>
  </r>
  <r>
    <x v="25"/>
    <x v="2"/>
    <x v="1"/>
    <x v="0"/>
    <x v="0"/>
    <x v="2"/>
    <x v="4"/>
    <x v="1"/>
    <x v="2"/>
    <x v="0"/>
    <x v="0"/>
  </r>
  <r>
    <x v="25"/>
    <x v="2"/>
    <x v="0"/>
    <x v="0"/>
    <x v="1"/>
    <x v="7"/>
    <x v="4"/>
    <x v="1"/>
    <x v="2"/>
    <x v="0"/>
    <x v="0"/>
  </r>
  <r>
    <x v="25"/>
    <x v="2"/>
    <x v="0"/>
    <x v="2"/>
    <x v="1"/>
    <x v="7"/>
    <x v="4"/>
    <x v="2"/>
    <x v="3"/>
    <x v="0"/>
    <x v="0"/>
  </r>
  <r>
    <x v="25"/>
    <x v="5"/>
    <x v="0"/>
    <x v="0"/>
    <x v="0"/>
    <x v="12"/>
    <x v="4"/>
    <x v="4"/>
    <x v="2"/>
    <x v="0"/>
    <x v="0"/>
  </r>
  <r>
    <x v="25"/>
    <x v="5"/>
    <x v="0"/>
    <x v="2"/>
    <x v="0"/>
    <x v="0"/>
    <x v="4"/>
    <x v="2"/>
    <x v="29"/>
    <x v="0"/>
    <x v="0"/>
  </r>
  <r>
    <x v="25"/>
    <x v="5"/>
    <x v="1"/>
    <x v="2"/>
    <x v="1"/>
    <x v="0"/>
    <x v="4"/>
    <x v="2"/>
    <x v="29"/>
    <x v="0"/>
    <x v="0"/>
  </r>
  <r>
    <x v="25"/>
    <x v="5"/>
    <x v="1"/>
    <x v="2"/>
    <x v="1"/>
    <x v="0"/>
    <x v="4"/>
    <x v="2"/>
    <x v="29"/>
    <x v="0"/>
    <x v="0"/>
  </r>
  <r>
    <x v="25"/>
    <x v="5"/>
    <x v="1"/>
    <x v="2"/>
    <x v="1"/>
    <x v="0"/>
    <x v="4"/>
    <x v="2"/>
    <x v="29"/>
    <x v="0"/>
    <x v="0"/>
  </r>
  <r>
    <x v="25"/>
    <x v="2"/>
    <x v="0"/>
    <x v="0"/>
    <x v="0"/>
    <x v="5"/>
    <x v="4"/>
    <x v="4"/>
    <x v="2"/>
    <x v="0"/>
    <x v="0"/>
  </r>
  <r>
    <x v="25"/>
    <x v="2"/>
    <x v="0"/>
    <x v="0"/>
    <x v="0"/>
    <x v="5"/>
    <x v="4"/>
    <x v="0"/>
    <x v="22"/>
    <x v="0"/>
    <x v="0"/>
  </r>
  <r>
    <x v="25"/>
    <x v="2"/>
    <x v="0"/>
    <x v="0"/>
    <x v="0"/>
    <x v="17"/>
    <x v="4"/>
    <x v="0"/>
    <x v="22"/>
    <x v="0"/>
    <x v="0"/>
  </r>
  <r>
    <x v="25"/>
    <x v="2"/>
    <x v="1"/>
    <x v="0"/>
    <x v="1"/>
    <x v="17"/>
    <x v="4"/>
    <x v="0"/>
    <x v="22"/>
    <x v="0"/>
    <x v="0"/>
  </r>
  <r>
    <x v="25"/>
    <x v="2"/>
    <x v="0"/>
    <x v="0"/>
    <x v="1"/>
    <x v="10"/>
    <x v="4"/>
    <x v="2"/>
    <x v="3"/>
    <x v="0"/>
    <x v="0"/>
  </r>
  <r>
    <x v="25"/>
    <x v="0"/>
    <x v="0"/>
    <x v="0"/>
    <x v="1"/>
    <x v="7"/>
    <x v="0"/>
    <x v="0"/>
    <x v="0"/>
    <x v="0"/>
    <x v="0"/>
  </r>
  <r>
    <x v="25"/>
    <x v="4"/>
    <x v="0"/>
    <x v="0"/>
    <x v="1"/>
    <x v="17"/>
    <x v="2"/>
    <x v="2"/>
    <x v="3"/>
    <x v="0"/>
    <x v="0"/>
  </r>
  <r>
    <x v="25"/>
    <x v="4"/>
    <x v="0"/>
    <x v="0"/>
    <x v="1"/>
    <x v="2"/>
    <x v="4"/>
    <x v="4"/>
    <x v="2"/>
    <x v="0"/>
    <x v="0"/>
  </r>
  <r>
    <x v="25"/>
    <x v="4"/>
    <x v="1"/>
    <x v="0"/>
    <x v="0"/>
    <x v="2"/>
    <x v="4"/>
    <x v="4"/>
    <x v="2"/>
    <x v="0"/>
    <x v="0"/>
  </r>
  <r>
    <x v="25"/>
    <x v="4"/>
    <x v="0"/>
    <x v="0"/>
    <x v="0"/>
    <x v="5"/>
    <x v="2"/>
    <x v="4"/>
    <x v="2"/>
    <x v="0"/>
    <x v="0"/>
  </r>
  <r>
    <x v="25"/>
    <x v="4"/>
    <x v="1"/>
    <x v="0"/>
    <x v="0"/>
    <x v="2"/>
    <x v="3"/>
    <x v="4"/>
    <x v="2"/>
    <x v="0"/>
    <x v="0"/>
  </r>
  <r>
    <x v="25"/>
    <x v="4"/>
    <x v="1"/>
    <x v="0"/>
    <x v="1"/>
    <x v="5"/>
    <x v="4"/>
    <x v="0"/>
    <x v="6"/>
    <x v="0"/>
    <x v="0"/>
  </r>
  <r>
    <x v="25"/>
    <x v="4"/>
    <x v="1"/>
    <x v="0"/>
    <x v="1"/>
    <x v="11"/>
    <x v="4"/>
    <x v="0"/>
    <x v="6"/>
    <x v="0"/>
    <x v="0"/>
  </r>
  <r>
    <x v="25"/>
    <x v="4"/>
    <x v="1"/>
    <x v="0"/>
    <x v="1"/>
    <x v="4"/>
    <x v="4"/>
    <x v="0"/>
    <x v="6"/>
    <x v="0"/>
    <x v="0"/>
  </r>
  <r>
    <x v="25"/>
    <x v="4"/>
    <x v="1"/>
    <x v="0"/>
    <x v="1"/>
    <x v="4"/>
    <x v="4"/>
    <x v="0"/>
    <x v="6"/>
    <x v="0"/>
    <x v="0"/>
  </r>
  <r>
    <x v="25"/>
    <x v="4"/>
    <x v="1"/>
    <x v="0"/>
    <x v="1"/>
    <x v="0"/>
    <x v="4"/>
    <x v="0"/>
    <x v="6"/>
    <x v="0"/>
    <x v="0"/>
  </r>
  <r>
    <x v="25"/>
    <x v="0"/>
    <x v="0"/>
    <x v="2"/>
    <x v="1"/>
    <x v="9"/>
    <x v="6"/>
    <x v="0"/>
    <x v="25"/>
    <x v="0"/>
    <x v="0"/>
  </r>
  <r>
    <x v="25"/>
    <x v="0"/>
    <x v="0"/>
    <x v="2"/>
    <x v="1"/>
    <x v="9"/>
    <x v="6"/>
    <x v="0"/>
    <x v="25"/>
    <x v="0"/>
    <x v="0"/>
  </r>
  <r>
    <x v="25"/>
    <x v="0"/>
    <x v="0"/>
    <x v="2"/>
    <x v="1"/>
    <x v="9"/>
    <x v="6"/>
    <x v="0"/>
    <x v="25"/>
    <x v="0"/>
    <x v="0"/>
  </r>
  <r>
    <x v="25"/>
    <x v="0"/>
    <x v="0"/>
    <x v="2"/>
    <x v="1"/>
    <x v="9"/>
    <x v="6"/>
    <x v="0"/>
    <x v="25"/>
    <x v="0"/>
    <x v="0"/>
  </r>
  <r>
    <x v="25"/>
    <x v="0"/>
    <x v="0"/>
    <x v="2"/>
    <x v="1"/>
    <x v="9"/>
    <x v="6"/>
    <x v="0"/>
    <x v="25"/>
    <x v="0"/>
    <x v="0"/>
  </r>
  <r>
    <x v="25"/>
    <x v="0"/>
    <x v="0"/>
    <x v="2"/>
    <x v="1"/>
    <x v="9"/>
    <x v="6"/>
    <x v="0"/>
    <x v="25"/>
    <x v="0"/>
    <x v="0"/>
  </r>
  <r>
    <x v="25"/>
    <x v="0"/>
    <x v="0"/>
    <x v="2"/>
    <x v="1"/>
    <x v="9"/>
    <x v="6"/>
    <x v="0"/>
    <x v="25"/>
    <x v="0"/>
    <x v="0"/>
  </r>
  <r>
    <x v="25"/>
    <x v="0"/>
    <x v="0"/>
    <x v="2"/>
    <x v="1"/>
    <x v="9"/>
    <x v="6"/>
    <x v="0"/>
    <x v="25"/>
    <x v="0"/>
    <x v="0"/>
  </r>
  <r>
    <x v="25"/>
    <x v="0"/>
    <x v="0"/>
    <x v="2"/>
    <x v="1"/>
    <x v="9"/>
    <x v="6"/>
    <x v="0"/>
    <x v="25"/>
    <x v="0"/>
    <x v="0"/>
  </r>
  <r>
    <x v="25"/>
    <x v="0"/>
    <x v="0"/>
    <x v="2"/>
    <x v="1"/>
    <x v="9"/>
    <x v="6"/>
    <x v="0"/>
    <x v="25"/>
    <x v="0"/>
    <x v="0"/>
  </r>
  <r>
    <x v="25"/>
    <x v="0"/>
    <x v="0"/>
    <x v="2"/>
    <x v="1"/>
    <x v="9"/>
    <x v="6"/>
    <x v="0"/>
    <x v="25"/>
    <x v="0"/>
    <x v="0"/>
  </r>
  <r>
    <x v="25"/>
    <x v="0"/>
    <x v="0"/>
    <x v="2"/>
    <x v="1"/>
    <x v="9"/>
    <x v="6"/>
    <x v="0"/>
    <x v="25"/>
    <x v="0"/>
    <x v="0"/>
  </r>
  <r>
    <x v="25"/>
    <x v="2"/>
    <x v="1"/>
    <x v="0"/>
    <x v="0"/>
    <x v="2"/>
    <x v="4"/>
    <x v="4"/>
    <x v="2"/>
    <x v="0"/>
    <x v="0"/>
  </r>
  <r>
    <x v="25"/>
    <x v="2"/>
    <x v="0"/>
    <x v="0"/>
    <x v="1"/>
    <x v="1"/>
    <x v="4"/>
    <x v="2"/>
    <x v="3"/>
    <x v="0"/>
    <x v="0"/>
  </r>
  <r>
    <x v="25"/>
    <x v="2"/>
    <x v="0"/>
    <x v="0"/>
    <x v="1"/>
    <x v="2"/>
    <x v="2"/>
    <x v="2"/>
    <x v="3"/>
    <x v="0"/>
    <x v="0"/>
  </r>
  <r>
    <x v="25"/>
    <x v="2"/>
    <x v="0"/>
    <x v="0"/>
    <x v="1"/>
    <x v="2"/>
    <x v="2"/>
    <x v="2"/>
    <x v="3"/>
    <x v="0"/>
    <x v="0"/>
  </r>
  <r>
    <x v="25"/>
    <x v="2"/>
    <x v="1"/>
    <x v="0"/>
    <x v="1"/>
    <x v="12"/>
    <x v="3"/>
    <x v="2"/>
    <x v="3"/>
    <x v="0"/>
    <x v="0"/>
  </r>
  <r>
    <x v="25"/>
    <x v="2"/>
    <x v="1"/>
    <x v="0"/>
    <x v="0"/>
    <x v="2"/>
    <x v="0"/>
    <x v="4"/>
    <x v="2"/>
    <x v="0"/>
    <x v="0"/>
  </r>
  <r>
    <x v="25"/>
    <x v="2"/>
    <x v="0"/>
    <x v="0"/>
    <x v="1"/>
    <x v="2"/>
    <x v="2"/>
    <x v="4"/>
    <x v="2"/>
    <x v="0"/>
    <x v="0"/>
  </r>
  <r>
    <x v="25"/>
    <x v="2"/>
    <x v="0"/>
    <x v="2"/>
    <x v="1"/>
    <x v="2"/>
    <x v="0"/>
    <x v="4"/>
    <x v="2"/>
    <x v="0"/>
    <x v="0"/>
  </r>
  <r>
    <x v="25"/>
    <x v="2"/>
    <x v="1"/>
    <x v="2"/>
    <x v="0"/>
    <x v="2"/>
    <x v="0"/>
    <x v="4"/>
    <x v="2"/>
    <x v="0"/>
    <x v="0"/>
  </r>
  <r>
    <x v="25"/>
    <x v="2"/>
    <x v="0"/>
    <x v="0"/>
    <x v="0"/>
    <x v="12"/>
    <x v="0"/>
    <x v="4"/>
    <x v="2"/>
    <x v="0"/>
    <x v="0"/>
  </r>
  <r>
    <x v="25"/>
    <x v="5"/>
    <x v="1"/>
    <x v="0"/>
    <x v="1"/>
    <x v="5"/>
    <x v="4"/>
    <x v="1"/>
    <x v="21"/>
    <x v="0"/>
    <x v="0"/>
  </r>
  <r>
    <x v="25"/>
    <x v="4"/>
    <x v="0"/>
    <x v="0"/>
    <x v="1"/>
    <x v="2"/>
    <x v="0"/>
    <x v="4"/>
    <x v="2"/>
    <x v="0"/>
    <x v="0"/>
  </r>
  <r>
    <x v="25"/>
    <x v="4"/>
    <x v="1"/>
    <x v="0"/>
    <x v="0"/>
    <x v="2"/>
    <x v="0"/>
    <x v="4"/>
    <x v="2"/>
    <x v="0"/>
    <x v="0"/>
  </r>
  <r>
    <x v="25"/>
    <x v="0"/>
    <x v="0"/>
    <x v="0"/>
    <x v="0"/>
    <x v="9"/>
    <x v="6"/>
    <x v="0"/>
    <x v="23"/>
    <x v="0"/>
    <x v="0"/>
  </r>
  <r>
    <x v="25"/>
    <x v="0"/>
    <x v="0"/>
    <x v="0"/>
    <x v="0"/>
    <x v="9"/>
    <x v="6"/>
    <x v="0"/>
    <x v="23"/>
    <x v="0"/>
    <x v="0"/>
  </r>
  <r>
    <x v="25"/>
    <x v="0"/>
    <x v="0"/>
    <x v="0"/>
    <x v="0"/>
    <x v="9"/>
    <x v="6"/>
    <x v="0"/>
    <x v="23"/>
    <x v="0"/>
    <x v="0"/>
  </r>
  <r>
    <x v="25"/>
    <x v="0"/>
    <x v="0"/>
    <x v="0"/>
    <x v="1"/>
    <x v="9"/>
    <x v="6"/>
    <x v="0"/>
    <x v="23"/>
    <x v="0"/>
    <x v="0"/>
  </r>
  <r>
    <x v="25"/>
    <x v="0"/>
    <x v="0"/>
    <x v="0"/>
    <x v="1"/>
    <x v="9"/>
    <x v="6"/>
    <x v="0"/>
    <x v="23"/>
    <x v="0"/>
    <x v="0"/>
  </r>
  <r>
    <x v="25"/>
    <x v="0"/>
    <x v="0"/>
    <x v="0"/>
    <x v="1"/>
    <x v="9"/>
    <x v="6"/>
    <x v="0"/>
    <x v="23"/>
    <x v="0"/>
    <x v="0"/>
  </r>
  <r>
    <x v="25"/>
    <x v="0"/>
    <x v="0"/>
    <x v="0"/>
    <x v="1"/>
    <x v="9"/>
    <x v="6"/>
    <x v="0"/>
    <x v="23"/>
    <x v="0"/>
    <x v="0"/>
  </r>
  <r>
    <x v="25"/>
    <x v="0"/>
    <x v="0"/>
    <x v="0"/>
    <x v="1"/>
    <x v="9"/>
    <x v="6"/>
    <x v="0"/>
    <x v="23"/>
    <x v="0"/>
    <x v="0"/>
  </r>
  <r>
    <x v="25"/>
    <x v="0"/>
    <x v="0"/>
    <x v="0"/>
    <x v="1"/>
    <x v="9"/>
    <x v="6"/>
    <x v="0"/>
    <x v="23"/>
    <x v="0"/>
    <x v="0"/>
  </r>
  <r>
    <x v="25"/>
    <x v="0"/>
    <x v="0"/>
    <x v="0"/>
    <x v="1"/>
    <x v="9"/>
    <x v="6"/>
    <x v="0"/>
    <x v="23"/>
    <x v="0"/>
    <x v="0"/>
  </r>
  <r>
    <x v="25"/>
    <x v="0"/>
    <x v="0"/>
    <x v="0"/>
    <x v="1"/>
    <x v="9"/>
    <x v="6"/>
    <x v="0"/>
    <x v="23"/>
    <x v="0"/>
    <x v="0"/>
  </r>
  <r>
    <x v="25"/>
    <x v="4"/>
    <x v="0"/>
    <x v="2"/>
    <x v="1"/>
    <x v="2"/>
    <x v="0"/>
    <x v="4"/>
    <x v="2"/>
    <x v="0"/>
    <x v="0"/>
  </r>
  <r>
    <x v="25"/>
    <x v="4"/>
    <x v="1"/>
    <x v="2"/>
    <x v="0"/>
    <x v="2"/>
    <x v="0"/>
    <x v="4"/>
    <x v="2"/>
    <x v="0"/>
    <x v="0"/>
  </r>
  <r>
    <x v="25"/>
    <x v="4"/>
    <x v="1"/>
    <x v="2"/>
    <x v="0"/>
    <x v="2"/>
    <x v="0"/>
    <x v="4"/>
    <x v="2"/>
    <x v="0"/>
    <x v="0"/>
  </r>
  <r>
    <x v="25"/>
    <x v="4"/>
    <x v="0"/>
    <x v="2"/>
    <x v="0"/>
    <x v="0"/>
    <x v="2"/>
    <x v="4"/>
    <x v="2"/>
    <x v="0"/>
    <x v="0"/>
  </r>
  <r>
    <x v="25"/>
    <x v="4"/>
    <x v="1"/>
    <x v="2"/>
    <x v="1"/>
    <x v="4"/>
    <x v="4"/>
    <x v="4"/>
    <x v="2"/>
    <x v="0"/>
    <x v="0"/>
  </r>
  <r>
    <x v="25"/>
    <x v="4"/>
    <x v="0"/>
    <x v="2"/>
    <x v="1"/>
    <x v="0"/>
    <x v="4"/>
    <x v="4"/>
    <x v="2"/>
    <x v="0"/>
    <x v="0"/>
  </r>
  <r>
    <x v="25"/>
    <x v="1"/>
    <x v="0"/>
    <x v="0"/>
    <x v="1"/>
    <x v="2"/>
    <x v="4"/>
    <x v="2"/>
    <x v="3"/>
    <x v="0"/>
    <x v="0"/>
  </r>
  <r>
    <x v="25"/>
    <x v="1"/>
    <x v="0"/>
    <x v="0"/>
    <x v="1"/>
    <x v="2"/>
    <x v="2"/>
    <x v="2"/>
    <x v="3"/>
    <x v="0"/>
    <x v="0"/>
  </r>
  <r>
    <x v="25"/>
    <x v="1"/>
    <x v="1"/>
    <x v="0"/>
    <x v="0"/>
    <x v="2"/>
    <x v="2"/>
    <x v="2"/>
    <x v="3"/>
    <x v="0"/>
    <x v="0"/>
  </r>
  <r>
    <x v="25"/>
    <x v="1"/>
    <x v="1"/>
    <x v="0"/>
    <x v="0"/>
    <x v="2"/>
    <x v="2"/>
    <x v="2"/>
    <x v="3"/>
    <x v="0"/>
    <x v="0"/>
  </r>
  <r>
    <x v="25"/>
    <x v="1"/>
    <x v="1"/>
    <x v="0"/>
    <x v="0"/>
    <x v="2"/>
    <x v="3"/>
    <x v="0"/>
    <x v="10"/>
    <x v="0"/>
    <x v="0"/>
  </r>
  <r>
    <x v="25"/>
    <x v="1"/>
    <x v="1"/>
    <x v="0"/>
    <x v="1"/>
    <x v="4"/>
    <x v="3"/>
    <x v="0"/>
    <x v="10"/>
    <x v="0"/>
    <x v="0"/>
  </r>
  <r>
    <x v="25"/>
    <x v="1"/>
    <x v="1"/>
    <x v="0"/>
    <x v="1"/>
    <x v="2"/>
    <x v="3"/>
    <x v="0"/>
    <x v="10"/>
    <x v="0"/>
    <x v="0"/>
  </r>
  <r>
    <x v="25"/>
    <x v="1"/>
    <x v="0"/>
    <x v="2"/>
    <x v="1"/>
    <x v="2"/>
    <x v="0"/>
    <x v="2"/>
    <x v="3"/>
    <x v="0"/>
    <x v="0"/>
  </r>
  <r>
    <x v="25"/>
    <x v="1"/>
    <x v="0"/>
    <x v="0"/>
    <x v="1"/>
    <x v="0"/>
    <x v="4"/>
    <x v="2"/>
    <x v="3"/>
    <x v="0"/>
    <x v="0"/>
  </r>
  <r>
    <x v="25"/>
    <x v="1"/>
    <x v="1"/>
    <x v="0"/>
    <x v="0"/>
    <x v="0"/>
    <x v="3"/>
    <x v="2"/>
    <x v="3"/>
    <x v="0"/>
    <x v="0"/>
  </r>
  <r>
    <x v="25"/>
    <x v="1"/>
    <x v="1"/>
    <x v="0"/>
    <x v="1"/>
    <x v="0"/>
    <x v="3"/>
    <x v="2"/>
    <x v="3"/>
    <x v="0"/>
    <x v="0"/>
  </r>
  <r>
    <x v="25"/>
    <x v="4"/>
    <x v="0"/>
    <x v="0"/>
    <x v="0"/>
    <x v="1"/>
    <x v="4"/>
    <x v="2"/>
    <x v="3"/>
    <x v="0"/>
    <x v="0"/>
  </r>
  <r>
    <x v="25"/>
    <x v="4"/>
    <x v="1"/>
    <x v="0"/>
    <x v="1"/>
    <x v="1"/>
    <x v="4"/>
    <x v="2"/>
    <x v="3"/>
    <x v="0"/>
    <x v="0"/>
  </r>
  <r>
    <x v="25"/>
    <x v="4"/>
    <x v="1"/>
    <x v="0"/>
    <x v="4"/>
    <x v="1"/>
    <x v="4"/>
    <x v="4"/>
    <x v="2"/>
    <x v="0"/>
    <x v="0"/>
  </r>
  <r>
    <x v="25"/>
    <x v="4"/>
    <x v="1"/>
    <x v="0"/>
    <x v="4"/>
    <x v="1"/>
    <x v="4"/>
    <x v="4"/>
    <x v="2"/>
    <x v="0"/>
    <x v="0"/>
  </r>
  <r>
    <x v="25"/>
    <x v="4"/>
    <x v="0"/>
    <x v="0"/>
    <x v="0"/>
    <x v="6"/>
    <x v="0"/>
    <x v="4"/>
    <x v="2"/>
    <x v="0"/>
    <x v="0"/>
  </r>
  <r>
    <x v="25"/>
    <x v="5"/>
    <x v="0"/>
    <x v="0"/>
    <x v="0"/>
    <x v="14"/>
    <x v="4"/>
    <x v="1"/>
    <x v="21"/>
    <x v="0"/>
    <x v="0"/>
  </r>
  <r>
    <x v="25"/>
    <x v="1"/>
    <x v="0"/>
    <x v="0"/>
    <x v="0"/>
    <x v="1"/>
    <x v="4"/>
    <x v="2"/>
    <x v="3"/>
    <x v="0"/>
    <x v="0"/>
  </r>
  <r>
    <x v="25"/>
    <x v="1"/>
    <x v="1"/>
    <x v="0"/>
    <x v="1"/>
    <x v="1"/>
    <x v="4"/>
    <x v="2"/>
    <x v="3"/>
    <x v="0"/>
    <x v="0"/>
  </r>
  <r>
    <x v="25"/>
    <x v="1"/>
    <x v="0"/>
    <x v="0"/>
    <x v="0"/>
    <x v="13"/>
    <x v="0"/>
    <x v="2"/>
    <x v="3"/>
    <x v="0"/>
    <x v="0"/>
  </r>
  <r>
    <x v="25"/>
    <x v="1"/>
    <x v="1"/>
    <x v="0"/>
    <x v="1"/>
    <x v="1"/>
    <x v="3"/>
    <x v="2"/>
    <x v="3"/>
    <x v="0"/>
    <x v="0"/>
  </r>
  <r>
    <x v="25"/>
    <x v="1"/>
    <x v="0"/>
    <x v="0"/>
    <x v="0"/>
    <x v="0"/>
    <x v="4"/>
    <x v="2"/>
    <x v="3"/>
    <x v="0"/>
    <x v="0"/>
  </r>
  <r>
    <x v="25"/>
    <x v="1"/>
    <x v="0"/>
    <x v="0"/>
    <x v="1"/>
    <x v="2"/>
    <x v="0"/>
    <x v="2"/>
    <x v="3"/>
    <x v="0"/>
    <x v="0"/>
  </r>
  <r>
    <x v="25"/>
    <x v="2"/>
    <x v="0"/>
    <x v="0"/>
    <x v="0"/>
    <x v="12"/>
    <x v="2"/>
    <x v="0"/>
    <x v="17"/>
    <x v="0"/>
    <x v="0"/>
  </r>
  <r>
    <x v="25"/>
    <x v="2"/>
    <x v="0"/>
    <x v="0"/>
    <x v="0"/>
    <x v="12"/>
    <x v="2"/>
    <x v="0"/>
    <x v="17"/>
    <x v="0"/>
    <x v="0"/>
  </r>
  <r>
    <x v="25"/>
    <x v="2"/>
    <x v="0"/>
    <x v="0"/>
    <x v="0"/>
    <x v="12"/>
    <x v="2"/>
    <x v="0"/>
    <x v="17"/>
    <x v="0"/>
    <x v="0"/>
  </r>
  <r>
    <x v="25"/>
    <x v="2"/>
    <x v="0"/>
    <x v="0"/>
    <x v="0"/>
    <x v="12"/>
    <x v="2"/>
    <x v="0"/>
    <x v="17"/>
    <x v="0"/>
    <x v="0"/>
  </r>
  <r>
    <x v="25"/>
    <x v="2"/>
    <x v="0"/>
    <x v="0"/>
    <x v="0"/>
    <x v="12"/>
    <x v="2"/>
    <x v="0"/>
    <x v="17"/>
    <x v="0"/>
    <x v="0"/>
  </r>
  <r>
    <x v="25"/>
    <x v="2"/>
    <x v="1"/>
    <x v="0"/>
    <x v="1"/>
    <x v="12"/>
    <x v="2"/>
    <x v="0"/>
    <x v="17"/>
    <x v="0"/>
    <x v="0"/>
  </r>
  <r>
    <x v="25"/>
    <x v="2"/>
    <x v="1"/>
    <x v="2"/>
    <x v="1"/>
    <x v="12"/>
    <x v="2"/>
    <x v="0"/>
    <x v="17"/>
    <x v="0"/>
    <x v="0"/>
  </r>
  <r>
    <x v="25"/>
    <x v="2"/>
    <x v="0"/>
    <x v="2"/>
    <x v="1"/>
    <x v="12"/>
    <x v="0"/>
    <x v="0"/>
    <x v="17"/>
    <x v="0"/>
    <x v="0"/>
  </r>
  <r>
    <x v="25"/>
    <x v="4"/>
    <x v="0"/>
    <x v="0"/>
    <x v="0"/>
    <x v="11"/>
    <x v="2"/>
    <x v="0"/>
    <x v="24"/>
    <x v="0"/>
    <x v="0"/>
  </r>
  <r>
    <x v="25"/>
    <x v="4"/>
    <x v="0"/>
    <x v="0"/>
    <x v="0"/>
    <x v="11"/>
    <x v="2"/>
    <x v="0"/>
    <x v="24"/>
    <x v="0"/>
    <x v="0"/>
  </r>
  <r>
    <x v="25"/>
    <x v="4"/>
    <x v="0"/>
    <x v="0"/>
    <x v="0"/>
    <x v="11"/>
    <x v="2"/>
    <x v="0"/>
    <x v="24"/>
    <x v="0"/>
    <x v="0"/>
  </r>
  <r>
    <x v="25"/>
    <x v="4"/>
    <x v="0"/>
    <x v="0"/>
    <x v="0"/>
    <x v="11"/>
    <x v="2"/>
    <x v="0"/>
    <x v="24"/>
    <x v="0"/>
    <x v="0"/>
  </r>
  <r>
    <x v="25"/>
    <x v="4"/>
    <x v="0"/>
    <x v="0"/>
    <x v="0"/>
    <x v="17"/>
    <x v="2"/>
    <x v="0"/>
    <x v="24"/>
    <x v="0"/>
    <x v="0"/>
  </r>
  <r>
    <x v="25"/>
    <x v="4"/>
    <x v="0"/>
    <x v="0"/>
    <x v="0"/>
    <x v="17"/>
    <x v="4"/>
    <x v="0"/>
    <x v="24"/>
    <x v="0"/>
    <x v="0"/>
  </r>
  <r>
    <x v="25"/>
    <x v="4"/>
    <x v="0"/>
    <x v="0"/>
    <x v="0"/>
    <x v="17"/>
    <x v="4"/>
    <x v="0"/>
    <x v="24"/>
    <x v="0"/>
    <x v="0"/>
  </r>
  <r>
    <x v="25"/>
    <x v="4"/>
    <x v="0"/>
    <x v="0"/>
    <x v="0"/>
    <x v="10"/>
    <x v="4"/>
    <x v="0"/>
    <x v="24"/>
    <x v="0"/>
    <x v="0"/>
  </r>
  <r>
    <x v="25"/>
    <x v="4"/>
    <x v="0"/>
    <x v="0"/>
    <x v="0"/>
    <x v="14"/>
    <x v="2"/>
    <x v="0"/>
    <x v="24"/>
    <x v="0"/>
    <x v="0"/>
  </r>
  <r>
    <x v="25"/>
    <x v="4"/>
    <x v="0"/>
    <x v="0"/>
    <x v="0"/>
    <x v="1"/>
    <x v="4"/>
    <x v="0"/>
    <x v="24"/>
    <x v="0"/>
    <x v="0"/>
  </r>
  <r>
    <x v="25"/>
    <x v="4"/>
    <x v="0"/>
    <x v="0"/>
    <x v="0"/>
    <x v="1"/>
    <x v="4"/>
    <x v="0"/>
    <x v="24"/>
    <x v="0"/>
    <x v="0"/>
  </r>
  <r>
    <x v="25"/>
    <x v="4"/>
    <x v="0"/>
    <x v="0"/>
    <x v="0"/>
    <x v="1"/>
    <x v="4"/>
    <x v="0"/>
    <x v="24"/>
    <x v="0"/>
    <x v="0"/>
  </r>
  <r>
    <x v="25"/>
    <x v="4"/>
    <x v="0"/>
    <x v="0"/>
    <x v="1"/>
    <x v="1"/>
    <x v="4"/>
    <x v="0"/>
    <x v="24"/>
    <x v="0"/>
    <x v="0"/>
  </r>
  <r>
    <x v="25"/>
    <x v="4"/>
    <x v="0"/>
    <x v="0"/>
    <x v="1"/>
    <x v="1"/>
    <x v="4"/>
    <x v="0"/>
    <x v="24"/>
    <x v="0"/>
    <x v="0"/>
  </r>
  <r>
    <x v="25"/>
    <x v="4"/>
    <x v="0"/>
    <x v="0"/>
    <x v="1"/>
    <x v="1"/>
    <x v="4"/>
    <x v="0"/>
    <x v="24"/>
    <x v="0"/>
    <x v="0"/>
  </r>
  <r>
    <x v="25"/>
    <x v="4"/>
    <x v="0"/>
    <x v="0"/>
    <x v="1"/>
    <x v="1"/>
    <x v="4"/>
    <x v="0"/>
    <x v="24"/>
    <x v="0"/>
    <x v="0"/>
  </r>
  <r>
    <x v="25"/>
    <x v="4"/>
    <x v="0"/>
    <x v="0"/>
    <x v="1"/>
    <x v="11"/>
    <x v="4"/>
    <x v="0"/>
    <x v="24"/>
    <x v="0"/>
    <x v="0"/>
  </r>
  <r>
    <x v="25"/>
    <x v="4"/>
    <x v="0"/>
    <x v="0"/>
    <x v="1"/>
    <x v="11"/>
    <x v="2"/>
    <x v="0"/>
    <x v="24"/>
    <x v="0"/>
    <x v="0"/>
  </r>
  <r>
    <x v="25"/>
    <x v="4"/>
    <x v="0"/>
    <x v="0"/>
    <x v="1"/>
    <x v="11"/>
    <x v="2"/>
    <x v="0"/>
    <x v="24"/>
    <x v="0"/>
    <x v="0"/>
  </r>
  <r>
    <x v="25"/>
    <x v="4"/>
    <x v="0"/>
    <x v="0"/>
    <x v="1"/>
    <x v="14"/>
    <x v="2"/>
    <x v="0"/>
    <x v="24"/>
    <x v="0"/>
    <x v="0"/>
  </r>
  <r>
    <x v="25"/>
    <x v="4"/>
    <x v="0"/>
    <x v="0"/>
    <x v="1"/>
    <x v="10"/>
    <x v="4"/>
    <x v="0"/>
    <x v="24"/>
    <x v="0"/>
    <x v="0"/>
  </r>
  <r>
    <x v="25"/>
    <x v="4"/>
    <x v="0"/>
    <x v="0"/>
    <x v="1"/>
    <x v="10"/>
    <x v="4"/>
    <x v="0"/>
    <x v="24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5"/>
    <x v="3"/>
    <x v="3"/>
    <x v="1"/>
    <x v="2"/>
    <x v="3"/>
    <x v="5"/>
    <x v="3"/>
    <x v="2"/>
    <x v="0"/>
    <x v="0"/>
  </r>
  <r>
    <x v="26"/>
    <x v="2"/>
    <x v="0"/>
    <x v="0"/>
    <x v="1"/>
    <x v="0"/>
    <x v="4"/>
    <x v="4"/>
    <x v="2"/>
    <x v="0"/>
    <x v="0"/>
  </r>
  <r>
    <x v="26"/>
    <x v="2"/>
    <x v="2"/>
    <x v="0"/>
    <x v="1"/>
    <x v="0"/>
    <x v="3"/>
    <x v="2"/>
    <x v="3"/>
    <x v="0"/>
    <x v="0"/>
  </r>
  <r>
    <x v="26"/>
    <x v="2"/>
    <x v="0"/>
    <x v="0"/>
    <x v="1"/>
    <x v="7"/>
    <x v="4"/>
    <x v="4"/>
    <x v="2"/>
    <x v="0"/>
    <x v="0"/>
  </r>
  <r>
    <x v="26"/>
    <x v="2"/>
    <x v="1"/>
    <x v="0"/>
    <x v="1"/>
    <x v="7"/>
    <x v="4"/>
    <x v="4"/>
    <x v="2"/>
    <x v="0"/>
    <x v="0"/>
  </r>
  <r>
    <x v="26"/>
    <x v="2"/>
    <x v="0"/>
    <x v="0"/>
    <x v="1"/>
    <x v="7"/>
    <x v="4"/>
    <x v="2"/>
    <x v="3"/>
    <x v="0"/>
    <x v="0"/>
  </r>
  <r>
    <x v="26"/>
    <x v="2"/>
    <x v="0"/>
    <x v="0"/>
    <x v="0"/>
    <x v="1"/>
    <x v="2"/>
    <x v="2"/>
    <x v="3"/>
    <x v="0"/>
    <x v="0"/>
  </r>
  <r>
    <x v="26"/>
    <x v="2"/>
    <x v="1"/>
    <x v="0"/>
    <x v="1"/>
    <x v="1"/>
    <x v="2"/>
    <x v="4"/>
    <x v="2"/>
    <x v="0"/>
    <x v="0"/>
  </r>
  <r>
    <x v="26"/>
    <x v="2"/>
    <x v="0"/>
    <x v="0"/>
    <x v="0"/>
    <x v="8"/>
    <x v="4"/>
    <x v="2"/>
    <x v="5"/>
    <x v="0"/>
    <x v="0"/>
  </r>
  <r>
    <x v="26"/>
    <x v="2"/>
    <x v="1"/>
    <x v="0"/>
    <x v="1"/>
    <x v="8"/>
    <x v="4"/>
    <x v="2"/>
    <x v="5"/>
    <x v="0"/>
    <x v="0"/>
  </r>
  <r>
    <x v="26"/>
    <x v="2"/>
    <x v="1"/>
    <x v="0"/>
    <x v="1"/>
    <x v="2"/>
    <x v="0"/>
    <x v="2"/>
    <x v="3"/>
    <x v="0"/>
    <x v="0"/>
  </r>
  <r>
    <x v="26"/>
    <x v="2"/>
    <x v="0"/>
    <x v="0"/>
    <x v="1"/>
    <x v="2"/>
    <x v="0"/>
    <x v="4"/>
    <x v="2"/>
    <x v="0"/>
    <x v="0"/>
  </r>
  <r>
    <x v="26"/>
    <x v="2"/>
    <x v="0"/>
    <x v="0"/>
    <x v="1"/>
    <x v="2"/>
    <x v="0"/>
    <x v="4"/>
    <x v="2"/>
    <x v="0"/>
    <x v="0"/>
  </r>
  <r>
    <x v="26"/>
    <x v="2"/>
    <x v="0"/>
    <x v="0"/>
    <x v="1"/>
    <x v="6"/>
    <x v="4"/>
    <x v="4"/>
    <x v="2"/>
    <x v="0"/>
    <x v="0"/>
  </r>
  <r>
    <x v="26"/>
    <x v="1"/>
    <x v="1"/>
    <x v="0"/>
    <x v="1"/>
    <x v="2"/>
    <x v="3"/>
    <x v="2"/>
    <x v="3"/>
    <x v="0"/>
    <x v="0"/>
  </r>
  <r>
    <x v="26"/>
    <x v="1"/>
    <x v="1"/>
    <x v="0"/>
    <x v="1"/>
    <x v="17"/>
    <x v="3"/>
    <x v="2"/>
    <x v="3"/>
    <x v="0"/>
    <x v="0"/>
  </r>
  <r>
    <x v="26"/>
    <x v="1"/>
    <x v="0"/>
    <x v="0"/>
    <x v="1"/>
    <x v="2"/>
    <x v="2"/>
    <x v="0"/>
    <x v="14"/>
    <x v="0"/>
    <x v="0"/>
  </r>
  <r>
    <x v="26"/>
    <x v="1"/>
    <x v="0"/>
    <x v="0"/>
    <x v="1"/>
    <x v="2"/>
    <x v="2"/>
    <x v="0"/>
    <x v="14"/>
    <x v="0"/>
    <x v="0"/>
  </r>
  <r>
    <x v="26"/>
    <x v="1"/>
    <x v="0"/>
    <x v="0"/>
    <x v="1"/>
    <x v="2"/>
    <x v="2"/>
    <x v="0"/>
    <x v="14"/>
    <x v="0"/>
    <x v="0"/>
  </r>
  <r>
    <x v="26"/>
    <x v="1"/>
    <x v="0"/>
    <x v="0"/>
    <x v="1"/>
    <x v="2"/>
    <x v="2"/>
    <x v="0"/>
    <x v="14"/>
    <x v="0"/>
    <x v="0"/>
  </r>
  <r>
    <x v="26"/>
    <x v="1"/>
    <x v="0"/>
    <x v="0"/>
    <x v="1"/>
    <x v="14"/>
    <x v="2"/>
    <x v="0"/>
    <x v="14"/>
    <x v="0"/>
    <x v="0"/>
  </r>
  <r>
    <x v="26"/>
    <x v="1"/>
    <x v="0"/>
    <x v="0"/>
    <x v="1"/>
    <x v="2"/>
    <x v="2"/>
    <x v="0"/>
    <x v="14"/>
    <x v="0"/>
    <x v="0"/>
  </r>
  <r>
    <x v="26"/>
    <x v="2"/>
    <x v="0"/>
    <x v="0"/>
    <x v="0"/>
    <x v="8"/>
    <x v="0"/>
    <x v="2"/>
    <x v="3"/>
    <x v="0"/>
    <x v="0"/>
  </r>
  <r>
    <x v="26"/>
    <x v="2"/>
    <x v="1"/>
    <x v="0"/>
    <x v="1"/>
    <x v="8"/>
    <x v="0"/>
    <x v="2"/>
    <x v="2"/>
    <x v="0"/>
    <x v="0"/>
  </r>
  <r>
    <x v="26"/>
    <x v="2"/>
    <x v="0"/>
    <x v="0"/>
    <x v="0"/>
    <x v="14"/>
    <x v="4"/>
    <x v="1"/>
    <x v="2"/>
    <x v="0"/>
    <x v="0"/>
  </r>
  <r>
    <x v="26"/>
    <x v="2"/>
    <x v="1"/>
    <x v="0"/>
    <x v="1"/>
    <x v="2"/>
    <x v="3"/>
    <x v="1"/>
    <x v="2"/>
    <x v="0"/>
    <x v="0"/>
  </r>
  <r>
    <x v="26"/>
    <x v="2"/>
    <x v="0"/>
    <x v="0"/>
    <x v="1"/>
    <x v="2"/>
    <x v="4"/>
    <x v="2"/>
    <x v="3"/>
    <x v="0"/>
    <x v="0"/>
  </r>
  <r>
    <x v="26"/>
    <x v="2"/>
    <x v="0"/>
    <x v="2"/>
    <x v="1"/>
    <x v="7"/>
    <x v="4"/>
    <x v="4"/>
    <x v="2"/>
    <x v="0"/>
    <x v="0"/>
  </r>
  <r>
    <x v="26"/>
    <x v="2"/>
    <x v="0"/>
    <x v="0"/>
    <x v="1"/>
    <x v="2"/>
    <x v="2"/>
    <x v="4"/>
    <x v="2"/>
    <x v="0"/>
    <x v="0"/>
  </r>
  <r>
    <x v="26"/>
    <x v="2"/>
    <x v="0"/>
    <x v="0"/>
    <x v="1"/>
    <x v="2"/>
    <x v="0"/>
    <x v="4"/>
    <x v="2"/>
    <x v="0"/>
    <x v="0"/>
  </r>
  <r>
    <x v="26"/>
    <x v="4"/>
    <x v="0"/>
    <x v="0"/>
    <x v="1"/>
    <x v="2"/>
    <x v="4"/>
    <x v="2"/>
    <x v="3"/>
    <x v="0"/>
    <x v="0"/>
  </r>
  <r>
    <x v="26"/>
    <x v="4"/>
    <x v="1"/>
    <x v="0"/>
    <x v="4"/>
    <x v="2"/>
    <x v="4"/>
    <x v="2"/>
    <x v="3"/>
    <x v="0"/>
    <x v="0"/>
  </r>
  <r>
    <x v="26"/>
    <x v="4"/>
    <x v="1"/>
    <x v="0"/>
    <x v="3"/>
    <x v="2"/>
    <x v="4"/>
    <x v="2"/>
    <x v="3"/>
    <x v="0"/>
    <x v="0"/>
  </r>
  <r>
    <x v="26"/>
    <x v="4"/>
    <x v="0"/>
    <x v="0"/>
    <x v="0"/>
    <x v="5"/>
    <x v="2"/>
    <x v="4"/>
    <x v="3"/>
    <x v="0"/>
    <x v="0"/>
  </r>
  <r>
    <x v="26"/>
    <x v="4"/>
    <x v="1"/>
    <x v="2"/>
    <x v="1"/>
    <x v="4"/>
    <x v="4"/>
    <x v="4"/>
    <x v="3"/>
    <x v="0"/>
    <x v="0"/>
  </r>
  <r>
    <x v="26"/>
    <x v="4"/>
    <x v="1"/>
    <x v="2"/>
    <x v="1"/>
    <x v="4"/>
    <x v="4"/>
    <x v="4"/>
    <x v="3"/>
    <x v="0"/>
    <x v="0"/>
  </r>
  <r>
    <x v="26"/>
    <x v="4"/>
    <x v="0"/>
    <x v="2"/>
    <x v="0"/>
    <x v="0"/>
    <x v="4"/>
    <x v="2"/>
    <x v="3"/>
    <x v="0"/>
    <x v="0"/>
  </r>
  <r>
    <x v="26"/>
    <x v="4"/>
    <x v="1"/>
    <x v="2"/>
    <x v="1"/>
    <x v="0"/>
    <x v="4"/>
    <x v="2"/>
    <x v="3"/>
    <x v="0"/>
    <x v="0"/>
  </r>
  <r>
    <x v="26"/>
    <x v="4"/>
    <x v="1"/>
    <x v="2"/>
    <x v="1"/>
    <x v="11"/>
    <x v="4"/>
    <x v="2"/>
    <x v="2"/>
    <x v="0"/>
    <x v="0"/>
  </r>
  <r>
    <x v="26"/>
    <x v="4"/>
    <x v="1"/>
    <x v="2"/>
    <x v="1"/>
    <x v="11"/>
    <x v="4"/>
    <x v="2"/>
    <x v="2"/>
    <x v="0"/>
    <x v="0"/>
  </r>
  <r>
    <x v="26"/>
    <x v="4"/>
    <x v="1"/>
    <x v="2"/>
    <x v="1"/>
    <x v="11"/>
    <x v="4"/>
    <x v="2"/>
    <x v="2"/>
    <x v="0"/>
    <x v="0"/>
  </r>
  <r>
    <x v="26"/>
    <x v="4"/>
    <x v="1"/>
    <x v="2"/>
    <x v="0"/>
    <x v="11"/>
    <x v="4"/>
    <x v="2"/>
    <x v="3"/>
    <x v="0"/>
    <x v="0"/>
  </r>
  <r>
    <x v="26"/>
    <x v="4"/>
    <x v="1"/>
    <x v="0"/>
    <x v="1"/>
    <x v="7"/>
    <x v="3"/>
    <x v="2"/>
    <x v="3"/>
    <x v="0"/>
    <x v="0"/>
  </r>
  <r>
    <x v="26"/>
    <x v="4"/>
    <x v="0"/>
    <x v="2"/>
    <x v="0"/>
    <x v="14"/>
    <x v="0"/>
    <x v="4"/>
    <x v="2"/>
    <x v="0"/>
    <x v="0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15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16"/>
  </r>
  <r>
    <x v="26"/>
    <x v="4"/>
    <x v="0"/>
    <x v="0"/>
    <x v="0"/>
    <x v="5"/>
    <x v="2"/>
    <x v="3"/>
    <x v="18"/>
    <x v="20"/>
    <x v="0"/>
  </r>
  <r>
    <x v="26"/>
    <x v="4"/>
    <x v="0"/>
    <x v="0"/>
    <x v="0"/>
    <x v="5"/>
    <x v="2"/>
    <x v="3"/>
    <x v="18"/>
    <x v="2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6"/>
    <x v="3"/>
    <x v="3"/>
    <x v="1"/>
    <x v="2"/>
    <x v="3"/>
    <x v="5"/>
    <x v="3"/>
    <x v="2"/>
    <x v="0"/>
    <x v="0"/>
  </r>
  <r>
    <x v="27"/>
    <x v="2"/>
    <x v="0"/>
    <x v="0"/>
    <x v="1"/>
    <x v="2"/>
    <x v="2"/>
    <x v="4"/>
    <x v="2"/>
    <x v="0"/>
    <x v="0"/>
  </r>
  <r>
    <x v="27"/>
    <x v="1"/>
    <x v="0"/>
    <x v="0"/>
    <x v="0"/>
    <x v="0"/>
    <x v="0"/>
    <x v="0"/>
    <x v="1"/>
    <x v="0"/>
    <x v="0"/>
  </r>
  <r>
    <x v="27"/>
    <x v="1"/>
    <x v="0"/>
    <x v="0"/>
    <x v="1"/>
    <x v="2"/>
    <x v="2"/>
    <x v="0"/>
    <x v="1"/>
    <x v="0"/>
    <x v="0"/>
  </r>
  <r>
    <x v="27"/>
    <x v="1"/>
    <x v="0"/>
    <x v="0"/>
    <x v="1"/>
    <x v="2"/>
    <x v="2"/>
    <x v="0"/>
    <x v="1"/>
    <x v="21"/>
    <x v="1"/>
  </r>
  <r>
    <x v="27"/>
    <x v="1"/>
    <x v="0"/>
    <x v="0"/>
    <x v="1"/>
    <x v="11"/>
    <x v="4"/>
    <x v="0"/>
    <x v="1"/>
    <x v="21"/>
    <x v="0"/>
  </r>
  <r>
    <x v="27"/>
    <x v="1"/>
    <x v="0"/>
    <x v="0"/>
    <x v="1"/>
    <x v="2"/>
    <x v="0"/>
    <x v="0"/>
    <x v="1"/>
    <x v="21"/>
    <x v="1"/>
  </r>
  <r>
    <x v="27"/>
    <x v="1"/>
    <x v="0"/>
    <x v="0"/>
    <x v="0"/>
    <x v="6"/>
    <x v="2"/>
    <x v="0"/>
    <x v="1"/>
    <x v="21"/>
    <x v="0"/>
  </r>
  <r>
    <x v="27"/>
    <x v="2"/>
    <x v="0"/>
    <x v="0"/>
    <x v="0"/>
    <x v="14"/>
    <x v="2"/>
    <x v="2"/>
    <x v="3"/>
    <x v="21"/>
    <x v="1"/>
  </r>
  <r>
    <x v="27"/>
    <x v="2"/>
    <x v="1"/>
    <x v="0"/>
    <x v="1"/>
    <x v="0"/>
    <x v="3"/>
    <x v="2"/>
    <x v="5"/>
    <x v="21"/>
    <x v="0"/>
  </r>
  <r>
    <x v="27"/>
    <x v="2"/>
    <x v="1"/>
    <x v="0"/>
    <x v="1"/>
    <x v="0"/>
    <x v="3"/>
    <x v="2"/>
    <x v="5"/>
    <x v="0"/>
    <x v="0"/>
  </r>
  <r>
    <x v="27"/>
    <x v="2"/>
    <x v="0"/>
    <x v="0"/>
    <x v="0"/>
    <x v="5"/>
    <x v="4"/>
    <x v="4"/>
    <x v="2"/>
    <x v="0"/>
    <x v="0"/>
  </r>
  <r>
    <x v="27"/>
    <x v="2"/>
    <x v="2"/>
    <x v="1"/>
    <x v="2"/>
    <x v="3"/>
    <x v="5"/>
    <x v="3"/>
    <x v="2"/>
    <x v="0"/>
    <x v="0"/>
  </r>
  <r>
    <x v="27"/>
    <x v="2"/>
    <x v="0"/>
    <x v="0"/>
    <x v="0"/>
    <x v="5"/>
    <x v="4"/>
    <x v="0"/>
    <x v="17"/>
    <x v="0"/>
    <x v="0"/>
  </r>
  <r>
    <x v="27"/>
    <x v="2"/>
    <x v="0"/>
    <x v="0"/>
    <x v="0"/>
    <x v="17"/>
    <x v="4"/>
    <x v="0"/>
    <x v="17"/>
    <x v="0"/>
    <x v="0"/>
  </r>
  <r>
    <x v="27"/>
    <x v="2"/>
    <x v="0"/>
    <x v="0"/>
    <x v="1"/>
    <x v="17"/>
    <x v="4"/>
    <x v="0"/>
    <x v="17"/>
    <x v="0"/>
    <x v="0"/>
  </r>
  <r>
    <x v="27"/>
    <x v="2"/>
    <x v="0"/>
    <x v="0"/>
    <x v="1"/>
    <x v="2"/>
    <x v="4"/>
    <x v="0"/>
    <x v="17"/>
    <x v="0"/>
    <x v="0"/>
  </r>
  <r>
    <x v="27"/>
    <x v="2"/>
    <x v="0"/>
    <x v="0"/>
    <x v="1"/>
    <x v="0"/>
    <x v="4"/>
    <x v="0"/>
    <x v="17"/>
    <x v="0"/>
    <x v="0"/>
  </r>
  <r>
    <x v="27"/>
    <x v="2"/>
    <x v="1"/>
    <x v="0"/>
    <x v="1"/>
    <x v="2"/>
    <x v="4"/>
    <x v="2"/>
    <x v="21"/>
    <x v="0"/>
    <x v="0"/>
  </r>
  <r>
    <x v="27"/>
    <x v="2"/>
    <x v="0"/>
    <x v="0"/>
    <x v="1"/>
    <x v="2"/>
    <x v="2"/>
    <x v="4"/>
    <x v="2"/>
    <x v="0"/>
    <x v="0"/>
  </r>
  <r>
    <x v="27"/>
    <x v="2"/>
    <x v="0"/>
    <x v="2"/>
    <x v="1"/>
    <x v="0"/>
    <x v="0"/>
    <x v="4"/>
    <x v="2"/>
    <x v="0"/>
    <x v="0"/>
  </r>
  <r>
    <x v="27"/>
    <x v="2"/>
    <x v="1"/>
    <x v="2"/>
    <x v="1"/>
    <x v="0"/>
    <x v="0"/>
    <x v="4"/>
    <x v="2"/>
    <x v="0"/>
    <x v="0"/>
  </r>
  <r>
    <x v="27"/>
    <x v="2"/>
    <x v="1"/>
    <x v="2"/>
    <x v="0"/>
    <x v="0"/>
    <x v="0"/>
    <x v="4"/>
    <x v="2"/>
    <x v="0"/>
    <x v="0"/>
  </r>
  <r>
    <x v="27"/>
    <x v="2"/>
    <x v="0"/>
    <x v="0"/>
    <x v="1"/>
    <x v="2"/>
    <x v="0"/>
    <x v="4"/>
    <x v="2"/>
    <x v="0"/>
    <x v="0"/>
  </r>
  <r>
    <x v="27"/>
    <x v="2"/>
    <x v="0"/>
    <x v="0"/>
    <x v="0"/>
    <x v="7"/>
    <x v="3"/>
    <x v="4"/>
    <x v="2"/>
    <x v="0"/>
    <x v="0"/>
  </r>
  <r>
    <x v="27"/>
    <x v="2"/>
    <x v="0"/>
    <x v="0"/>
    <x v="1"/>
    <x v="11"/>
    <x v="4"/>
    <x v="2"/>
    <x v="3"/>
    <x v="0"/>
    <x v="0"/>
  </r>
  <r>
    <x v="27"/>
    <x v="2"/>
    <x v="0"/>
    <x v="2"/>
    <x v="1"/>
    <x v="1"/>
    <x v="0"/>
    <x v="4"/>
    <x v="2"/>
    <x v="0"/>
    <x v="0"/>
  </r>
  <r>
    <x v="27"/>
    <x v="2"/>
    <x v="1"/>
    <x v="2"/>
    <x v="0"/>
    <x v="1"/>
    <x v="0"/>
    <x v="4"/>
    <x v="2"/>
    <x v="0"/>
    <x v="0"/>
  </r>
  <r>
    <x v="27"/>
    <x v="2"/>
    <x v="0"/>
    <x v="0"/>
    <x v="0"/>
    <x v="0"/>
    <x v="0"/>
    <x v="4"/>
    <x v="2"/>
    <x v="0"/>
    <x v="0"/>
  </r>
  <r>
    <x v="27"/>
    <x v="1"/>
    <x v="1"/>
    <x v="0"/>
    <x v="1"/>
    <x v="0"/>
    <x v="3"/>
    <x v="2"/>
    <x v="3"/>
    <x v="11"/>
    <x v="0"/>
  </r>
  <r>
    <x v="27"/>
    <x v="1"/>
    <x v="1"/>
    <x v="0"/>
    <x v="1"/>
    <x v="0"/>
    <x v="3"/>
    <x v="2"/>
    <x v="3"/>
    <x v="11"/>
    <x v="0"/>
  </r>
  <r>
    <x v="27"/>
    <x v="1"/>
    <x v="0"/>
    <x v="0"/>
    <x v="1"/>
    <x v="2"/>
    <x v="2"/>
    <x v="2"/>
    <x v="3"/>
    <x v="11"/>
    <x v="0"/>
  </r>
  <r>
    <x v="27"/>
    <x v="1"/>
    <x v="0"/>
    <x v="0"/>
    <x v="1"/>
    <x v="2"/>
    <x v="2"/>
    <x v="2"/>
    <x v="3"/>
    <x v="11"/>
    <x v="0"/>
  </r>
  <r>
    <x v="27"/>
    <x v="1"/>
    <x v="1"/>
    <x v="0"/>
    <x v="0"/>
    <x v="2"/>
    <x v="3"/>
    <x v="2"/>
    <x v="3"/>
    <x v="11"/>
    <x v="0"/>
  </r>
  <r>
    <x v="27"/>
    <x v="4"/>
    <x v="0"/>
    <x v="0"/>
    <x v="1"/>
    <x v="2"/>
    <x v="4"/>
    <x v="0"/>
    <x v="4"/>
    <x v="0"/>
    <x v="0"/>
  </r>
  <r>
    <x v="27"/>
    <x v="4"/>
    <x v="1"/>
    <x v="0"/>
    <x v="0"/>
    <x v="2"/>
    <x v="4"/>
    <x v="0"/>
    <x v="4"/>
    <x v="0"/>
    <x v="0"/>
  </r>
  <r>
    <x v="27"/>
    <x v="4"/>
    <x v="0"/>
    <x v="0"/>
    <x v="1"/>
    <x v="2"/>
    <x v="0"/>
    <x v="0"/>
    <x v="4"/>
    <x v="11"/>
    <x v="0"/>
  </r>
  <r>
    <x v="27"/>
    <x v="4"/>
    <x v="0"/>
    <x v="0"/>
    <x v="1"/>
    <x v="7"/>
    <x v="0"/>
    <x v="0"/>
    <x v="4"/>
    <x v="11"/>
    <x v="0"/>
  </r>
  <r>
    <x v="27"/>
    <x v="4"/>
    <x v="0"/>
    <x v="0"/>
    <x v="1"/>
    <x v="11"/>
    <x v="4"/>
    <x v="0"/>
    <x v="4"/>
    <x v="0"/>
    <x v="0"/>
  </r>
  <r>
    <x v="27"/>
    <x v="4"/>
    <x v="0"/>
    <x v="0"/>
    <x v="1"/>
    <x v="7"/>
    <x v="4"/>
    <x v="0"/>
    <x v="4"/>
    <x v="0"/>
    <x v="0"/>
  </r>
  <r>
    <x v="27"/>
    <x v="4"/>
    <x v="1"/>
    <x v="0"/>
    <x v="0"/>
    <x v="4"/>
    <x v="4"/>
    <x v="0"/>
    <x v="4"/>
    <x v="0"/>
    <x v="0"/>
  </r>
  <r>
    <x v="27"/>
    <x v="4"/>
    <x v="0"/>
    <x v="0"/>
    <x v="1"/>
    <x v="2"/>
    <x v="0"/>
    <x v="0"/>
    <x v="4"/>
    <x v="11"/>
    <x v="0"/>
  </r>
  <r>
    <x v="27"/>
    <x v="4"/>
    <x v="0"/>
    <x v="0"/>
    <x v="0"/>
    <x v="1"/>
    <x v="0"/>
    <x v="0"/>
    <x v="4"/>
    <x v="11"/>
    <x v="0"/>
  </r>
  <r>
    <x v="27"/>
    <x v="4"/>
    <x v="0"/>
    <x v="2"/>
    <x v="0"/>
    <x v="1"/>
    <x v="0"/>
    <x v="2"/>
    <x v="13"/>
    <x v="11"/>
    <x v="0"/>
  </r>
  <r>
    <x v="27"/>
    <x v="4"/>
    <x v="1"/>
    <x v="2"/>
    <x v="0"/>
    <x v="1"/>
    <x v="0"/>
    <x v="2"/>
    <x v="13"/>
    <x v="0"/>
    <x v="0"/>
  </r>
  <r>
    <x v="27"/>
    <x v="4"/>
    <x v="1"/>
    <x v="2"/>
    <x v="1"/>
    <x v="1"/>
    <x v="0"/>
    <x v="2"/>
    <x v="13"/>
    <x v="0"/>
    <x v="0"/>
  </r>
  <r>
    <x v="27"/>
    <x v="4"/>
    <x v="1"/>
    <x v="2"/>
    <x v="1"/>
    <x v="11"/>
    <x v="3"/>
    <x v="2"/>
    <x v="3"/>
    <x v="0"/>
    <x v="0"/>
  </r>
  <r>
    <x v="27"/>
    <x v="4"/>
    <x v="1"/>
    <x v="0"/>
    <x v="1"/>
    <x v="11"/>
    <x v="3"/>
    <x v="2"/>
    <x v="3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7"/>
    <x v="3"/>
    <x v="3"/>
    <x v="1"/>
    <x v="2"/>
    <x v="3"/>
    <x v="5"/>
    <x v="3"/>
    <x v="2"/>
    <x v="0"/>
    <x v="0"/>
  </r>
  <r>
    <x v="28"/>
    <x v="2"/>
    <x v="0"/>
    <x v="2"/>
    <x v="1"/>
    <x v="2"/>
    <x v="0"/>
    <x v="4"/>
    <x v="2"/>
    <x v="0"/>
    <x v="0"/>
  </r>
  <r>
    <x v="28"/>
    <x v="2"/>
    <x v="1"/>
    <x v="2"/>
    <x v="1"/>
    <x v="2"/>
    <x v="0"/>
    <x v="4"/>
    <x v="2"/>
    <x v="0"/>
    <x v="0"/>
  </r>
  <r>
    <x v="28"/>
    <x v="2"/>
    <x v="0"/>
    <x v="0"/>
    <x v="1"/>
    <x v="2"/>
    <x v="2"/>
    <x v="4"/>
    <x v="2"/>
    <x v="0"/>
    <x v="0"/>
  </r>
  <r>
    <x v="28"/>
    <x v="2"/>
    <x v="1"/>
    <x v="0"/>
    <x v="0"/>
    <x v="2"/>
    <x v="2"/>
    <x v="4"/>
    <x v="2"/>
    <x v="0"/>
    <x v="0"/>
  </r>
  <r>
    <x v="28"/>
    <x v="2"/>
    <x v="0"/>
    <x v="0"/>
    <x v="0"/>
    <x v="5"/>
    <x v="2"/>
    <x v="4"/>
    <x v="2"/>
    <x v="0"/>
    <x v="0"/>
  </r>
  <r>
    <x v="28"/>
    <x v="1"/>
    <x v="0"/>
    <x v="0"/>
    <x v="0"/>
    <x v="0"/>
    <x v="4"/>
    <x v="2"/>
    <x v="5"/>
    <x v="0"/>
    <x v="0"/>
  </r>
  <r>
    <x v="28"/>
    <x v="1"/>
    <x v="1"/>
    <x v="0"/>
    <x v="1"/>
    <x v="0"/>
    <x v="4"/>
    <x v="2"/>
    <x v="5"/>
    <x v="0"/>
    <x v="0"/>
  </r>
  <r>
    <x v="28"/>
    <x v="2"/>
    <x v="0"/>
    <x v="2"/>
    <x v="1"/>
    <x v="2"/>
    <x v="4"/>
    <x v="4"/>
    <x v="2"/>
    <x v="0"/>
    <x v="0"/>
  </r>
  <r>
    <x v="28"/>
    <x v="2"/>
    <x v="1"/>
    <x v="2"/>
    <x v="0"/>
    <x v="2"/>
    <x v="4"/>
    <x v="4"/>
    <x v="2"/>
    <x v="0"/>
    <x v="0"/>
  </r>
  <r>
    <x v="28"/>
    <x v="2"/>
    <x v="0"/>
    <x v="0"/>
    <x v="1"/>
    <x v="7"/>
    <x v="2"/>
    <x v="2"/>
    <x v="3"/>
    <x v="0"/>
    <x v="0"/>
  </r>
  <r>
    <x v="28"/>
    <x v="2"/>
    <x v="0"/>
    <x v="0"/>
    <x v="1"/>
    <x v="4"/>
    <x v="0"/>
    <x v="2"/>
    <x v="5"/>
    <x v="0"/>
    <x v="0"/>
  </r>
  <r>
    <x v="28"/>
    <x v="2"/>
    <x v="1"/>
    <x v="0"/>
    <x v="0"/>
    <x v="4"/>
    <x v="0"/>
    <x v="2"/>
    <x v="5"/>
    <x v="0"/>
    <x v="0"/>
  </r>
  <r>
    <x v="28"/>
    <x v="2"/>
    <x v="0"/>
    <x v="2"/>
    <x v="1"/>
    <x v="0"/>
    <x v="4"/>
    <x v="4"/>
    <x v="2"/>
    <x v="0"/>
    <x v="0"/>
  </r>
  <r>
    <x v="28"/>
    <x v="2"/>
    <x v="1"/>
    <x v="2"/>
    <x v="1"/>
    <x v="0"/>
    <x v="4"/>
    <x v="4"/>
    <x v="2"/>
    <x v="0"/>
    <x v="0"/>
  </r>
  <r>
    <x v="28"/>
    <x v="2"/>
    <x v="0"/>
    <x v="0"/>
    <x v="1"/>
    <x v="2"/>
    <x v="0"/>
    <x v="1"/>
    <x v="2"/>
    <x v="0"/>
    <x v="0"/>
  </r>
  <r>
    <x v="28"/>
    <x v="2"/>
    <x v="1"/>
    <x v="0"/>
    <x v="0"/>
    <x v="5"/>
    <x v="2"/>
    <x v="4"/>
    <x v="2"/>
    <x v="0"/>
    <x v="0"/>
  </r>
  <r>
    <x v="28"/>
    <x v="1"/>
    <x v="0"/>
    <x v="0"/>
    <x v="0"/>
    <x v="6"/>
    <x v="0"/>
    <x v="0"/>
    <x v="1"/>
    <x v="0"/>
    <x v="0"/>
  </r>
  <r>
    <x v="28"/>
    <x v="1"/>
    <x v="0"/>
    <x v="0"/>
    <x v="1"/>
    <x v="2"/>
    <x v="2"/>
    <x v="0"/>
    <x v="1"/>
    <x v="0"/>
    <x v="0"/>
  </r>
  <r>
    <x v="28"/>
    <x v="1"/>
    <x v="0"/>
    <x v="0"/>
    <x v="1"/>
    <x v="2"/>
    <x v="2"/>
    <x v="0"/>
    <x v="1"/>
    <x v="0"/>
    <x v="0"/>
  </r>
  <r>
    <x v="28"/>
    <x v="1"/>
    <x v="1"/>
    <x v="0"/>
    <x v="1"/>
    <x v="11"/>
    <x v="4"/>
    <x v="0"/>
    <x v="1"/>
    <x v="0"/>
    <x v="0"/>
  </r>
  <r>
    <x v="28"/>
    <x v="1"/>
    <x v="0"/>
    <x v="0"/>
    <x v="1"/>
    <x v="11"/>
    <x v="4"/>
    <x v="0"/>
    <x v="1"/>
    <x v="0"/>
    <x v="0"/>
  </r>
  <r>
    <x v="28"/>
    <x v="1"/>
    <x v="0"/>
    <x v="0"/>
    <x v="1"/>
    <x v="2"/>
    <x v="0"/>
    <x v="0"/>
    <x v="1"/>
    <x v="0"/>
    <x v="0"/>
  </r>
  <r>
    <x v="28"/>
    <x v="1"/>
    <x v="1"/>
    <x v="2"/>
    <x v="1"/>
    <x v="8"/>
    <x v="3"/>
    <x v="2"/>
    <x v="3"/>
    <x v="0"/>
    <x v="0"/>
  </r>
  <r>
    <x v="28"/>
    <x v="1"/>
    <x v="0"/>
    <x v="0"/>
    <x v="1"/>
    <x v="2"/>
    <x v="2"/>
    <x v="2"/>
    <x v="3"/>
    <x v="0"/>
    <x v="0"/>
  </r>
  <r>
    <x v="28"/>
    <x v="1"/>
    <x v="0"/>
    <x v="0"/>
    <x v="0"/>
    <x v="8"/>
    <x v="4"/>
    <x v="2"/>
    <x v="3"/>
    <x v="0"/>
    <x v="0"/>
  </r>
  <r>
    <x v="28"/>
    <x v="1"/>
    <x v="0"/>
    <x v="0"/>
    <x v="1"/>
    <x v="2"/>
    <x v="2"/>
    <x v="2"/>
    <x v="3"/>
    <x v="0"/>
    <x v="0"/>
  </r>
  <r>
    <x v="28"/>
    <x v="1"/>
    <x v="1"/>
    <x v="0"/>
    <x v="1"/>
    <x v="2"/>
    <x v="3"/>
    <x v="2"/>
    <x v="3"/>
    <x v="0"/>
    <x v="0"/>
  </r>
  <r>
    <x v="28"/>
    <x v="1"/>
    <x v="1"/>
    <x v="0"/>
    <x v="0"/>
    <x v="4"/>
    <x v="3"/>
    <x v="2"/>
    <x v="3"/>
    <x v="0"/>
    <x v="0"/>
  </r>
  <r>
    <x v="28"/>
    <x v="1"/>
    <x v="0"/>
    <x v="2"/>
    <x v="0"/>
    <x v="11"/>
    <x v="3"/>
    <x v="2"/>
    <x v="3"/>
    <x v="0"/>
    <x v="0"/>
  </r>
  <r>
    <x v="28"/>
    <x v="1"/>
    <x v="1"/>
    <x v="2"/>
    <x v="1"/>
    <x v="11"/>
    <x v="0"/>
    <x v="2"/>
    <x v="13"/>
    <x v="0"/>
    <x v="0"/>
  </r>
  <r>
    <x v="28"/>
    <x v="2"/>
    <x v="0"/>
    <x v="2"/>
    <x v="1"/>
    <x v="2"/>
    <x v="4"/>
    <x v="4"/>
    <x v="2"/>
    <x v="0"/>
    <x v="0"/>
  </r>
  <r>
    <x v="28"/>
    <x v="2"/>
    <x v="1"/>
    <x v="2"/>
    <x v="0"/>
    <x v="2"/>
    <x v="4"/>
    <x v="4"/>
    <x v="2"/>
    <x v="0"/>
    <x v="0"/>
  </r>
  <r>
    <x v="28"/>
    <x v="2"/>
    <x v="0"/>
    <x v="0"/>
    <x v="1"/>
    <x v="17"/>
    <x v="4"/>
    <x v="4"/>
    <x v="2"/>
    <x v="0"/>
    <x v="0"/>
  </r>
  <r>
    <x v="28"/>
    <x v="2"/>
    <x v="1"/>
    <x v="2"/>
    <x v="1"/>
    <x v="17"/>
    <x v="4"/>
    <x v="4"/>
    <x v="2"/>
    <x v="0"/>
    <x v="0"/>
  </r>
  <r>
    <x v="28"/>
    <x v="2"/>
    <x v="2"/>
    <x v="1"/>
    <x v="1"/>
    <x v="3"/>
    <x v="5"/>
    <x v="3"/>
    <x v="2"/>
    <x v="0"/>
    <x v="0"/>
  </r>
  <r>
    <x v="28"/>
    <x v="2"/>
    <x v="0"/>
    <x v="0"/>
    <x v="0"/>
    <x v="5"/>
    <x v="2"/>
    <x v="4"/>
    <x v="2"/>
    <x v="0"/>
    <x v="0"/>
  </r>
  <r>
    <x v="28"/>
    <x v="2"/>
    <x v="1"/>
    <x v="2"/>
    <x v="1"/>
    <x v="5"/>
    <x v="2"/>
    <x v="2"/>
    <x v="3"/>
    <x v="0"/>
    <x v="0"/>
  </r>
  <r>
    <x v="28"/>
    <x v="2"/>
    <x v="1"/>
    <x v="0"/>
    <x v="1"/>
    <x v="17"/>
    <x v="4"/>
    <x v="2"/>
    <x v="3"/>
    <x v="0"/>
    <x v="0"/>
  </r>
  <r>
    <x v="28"/>
    <x v="2"/>
    <x v="0"/>
    <x v="0"/>
    <x v="1"/>
    <x v="7"/>
    <x v="2"/>
    <x v="2"/>
    <x v="3"/>
    <x v="0"/>
    <x v="0"/>
  </r>
  <r>
    <x v="28"/>
    <x v="2"/>
    <x v="0"/>
    <x v="2"/>
    <x v="0"/>
    <x v="0"/>
    <x v="0"/>
    <x v="4"/>
    <x v="2"/>
    <x v="0"/>
    <x v="0"/>
  </r>
  <r>
    <x v="28"/>
    <x v="2"/>
    <x v="1"/>
    <x v="2"/>
    <x v="1"/>
    <x v="0"/>
    <x v="0"/>
    <x v="4"/>
    <x v="2"/>
    <x v="0"/>
    <x v="0"/>
  </r>
  <r>
    <x v="28"/>
    <x v="2"/>
    <x v="0"/>
    <x v="0"/>
    <x v="1"/>
    <x v="2"/>
    <x v="4"/>
    <x v="4"/>
    <x v="2"/>
    <x v="0"/>
    <x v="0"/>
  </r>
  <r>
    <x v="28"/>
    <x v="2"/>
    <x v="0"/>
    <x v="2"/>
    <x v="0"/>
    <x v="17"/>
    <x v="0"/>
    <x v="4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8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29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0"/>
    <x v="3"/>
    <x v="3"/>
    <x v="1"/>
    <x v="2"/>
    <x v="3"/>
    <x v="5"/>
    <x v="3"/>
    <x v="2"/>
    <x v="0"/>
    <x v="0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  <r>
    <x v="31"/>
    <x v="6"/>
    <x v="5"/>
    <x v="3"/>
    <x v="5"/>
    <x v="19"/>
    <x v="8"/>
    <x v="7"/>
    <x v="30"/>
    <x v="22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W17" firstHeaderRow="1" firstDataRow="2" firstDataCol="1"/>
  <pivotFields count="11">
    <pivotField axis="axisCol" dataField="1" showAll="0">
      <items count="37">
        <item h="1" x="31"/>
        <item x="0"/>
        <item h="1" m="1" x="32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axis="axisRow" showAll="0">
      <items count="11">
        <item h="1" sd="0" x="5"/>
        <item h="1" sd="0" x="3"/>
        <item x="0"/>
        <item x="1"/>
        <item x="4"/>
        <item n="Professional" m="1" x="8"/>
        <item n="Professional2" x="2"/>
        <item h="1" m="1" x="6"/>
        <item m="1" x="7"/>
        <item m="1" x="9"/>
        <item t="default"/>
      </items>
    </pivotField>
    <pivotField showAll="0"/>
    <pivotField axis="axisRow" showAll="0">
      <items count="12">
        <item x="5"/>
        <item x="2"/>
        <item x="1"/>
        <item x="0"/>
        <item m="1" x="9"/>
        <item m="1" x="10"/>
        <item m="1" x="7"/>
        <item m="1" x="8"/>
        <item m="1" x="6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2"/>
    <field x="4"/>
  </rowFields>
  <rowItems count="15">
    <i>
      <x v="2"/>
    </i>
    <i r="1">
      <x v="2"/>
    </i>
    <i r="1">
      <x v="3"/>
    </i>
    <i>
      <x v="3"/>
    </i>
    <i r="1">
      <x v="2"/>
    </i>
    <i r="1">
      <x v="3"/>
    </i>
    <i r="1">
      <x v="9"/>
    </i>
    <i r="1">
      <x v="10"/>
    </i>
    <i>
      <x v="4"/>
    </i>
    <i r="1">
      <x v="1"/>
    </i>
    <i>
      <x v="6"/>
    </i>
    <i r="1">
      <x v="1"/>
    </i>
    <i r="1">
      <x v="2"/>
    </i>
    <i r="1">
      <x v="3"/>
    </i>
    <i t="grand">
      <x/>
    </i>
  </rowItems>
  <colFields count="1">
    <field x="0"/>
  </colFields>
  <colItems count="22">
    <i>
      <x v="1"/>
    </i>
    <i>
      <x v="4"/>
    </i>
    <i>
      <x v="5"/>
    </i>
    <i>
      <x v="6"/>
    </i>
    <i>
      <x v="9"/>
    </i>
    <i>
      <x v="10"/>
    </i>
    <i>
      <x v="11"/>
    </i>
    <i>
      <x v="14"/>
    </i>
    <i>
      <x v="15"/>
    </i>
    <i>
      <x v="16"/>
    </i>
    <i>
      <x v="19"/>
    </i>
    <i>
      <x v="20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Visitors Including Other Visitors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W26" firstHeaderRow="1" firstDataRow="2" firstDataCol="1"/>
  <pivotFields count="11">
    <pivotField axis="axisCol" showAll="0">
      <items count="37">
        <item x="31"/>
        <item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axis="axisRow" dataField="1" showAll="0">
      <items count="10">
        <item h="1" x="6"/>
        <item h="1" x="3"/>
        <item x="5"/>
        <item x="2"/>
        <item x="1"/>
        <item x="0"/>
        <item x="4"/>
        <item m="1" x="7"/>
        <item h="1" m="1" x="8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">
        <item x="3"/>
        <item x="2"/>
        <item m="1" x="8"/>
        <item x="4"/>
        <item x="6"/>
        <item m="1" x="9"/>
        <item x="0"/>
        <item x="1"/>
        <item m="1" x="10"/>
        <item x="7"/>
        <item x="5"/>
        <item m="1" x="11"/>
        <item t="default"/>
      </items>
    </pivotField>
    <pivotField showAll="0"/>
    <pivotField showAll="0"/>
    <pivotField showAll="0"/>
  </pivotFields>
  <rowFields count="2">
    <field x="1"/>
    <field x="7"/>
  </rowFields>
  <rowItems count="24">
    <i>
      <x v="2"/>
    </i>
    <i r="1">
      <x v="1"/>
    </i>
    <i r="1">
      <x v="3"/>
    </i>
    <i r="1">
      <x v="4"/>
    </i>
    <i r="1">
      <x v="7"/>
    </i>
    <i>
      <x v="3"/>
    </i>
    <i r="1">
      <x/>
    </i>
    <i r="1">
      <x v="1"/>
    </i>
    <i r="1">
      <x v="3"/>
    </i>
    <i r="1">
      <x v="6"/>
    </i>
    <i r="1">
      <x v="7"/>
    </i>
    <i r="1">
      <x v="10"/>
    </i>
    <i>
      <x v="4"/>
    </i>
    <i r="1">
      <x v="1"/>
    </i>
    <i r="1">
      <x v="3"/>
    </i>
    <i r="1">
      <x v="6"/>
    </i>
    <i>
      <x v="5"/>
    </i>
    <i r="1">
      <x v="6"/>
    </i>
    <i>
      <x v="6"/>
    </i>
    <i r="1">
      <x/>
    </i>
    <i r="1">
      <x v="1"/>
    </i>
    <i r="1">
      <x v="3"/>
    </i>
    <i r="1">
      <x v="6"/>
    </i>
    <i t="grand">
      <x/>
    </i>
  </rowItems>
  <colFields count="1">
    <field x="0"/>
  </colFields>
  <colItems count="22">
    <i>
      <x v="2"/>
    </i>
    <i>
      <x v="4"/>
    </i>
    <i>
      <x v="5"/>
    </i>
    <i>
      <x v="6"/>
    </i>
    <i>
      <x v="9"/>
    </i>
    <i>
      <x v="10"/>
    </i>
    <i>
      <x v="11"/>
    </i>
    <i>
      <x v="14"/>
    </i>
    <i>
      <x v="15"/>
    </i>
    <i>
      <x v="16"/>
    </i>
    <i>
      <x v="19"/>
    </i>
    <i>
      <x v="20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of Seen by" fld="1" subtotal="count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W26" firstHeaderRow="1" firstDataRow="2" firstDataCol="1"/>
  <pivotFields count="11">
    <pivotField axis="axisCol" dataField="1" showAll="0">
      <items count="37">
        <item h="1" x="31"/>
        <item h="1"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axis="axisRow" showAll="0">
      <items count="11">
        <item x="5"/>
        <item x="3"/>
        <item x="0"/>
        <item x="1"/>
        <item x="4"/>
        <item n="Professional" m="1" x="8"/>
        <item n="Professional2" x="2"/>
        <item m="1" x="6"/>
        <item m="1" x="7"/>
        <item m="1" x="9"/>
        <item t="default"/>
      </items>
    </pivotField>
    <pivotField axis="axisRow" showAll="0">
      <items count="7">
        <item h="1" x="3"/>
        <item h="1" x="1"/>
        <item n="Returning" m="1" x="4"/>
        <item x="2"/>
        <item n="Returning2" x="0"/>
        <item h="1" m="1" x="5"/>
        <item t="default"/>
      </items>
    </pivotField>
    <pivotField axis="axisRow" showAll="0">
      <items count="12">
        <item x="5"/>
        <item x="2"/>
        <item x="1"/>
        <item x="0"/>
        <item m="1" x="9"/>
        <item m="1" x="10"/>
        <item m="1" x="7"/>
        <item m="1" x="8"/>
        <item m="1" x="6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3">
    <field x="3"/>
    <field x="2"/>
    <field x="4"/>
  </rowFields>
  <rowItems count="24">
    <i>
      <x v="3"/>
    </i>
    <i r="1">
      <x v="2"/>
    </i>
    <i r="2">
      <x v="2"/>
    </i>
    <i r="2">
      <x v="3"/>
    </i>
    <i r="1">
      <x v="3"/>
    </i>
    <i r="2">
      <x v="2"/>
    </i>
    <i r="2">
      <x v="3"/>
    </i>
    <i r="2">
      <x v="9"/>
    </i>
    <i r="2">
      <x v="10"/>
    </i>
    <i r="1">
      <x v="6"/>
    </i>
    <i r="2">
      <x v="2"/>
    </i>
    <i r="2">
      <x v="3"/>
    </i>
    <i>
      <x v="4"/>
    </i>
    <i r="1">
      <x v="2"/>
    </i>
    <i r="2">
      <x v="2"/>
    </i>
    <i r="2">
      <x v="3"/>
    </i>
    <i r="1">
      <x v="3"/>
    </i>
    <i r="2">
      <x v="2"/>
    </i>
    <i r="2">
      <x v="3"/>
    </i>
    <i r="2">
      <x v="9"/>
    </i>
    <i r="2">
      <x v="10"/>
    </i>
    <i r="1">
      <x v="6"/>
    </i>
    <i r="2">
      <x v="2"/>
    </i>
    <i t="grand">
      <x/>
    </i>
  </rowItems>
  <colFields count="1">
    <field x="0"/>
  </colFields>
  <colItems count="22">
    <i>
      <x v="2"/>
    </i>
    <i>
      <x v="4"/>
    </i>
    <i>
      <x v="5"/>
    </i>
    <i>
      <x v="6"/>
    </i>
    <i>
      <x v="9"/>
    </i>
    <i>
      <x v="10"/>
    </i>
    <i>
      <x v="11"/>
    </i>
    <i>
      <x v="14"/>
    </i>
    <i>
      <x v="15"/>
    </i>
    <i>
      <x v="16"/>
    </i>
    <i>
      <x v="19"/>
    </i>
    <i>
      <x v="20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New/ Returning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71:W83" firstHeaderRow="1" firstDataRow="2" firstDataCol="1"/>
  <pivotFields count="11">
    <pivotField axis="axisCol" dataField="1" showAll="0">
      <items count="37">
        <item x="31"/>
        <item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showAll="0"/>
    <pivotField axis="axisRow" showAll="0">
      <items count="7">
        <item h="1" x="3"/>
        <item h="1" x="1"/>
        <item h="1" m="1" x="4"/>
        <item x="2"/>
        <item x="0"/>
        <item h="1" m="1" x="5"/>
        <item t="default"/>
      </items>
    </pivotField>
    <pivotField axis="axisRow" showAll="0">
      <items count="12">
        <item x="5"/>
        <item x="2"/>
        <item x="1"/>
        <item x="0"/>
        <item m="1" x="9"/>
        <item m="1" x="10"/>
        <item m="1" x="7"/>
        <item m="1" x="8"/>
        <item m="1" x="6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3"/>
    <field x="4"/>
  </rowFields>
  <rowItems count="11">
    <i>
      <x v="3"/>
    </i>
    <i r="1">
      <x v="2"/>
    </i>
    <i r="1">
      <x v="3"/>
    </i>
    <i r="1">
      <x v="9"/>
    </i>
    <i r="1">
      <x v="10"/>
    </i>
    <i>
      <x v="4"/>
    </i>
    <i r="1">
      <x v="2"/>
    </i>
    <i r="1">
      <x v="3"/>
    </i>
    <i r="1">
      <x v="9"/>
    </i>
    <i r="1">
      <x v="10"/>
    </i>
    <i t="grand">
      <x/>
    </i>
  </rowItems>
  <colFields count="1">
    <field x="0"/>
  </colFields>
  <colItems count="22">
    <i>
      <x v="2"/>
    </i>
    <i>
      <x v="4"/>
    </i>
    <i>
      <x v="5"/>
    </i>
    <i>
      <x v="6"/>
    </i>
    <i>
      <x v="9"/>
    </i>
    <i>
      <x v="10"/>
    </i>
    <i>
      <x v="11"/>
    </i>
    <i>
      <x v="14"/>
    </i>
    <i>
      <x v="15"/>
    </i>
    <i>
      <x v="16"/>
    </i>
    <i>
      <x v="19"/>
    </i>
    <i>
      <x v="20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New/ Returning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4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W15" firstHeaderRow="1" firstDataRow="2" firstDataCol="1"/>
  <pivotFields count="11">
    <pivotField axis="axisCol" dataField="1" showAll="0">
      <items count="37">
        <item h="1" x="31"/>
        <item h="1"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axis="axisRow" showAll="0">
      <items count="11">
        <item x="5"/>
        <item x="3"/>
        <item x="0"/>
        <item x="1"/>
        <item x="4"/>
        <item n="Professional" m="1" x="8"/>
        <item n="Professional2" x="2"/>
        <item m="1" x="6"/>
        <item m="1" x="7"/>
        <item m="1" x="9"/>
        <item t="default"/>
      </items>
    </pivotField>
    <pivotField showAll="0"/>
    <pivotField axis="axisRow" showAll="0">
      <items count="12">
        <item h="1" x="5"/>
        <item h="1" x="2"/>
        <item x="1"/>
        <item x="0"/>
        <item m="1" x="9"/>
        <item m="1" x="10"/>
        <item h="1" m="1" x="7"/>
        <item m="1" x="8"/>
        <item m="1" x="6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4"/>
    <field x="2"/>
  </rowFields>
  <rowItems count="13">
    <i>
      <x v="2"/>
    </i>
    <i r="1">
      <x v="2"/>
    </i>
    <i r="1">
      <x v="3"/>
    </i>
    <i r="1">
      <x v="6"/>
    </i>
    <i>
      <x v="3"/>
    </i>
    <i r="1">
      <x v="2"/>
    </i>
    <i r="1">
      <x v="3"/>
    </i>
    <i r="1">
      <x v="6"/>
    </i>
    <i>
      <x v="9"/>
    </i>
    <i r="1">
      <x v="3"/>
    </i>
    <i>
      <x v="10"/>
    </i>
    <i r="1">
      <x v="3"/>
    </i>
    <i t="grand">
      <x/>
    </i>
  </rowItems>
  <colFields count="1">
    <field x="0"/>
  </colFields>
  <colItems count="22">
    <i>
      <x v="2"/>
    </i>
    <i>
      <x v="4"/>
    </i>
    <i>
      <x v="5"/>
    </i>
    <i>
      <x v="6"/>
    </i>
    <i>
      <x v="9"/>
    </i>
    <i>
      <x v="10"/>
    </i>
    <i>
      <x v="11"/>
    </i>
    <i>
      <x v="14"/>
    </i>
    <i>
      <x v="15"/>
    </i>
    <i>
      <x v="16"/>
    </i>
    <i>
      <x v="19"/>
    </i>
    <i>
      <x v="20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Male/Female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5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W22" firstHeaderRow="1" firstDataRow="2" firstDataCol="1"/>
  <pivotFields count="11">
    <pivotField axis="axisCol" dataField="1" showAll="0">
      <items count="37">
        <item h="1" x="31"/>
        <item h="1"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axis="axisRow" showAll="0">
      <items count="11">
        <item x="5"/>
        <item x="3"/>
        <item x="0"/>
        <item x="1"/>
        <item x="4"/>
        <item n="Professional" m="1" x="8"/>
        <item n="Professional2" x="2"/>
        <item m="1" x="6"/>
        <item m="1" x="7"/>
        <item m="1" x="9"/>
        <item t="default"/>
      </items>
    </pivotField>
    <pivotField showAll="0"/>
    <pivotField showAll="0"/>
    <pivotField showAll="0"/>
    <pivotField showAll="0"/>
    <pivotField axis="axisRow" showAll="0">
      <items count="13">
        <item h="1" x="7"/>
        <item h="1" x="3"/>
        <item n="Drop-In" m="1" x="8"/>
        <item x="1"/>
        <item x="6"/>
        <item x="2"/>
        <item x="0"/>
        <item n="Drop-In2" x="4"/>
        <item m="1" x="9"/>
        <item h="1" m="1" x="10"/>
        <item x="5"/>
        <item m="1" x="11"/>
        <item t="default"/>
      </items>
    </pivotField>
    <pivotField showAll="0"/>
    <pivotField showAll="0"/>
    <pivotField showAll="0"/>
  </pivotFields>
  <rowFields count="2">
    <field x="7"/>
    <field x="2"/>
  </rowFields>
  <rowItems count="20">
    <i>
      <x v="3"/>
    </i>
    <i r="1">
      <x v="2"/>
    </i>
    <i r="1">
      <x v="3"/>
    </i>
    <i>
      <x v="4"/>
    </i>
    <i r="1">
      <x v="2"/>
    </i>
    <i>
      <x v="5"/>
    </i>
    <i r="1">
      <x v="2"/>
    </i>
    <i r="1">
      <x v="3"/>
    </i>
    <i r="1">
      <x v="6"/>
    </i>
    <i>
      <x v="6"/>
    </i>
    <i r="1">
      <x v="2"/>
    </i>
    <i r="1">
      <x v="3"/>
    </i>
    <i r="1">
      <x v="6"/>
    </i>
    <i>
      <x v="7"/>
    </i>
    <i r="1">
      <x v="2"/>
    </i>
    <i r="1">
      <x v="3"/>
    </i>
    <i>
      <x v="10"/>
    </i>
    <i r="1">
      <x v="4"/>
    </i>
    <i r="1">
      <x v="6"/>
    </i>
    <i t="grand">
      <x/>
    </i>
  </rowItems>
  <colFields count="1">
    <field x="0"/>
  </colFields>
  <colItems count="22">
    <i>
      <x v="2"/>
    </i>
    <i>
      <x v="4"/>
    </i>
    <i>
      <x v="5"/>
    </i>
    <i>
      <x v="6"/>
    </i>
    <i>
      <x v="9"/>
    </i>
    <i>
      <x v="10"/>
    </i>
    <i>
      <x v="11"/>
    </i>
    <i>
      <x v="14"/>
    </i>
    <i>
      <x v="15"/>
    </i>
    <i>
      <x v="16"/>
    </i>
    <i>
      <x v="19"/>
    </i>
    <i>
      <x v="20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Nature of Visit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2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08:AH125" firstHeaderRow="1" firstDataRow="2" firstDataCol="1"/>
  <pivotFields count="11">
    <pivotField axis="axisCol" dataField="1" showAll="0">
      <items count="37">
        <item x="31"/>
        <item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showAll="0"/>
    <pivotField axis="axisRow" showAll="0">
      <items count="7">
        <item x="3"/>
        <item sd="0" x="1"/>
        <item m="1" x="4"/>
        <item x="2"/>
        <item x="0"/>
        <item m="1" x="5"/>
        <item t="default"/>
      </items>
    </pivotField>
    <pivotField showAll="0"/>
    <pivotField showAll="0"/>
    <pivotField showAll="0"/>
    <pivotField axis="axisRow" showAll="0">
      <items count="13">
        <item x="7"/>
        <item x="3"/>
        <item m="1" x="8"/>
        <item x="1"/>
        <item x="6"/>
        <item x="2"/>
        <item x="0"/>
        <item x="4"/>
        <item m="1" x="9"/>
        <item m="1" x="10"/>
        <item x="5"/>
        <item m="1" x="11"/>
        <item t="default"/>
      </items>
    </pivotField>
    <pivotField showAll="0"/>
    <pivotField showAll="0"/>
    <pivotField showAll="0"/>
  </pivotFields>
  <rowFields count="2">
    <field x="3"/>
    <field x="7"/>
  </rowFields>
  <rowItems count="16">
    <i>
      <x/>
    </i>
    <i r="1">
      <x/>
    </i>
    <i>
      <x v="1"/>
    </i>
    <i>
      <x v="3"/>
    </i>
    <i r="1">
      <x v="3"/>
    </i>
    <i r="1">
      <x v="5"/>
    </i>
    <i r="1">
      <x v="6"/>
    </i>
    <i r="1">
      <x v="7"/>
    </i>
    <i>
      <x v="4"/>
    </i>
    <i r="1">
      <x v="1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0"/>
  </colFields>
  <colItems count="33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Nature of Visit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3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60:AH89" firstHeaderRow="1" firstDataRow="2" firstDataCol="1"/>
  <pivotFields count="11">
    <pivotField axis="axisCol" dataField="1" showAll="0">
      <items count="37">
        <item x="31"/>
        <item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showAll="0"/>
    <pivotField showAll="0"/>
    <pivotField axis="axisRow" showAll="0">
      <items count="12">
        <item x="5"/>
        <item x="2"/>
        <item x="1"/>
        <item x="0"/>
        <item m="1" x="9"/>
        <item m="1" x="10"/>
        <item m="1" x="7"/>
        <item m="1" x="8"/>
        <item m="1" x="6"/>
        <item x="4"/>
        <item x="3"/>
        <item t="default"/>
      </items>
    </pivotField>
    <pivotField showAll="0"/>
    <pivotField showAll="0"/>
    <pivotField axis="axisRow" showAll="0">
      <items count="13">
        <item x="7"/>
        <item x="3"/>
        <item m="1" x="8"/>
        <item x="1"/>
        <item x="6"/>
        <item x="2"/>
        <item x="0"/>
        <item x="4"/>
        <item m="1" x="9"/>
        <item m="1" x="10"/>
        <item x="5"/>
        <item m="1" x="11"/>
        <item t="default"/>
      </items>
    </pivotField>
    <pivotField showAll="0"/>
    <pivotField showAll="0"/>
    <pivotField showAll="0"/>
  </pivotFields>
  <rowFields count="2">
    <field x="7"/>
    <field x="4"/>
  </rowFields>
  <rowItems count="28">
    <i>
      <x/>
    </i>
    <i r="1">
      <x/>
    </i>
    <i>
      <x v="1"/>
    </i>
    <i r="1">
      <x v="1"/>
    </i>
    <i r="1">
      <x v="2"/>
    </i>
    <i r="1">
      <x v="3"/>
    </i>
    <i>
      <x v="3"/>
    </i>
    <i r="1">
      <x v="2"/>
    </i>
    <i r="1">
      <x v="3"/>
    </i>
    <i>
      <x v="4"/>
    </i>
    <i r="1">
      <x v="3"/>
    </i>
    <i>
      <x v="5"/>
    </i>
    <i r="1">
      <x v="2"/>
    </i>
    <i r="1">
      <x v="3"/>
    </i>
    <i r="1">
      <x v="9"/>
    </i>
    <i r="1">
      <x v="10"/>
    </i>
    <i>
      <x v="6"/>
    </i>
    <i r="1">
      <x v="1"/>
    </i>
    <i r="1">
      <x v="2"/>
    </i>
    <i r="1">
      <x v="3"/>
    </i>
    <i>
      <x v="7"/>
    </i>
    <i r="1">
      <x v="2"/>
    </i>
    <i r="1">
      <x v="3"/>
    </i>
    <i r="1">
      <x v="9"/>
    </i>
    <i r="1">
      <x v="10"/>
    </i>
    <i>
      <x v="10"/>
    </i>
    <i r="1">
      <x v="1"/>
    </i>
    <i t="grand">
      <x/>
    </i>
  </rowItems>
  <colFields count="1">
    <field x="0"/>
  </colFields>
  <colItems count="33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Nature of Visit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48:W170" firstHeaderRow="1" firstDataRow="2" firstDataCol="1"/>
  <pivotFields count="11">
    <pivotField axis="axisCol" dataField="1" showAll="0">
      <items count="37">
        <item x="31"/>
        <item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axis="axisRow" showAll="0">
      <items count="10">
        <item h="1" x="6"/>
        <item h="1" x="3"/>
        <item x="5"/>
        <item x="2"/>
        <item x="1"/>
        <item x="0"/>
        <item x="4"/>
        <item m="1" x="7"/>
        <item m="1" x="8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">
        <item h="1" x="7"/>
        <item h="1" x="3"/>
        <item m="1" x="8"/>
        <item x="1"/>
        <item x="6"/>
        <item x="2"/>
        <item x="0"/>
        <item x="4"/>
        <item m="1" x="9"/>
        <item m="1" x="10"/>
        <item h="1" x="5"/>
        <item h="1" m="1" x="11"/>
        <item t="default"/>
      </items>
    </pivotField>
    <pivotField showAll="0"/>
    <pivotField showAll="0"/>
    <pivotField showAll="0"/>
  </pivotFields>
  <rowFields count="2">
    <field x="7"/>
    <field x="1"/>
  </rowFields>
  <rowItems count="21">
    <i>
      <x v="3"/>
    </i>
    <i r="1">
      <x v="2"/>
    </i>
    <i r="1">
      <x v="3"/>
    </i>
    <i>
      <x v="4"/>
    </i>
    <i r="1">
      <x v="2"/>
    </i>
    <i>
      <x v="5"/>
    </i>
    <i r="1">
      <x v="2"/>
    </i>
    <i r="1">
      <x v="3"/>
    </i>
    <i r="1">
      <x v="4"/>
    </i>
    <i r="1">
      <x v="6"/>
    </i>
    <i>
      <x v="6"/>
    </i>
    <i r="1">
      <x v="3"/>
    </i>
    <i r="1">
      <x v="4"/>
    </i>
    <i r="1">
      <x v="5"/>
    </i>
    <i r="1">
      <x v="6"/>
    </i>
    <i>
      <x v="7"/>
    </i>
    <i r="1">
      <x v="2"/>
    </i>
    <i r="1">
      <x v="3"/>
    </i>
    <i r="1">
      <x v="4"/>
    </i>
    <i r="1">
      <x v="6"/>
    </i>
    <i t="grand">
      <x/>
    </i>
  </rowItems>
  <colFields count="1">
    <field x="0"/>
  </colFields>
  <colItems count="22">
    <i>
      <x v="2"/>
    </i>
    <i>
      <x v="4"/>
    </i>
    <i>
      <x v="5"/>
    </i>
    <i>
      <x v="6"/>
    </i>
    <i>
      <x v="9"/>
    </i>
    <i>
      <x v="10"/>
    </i>
    <i>
      <x v="11"/>
    </i>
    <i>
      <x v="14"/>
    </i>
    <i>
      <x v="15"/>
    </i>
    <i>
      <x v="16"/>
    </i>
    <i>
      <x v="19"/>
    </i>
    <i>
      <x v="20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Nature of Visit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6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W89" firstHeaderRow="1" firstDataRow="2" firstDataCol="1"/>
  <pivotFields count="11">
    <pivotField axis="axisCol" dataField="1" showAll="0">
      <items count="37">
        <item h="1" x="31"/>
        <item h="1"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axis="axisRow" showAll="0">
      <items count="11">
        <item h="1" x="5"/>
        <item h="1" x="3"/>
        <item x="0"/>
        <item h="1" x="1"/>
        <item h="1" x="4"/>
        <item h="1" m="1" x="8"/>
        <item h="1" x="2"/>
        <item h="1" m="1" x="6"/>
        <item h="1" m="1" x="7"/>
        <item h="1" m="1" x="9"/>
        <item t="default"/>
      </items>
    </pivotField>
    <pivotField axis="axisRow" showAll="0">
      <items count="7">
        <item h="1" sd="0" x="3"/>
        <item h="1" x="1"/>
        <item n="Returning" m="1" x="4"/>
        <item x="2"/>
        <item n="Returning2" x="0"/>
        <item h="1" m="1" x="5"/>
        <item t="default"/>
      </items>
    </pivotField>
    <pivotField showAll="0"/>
    <pivotField axis="axisRow" showAll="0">
      <items count="25">
        <item h="1" sd="0" x="19"/>
        <item h="1" x="3"/>
        <item x="2"/>
        <item x="1"/>
        <item x="0"/>
        <item x="4"/>
        <item x="8"/>
        <item x="5"/>
        <item x="7"/>
        <item x="6"/>
        <item x="12"/>
        <item x="11"/>
        <item x="9"/>
        <item m="1" x="23"/>
        <item m="1" x="22"/>
        <item x="14"/>
        <item h="1" m="1" x="20"/>
        <item x="17"/>
        <item m="1" x="21"/>
        <item x="15"/>
        <item x="10"/>
        <item x="13"/>
        <item x="16"/>
        <item x="18"/>
        <item t="default"/>
      </items>
    </pivotField>
    <pivotField showAll="0"/>
    <pivotField showAll="0"/>
    <pivotField showAll="0"/>
    <pivotField showAll="0"/>
    <pivotField showAll="0"/>
  </pivotFields>
  <rowFields count="3">
    <field x="5"/>
    <field x="3"/>
    <field x="2"/>
  </rowFields>
  <rowItems count="87">
    <i>
      <x v="2"/>
    </i>
    <i r="1">
      <x v="3"/>
    </i>
    <i r="2">
      <x v="2"/>
    </i>
    <i r="1">
      <x v="4"/>
    </i>
    <i r="2">
      <x v="2"/>
    </i>
    <i>
      <x v="3"/>
    </i>
    <i r="1">
      <x v="3"/>
    </i>
    <i r="2">
      <x v="2"/>
    </i>
    <i r="1">
      <x v="4"/>
    </i>
    <i r="2">
      <x v="2"/>
    </i>
    <i>
      <x v="4"/>
    </i>
    <i r="1">
      <x v="3"/>
    </i>
    <i r="2">
      <x v="2"/>
    </i>
    <i r="1">
      <x v="4"/>
    </i>
    <i r="2">
      <x v="2"/>
    </i>
    <i>
      <x v="5"/>
    </i>
    <i r="1">
      <x v="3"/>
    </i>
    <i r="2">
      <x v="2"/>
    </i>
    <i r="1">
      <x v="4"/>
    </i>
    <i r="2">
      <x v="2"/>
    </i>
    <i>
      <x v="6"/>
    </i>
    <i r="1">
      <x v="3"/>
    </i>
    <i r="2">
      <x v="2"/>
    </i>
    <i r="1">
      <x v="4"/>
    </i>
    <i r="2">
      <x v="2"/>
    </i>
    <i>
      <x v="7"/>
    </i>
    <i r="1">
      <x v="3"/>
    </i>
    <i r="2">
      <x v="2"/>
    </i>
    <i r="1">
      <x v="4"/>
    </i>
    <i r="2">
      <x v="2"/>
    </i>
    <i>
      <x v="8"/>
    </i>
    <i r="1">
      <x v="3"/>
    </i>
    <i r="2">
      <x v="2"/>
    </i>
    <i r="1">
      <x v="4"/>
    </i>
    <i r="2">
      <x v="2"/>
    </i>
    <i>
      <x v="9"/>
    </i>
    <i r="1">
      <x v="3"/>
    </i>
    <i r="2">
      <x v="2"/>
    </i>
    <i r="1">
      <x v="4"/>
    </i>
    <i r="2">
      <x v="2"/>
    </i>
    <i>
      <x v="10"/>
    </i>
    <i r="1">
      <x v="3"/>
    </i>
    <i r="2">
      <x v="2"/>
    </i>
    <i r="1">
      <x v="4"/>
    </i>
    <i r="2">
      <x v="2"/>
    </i>
    <i>
      <x v="11"/>
    </i>
    <i r="1">
      <x v="3"/>
    </i>
    <i r="2">
      <x v="2"/>
    </i>
    <i r="1">
      <x v="4"/>
    </i>
    <i r="2">
      <x v="2"/>
    </i>
    <i>
      <x v="12"/>
    </i>
    <i r="1">
      <x v="3"/>
    </i>
    <i r="2">
      <x v="2"/>
    </i>
    <i r="1">
      <x v="4"/>
    </i>
    <i r="2">
      <x v="2"/>
    </i>
    <i>
      <x v="15"/>
    </i>
    <i r="1">
      <x v="3"/>
    </i>
    <i r="2">
      <x v="2"/>
    </i>
    <i r="1">
      <x v="4"/>
    </i>
    <i r="2">
      <x v="2"/>
    </i>
    <i>
      <x v="17"/>
    </i>
    <i r="1">
      <x v="3"/>
    </i>
    <i r="2">
      <x v="2"/>
    </i>
    <i r="1">
      <x v="4"/>
    </i>
    <i r="2">
      <x v="2"/>
    </i>
    <i>
      <x v="19"/>
    </i>
    <i r="1">
      <x v="3"/>
    </i>
    <i r="2">
      <x v="2"/>
    </i>
    <i r="1">
      <x v="4"/>
    </i>
    <i r="2">
      <x v="2"/>
    </i>
    <i>
      <x v="20"/>
    </i>
    <i r="1">
      <x v="3"/>
    </i>
    <i r="2">
      <x v="2"/>
    </i>
    <i r="1">
      <x v="4"/>
    </i>
    <i r="2">
      <x v="2"/>
    </i>
    <i>
      <x v="21"/>
    </i>
    <i r="1">
      <x v="3"/>
    </i>
    <i r="2">
      <x v="2"/>
    </i>
    <i r="1">
      <x v="4"/>
    </i>
    <i r="2">
      <x v="2"/>
    </i>
    <i>
      <x v="22"/>
    </i>
    <i r="1">
      <x v="4"/>
    </i>
    <i r="2">
      <x v="2"/>
    </i>
    <i>
      <x v="23"/>
    </i>
    <i r="1">
      <x v="4"/>
    </i>
    <i r="2">
      <x v="2"/>
    </i>
    <i t="grand">
      <x/>
    </i>
  </rowItems>
  <colFields count="1">
    <field x="0"/>
  </colFields>
  <colItems count="22">
    <i>
      <x v="2"/>
    </i>
    <i>
      <x v="4"/>
    </i>
    <i>
      <x v="5"/>
    </i>
    <i>
      <x v="6"/>
    </i>
    <i>
      <x v="9"/>
    </i>
    <i>
      <x v="10"/>
    </i>
    <i>
      <x v="11"/>
    </i>
    <i>
      <x v="14"/>
    </i>
    <i>
      <x v="15"/>
    </i>
    <i>
      <x v="16"/>
    </i>
    <i>
      <x v="19"/>
    </i>
    <i>
      <x v="20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Cancer Site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W48" firstHeaderRow="1" firstDataRow="2" firstDataCol="1"/>
  <pivotFields count="11">
    <pivotField axis="axisCol" dataField="1" showAll="0">
      <items count="37">
        <item h="1" x="31"/>
        <item h="1"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axis="axisRow" showAll="0">
      <items count="11">
        <item x="3"/>
        <item m="1" x="9"/>
        <item x="1"/>
        <item m="1" x="7"/>
        <item x="4"/>
        <item x="2"/>
        <item m="1" x="8"/>
        <item x="0"/>
        <item m="1" x="6"/>
        <item x="5"/>
        <item t="default"/>
      </items>
    </pivotField>
    <pivotField axis="axisRow" showAll="0">
      <items count="7">
        <item x="1"/>
        <item x="2"/>
        <item m="1" x="4"/>
        <item x="0"/>
        <item m="1" x="5"/>
        <item x="3"/>
        <item t="default"/>
      </items>
    </pivotField>
    <pivotField showAll="0"/>
    <pivotField showAll="0"/>
    <pivotField axis="axisRow" showAll="0">
      <items count="18">
        <item h="1" x="8"/>
        <item h="1" x="5"/>
        <item m="1" x="16"/>
        <item x="7"/>
        <item x="0"/>
        <item x="4"/>
        <item x="1"/>
        <item x="3"/>
        <item m="1" x="11"/>
        <item x="6"/>
        <item m="1" x="10"/>
        <item h="1" m="1" x="14"/>
        <item h="1" m="1" x="12"/>
        <item x="2"/>
        <item h="1" m="1" x="9"/>
        <item m="1" x="15"/>
        <item m="1" x="13"/>
        <item t="default"/>
      </items>
    </pivotField>
    <pivotField showAll="0"/>
    <pivotField showAll="0"/>
    <pivotField showAll="0"/>
    <pivotField showAll="0"/>
  </pivotFields>
  <rowFields count="3">
    <field x="6"/>
    <field x="3"/>
    <field x="2"/>
  </rowFields>
  <rowItems count="46">
    <i>
      <x v="3"/>
    </i>
    <i r="1">
      <x v="3"/>
    </i>
    <i r="2">
      <x v="2"/>
    </i>
    <i>
      <x v="4"/>
    </i>
    <i r="1">
      <x v="1"/>
    </i>
    <i r="2">
      <x v="2"/>
    </i>
    <i r="2">
      <x v="7"/>
    </i>
    <i r="1">
      <x v="3"/>
    </i>
    <i r="2">
      <x v="2"/>
    </i>
    <i r="2">
      <x v="7"/>
    </i>
    <i>
      <x v="5"/>
    </i>
    <i r="1">
      <x v="1"/>
    </i>
    <i r="2">
      <x v="2"/>
    </i>
    <i r="2">
      <x v="7"/>
    </i>
    <i r="1">
      <x v="3"/>
    </i>
    <i r="2">
      <x v="2"/>
    </i>
    <i r="2">
      <x v="7"/>
    </i>
    <i>
      <x v="6"/>
    </i>
    <i r="1">
      <x v="1"/>
    </i>
    <i r="2">
      <x v="2"/>
    </i>
    <i r="2">
      <x v="7"/>
    </i>
    <i r="1">
      <x v="3"/>
    </i>
    <i r="2">
      <x v="2"/>
    </i>
    <i>
      <x v="7"/>
    </i>
    <i r="1">
      <x v="1"/>
    </i>
    <i r="2">
      <x v="2"/>
    </i>
    <i r="2">
      <x v="7"/>
    </i>
    <i r="1">
      <x v="3"/>
    </i>
    <i r="2">
      <x v="2"/>
    </i>
    <i r="2">
      <x v="5"/>
    </i>
    <i r="2">
      <x v="7"/>
    </i>
    <i>
      <x v="9"/>
    </i>
    <i r="1">
      <x v="1"/>
    </i>
    <i r="2">
      <x v="2"/>
    </i>
    <i r="2">
      <x v="7"/>
    </i>
    <i r="1">
      <x v="3"/>
    </i>
    <i r="2">
      <x v="2"/>
    </i>
    <i r="2">
      <x v="7"/>
    </i>
    <i>
      <x v="13"/>
    </i>
    <i r="1">
      <x v="1"/>
    </i>
    <i r="2">
      <x v="2"/>
    </i>
    <i r="2">
      <x v="7"/>
    </i>
    <i r="1">
      <x v="3"/>
    </i>
    <i r="2">
      <x v="2"/>
    </i>
    <i r="2">
      <x v="7"/>
    </i>
    <i t="grand">
      <x/>
    </i>
  </rowItems>
  <colFields count="1">
    <field x="0"/>
  </colFields>
  <colItems count="22">
    <i>
      <x v="2"/>
    </i>
    <i>
      <x v="4"/>
    </i>
    <i>
      <x v="5"/>
    </i>
    <i>
      <x v="6"/>
    </i>
    <i>
      <x v="9"/>
    </i>
    <i>
      <x v="10"/>
    </i>
    <i>
      <x v="11"/>
    </i>
    <i>
      <x v="14"/>
    </i>
    <i>
      <x v="15"/>
    </i>
    <i>
      <x v="16"/>
    </i>
    <i>
      <x v="19"/>
    </i>
    <i>
      <x v="20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Journey Stage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H21" firstHeaderRow="1" firstDataRow="2" firstDataCol="1"/>
  <pivotFields count="11">
    <pivotField showAll="0"/>
    <pivotField showAll="0"/>
    <pivotField axis="axisRow" dataField="1" showAll="0">
      <items count="11">
        <item h="1" x="3"/>
        <item h="1" m="1" x="9"/>
        <item h="1" x="1"/>
        <item h="1" m="1" x="7"/>
        <item h="1" x="4"/>
        <item h="1" x="2"/>
        <item h="1" m="1" x="8"/>
        <item x="0"/>
        <item h="1" m="1" x="6"/>
        <item h="1" x="5"/>
        <item t="default"/>
      </items>
    </pivotField>
    <pivotField axis="axisRow" showAll="0">
      <items count="7">
        <item h="1" x="1"/>
        <item x="2"/>
        <item h="1" m="1" x="4"/>
        <item h="1" x="0"/>
        <item h="1" m="1" x="5"/>
        <item h="1" x="3"/>
        <item t="default"/>
      </items>
    </pivotField>
    <pivotField showAll="0"/>
    <pivotField axis="axisRow" showAll="0">
      <items count="25">
        <item x="3"/>
        <item x="1"/>
        <item x="2"/>
        <item m="1" x="21"/>
        <item x="7"/>
        <item x="11"/>
        <item x="6"/>
        <item x="15"/>
        <item x="0"/>
        <item x="4"/>
        <item x="9"/>
        <item m="1" x="23"/>
        <item x="18"/>
        <item x="5"/>
        <item x="10"/>
        <item x="17"/>
        <item x="14"/>
        <item m="1" x="22"/>
        <item x="13"/>
        <item x="16"/>
        <item x="8"/>
        <item x="12"/>
        <item m="1" x="20"/>
        <item x="19"/>
        <item t="default"/>
      </items>
    </pivotField>
    <pivotField axis="axisCol" showAll="0">
      <items count="18">
        <item h="1" x="8"/>
        <item h="1" x="5"/>
        <item m="1" x="16"/>
        <item x="1"/>
        <item x="0"/>
        <item x="2"/>
        <item x="4"/>
        <item x="7"/>
        <item m="1" x="11"/>
        <item x="3"/>
        <item x="6"/>
        <item m="1" x="10"/>
        <item h="1" m="1" x="14"/>
        <item h="1" m="1" x="12"/>
        <item h="1" m="1" x="9"/>
        <item m="1" x="15"/>
        <item m="1" x="13"/>
        <item t="default"/>
      </items>
    </pivotField>
    <pivotField showAll="0"/>
    <pivotField showAll="0"/>
    <pivotField showAll="0"/>
    <pivotField showAll="0"/>
  </pivotFields>
  <rowFields count="3">
    <field x="3"/>
    <field x="2"/>
    <field x="5"/>
  </rowFields>
  <rowItems count="19">
    <i>
      <x v="1"/>
    </i>
    <i r="1">
      <x v="7"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3"/>
    </i>
    <i r="2">
      <x v="14"/>
    </i>
    <i r="2">
      <x v="15"/>
    </i>
    <i r="2">
      <x v="16"/>
    </i>
    <i r="2">
      <x v="18"/>
    </i>
    <i r="2">
      <x v="20"/>
    </i>
    <i r="2">
      <x v="21"/>
    </i>
    <i t="grand">
      <x/>
    </i>
  </rowItems>
  <colFields count="1">
    <field x="6"/>
  </colFields>
  <colItems count="7">
    <i>
      <x v="3"/>
    </i>
    <i>
      <x v="4"/>
    </i>
    <i>
      <x v="5"/>
    </i>
    <i>
      <x v="6"/>
    </i>
    <i>
      <x v="9"/>
    </i>
    <i>
      <x v="10"/>
    </i>
    <i t="grand">
      <x/>
    </i>
  </colItems>
  <dataFields count="1">
    <dataField name="Count of Person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PivotTable2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W79" firstHeaderRow="1" firstDataRow="2" firstDataCol="1"/>
  <pivotFields count="11">
    <pivotField axis="axisCol" dataField="1" showAll="0">
      <items count="37">
        <item h="1" x="31"/>
        <item h="1"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axis="axisRow" showAll="0">
      <items count="11">
        <item x="5"/>
        <item x="3"/>
        <item x="0"/>
        <item x="1"/>
        <item x="4"/>
        <item n="Professional" m="1" x="8"/>
        <item n="Professional2" x="2"/>
        <item m="1" x="6"/>
        <item m="1" x="7"/>
        <item m="1" x="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5">
        <item h="1" x="30"/>
        <item h="1" sd="0" x="2"/>
        <item x="21"/>
        <item x="3"/>
        <item m="1" x="65"/>
        <item m="1" x="97"/>
        <item x="20"/>
        <item m="1" x="71"/>
        <item x="26"/>
        <item m="1" x="36"/>
        <item m="1" x="63"/>
        <item m="1" x="105"/>
        <item m="1" x="76"/>
        <item x="8"/>
        <item m="1" x="103"/>
        <item m="1" x="60"/>
        <item m="1" x="35"/>
        <item m="1" x="38"/>
        <item m="1" x="92"/>
        <item x="5"/>
        <item m="1" x="59"/>
        <item m="1" x="67"/>
        <item m="1" x="48"/>
        <item m="1" x="106"/>
        <item m="1" x="88"/>
        <item m="1" x="111"/>
        <item m="1" x="96"/>
        <item x="29"/>
        <item m="1" x="70"/>
        <item m="1" x="68"/>
        <item m="1" x="39"/>
        <item m="1" x="86"/>
        <item x="6"/>
        <item m="1" x="41"/>
        <item m="1" x="44"/>
        <item x="12"/>
        <item m="1" x="101"/>
        <item m="1" x="64"/>
        <item m="1" x="79"/>
        <item m="1" x="87"/>
        <item m="1" x="99"/>
        <item x="15"/>
        <item m="1" x="51"/>
        <item m="1" x="73"/>
        <item m="1" x="95"/>
        <item m="1" x="82"/>
        <item x="13"/>
        <item m="1" x="45"/>
        <item m="1" x="43"/>
        <item m="1" x="102"/>
        <item m="1" x="108"/>
        <item m="1" x="91"/>
        <item m="1" x="40"/>
        <item m="1" x="110"/>
        <item m="1" x="61"/>
        <item m="1" x="80"/>
        <item m="1" x="69"/>
        <item m="1" x="66"/>
        <item m="1" x="53"/>
        <item m="1" x="33"/>
        <item m="1" x="94"/>
        <item m="1" x="32"/>
        <item m="1" x="90"/>
        <item m="1" x="113"/>
        <item m="1" x="77"/>
        <item m="1" x="74"/>
        <item n="Prosthesis" m="1" x="54"/>
        <item m="1" x="98"/>
        <item m="1" x="81"/>
        <item x="16"/>
        <item n="Bereavement Course" m="1" x="31"/>
        <item m="1" x="56"/>
        <item x="22"/>
        <item m="1" x="78"/>
        <item m="1" x="109"/>
        <item x="10"/>
        <item m="1" x="52"/>
        <item m="1" x="75"/>
        <item m="1" x="58"/>
        <item n="Auricular Acupuncture" m="1" x="100"/>
        <item m="1" x="50"/>
        <item m="1" x="107"/>
        <item m="1" x="89"/>
        <item x="1"/>
        <item x="11"/>
        <item m="1" x="112"/>
        <item m="1" x="85"/>
        <item m="1" x="34"/>
        <item x="4"/>
        <item x="23"/>
        <item m="1" x="55"/>
        <item n="Talking Heads; Managing Hair Loss" m="1" x="49"/>
        <item x="7"/>
        <item x="19"/>
        <item x="24"/>
        <item x="14"/>
        <item m="1" x="72"/>
        <item x="18"/>
        <item n="Gentle Exercise" m="1" x="46"/>
        <item x="25"/>
        <item x="9"/>
        <item m="1" x="83"/>
        <item m="1" x="57"/>
        <item m="1" x="47"/>
        <item x="17"/>
        <item m="1" x="42"/>
        <item x="0"/>
        <item n="Prosthesis2" m="1" x="84"/>
        <item n="Auricular Acupuncture2" m="1" x="62"/>
        <item n="Talking Heads; Managing Hair Loss2" x="28"/>
        <item n="Gentle Exercise2" x="27"/>
        <item n="Bereavement Course2" m="1" x="104"/>
        <item h="1" m="1" x="37"/>
        <item h="1" m="1" x="93"/>
        <item t="default"/>
      </items>
    </pivotField>
    <pivotField showAll="0"/>
    <pivotField showAll="0"/>
  </pivotFields>
  <rowFields count="2">
    <field x="8"/>
    <field x="2"/>
  </rowFields>
  <rowItems count="77">
    <i>
      <x v="2"/>
    </i>
    <i r="1">
      <x v="2"/>
    </i>
    <i r="1">
      <x v="3"/>
    </i>
    <i>
      <x v="3"/>
    </i>
    <i r="1">
      <x v="2"/>
    </i>
    <i r="1">
      <x v="3"/>
    </i>
    <i r="1">
      <x v="6"/>
    </i>
    <i>
      <x v="6"/>
    </i>
    <i r="1">
      <x v="2"/>
    </i>
    <i r="1">
      <x v="3"/>
    </i>
    <i>
      <x v="8"/>
    </i>
    <i r="1">
      <x v="2"/>
    </i>
    <i>
      <x v="13"/>
    </i>
    <i r="1">
      <x v="2"/>
    </i>
    <i>
      <x v="19"/>
    </i>
    <i r="1">
      <x v="2"/>
    </i>
    <i r="1">
      <x v="3"/>
    </i>
    <i r="1">
      <x v="6"/>
    </i>
    <i>
      <x v="27"/>
    </i>
    <i r="1">
      <x v="2"/>
    </i>
    <i r="1">
      <x v="3"/>
    </i>
    <i>
      <x v="32"/>
    </i>
    <i r="1">
      <x v="3"/>
    </i>
    <i>
      <x v="35"/>
    </i>
    <i r="1">
      <x v="2"/>
    </i>
    <i r="1">
      <x v="3"/>
    </i>
    <i>
      <x v="41"/>
    </i>
    <i r="1">
      <x v="2"/>
    </i>
    <i>
      <x v="46"/>
    </i>
    <i r="1">
      <x v="2"/>
    </i>
    <i r="1">
      <x v="3"/>
    </i>
    <i>
      <x v="69"/>
    </i>
    <i r="1">
      <x v="2"/>
    </i>
    <i>
      <x v="72"/>
    </i>
    <i r="1">
      <x v="2"/>
    </i>
    <i r="1">
      <x v="3"/>
    </i>
    <i>
      <x v="75"/>
    </i>
    <i r="1">
      <x v="3"/>
    </i>
    <i>
      <x v="83"/>
    </i>
    <i r="1">
      <x v="2"/>
    </i>
    <i r="1">
      <x v="3"/>
    </i>
    <i>
      <x v="84"/>
    </i>
    <i r="1">
      <x v="2"/>
    </i>
    <i r="1">
      <x v="3"/>
    </i>
    <i>
      <x v="88"/>
    </i>
    <i r="1">
      <x v="2"/>
    </i>
    <i r="1">
      <x v="3"/>
    </i>
    <i r="1">
      <x v="6"/>
    </i>
    <i>
      <x v="89"/>
    </i>
    <i r="1">
      <x v="2"/>
    </i>
    <i r="1">
      <x v="3"/>
    </i>
    <i>
      <x v="92"/>
    </i>
    <i r="1">
      <x v="2"/>
    </i>
    <i>
      <x v="93"/>
    </i>
    <i r="1">
      <x v="2"/>
    </i>
    <i>
      <x v="94"/>
    </i>
    <i r="1">
      <x v="2"/>
    </i>
    <i r="1">
      <x v="3"/>
    </i>
    <i>
      <x v="95"/>
    </i>
    <i r="1">
      <x v="2"/>
    </i>
    <i>
      <x v="97"/>
    </i>
    <i r="1">
      <x v="2"/>
    </i>
    <i>
      <x v="99"/>
    </i>
    <i r="1">
      <x v="2"/>
    </i>
    <i>
      <x v="100"/>
    </i>
    <i r="1">
      <x v="2"/>
    </i>
    <i>
      <x v="104"/>
    </i>
    <i r="1">
      <x v="2"/>
    </i>
    <i r="1">
      <x v="3"/>
    </i>
    <i>
      <x v="106"/>
    </i>
    <i r="1">
      <x v="2"/>
    </i>
    <i r="1">
      <x v="3"/>
    </i>
    <i>
      <x v="109"/>
    </i>
    <i r="1">
      <x v="2"/>
    </i>
    <i>
      <x v="110"/>
    </i>
    <i r="1">
      <x v="2"/>
    </i>
    <i t="grand">
      <x/>
    </i>
  </rowItems>
  <colFields count="1">
    <field x="0"/>
  </colFields>
  <colItems count="22">
    <i>
      <x v="2"/>
    </i>
    <i>
      <x v="4"/>
    </i>
    <i>
      <x v="5"/>
    </i>
    <i>
      <x v="6"/>
    </i>
    <i>
      <x v="9"/>
    </i>
    <i>
      <x v="10"/>
    </i>
    <i>
      <x v="11"/>
    </i>
    <i>
      <x v="14"/>
    </i>
    <i>
      <x v="15"/>
    </i>
    <i>
      <x v="16"/>
    </i>
    <i>
      <x v="19"/>
    </i>
    <i>
      <x v="20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of Date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PivotTable2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W86" firstHeaderRow="1" firstDataRow="2" firstDataCol="1"/>
  <pivotFields count="11">
    <pivotField axis="axisCol" dataField="1" showAll="0">
      <items count="37">
        <item h="1" x="31"/>
        <item h="1"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showAll="0"/>
    <pivotField showAll="0"/>
    <pivotField axis="axisRow" showAll="0">
      <items count="12">
        <item x="5"/>
        <item x="2"/>
        <item x="1"/>
        <item x="0"/>
        <item m="1" x="9"/>
        <item m="1" x="10"/>
        <item m="1" x="7"/>
        <item m="1" x="8"/>
        <item m="1" x="6"/>
        <item x="4"/>
        <item x="3"/>
        <item t="default"/>
      </items>
    </pivotField>
    <pivotField showAll="0"/>
    <pivotField showAll="0"/>
    <pivotField showAll="0"/>
    <pivotField axis="axisRow" showAll="0">
      <items count="115">
        <item h="1" x="30"/>
        <item h="1" x="2"/>
        <item x="21"/>
        <item x="3"/>
        <item m="1" x="65"/>
        <item m="1" x="97"/>
        <item x="20"/>
        <item m="1" x="71"/>
        <item x="26"/>
        <item m="1" x="36"/>
        <item m="1" x="63"/>
        <item m="1" x="105"/>
        <item m="1" x="76"/>
        <item x="8"/>
        <item m="1" x="103"/>
        <item m="1" x="60"/>
        <item m="1" x="35"/>
        <item m="1" x="38"/>
        <item m="1" x="92"/>
        <item x="5"/>
        <item m="1" x="59"/>
        <item m="1" x="67"/>
        <item m="1" x="48"/>
        <item m="1" x="106"/>
        <item m="1" x="88"/>
        <item m="1" x="111"/>
        <item m="1" x="96"/>
        <item x="29"/>
        <item m="1" x="70"/>
        <item m="1" x="68"/>
        <item m="1" x="39"/>
        <item m="1" x="86"/>
        <item x="6"/>
        <item m="1" x="41"/>
        <item m="1" x="44"/>
        <item x="12"/>
        <item m="1" x="101"/>
        <item m="1" x="64"/>
        <item m="1" x="79"/>
        <item m="1" x="87"/>
        <item m="1" x="99"/>
        <item x="15"/>
        <item m="1" x="51"/>
        <item m="1" x="73"/>
        <item m="1" x="95"/>
        <item m="1" x="82"/>
        <item x="13"/>
        <item m="1" x="45"/>
        <item m="1" x="43"/>
        <item m="1" x="102"/>
        <item m="1" x="108"/>
        <item m="1" x="91"/>
        <item m="1" x="40"/>
        <item m="1" x="110"/>
        <item m="1" x="61"/>
        <item m="1" x="80"/>
        <item m="1" x="69"/>
        <item m="1" x="66"/>
        <item m="1" x="53"/>
        <item m="1" x="33"/>
        <item m="1" x="94"/>
        <item m="1" x="32"/>
        <item m="1" x="90"/>
        <item m="1" x="113"/>
        <item m="1" x="77"/>
        <item m="1" x="74"/>
        <item n="Prosthesis" m="1" x="54"/>
        <item m="1" x="98"/>
        <item m="1" x="81"/>
        <item x="16"/>
        <item n="Bereavement Course" m="1" x="31"/>
        <item m="1" x="56"/>
        <item x="22"/>
        <item m="1" x="78"/>
        <item m="1" x="109"/>
        <item x="10"/>
        <item m="1" x="52"/>
        <item m="1" x="75"/>
        <item m="1" x="58"/>
        <item n="Auricular Acupuncture" m="1" x="100"/>
        <item m="1" x="50"/>
        <item m="1" x="107"/>
        <item m="1" x="89"/>
        <item x="1"/>
        <item x="11"/>
        <item m="1" x="112"/>
        <item m="1" x="85"/>
        <item m="1" x="34"/>
        <item x="4"/>
        <item x="23"/>
        <item m="1" x="55"/>
        <item n="Talking Heads; Managing Hair Loss" m="1" x="49"/>
        <item x="7"/>
        <item x="19"/>
        <item x="24"/>
        <item x="14"/>
        <item m="1" x="72"/>
        <item x="18"/>
        <item n="Gentle Exercise" m="1" x="46"/>
        <item x="25"/>
        <item x="9"/>
        <item m="1" x="83"/>
        <item m="1" x="57"/>
        <item m="1" x="47"/>
        <item x="17"/>
        <item m="1" x="42"/>
        <item x="0"/>
        <item n="Prosthesis2" m="1" x="84"/>
        <item n="Auricular Acupuncture2" m="1" x="62"/>
        <item n="Talking Heads; Managing Hair Loss2" x="28"/>
        <item n="Gentle Exercise2" x="27"/>
        <item n="Bereavement Course2" m="1" x="104"/>
        <item h="1" m="1" x="37"/>
        <item h="1" m="1" x="93"/>
        <item t="default"/>
      </items>
    </pivotField>
    <pivotField showAll="0"/>
    <pivotField showAll="0"/>
  </pivotFields>
  <rowFields count="2">
    <field x="8"/>
    <field x="4"/>
  </rowFields>
  <rowItems count="84">
    <i>
      <x v="2"/>
    </i>
    <i r="1">
      <x v="2"/>
    </i>
    <i r="1">
      <x v="3"/>
    </i>
    <i>
      <x v="3"/>
    </i>
    <i r="1">
      <x v="2"/>
    </i>
    <i r="1">
      <x v="3"/>
    </i>
    <i r="1">
      <x v="9"/>
    </i>
    <i r="1">
      <x v="10"/>
    </i>
    <i>
      <x v="6"/>
    </i>
    <i r="1">
      <x v="2"/>
    </i>
    <i r="1">
      <x v="3"/>
    </i>
    <i>
      <x v="8"/>
    </i>
    <i r="1">
      <x v="2"/>
    </i>
    <i>
      <x v="13"/>
    </i>
    <i r="1">
      <x v="3"/>
    </i>
    <i>
      <x v="19"/>
    </i>
    <i r="1">
      <x v="2"/>
    </i>
    <i r="1">
      <x v="3"/>
    </i>
    <i>
      <x v="27"/>
    </i>
    <i r="1">
      <x v="2"/>
    </i>
    <i r="1">
      <x v="3"/>
    </i>
    <i>
      <x v="32"/>
    </i>
    <i r="1">
      <x v="2"/>
    </i>
    <i r="1">
      <x v="3"/>
    </i>
    <i>
      <x v="35"/>
    </i>
    <i r="1">
      <x v="2"/>
    </i>
    <i r="1">
      <x v="3"/>
    </i>
    <i>
      <x v="41"/>
    </i>
    <i r="1">
      <x v="2"/>
    </i>
    <i r="1">
      <x v="3"/>
    </i>
    <i>
      <x v="46"/>
    </i>
    <i r="1">
      <x v="2"/>
    </i>
    <i r="1">
      <x v="3"/>
    </i>
    <i>
      <x v="69"/>
    </i>
    <i r="1">
      <x v="2"/>
    </i>
    <i>
      <x v="72"/>
    </i>
    <i r="1">
      <x v="2"/>
    </i>
    <i r="1">
      <x v="3"/>
    </i>
    <i>
      <x v="75"/>
    </i>
    <i r="1">
      <x v="2"/>
    </i>
    <i r="1">
      <x v="3"/>
    </i>
    <i>
      <x v="83"/>
    </i>
    <i r="1">
      <x v="2"/>
    </i>
    <i r="1">
      <x v="3"/>
    </i>
    <i>
      <x v="84"/>
    </i>
    <i r="1">
      <x v="2"/>
    </i>
    <i r="1">
      <x v="3"/>
    </i>
    <i>
      <x v="88"/>
    </i>
    <i r="1">
      <x v="1"/>
    </i>
    <i r="1">
      <x v="2"/>
    </i>
    <i r="1">
      <x v="3"/>
    </i>
    <i>
      <x v="89"/>
    </i>
    <i r="1">
      <x v="2"/>
    </i>
    <i r="1">
      <x v="3"/>
    </i>
    <i>
      <x v="92"/>
    </i>
    <i r="1">
      <x v="2"/>
    </i>
    <i r="1">
      <x v="3"/>
    </i>
    <i>
      <x v="93"/>
    </i>
    <i r="1">
      <x v="3"/>
    </i>
    <i>
      <x v="94"/>
    </i>
    <i r="1">
      <x v="2"/>
    </i>
    <i r="1">
      <x v="3"/>
    </i>
    <i>
      <x v="95"/>
    </i>
    <i r="1">
      <x v="2"/>
    </i>
    <i>
      <x v="97"/>
    </i>
    <i r="1">
      <x v="2"/>
    </i>
    <i r="1">
      <x v="3"/>
    </i>
    <i>
      <x v="99"/>
    </i>
    <i r="1">
      <x v="2"/>
    </i>
    <i>
      <x v="100"/>
    </i>
    <i r="1">
      <x v="2"/>
    </i>
    <i r="1">
      <x v="3"/>
    </i>
    <i>
      <x v="104"/>
    </i>
    <i r="1">
      <x v="2"/>
    </i>
    <i r="1">
      <x v="3"/>
    </i>
    <i>
      <x v="106"/>
    </i>
    <i r="1">
      <x v="2"/>
    </i>
    <i r="1">
      <x v="3"/>
    </i>
    <i>
      <x v="109"/>
    </i>
    <i r="1">
      <x v="2"/>
    </i>
    <i>
      <x v="110"/>
    </i>
    <i r="1">
      <x v="2"/>
    </i>
    <i r="1">
      <x v="3"/>
    </i>
    <i t="grand">
      <x/>
    </i>
  </rowItems>
  <colFields count="1">
    <field x="0"/>
  </colFields>
  <colItems count="22">
    <i>
      <x v="2"/>
    </i>
    <i>
      <x v="4"/>
    </i>
    <i>
      <x v="5"/>
    </i>
    <i>
      <x v="6"/>
    </i>
    <i>
      <x v="9"/>
    </i>
    <i>
      <x v="10"/>
    </i>
    <i>
      <x v="11"/>
    </i>
    <i>
      <x v="14"/>
    </i>
    <i>
      <x v="15"/>
    </i>
    <i>
      <x v="16"/>
    </i>
    <i>
      <x v="19"/>
    </i>
    <i>
      <x v="20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of Date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PivotTable2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W81" firstHeaderRow="1" firstDataRow="2" firstDataCol="1"/>
  <pivotFields count="11">
    <pivotField axis="axisCol" dataField="1" showAll="0">
      <items count="37">
        <item h="1" x="31"/>
        <item h="1"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axis="axisRow" showAll="0">
      <items count="10">
        <item h="1" x="6"/>
        <item h="1" x="3"/>
        <item x="5"/>
        <item x="2"/>
        <item x="1"/>
        <item x="0"/>
        <item x="4"/>
        <item m="1" x="7"/>
        <item h="1" m="1" x="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5">
        <item x="30"/>
        <item x="2"/>
        <item x="21"/>
        <item x="3"/>
        <item m="1" x="65"/>
        <item m="1" x="97"/>
        <item x="20"/>
        <item m="1" x="71"/>
        <item x="26"/>
        <item m="1" x="36"/>
        <item m="1" x="63"/>
        <item m="1" x="105"/>
        <item m="1" x="76"/>
        <item x="8"/>
        <item m="1" x="103"/>
        <item m="1" x="60"/>
        <item m="1" x="35"/>
        <item m="1" x="38"/>
        <item m="1" x="92"/>
        <item x="5"/>
        <item m="1" x="59"/>
        <item m="1" x="67"/>
        <item m="1" x="48"/>
        <item m="1" x="106"/>
        <item m="1" x="88"/>
        <item m="1" x="111"/>
        <item m="1" x="96"/>
        <item x="29"/>
        <item m="1" x="70"/>
        <item m="1" x="68"/>
        <item m="1" x="39"/>
        <item m="1" x="86"/>
        <item x="6"/>
        <item m="1" x="41"/>
        <item m="1" x="44"/>
        <item x="12"/>
        <item m="1" x="101"/>
        <item m="1" x="64"/>
        <item m="1" x="79"/>
        <item m="1" x="87"/>
        <item m="1" x="99"/>
        <item x="15"/>
        <item m="1" x="51"/>
        <item m="1" x="73"/>
        <item m="1" x="95"/>
        <item m="1" x="82"/>
        <item x="13"/>
        <item m="1" x="45"/>
        <item m="1" x="43"/>
        <item m="1" x="102"/>
        <item m="1" x="108"/>
        <item m="1" x="91"/>
        <item m="1" x="40"/>
        <item m="1" x="110"/>
        <item m="1" x="61"/>
        <item m="1" x="80"/>
        <item m="1" x="69"/>
        <item m="1" x="66"/>
        <item m="1" x="53"/>
        <item m="1" x="33"/>
        <item m="1" x="94"/>
        <item m="1" x="32"/>
        <item m="1" x="90"/>
        <item m="1" x="113"/>
        <item m="1" x="77"/>
        <item m="1" x="74"/>
        <item n="Prosthesis" m="1" x="54"/>
        <item m="1" x="98"/>
        <item m="1" x="81"/>
        <item x="16"/>
        <item n="Bereavement Course" m="1" x="31"/>
        <item m="1" x="56"/>
        <item x="22"/>
        <item m="1" x="78"/>
        <item m="1" x="109"/>
        <item x="10"/>
        <item m="1" x="52"/>
        <item m="1" x="75"/>
        <item m="1" x="58"/>
        <item n="Auricular Acupuncture" m="1" x="100"/>
        <item m="1" x="50"/>
        <item m="1" x="107"/>
        <item m="1" x="89"/>
        <item x="1"/>
        <item x="11"/>
        <item m="1" x="112"/>
        <item m="1" x="85"/>
        <item m="1" x="34"/>
        <item x="4"/>
        <item x="23"/>
        <item m="1" x="55"/>
        <item n="Talking Heads; Managing Hair Loss" m="1" x="49"/>
        <item x="7"/>
        <item x="19"/>
        <item x="24"/>
        <item x="14"/>
        <item m="1" x="72"/>
        <item x="18"/>
        <item n="Gentle Exercise" m="1" x="46"/>
        <item x="25"/>
        <item x="9"/>
        <item m="1" x="83"/>
        <item m="1" x="57"/>
        <item m="1" x="47"/>
        <item x="17"/>
        <item m="1" x="42"/>
        <item x="0"/>
        <item n="Prosthesis2" m="1" x="84"/>
        <item n="Auricular Acupuncture2" m="1" x="62"/>
        <item n="Talking Heads; Managing Hair Loss2" x="28"/>
        <item n="Gentle Exercise2" x="27"/>
        <item n="Bereavement Course2" m="1" x="104"/>
        <item m="1" x="37"/>
        <item m="1" x="93"/>
        <item t="default"/>
      </items>
    </pivotField>
    <pivotField showAll="0"/>
    <pivotField showAll="0"/>
  </pivotFields>
  <rowFields count="2">
    <field x="8"/>
    <field x="1"/>
  </rowFields>
  <rowItems count="79">
    <i>
      <x v="1"/>
    </i>
    <i r="1">
      <x v="2"/>
    </i>
    <i r="1">
      <x v="3"/>
    </i>
    <i r="1">
      <x v="4"/>
    </i>
    <i r="1">
      <x v="6"/>
    </i>
    <i>
      <x v="2"/>
    </i>
    <i r="1">
      <x v="2"/>
    </i>
    <i r="1">
      <x v="3"/>
    </i>
    <i r="1">
      <x v="4"/>
    </i>
    <i>
      <x v="3"/>
    </i>
    <i r="1">
      <x v="3"/>
    </i>
    <i r="1">
      <x v="4"/>
    </i>
    <i r="1">
      <x v="6"/>
    </i>
    <i>
      <x v="6"/>
    </i>
    <i r="1">
      <x v="2"/>
    </i>
    <i>
      <x v="8"/>
    </i>
    <i r="1">
      <x v="3"/>
    </i>
    <i>
      <x v="13"/>
    </i>
    <i r="1">
      <x v="4"/>
    </i>
    <i>
      <x v="19"/>
    </i>
    <i r="1">
      <x v="3"/>
    </i>
    <i r="1">
      <x v="4"/>
    </i>
    <i>
      <x v="27"/>
    </i>
    <i r="1">
      <x v="2"/>
    </i>
    <i>
      <x v="32"/>
    </i>
    <i r="1">
      <x v="4"/>
    </i>
    <i r="1">
      <x v="6"/>
    </i>
    <i>
      <x v="35"/>
    </i>
    <i r="1">
      <x v="6"/>
    </i>
    <i>
      <x v="41"/>
    </i>
    <i r="1">
      <x v="6"/>
    </i>
    <i>
      <x v="46"/>
    </i>
    <i r="1">
      <x v="3"/>
    </i>
    <i r="1">
      <x v="4"/>
    </i>
    <i r="1">
      <x v="6"/>
    </i>
    <i>
      <x v="69"/>
    </i>
    <i r="1">
      <x v="3"/>
    </i>
    <i>
      <x v="72"/>
    </i>
    <i r="1">
      <x v="3"/>
    </i>
    <i>
      <x v="75"/>
    </i>
    <i r="1">
      <x v="3"/>
    </i>
    <i r="1">
      <x v="4"/>
    </i>
    <i>
      <x v="83"/>
    </i>
    <i r="1">
      <x v="3"/>
    </i>
    <i r="1">
      <x v="4"/>
    </i>
    <i>
      <x v="84"/>
    </i>
    <i r="1">
      <x v="4"/>
    </i>
    <i>
      <x v="88"/>
    </i>
    <i r="1">
      <x v="3"/>
    </i>
    <i r="1">
      <x v="6"/>
    </i>
    <i>
      <x v="89"/>
    </i>
    <i r="1">
      <x v="3"/>
    </i>
    <i r="1">
      <x v="5"/>
    </i>
    <i>
      <x v="92"/>
    </i>
    <i r="1">
      <x v="4"/>
    </i>
    <i>
      <x v="93"/>
    </i>
    <i r="1">
      <x v="5"/>
    </i>
    <i>
      <x v="94"/>
    </i>
    <i r="1">
      <x v="6"/>
    </i>
    <i>
      <x v="95"/>
    </i>
    <i r="1">
      <x v="4"/>
    </i>
    <i>
      <x v="97"/>
    </i>
    <i r="1">
      <x v="3"/>
    </i>
    <i r="1">
      <x v="6"/>
    </i>
    <i>
      <x v="99"/>
    </i>
    <i r="1">
      <x v="5"/>
    </i>
    <i>
      <x v="100"/>
    </i>
    <i r="1">
      <x v="5"/>
    </i>
    <i>
      <x v="104"/>
    </i>
    <i r="1">
      <x v="3"/>
    </i>
    <i r="1">
      <x v="6"/>
    </i>
    <i>
      <x v="106"/>
    </i>
    <i r="1">
      <x v="5"/>
    </i>
    <i r="1">
      <x v="6"/>
    </i>
    <i>
      <x v="109"/>
    </i>
    <i r="1">
      <x v="3"/>
    </i>
    <i>
      <x v="110"/>
    </i>
    <i r="1">
      <x v="5"/>
    </i>
    <i t="grand">
      <x/>
    </i>
  </rowItems>
  <colFields count="1">
    <field x="0"/>
  </colFields>
  <colItems count="22">
    <i>
      <x v="2"/>
    </i>
    <i>
      <x v="4"/>
    </i>
    <i>
      <x v="5"/>
    </i>
    <i>
      <x v="6"/>
    </i>
    <i>
      <x v="9"/>
    </i>
    <i>
      <x v="10"/>
    </i>
    <i>
      <x v="11"/>
    </i>
    <i>
      <x v="14"/>
    </i>
    <i>
      <x v="15"/>
    </i>
    <i>
      <x v="16"/>
    </i>
    <i>
      <x v="19"/>
    </i>
    <i>
      <x v="20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of Date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16.xml><?xml version="1.0" encoding="utf-8"?>
<pivotTableDefinition xmlns="http://schemas.openxmlformats.org/spreadsheetml/2006/main" name="PivotTable3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P58" firstHeaderRow="1" firstDataRow="2" firstDataCol="1"/>
  <pivotFields count="11">
    <pivotField axis="axisCol" dataField="1" showAll="0">
      <items count="37">
        <item h="1" x="31"/>
        <item h="1"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axis="axisRow" showAll="0">
      <items count="11">
        <item x="5"/>
        <item x="3"/>
        <item x="0"/>
        <item x="1"/>
        <item x="4"/>
        <item m="1" x="8"/>
        <item x="2"/>
        <item m="1" x="6"/>
        <item m="1" x="7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7">
        <item h="1" x="22"/>
        <item h="1" x="0"/>
        <item m="1" x="98"/>
        <item m="1" x="101"/>
        <item m="1" x="104"/>
        <item m="1" x="56"/>
        <item h="1" m="1" x="31"/>
        <item m="1" x="89"/>
        <item m="1" x="80"/>
        <item m="1" x="28"/>
        <item x="5"/>
        <item m="1" x="99"/>
        <item m="1" x="30"/>
        <item m="1" x="34"/>
        <item m="1" x="61"/>
        <item m="1" x="36"/>
        <item x="21"/>
        <item m="1" x="55"/>
        <item x="12"/>
        <item m="1" x="60"/>
        <item x="6"/>
        <item m="1" x="92"/>
        <item m="1" x="81"/>
        <item m="1" x="96"/>
        <item x="11"/>
        <item m="1" x="66"/>
        <item x="17"/>
        <item m="1" x="70"/>
        <item m="1" x="91"/>
        <item m="1" x="76"/>
        <item m="1" x="82"/>
        <item x="14"/>
        <item m="1" x="58"/>
        <item m="1" x="68"/>
        <item m="1" x="64"/>
        <item m="1" x="27"/>
        <item m="1" x="38"/>
        <item m="1" x="29"/>
        <item m="1" x="35"/>
        <item m="1" x="112"/>
        <item m="1" x="106"/>
        <item m="1" x="100"/>
        <item m="1" x="108"/>
        <item m="1" x="102"/>
        <item m="1" x="42"/>
        <item m="1" x="88"/>
        <item m="1" x="63"/>
        <item m="1" x="93"/>
        <item m="1" x="33"/>
        <item m="1" x="94"/>
        <item m="1" x="32"/>
        <item m="1" x="111"/>
        <item m="1" x="71"/>
        <item m="1" x="57"/>
        <item m="1" x="74"/>
        <item m="1" x="65"/>
        <item m="1" x="62"/>
        <item m="1" x="47"/>
        <item m="1" x="25"/>
        <item m="1" x="90"/>
        <item m="1" x="24"/>
        <item m="1" x="86"/>
        <item m="1" x="115"/>
        <item m="1" x="83"/>
        <item m="1" x="72"/>
        <item m="1" x="67"/>
        <item m="1" x="59"/>
        <item m="1" x="52"/>
        <item m="1" x="79"/>
        <item x="9"/>
        <item m="1" x="114"/>
        <item n="Prosthesis" m="1" x="48"/>
        <item n="Bereavement Course" m="1" x="23"/>
        <item x="2"/>
        <item m="1" x="45"/>
        <item x="19"/>
        <item m="1" x="44"/>
        <item m="1" x="77"/>
        <item n="Gentle Exercise" m="1" x="40"/>
        <item m="1" x="110"/>
        <item x="18"/>
        <item x="15"/>
        <item m="1" x="51"/>
        <item m="1" x="107"/>
        <item x="7"/>
        <item m="1" x="50"/>
        <item n="Auricular Acupuncture" m="1" x="97"/>
        <item m="1" x="37"/>
        <item m="1" x="53"/>
        <item m="1" x="75"/>
        <item m="1" x="109"/>
        <item m="1" x="26"/>
        <item x="8"/>
        <item x="4"/>
        <item x="3"/>
        <item m="1" x="84"/>
        <item x="1"/>
        <item m="1" x="54"/>
        <item m="1" x="69"/>
        <item m="1" x="73"/>
        <item m="1" x="41"/>
        <item x="16"/>
        <item m="1" x="46"/>
        <item n="Talking Heads; Managing Hair Loss" m="1" x="43"/>
        <item m="1" x="85"/>
        <item m="1" x="95"/>
        <item x="13"/>
        <item m="1" x="113"/>
        <item m="1" x="49"/>
        <item n="Auricular Acupuncture2" x="20"/>
        <item n="Talking Heads; Managing Hair Loss2" m="1" x="87"/>
        <item n="Prosthesis2" m="1" x="78"/>
        <item n="Bereavement Course2" m="1" x="103"/>
        <item m="1" x="39"/>
        <item h="1" x="10"/>
        <item h="1" m="1" x="105"/>
        <item t="default"/>
      </items>
    </pivotField>
    <pivotField showAll="0"/>
  </pivotFields>
  <rowFields count="2">
    <field x="9"/>
    <field x="2"/>
  </rowFields>
  <rowItems count="56">
    <i>
      <x v="10"/>
    </i>
    <i r="1">
      <x v="2"/>
    </i>
    <i>
      <x v="16"/>
    </i>
    <i r="1">
      <x v="2"/>
    </i>
    <i r="1">
      <x v="3"/>
    </i>
    <i>
      <x v="18"/>
    </i>
    <i r="1">
      <x v="2"/>
    </i>
    <i>
      <x v="20"/>
    </i>
    <i r="1">
      <x v="2"/>
    </i>
    <i r="1">
      <x v="3"/>
    </i>
    <i>
      <x v="24"/>
    </i>
    <i r="1">
      <x v="2"/>
    </i>
    <i r="1">
      <x v="3"/>
    </i>
    <i>
      <x v="26"/>
    </i>
    <i r="1">
      <x v="2"/>
    </i>
    <i r="1">
      <x v="3"/>
    </i>
    <i>
      <x v="31"/>
    </i>
    <i r="1">
      <x v="2"/>
    </i>
    <i r="1">
      <x v="3"/>
    </i>
    <i>
      <x v="69"/>
    </i>
    <i r="1">
      <x v="2"/>
    </i>
    <i r="1">
      <x v="3"/>
    </i>
    <i>
      <x v="73"/>
    </i>
    <i r="1">
      <x v="2"/>
    </i>
    <i r="1">
      <x v="3"/>
    </i>
    <i>
      <x v="75"/>
    </i>
    <i r="1">
      <x v="2"/>
    </i>
    <i r="1">
      <x v="3"/>
    </i>
    <i>
      <x v="80"/>
    </i>
    <i r="1">
      <x v="2"/>
    </i>
    <i r="1">
      <x v="3"/>
    </i>
    <i>
      <x v="81"/>
    </i>
    <i r="1">
      <x v="2"/>
    </i>
    <i>
      <x v="84"/>
    </i>
    <i r="1">
      <x v="2"/>
    </i>
    <i r="1">
      <x v="3"/>
    </i>
    <i r="1">
      <x v="6"/>
    </i>
    <i>
      <x v="92"/>
    </i>
    <i r="1">
      <x v="2"/>
    </i>
    <i>
      <x v="93"/>
    </i>
    <i r="1">
      <x v="2"/>
    </i>
    <i>
      <x v="94"/>
    </i>
    <i r="1">
      <x v="2"/>
    </i>
    <i r="1">
      <x v="3"/>
    </i>
    <i>
      <x v="96"/>
    </i>
    <i r="1">
      <x v="2"/>
    </i>
    <i r="1">
      <x v="3"/>
    </i>
    <i>
      <x v="101"/>
    </i>
    <i r="1">
      <x v="2"/>
    </i>
    <i r="1">
      <x v="3"/>
    </i>
    <i>
      <x v="106"/>
    </i>
    <i r="1">
      <x v="2"/>
    </i>
    <i r="1">
      <x v="3"/>
    </i>
    <i>
      <x v="109"/>
    </i>
    <i r="1">
      <x v="2"/>
    </i>
    <i t="grand">
      <x/>
    </i>
  </rowItems>
  <colFields count="1">
    <field x="0"/>
  </colFields>
  <colItems count="15">
    <i>
      <x v="2"/>
    </i>
    <i>
      <x v="6"/>
    </i>
    <i>
      <x v="9"/>
    </i>
    <i>
      <x v="11"/>
    </i>
    <i>
      <x v="14"/>
    </i>
    <i>
      <x v="15"/>
    </i>
    <i>
      <x v="16"/>
    </i>
    <i>
      <x v="19"/>
    </i>
    <i>
      <x v="20"/>
    </i>
    <i>
      <x v="27"/>
    </i>
    <i>
      <x v="30"/>
    </i>
    <i>
      <x v="32"/>
    </i>
    <i>
      <x v="33"/>
    </i>
    <i>
      <x v="34"/>
    </i>
    <i t="grand">
      <x/>
    </i>
  </colItems>
  <dataFields count="1">
    <dataField name="Count Activity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17.xml><?xml version="1.0" encoding="utf-8"?>
<pivotTableDefinition xmlns="http://schemas.openxmlformats.org/spreadsheetml/2006/main" name="PivotTable3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P59" firstHeaderRow="1" firstDataRow="2" firstDataCol="1"/>
  <pivotFields count="11">
    <pivotField axis="axisCol" dataField="1" showAll="0">
      <items count="37">
        <item h="1" x="31"/>
        <item h="1"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showAll="0"/>
    <pivotField showAll="0"/>
    <pivotField axis="axisRow" showAll="0">
      <items count="12">
        <item x="5"/>
        <item x="2"/>
        <item x="1"/>
        <item x="0"/>
        <item m="1" x="9"/>
        <item m="1" x="10"/>
        <item m="1" x="7"/>
        <item m="1" x="8"/>
        <item m="1" x="6"/>
        <item x="4"/>
        <item x="3"/>
        <item t="default"/>
      </items>
    </pivotField>
    <pivotField showAll="0"/>
    <pivotField showAll="0"/>
    <pivotField showAll="0"/>
    <pivotField showAll="0"/>
    <pivotField axis="axisRow" showAll="0">
      <items count="117">
        <item h="1" x="22"/>
        <item h="1" x="0"/>
        <item m="1" x="98"/>
        <item m="1" x="101"/>
        <item m="1" x="104"/>
        <item m="1" x="56"/>
        <item h="1" m="1" x="31"/>
        <item m="1" x="89"/>
        <item m="1" x="80"/>
        <item m="1" x="28"/>
        <item x="5"/>
        <item m="1" x="99"/>
        <item m="1" x="30"/>
        <item m="1" x="34"/>
        <item m="1" x="61"/>
        <item m="1" x="36"/>
        <item x="21"/>
        <item m="1" x="55"/>
        <item x="12"/>
        <item m="1" x="60"/>
        <item x="6"/>
        <item m="1" x="92"/>
        <item m="1" x="81"/>
        <item m="1" x="96"/>
        <item x="11"/>
        <item m="1" x="66"/>
        <item x="17"/>
        <item m="1" x="70"/>
        <item m="1" x="91"/>
        <item m="1" x="76"/>
        <item m="1" x="82"/>
        <item x="14"/>
        <item m="1" x="58"/>
        <item m="1" x="68"/>
        <item m="1" x="64"/>
        <item m="1" x="27"/>
        <item m="1" x="38"/>
        <item m="1" x="29"/>
        <item m="1" x="35"/>
        <item m="1" x="112"/>
        <item m="1" x="106"/>
        <item m="1" x="100"/>
        <item m="1" x="108"/>
        <item m="1" x="102"/>
        <item m="1" x="42"/>
        <item m="1" x="88"/>
        <item m="1" x="63"/>
        <item m="1" x="93"/>
        <item m="1" x="33"/>
        <item m="1" x="94"/>
        <item m="1" x="32"/>
        <item m="1" x="111"/>
        <item m="1" x="71"/>
        <item m="1" x="57"/>
        <item m="1" x="74"/>
        <item m="1" x="65"/>
        <item m="1" x="62"/>
        <item m="1" x="47"/>
        <item m="1" x="25"/>
        <item m="1" x="90"/>
        <item m="1" x="24"/>
        <item m="1" x="86"/>
        <item m="1" x="115"/>
        <item m="1" x="83"/>
        <item m="1" x="72"/>
        <item m="1" x="67"/>
        <item m="1" x="59"/>
        <item m="1" x="52"/>
        <item m="1" x="79"/>
        <item x="9"/>
        <item m="1" x="114"/>
        <item n="Prosthesis" m="1" x="48"/>
        <item n="Bereavement Course" m="1" x="23"/>
        <item x="2"/>
        <item m="1" x="45"/>
        <item x="19"/>
        <item m="1" x="44"/>
        <item m="1" x="77"/>
        <item n="Gentle Exercise" m="1" x="40"/>
        <item m="1" x="110"/>
        <item x="18"/>
        <item x="15"/>
        <item m="1" x="51"/>
        <item m="1" x="107"/>
        <item x="7"/>
        <item m="1" x="50"/>
        <item n="Auricular Acupuncture" m="1" x="97"/>
        <item m="1" x="37"/>
        <item m="1" x="53"/>
        <item m="1" x="75"/>
        <item m="1" x="109"/>
        <item m="1" x="26"/>
        <item x="8"/>
        <item x="4"/>
        <item x="3"/>
        <item m="1" x="84"/>
        <item x="1"/>
        <item m="1" x="54"/>
        <item m="1" x="69"/>
        <item m="1" x="73"/>
        <item m="1" x="41"/>
        <item x="16"/>
        <item m="1" x="46"/>
        <item n="Talking Heads; Managing Hair Loss" m="1" x="43"/>
        <item m="1" x="85"/>
        <item m="1" x="95"/>
        <item x="13"/>
        <item m="1" x="113"/>
        <item m="1" x="49"/>
        <item n="Auricular Acupuncture2" x="20"/>
        <item n="Talking Heads; Managing Hair Loss2" m="1" x="87"/>
        <item n="Prosthesis2" m="1" x="78"/>
        <item n="Bereavement Course2" m="1" x="103"/>
        <item m="1" x="39"/>
        <item h="1" x="10"/>
        <item h="1" m="1" x="105"/>
        <item t="default"/>
      </items>
    </pivotField>
    <pivotField showAll="0"/>
  </pivotFields>
  <rowFields count="2">
    <field x="9"/>
    <field x="4"/>
  </rowFields>
  <rowItems count="57">
    <i>
      <x v="10"/>
    </i>
    <i r="1">
      <x v="2"/>
    </i>
    <i r="1">
      <x v="3"/>
    </i>
    <i>
      <x v="16"/>
    </i>
    <i r="1">
      <x v="2"/>
    </i>
    <i r="1">
      <x v="3"/>
    </i>
    <i>
      <x v="18"/>
    </i>
    <i r="1">
      <x v="2"/>
    </i>
    <i r="1">
      <x v="3"/>
    </i>
    <i>
      <x v="20"/>
    </i>
    <i r="1">
      <x v="2"/>
    </i>
    <i r="1">
      <x v="3"/>
    </i>
    <i>
      <x v="24"/>
    </i>
    <i r="1">
      <x v="2"/>
    </i>
    <i r="1">
      <x v="3"/>
    </i>
    <i>
      <x v="26"/>
    </i>
    <i r="1">
      <x v="2"/>
    </i>
    <i r="1">
      <x v="3"/>
    </i>
    <i>
      <x v="31"/>
    </i>
    <i r="1">
      <x v="2"/>
    </i>
    <i r="1">
      <x v="3"/>
    </i>
    <i>
      <x v="69"/>
    </i>
    <i r="1">
      <x v="2"/>
    </i>
    <i r="1">
      <x v="3"/>
    </i>
    <i>
      <x v="73"/>
    </i>
    <i r="1">
      <x v="2"/>
    </i>
    <i r="1">
      <x v="3"/>
    </i>
    <i>
      <x v="75"/>
    </i>
    <i r="1">
      <x v="2"/>
    </i>
    <i r="1">
      <x v="3"/>
    </i>
    <i>
      <x v="80"/>
    </i>
    <i r="1">
      <x v="2"/>
    </i>
    <i r="1">
      <x v="3"/>
    </i>
    <i>
      <x v="81"/>
    </i>
    <i r="1">
      <x v="2"/>
    </i>
    <i>
      <x v="84"/>
    </i>
    <i r="1">
      <x v="1"/>
    </i>
    <i r="1">
      <x v="2"/>
    </i>
    <i r="1">
      <x v="3"/>
    </i>
    <i>
      <x v="92"/>
    </i>
    <i r="1">
      <x v="2"/>
    </i>
    <i>
      <x v="93"/>
    </i>
    <i r="1">
      <x v="2"/>
    </i>
    <i>
      <x v="94"/>
    </i>
    <i r="1">
      <x v="2"/>
    </i>
    <i r="1">
      <x v="3"/>
    </i>
    <i>
      <x v="96"/>
    </i>
    <i r="1">
      <x v="2"/>
    </i>
    <i r="1">
      <x v="3"/>
    </i>
    <i>
      <x v="101"/>
    </i>
    <i r="1">
      <x v="2"/>
    </i>
    <i r="1">
      <x v="3"/>
    </i>
    <i>
      <x v="106"/>
    </i>
    <i r="1">
      <x v="2"/>
    </i>
    <i>
      <x v="109"/>
    </i>
    <i r="1">
      <x v="3"/>
    </i>
    <i t="grand">
      <x/>
    </i>
  </rowItems>
  <colFields count="1">
    <field x="0"/>
  </colFields>
  <colItems count="15">
    <i>
      <x v="2"/>
    </i>
    <i>
      <x v="6"/>
    </i>
    <i>
      <x v="9"/>
    </i>
    <i>
      <x v="11"/>
    </i>
    <i>
      <x v="14"/>
    </i>
    <i>
      <x v="15"/>
    </i>
    <i>
      <x v="16"/>
    </i>
    <i>
      <x v="19"/>
    </i>
    <i>
      <x v="20"/>
    </i>
    <i>
      <x v="27"/>
    </i>
    <i>
      <x v="30"/>
    </i>
    <i>
      <x v="32"/>
    </i>
    <i>
      <x v="33"/>
    </i>
    <i>
      <x v="34"/>
    </i>
    <i t="grand">
      <x/>
    </i>
  </colItems>
  <dataFields count="1">
    <dataField name="Count Activity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18.xml><?xml version="1.0" encoding="utf-8"?>
<pivotTableDefinition xmlns="http://schemas.openxmlformats.org/spreadsheetml/2006/main" name="PivotTable3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P60" firstHeaderRow="1" firstDataRow="2" firstDataCol="1"/>
  <pivotFields count="11">
    <pivotField axis="axisCol" dataField="1" showAll="0">
      <items count="37">
        <item h="1" x="31"/>
        <item h="1"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axis="axisRow" showAll="0">
      <items count="10">
        <item x="6"/>
        <item x="3"/>
        <item x="5"/>
        <item x="2"/>
        <item x="1"/>
        <item x="0"/>
        <item x="4"/>
        <item m="1" x="7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7">
        <item h="1" x="22"/>
        <item h="1" x="0"/>
        <item m="1" x="98"/>
        <item m="1" x="101"/>
        <item m="1" x="104"/>
        <item m="1" x="56"/>
        <item h="1" m="1" x="31"/>
        <item m="1" x="89"/>
        <item m="1" x="80"/>
        <item m="1" x="28"/>
        <item x="5"/>
        <item m="1" x="99"/>
        <item m="1" x="30"/>
        <item m="1" x="34"/>
        <item m="1" x="61"/>
        <item m="1" x="36"/>
        <item x="21"/>
        <item m="1" x="55"/>
        <item x="12"/>
        <item m="1" x="60"/>
        <item x="6"/>
        <item m="1" x="92"/>
        <item m="1" x="81"/>
        <item m="1" x="96"/>
        <item x="11"/>
        <item m="1" x="66"/>
        <item x="17"/>
        <item m="1" x="70"/>
        <item m="1" x="91"/>
        <item m="1" x="76"/>
        <item m="1" x="82"/>
        <item x="14"/>
        <item m="1" x="58"/>
        <item m="1" x="68"/>
        <item m="1" x="64"/>
        <item m="1" x="27"/>
        <item m="1" x="38"/>
        <item m="1" x="29"/>
        <item m="1" x="35"/>
        <item m="1" x="112"/>
        <item m="1" x="106"/>
        <item m="1" x="100"/>
        <item m="1" x="108"/>
        <item m="1" x="102"/>
        <item m="1" x="42"/>
        <item m="1" x="88"/>
        <item m="1" x="63"/>
        <item m="1" x="93"/>
        <item m="1" x="33"/>
        <item m="1" x="94"/>
        <item m="1" x="32"/>
        <item m="1" x="111"/>
        <item m="1" x="71"/>
        <item m="1" x="57"/>
        <item m="1" x="74"/>
        <item m="1" x="65"/>
        <item m="1" x="62"/>
        <item m="1" x="47"/>
        <item m="1" x="25"/>
        <item m="1" x="90"/>
        <item m="1" x="24"/>
        <item m="1" x="86"/>
        <item m="1" x="115"/>
        <item m="1" x="83"/>
        <item m="1" x="72"/>
        <item m="1" x="67"/>
        <item m="1" x="59"/>
        <item m="1" x="52"/>
        <item m="1" x="79"/>
        <item x="9"/>
        <item m="1" x="114"/>
        <item n="Prosthesis" m="1" x="48"/>
        <item n="Bereavement Course" m="1" x="23"/>
        <item x="2"/>
        <item m="1" x="45"/>
        <item x="19"/>
        <item m="1" x="44"/>
        <item m="1" x="77"/>
        <item n="Gentle Exercise" m="1" x="40"/>
        <item m="1" x="110"/>
        <item x="18"/>
        <item x="15"/>
        <item m="1" x="51"/>
        <item m="1" x="107"/>
        <item x="7"/>
        <item m="1" x="50"/>
        <item n="Auricular Acupuncture" m="1" x="97"/>
        <item m="1" x="37"/>
        <item m="1" x="53"/>
        <item m="1" x="75"/>
        <item m="1" x="109"/>
        <item m="1" x="26"/>
        <item x="8"/>
        <item x="4"/>
        <item x="3"/>
        <item m="1" x="84"/>
        <item x="1"/>
        <item m="1" x="54"/>
        <item m="1" x="69"/>
        <item m="1" x="73"/>
        <item m="1" x="41"/>
        <item x="16"/>
        <item m="1" x="46"/>
        <item n="Talking Heads; Managing Hair Loss" m="1" x="43"/>
        <item m="1" x="85"/>
        <item m="1" x="95"/>
        <item x="13"/>
        <item m="1" x="113"/>
        <item m="1" x="49"/>
        <item n="Auricular Acupuncture2" x="20"/>
        <item n="Talking Heads; Managing Hair Loss2" m="1" x="87"/>
        <item n="Prosthesis2" m="1" x="78"/>
        <item n="Bereavement Course2" m="1" x="103"/>
        <item m="1" x="39"/>
        <item h="1" x="10"/>
        <item h="1" m="1" x="105"/>
        <item t="default"/>
      </items>
    </pivotField>
    <pivotField showAll="0"/>
  </pivotFields>
  <rowFields count="2">
    <field x="9"/>
    <field x="1"/>
  </rowFields>
  <rowItems count="58">
    <i>
      <x v="10"/>
    </i>
    <i r="1">
      <x v="5"/>
    </i>
    <i>
      <x v="16"/>
    </i>
    <i r="1">
      <x v="3"/>
    </i>
    <i r="1">
      <x v="4"/>
    </i>
    <i>
      <x v="18"/>
    </i>
    <i r="1">
      <x v="4"/>
    </i>
    <i r="1">
      <x v="5"/>
    </i>
    <i>
      <x v="20"/>
    </i>
    <i r="1">
      <x v="2"/>
    </i>
    <i r="1">
      <x v="3"/>
    </i>
    <i>
      <x v="24"/>
    </i>
    <i r="1">
      <x v="4"/>
    </i>
    <i r="1">
      <x v="6"/>
    </i>
    <i>
      <x v="26"/>
    </i>
    <i r="1">
      <x v="4"/>
    </i>
    <i r="1">
      <x v="6"/>
    </i>
    <i>
      <x v="31"/>
    </i>
    <i r="1">
      <x v="3"/>
    </i>
    <i r="1">
      <x v="4"/>
    </i>
    <i r="1">
      <x v="5"/>
    </i>
    <i>
      <x v="69"/>
    </i>
    <i r="1">
      <x v="4"/>
    </i>
    <i r="1">
      <x v="6"/>
    </i>
    <i>
      <x v="73"/>
    </i>
    <i r="1">
      <x v="6"/>
    </i>
    <i>
      <x v="75"/>
    </i>
    <i r="1">
      <x v="3"/>
    </i>
    <i>
      <x v="80"/>
    </i>
    <i r="1">
      <x v="6"/>
    </i>
    <i>
      <x v="81"/>
    </i>
    <i r="1">
      <x v="5"/>
    </i>
    <i>
      <x v="84"/>
    </i>
    <i r="1">
      <x v="3"/>
    </i>
    <i r="1">
      <x v="4"/>
    </i>
    <i r="1">
      <x v="5"/>
    </i>
    <i r="1">
      <x v="6"/>
    </i>
    <i>
      <x v="92"/>
    </i>
    <i r="1">
      <x v="3"/>
    </i>
    <i>
      <x v="93"/>
    </i>
    <i r="1">
      <x v="3"/>
    </i>
    <i r="1">
      <x v="5"/>
    </i>
    <i>
      <x v="94"/>
    </i>
    <i r="1">
      <x v="2"/>
    </i>
    <i r="1">
      <x v="3"/>
    </i>
    <i r="1">
      <x v="4"/>
    </i>
    <i r="1">
      <x v="5"/>
    </i>
    <i>
      <x v="96"/>
    </i>
    <i r="1">
      <x v="4"/>
    </i>
    <i>
      <x v="101"/>
    </i>
    <i r="1">
      <x v="3"/>
    </i>
    <i r="1">
      <x v="4"/>
    </i>
    <i>
      <x v="106"/>
    </i>
    <i r="1">
      <x v="3"/>
    </i>
    <i r="1">
      <x v="4"/>
    </i>
    <i>
      <x v="109"/>
    </i>
    <i r="1">
      <x v="6"/>
    </i>
    <i t="grand">
      <x/>
    </i>
  </rowItems>
  <colFields count="1">
    <field x="0"/>
  </colFields>
  <colItems count="15">
    <i>
      <x v="2"/>
    </i>
    <i>
      <x v="6"/>
    </i>
    <i>
      <x v="9"/>
    </i>
    <i>
      <x v="11"/>
    </i>
    <i>
      <x v="14"/>
    </i>
    <i>
      <x v="15"/>
    </i>
    <i>
      <x v="16"/>
    </i>
    <i>
      <x v="19"/>
    </i>
    <i>
      <x v="20"/>
    </i>
    <i>
      <x v="27"/>
    </i>
    <i>
      <x v="30"/>
    </i>
    <i>
      <x v="32"/>
    </i>
    <i>
      <x v="33"/>
    </i>
    <i>
      <x v="34"/>
    </i>
    <i t="grand">
      <x/>
    </i>
  </colItems>
  <dataFields count="1">
    <dataField name="Count Activity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19.xml><?xml version="1.0" encoding="utf-8"?>
<pivotTableDefinition xmlns="http://schemas.openxmlformats.org/spreadsheetml/2006/main" name="PivotTable4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P41" firstHeaderRow="1" firstDataRow="2" firstDataCol="1"/>
  <pivotFields count="11">
    <pivotField axis="axisCol" dataField="1" showAll="0">
      <items count="37">
        <item h="1" x="31"/>
        <item h="1"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axis="axisRow" showAll="0">
      <items count="11">
        <item x="5"/>
        <item x="3"/>
        <item x="0"/>
        <item x="1"/>
        <item x="4"/>
        <item m="1" x="8"/>
        <item x="2"/>
        <item m="1" x="6"/>
        <item m="1" x="7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2">
        <item h="1" x="17"/>
        <item h="1" x="0"/>
        <item h="1" m="1" x="26"/>
        <item m="1" x="85"/>
        <item m="1" x="76"/>
        <item m="1" x="23"/>
        <item x="2"/>
        <item m="1" x="95"/>
        <item m="1" x="25"/>
        <item m="1" x="29"/>
        <item m="1" x="54"/>
        <item m="1" x="32"/>
        <item x="4"/>
        <item m="1" x="47"/>
        <item m="1" x="96"/>
        <item m="1" x="53"/>
        <item m="1" x="68"/>
        <item m="1" x="89"/>
        <item m="1" x="77"/>
        <item m="1" x="93"/>
        <item x="8"/>
        <item m="1" x="59"/>
        <item m="1" x="40"/>
        <item x="3"/>
        <item m="1" x="88"/>
        <item m="1" x="71"/>
        <item m="1" x="98"/>
        <item m="1" x="78"/>
        <item m="1" x="86"/>
        <item m="1" x="101"/>
        <item m="1" x="52"/>
        <item m="1" x="48"/>
        <item m="1" x="61"/>
        <item m="1" x="57"/>
        <item m="1" x="22"/>
        <item m="1" x="34"/>
        <item m="1" x="24"/>
        <item m="1" x="31"/>
        <item m="1" x="107"/>
        <item m="1" x="103"/>
        <item m="1" x="97"/>
        <item m="1" x="104"/>
        <item m="1" x="99"/>
        <item m="1" x="36"/>
        <item m="1" x="84"/>
        <item m="1" x="56"/>
        <item x="15"/>
        <item m="1" x="90"/>
        <item m="1" x="28"/>
        <item m="1" x="91"/>
        <item m="1" x="27"/>
        <item m="1" x="106"/>
        <item m="1" x="65"/>
        <item m="1" x="49"/>
        <item m="1" x="69"/>
        <item m="1" x="58"/>
        <item m="1" x="55"/>
        <item m="1" x="42"/>
        <item m="1" x="20"/>
        <item m="1" x="87"/>
        <item m="1" x="19"/>
        <item m="1" x="81"/>
        <item m="1" x="110"/>
        <item m="1" x="79"/>
        <item m="1" x="66"/>
        <item m="1" x="73"/>
        <item m="1" x="46"/>
        <item m="1" x="108"/>
        <item m="1" x="80"/>
        <item m="1" x="109"/>
        <item m="1" x="62"/>
        <item x="7"/>
        <item x="12"/>
        <item x="5"/>
        <item m="1" x="70"/>
        <item m="1" x="44"/>
        <item n="Prosthesis" m="1" x="43"/>
        <item x="16"/>
        <item m="1" x="72"/>
        <item m="1" x="38"/>
        <item x="6"/>
        <item n="Gentle Exercise" m="1" x="35"/>
        <item m="1" x="67"/>
        <item x="1"/>
        <item m="1" x="21"/>
        <item m="1" x="39"/>
        <item m="1" x="50"/>
        <item m="1" x="41"/>
        <item n="Bereavement Course" m="1" x="18"/>
        <item m="1" x="45"/>
        <item m="1" x="75"/>
        <item m="1" x="64"/>
        <item m="1" x="83"/>
        <item m="1" x="105"/>
        <item x="14"/>
        <item m="1" x="63"/>
        <item n="Auricular Acupuncture" m="1" x="94"/>
        <item m="1" x="92"/>
        <item m="1" x="30"/>
        <item m="1" x="33"/>
        <item m="1" x="102"/>
        <item m="1" x="60"/>
        <item x="10"/>
        <item x="13"/>
        <item x="9"/>
        <item n="Talking Heads; Managing Hair Loss" m="1" x="37"/>
        <item x="11"/>
        <item n="Prosthesis2" m="1" x="74"/>
        <item m="1" x="100"/>
        <item n="Auricular Acupuncture2" m="1" x="51"/>
        <item m="1" x="82"/>
        <item t="default"/>
      </items>
    </pivotField>
  </pivotFields>
  <rowFields count="2">
    <field x="10"/>
    <field x="2"/>
  </rowFields>
  <rowItems count="39">
    <i>
      <x v="6"/>
    </i>
    <i r="1">
      <x v="2"/>
    </i>
    <i r="1">
      <x v="3"/>
    </i>
    <i>
      <x v="12"/>
    </i>
    <i r="1">
      <x v="2"/>
    </i>
    <i>
      <x v="20"/>
    </i>
    <i r="1">
      <x v="2"/>
    </i>
    <i>
      <x v="23"/>
    </i>
    <i r="1">
      <x v="3"/>
    </i>
    <i>
      <x v="46"/>
    </i>
    <i r="1">
      <x v="2"/>
    </i>
    <i>
      <x v="71"/>
    </i>
    <i r="1">
      <x v="2"/>
    </i>
    <i r="1">
      <x v="3"/>
    </i>
    <i>
      <x v="72"/>
    </i>
    <i r="1">
      <x v="2"/>
    </i>
    <i>
      <x v="73"/>
    </i>
    <i r="1">
      <x v="2"/>
    </i>
    <i>
      <x v="77"/>
    </i>
    <i r="1">
      <x v="2"/>
    </i>
    <i>
      <x v="80"/>
    </i>
    <i r="1">
      <x v="2"/>
    </i>
    <i>
      <x v="83"/>
    </i>
    <i r="1">
      <x v="2"/>
    </i>
    <i r="1">
      <x v="3"/>
    </i>
    <i>
      <x v="94"/>
    </i>
    <i r="1">
      <x v="2"/>
    </i>
    <i r="1">
      <x v="3"/>
    </i>
    <i>
      <x v="102"/>
    </i>
    <i r="1">
      <x v="2"/>
    </i>
    <i r="1">
      <x v="3"/>
    </i>
    <i>
      <x v="103"/>
    </i>
    <i r="1">
      <x v="2"/>
    </i>
    <i r="1">
      <x v="3"/>
    </i>
    <i>
      <x v="104"/>
    </i>
    <i r="1">
      <x v="2"/>
    </i>
    <i>
      <x v="106"/>
    </i>
    <i r="1">
      <x v="2"/>
    </i>
    <i t="grand">
      <x/>
    </i>
  </rowItems>
  <colFields count="1">
    <field x="0"/>
  </colFields>
  <colItems count="15">
    <i>
      <x v="2"/>
    </i>
    <i>
      <x v="6"/>
    </i>
    <i>
      <x v="9"/>
    </i>
    <i>
      <x v="11"/>
    </i>
    <i>
      <x v="14"/>
    </i>
    <i>
      <x v="15"/>
    </i>
    <i>
      <x v="16"/>
    </i>
    <i>
      <x v="19"/>
    </i>
    <i>
      <x v="20"/>
    </i>
    <i>
      <x v="27"/>
    </i>
    <i>
      <x v="30"/>
    </i>
    <i>
      <x v="32"/>
    </i>
    <i>
      <x v="33"/>
    </i>
    <i>
      <x v="34"/>
    </i>
    <i t="grand">
      <x/>
    </i>
  </colItems>
  <dataFields count="1">
    <dataField name="Count Activity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20.xml><?xml version="1.0" encoding="utf-8"?>
<pivotTableDefinition xmlns="http://schemas.openxmlformats.org/spreadsheetml/2006/main" name="PivotTable4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P44" firstHeaderRow="1" firstDataRow="2" firstDataCol="1"/>
  <pivotFields count="11">
    <pivotField axis="axisCol" dataField="1" showAll="0">
      <items count="37">
        <item x="31"/>
        <item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showAll="0"/>
    <pivotField showAll="0"/>
    <pivotField showAll="0"/>
    <pivotField axis="axisRow" showAll="0">
      <items count="12">
        <item x="5"/>
        <item x="2"/>
        <item x="1"/>
        <item x="0"/>
        <item m="1" x="9"/>
        <item m="1" x="10"/>
        <item m="1" x="7"/>
        <item m="1" x="8"/>
        <item m="1" x="6"/>
        <item x="4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2">
        <item h="1" x="17"/>
        <item h="1" x="0"/>
        <item h="1" m="1" x="26"/>
        <item m="1" x="85"/>
        <item m="1" x="76"/>
        <item m="1" x="23"/>
        <item x="2"/>
        <item m="1" x="95"/>
        <item m="1" x="25"/>
        <item m="1" x="29"/>
        <item m="1" x="54"/>
        <item m="1" x="32"/>
        <item x="4"/>
        <item m="1" x="47"/>
        <item m="1" x="96"/>
        <item m="1" x="53"/>
        <item m="1" x="68"/>
        <item m="1" x="89"/>
        <item m="1" x="77"/>
        <item m="1" x="93"/>
        <item x="8"/>
        <item m="1" x="59"/>
        <item m="1" x="40"/>
        <item x="3"/>
        <item m="1" x="88"/>
        <item m="1" x="71"/>
        <item m="1" x="98"/>
        <item m="1" x="78"/>
        <item m="1" x="86"/>
        <item m="1" x="101"/>
        <item m="1" x="52"/>
        <item m="1" x="48"/>
        <item m="1" x="61"/>
        <item m="1" x="57"/>
        <item m="1" x="22"/>
        <item m="1" x="34"/>
        <item m="1" x="24"/>
        <item m="1" x="31"/>
        <item m="1" x="107"/>
        <item m="1" x="103"/>
        <item m="1" x="97"/>
        <item m="1" x="104"/>
        <item m="1" x="99"/>
        <item m="1" x="36"/>
        <item m="1" x="84"/>
        <item m="1" x="56"/>
        <item x="15"/>
        <item m="1" x="90"/>
        <item m="1" x="28"/>
        <item m="1" x="91"/>
        <item m="1" x="27"/>
        <item m="1" x="106"/>
        <item m="1" x="65"/>
        <item m="1" x="49"/>
        <item m="1" x="69"/>
        <item m="1" x="58"/>
        <item m="1" x="55"/>
        <item m="1" x="42"/>
        <item m="1" x="20"/>
        <item m="1" x="87"/>
        <item m="1" x="19"/>
        <item m="1" x="81"/>
        <item m="1" x="110"/>
        <item m="1" x="79"/>
        <item m="1" x="66"/>
        <item m="1" x="73"/>
        <item m="1" x="46"/>
        <item m="1" x="108"/>
        <item m="1" x="80"/>
        <item m="1" x="109"/>
        <item m="1" x="62"/>
        <item x="7"/>
        <item x="12"/>
        <item x="5"/>
        <item m="1" x="70"/>
        <item m="1" x="44"/>
        <item n="Prosthesis" m="1" x="43"/>
        <item x="16"/>
        <item m="1" x="72"/>
        <item m="1" x="38"/>
        <item x="6"/>
        <item n="Gentle Exercise" m="1" x="35"/>
        <item m="1" x="67"/>
        <item x="1"/>
        <item m="1" x="21"/>
        <item m="1" x="39"/>
        <item m="1" x="50"/>
        <item m="1" x="41"/>
        <item n="Bereavement Course" m="1" x="18"/>
        <item m="1" x="45"/>
        <item m="1" x="75"/>
        <item m="1" x="64"/>
        <item m="1" x="83"/>
        <item m="1" x="105"/>
        <item x="14"/>
        <item m="1" x="63"/>
        <item n="Auricular Acupuncture" m="1" x="94"/>
        <item m="1" x="92"/>
        <item m="1" x="30"/>
        <item m="1" x="33"/>
        <item m="1" x="102"/>
        <item m="1" x="60"/>
        <item x="10"/>
        <item x="13"/>
        <item x="9"/>
        <item n="Talking Heads; Managing Hair Loss" m="1" x="37"/>
        <item x="11"/>
        <item n="Prosthesis2" m="1" x="74"/>
        <item m="1" x="100"/>
        <item n="Auricular Acupuncture2" m="1" x="51"/>
        <item m="1" x="82"/>
        <item t="default"/>
      </items>
    </pivotField>
  </pivotFields>
  <rowFields count="2">
    <field x="10"/>
    <field x="4"/>
  </rowFields>
  <rowItems count="42">
    <i>
      <x v="6"/>
    </i>
    <i r="1">
      <x v="2"/>
    </i>
    <i r="1">
      <x v="3"/>
    </i>
    <i>
      <x v="12"/>
    </i>
    <i r="1">
      <x v="2"/>
    </i>
    <i>
      <x v="20"/>
    </i>
    <i r="1">
      <x v="2"/>
    </i>
    <i r="1">
      <x v="3"/>
    </i>
    <i>
      <x v="23"/>
    </i>
    <i r="1">
      <x v="2"/>
    </i>
    <i>
      <x v="46"/>
    </i>
    <i r="1">
      <x v="3"/>
    </i>
    <i>
      <x v="71"/>
    </i>
    <i r="1">
      <x v="2"/>
    </i>
    <i r="1">
      <x v="3"/>
    </i>
    <i>
      <x v="72"/>
    </i>
    <i r="1">
      <x v="2"/>
    </i>
    <i r="1">
      <x v="3"/>
    </i>
    <i>
      <x v="73"/>
    </i>
    <i r="1">
      <x v="2"/>
    </i>
    <i r="1">
      <x v="3"/>
    </i>
    <i>
      <x v="77"/>
    </i>
    <i r="1">
      <x v="3"/>
    </i>
    <i>
      <x v="80"/>
    </i>
    <i r="1">
      <x v="2"/>
    </i>
    <i>
      <x v="83"/>
    </i>
    <i r="1">
      <x v="2"/>
    </i>
    <i r="1">
      <x v="3"/>
    </i>
    <i>
      <x v="94"/>
    </i>
    <i r="1">
      <x v="2"/>
    </i>
    <i r="1">
      <x v="3"/>
    </i>
    <i>
      <x v="102"/>
    </i>
    <i r="1">
      <x v="2"/>
    </i>
    <i r="1">
      <x v="3"/>
    </i>
    <i>
      <x v="103"/>
    </i>
    <i r="1">
      <x v="2"/>
    </i>
    <i r="1">
      <x v="3"/>
    </i>
    <i>
      <x v="104"/>
    </i>
    <i r="1">
      <x v="2"/>
    </i>
    <i>
      <x v="106"/>
    </i>
    <i r="1">
      <x v="2"/>
    </i>
    <i t="grand">
      <x/>
    </i>
  </rowItems>
  <colFields count="1">
    <field x="0"/>
  </colFields>
  <colItems count="15">
    <i>
      <x v="2"/>
    </i>
    <i>
      <x v="6"/>
    </i>
    <i>
      <x v="9"/>
    </i>
    <i>
      <x v="11"/>
    </i>
    <i>
      <x v="14"/>
    </i>
    <i>
      <x v="15"/>
    </i>
    <i>
      <x v="16"/>
    </i>
    <i>
      <x v="19"/>
    </i>
    <i>
      <x v="20"/>
    </i>
    <i>
      <x v="27"/>
    </i>
    <i>
      <x v="30"/>
    </i>
    <i>
      <x v="32"/>
    </i>
    <i>
      <x v="33"/>
    </i>
    <i>
      <x v="34"/>
    </i>
    <i t="grand">
      <x/>
    </i>
  </colItems>
  <dataFields count="1">
    <dataField name="Count Activity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21.xml><?xml version="1.0" encoding="utf-8"?>
<pivotTableDefinition xmlns="http://schemas.openxmlformats.org/spreadsheetml/2006/main" name="PivotTable4" cacheId="27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1:P44" firstHeaderRow="1" firstDataRow="2" firstDataCol="1"/>
  <pivotFields count="11">
    <pivotField axis="axisCol" dataField="1" showAll="0">
      <items count="37">
        <item h="1" x="31"/>
        <item h="1" m="1" x="32"/>
        <item x="0"/>
        <item x="2"/>
        <item x="3"/>
        <item x="6"/>
        <item x="7"/>
        <item x="8"/>
        <item x="9"/>
        <item x="10"/>
        <item x="13"/>
        <item x="14"/>
        <item x="15"/>
        <item x="16"/>
        <item x="17"/>
        <item x="20"/>
        <item x="21"/>
        <item x="22"/>
        <item x="23"/>
        <item x="24"/>
        <item x="27"/>
        <item m="1" x="33"/>
        <item x="29"/>
        <item x="30"/>
        <item x="1"/>
        <item m="1" x="34"/>
        <item x="5"/>
        <item x="11"/>
        <item m="1" x="35"/>
        <item x="18"/>
        <item x="19"/>
        <item x="25"/>
        <item x="26"/>
        <item x="4"/>
        <item x="12"/>
        <item x="28"/>
        <item t="default"/>
      </items>
    </pivotField>
    <pivotField axis="axisRow" showAll="0">
      <items count="10">
        <item x="6"/>
        <item x="3"/>
        <item x="5"/>
        <item x="2"/>
        <item x="1"/>
        <item x="0"/>
        <item x="4"/>
        <item m="1" x="7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2">
        <item h="1" x="17"/>
        <item h="1" x="0"/>
        <item h="1" m="1" x="26"/>
        <item m="1" x="85"/>
        <item m="1" x="76"/>
        <item m="1" x="23"/>
        <item x="2"/>
        <item m="1" x="95"/>
        <item m="1" x="25"/>
        <item m="1" x="29"/>
        <item m="1" x="54"/>
        <item m="1" x="32"/>
        <item x="4"/>
        <item m="1" x="47"/>
        <item m="1" x="96"/>
        <item m="1" x="53"/>
        <item m="1" x="68"/>
        <item m="1" x="89"/>
        <item m="1" x="77"/>
        <item m="1" x="93"/>
        <item x="8"/>
        <item m="1" x="59"/>
        <item m="1" x="40"/>
        <item x="3"/>
        <item m="1" x="88"/>
        <item m="1" x="71"/>
        <item m="1" x="98"/>
        <item m="1" x="78"/>
        <item m="1" x="86"/>
        <item m="1" x="101"/>
        <item m="1" x="52"/>
        <item m="1" x="48"/>
        <item m="1" x="61"/>
        <item m="1" x="57"/>
        <item m="1" x="22"/>
        <item m="1" x="34"/>
        <item m="1" x="24"/>
        <item m="1" x="31"/>
        <item m="1" x="107"/>
        <item m="1" x="103"/>
        <item m="1" x="97"/>
        <item m="1" x="104"/>
        <item m="1" x="99"/>
        <item m="1" x="36"/>
        <item m="1" x="84"/>
        <item m="1" x="56"/>
        <item x="15"/>
        <item m="1" x="90"/>
        <item m="1" x="28"/>
        <item m="1" x="91"/>
        <item m="1" x="27"/>
        <item m="1" x="106"/>
        <item m="1" x="65"/>
        <item m="1" x="49"/>
        <item m="1" x="69"/>
        <item m="1" x="58"/>
        <item m="1" x="55"/>
        <item m="1" x="42"/>
        <item m="1" x="20"/>
        <item m="1" x="87"/>
        <item m="1" x="19"/>
        <item m="1" x="81"/>
        <item m="1" x="110"/>
        <item m="1" x="79"/>
        <item m="1" x="66"/>
        <item m="1" x="73"/>
        <item m="1" x="46"/>
        <item m="1" x="108"/>
        <item m="1" x="80"/>
        <item m="1" x="109"/>
        <item m="1" x="62"/>
        <item x="7"/>
        <item x="12"/>
        <item x="5"/>
        <item m="1" x="70"/>
        <item m="1" x="44"/>
        <item n="Prosthesis" m="1" x="43"/>
        <item x="16"/>
        <item m="1" x="72"/>
        <item m="1" x="38"/>
        <item x="6"/>
        <item n="Gentle Exercise" m="1" x="35"/>
        <item m="1" x="67"/>
        <item x="1"/>
        <item m="1" x="21"/>
        <item m="1" x="39"/>
        <item m="1" x="50"/>
        <item m="1" x="41"/>
        <item n="Bereavement Course" m="1" x="18"/>
        <item m="1" x="45"/>
        <item m="1" x="75"/>
        <item m="1" x="64"/>
        <item m="1" x="83"/>
        <item m="1" x="105"/>
        <item x="14"/>
        <item m="1" x="63"/>
        <item n="Auricular Acupuncture" m="1" x="94"/>
        <item m="1" x="92"/>
        <item m="1" x="30"/>
        <item m="1" x="33"/>
        <item m="1" x="102"/>
        <item m="1" x="60"/>
        <item x="10"/>
        <item x="13"/>
        <item x="9"/>
        <item n="Talking Heads; Managing Hair Loss" m="1" x="37"/>
        <item x="11"/>
        <item n="Prosthesis2" m="1" x="74"/>
        <item m="1" x="100"/>
        <item n="Auricular Acupuncture2" m="1" x="51"/>
        <item m="1" x="82"/>
        <item t="default"/>
      </items>
    </pivotField>
  </pivotFields>
  <rowFields count="2">
    <field x="10"/>
    <field x="1"/>
  </rowFields>
  <rowItems count="42">
    <i>
      <x v="6"/>
    </i>
    <i r="1">
      <x v="6"/>
    </i>
    <i>
      <x v="12"/>
    </i>
    <i r="1">
      <x v="3"/>
    </i>
    <i>
      <x v="20"/>
    </i>
    <i r="1">
      <x v="4"/>
    </i>
    <i r="1">
      <x v="5"/>
    </i>
    <i>
      <x v="23"/>
    </i>
    <i r="1">
      <x v="3"/>
    </i>
    <i>
      <x v="46"/>
    </i>
    <i r="1">
      <x v="6"/>
    </i>
    <i>
      <x v="71"/>
    </i>
    <i r="1">
      <x v="3"/>
    </i>
    <i r="1">
      <x v="4"/>
    </i>
    <i r="1">
      <x v="5"/>
    </i>
    <i r="1">
      <x v="6"/>
    </i>
    <i>
      <x v="72"/>
    </i>
    <i r="1">
      <x v="5"/>
    </i>
    <i r="1">
      <x v="6"/>
    </i>
    <i>
      <x v="73"/>
    </i>
    <i r="1">
      <x v="5"/>
    </i>
    <i>
      <x v="77"/>
    </i>
    <i r="1">
      <x v="6"/>
    </i>
    <i>
      <x v="80"/>
    </i>
    <i r="1">
      <x v="5"/>
    </i>
    <i>
      <x v="83"/>
    </i>
    <i r="1">
      <x v="3"/>
    </i>
    <i r="1">
      <x v="4"/>
    </i>
    <i>
      <x v="94"/>
    </i>
    <i r="1">
      <x v="4"/>
    </i>
    <i r="1">
      <x v="6"/>
    </i>
    <i>
      <x v="102"/>
    </i>
    <i r="1">
      <x v="4"/>
    </i>
    <i r="1">
      <x v="5"/>
    </i>
    <i>
      <x v="103"/>
    </i>
    <i r="1">
      <x v="3"/>
    </i>
    <i r="1">
      <x v="4"/>
    </i>
    <i>
      <x v="104"/>
    </i>
    <i r="1">
      <x v="3"/>
    </i>
    <i>
      <x v="106"/>
    </i>
    <i r="1">
      <x v="5"/>
    </i>
    <i t="grand">
      <x/>
    </i>
  </rowItems>
  <colFields count="1">
    <field x="0"/>
  </colFields>
  <colItems count="15">
    <i>
      <x v="2"/>
    </i>
    <i>
      <x v="6"/>
    </i>
    <i>
      <x v="9"/>
    </i>
    <i>
      <x v="11"/>
    </i>
    <i>
      <x v="14"/>
    </i>
    <i>
      <x v="15"/>
    </i>
    <i>
      <x v="16"/>
    </i>
    <i>
      <x v="19"/>
    </i>
    <i>
      <x v="20"/>
    </i>
    <i>
      <x v="27"/>
    </i>
    <i>
      <x v="30"/>
    </i>
    <i>
      <x v="32"/>
    </i>
    <i>
      <x v="33"/>
    </i>
    <i>
      <x v="34"/>
    </i>
    <i t="grand">
      <x/>
    </i>
  </colItems>
  <dataFields count="1">
    <dataField name="Count Activity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22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3:W18" firstHeaderRow="1" firstDataRow="2" firstDataCol="1"/>
  <pivotFields count="11">
    <pivotField axis="axisCol" dataField="1" showAll="0" sortType="ascending">
      <items count="37">
        <item h="1" x="31"/>
        <item x="8"/>
        <item x="7"/>
        <item x="6"/>
        <item x="5"/>
        <item m="1" x="34"/>
        <item x="3"/>
        <item x="2"/>
        <item x="30"/>
        <item x="29"/>
        <item x="1"/>
        <item m="1" x="33"/>
        <item x="27"/>
        <item x="26"/>
        <item x="25"/>
        <item x="24"/>
        <item x="23"/>
        <item x="22"/>
        <item x="21"/>
        <item x="20"/>
        <item x="19"/>
        <item x="0"/>
        <item x="18"/>
        <item x="17"/>
        <item x="16"/>
        <item x="15"/>
        <item x="14"/>
        <item x="13"/>
        <item m="1" x="35"/>
        <item x="11"/>
        <item x="10"/>
        <item x="9"/>
        <item h="1" m="1" x="32"/>
        <item x="4"/>
        <item x="12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0">
        <item h="1" x="3"/>
        <item h="1" x="5"/>
        <item h="1" x="4"/>
        <item h="1" x="2"/>
        <item x="1"/>
        <item h="1" x="0"/>
        <item h="1" x="6"/>
        <item h="1" m="1" x="7"/>
        <item h="1" m="1" x="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5">
        <item n="Blank" sd="0" x="2"/>
        <item x="21"/>
        <item m="1" x="103"/>
        <item sd="0" m="1" x="111"/>
        <item sd="0" m="1" x="48"/>
        <item m="1" x="76"/>
        <item sd="0" m="1" x="92"/>
        <item m="1" x="38"/>
        <item m="1" x="59"/>
        <item m="1" x="65"/>
        <item m="1" x="35"/>
        <item m="1" x="36"/>
        <item sd="0" x="5"/>
        <item sd="0" x="3"/>
        <item m="1" x="105"/>
        <item m="1" x="60"/>
        <item x="30"/>
        <item m="1" x="67"/>
        <item x="20"/>
        <item x="26"/>
        <item m="1" x="88"/>
        <item x="8"/>
        <item m="1" x="106"/>
        <item m="1" x="63"/>
        <item m="1" x="96"/>
        <item m="1" x="97"/>
        <item m="1" x="71"/>
        <item x="29"/>
        <item m="1" x="70"/>
        <item m="1" x="68"/>
        <item m="1" x="39"/>
        <item m="1" x="86"/>
        <item x="6"/>
        <item m="1" x="41"/>
        <item m="1" x="44"/>
        <item x="12"/>
        <item m="1" x="101"/>
        <item m="1" x="64"/>
        <item m="1" x="79"/>
        <item m="1" x="87"/>
        <item m="1" x="99"/>
        <item x="15"/>
        <item m="1" x="51"/>
        <item m="1" x="73"/>
        <item m="1" x="95"/>
        <item m="1" x="82"/>
        <item x="13"/>
        <item m="1" x="45"/>
        <item m="1" x="43"/>
        <item m="1" x="102"/>
        <item m="1" x="108"/>
        <item m="1" x="91"/>
        <item m="1" x="40"/>
        <item m="1" x="110"/>
        <item m="1" x="61"/>
        <item m="1" x="80"/>
        <item m="1" x="69"/>
        <item m="1" x="66"/>
        <item m="1" x="53"/>
        <item m="1" x="33"/>
        <item m="1" x="94"/>
        <item m="1" x="32"/>
        <item m="1" x="90"/>
        <item m="1" x="113"/>
        <item m="1" x="77"/>
        <item m="1" x="74"/>
        <item n="Prosthesis" m="1" x="54"/>
        <item m="1" x="98"/>
        <item m="1" x="81"/>
        <item x="16"/>
        <item n="Bereavement Course" m="1" x="31"/>
        <item m="1" x="56"/>
        <item x="22"/>
        <item m="1" x="78"/>
        <item m="1" x="109"/>
        <item x="10"/>
        <item m="1" x="52"/>
        <item m="1" x="75"/>
        <item m="1" x="58"/>
        <item n="Auricular Acupuncture" m="1" x="100"/>
        <item m="1" x="50"/>
        <item m="1" x="107"/>
        <item m="1" x="89"/>
        <item x="1"/>
        <item x="11"/>
        <item m="1" x="112"/>
        <item m="1" x="85"/>
        <item m="1" x="34"/>
        <item x="4"/>
        <item x="23"/>
        <item m="1" x="55"/>
        <item n="Talking Heads; Managing Hair Loss" m="1" x="49"/>
        <item x="7"/>
        <item x="19"/>
        <item x="24"/>
        <item x="14"/>
        <item m="1" x="72"/>
        <item x="18"/>
        <item n="Gentle Exercise" m="1" x="46"/>
        <item x="25"/>
        <item x="9"/>
        <item m="1" x="83"/>
        <item m="1" x="57"/>
        <item m="1" x="47"/>
        <item x="17"/>
        <item m="1" x="42"/>
        <item x="0"/>
        <item n="Prosthesis2" m="1" x="84"/>
        <item n="Auricular Acupuncture2" m="1" x="62"/>
        <item n="Talking Heads; Managing Hair Loss2" x="28"/>
        <item n="Gentle Exercise2" x="27"/>
        <item n="Bereavement Course2" m="1" x="104"/>
        <item m="1" x="37"/>
        <item m="1" x="93"/>
        <item t="default"/>
      </items>
    </pivotField>
    <pivotField showAll="0"/>
    <pivotField showAll="0"/>
  </pivotFields>
  <rowFields count="2">
    <field x="1"/>
    <field x="8"/>
  </rowFields>
  <rowItems count="14">
    <i>
      <x v="4"/>
    </i>
    <i r="1">
      <x/>
    </i>
    <i r="1">
      <x v="1"/>
    </i>
    <i r="1">
      <x v="12"/>
    </i>
    <i r="1">
      <x v="13"/>
    </i>
    <i r="1">
      <x v="21"/>
    </i>
    <i r="1">
      <x v="32"/>
    </i>
    <i r="1">
      <x v="46"/>
    </i>
    <i r="1">
      <x v="75"/>
    </i>
    <i r="1">
      <x v="83"/>
    </i>
    <i r="1">
      <x v="84"/>
    </i>
    <i r="1">
      <x v="92"/>
    </i>
    <i r="1">
      <x v="95"/>
    </i>
    <i t="grand">
      <x/>
    </i>
  </rowItems>
  <colFields count="1">
    <field x="0"/>
  </colFields>
  <colItems count="21">
    <i>
      <x v="27"/>
    </i>
    <i>
      <x v="13"/>
    </i>
    <i>
      <x v="21"/>
    </i>
    <i>
      <x v="2"/>
    </i>
    <i>
      <x v="12"/>
    </i>
    <i>
      <x v="4"/>
    </i>
    <i>
      <x v="3"/>
    </i>
    <i>
      <x v="29"/>
    </i>
    <i>
      <x v="26"/>
    </i>
    <i>
      <x v="34"/>
    </i>
    <i>
      <x v="6"/>
    </i>
    <i>
      <x v="23"/>
    </i>
    <i>
      <x v="33"/>
    </i>
    <i>
      <x v="35"/>
    </i>
    <i>
      <x v="20"/>
    </i>
    <i>
      <x v="14"/>
    </i>
    <i>
      <x v="30"/>
    </i>
    <i>
      <x v="22"/>
    </i>
    <i>
      <x v="15"/>
    </i>
    <i>
      <x v="18"/>
    </i>
    <i t="grand">
      <x/>
    </i>
  </colItems>
  <dataFields count="1">
    <dataField name="Count of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2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100:W115" firstHeaderRow="1" firstDataRow="2" firstDataCol="1"/>
  <pivotFields count="11">
    <pivotField axis="axisCol" dataField="1" showAll="0">
      <items count="37">
        <item m="1" x="32"/>
        <item x="9"/>
        <item x="10"/>
        <item x="11"/>
        <item m="1" x="35"/>
        <item x="13"/>
        <item x="14"/>
        <item x="15"/>
        <item x="16"/>
        <item x="17"/>
        <item x="18"/>
        <item x="0"/>
        <item x="19"/>
        <item x="20"/>
        <item x="21"/>
        <item x="22"/>
        <item x="23"/>
        <item x="24"/>
        <item x="25"/>
        <item x="26"/>
        <item x="27"/>
        <item m="1" x="33"/>
        <item x="1"/>
        <item x="29"/>
        <item x="30"/>
        <item x="2"/>
        <item x="3"/>
        <item m="1" x="34"/>
        <item x="5"/>
        <item x="6"/>
        <item x="7"/>
        <item x="8"/>
        <item x="31"/>
        <item x="4"/>
        <item x="12"/>
        <item x="28"/>
        <item t="default"/>
      </items>
    </pivotField>
    <pivotField axis="axisRow" multipleItemSelectionAllowed="1" showAll="0">
      <items count="10">
        <item h="1" x="3"/>
        <item h="1" x="5"/>
        <item h="1" x="4"/>
        <item h="1" x="2"/>
        <item x="1"/>
        <item h="1" x="0"/>
        <item h="1" x="6"/>
        <item h="1" m="1" x="7"/>
        <item h="1"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includeNewItemsInFilter="1">
      <items count="117">
        <item sd="0" x="0"/>
        <item x="22"/>
        <item m="1" x="98"/>
        <item m="1" x="101"/>
        <item m="1" x="104"/>
        <item m="1" x="56"/>
        <item m="1" x="31"/>
        <item m="1" x="89"/>
        <item m="1" x="80"/>
        <item m="1" x="28"/>
        <item x="5"/>
        <item m="1" x="99"/>
        <item m="1" x="30"/>
        <item m="1" x="34"/>
        <item m="1" x="61"/>
        <item m="1" x="36"/>
        <item x="21"/>
        <item m="1" x="55"/>
        <item x="12"/>
        <item m="1" x="60"/>
        <item x="6"/>
        <item m="1" x="92"/>
        <item m="1" x="81"/>
        <item m="1" x="96"/>
        <item x="11"/>
        <item m="1" x="66"/>
        <item x="17"/>
        <item m="1" x="70"/>
        <item m="1" x="91"/>
        <item m="1" x="76"/>
        <item m="1" x="82"/>
        <item x="14"/>
        <item m="1" x="58"/>
        <item m="1" x="68"/>
        <item m="1" x="64"/>
        <item m="1" x="27"/>
        <item m="1" x="38"/>
        <item m="1" x="29"/>
        <item m="1" x="35"/>
        <item m="1" x="112"/>
        <item m="1" x="106"/>
        <item m="1" x="100"/>
        <item m="1" x="108"/>
        <item m="1" x="102"/>
        <item m="1" x="42"/>
        <item m="1" x="88"/>
        <item m="1" x="63"/>
        <item m="1" x="93"/>
        <item m="1" x="33"/>
        <item m="1" x="94"/>
        <item m="1" x="32"/>
        <item m="1" x="111"/>
        <item m="1" x="71"/>
        <item m="1" x="57"/>
        <item m="1" x="74"/>
        <item m="1" x="65"/>
        <item m="1" x="62"/>
        <item m="1" x="47"/>
        <item m="1" x="25"/>
        <item m="1" x="90"/>
        <item m="1" x="24"/>
        <item m="1" x="86"/>
        <item m="1" x="115"/>
        <item m="1" x="83"/>
        <item m="1" x="72"/>
        <item m="1" x="67"/>
        <item m="1" x="59"/>
        <item m="1" x="52"/>
        <item m="1" x="79"/>
        <item x="9"/>
        <item m="1" x="114"/>
        <item n="Prosthesis" m="1" x="48"/>
        <item n="Bereavement Course" m="1" x="23"/>
        <item x="2"/>
        <item m="1" x="45"/>
        <item x="19"/>
        <item m="1" x="44"/>
        <item m="1" x="77"/>
        <item n="Gentle Exercise" m="1" x="40"/>
        <item m="1" x="110"/>
        <item x="18"/>
        <item x="15"/>
        <item m="1" x="51"/>
        <item m="1" x="107"/>
        <item x="7"/>
        <item m="1" x="50"/>
        <item n="Auricular Acupuncture" m="1" x="97"/>
        <item m="1" x="37"/>
        <item m="1" x="53"/>
        <item m="1" x="75"/>
        <item m="1" x="109"/>
        <item m="1" x="26"/>
        <item x="8"/>
        <item x="4"/>
        <item x="3"/>
        <item m="1" x="84"/>
        <item x="1"/>
        <item m="1" x="54"/>
        <item m="1" x="69"/>
        <item m="1" x="73"/>
        <item m="1" x="41"/>
        <item x="16"/>
        <item m="1" x="46"/>
        <item n="Talking Heads; Managing Hair Loss" m="1" x="43"/>
        <item m="1" x="85"/>
        <item m="1" x="95"/>
        <item x="13"/>
        <item m="1" x="113"/>
        <item m="1" x="49"/>
        <item x="20"/>
        <item m="1" x="87"/>
        <item m="1" x="78"/>
        <item m="1" x="103"/>
        <item m="1" x="39"/>
        <item x="10"/>
        <item m="1" x="105"/>
        <item t="default"/>
      </items>
    </pivotField>
    <pivotField showAll="0"/>
  </pivotFields>
  <rowFields count="2">
    <field x="1"/>
    <field x="9"/>
  </rowFields>
  <rowItems count="14">
    <i>
      <x v="4"/>
    </i>
    <i r="1">
      <x/>
    </i>
    <i r="1">
      <x v="16"/>
    </i>
    <i r="1">
      <x v="18"/>
    </i>
    <i r="1">
      <x v="24"/>
    </i>
    <i r="1">
      <x v="26"/>
    </i>
    <i r="1">
      <x v="31"/>
    </i>
    <i r="1">
      <x v="69"/>
    </i>
    <i r="1">
      <x v="84"/>
    </i>
    <i r="1">
      <x v="94"/>
    </i>
    <i r="1">
      <x v="96"/>
    </i>
    <i r="1">
      <x v="101"/>
    </i>
    <i r="1">
      <x v="106"/>
    </i>
    <i t="grand">
      <x/>
    </i>
  </rowItems>
  <colFields count="1">
    <field x="0"/>
  </colFields>
  <colItems count="21">
    <i>
      <x v="2"/>
    </i>
    <i>
      <x v="3"/>
    </i>
    <i>
      <x v="5"/>
    </i>
    <i>
      <x v="6"/>
    </i>
    <i>
      <x v="9"/>
    </i>
    <i>
      <x v="10"/>
    </i>
    <i>
      <x v="11"/>
    </i>
    <i>
      <x v="12"/>
    </i>
    <i>
      <x v="14"/>
    </i>
    <i>
      <x v="17"/>
    </i>
    <i>
      <x v="18"/>
    </i>
    <i>
      <x v="19"/>
    </i>
    <i>
      <x v="20"/>
    </i>
    <i>
      <x v="26"/>
    </i>
    <i>
      <x v="28"/>
    </i>
    <i>
      <x v="29"/>
    </i>
    <i>
      <x v="30"/>
    </i>
    <i>
      <x v="33"/>
    </i>
    <i>
      <x v="34"/>
    </i>
    <i>
      <x v="35"/>
    </i>
    <i t="grand">
      <x/>
    </i>
  </colItems>
  <dataFields count="1">
    <dataField name="Count of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3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300:W310" firstHeaderRow="1" firstDataRow="2" firstDataCol="1"/>
  <pivotFields count="11">
    <pivotField axis="axisCol" dataField="1" showAll="0">
      <items count="37">
        <item m="1" x="32"/>
        <item x="9"/>
        <item x="10"/>
        <item x="11"/>
        <item m="1" x="35"/>
        <item x="13"/>
        <item x="14"/>
        <item x="15"/>
        <item x="16"/>
        <item x="17"/>
        <item x="18"/>
        <item x="0"/>
        <item x="19"/>
        <item x="20"/>
        <item x="21"/>
        <item x="22"/>
        <item x="23"/>
        <item x="24"/>
        <item x="25"/>
        <item x="26"/>
        <item x="27"/>
        <item m="1" x="33"/>
        <item x="1"/>
        <item x="29"/>
        <item x="30"/>
        <item x="2"/>
        <item x="3"/>
        <item m="1" x="34"/>
        <item x="5"/>
        <item x="6"/>
        <item x="7"/>
        <item x="8"/>
        <item x="31"/>
        <item x="4"/>
        <item x="12"/>
        <item x="28"/>
        <item t="default"/>
      </items>
    </pivotField>
    <pivotField axis="axisRow" multipleItemSelectionAllowed="1" showAll="0">
      <items count="10">
        <item h="1" x="3"/>
        <item h="1" x="5"/>
        <item h="1" x="4"/>
        <item h="1" x="2"/>
        <item x="1"/>
        <item h="1" x="0"/>
        <item h="1" x="6"/>
        <item h="1" m="1" x="7"/>
        <item h="1"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includeNewItemsInFilter="1"/>
    <pivotField axis="axisRow" showAll="0">
      <items count="112">
        <item x="0"/>
        <item x="17"/>
        <item m="1" x="26"/>
        <item m="1" x="85"/>
        <item m="1" x="76"/>
        <item m="1" x="23"/>
        <item x="2"/>
        <item m="1" x="95"/>
        <item m="1" x="25"/>
        <item m="1" x="29"/>
        <item m="1" x="54"/>
        <item m="1" x="32"/>
        <item x="4"/>
        <item m="1" x="47"/>
        <item m="1" x="96"/>
        <item m="1" x="53"/>
        <item m="1" x="68"/>
        <item m="1" x="89"/>
        <item m="1" x="77"/>
        <item m="1" x="93"/>
        <item x="8"/>
        <item m="1" x="59"/>
        <item m="1" x="40"/>
        <item x="3"/>
        <item m="1" x="88"/>
        <item m="1" x="71"/>
        <item m="1" x="98"/>
        <item m="1" x="78"/>
        <item m="1" x="86"/>
        <item m="1" x="101"/>
        <item m="1" x="52"/>
        <item m="1" x="48"/>
        <item m="1" x="61"/>
        <item m="1" x="57"/>
        <item m="1" x="22"/>
        <item m="1" x="34"/>
        <item m="1" x="24"/>
        <item m="1" x="31"/>
        <item m="1" x="107"/>
        <item m="1" x="103"/>
        <item m="1" x="97"/>
        <item m="1" x="104"/>
        <item m="1" x="99"/>
        <item m="1" x="36"/>
        <item m="1" x="84"/>
        <item m="1" x="56"/>
        <item x="15"/>
        <item m="1" x="90"/>
        <item m="1" x="28"/>
        <item m="1" x="91"/>
        <item m="1" x="27"/>
        <item m="1" x="106"/>
        <item m="1" x="65"/>
        <item m="1" x="49"/>
        <item m="1" x="69"/>
        <item m="1" x="58"/>
        <item m="1" x="55"/>
        <item m="1" x="42"/>
        <item m="1" x="20"/>
        <item m="1" x="87"/>
        <item m="1" x="19"/>
        <item m="1" x="81"/>
        <item m="1" x="110"/>
        <item m="1" x="79"/>
        <item m="1" x="66"/>
        <item m="1" x="73"/>
        <item m="1" x="46"/>
        <item m="1" x="108"/>
        <item m="1" x="80"/>
        <item m="1" x="109"/>
        <item m="1" x="62"/>
        <item x="7"/>
        <item x="12"/>
        <item x="5"/>
        <item m="1" x="70"/>
        <item m="1" x="44"/>
        <item n="Prosthesis" m="1" x="43"/>
        <item x="16"/>
        <item m="1" x="72"/>
        <item m="1" x="38"/>
        <item x="6"/>
        <item n="Gentle Exercise" m="1" x="35"/>
        <item m="1" x="67"/>
        <item x="1"/>
        <item m="1" x="21"/>
        <item m="1" x="39"/>
        <item m="1" x="50"/>
        <item m="1" x="41"/>
        <item n="Bereavement Course" m="1" x="18"/>
        <item m="1" x="45"/>
        <item m="1" x="75"/>
        <item m="1" x="64"/>
        <item m="1" x="83"/>
        <item m="1" x="105"/>
        <item x="14"/>
        <item m="1" x="63"/>
        <item n="Auricular Acupuncture" m="1" x="94"/>
        <item m="1" x="92"/>
        <item m="1" x="30"/>
        <item m="1" x="33"/>
        <item m="1" x="102"/>
        <item m="1" x="60"/>
        <item x="10"/>
        <item x="13"/>
        <item x="9"/>
        <item n="Talking Heads; Managing Hair Loss" m="1" x="37"/>
        <item x="11"/>
        <item m="1" x="74"/>
        <item m="1" x="100"/>
        <item m="1" x="51"/>
        <item m="1" x="82"/>
        <item t="default"/>
      </items>
    </pivotField>
  </pivotFields>
  <rowFields count="2">
    <field x="1"/>
    <field x="10"/>
  </rowFields>
  <rowItems count="9">
    <i>
      <x v="4"/>
    </i>
    <i r="1">
      <x/>
    </i>
    <i r="1">
      <x v="20"/>
    </i>
    <i r="1">
      <x v="71"/>
    </i>
    <i r="1">
      <x v="83"/>
    </i>
    <i r="1">
      <x v="94"/>
    </i>
    <i r="1">
      <x v="102"/>
    </i>
    <i r="1">
      <x v="103"/>
    </i>
    <i t="grand">
      <x/>
    </i>
  </rowItems>
  <colFields count="1">
    <field x="0"/>
  </colFields>
  <colItems count="21">
    <i>
      <x v="2"/>
    </i>
    <i>
      <x v="3"/>
    </i>
    <i>
      <x v="5"/>
    </i>
    <i>
      <x v="6"/>
    </i>
    <i>
      <x v="9"/>
    </i>
    <i>
      <x v="10"/>
    </i>
    <i>
      <x v="11"/>
    </i>
    <i>
      <x v="12"/>
    </i>
    <i>
      <x v="14"/>
    </i>
    <i>
      <x v="17"/>
    </i>
    <i>
      <x v="18"/>
    </i>
    <i>
      <x v="19"/>
    </i>
    <i>
      <x v="20"/>
    </i>
    <i>
      <x v="26"/>
    </i>
    <i>
      <x v="28"/>
    </i>
    <i>
      <x v="29"/>
    </i>
    <i>
      <x v="30"/>
    </i>
    <i>
      <x v="33"/>
    </i>
    <i>
      <x v="34"/>
    </i>
    <i>
      <x v="35"/>
    </i>
    <i t="grand">
      <x/>
    </i>
  </colItems>
  <dataFields count="1">
    <dataField name="Count of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pivotTable" Target="../pivotTables/pivotTable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abSelected="1"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30">
        <v>1</v>
      </c>
      <c r="J4" s="30">
        <v>2</v>
      </c>
      <c r="K4" s="30">
        <v>3</v>
      </c>
    </row>
    <row r="5" spans="1:11" x14ac:dyDescent="0.2">
      <c r="A5" s="156"/>
      <c r="B5" s="157" t="s">
        <v>116</v>
      </c>
      <c r="C5" s="157" t="s">
        <v>0</v>
      </c>
      <c r="D5" s="157" t="s">
        <v>177</v>
      </c>
      <c r="E5" s="157" t="s">
        <v>3</v>
      </c>
      <c r="F5" s="157" t="s">
        <v>13</v>
      </c>
      <c r="G5" s="157" t="s">
        <v>155</v>
      </c>
      <c r="H5" s="157" t="s">
        <v>7</v>
      </c>
      <c r="I5" s="157" t="s">
        <v>143</v>
      </c>
      <c r="J5" s="157"/>
      <c r="K5" s="157"/>
    </row>
    <row r="6" spans="1:11" x14ac:dyDescent="0.2">
      <c r="A6" s="156"/>
      <c r="B6" s="158" t="s">
        <v>116</v>
      </c>
      <c r="C6" s="157" t="s">
        <v>1</v>
      </c>
      <c r="D6" s="158" t="s">
        <v>177</v>
      </c>
      <c r="E6" s="157" t="s">
        <v>4</v>
      </c>
      <c r="F6" s="158" t="s">
        <v>13</v>
      </c>
      <c r="G6" s="158" t="s">
        <v>155</v>
      </c>
      <c r="H6" s="158" t="s">
        <v>7</v>
      </c>
      <c r="I6" s="158" t="s">
        <v>143</v>
      </c>
      <c r="J6" s="157"/>
      <c r="K6" s="157"/>
    </row>
    <row r="7" spans="1:11" x14ac:dyDescent="0.2">
      <c r="A7" s="156"/>
      <c r="B7" s="157" t="s">
        <v>114</v>
      </c>
      <c r="C7" s="158" t="s">
        <v>1</v>
      </c>
      <c r="D7" s="158" t="s">
        <v>177</v>
      </c>
      <c r="E7" s="158" t="s">
        <v>4</v>
      </c>
      <c r="F7" s="157" t="s">
        <v>9</v>
      </c>
      <c r="G7" s="158" t="s">
        <v>154</v>
      </c>
      <c r="H7" s="158" t="s">
        <v>7</v>
      </c>
      <c r="I7" s="157" t="s">
        <v>251</v>
      </c>
      <c r="J7" s="157" t="s">
        <v>248</v>
      </c>
      <c r="K7" s="157" t="s">
        <v>136</v>
      </c>
    </row>
    <row r="8" spans="1:11" x14ac:dyDescent="0.2">
      <c r="A8" s="156"/>
      <c r="B8" s="158" t="s">
        <v>114</v>
      </c>
      <c r="C8" s="158" t="s">
        <v>1</v>
      </c>
      <c r="D8" s="158" t="s">
        <v>177</v>
      </c>
      <c r="E8" s="158" t="s">
        <v>3</v>
      </c>
      <c r="F8" s="158" t="s">
        <v>10</v>
      </c>
      <c r="G8" s="158" t="s">
        <v>154</v>
      </c>
      <c r="H8" s="158" t="s">
        <v>7</v>
      </c>
      <c r="I8" s="158" t="s">
        <v>251</v>
      </c>
      <c r="J8" s="157" t="s">
        <v>248</v>
      </c>
      <c r="K8" s="157"/>
    </row>
    <row r="9" spans="1:11" x14ac:dyDescent="0.2">
      <c r="A9" s="156"/>
      <c r="B9" s="158" t="s">
        <v>114</v>
      </c>
      <c r="C9" s="158" t="s">
        <v>0</v>
      </c>
      <c r="D9" s="158" t="s">
        <v>177</v>
      </c>
      <c r="E9" s="158" t="s">
        <v>4</v>
      </c>
      <c r="F9" s="158" t="s">
        <v>13</v>
      </c>
      <c r="G9" s="157" t="s">
        <v>228</v>
      </c>
      <c r="H9" s="158" t="s">
        <v>7</v>
      </c>
      <c r="I9" s="158" t="s">
        <v>251</v>
      </c>
      <c r="J9" s="157" t="s">
        <v>248</v>
      </c>
      <c r="K9" s="157" t="s">
        <v>136</v>
      </c>
    </row>
    <row r="10" spans="1:11" x14ac:dyDescent="0.2">
      <c r="A10" s="156"/>
      <c r="B10" s="158" t="s">
        <v>114</v>
      </c>
      <c r="C10" s="158" t="s">
        <v>0</v>
      </c>
      <c r="D10" s="158" t="s">
        <v>177</v>
      </c>
      <c r="E10" s="158" t="s">
        <v>4</v>
      </c>
      <c r="F10" s="158" t="s">
        <v>10</v>
      </c>
      <c r="G10" s="158" t="s">
        <v>228</v>
      </c>
      <c r="H10" s="158" t="s">
        <v>7</v>
      </c>
      <c r="I10" s="158" t="s">
        <v>251</v>
      </c>
      <c r="J10" s="157" t="s">
        <v>248</v>
      </c>
      <c r="K10" s="157"/>
    </row>
    <row r="11" spans="1:11" x14ac:dyDescent="0.2">
      <c r="A11" s="156"/>
      <c r="B11" s="157" t="s">
        <v>113</v>
      </c>
      <c r="C11" s="158" t="s">
        <v>1</v>
      </c>
      <c r="D11" s="158" t="s">
        <v>177</v>
      </c>
      <c r="E11" s="158" t="s">
        <v>4</v>
      </c>
      <c r="F11" s="158" t="s">
        <v>9</v>
      </c>
      <c r="G11" s="158" t="s">
        <v>158</v>
      </c>
      <c r="H11" s="157" t="s">
        <v>18</v>
      </c>
      <c r="I11" s="157"/>
      <c r="J11" s="157"/>
      <c r="K11" s="157"/>
    </row>
    <row r="12" spans="1:11" x14ac:dyDescent="0.2">
      <c r="A12" s="156"/>
      <c r="B12" s="158" t="s">
        <v>113</v>
      </c>
      <c r="C12" s="158" t="s">
        <v>0</v>
      </c>
      <c r="D12" s="158" t="s">
        <v>177</v>
      </c>
      <c r="E12" s="158" t="s">
        <v>4</v>
      </c>
      <c r="F12" s="158" t="s">
        <v>10</v>
      </c>
      <c r="G12" s="158" t="s">
        <v>156</v>
      </c>
      <c r="H12" s="158" t="s">
        <v>18</v>
      </c>
      <c r="I12" s="157"/>
      <c r="J12" s="157"/>
      <c r="K12" s="157"/>
    </row>
    <row r="13" spans="1:11" x14ac:dyDescent="0.2">
      <c r="A13" s="156"/>
      <c r="B13" s="158" t="s">
        <v>113</v>
      </c>
      <c r="C13" s="158" t="s">
        <v>0</v>
      </c>
      <c r="D13" s="158" t="s">
        <v>177</v>
      </c>
      <c r="E13" s="158" t="s">
        <v>4</v>
      </c>
      <c r="F13" s="158" t="s">
        <v>10</v>
      </c>
      <c r="G13" s="158" t="s">
        <v>228</v>
      </c>
      <c r="H13" s="158" t="s">
        <v>17</v>
      </c>
      <c r="I13" s="157" t="s">
        <v>130</v>
      </c>
      <c r="J13" s="157"/>
      <c r="K13" s="157"/>
    </row>
    <row r="14" spans="1:11" x14ac:dyDescent="0.2">
      <c r="A14" s="156"/>
      <c r="B14" s="158" t="s">
        <v>113</v>
      </c>
      <c r="C14" s="157" t="s">
        <v>202</v>
      </c>
      <c r="D14" s="157"/>
      <c r="E14" s="157"/>
      <c r="F14" s="157"/>
      <c r="G14" s="157"/>
      <c r="H14" s="158"/>
      <c r="I14" s="158"/>
      <c r="J14" s="158"/>
      <c r="K14" s="158"/>
    </row>
    <row r="15" spans="1:11" x14ac:dyDescent="0.2">
      <c r="A15" s="156"/>
      <c r="B15" s="158" t="s">
        <v>113</v>
      </c>
      <c r="C15" s="158" t="s">
        <v>0</v>
      </c>
      <c r="D15" s="158" t="s">
        <v>177</v>
      </c>
      <c r="E15" s="158" t="s">
        <v>3</v>
      </c>
      <c r="F15" s="157" t="s">
        <v>23</v>
      </c>
      <c r="G15" s="158" t="s">
        <v>228</v>
      </c>
      <c r="H15" s="158" t="s">
        <v>159</v>
      </c>
      <c r="I15" s="158"/>
      <c r="J15" s="158"/>
      <c r="K15" s="158"/>
    </row>
    <row r="16" spans="1:11" x14ac:dyDescent="0.2">
      <c r="A16" s="156"/>
      <c r="B16" s="158" t="s">
        <v>113</v>
      </c>
      <c r="C16" s="158" t="s">
        <v>0</v>
      </c>
      <c r="D16" s="158" t="s">
        <v>177</v>
      </c>
      <c r="E16" s="158" t="s">
        <v>3</v>
      </c>
      <c r="F16" s="157" t="s">
        <v>56</v>
      </c>
      <c r="G16" s="158" t="s">
        <v>228</v>
      </c>
      <c r="H16" s="158" t="s">
        <v>159</v>
      </c>
      <c r="I16" s="158"/>
      <c r="J16" s="158"/>
      <c r="K16" s="158"/>
    </row>
    <row r="17" spans="1:11" x14ac:dyDescent="0.2">
      <c r="A17" s="156"/>
      <c r="B17" s="158" t="s">
        <v>114</v>
      </c>
      <c r="C17" s="158" t="s">
        <v>0</v>
      </c>
      <c r="D17" s="158" t="s">
        <v>177</v>
      </c>
      <c r="E17" s="158" t="s">
        <v>3</v>
      </c>
      <c r="F17" s="157" t="s">
        <v>12</v>
      </c>
      <c r="G17" s="158" t="s">
        <v>228</v>
      </c>
      <c r="H17" s="158" t="s">
        <v>17</v>
      </c>
      <c r="I17" s="158" t="s">
        <v>130</v>
      </c>
      <c r="J17" s="157"/>
      <c r="K17" s="157"/>
    </row>
    <row r="18" spans="1:11" x14ac:dyDescent="0.2">
      <c r="A18" s="156"/>
      <c r="B18" s="158" t="s">
        <v>114</v>
      </c>
      <c r="C18" s="158" t="s">
        <v>0</v>
      </c>
      <c r="D18" s="158" t="s">
        <v>177</v>
      </c>
      <c r="E18" s="158" t="s">
        <v>4</v>
      </c>
      <c r="F18" s="158" t="s">
        <v>10</v>
      </c>
      <c r="G18" s="158" t="s">
        <v>228</v>
      </c>
      <c r="H18" s="158" t="s">
        <v>17</v>
      </c>
      <c r="I18" s="158" t="s">
        <v>130</v>
      </c>
      <c r="J18" s="157" t="s">
        <v>248</v>
      </c>
      <c r="K18" s="157" t="s">
        <v>136</v>
      </c>
    </row>
    <row r="19" spans="1:11" x14ac:dyDescent="0.2">
      <c r="A19" s="156"/>
      <c r="B19" s="158" t="s">
        <v>114</v>
      </c>
      <c r="C19" s="158" t="s">
        <v>1</v>
      </c>
      <c r="D19" s="158" t="s">
        <v>177</v>
      </c>
      <c r="E19" s="158" t="s">
        <v>3</v>
      </c>
      <c r="F19" s="157" t="s">
        <v>11</v>
      </c>
      <c r="G19" s="158" t="s">
        <v>158</v>
      </c>
      <c r="H19" s="158" t="s">
        <v>17</v>
      </c>
      <c r="I19" s="158" t="s">
        <v>130</v>
      </c>
      <c r="J19" s="157" t="s">
        <v>248</v>
      </c>
      <c r="K19" s="157" t="s">
        <v>136</v>
      </c>
    </row>
    <row r="20" spans="1:11" x14ac:dyDescent="0.2">
      <c r="A20" s="156"/>
      <c r="B20" s="158" t="s">
        <v>114</v>
      </c>
      <c r="C20" s="158" t="s">
        <v>0</v>
      </c>
      <c r="D20" s="158" t="s">
        <v>177</v>
      </c>
      <c r="E20" s="158" t="s">
        <v>4</v>
      </c>
      <c r="F20" s="158" t="s">
        <v>13</v>
      </c>
      <c r="G20" s="158" t="s">
        <v>156</v>
      </c>
      <c r="H20" s="158" t="s">
        <v>17</v>
      </c>
      <c r="I20" s="158"/>
      <c r="J20" s="158"/>
      <c r="K20" s="158"/>
    </row>
    <row r="21" spans="1:11" x14ac:dyDescent="0.2">
      <c r="A21" s="156"/>
      <c r="B21" s="158" t="s">
        <v>114</v>
      </c>
      <c r="C21" s="158" t="s">
        <v>0</v>
      </c>
      <c r="D21" s="158" t="s">
        <v>177</v>
      </c>
      <c r="E21" s="158" t="s">
        <v>3</v>
      </c>
      <c r="F21" s="157" t="s">
        <v>15</v>
      </c>
      <c r="G21" s="158" t="s">
        <v>156</v>
      </c>
      <c r="H21" s="158" t="s">
        <v>17</v>
      </c>
      <c r="I21" s="158" t="s">
        <v>130</v>
      </c>
      <c r="J21" s="158"/>
      <c r="K21" s="158"/>
    </row>
    <row r="22" spans="1:11" x14ac:dyDescent="0.2">
      <c r="A22" s="156"/>
      <c r="B22" s="158" t="s">
        <v>113</v>
      </c>
      <c r="C22" s="158" t="s">
        <v>0</v>
      </c>
      <c r="D22" s="158" t="s">
        <v>177</v>
      </c>
      <c r="E22" s="158" t="s">
        <v>4</v>
      </c>
      <c r="F22" s="158" t="s">
        <v>9</v>
      </c>
      <c r="G22" s="158" t="s">
        <v>156</v>
      </c>
      <c r="H22" s="158" t="s">
        <v>159</v>
      </c>
      <c r="I22" s="158"/>
      <c r="J22" s="158"/>
      <c r="K22" s="158"/>
    </row>
    <row r="23" spans="1:11" x14ac:dyDescent="0.2">
      <c r="A23" s="156"/>
      <c r="B23" s="158" t="s">
        <v>113</v>
      </c>
      <c r="C23" s="158" t="s">
        <v>1</v>
      </c>
      <c r="D23" s="158" t="s">
        <v>177</v>
      </c>
      <c r="E23" s="158" t="s">
        <v>4</v>
      </c>
      <c r="F23" s="158" t="s">
        <v>9</v>
      </c>
      <c r="G23" s="158" t="s">
        <v>156</v>
      </c>
      <c r="H23" s="158" t="s">
        <v>159</v>
      </c>
      <c r="I23" s="157"/>
      <c r="J23" s="157"/>
      <c r="K23" s="157"/>
    </row>
    <row r="24" spans="1:11" x14ac:dyDescent="0.2">
      <c r="A24" s="156"/>
      <c r="B24" s="158" t="s">
        <v>113</v>
      </c>
      <c r="C24" s="158" t="s">
        <v>1</v>
      </c>
      <c r="D24" s="158" t="s">
        <v>177</v>
      </c>
      <c r="E24" s="158" t="s">
        <v>3</v>
      </c>
      <c r="F24" s="158" t="s">
        <v>9</v>
      </c>
      <c r="G24" s="158" t="s">
        <v>156</v>
      </c>
      <c r="H24" s="158" t="s">
        <v>159</v>
      </c>
      <c r="I24" s="158"/>
      <c r="J24" s="158"/>
      <c r="K24" s="158"/>
    </row>
    <row r="25" spans="1:11" x14ac:dyDescent="0.2">
      <c r="A25" s="156"/>
      <c r="B25" s="158" t="s">
        <v>113</v>
      </c>
      <c r="C25" s="158" t="s">
        <v>0</v>
      </c>
      <c r="D25" s="158" t="s">
        <v>177</v>
      </c>
      <c r="E25" s="158" t="s">
        <v>4</v>
      </c>
      <c r="F25" s="158" t="s">
        <v>11</v>
      </c>
      <c r="G25" s="158" t="s">
        <v>156</v>
      </c>
      <c r="H25" s="158" t="s">
        <v>159</v>
      </c>
      <c r="I25" s="157"/>
      <c r="J25" s="157"/>
      <c r="K25" s="157"/>
    </row>
    <row r="26" spans="1:11" x14ac:dyDescent="0.2">
      <c r="A26" s="156"/>
      <c r="B26" s="158" t="s">
        <v>113</v>
      </c>
      <c r="C26" s="158" t="s">
        <v>1</v>
      </c>
      <c r="D26" s="158" t="s">
        <v>177</v>
      </c>
      <c r="E26" s="158" t="s">
        <v>4</v>
      </c>
      <c r="F26" s="158" t="s">
        <v>11</v>
      </c>
      <c r="G26" s="158" t="s">
        <v>156</v>
      </c>
      <c r="H26" s="158" t="s">
        <v>159</v>
      </c>
      <c r="I26" s="157"/>
      <c r="J26" s="157"/>
      <c r="K26" s="157"/>
    </row>
    <row r="27" spans="1:11" x14ac:dyDescent="0.2">
      <c r="A27" s="156"/>
      <c r="B27" s="158" t="s">
        <v>113</v>
      </c>
      <c r="C27" s="158" t="s">
        <v>1</v>
      </c>
      <c r="D27" s="158" t="s">
        <v>177</v>
      </c>
      <c r="E27" s="158" t="s">
        <v>4</v>
      </c>
      <c r="F27" s="158" t="s">
        <v>56</v>
      </c>
      <c r="G27" s="158" t="s">
        <v>156</v>
      </c>
      <c r="H27" s="158" t="s">
        <v>159</v>
      </c>
      <c r="I27" s="157"/>
      <c r="J27" s="157"/>
      <c r="K27" s="157"/>
    </row>
    <row r="28" spans="1:11" x14ac:dyDescent="0.2">
      <c r="A28" s="156"/>
      <c r="B28" s="158"/>
      <c r="C28" s="158"/>
      <c r="D28" s="158"/>
      <c r="E28" s="158"/>
      <c r="F28" s="158"/>
      <c r="G28" s="158"/>
      <c r="H28" s="158"/>
      <c r="I28" s="157"/>
      <c r="J28" s="157"/>
      <c r="K28" s="157"/>
    </row>
    <row r="29" spans="1:11" x14ac:dyDescent="0.2">
      <c r="A29" s="156"/>
      <c r="B29" s="158"/>
      <c r="C29" s="158"/>
      <c r="D29" s="157"/>
      <c r="E29" s="158"/>
      <c r="F29" s="157"/>
      <c r="G29" s="158"/>
      <c r="H29" s="158"/>
      <c r="I29" s="157"/>
      <c r="J29" s="157"/>
      <c r="K29" s="157"/>
    </row>
    <row r="30" spans="1:11" x14ac:dyDescent="0.2">
      <c r="A30" s="156"/>
      <c r="B30" s="158"/>
      <c r="C30" s="158"/>
      <c r="D30" s="158"/>
      <c r="E30" s="158"/>
      <c r="F30" s="158"/>
      <c r="G30" s="158"/>
      <c r="H30" s="158"/>
      <c r="I30" s="157"/>
      <c r="J30" s="157"/>
      <c r="K30" s="157"/>
    </row>
    <row r="31" spans="1:11" x14ac:dyDescent="0.2">
      <c r="A31" s="156"/>
      <c r="B31" s="158"/>
      <c r="C31" s="158"/>
      <c r="D31" s="158"/>
      <c r="E31" s="158"/>
      <c r="F31" s="158"/>
      <c r="G31" s="158"/>
      <c r="H31" s="158"/>
      <c r="I31" s="157"/>
      <c r="J31" s="157"/>
      <c r="K31" s="157"/>
    </row>
    <row r="32" spans="1:11" x14ac:dyDescent="0.2">
      <c r="A32" s="156"/>
      <c r="B32" s="158"/>
      <c r="C32" s="158"/>
      <c r="D32" s="158"/>
      <c r="E32" s="158"/>
      <c r="F32" s="158"/>
      <c r="G32" s="158"/>
      <c r="H32" s="158"/>
      <c r="I32" s="157"/>
      <c r="J32" s="157"/>
      <c r="K32" s="157"/>
    </row>
    <row r="33" spans="1:11" x14ac:dyDescent="0.2">
      <c r="A33" s="156"/>
      <c r="B33" s="158"/>
      <c r="C33" s="158"/>
      <c r="D33" s="158"/>
      <c r="E33" s="158"/>
      <c r="F33" s="158"/>
      <c r="G33" s="158"/>
      <c r="H33" s="158"/>
      <c r="I33" s="157"/>
      <c r="J33" s="157"/>
      <c r="K33" s="157"/>
    </row>
    <row r="34" spans="1:11" x14ac:dyDescent="0.2">
      <c r="A34" s="156"/>
      <c r="B34" s="158"/>
      <c r="C34" s="158"/>
      <c r="D34" s="158"/>
      <c r="E34" s="158"/>
      <c r="F34" s="158"/>
      <c r="G34" s="158"/>
      <c r="H34" s="158"/>
      <c r="I34" s="157"/>
      <c r="J34" s="157"/>
      <c r="K34" s="157"/>
    </row>
    <row r="35" spans="1:11" x14ac:dyDescent="0.2">
      <c r="A35" s="156"/>
      <c r="B35" s="158"/>
      <c r="C35" s="158"/>
      <c r="D35" s="158"/>
      <c r="E35" s="158"/>
      <c r="F35" s="158"/>
      <c r="G35" s="158"/>
      <c r="H35" s="158"/>
      <c r="I35" s="157"/>
      <c r="J35" s="157"/>
      <c r="K35" s="157"/>
    </row>
    <row r="36" spans="1:11" x14ac:dyDescent="0.2">
      <c r="A36" s="156"/>
      <c r="B36" s="158"/>
      <c r="C36" s="158"/>
      <c r="D36" s="158"/>
      <c r="E36" s="158"/>
      <c r="F36" s="158"/>
      <c r="G36" s="158"/>
      <c r="H36" s="158"/>
      <c r="I36" s="157"/>
      <c r="J36" s="157"/>
      <c r="K36" s="157"/>
    </row>
    <row r="37" spans="1:11" x14ac:dyDescent="0.2">
      <c r="A37" s="156"/>
      <c r="B37" s="158"/>
      <c r="C37" s="158"/>
      <c r="D37" s="158"/>
      <c r="E37" s="158"/>
      <c r="F37" s="158"/>
      <c r="G37" s="158"/>
      <c r="H37" s="158"/>
      <c r="I37" s="157"/>
      <c r="J37" s="157"/>
      <c r="K37" s="157"/>
    </row>
    <row r="38" spans="1:11" x14ac:dyDescent="0.2">
      <c r="A38" s="156"/>
      <c r="B38" s="158"/>
      <c r="C38" s="158"/>
      <c r="D38" s="158"/>
      <c r="E38" s="158"/>
      <c r="F38" s="158"/>
      <c r="G38" s="158"/>
      <c r="H38" s="158"/>
      <c r="I38" s="158"/>
      <c r="J38" s="157"/>
      <c r="K38" s="157"/>
    </row>
    <row r="39" spans="1:11" x14ac:dyDescent="0.2">
      <c r="A39" s="156"/>
      <c r="B39" s="158"/>
      <c r="C39" s="158"/>
      <c r="D39" s="158"/>
      <c r="E39" s="158"/>
      <c r="F39" s="158"/>
      <c r="G39" s="158"/>
      <c r="H39" s="158"/>
      <c r="I39" s="158"/>
      <c r="J39" s="157"/>
      <c r="K39" s="157"/>
    </row>
    <row r="40" spans="1:11" x14ac:dyDescent="0.2">
      <c r="A40" s="156"/>
      <c r="B40" s="158"/>
      <c r="C40" s="158"/>
      <c r="D40" s="158"/>
      <c r="E40" s="158"/>
      <c r="F40" s="158"/>
      <c r="G40" s="158"/>
      <c r="H40" s="158"/>
      <c r="I40" s="158"/>
      <c r="J40" s="157"/>
      <c r="K40" s="157"/>
    </row>
    <row r="41" spans="1:11" x14ac:dyDescent="0.2">
      <c r="A41" s="156"/>
      <c r="B41" s="158"/>
      <c r="C41" s="158"/>
      <c r="D41" s="158"/>
      <c r="E41" s="158"/>
      <c r="F41" s="158"/>
      <c r="G41" s="158"/>
      <c r="H41" s="158"/>
      <c r="I41" s="157"/>
      <c r="J41" s="157"/>
      <c r="K41" s="157"/>
    </row>
    <row r="42" spans="1:11" x14ac:dyDescent="0.2">
      <c r="A42" s="156"/>
      <c r="B42" s="158"/>
      <c r="C42" s="158"/>
      <c r="D42" s="158"/>
      <c r="E42" s="158"/>
      <c r="F42" s="158"/>
      <c r="G42" s="158"/>
      <c r="H42" s="158"/>
      <c r="I42" s="157"/>
      <c r="J42" s="157"/>
      <c r="K42" s="157"/>
    </row>
    <row r="43" spans="1:11" x14ac:dyDescent="0.2">
      <c r="A43" s="156"/>
      <c r="B43" s="158"/>
      <c r="C43" s="158"/>
      <c r="D43" s="158"/>
      <c r="E43" s="158"/>
      <c r="F43" s="158"/>
      <c r="G43" s="158"/>
      <c r="H43" s="158"/>
      <c r="I43" s="157"/>
      <c r="J43" s="157"/>
      <c r="K43" s="157"/>
    </row>
    <row r="44" spans="1:11" x14ac:dyDescent="0.2">
      <c r="A44" s="156"/>
      <c r="B44" s="158"/>
      <c r="C44" s="158"/>
      <c r="D44" s="158"/>
      <c r="E44" s="158"/>
      <c r="F44" s="158"/>
      <c r="G44" s="158"/>
      <c r="H44" s="158"/>
      <c r="I44" s="157"/>
      <c r="J44" s="157"/>
      <c r="K44" s="157"/>
    </row>
    <row r="45" spans="1:11" x14ac:dyDescent="0.2">
      <c r="A45" s="156"/>
      <c r="B45" s="158"/>
      <c r="C45" s="158"/>
      <c r="D45" s="158"/>
      <c r="E45" s="158"/>
      <c r="F45" s="158"/>
      <c r="G45" s="158"/>
      <c r="H45" s="158"/>
      <c r="I45" s="157"/>
      <c r="J45" s="157"/>
      <c r="K45" s="157"/>
    </row>
    <row r="46" spans="1:11" x14ac:dyDescent="0.2">
      <c r="A46" s="156"/>
      <c r="B46" s="158"/>
      <c r="C46" s="158"/>
      <c r="D46" s="158"/>
      <c r="E46" s="158"/>
      <c r="F46" s="158"/>
      <c r="G46" s="158"/>
      <c r="H46" s="158"/>
      <c r="I46" s="157"/>
      <c r="J46" s="157"/>
      <c r="K46" s="157"/>
    </row>
    <row r="47" spans="1:11" x14ac:dyDescent="0.2">
      <c r="A47" s="156"/>
      <c r="B47" s="158"/>
      <c r="C47" s="158"/>
      <c r="D47" s="158"/>
      <c r="E47" s="158"/>
      <c r="F47" s="158"/>
      <c r="G47" s="158"/>
      <c r="H47" s="158"/>
      <c r="I47" s="157"/>
      <c r="J47" s="157"/>
      <c r="K47" s="157"/>
    </row>
    <row r="48" spans="1:11" x14ac:dyDescent="0.2">
      <c r="A48" s="156"/>
      <c r="B48" s="158"/>
      <c r="C48" s="158"/>
      <c r="D48" s="158"/>
      <c r="E48" s="158"/>
      <c r="F48" s="158"/>
      <c r="G48" s="158"/>
      <c r="H48" s="158"/>
      <c r="I48" s="157"/>
      <c r="J48" s="157"/>
      <c r="K48" s="157"/>
    </row>
    <row r="49" spans="1:11" x14ac:dyDescent="0.2">
      <c r="A49" s="156"/>
      <c r="B49" s="158"/>
      <c r="C49" s="158"/>
      <c r="D49" s="158"/>
      <c r="E49" s="158"/>
      <c r="F49" s="158"/>
      <c r="G49" s="158"/>
      <c r="H49" s="158"/>
      <c r="I49" s="157"/>
      <c r="J49" s="157"/>
      <c r="K49" s="157"/>
    </row>
    <row r="50" spans="1:11" x14ac:dyDescent="0.2">
      <c r="A50" s="156"/>
      <c r="B50" s="158"/>
      <c r="C50" s="158"/>
      <c r="D50" s="158"/>
      <c r="E50" s="158"/>
      <c r="F50" s="158"/>
      <c r="G50" s="158"/>
      <c r="H50" s="158"/>
      <c r="I50" s="157"/>
      <c r="J50" s="157"/>
      <c r="K50" s="157"/>
    </row>
    <row r="51" spans="1:11" x14ac:dyDescent="0.2">
      <c r="A51" s="156"/>
      <c r="B51" s="158"/>
      <c r="C51" s="158"/>
      <c r="D51" s="158"/>
      <c r="E51" s="158"/>
      <c r="F51" s="158"/>
      <c r="G51" s="158"/>
      <c r="H51" s="158"/>
      <c r="I51" s="157"/>
      <c r="J51" s="157"/>
      <c r="K51" s="157"/>
    </row>
    <row r="52" spans="1:11" x14ac:dyDescent="0.2">
      <c r="A52" s="156"/>
      <c r="B52" s="158"/>
      <c r="C52" s="158"/>
      <c r="D52" s="158"/>
      <c r="E52" s="158"/>
      <c r="F52" s="158"/>
      <c r="G52" s="158"/>
      <c r="H52" s="158"/>
      <c r="I52" s="157"/>
      <c r="J52" s="157"/>
      <c r="K52" s="157"/>
    </row>
    <row r="53" spans="1:11" x14ac:dyDescent="0.2">
      <c r="A53" s="156"/>
      <c r="B53" s="158"/>
      <c r="C53" s="158"/>
      <c r="D53" s="158"/>
      <c r="E53" s="158"/>
      <c r="F53" s="158"/>
      <c r="G53" s="158"/>
      <c r="H53" s="158"/>
      <c r="I53" s="157"/>
      <c r="J53" s="157"/>
      <c r="K53" s="157"/>
    </row>
    <row r="54" spans="1:11" x14ac:dyDescent="0.2">
      <c r="A54" s="156"/>
      <c r="B54" s="158"/>
      <c r="C54" s="158"/>
      <c r="D54" s="158"/>
      <c r="E54" s="158"/>
      <c r="F54" s="158"/>
      <c r="G54" s="158"/>
      <c r="H54" s="158"/>
      <c r="I54" s="157"/>
      <c r="J54" s="157"/>
      <c r="K54" s="157"/>
    </row>
    <row r="55" spans="1:11" x14ac:dyDescent="0.2">
      <c r="A55" s="156"/>
      <c r="B55" s="158"/>
      <c r="C55" s="158"/>
      <c r="D55" s="158"/>
      <c r="E55" s="158"/>
      <c r="F55" s="158"/>
      <c r="G55" s="158"/>
      <c r="H55" s="158"/>
      <c r="I55" s="157"/>
      <c r="J55" s="157"/>
      <c r="K55" s="157"/>
    </row>
    <row r="56" spans="1:11" x14ac:dyDescent="0.2">
      <c r="A56" s="156"/>
      <c r="B56" s="158"/>
      <c r="C56" s="158"/>
      <c r="D56" s="158"/>
      <c r="E56" s="158"/>
      <c r="F56" s="158"/>
      <c r="G56" s="158"/>
      <c r="H56" s="158"/>
      <c r="I56" s="157"/>
      <c r="J56" s="157"/>
      <c r="K56" s="157"/>
    </row>
    <row r="57" spans="1:11" x14ac:dyDescent="0.2">
      <c r="A57" s="156"/>
      <c r="B57" s="158"/>
      <c r="C57" s="158"/>
      <c r="D57" s="158"/>
      <c r="E57" s="158"/>
      <c r="F57" s="158"/>
      <c r="G57" s="158"/>
      <c r="H57" s="158"/>
      <c r="I57" s="157"/>
      <c r="J57" s="157"/>
      <c r="K57" s="157"/>
    </row>
    <row r="58" spans="1:11" x14ac:dyDescent="0.2">
      <c r="A58" s="156"/>
      <c r="B58" s="158"/>
      <c r="C58" s="158"/>
      <c r="D58" s="158"/>
      <c r="E58" s="158"/>
      <c r="F58" s="158"/>
      <c r="G58" s="158"/>
      <c r="H58" s="158"/>
      <c r="I58" s="157"/>
      <c r="J58" s="157"/>
      <c r="K58" s="157"/>
    </row>
    <row r="59" spans="1:11" x14ac:dyDescent="0.2">
      <c r="A59" s="156"/>
      <c r="B59" s="158"/>
      <c r="C59" s="158"/>
      <c r="D59" s="158"/>
      <c r="E59" s="158"/>
      <c r="F59" s="158"/>
      <c r="G59" s="158"/>
      <c r="H59" s="158"/>
      <c r="I59" s="157"/>
      <c r="J59" s="157"/>
      <c r="K59" s="157"/>
    </row>
    <row r="60" spans="1:11" x14ac:dyDescent="0.2">
      <c r="A60" s="156"/>
      <c r="B60" s="158"/>
      <c r="C60" s="158"/>
      <c r="D60" s="158"/>
      <c r="E60" s="158"/>
      <c r="F60" s="158"/>
      <c r="G60" s="158"/>
      <c r="H60" s="158"/>
      <c r="I60" s="157"/>
      <c r="J60" s="157"/>
      <c r="K60" s="157"/>
    </row>
    <row r="61" spans="1:11" x14ac:dyDescent="0.2">
      <c r="A61" s="156"/>
      <c r="B61" s="158"/>
      <c r="C61" s="158"/>
      <c r="D61" s="158"/>
      <c r="E61" s="158"/>
      <c r="F61" s="158"/>
      <c r="G61" s="158"/>
      <c r="H61" s="158"/>
      <c r="I61" s="157"/>
      <c r="J61" s="157"/>
      <c r="K61" s="157"/>
    </row>
    <row r="62" spans="1:11" x14ac:dyDescent="0.2">
      <c r="A62" s="156"/>
      <c r="B62" s="158"/>
      <c r="C62" s="158"/>
      <c r="D62" s="158"/>
      <c r="E62" s="158"/>
      <c r="F62" s="158"/>
      <c r="G62" s="158"/>
      <c r="H62" s="158"/>
      <c r="I62" s="157"/>
      <c r="J62" s="157"/>
      <c r="K62" s="157"/>
    </row>
    <row r="63" spans="1:11" x14ac:dyDescent="0.2">
      <c r="A63" s="156"/>
      <c r="B63" s="158"/>
      <c r="C63" s="158"/>
      <c r="D63" s="158"/>
      <c r="E63" s="158"/>
      <c r="F63" s="158"/>
      <c r="G63" s="158"/>
      <c r="H63" s="158"/>
      <c r="I63" s="157"/>
      <c r="J63" s="157"/>
      <c r="K63" s="157"/>
    </row>
    <row r="64" spans="1:11" x14ac:dyDescent="0.2">
      <c r="A64" s="156"/>
      <c r="B64" s="158"/>
      <c r="C64" s="158"/>
      <c r="D64" s="158"/>
      <c r="E64" s="158"/>
      <c r="F64" s="158"/>
      <c r="G64" s="158"/>
      <c r="H64" s="158"/>
      <c r="I64" s="157"/>
      <c r="J64" s="157"/>
      <c r="K64" s="157"/>
    </row>
    <row r="65" spans="1:11" x14ac:dyDescent="0.2">
      <c r="A65" s="156"/>
      <c r="B65" s="158"/>
      <c r="C65" s="158"/>
      <c r="D65" s="158"/>
      <c r="E65" s="158"/>
      <c r="F65" s="158"/>
      <c r="G65" s="158"/>
      <c r="H65" s="158"/>
      <c r="I65" s="157"/>
      <c r="J65" s="157"/>
      <c r="K65" s="157"/>
    </row>
    <row r="66" spans="1:11" x14ac:dyDescent="0.2">
      <c r="A66" s="156"/>
      <c r="B66" s="158"/>
      <c r="C66" s="158"/>
      <c r="D66" s="158"/>
      <c r="E66" s="158"/>
      <c r="F66" s="158"/>
      <c r="G66" s="158"/>
      <c r="H66" s="158"/>
      <c r="I66" s="157"/>
      <c r="J66" s="157"/>
      <c r="K66" s="157"/>
    </row>
    <row r="67" spans="1:11" x14ac:dyDescent="0.2">
      <c r="A67" s="156"/>
      <c r="B67" s="158"/>
      <c r="C67" s="158"/>
      <c r="D67" s="158"/>
      <c r="E67" s="158"/>
      <c r="F67" s="158"/>
      <c r="G67" s="158"/>
      <c r="H67" s="158"/>
      <c r="I67" s="157"/>
      <c r="J67" s="157"/>
      <c r="K67" s="157"/>
    </row>
    <row r="68" spans="1:11" x14ac:dyDescent="0.2">
      <c r="A68" s="156"/>
      <c r="B68" s="158"/>
      <c r="C68" s="158"/>
      <c r="D68" s="158"/>
      <c r="E68" s="158"/>
      <c r="F68" s="158"/>
      <c r="G68" s="158"/>
      <c r="H68" s="158"/>
      <c r="I68" s="157"/>
      <c r="J68" s="157"/>
      <c r="K68" s="157"/>
    </row>
    <row r="69" spans="1:11" x14ac:dyDescent="0.2">
      <c r="A69" s="156"/>
      <c r="B69" s="158"/>
      <c r="C69" s="157"/>
      <c r="D69" s="157"/>
      <c r="E69" s="158"/>
      <c r="F69" s="157"/>
      <c r="G69" s="157"/>
      <c r="H69" s="158"/>
      <c r="I69" s="157"/>
      <c r="J69" s="157"/>
      <c r="K69" s="157"/>
    </row>
    <row r="70" spans="1:11" x14ac:dyDescent="0.2">
      <c r="A70" s="156"/>
      <c r="B70" s="158"/>
      <c r="C70" s="157"/>
      <c r="D70" s="157"/>
      <c r="E70" s="158"/>
      <c r="F70" s="158"/>
      <c r="G70" s="157"/>
      <c r="H70" s="158"/>
      <c r="I70" s="157"/>
      <c r="J70" s="157"/>
      <c r="K70" s="157"/>
    </row>
    <row r="71" spans="1:11" x14ac:dyDescent="0.2">
      <c r="A71" s="156"/>
      <c r="B71" s="157"/>
      <c r="C71" s="157"/>
      <c r="D71" s="157"/>
      <c r="E71" s="158"/>
      <c r="F71" s="158"/>
      <c r="G71" s="158"/>
      <c r="H71" s="157"/>
      <c r="I71" s="157"/>
      <c r="J71" s="157"/>
      <c r="K71" s="157"/>
    </row>
    <row r="72" spans="1:11" x14ac:dyDescent="0.2">
      <c r="A72" s="156"/>
      <c r="B72" s="158"/>
      <c r="C72" s="157"/>
      <c r="D72" s="157"/>
      <c r="E72" s="158"/>
      <c r="F72" s="157"/>
      <c r="G72" s="158"/>
      <c r="H72" s="158"/>
      <c r="I72" s="157"/>
      <c r="J72" s="157"/>
      <c r="K72" s="157"/>
    </row>
    <row r="73" spans="1:11" x14ac:dyDescent="0.2">
      <c r="A73" s="156"/>
      <c r="B73" s="157"/>
      <c r="C73" s="157"/>
      <c r="D73" s="157"/>
      <c r="E73" s="158"/>
      <c r="F73" s="157"/>
      <c r="G73" s="157"/>
      <c r="H73" s="158"/>
      <c r="I73" s="157"/>
      <c r="J73" s="157"/>
      <c r="K73" s="157"/>
    </row>
    <row r="74" spans="1:11" x14ac:dyDescent="0.2">
      <c r="A74" s="156"/>
      <c r="B74" s="157"/>
      <c r="C74" s="157"/>
      <c r="D74" s="157"/>
      <c r="E74" s="158"/>
      <c r="F74" s="157"/>
      <c r="G74" s="157"/>
      <c r="H74" s="158"/>
      <c r="I74" s="157"/>
      <c r="J74" s="157"/>
      <c r="K74" s="157"/>
    </row>
    <row r="75" spans="1:11" x14ac:dyDescent="0.2">
      <c r="A75" s="156"/>
      <c r="B75" s="158"/>
      <c r="C75" s="157"/>
      <c r="D75" s="157"/>
      <c r="E75" s="158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F3:F4"/>
    <mergeCell ref="G3:G4"/>
    <mergeCell ref="B3:B4"/>
    <mergeCell ref="C3:C4"/>
    <mergeCell ref="D3:D4"/>
    <mergeCell ref="E3:E4"/>
  </mergeCells>
  <dataValidations count="8">
    <dataValidation type="list" allowBlank="1" showInputMessage="1" showErrorMessage="1" sqref="I5:K254">
      <formula1>ValidProgramme</formula1>
    </dataValidation>
    <dataValidation type="list" showInputMessage="1" showErrorMessage="1" sqref="C5:C254">
      <formula1>ValidPerson</formula1>
    </dataValidation>
    <dataValidation type="list" showInputMessage="1" showErrorMessage="1" sqref="D5:D254">
      <formula1>ValidType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H5:H254">
      <formula1>ValidReason</formula1>
    </dataValidation>
    <dataValidation type="list" showInputMessage="1" showErrorMessage="1" sqref="F5:F254">
      <formula1>ValidCancerSite</formula1>
    </dataValidation>
    <dataValidation type="list" allowBlank="1" showInputMessage="1" showErrorMessage="1" sqref="G5:G254">
      <formula1>ValidStage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K255"/>
  <sheetViews>
    <sheetView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/>
      <c r="C5" s="157"/>
      <c r="D5" s="157"/>
      <c r="E5" s="157"/>
      <c r="F5" s="157"/>
      <c r="G5" s="157"/>
      <c r="H5" s="157"/>
      <c r="I5" s="157"/>
      <c r="J5" s="157"/>
      <c r="K5" s="157"/>
    </row>
    <row r="6" spans="1:11" x14ac:dyDescent="0.2">
      <c r="A6" s="156"/>
      <c r="B6" s="158"/>
      <c r="C6" s="157"/>
      <c r="D6" s="157"/>
      <c r="E6" s="157"/>
      <c r="F6" s="157"/>
      <c r="G6" s="157"/>
      <c r="H6" s="158"/>
      <c r="I6" s="157"/>
      <c r="J6" s="157"/>
      <c r="K6" s="157"/>
    </row>
    <row r="7" spans="1:11" x14ac:dyDescent="0.2">
      <c r="A7" s="156"/>
      <c r="B7" s="157"/>
      <c r="C7" s="157"/>
      <c r="D7" s="157"/>
      <c r="E7" s="157"/>
      <c r="F7" s="157"/>
      <c r="G7" s="158"/>
      <c r="H7" s="158"/>
      <c r="I7" s="157"/>
      <c r="J7" s="157"/>
      <c r="K7" s="157"/>
    </row>
    <row r="8" spans="1:11" x14ac:dyDescent="0.2">
      <c r="A8" s="156"/>
      <c r="B8" s="157"/>
      <c r="C8" s="157"/>
      <c r="D8" s="157"/>
      <c r="E8" s="157"/>
      <c r="F8" s="158"/>
      <c r="G8" s="158"/>
      <c r="H8" s="158"/>
      <c r="I8" s="157"/>
      <c r="J8" s="157"/>
      <c r="K8" s="157"/>
    </row>
    <row r="9" spans="1:11" x14ac:dyDescent="0.2">
      <c r="A9" s="156"/>
      <c r="B9" s="158"/>
      <c r="C9" s="157"/>
      <c r="D9" s="157"/>
      <c r="E9" s="157"/>
      <c r="F9" s="157"/>
      <c r="G9" s="157"/>
      <c r="H9" s="158"/>
      <c r="I9" s="157"/>
      <c r="J9" s="157"/>
      <c r="K9" s="157"/>
    </row>
    <row r="10" spans="1:11" x14ac:dyDescent="0.2">
      <c r="A10" s="156"/>
      <c r="B10" s="158"/>
      <c r="C10" s="157"/>
      <c r="D10" s="157"/>
      <c r="E10" s="157"/>
      <c r="F10" s="158"/>
      <c r="G10" s="157"/>
      <c r="H10" s="158"/>
      <c r="I10" s="157"/>
      <c r="J10" s="157"/>
      <c r="K10" s="157"/>
    </row>
    <row r="11" spans="1:11" x14ac:dyDescent="0.2">
      <c r="A11" s="156"/>
      <c r="B11" s="157"/>
      <c r="C11" s="157"/>
      <c r="D11" s="157"/>
      <c r="E11" s="157"/>
      <c r="F11" s="158"/>
      <c r="G11" s="158"/>
      <c r="H11" s="157"/>
      <c r="I11" s="157"/>
      <c r="J11" s="157"/>
      <c r="K11" s="157"/>
    </row>
    <row r="12" spans="1:11" x14ac:dyDescent="0.2">
      <c r="A12" s="156"/>
      <c r="B12" s="158"/>
      <c r="C12" s="157"/>
      <c r="D12" s="157"/>
      <c r="E12" s="157"/>
      <c r="F12" s="157"/>
      <c r="G12" s="158"/>
      <c r="H12" s="158"/>
      <c r="I12" s="157"/>
      <c r="J12" s="157"/>
      <c r="K12" s="157"/>
    </row>
    <row r="13" spans="1:11" x14ac:dyDescent="0.2">
      <c r="A13" s="156"/>
      <c r="B13" s="157"/>
      <c r="C13" s="157"/>
      <c r="D13" s="157"/>
      <c r="E13" s="157"/>
      <c r="F13" s="157"/>
      <c r="G13" s="157"/>
      <c r="H13" s="158"/>
      <c r="I13" s="157"/>
      <c r="J13" s="157"/>
      <c r="K13" s="157"/>
    </row>
    <row r="14" spans="1:11" x14ac:dyDescent="0.2">
      <c r="A14" s="156"/>
      <c r="B14" s="157"/>
      <c r="C14" s="157"/>
      <c r="D14" s="157"/>
      <c r="E14" s="157"/>
      <c r="F14" s="157"/>
      <c r="G14" s="157"/>
      <c r="H14" s="158"/>
      <c r="I14" s="158"/>
      <c r="J14" s="158"/>
      <c r="K14" s="158"/>
    </row>
    <row r="15" spans="1:11" x14ac:dyDescent="0.2">
      <c r="A15" s="156"/>
      <c r="B15" s="158"/>
      <c r="C15" s="157"/>
      <c r="D15" s="157"/>
      <c r="E15" s="157"/>
      <c r="F15" s="157"/>
      <c r="G15" s="158"/>
      <c r="H15" s="158"/>
      <c r="I15" s="158"/>
      <c r="J15" s="158"/>
      <c r="K15" s="158"/>
    </row>
    <row r="16" spans="1:11" x14ac:dyDescent="0.2">
      <c r="A16" s="156"/>
      <c r="B16" s="158"/>
      <c r="C16" s="157"/>
      <c r="D16" s="157"/>
      <c r="E16" s="157"/>
      <c r="F16" s="157"/>
      <c r="G16" s="158"/>
      <c r="H16" s="158"/>
      <c r="I16" s="158"/>
      <c r="J16" s="158"/>
      <c r="K16" s="158"/>
    </row>
    <row r="17" spans="1:11" x14ac:dyDescent="0.2">
      <c r="A17" s="156"/>
      <c r="B17" s="157"/>
      <c r="C17" s="157"/>
      <c r="D17" s="157"/>
      <c r="E17" s="157"/>
      <c r="F17" s="157"/>
      <c r="G17" s="157"/>
      <c r="H17" s="157"/>
      <c r="I17" s="157"/>
      <c r="J17" s="157"/>
      <c r="K17" s="157"/>
    </row>
    <row r="18" spans="1:11" x14ac:dyDescent="0.2">
      <c r="A18" s="156"/>
      <c r="B18" s="158"/>
      <c r="C18" s="157"/>
      <c r="D18" s="157"/>
      <c r="E18" s="157"/>
      <c r="F18" s="157"/>
      <c r="G18" s="157"/>
      <c r="H18" s="158"/>
      <c r="I18" s="158"/>
      <c r="J18" s="158"/>
      <c r="K18" s="158"/>
    </row>
    <row r="19" spans="1:11" x14ac:dyDescent="0.2">
      <c r="A19" s="156"/>
      <c r="B19" s="157"/>
      <c r="C19" s="157"/>
      <c r="D19" s="157"/>
      <c r="E19" s="157"/>
      <c r="F19" s="157"/>
      <c r="G19" s="158"/>
      <c r="H19" s="158"/>
      <c r="I19" s="157"/>
      <c r="J19" s="157"/>
      <c r="K19" s="157"/>
    </row>
    <row r="20" spans="1:11" x14ac:dyDescent="0.2">
      <c r="A20" s="156"/>
      <c r="B20" s="157"/>
      <c r="C20" s="157"/>
      <c r="D20" s="157"/>
      <c r="E20" s="157"/>
      <c r="F20" s="157"/>
      <c r="G20" s="158"/>
      <c r="H20" s="158"/>
      <c r="I20" s="158"/>
      <c r="J20" s="158"/>
      <c r="K20" s="158"/>
    </row>
    <row r="21" spans="1:11" x14ac:dyDescent="0.2">
      <c r="A21" s="156"/>
      <c r="B21" s="158"/>
      <c r="C21" s="157"/>
      <c r="D21" s="157"/>
      <c r="E21" s="157"/>
      <c r="F21" s="157"/>
      <c r="G21" s="157"/>
      <c r="H21" s="158"/>
      <c r="I21" s="158"/>
      <c r="J21" s="158"/>
      <c r="K21" s="158"/>
    </row>
    <row r="22" spans="1:11" x14ac:dyDescent="0.2">
      <c r="A22" s="156"/>
      <c r="B22" s="158"/>
      <c r="C22" s="157"/>
      <c r="D22" s="157"/>
      <c r="E22" s="157"/>
      <c r="F22" s="157"/>
      <c r="G22" s="157"/>
      <c r="H22" s="158"/>
      <c r="I22" s="158"/>
      <c r="J22" s="158"/>
      <c r="K22" s="158"/>
    </row>
    <row r="23" spans="1:11" x14ac:dyDescent="0.2">
      <c r="A23" s="156"/>
      <c r="B23" s="157"/>
      <c r="C23" s="157"/>
      <c r="D23" s="157"/>
      <c r="E23" s="157"/>
      <c r="F23" s="158"/>
      <c r="G23" s="158"/>
      <c r="H23" s="157"/>
      <c r="I23" s="157"/>
      <c r="J23" s="157"/>
      <c r="K23" s="157"/>
    </row>
    <row r="24" spans="1:11" x14ac:dyDescent="0.2">
      <c r="A24" s="156"/>
      <c r="B24" s="158"/>
      <c r="C24" s="157"/>
      <c r="D24" s="157"/>
      <c r="E24" s="157"/>
      <c r="F24" s="157"/>
      <c r="G24" s="158"/>
      <c r="H24" s="158"/>
      <c r="I24" s="158"/>
      <c r="J24" s="158"/>
      <c r="K24" s="158"/>
    </row>
    <row r="25" spans="1:11" x14ac:dyDescent="0.2">
      <c r="A25" s="156"/>
      <c r="B25" s="157"/>
      <c r="C25" s="157"/>
      <c r="D25" s="157"/>
      <c r="E25" s="157"/>
      <c r="F25" s="158"/>
      <c r="G25" s="157"/>
      <c r="H25" s="158"/>
      <c r="I25" s="157"/>
      <c r="J25" s="157"/>
      <c r="K25" s="157"/>
    </row>
    <row r="26" spans="1:11" x14ac:dyDescent="0.2">
      <c r="A26" s="156"/>
      <c r="B26" s="157"/>
      <c r="C26" s="157"/>
      <c r="D26" s="157"/>
      <c r="E26" s="157"/>
      <c r="F26" s="158"/>
      <c r="G26" s="157"/>
      <c r="H26" s="158"/>
      <c r="I26" s="157"/>
      <c r="J26" s="157"/>
      <c r="K26" s="157"/>
    </row>
    <row r="27" spans="1:11" x14ac:dyDescent="0.2">
      <c r="A27" s="156"/>
      <c r="B27" s="158"/>
      <c r="C27" s="157"/>
      <c r="D27" s="157"/>
      <c r="E27" s="157"/>
      <c r="F27" s="157"/>
      <c r="G27" s="158"/>
      <c r="H27" s="158"/>
      <c r="I27" s="157"/>
      <c r="J27" s="157"/>
      <c r="K27" s="157"/>
    </row>
    <row r="28" spans="1:11" x14ac:dyDescent="0.2">
      <c r="A28" s="156"/>
      <c r="B28" s="158"/>
      <c r="C28" s="157"/>
      <c r="D28" s="157"/>
      <c r="E28" s="157"/>
      <c r="F28" s="157"/>
      <c r="G28" s="158"/>
      <c r="H28" s="158"/>
      <c r="I28" s="157"/>
      <c r="J28" s="157"/>
      <c r="K28" s="157"/>
    </row>
    <row r="29" spans="1:11" x14ac:dyDescent="0.2">
      <c r="A29" s="156"/>
      <c r="B29" s="157"/>
      <c r="C29" s="157"/>
      <c r="D29" s="157"/>
      <c r="E29" s="157"/>
      <c r="F29" s="157"/>
      <c r="G29" s="157"/>
      <c r="H29" s="157"/>
      <c r="I29" s="157"/>
      <c r="J29" s="157"/>
      <c r="K29" s="157"/>
    </row>
    <row r="30" spans="1:11" x14ac:dyDescent="0.2">
      <c r="A30" s="156"/>
      <c r="B30" s="158"/>
      <c r="C30" s="157"/>
      <c r="D30" s="157"/>
      <c r="E30" s="157"/>
      <c r="F30" s="157"/>
      <c r="G30" s="157"/>
      <c r="H30" s="158"/>
      <c r="I30" s="157"/>
      <c r="J30" s="157"/>
      <c r="K30" s="157"/>
    </row>
    <row r="31" spans="1:11" x14ac:dyDescent="0.2">
      <c r="A31" s="156"/>
      <c r="B31" s="157"/>
      <c r="C31" s="157"/>
      <c r="D31" s="157"/>
      <c r="E31" s="157"/>
      <c r="F31" s="157"/>
      <c r="G31" s="158"/>
      <c r="H31" s="158"/>
      <c r="I31" s="157"/>
      <c r="J31" s="157"/>
      <c r="K31" s="157"/>
    </row>
    <row r="32" spans="1:11" x14ac:dyDescent="0.2">
      <c r="A32" s="156"/>
      <c r="B32" s="157"/>
      <c r="C32" s="157"/>
      <c r="D32" s="157"/>
      <c r="E32" s="157"/>
      <c r="F32" s="157"/>
      <c r="G32" s="158"/>
      <c r="H32" s="158"/>
      <c r="I32" s="157"/>
      <c r="J32" s="157"/>
      <c r="K32" s="157"/>
    </row>
    <row r="33" spans="1:11" x14ac:dyDescent="0.2">
      <c r="A33" s="156"/>
      <c r="B33" s="158"/>
      <c r="C33" s="157"/>
      <c r="D33" s="157"/>
      <c r="E33" s="157"/>
      <c r="F33" s="157"/>
      <c r="G33" s="157"/>
      <c r="H33" s="158"/>
      <c r="I33" s="157"/>
      <c r="J33" s="157"/>
      <c r="K33" s="157"/>
    </row>
    <row r="34" spans="1:11" x14ac:dyDescent="0.2">
      <c r="A34" s="156"/>
      <c r="B34" s="158"/>
      <c r="C34" s="157"/>
      <c r="D34" s="157"/>
      <c r="E34" s="157"/>
      <c r="F34" s="157"/>
      <c r="G34" s="157"/>
      <c r="H34" s="158"/>
      <c r="I34" s="157"/>
      <c r="J34" s="157"/>
      <c r="K34" s="157"/>
    </row>
    <row r="35" spans="1:11" x14ac:dyDescent="0.2">
      <c r="A35" s="156"/>
      <c r="B35" s="157"/>
      <c r="C35" s="157"/>
      <c r="D35" s="157"/>
      <c r="E35" s="157"/>
      <c r="F35" s="157"/>
      <c r="G35" s="158"/>
      <c r="H35" s="157"/>
      <c r="I35" s="157"/>
      <c r="J35" s="157"/>
      <c r="K35" s="157"/>
    </row>
    <row r="36" spans="1:11" x14ac:dyDescent="0.2">
      <c r="A36" s="156"/>
      <c r="B36" s="158"/>
      <c r="C36" s="157"/>
      <c r="D36" s="157"/>
      <c r="E36" s="157"/>
      <c r="F36" s="157"/>
      <c r="G36" s="158"/>
      <c r="H36" s="158"/>
      <c r="I36" s="157"/>
      <c r="J36" s="157"/>
      <c r="K36" s="157"/>
    </row>
    <row r="37" spans="1:11" x14ac:dyDescent="0.2">
      <c r="A37" s="156"/>
      <c r="B37" s="157"/>
      <c r="C37" s="157"/>
      <c r="D37" s="157"/>
      <c r="E37" s="157"/>
      <c r="F37" s="157"/>
      <c r="G37" s="157"/>
      <c r="H37" s="158"/>
      <c r="I37" s="157"/>
      <c r="J37" s="157"/>
      <c r="K37" s="157"/>
    </row>
    <row r="38" spans="1:11" x14ac:dyDescent="0.2">
      <c r="A38" s="156"/>
      <c r="B38" s="157"/>
      <c r="C38" s="157"/>
      <c r="D38" s="157"/>
      <c r="E38" s="157"/>
      <c r="F38" s="158"/>
      <c r="G38" s="157"/>
      <c r="H38" s="158"/>
      <c r="I38" s="157"/>
      <c r="J38" s="157"/>
      <c r="K38" s="157"/>
    </row>
    <row r="39" spans="1:11" x14ac:dyDescent="0.2">
      <c r="A39" s="156"/>
      <c r="B39" s="158"/>
      <c r="C39" s="157"/>
      <c r="D39" s="157"/>
      <c r="E39" s="157"/>
      <c r="F39" s="157"/>
      <c r="G39" s="158"/>
      <c r="H39" s="158"/>
      <c r="I39" s="157"/>
      <c r="J39" s="157"/>
      <c r="K39" s="157"/>
    </row>
    <row r="40" spans="1:11" x14ac:dyDescent="0.2">
      <c r="A40" s="156"/>
      <c r="B40" s="158"/>
      <c r="C40" s="157"/>
      <c r="D40" s="157"/>
      <c r="E40" s="157"/>
      <c r="F40" s="158"/>
      <c r="G40" s="158"/>
      <c r="H40" s="158"/>
      <c r="I40" s="157"/>
      <c r="J40" s="157"/>
      <c r="K40" s="157"/>
    </row>
    <row r="41" spans="1:11" x14ac:dyDescent="0.2">
      <c r="A41" s="156"/>
      <c r="B41" s="157"/>
      <c r="C41" s="157"/>
      <c r="D41" s="157"/>
      <c r="E41" s="157"/>
      <c r="F41" s="158"/>
      <c r="G41" s="157"/>
      <c r="H41" s="157"/>
      <c r="I41" s="157"/>
      <c r="J41" s="157"/>
      <c r="K41" s="157"/>
    </row>
    <row r="42" spans="1:11" x14ac:dyDescent="0.2">
      <c r="A42" s="156"/>
      <c r="B42" s="158"/>
      <c r="C42" s="157"/>
      <c r="D42" s="157"/>
      <c r="E42" s="157"/>
      <c r="F42" s="157"/>
      <c r="G42" s="157"/>
      <c r="H42" s="158"/>
      <c r="I42" s="157"/>
      <c r="J42" s="157"/>
      <c r="K42" s="157"/>
    </row>
    <row r="43" spans="1:11" x14ac:dyDescent="0.2">
      <c r="A43" s="156"/>
      <c r="B43" s="157"/>
      <c r="C43" s="157"/>
      <c r="D43" s="157"/>
      <c r="E43" s="157"/>
      <c r="F43" s="157"/>
      <c r="G43" s="158"/>
      <c r="H43" s="158"/>
      <c r="I43" s="157"/>
      <c r="J43" s="157"/>
      <c r="K43" s="157"/>
    </row>
    <row r="44" spans="1:11" x14ac:dyDescent="0.2">
      <c r="A44" s="156"/>
      <c r="B44" s="157"/>
      <c r="C44" s="157"/>
      <c r="D44" s="157"/>
      <c r="E44" s="157"/>
      <c r="F44" s="157"/>
      <c r="G44" s="158"/>
      <c r="H44" s="158"/>
      <c r="I44" s="157"/>
      <c r="J44" s="157"/>
      <c r="K44" s="157"/>
    </row>
    <row r="45" spans="1:11" x14ac:dyDescent="0.2">
      <c r="A45" s="156"/>
      <c r="B45" s="158"/>
      <c r="C45" s="157"/>
      <c r="D45" s="157"/>
      <c r="E45" s="157"/>
      <c r="F45" s="157"/>
      <c r="G45" s="157"/>
      <c r="H45" s="158"/>
      <c r="I45" s="157"/>
      <c r="J45" s="157"/>
      <c r="K45" s="157"/>
    </row>
    <row r="46" spans="1:11" x14ac:dyDescent="0.2">
      <c r="A46" s="156"/>
      <c r="B46" s="158"/>
      <c r="C46" s="157"/>
      <c r="D46" s="157"/>
      <c r="E46" s="157"/>
      <c r="F46" s="157"/>
      <c r="G46" s="157"/>
      <c r="H46" s="158"/>
      <c r="I46" s="157"/>
      <c r="J46" s="157"/>
      <c r="K46" s="157"/>
    </row>
    <row r="47" spans="1:11" x14ac:dyDescent="0.2">
      <c r="A47" s="156"/>
      <c r="B47" s="157"/>
      <c r="C47" s="157"/>
      <c r="D47" s="157"/>
      <c r="E47" s="157"/>
      <c r="F47" s="157"/>
      <c r="G47" s="158"/>
      <c r="H47" s="157"/>
      <c r="I47" s="157"/>
      <c r="J47" s="157"/>
      <c r="K47" s="157"/>
    </row>
    <row r="48" spans="1:11" x14ac:dyDescent="0.2">
      <c r="A48" s="156"/>
      <c r="B48" s="158"/>
      <c r="C48" s="157"/>
      <c r="D48" s="157"/>
      <c r="E48" s="157"/>
      <c r="F48" s="157"/>
      <c r="G48" s="158"/>
      <c r="H48" s="158"/>
      <c r="I48" s="157"/>
      <c r="J48" s="157"/>
      <c r="K48" s="157"/>
    </row>
    <row r="49" spans="1:11" x14ac:dyDescent="0.2">
      <c r="A49" s="156"/>
      <c r="B49" s="157"/>
      <c r="C49" s="157"/>
      <c r="D49" s="157"/>
      <c r="E49" s="157"/>
      <c r="F49" s="157"/>
      <c r="G49" s="157"/>
      <c r="H49" s="158"/>
      <c r="I49" s="157"/>
      <c r="J49" s="157"/>
      <c r="K49" s="157"/>
    </row>
    <row r="50" spans="1:11" x14ac:dyDescent="0.2">
      <c r="A50" s="156"/>
      <c r="B50" s="157"/>
      <c r="C50" s="157"/>
      <c r="D50" s="157"/>
      <c r="E50" s="157"/>
      <c r="F50" s="157"/>
      <c r="G50" s="157"/>
      <c r="H50" s="158"/>
      <c r="I50" s="157"/>
      <c r="J50" s="157"/>
      <c r="K50" s="157"/>
    </row>
    <row r="51" spans="1:11" x14ac:dyDescent="0.2">
      <c r="A51" s="156"/>
      <c r="B51" s="158"/>
      <c r="C51" s="157"/>
      <c r="D51" s="157"/>
      <c r="E51" s="157"/>
      <c r="F51" s="157"/>
      <c r="G51" s="158"/>
      <c r="H51" s="158"/>
      <c r="I51" s="157"/>
      <c r="J51" s="157"/>
      <c r="K51" s="157"/>
    </row>
    <row r="52" spans="1:11" x14ac:dyDescent="0.2">
      <c r="A52" s="156"/>
      <c r="B52" s="158"/>
      <c r="C52" s="157"/>
      <c r="D52" s="157"/>
      <c r="E52" s="157"/>
      <c r="F52" s="157"/>
      <c r="G52" s="158"/>
      <c r="H52" s="158"/>
      <c r="I52" s="157"/>
      <c r="J52" s="157"/>
      <c r="K52" s="157"/>
    </row>
    <row r="53" spans="1:11" x14ac:dyDescent="0.2">
      <c r="A53" s="156"/>
      <c r="B53" s="157"/>
      <c r="C53" s="157"/>
      <c r="D53" s="157"/>
      <c r="E53" s="157"/>
      <c r="F53" s="158"/>
      <c r="G53" s="157"/>
      <c r="H53" s="157"/>
      <c r="I53" s="157"/>
      <c r="J53" s="157"/>
      <c r="K53" s="157"/>
    </row>
    <row r="54" spans="1:11" x14ac:dyDescent="0.2">
      <c r="A54" s="156"/>
      <c r="B54" s="158"/>
      <c r="C54" s="157"/>
      <c r="D54" s="157"/>
      <c r="E54" s="157"/>
      <c r="F54" s="157"/>
      <c r="G54" s="157"/>
      <c r="H54" s="158"/>
      <c r="I54" s="157"/>
      <c r="J54" s="157"/>
      <c r="K54" s="157"/>
    </row>
    <row r="55" spans="1:11" x14ac:dyDescent="0.2">
      <c r="A55" s="156"/>
      <c r="B55" s="157"/>
      <c r="C55" s="157"/>
      <c r="D55" s="157"/>
      <c r="E55" s="157"/>
      <c r="F55" s="158"/>
      <c r="G55" s="158"/>
      <c r="H55" s="158"/>
      <c r="I55" s="157"/>
      <c r="J55" s="157"/>
      <c r="K55" s="157"/>
    </row>
    <row r="56" spans="1:11" x14ac:dyDescent="0.2">
      <c r="A56" s="156"/>
      <c r="B56" s="157"/>
      <c r="C56" s="157"/>
      <c r="D56" s="157"/>
      <c r="E56" s="157"/>
      <c r="F56" s="158"/>
      <c r="G56" s="158"/>
      <c r="H56" s="158"/>
      <c r="I56" s="157"/>
      <c r="J56" s="157"/>
      <c r="K56" s="157"/>
    </row>
    <row r="57" spans="1:11" x14ac:dyDescent="0.2">
      <c r="A57" s="156"/>
      <c r="B57" s="158"/>
      <c r="C57" s="157"/>
      <c r="D57" s="157"/>
      <c r="E57" s="157"/>
      <c r="F57" s="157"/>
      <c r="G57" s="157"/>
      <c r="H57" s="158"/>
      <c r="I57" s="157"/>
      <c r="J57" s="157"/>
      <c r="K57" s="157"/>
    </row>
    <row r="58" spans="1:11" x14ac:dyDescent="0.2">
      <c r="A58" s="156"/>
      <c r="B58" s="158"/>
      <c r="C58" s="157"/>
      <c r="D58" s="157"/>
      <c r="E58" s="157"/>
      <c r="F58" s="157"/>
      <c r="G58" s="157"/>
      <c r="H58" s="158"/>
      <c r="I58" s="157"/>
      <c r="J58" s="157"/>
      <c r="K58" s="157"/>
    </row>
    <row r="59" spans="1:11" x14ac:dyDescent="0.2">
      <c r="A59" s="156"/>
      <c r="B59" s="157"/>
      <c r="C59" s="157"/>
      <c r="D59" s="157"/>
      <c r="E59" s="157"/>
      <c r="F59" s="157"/>
      <c r="G59" s="158"/>
      <c r="H59" s="157"/>
      <c r="I59" s="157"/>
      <c r="J59" s="157"/>
      <c r="K59" s="157"/>
    </row>
    <row r="60" spans="1:11" x14ac:dyDescent="0.2">
      <c r="A60" s="156"/>
      <c r="B60" s="158"/>
      <c r="C60" s="157"/>
      <c r="D60" s="157"/>
      <c r="E60" s="157"/>
      <c r="F60" s="157"/>
      <c r="G60" s="158"/>
      <c r="H60" s="158"/>
      <c r="I60" s="157"/>
      <c r="J60" s="157"/>
      <c r="K60" s="157"/>
    </row>
    <row r="61" spans="1:11" x14ac:dyDescent="0.2">
      <c r="A61" s="156"/>
      <c r="B61" s="157"/>
      <c r="C61" s="157"/>
      <c r="D61" s="157"/>
      <c r="E61" s="157"/>
      <c r="F61" s="157"/>
      <c r="G61" s="157"/>
      <c r="H61" s="158"/>
      <c r="I61" s="157"/>
      <c r="J61" s="157"/>
      <c r="K61" s="157"/>
    </row>
    <row r="62" spans="1:11" x14ac:dyDescent="0.2">
      <c r="A62" s="156"/>
      <c r="B62" s="157"/>
      <c r="C62" s="157"/>
      <c r="D62" s="157"/>
      <c r="E62" s="157"/>
      <c r="F62" s="157"/>
      <c r="G62" s="157"/>
      <c r="H62" s="158"/>
      <c r="I62" s="157"/>
      <c r="J62" s="157"/>
      <c r="K62" s="157"/>
    </row>
    <row r="63" spans="1:11" x14ac:dyDescent="0.2">
      <c r="A63" s="156"/>
      <c r="B63" s="158"/>
      <c r="C63" s="157"/>
      <c r="D63" s="157"/>
      <c r="E63" s="157"/>
      <c r="F63" s="157"/>
      <c r="G63" s="158"/>
      <c r="H63" s="158"/>
      <c r="I63" s="157"/>
      <c r="J63" s="157"/>
      <c r="K63" s="157"/>
    </row>
    <row r="64" spans="1:11" x14ac:dyDescent="0.2">
      <c r="A64" s="156"/>
      <c r="B64" s="158"/>
      <c r="C64" s="157"/>
      <c r="D64" s="157"/>
      <c r="E64" s="157"/>
      <c r="F64" s="157"/>
      <c r="G64" s="158"/>
      <c r="H64" s="158"/>
      <c r="I64" s="157"/>
      <c r="J64" s="157"/>
      <c r="K64" s="157"/>
    </row>
    <row r="65" spans="1:11" x14ac:dyDescent="0.2">
      <c r="A65" s="156"/>
      <c r="B65" s="157"/>
      <c r="C65" s="157"/>
      <c r="D65" s="157"/>
      <c r="E65" s="157"/>
      <c r="F65" s="157"/>
      <c r="G65" s="157"/>
      <c r="H65" s="157"/>
      <c r="I65" s="157"/>
      <c r="J65" s="157"/>
      <c r="K65" s="157"/>
    </row>
    <row r="66" spans="1:11" x14ac:dyDescent="0.2">
      <c r="A66" s="156"/>
      <c r="B66" s="158"/>
      <c r="C66" s="157"/>
      <c r="D66" s="157"/>
      <c r="E66" s="157"/>
      <c r="F66" s="157"/>
      <c r="G66" s="157"/>
      <c r="H66" s="158"/>
      <c r="I66" s="157"/>
      <c r="J66" s="157"/>
      <c r="K66" s="157"/>
    </row>
    <row r="67" spans="1:11" x14ac:dyDescent="0.2">
      <c r="A67" s="156"/>
      <c r="B67" s="157"/>
      <c r="C67" s="157"/>
      <c r="D67" s="157"/>
      <c r="E67" s="157"/>
      <c r="F67" s="157"/>
      <c r="G67" s="158"/>
      <c r="H67" s="158"/>
      <c r="I67" s="157"/>
      <c r="J67" s="157"/>
      <c r="K67" s="157"/>
    </row>
    <row r="68" spans="1:11" x14ac:dyDescent="0.2">
      <c r="A68" s="156"/>
      <c r="B68" s="157"/>
      <c r="C68" s="157"/>
      <c r="D68" s="157"/>
      <c r="E68" s="158"/>
      <c r="F68" s="158"/>
      <c r="G68" s="158"/>
      <c r="H68" s="158"/>
      <c r="I68" s="157"/>
      <c r="J68" s="157"/>
      <c r="K68" s="157"/>
    </row>
    <row r="69" spans="1:11" x14ac:dyDescent="0.2">
      <c r="A69" s="156"/>
      <c r="B69" s="158"/>
      <c r="C69" s="157"/>
      <c r="D69" s="157"/>
      <c r="E69" s="158"/>
      <c r="F69" s="157"/>
      <c r="G69" s="157"/>
      <c r="H69" s="158"/>
      <c r="I69" s="157"/>
      <c r="J69" s="157"/>
      <c r="K69" s="157"/>
    </row>
    <row r="70" spans="1:11" x14ac:dyDescent="0.2">
      <c r="A70" s="156"/>
      <c r="B70" s="158"/>
      <c r="C70" s="157"/>
      <c r="D70" s="157"/>
      <c r="E70" s="158"/>
      <c r="F70" s="158"/>
      <c r="G70" s="157"/>
      <c r="H70" s="158"/>
      <c r="I70" s="157"/>
      <c r="J70" s="157"/>
      <c r="K70" s="157"/>
    </row>
    <row r="71" spans="1:11" x14ac:dyDescent="0.2">
      <c r="A71" s="156"/>
      <c r="B71" s="157"/>
      <c r="C71" s="157"/>
      <c r="D71" s="157"/>
      <c r="E71" s="158"/>
      <c r="F71" s="158"/>
      <c r="G71" s="158"/>
      <c r="H71" s="157"/>
      <c r="I71" s="157"/>
      <c r="J71" s="157"/>
      <c r="K71" s="157"/>
    </row>
    <row r="72" spans="1:11" x14ac:dyDescent="0.2">
      <c r="A72" s="156"/>
      <c r="B72" s="158"/>
      <c r="C72" s="157"/>
      <c r="D72" s="157"/>
      <c r="E72" s="158"/>
      <c r="F72" s="157"/>
      <c r="G72" s="158"/>
      <c r="H72" s="158"/>
      <c r="I72" s="157"/>
      <c r="J72" s="157"/>
      <c r="K72" s="157"/>
    </row>
    <row r="73" spans="1:11" x14ac:dyDescent="0.2">
      <c r="A73" s="156"/>
      <c r="B73" s="157"/>
      <c r="C73" s="157"/>
      <c r="D73" s="157"/>
      <c r="E73" s="158"/>
      <c r="F73" s="157"/>
      <c r="G73" s="157"/>
      <c r="H73" s="158"/>
      <c r="I73" s="157"/>
      <c r="J73" s="157"/>
      <c r="K73" s="157"/>
    </row>
    <row r="74" spans="1:11" x14ac:dyDescent="0.2">
      <c r="A74" s="156"/>
      <c r="B74" s="157"/>
      <c r="C74" s="157"/>
      <c r="D74" s="157"/>
      <c r="E74" s="158"/>
      <c r="F74" s="157"/>
      <c r="G74" s="157"/>
      <c r="H74" s="158"/>
      <c r="I74" s="157"/>
      <c r="J74" s="157"/>
      <c r="K74" s="157"/>
    </row>
    <row r="75" spans="1:11" x14ac:dyDescent="0.2">
      <c r="A75" s="156"/>
      <c r="B75" s="158"/>
      <c r="C75" s="157"/>
      <c r="D75" s="157"/>
      <c r="E75" s="158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B3:B4"/>
    <mergeCell ref="C3:C4"/>
    <mergeCell ref="D3:D4"/>
    <mergeCell ref="E3:E4"/>
    <mergeCell ref="F3:F4"/>
    <mergeCell ref="G3:G4"/>
  </mergeCells>
  <dataValidations count="8"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I5:K254">
      <formula1>ValidProgramme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K255"/>
  <sheetViews>
    <sheetView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/>
      <c r="C5" s="157"/>
      <c r="D5" s="157"/>
      <c r="E5" s="157"/>
      <c r="F5" s="157"/>
      <c r="G5" s="157"/>
      <c r="H5" s="157"/>
      <c r="I5" s="157"/>
      <c r="J5" s="157"/>
      <c r="K5" s="157"/>
    </row>
    <row r="6" spans="1:11" x14ac:dyDescent="0.2">
      <c r="A6" s="156"/>
      <c r="B6" s="158"/>
      <c r="C6" s="157"/>
      <c r="D6" s="157"/>
      <c r="E6" s="157"/>
      <c r="F6" s="157"/>
      <c r="G6" s="157"/>
      <c r="H6" s="158"/>
      <c r="I6" s="157"/>
      <c r="J6" s="157"/>
      <c r="K6" s="157"/>
    </row>
    <row r="7" spans="1:11" x14ac:dyDescent="0.2">
      <c r="A7" s="156"/>
      <c r="B7" s="157"/>
      <c r="C7" s="157"/>
      <c r="D7" s="157"/>
      <c r="E7" s="157"/>
      <c r="F7" s="157"/>
      <c r="G7" s="158"/>
      <c r="H7" s="158"/>
      <c r="I7" s="157"/>
      <c r="J7" s="157"/>
      <c r="K7" s="157"/>
    </row>
    <row r="8" spans="1:11" x14ac:dyDescent="0.2">
      <c r="A8" s="156"/>
      <c r="B8" s="157"/>
      <c r="C8" s="157"/>
      <c r="D8" s="157"/>
      <c r="E8" s="157"/>
      <c r="F8" s="158"/>
      <c r="G8" s="158"/>
      <c r="H8" s="158"/>
      <c r="I8" s="157"/>
      <c r="J8" s="157"/>
      <c r="K8" s="157"/>
    </row>
    <row r="9" spans="1:11" x14ac:dyDescent="0.2">
      <c r="A9" s="156"/>
      <c r="B9" s="158"/>
      <c r="C9" s="157"/>
      <c r="D9" s="157"/>
      <c r="E9" s="157"/>
      <c r="F9" s="157"/>
      <c r="G9" s="157"/>
      <c r="H9" s="158"/>
      <c r="I9" s="157"/>
      <c r="J9" s="157"/>
      <c r="K9" s="157"/>
    </row>
    <row r="10" spans="1:11" x14ac:dyDescent="0.2">
      <c r="A10" s="156"/>
      <c r="B10" s="158"/>
      <c r="C10" s="157"/>
      <c r="D10" s="157"/>
      <c r="E10" s="157"/>
      <c r="F10" s="158"/>
      <c r="G10" s="157"/>
      <c r="H10" s="158"/>
      <c r="I10" s="157"/>
      <c r="J10" s="157"/>
      <c r="K10" s="157"/>
    </row>
    <row r="11" spans="1:11" x14ac:dyDescent="0.2">
      <c r="A11" s="156"/>
      <c r="B11" s="157"/>
      <c r="C11" s="157"/>
      <c r="D11" s="157"/>
      <c r="E11" s="157"/>
      <c r="F11" s="158"/>
      <c r="G11" s="158"/>
      <c r="H11" s="157"/>
      <c r="I11" s="157"/>
      <c r="J11" s="157"/>
      <c r="K11" s="157"/>
    </row>
    <row r="12" spans="1:11" x14ac:dyDescent="0.2">
      <c r="A12" s="156"/>
      <c r="B12" s="158"/>
      <c r="C12" s="157"/>
      <c r="D12" s="157"/>
      <c r="E12" s="157"/>
      <c r="F12" s="157"/>
      <c r="G12" s="158"/>
      <c r="H12" s="158"/>
      <c r="I12" s="157"/>
      <c r="J12" s="157"/>
      <c r="K12" s="157"/>
    </row>
    <row r="13" spans="1:11" x14ac:dyDescent="0.2">
      <c r="A13" s="156"/>
      <c r="B13" s="157"/>
      <c r="C13" s="157"/>
      <c r="D13" s="157"/>
      <c r="E13" s="157"/>
      <c r="F13" s="157"/>
      <c r="G13" s="157"/>
      <c r="H13" s="158"/>
      <c r="I13" s="157"/>
      <c r="J13" s="157"/>
      <c r="K13" s="157"/>
    </row>
    <row r="14" spans="1:11" x14ac:dyDescent="0.2">
      <c r="A14" s="156"/>
      <c r="B14" s="157"/>
      <c r="C14" s="157"/>
      <c r="D14" s="157"/>
      <c r="E14" s="157"/>
      <c r="F14" s="157"/>
      <c r="G14" s="157"/>
      <c r="H14" s="158"/>
      <c r="I14" s="158"/>
      <c r="J14" s="158"/>
      <c r="K14" s="158"/>
    </row>
    <row r="15" spans="1:11" x14ac:dyDescent="0.2">
      <c r="A15" s="156"/>
      <c r="B15" s="158"/>
      <c r="C15" s="157"/>
      <c r="D15" s="157"/>
      <c r="E15" s="157"/>
      <c r="F15" s="157"/>
      <c r="G15" s="158"/>
      <c r="H15" s="158"/>
      <c r="I15" s="158"/>
      <c r="J15" s="158"/>
      <c r="K15" s="158"/>
    </row>
    <row r="16" spans="1:11" x14ac:dyDescent="0.2">
      <c r="A16" s="156"/>
      <c r="B16" s="158"/>
      <c r="C16" s="157"/>
      <c r="D16" s="157"/>
      <c r="E16" s="157"/>
      <c r="F16" s="157"/>
      <c r="G16" s="158"/>
      <c r="H16" s="158"/>
      <c r="I16" s="158"/>
      <c r="J16" s="158"/>
      <c r="K16" s="158"/>
    </row>
    <row r="17" spans="1:11" x14ac:dyDescent="0.2">
      <c r="A17" s="156"/>
      <c r="B17" s="157"/>
      <c r="C17" s="157"/>
      <c r="D17" s="157"/>
      <c r="E17" s="157"/>
      <c r="F17" s="157"/>
      <c r="G17" s="157"/>
      <c r="H17" s="157"/>
      <c r="I17" s="157"/>
      <c r="J17" s="157"/>
      <c r="K17" s="157"/>
    </row>
    <row r="18" spans="1:11" x14ac:dyDescent="0.2">
      <c r="A18" s="156"/>
      <c r="B18" s="158"/>
      <c r="C18" s="157"/>
      <c r="D18" s="157"/>
      <c r="E18" s="157"/>
      <c r="F18" s="157"/>
      <c r="G18" s="157"/>
      <c r="H18" s="158"/>
      <c r="I18" s="158"/>
      <c r="J18" s="158"/>
      <c r="K18" s="158"/>
    </row>
    <row r="19" spans="1:11" x14ac:dyDescent="0.2">
      <c r="A19" s="156"/>
      <c r="B19" s="157"/>
      <c r="C19" s="157"/>
      <c r="D19" s="157"/>
      <c r="E19" s="157"/>
      <c r="F19" s="157"/>
      <c r="G19" s="158"/>
      <c r="H19" s="158"/>
      <c r="I19" s="157"/>
      <c r="J19" s="157"/>
      <c r="K19" s="157"/>
    </row>
    <row r="20" spans="1:11" x14ac:dyDescent="0.2">
      <c r="A20" s="156"/>
      <c r="B20" s="157"/>
      <c r="C20" s="157"/>
      <c r="D20" s="157"/>
      <c r="E20" s="157"/>
      <c r="F20" s="157"/>
      <c r="G20" s="158"/>
      <c r="H20" s="158"/>
      <c r="I20" s="158"/>
      <c r="J20" s="158"/>
      <c r="K20" s="158"/>
    </row>
    <row r="21" spans="1:11" x14ac:dyDescent="0.2">
      <c r="A21" s="156"/>
      <c r="B21" s="158"/>
      <c r="C21" s="157"/>
      <c r="D21" s="157"/>
      <c r="E21" s="157"/>
      <c r="F21" s="157"/>
      <c r="G21" s="157"/>
      <c r="H21" s="158"/>
      <c r="I21" s="158"/>
      <c r="J21" s="158"/>
      <c r="K21" s="158"/>
    </row>
    <row r="22" spans="1:11" x14ac:dyDescent="0.2">
      <c r="A22" s="156"/>
      <c r="B22" s="158"/>
      <c r="C22" s="157"/>
      <c r="D22" s="157"/>
      <c r="E22" s="157"/>
      <c r="F22" s="157"/>
      <c r="G22" s="157"/>
      <c r="H22" s="158"/>
      <c r="I22" s="158"/>
      <c r="J22" s="158"/>
      <c r="K22" s="158"/>
    </row>
    <row r="23" spans="1:11" x14ac:dyDescent="0.2">
      <c r="A23" s="156"/>
      <c r="B23" s="157"/>
      <c r="C23" s="157"/>
      <c r="D23" s="157"/>
      <c r="E23" s="157"/>
      <c r="F23" s="158"/>
      <c r="G23" s="158"/>
      <c r="H23" s="157"/>
      <c r="I23" s="157"/>
      <c r="J23" s="157"/>
      <c r="K23" s="157"/>
    </row>
    <row r="24" spans="1:11" x14ac:dyDescent="0.2">
      <c r="A24" s="156"/>
      <c r="B24" s="158"/>
      <c r="C24" s="157"/>
      <c r="D24" s="157"/>
      <c r="E24" s="157"/>
      <c r="F24" s="157"/>
      <c r="G24" s="158"/>
      <c r="H24" s="158"/>
      <c r="I24" s="158"/>
      <c r="J24" s="158"/>
      <c r="K24" s="158"/>
    </row>
    <row r="25" spans="1:11" x14ac:dyDescent="0.2">
      <c r="A25" s="156"/>
      <c r="B25" s="157"/>
      <c r="C25" s="157"/>
      <c r="D25" s="157"/>
      <c r="E25" s="157"/>
      <c r="F25" s="158"/>
      <c r="G25" s="157"/>
      <c r="H25" s="158"/>
      <c r="I25" s="157"/>
      <c r="J25" s="157"/>
      <c r="K25" s="157"/>
    </row>
    <row r="26" spans="1:11" x14ac:dyDescent="0.2">
      <c r="A26" s="156"/>
      <c r="B26" s="157"/>
      <c r="C26" s="157"/>
      <c r="D26" s="157"/>
      <c r="E26" s="157"/>
      <c r="F26" s="158"/>
      <c r="G26" s="157"/>
      <c r="H26" s="158"/>
      <c r="I26" s="157"/>
      <c r="J26" s="157"/>
      <c r="K26" s="157"/>
    </row>
    <row r="27" spans="1:11" x14ac:dyDescent="0.2">
      <c r="A27" s="156"/>
      <c r="B27" s="158"/>
      <c r="C27" s="157"/>
      <c r="D27" s="157"/>
      <c r="E27" s="157"/>
      <c r="F27" s="157"/>
      <c r="G27" s="158"/>
      <c r="H27" s="158"/>
      <c r="I27" s="157"/>
      <c r="J27" s="157"/>
      <c r="K27" s="157"/>
    </row>
    <row r="28" spans="1:11" x14ac:dyDescent="0.2">
      <c r="A28" s="156"/>
      <c r="B28" s="158"/>
      <c r="C28" s="157"/>
      <c r="D28" s="157"/>
      <c r="E28" s="157"/>
      <c r="F28" s="157"/>
      <c r="G28" s="158"/>
      <c r="H28" s="158"/>
      <c r="I28" s="157"/>
      <c r="J28" s="157"/>
      <c r="K28" s="157"/>
    </row>
    <row r="29" spans="1:11" x14ac:dyDescent="0.2">
      <c r="A29" s="156"/>
      <c r="B29" s="157"/>
      <c r="C29" s="157"/>
      <c r="D29" s="157"/>
      <c r="E29" s="157"/>
      <c r="F29" s="157"/>
      <c r="G29" s="157"/>
      <c r="H29" s="157"/>
      <c r="I29" s="157"/>
      <c r="J29" s="157"/>
      <c r="K29" s="157"/>
    </row>
    <row r="30" spans="1:11" x14ac:dyDescent="0.2">
      <c r="A30" s="156"/>
      <c r="B30" s="158"/>
      <c r="C30" s="157"/>
      <c r="D30" s="157"/>
      <c r="E30" s="157"/>
      <c r="F30" s="157"/>
      <c r="G30" s="157"/>
      <c r="H30" s="158"/>
      <c r="I30" s="157"/>
      <c r="J30" s="157"/>
      <c r="K30" s="157"/>
    </row>
    <row r="31" spans="1:11" x14ac:dyDescent="0.2">
      <c r="A31" s="156"/>
      <c r="B31" s="157"/>
      <c r="C31" s="157"/>
      <c r="D31" s="157"/>
      <c r="E31" s="157"/>
      <c r="F31" s="157"/>
      <c r="G31" s="158"/>
      <c r="H31" s="158"/>
      <c r="I31" s="157"/>
      <c r="J31" s="157"/>
      <c r="K31" s="157"/>
    </row>
    <row r="32" spans="1:11" x14ac:dyDescent="0.2">
      <c r="A32" s="156"/>
      <c r="B32" s="157"/>
      <c r="C32" s="157"/>
      <c r="D32" s="157"/>
      <c r="E32" s="157"/>
      <c r="F32" s="157"/>
      <c r="G32" s="158"/>
      <c r="H32" s="158"/>
      <c r="I32" s="157"/>
      <c r="J32" s="157"/>
      <c r="K32" s="157"/>
    </row>
    <row r="33" spans="1:11" x14ac:dyDescent="0.2">
      <c r="A33" s="156"/>
      <c r="B33" s="158"/>
      <c r="C33" s="157"/>
      <c r="D33" s="157"/>
      <c r="E33" s="157"/>
      <c r="F33" s="157"/>
      <c r="G33" s="157"/>
      <c r="H33" s="158"/>
      <c r="I33" s="157"/>
      <c r="J33" s="157"/>
      <c r="K33" s="157"/>
    </row>
    <row r="34" spans="1:11" x14ac:dyDescent="0.2">
      <c r="A34" s="156"/>
      <c r="B34" s="158"/>
      <c r="C34" s="157"/>
      <c r="D34" s="157"/>
      <c r="E34" s="157"/>
      <c r="F34" s="157"/>
      <c r="G34" s="157"/>
      <c r="H34" s="158"/>
      <c r="I34" s="157"/>
      <c r="J34" s="157"/>
      <c r="K34" s="157"/>
    </row>
    <row r="35" spans="1:11" x14ac:dyDescent="0.2">
      <c r="A35" s="156"/>
      <c r="B35" s="157"/>
      <c r="C35" s="157"/>
      <c r="D35" s="157"/>
      <c r="E35" s="157"/>
      <c r="F35" s="157"/>
      <c r="G35" s="158"/>
      <c r="H35" s="157"/>
      <c r="I35" s="157"/>
      <c r="J35" s="157"/>
      <c r="K35" s="157"/>
    </row>
    <row r="36" spans="1:11" x14ac:dyDescent="0.2">
      <c r="A36" s="156"/>
      <c r="B36" s="158"/>
      <c r="C36" s="157"/>
      <c r="D36" s="157"/>
      <c r="E36" s="157"/>
      <c r="F36" s="157"/>
      <c r="G36" s="158"/>
      <c r="H36" s="158"/>
      <c r="I36" s="157"/>
      <c r="J36" s="157"/>
      <c r="K36" s="157"/>
    </row>
    <row r="37" spans="1:11" x14ac:dyDescent="0.2">
      <c r="A37" s="156"/>
      <c r="B37" s="157"/>
      <c r="C37" s="157"/>
      <c r="D37" s="157"/>
      <c r="E37" s="157"/>
      <c r="F37" s="157"/>
      <c r="G37" s="157"/>
      <c r="H37" s="158"/>
      <c r="I37" s="157"/>
      <c r="J37" s="157"/>
      <c r="K37" s="157"/>
    </row>
    <row r="38" spans="1:11" x14ac:dyDescent="0.2">
      <c r="A38" s="156"/>
      <c r="B38" s="157"/>
      <c r="C38" s="157"/>
      <c r="D38" s="157"/>
      <c r="E38" s="157"/>
      <c r="F38" s="158"/>
      <c r="G38" s="157"/>
      <c r="H38" s="158"/>
      <c r="I38" s="157"/>
      <c r="J38" s="157"/>
      <c r="K38" s="157"/>
    </row>
    <row r="39" spans="1:11" x14ac:dyDescent="0.2">
      <c r="A39" s="156"/>
      <c r="B39" s="158"/>
      <c r="C39" s="157"/>
      <c r="D39" s="157"/>
      <c r="E39" s="157"/>
      <c r="F39" s="157"/>
      <c r="G39" s="158"/>
      <c r="H39" s="158"/>
      <c r="I39" s="157"/>
      <c r="J39" s="157"/>
      <c r="K39" s="157"/>
    </row>
    <row r="40" spans="1:11" x14ac:dyDescent="0.2">
      <c r="A40" s="156"/>
      <c r="B40" s="158"/>
      <c r="C40" s="157"/>
      <c r="D40" s="157"/>
      <c r="E40" s="157"/>
      <c r="F40" s="158"/>
      <c r="G40" s="158"/>
      <c r="H40" s="158"/>
      <c r="I40" s="157"/>
      <c r="J40" s="157"/>
      <c r="K40" s="157"/>
    </row>
    <row r="41" spans="1:11" x14ac:dyDescent="0.2">
      <c r="A41" s="156"/>
      <c r="B41" s="157"/>
      <c r="C41" s="157"/>
      <c r="D41" s="157"/>
      <c r="E41" s="157"/>
      <c r="F41" s="158"/>
      <c r="G41" s="157"/>
      <c r="H41" s="157"/>
      <c r="I41" s="157"/>
      <c r="J41" s="157"/>
      <c r="K41" s="157"/>
    </row>
    <row r="42" spans="1:11" x14ac:dyDescent="0.2">
      <c r="A42" s="156"/>
      <c r="B42" s="158"/>
      <c r="C42" s="157"/>
      <c r="D42" s="157"/>
      <c r="E42" s="157"/>
      <c r="F42" s="157"/>
      <c r="G42" s="157"/>
      <c r="H42" s="158"/>
      <c r="I42" s="157"/>
      <c r="J42" s="157"/>
      <c r="K42" s="157"/>
    </row>
    <row r="43" spans="1:11" x14ac:dyDescent="0.2">
      <c r="A43" s="156"/>
      <c r="B43" s="157"/>
      <c r="C43" s="157"/>
      <c r="D43" s="157"/>
      <c r="E43" s="157"/>
      <c r="F43" s="157"/>
      <c r="G43" s="158"/>
      <c r="H43" s="158"/>
      <c r="I43" s="157"/>
      <c r="J43" s="157"/>
      <c r="K43" s="157"/>
    </row>
    <row r="44" spans="1:11" x14ac:dyDescent="0.2">
      <c r="A44" s="156"/>
      <c r="B44" s="157"/>
      <c r="C44" s="157"/>
      <c r="D44" s="157"/>
      <c r="E44" s="157"/>
      <c r="F44" s="157"/>
      <c r="G44" s="158"/>
      <c r="H44" s="158"/>
      <c r="I44" s="157"/>
      <c r="J44" s="157"/>
      <c r="K44" s="157"/>
    </row>
    <row r="45" spans="1:11" x14ac:dyDescent="0.2">
      <c r="A45" s="156"/>
      <c r="B45" s="158"/>
      <c r="C45" s="157"/>
      <c r="D45" s="157"/>
      <c r="E45" s="157"/>
      <c r="F45" s="157"/>
      <c r="G45" s="157"/>
      <c r="H45" s="158"/>
      <c r="I45" s="157"/>
      <c r="J45" s="157"/>
      <c r="K45" s="157"/>
    </row>
    <row r="46" spans="1:11" x14ac:dyDescent="0.2">
      <c r="A46" s="156"/>
      <c r="B46" s="158"/>
      <c r="C46" s="157"/>
      <c r="D46" s="157"/>
      <c r="E46" s="157"/>
      <c r="F46" s="157"/>
      <c r="G46" s="157"/>
      <c r="H46" s="158"/>
      <c r="I46" s="157"/>
      <c r="J46" s="157"/>
      <c r="K46" s="157"/>
    </row>
    <row r="47" spans="1:11" x14ac:dyDescent="0.2">
      <c r="A47" s="156"/>
      <c r="B47" s="157"/>
      <c r="C47" s="157"/>
      <c r="D47" s="157"/>
      <c r="E47" s="157"/>
      <c r="F47" s="157"/>
      <c r="G47" s="158"/>
      <c r="H47" s="157"/>
      <c r="I47" s="157"/>
      <c r="J47" s="157"/>
      <c r="K47" s="157"/>
    </row>
    <row r="48" spans="1:11" x14ac:dyDescent="0.2">
      <c r="A48" s="156"/>
      <c r="B48" s="158"/>
      <c r="C48" s="157"/>
      <c r="D48" s="157"/>
      <c r="E48" s="157"/>
      <c r="F48" s="157"/>
      <c r="G48" s="158"/>
      <c r="H48" s="158"/>
      <c r="I48" s="157"/>
      <c r="J48" s="157"/>
      <c r="K48" s="157"/>
    </row>
    <row r="49" spans="1:11" x14ac:dyDescent="0.2">
      <c r="A49" s="156"/>
      <c r="B49" s="157"/>
      <c r="C49" s="157"/>
      <c r="D49" s="157"/>
      <c r="E49" s="157"/>
      <c r="F49" s="157"/>
      <c r="G49" s="157"/>
      <c r="H49" s="158"/>
      <c r="I49" s="157"/>
      <c r="J49" s="157"/>
      <c r="K49" s="157"/>
    </row>
    <row r="50" spans="1:11" x14ac:dyDescent="0.2">
      <c r="A50" s="156"/>
      <c r="B50" s="157"/>
      <c r="C50" s="157"/>
      <c r="D50" s="157"/>
      <c r="E50" s="157"/>
      <c r="F50" s="157"/>
      <c r="G50" s="157"/>
      <c r="H50" s="158"/>
      <c r="I50" s="157"/>
      <c r="J50" s="157"/>
      <c r="K50" s="157"/>
    </row>
    <row r="51" spans="1:11" x14ac:dyDescent="0.2">
      <c r="A51" s="156"/>
      <c r="B51" s="158"/>
      <c r="C51" s="157"/>
      <c r="D51" s="157"/>
      <c r="E51" s="157"/>
      <c r="F51" s="157"/>
      <c r="G51" s="158"/>
      <c r="H51" s="158"/>
      <c r="I51" s="157"/>
      <c r="J51" s="157"/>
      <c r="K51" s="157"/>
    </row>
    <row r="52" spans="1:11" x14ac:dyDescent="0.2">
      <c r="A52" s="156"/>
      <c r="B52" s="158"/>
      <c r="C52" s="157"/>
      <c r="D52" s="157"/>
      <c r="E52" s="157"/>
      <c r="F52" s="157"/>
      <c r="G52" s="158"/>
      <c r="H52" s="158"/>
      <c r="I52" s="157"/>
      <c r="J52" s="157"/>
      <c r="K52" s="157"/>
    </row>
    <row r="53" spans="1:11" x14ac:dyDescent="0.2">
      <c r="A53" s="156"/>
      <c r="B53" s="157"/>
      <c r="C53" s="157"/>
      <c r="D53" s="157"/>
      <c r="E53" s="157"/>
      <c r="F53" s="158"/>
      <c r="G53" s="157"/>
      <c r="H53" s="157"/>
      <c r="I53" s="157"/>
      <c r="J53" s="157"/>
      <c r="K53" s="157"/>
    </row>
    <row r="54" spans="1:11" x14ac:dyDescent="0.2">
      <c r="A54" s="156"/>
      <c r="B54" s="158"/>
      <c r="C54" s="157"/>
      <c r="D54" s="157"/>
      <c r="E54" s="157"/>
      <c r="F54" s="157"/>
      <c r="G54" s="157"/>
      <c r="H54" s="158"/>
      <c r="I54" s="157"/>
      <c r="J54" s="157"/>
      <c r="K54" s="157"/>
    </row>
    <row r="55" spans="1:11" x14ac:dyDescent="0.2">
      <c r="A55" s="156"/>
      <c r="B55" s="157"/>
      <c r="C55" s="157"/>
      <c r="D55" s="157"/>
      <c r="E55" s="157"/>
      <c r="F55" s="158"/>
      <c r="G55" s="158"/>
      <c r="H55" s="158"/>
      <c r="I55" s="157"/>
      <c r="J55" s="157"/>
      <c r="K55" s="157"/>
    </row>
    <row r="56" spans="1:11" x14ac:dyDescent="0.2">
      <c r="A56" s="156"/>
      <c r="B56" s="157"/>
      <c r="C56" s="157"/>
      <c r="D56" s="157"/>
      <c r="E56" s="157"/>
      <c r="F56" s="158"/>
      <c r="G56" s="158"/>
      <c r="H56" s="158"/>
      <c r="I56" s="157"/>
      <c r="J56" s="157"/>
      <c r="K56" s="157"/>
    </row>
    <row r="57" spans="1:11" x14ac:dyDescent="0.2">
      <c r="A57" s="156"/>
      <c r="B57" s="158"/>
      <c r="C57" s="157"/>
      <c r="D57" s="157"/>
      <c r="E57" s="157"/>
      <c r="F57" s="157"/>
      <c r="G57" s="157"/>
      <c r="H57" s="158"/>
      <c r="I57" s="157"/>
      <c r="J57" s="157"/>
      <c r="K57" s="157"/>
    </row>
    <row r="58" spans="1:11" x14ac:dyDescent="0.2">
      <c r="A58" s="156"/>
      <c r="B58" s="158"/>
      <c r="C58" s="157"/>
      <c r="D58" s="157"/>
      <c r="E58" s="157"/>
      <c r="F58" s="157"/>
      <c r="G58" s="157"/>
      <c r="H58" s="158"/>
      <c r="I58" s="157"/>
      <c r="J58" s="157"/>
      <c r="K58" s="157"/>
    </row>
    <row r="59" spans="1:11" x14ac:dyDescent="0.2">
      <c r="A59" s="156"/>
      <c r="B59" s="157"/>
      <c r="C59" s="157"/>
      <c r="D59" s="157"/>
      <c r="E59" s="157"/>
      <c r="F59" s="157"/>
      <c r="G59" s="158"/>
      <c r="H59" s="157"/>
      <c r="I59" s="157"/>
      <c r="J59" s="157"/>
      <c r="K59" s="157"/>
    </row>
    <row r="60" spans="1:11" x14ac:dyDescent="0.2">
      <c r="A60" s="156"/>
      <c r="B60" s="158"/>
      <c r="C60" s="157"/>
      <c r="D60" s="157"/>
      <c r="E60" s="157"/>
      <c r="F60" s="157"/>
      <c r="G60" s="158"/>
      <c r="H60" s="158"/>
      <c r="I60" s="157"/>
      <c r="J60" s="157"/>
      <c r="K60" s="157"/>
    </row>
    <row r="61" spans="1:11" x14ac:dyDescent="0.2">
      <c r="A61" s="156"/>
      <c r="B61" s="157"/>
      <c r="C61" s="157"/>
      <c r="D61" s="157"/>
      <c r="E61" s="157"/>
      <c r="F61" s="157"/>
      <c r="G61" s="157"/>
      <c r="H61" s="158"/>
      <c r="I61" s="157"/>
      <c r="J61" s="157"/>
      <c r="K61" s="157"/>
    </row>
    <row r="62" spans="1:11" x14ac:dyDescent="0.2">
      <c r="A62" s="156"/>
      <c r="B62" s="157"/>
      <c r="C62" s="157"/>
      <c r="D62" s="157"/>
      <c r="E62" s="157"/>
      <c r="F62" s="157"/>
      <c r="G62" s="157"/>
      <c r="H62" s="158"/>
      <c r="I62" s="157"/>
      <c r="J62" s="157"/>
      <c r="K62" s="157"/>
    </row>
    <row r="63" spans="1:11" x14ac:dyDescent="0.2">
      <c r="A63" s="156"/>
      <c r="B63" s="158"/>
      <c r="C63" s="157"/>
      <c r="D63" s="157"/>
      <c r="E63" s="157"/>
      <c r="F63" s="157"/>
      <c r="G63" s="158"/>
      <c r="H63" s="158"/>
      <c r="I63" s="157"/>
      <c r="J63" s="157"/>
      <c r="K63" s="157"/>
    </row>
    <row r="64" spans="1:11" x14ac:dyDescent="0.2">
      <c r="A64" s="156"/>
      <c r="B64" s="158"/>
      <c r="C64" s="157"/>
      <c r="D64" s="157"/>
      <c r="E64" s="157"/>
      <c r="F64" s="157"/>
      <c r="G64" s="158"/>
      <c r="H64" s="158"/>
      <c r="I64" s="157"/>
      <c r="J64" s="157"/>
      <c r="K64" s="157"/>
    </row>
    <row r="65" spans="1:11" x14ac:dyDescent="0.2">
      <c r="A65" s="156"/>
      <c r="B65" s="157"/>
      <c r="C65" s="157"/>
      <c r="D65" s="157"/>
      <c r="E65" s="157"/>
      <c r="F65" s="157"/>
      <c r="G65" s="157"/>
      <c r="H65" s="157"/>
      <c r="I65" s="157"/>
      <c r="J65" s="157"/>
      <c r="K65" s="157"/>
    </row>
    <row r="66" spans="1:11" x14ac:dyDescent="0.2">
      <c r="A66" s="156"/>
      <c r="B66" s="158"/>
      <c r="C66" s="157"/>
      <c r="D66" s="157"/>
      <c r="E66" s="157"/>
      <c r="F66" s="157"/>
      <c r="G66" s="157"/>
      <c r="H66" s="158"/>
      <c r="I66" s="157"/>
      <c r="J66" s="157"/>
      <c r="K66" s="157"/>
    </row>
    <row r="67" spans="1:11" x14ac:dyDescent="0.2">
      <c r="A67" s="156"/>
      <c r="B67" s="157"/>
      <c r="C67" s="157"/>
      <c r="D67" s="157"/>
      <c r="E67" s="157"/>
      <c r="F67" s="157"/>
      <c r="G67" s="158"/>
      <c r="H67" s="158"/>
      <c r="I67" s="157"/>
      <c r="J67" s="157"/>
      <c r="K67" s="157"/>
    </row>
    <row r="68" spans="1:11" x14ac:dyDescent="0.2">
      <c r="A68" s="156"/>
      <c r="B68" s="157"/>
      <c r="C68" s="157"/>
      <c r="D68" s="157"/>
      <c r="E68" s="158"/>
      <c r="F68" s="158"/>
      <c r="G68" s="158"/>
      <c r="H68" s="158"/>
      <c r="I68" s="157"/>
      <c r="J68" s="157"/>
      <c r="K68" s="157"/>
    </row>
    <row r="69" spans="1:11" x14ac:dyDescent="0.2">
      <c r="A69" s="156"/>
      <c r="B69" s="158"/>
      <c r="C69" s="157"/>
      <c r="D69" s="157"/>
      <c r="E69" s="158"/>
      <c r="F69" s="157"/>
      <c r="G69" s="157"/>
      <c r="H69" s="158"/>
      <c r="I69" s="157"/>
      <c r="J69" s="157"/>
      <c r="K69" s="157"/>
    </row>
    <row r="70" spans="1:11" x14ac:dyDescent="0.2">
      <c r="A70" s="156"/>
      <c r="B70" s="158"/>
      <c r="C70" s="157"/>
      <c r="D70" s="157"/>
      <c r="E70" s="158"/>
      <c r="F70" s="158"/>
      <c r="G70" s="157"/>
      <c r="H70" s="158"/>
      <c r="I70" s="157"/>
      <c r="J70" s="157"/>
      <c r="K70" s="157"/>
    </row>
    <row r="71" spans="1:11" x14ac:dyDescent="0.2">
      <c r="A71" s="156"/>
      <c r="B71" s="157"/>
      <c r="C71" s="157"/>
      <c r="D71" s="157"/>
      <c r="E71" s="158"/>
      <c r="F71" s="158"/>
      <c r="G71" s="158"/>
      <c r="H71" s="157"/>
      <c r="I71" s="157"/>
      <c r="J71" s="157"/>
      <c r="K71" s="157"/>
    </row>
    <row r="72" spans="1:11" x14ac:dyDescent="0.2">
      <c r="A72" s="156"/>
      <c r="B72" s="158"/>
      <c r="C72" s="157"/>
      <c r="D72" s="157"/>
      <c r="E72" s="158"/>
      <c r="F72" s="157"/>
      <c r="G72" s="158"/>
      <c r="H72" s="158"/>
      <c r="I72" s="157"/>
      <c r="J72" s="157"/>
      <c r="K72" s="157"/>
    </row>
    <row r="73" spans="1:11" x14ac:dyDescent="0.2">
      <c r="A73" s="156"/>
      <c r="B73" s="157"/>
      <c r="C73" s="157"/>
      <c r="D73" s="157"/>
      <c r="E73" s="158"/>
      <c r="F73" s="157"/>
      <c r="G73" s="157"/>
      <c r="H73" s="158"/>
      <c r="I73" s="157"/>
      <c r="J73" s="157"/>
      <c r="K73" s="157"/>
    </row>
    <row r="74" spans="1:11" x14ac:dyDescent="0.2">
      <c r="A74" s="156"/>
      <c r="B74" s="157"/>
      <c r="C74" s="157"/>
      <c r="D74" s="157"/>
      <c r="E74" s="158"/>
      <c r="F74" s="157"/>
      <c r="G74" s="157"/>
      <c r="H74" s="158"/>
      <c r="I74" s="157"/>
      <c r="J74" s="157"/>
      <c r="K74" s="157"/>
    </row>
    <row r="75" spans="1:11" x14ac:dyDescent="0.2">
      <c r="A75" s="156"/>
      <c r="B75" s="158"/>
      <c r="C75" s="157"/>
      <c r="D75" s="157"/>
      <c r="E75" s="158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B3:B4"/>
    <mergeCell ref="C3:C4"/>
    <mergeCell ref="D3:D4"/>
    <mergeCell ref="E3:E4"/>
    <mergeCell ref="F3:F4"/>
    <mergeCell ref="G3:G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55"/>
  <sheetViews>
    <sheetView topLeftCell="A94" workbookViewId="0">
      <selection activeCell="B104" sqref="B104:I117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113</v>
      </c>
      <c r="C5" s="157" t="s">
        <v>0</v>
      </c>
      <c r="D5" s="157" t="s">
        <v>177</v>
      </c>
      <c r="E5" s="157" t="s">
        <v>4</v>
      </c>
      <c r="F5" s="157" t="s">
        <v>9</v>
      </c>
      <c r="G5" s="157" t="s">
        <v>156</v>
      </c>
      <c r="H5" s="157" t="s">
        <v>159</v>
      </c>
      <c r="I5" s="157"/>
      <c r="J5" s="157"/>
      <c r="K5" s="157"/>
    </row>
    <row r="6" spans="1:11" x14ac:dyDescent="0.2">
      <c r="A6" s="156"/>
      <c r="B6" s="158" t="s">
        <v>113</v>
      </c>
      <c r="C6" s="157" t="s">
        <v>1</v>
      </c>
      <c r="D6" s="158" t="s">
        <v>177</v>
      </c>
      <c r="E6" s="158" t="s">
        <v>4</v>
      </c>
      <c r="F6" s="158" t="s">
        <v>9</v>
      </c>
      <c r="G6" s="158" t="s">
        <v>156</v>
      </c>
      <c r="H6" s="158" t="s">
        <v>159</v>
      </c>
      <c r="I6" s="157"/>
      <c r="J6" s="157"/>
      <c r="K6" s="157"/>
    </row>
    <row r="7" spans="1:11" x14ac:dyDescent="0.2">
      <c r="A7" s="156"/>
      <c r="B7" s="158" t="s">
        <v>113</v>
      </c>
      <c r="C7" s="158" t="s">
        <v>1</v>
      </c>
      <c r="D7" s="158" t="s">
        <v>177</v>
      </c>
      <c r="E7" s="157" t="s">
        <v>3</v>
      </c>
      <c r="F7" s="158" t="s">
        <v>9</v>
      </c>
      <c r="G7" s="158" t="s">
        <v>156</v>
      </c>
      <c r="H7" s="158" t="s">
        <v>159</v>
      </c>
      <c r="I7" s="157"/>
      <c r="J7" s="157"/>
      <c r="K7" s="157"/>
    </row>
    <row r="8" spans="1:11" x14ac:dyDescent="0.2">
      <c r="A8" s="156"/>
      <c r="B8" s="158" t="s">
        <v>113</v>
      </c>
      <c r="C8" s="158" t="s">
        <v>1</v>
      </c>
      <c r="D8" s="158" t="s">
        <v>177</v>
      </c>
      <c r="E8" s="158" t="s">
        <v>4</v>
      </c>
      <c r="F8" s="158" t="s">
        <v>23</v>
      </c>
      <c r="G8" s="158" t="s">
        <v>158</v>
      </c>
      <c r="H8" s="158" t="s">
        <v>159</v>
      </c>
      <c r="I8" s="157"/>
      <c r="J8" s="157"/>
      <c r="K8" s="157"/>
    </row>
    <row r="9" spans="1:11" x14ac:dyDescent="0.2">
      <c r="A9" s="156"/>
      <c r="B9" s="158" t="s">
        <v>113</v>
      </c>
      <c r="C9" s="158" t="s">
        <v>0</v>
      </c>
      <c r="D9" s="158" t="s">
        <v>177</v>
      </c>
      <c r="E9" s="158" t="s">
        <v>4</v>
      </c>
      <c r="F9" s="157" t="s">
        <v>10</v>
      </c>
      <c r="G9" s="157" t="s">
        <v>228</v>
      </c>
      <c r="H9" s="158" t="s">
        <v>7</v>
      </c>
      <c r="I9" s="157" t="s">
        <v>133</v>
      </c>
      <c r="J9" s="157"/>
      <c r="K9" s="157"/>
    </row>
    <row r="10" spans="1:11" x14ac:dyDescent="0.2">
      <c r="A10" s="156"/>
      <c r="B10" s="158" t="s">
        <v>113</v>
      </c>
      <c r="C10" s="158" t="s">
        <v>0</v>
      </c>
      <c r="D10" s="158" t="s">
        <v>177</v>
      </c>
      <c r="E10" s="158" t="s">
        <v>4</v>
      </c>
      <c r="F10" s="158" t="s">
        <v>10</v>
      </c>
      <c r="G10" s="158" t="s">
        <v>156</v>
      </c>
      <c r="H10" s="158" t="s">
        <v>7</v>
      </c>
      <c r="I10" s="158" t="s">
        <v>133</v>
      </c>
      <c r="J10" s="157"/>
      <c r="K10" s="157"/>
    </row>
    <row r="11" spans="1:11" x14ac:dyDescent="0.2">
      <c r="A11" s="156"/>
      <c r="B11" s="158" t="s">
        <v>113</v>
      </c>
      <c r="C11" s="158" t="s">
        <v>1</v>
      </c>
      <c r="D11" s="158" t="s">
        <v>177</v>
      </c>
      <c r="E11" s="158" t="s">
        <v>4</v>
      </c>
      <c r="F11" s="158" t="s">
        <v>110</v>
      </c>
      <c r="G11" s="158" t="s">
        <v>110</v>
      </c>
      <c r="H11" s="158" t="s">
        <v>7</v>
      </c>
      <c r="I11" s="158" t="s">
        <v>133</v>
      </c>
      <c r="J11" s="157"/>
      <c r="K11" s="157"/>
    </row>
    <row r="12" spans="1:11" x14ac:dyDescent="0.2">
      <c r="A12" s="156"/>
      <c r="B12" s="158" t="s">
        <v>113</v>
      </c>
      <c r="C12" s="158" t="s">
        <v>0</v>
      </c>
      <c r="D12" s="158" t="s">
        <v>177</v>
      </c>
      <c r="E12" s="158" t="s">
        <v>4</v>
      </c>
      <c r="F12" s="158" t="s">
        <v>10</v>
      </c>
      <c r="G12" s="158" t="s">
        <v>228</v>
      </c>
      <c r="H12" s="158" t="s">
        <v>7</v>
      </c>
      <c r="I12" s="158" t="s">
        <v>133</v>
      </c>
      <c r="J12" s="157"/>
      <c r="K12" s="157"/>
    </row>
    <row r="13" spans="1:11" x14ac:dyDescent="0.2">
      <c r="A13" s="156"/>
      <c r="B13" s="158" t="s">
        <v>113</v>
      </c>
      <c r="C13" s="158" t="s">
        <v>0</v>
      </c>
      <c r="D13" s="158" t="s">
        <v>177</v>
      </c>
      <c r="E13" s="158" t="s">
        <v>3</v>
      </c>
      <c r="F13" s="157" t="s">
        <v>56</v>
      </c>
      <c r="G13" s="158" t="s">
        <v>156</v>
      </c>
      <c r="H13" s="158" t="s">
        <v>7</v>
      </c>
      <c r="I13" s="158" t="s">
        <v>133</v>
      </c>
      <c r="J13" s="157"/>
      <c r="K13" s="157"/>
    </row>
    <row r="14" spans="1:11" x14ac:dyDescent="0.2">
      <c r="A14" s="156"/>
      <c r="B14" s="158" t="s">
        <v>113</v>
      </c>
      <c r="C14" s="158" t="s">
        <v>0</v>
      </c>
      <c r="D14" s="158" t="s">
        <v>177</v>
      </c>
      <c r="E14" s="158" t="s">
        <v>4</v>
      </c>
      <c r="F14" s="158" t="s">
        <v>10</v>
      </c>
      <c r="G14" s="158" t="s">
        <v>228</v>
      </c>
      <c r="H14" s="158" t="s">
        <v>7</v>
      </c>
      <c r="I14" s="158" t="s">
        <v>133</v>
      </c>
      <c r="J14" s="158"/>
      <c r="K14" s="158"/>
    </row>
    <row r="15" spans="1:11" x14ac:dyDescent="0.2">
      <c r="A15" s="156"/>
      <c r="B15" s="158" t="s">
        <v>113</v>
      </c>
      <c r="C15" s="158" t="s">
        <v>0</v>
      </c>
      <c r="D15" s="158" t="s">
        <v>177</v>
      </c>
      <c r="E15" s="158" t="s">
        <v>4</v>
      </c>
      <c r="F15" s="157" t="s">
        <v>234</v>
      </c>
      <c r="G15" s="158" t="s">
        <v>156</v>
      </c>
      <c r="H15" s="158" t="s">
        <v>7</v>
      </c>
      <c r="I15" s="158" t="s">
        <v>133</v>
      </c>
      <c r="J15" s="158"/>
      <c r="K15" s="158"/>
    </row>
    <row r="16" spans="1:11" x14ac:dyDescent="0.2">
      <c r="A16" s="156"/>
      <c r="B16" s="158" t="s">
        <v>113</v>
      </c>
      <c r="C16" s="157" t="s">
        <v>202</v>
      </c>
      <c r="D16" s="157"/>
      <c r="E16" s="157"/>
      <c r="F16" s="157"/>
      <c r="G16" s="158"/>
      <c r="H16" s="158"/>
      <c r="I16" s="158"/>
      <c r="J16" s="158"/>
      <c r="K16" s="158"/>
    </row>
    <row r="17" spans="1:11" x14ac:dyDescent="0.2">
      <c r="A17" s="156"/>
      <c r="B17" s="157" t="s">
        <v>112</v>
      </c>
      <c r="C17" s="158" t="s">
        <v>0</v>
      </c>
      <c r="D17" s="157" t="s">
        <v>2</v>
      </c>
      <c r="E17" s="157" t="s">
        <v>3</v>
      </c>
      <c r="F17" s="157" t="s">
        <v>23</v>
      </c>
      <c r="G17" s="158" t="s">
        <v>110</v>
      </c>
      <c r="H17" s="158" t="s">
        <v>159</v>
      </c>
      <c r="I17" s="157"/>
      <c r="J17" s="157"/>
      <c r="K17" s="157"/>
    </row>
    <row r="18" spans="1:11" x14ac:dyDescent="0.2">
      <c r="A18" s="156"/>
      <c r="B18" s="158" t="s">
        <v>112</v>
      </c>
      <c r="C18" s="158" t="s">
        <v>1</v>
      </c>
      <c r="D18" s="158" t="s">
        <v>2</v>
      </c>
      <c r="E18" s="158" t="s">
        <v>4</v>
      </c>
      <c r="F18" s="158" t="s">
        <v>23</v>
      </c>
      <c r="G18" s="158" t="s">
        <v>110</v>
      </c>
      <c r="H18" s="158" t="s">
        <v>159</v>
      </c>
      <c r="I18" s="158"/>
      <c r="J18" s="158"/>
      <c r="K18" s="158"/>
    </row>
    <row r="19" spans="1:11" x14ac:dyDescent="0.2">
      <c r="A19" s="156"/>
      <c r="B19" s="158" t="s">
        <v>112</v>
      </c>
      <c r="C19" s="158" t="s">
        <v>1</v>
      </c>
      <c r="D19" s="158" t="s">
        <v>2</v>
      </c>
      <c r="E19" s="158" t="s">
        <v>4</v>
      </c>
      <c r="F19" s="158" t="s">
        <v>23</v>
      </c>
      <c r="G19" s="158" t="s">
        <v>110</v>
      </c>
      <c r="H19" s="158" t="s">
        <v>159</v>
      </c>
      <c r="I19" s="157"/>
      <c r="J19" s="157"/>
      <c r="K19" s="157"/>
    </row>
    <row r="20" spans="1:11" x14ac:dyDescent="0.2">
      <c r="A20" s="156"/>
      <c r="B20" s="158" t="s">
        <v>112</v>
      </c>
      <c r="C20" s="158" t="s">
        <v>0</v>
      </c>
      <c r="D20" s="158" t="s">
        <v>177</v>
      </c>
      <c r="E20" s="158" t="s">
        <v>4</v>
      </c>
      <c r="F20" s="158" t="s">
        <v>10</v>
      </c>
      <c r="G20" s="158" t="s">
        <v>110</v>
      </c>
      <c r="H20" s="158" t="s">
        <v>159</v>
      </c>
      <c r="I20" s="158"/>
      <c r="J20" s="158"/>
      <c r="K20" s="158"/>
    </row>
    <row r="21" spans="1:11" x14ac:dyDescent="0.2">
      <c r="A21" s="156"/>
      <c r="B21" s="158" t="s">
        <v>112</v>
      </c>
      <c r="C21" s="158" t="s">
        <v>0</v>
      </c>
      <c r="D21" s="158" t="s">
        <v>177</v>
      </c>
      <c r="E21" s="158" t="s">
        <v>3</v>
      </c>
      <c r="F21" s="157" t="s">
        <v>12</v>
      </c>
      <c r="G21" s="158" t="s">
        <v>110</v>
      </c>
      <c r="H21" s="158" t="s">
        <v>159</v>
      </c>
      <c r="I21" s="158"/>
      <c r="J21" s="158"/>
      <c r="K21" s="158"/>
    </row>
    <row r="22" spans="1:11" x14ac:dyDescent="0.2">
      <c r="A22" s="156"/>
      <c r="B22" s="158" t="s">
        <v>112</v>
      </c>
      <c r="C22" s="158" t="s">
        <v>1</v>
      </c>
      <c r="D22" s="158" t="s">
        <v>177</v>
      </c>
      <c r="E22" s="158" t="s">
        <v>4</v>
      </c>
      <c r="F22" s="158" t="s">
        <v>12</v>
      </c>
      <c r="G22" s="158" t="s">
        <v>110</v>
      </c>
      <c r="H22" s="158" t="s">
        <v>159</v>
      </c>
      <c r="I22" s="158"/>
      <c r="J22" s="158"/>
      <c r="K22" s="158"/>
    </row>
    <row r="23" spans="1:11" x14ac:dyDescent="0.2">
      <c r="A23" s="156"/>
      <c r="B23" s="158" t="s">
        <v>112</v>
      </c>
      <c r="C23" s="158" t="s">
        <v>0</v>
      </c>
      <c r="D23" s="158" t="s">
        <v>177</v>
      </c>
      <c r="E23" s="158" t="s">
        <v>3</v>
      </c>
      <c r="F23" s="158" t="s">
        <v>9</v>
      </c>
      <c r="G23" s="158" t="s">
        <v>156</v>
      </c>
      <c r="H23" s="157" t="s">
        <v>17</v>
      </c>
      <c r="I23" s="157" t="s">
        <v>130</v>
      </c>
      <c r="J23" s="157"/>
      <c r="K23" s="157"/>
    </row>
    <row r="24" spans="1:11" x14ac:dyDescent="0.2">
      <c r="A24" s="156"/>
      <c r="B24" s="158" t="s">
        <v>112</v>
      </c>
      <c r="C24" s="158" t="s">
        <v>1</v>
      </c>
      <c r="D24" s="158" t="s">
        <v>177</v>
      </c>
      <c r="E24" s="158" t="s">
        <v>4</v>
      </c>
      <c r="F24" s="158" t="s">
        <v>9</v>
      </c>
      <c r="G24" s="158" t="s">
        <v>156</v>
      </c>
      <c r="H24" s="158" t="s">
        <v>159</v>
      </c>
      <c r="I24" s="158"/>
      <c r="J24" s="158"/>
      <c r="K24" s="158"/>
    </row>
    <row r="25" spans="1:11" x14ac:dyDescent="0.2">
      <c r="A25" s="156"/>
      <c r="B25" s="158" t="s">
        <v>112</v>
      </c>
      <c r="C25" s="158" t="s">
        <v>0</v>
      </c>
      <c r="D25" s="158" t="s">
        <v>177</v>
      </c>
      <c r="E25" s="158" t="s">
        <v>4</v>
      </c>
      <c r="F25" s="158" t="s">
        <v>106</v>
      </c>
      <c r="G25" s="158" t="s">
        <v>228</v>
      </c>
      <c r="H25" s="158" t="s">
        <v>17</v>
      </c>
      <c r="I25" s="158" t="s">
        <v>130</v>
      </c>
      <c r="J25" s="157"/>
      <c r="K25" s="157"/>
    </row>
    <row r="26" spans="1:11" x14ac:dyDescent="0.2">
      <c r="A26" s="156"/>
      <c r="B26" s="158" t="s">
        <v>112</v>
      </c>
      <c r="C26" s="158" t="s">
        <v>0</v>
      </c>
      <c r="D26" s="158" t="s">
        <v>177</v>
      </c>
      <c r="E26" s="158" t="s">
        <v>4</v>
      </c>
      <c r="F26" s="158" t="s">
        <v>23</v>
      </c>
      <c r="G26" s="158" t="s">
        <v>228</v>
      </c>
      <c r="H26" s="158" t="s">
        <v>17</v>
      </c>
      <c r="I26" s="158" t="s">
        <v>130</v>
      </c>
      <c r="J26" s="157"/>
      <c r="K26" s="157"/>
    </row>
    <row r="27" spans="1:11" x14ac:dyDescent="0.2">
      <c r="A27" s="156"/>
      <c r="B27" s="158" t="s">
        <v>112</v>
      </c>
      <c r="C27" s="158" t="s">
        <v>0</v>
      </c>
      <c r="D27" s="158" t="s">
        <v>177</v>
      </c>
      <c r="E27" s="158" t="s">
        <v>3</v>
      </c>
      <c r="F27" s="157" t="s">
        <v>13</v>
      </c>
      <c r="G27" s="158" t="s">
        <v>155</v>
      </c>
      <c r="H27" s="158" t="s">
        <v>159</v>
      </c>
      <c r="I27" s="157"/>
      <c r="J27" s="157"/>
      <c r="K27" s="157"/>
    </row>
    <row r="28" spans="1:11" x14ac:dyDescent="0.2">
      <c r="A28" s="156"/>
      <c r="B28" s="158" t="s">
        <v>112</v>
      </c>
      <c r="C28" s="158" t="s">
        <v>1</v>
      </c>
      <c r="D28" s="158" t="s">
        <v>177</v>
      </c>
      <c r="E28" s="158" t="s">
        <v>4</v>
      </c>
      <c r="F28" s="158" t="s">
        <v>13</v>
      </c>
      <c r="G28" s="158" t="s">
        <v>155</v>
      </c>
      <c r="H28" s="158" t="s">
        <v>159</v>
      </c>
      <c r="I28" s="157"/>
      <c r="J28" s="157"/>
      <c r="K28" s="157"/>
    </row>
    <row r="29" spans="1:11" x14ac:dyDescent="0.2">
      <c r="A29" s="156"/>
      <c r="B29" s="158" t="s">
        <v>112</v>
      </c>
      <c r="C29" s="158" t="s">
        <v>0</v>
      </c>
      <c r="D29" s="158" t="s">
        <v>177</v>
      </c>
      <c r="E29" s="158" t="s">
        <v>4</v>
      </c>
      <c r="F29" s="158" t="s">
        <v>9</v>
      </c>
      <c r="G29" s="158" t="s">
        <v>156</v>
      </c>
      <c r="H29" s="158" t="s">
        <v>159</v>
      </c>
      <c r="I29" s="157"/>
      <c r="J29" s="157"/>
      <c r="K29" s="157"/>
    </row>
    <row r="30" spans="1:11" x14ac:dyDescent="0.2">
      <c r="A30" s="156"/>
      <c r="B30" s="158" t="s">
        <v>112</v>
      </c>
      <c r="C30" s="158" t="s">
        <v>1</v>
      </c>
      <c r="D30" s="158" t="s">
        <v>177</v>
      </c>
      <c r="E30" s="158" t="s">
        <v>3</v>
      </c>
      <c r="F30" s="158" t="s">
        <v>9</v>
      </c>
      <c r="G30" s="158" t="s">
        <v>156</v>
      </c>
      <c r="H30" s="158" t="s">
        <v>159</v>
      </c>
      <c r="I30" s="157"/>
      <c r="J30" s="157"/>
      <c r="K30" s="157"/>
    </row>
    <row r="31" spans="1:11" x14ac:dyDescent="0.2">
      <c r="A31" s="156"/>
      <c r="B31" s="158" t="s">
        <v>112</v>
      </c>
      <c r="C31" s="158" t="s">
        <v>1</v>
      </c>
      <c r="D31" s="158" t="s">
        <v>177</v>
      </c>
      <c r="E31" s="158" t="s">
        <v>4</v>
      </c>
      <c r="F31" s="158" t="s">
        <v>9</v>
      </c>
      <c r="G31" s="158" t="s">
        <v>156</v>
      </c>
      <c r="H31" s="158" t="s">
        <v>159</v>
      </c>
      <c r="I31" s="157"/>
      <c r="J31" s="157"/>
      <c r="K31" s="157"/>
    </row>
    <row r="32" spans="1:11" x14ac:dyDescent="0.2">
      <c r="A32" s="156"/>
      <c r="B32" s="158" t="s">
        <v>112</v>
      </c>
      <c r="C32" s="158" t="s">
        <v>0</v>
      </c>
      <c r="D32" s="158" t="s">
        <v>177</v>
      </c>
      <c r="E32" s="158" t="s">
        <v>3</v>
      </c>
      <c r="F32" s="157" t="s">
        <v>16</v>
      </c>
      <c r="G32" s="158" t="s">
        <v>228</v>
      </c>
      <c r="H32" s="158" t="s">
        <v>159</v>
      </c>
      <c r="I32" s="157"/>
      <c r="J32" s="157"/>
      <c r="K32" s="157"/>
    </row>
    <row r="33" spans="1:11" x14ac:dyDescent="0.2">
      <c r="A33" s="156"/>
      <c r="B33" s="158" t="s">
        <v>112</v>
      </c>
      <c r="C33" s="158" t="s">
        <v>1</v>
      </c>
      <c r="D33" s="158" t="s">
        <v>177</v>
      </c>
      <c r="E33" s="158" t="s">
        <v>3</v>
      </c>
      <c r="F33" s="158" t="s">
        <v>106</v>
      </c>
      <c r="G33" s="158" t="s">
        <v>158</v>
      </c>
      <c r="H33" s="158" t="s">
        <v>159</v>
      </c>
      <c r="I33" s="157"/>
      <c r="J33" s="157"/>
      <c r="K33" s="157"/>
    </row>
    <row r="34" spans="1:11" x14ac:dyDescent="0.2">
      <c r="A34" s="156"/>
      <c r="B34" s="158" t="s">
        <v>112</v>
      </c>
      <c r="C34" s="158" t="s">
        <v>0</v>
      </c>
      <c r="D34" s="158" t="s">
        <v>177</v>
      </c>
      <c r="E34" s="158" t="s">
        <v>3</v>
      </c>
      <c r="F34" s="158" t="s">
        <v>9</v>
      </c>
      <c r="G34" s="158" t="s">
        <v>156</v>
      </c>
      <c r="H34" s="158" t="s">
        <v>17</v>
      </c>
      <c r="I34" s="158" t="s">
        <v>130</v>
      </c>
      <c r="J34" s="157"/>
      <c r="K34" s="157"/>
    </row>
    <row r="35" spans="1:11" x14ac:dyDescent="0.2">
      <c r="A35" s="156"/>
      <c r="B35" s="158" t="s">
        <v>113</v>
      </c>
      <c r="C35" s="157" t="s">
        <v>202</v>
      </c>
      <c r="D35" s="157"/>
      <c r="E35" s="157"/>
      <c r="F35" s="157"/>
      <c r="G35" s="158"/>
      <c r="H35" s="157"/>
      <c r="I35" s="157"/>
      <c r="J35" s="157"/>
      <c r="K35" s="157"/>
    </row>
    <row r="36" spans="1:11" x14ac:dyDescent="0.2">
      <c r="A36" s="156"/>
      <c r="B36" s="158" t="s">
        <v>113</v>
      </c>
      <c r="C36" s="158" t="s">
        <v>202</v>
      </c>
      <c r="D36" s="157"/>
      <c r="E36" s="157"/>
      <c r="F36" s="157"/>
      <c r="G36" s="158"/>
      <c r="H36" s="158"/>
      <c r="I36" s="157"/>
      <c r="J36" s="157"/>
      <c r="K36" s="157"/>
    </row>
    <row r="37" spans="1:11" x14ac:dyDescent="0.2">
      <c r="A37" s="156"/>
      <c r="B37" s="158" t="s">
        <v>113</v>
      </c>
      <c r="C37" s="158" t="s">
        <v>202</v>
      </c>
      <c r="D37" s="157"/>
      <c r="E37" s="157"/>
      <c r="F37" s="157"/>
      <c r="G37" s="157"/>
      <c r="H37" s="158"/>
      <c r="I37" s="157"/>
      <c r="J37" s="157"/>
      <c r="K37" s="157"/>
    </row>
    <row r="38" spans="1:11" x14ac:dyDescent="0.2">
      <c r="A38" s="156"/>
      <c r="B38" s="158" t="s">
        <v>113</v>
      </c>
      <c r="C38" s="158" t="s">
        <v>202</v>
      </c>
      <c r="D38" s="157"/>
      <c r="E38" s="157"/>
      <c r="F38" s="158"/>
      <c r="G38" s="157"/>
      <c r="H38" s="158"/>
      <c r="I38" s="157"/>
      <c r="J38" s="157"/>
      <c r="K38" s="157"/>
    </row>
    <row r="39" spans="1:11" x14ac:dyDescent="0.2">
      <c r="A39" s="156"/>
      <c r="B39" s="158" t="s">
        <v>113</v>
      </c>
      <c r="C39" s="158" t="s">
        <v>202</v>
      </c>
      <c r="D39" s="157"/>
      <c r="E39" s="157"/>
      <c r="F39" s="157"/>
      <c r="G39" s="158"/>
      <c r="H39" s="158"/>
      <c r="I39" s="157"/>
      <c r="J39" s="157"/>
      <c r="K39" s="157"/>
    </row>
    <row r="40" spans="1:11" x14ac:dyDescent="0.2">
      <c r="A40" s="156"/>
      <c r="B40" s="158" t="s">
        <v>113</v>
      </c>
      <c r="C40" s="158" t="s">
        <v>202</v>
      </c>
      <c r="D40" s="157"/>
      <c r="E40" s="157"/>
      <c r="F40" s="158"/>
      <c r="G40" s="158"/>
      <c r="H40" s="158"/>
      <c r="I40" s="157"/>
      <c r="J40" s="157"/>
      <c r="K40" s="157"/>
    </row>
    <row r="41" spans="1:11" x14ac:dyDescent="0.2">
      <c r="A41" s="156"/>
      <c r="B41" s="158" t="s">
        <v>113</v>
      </c>
      <c r="C41" s="158" t="s">
        <v>202</v>
      </c>
      <c r="D41" s="157"/>
      <c r="E41" s="157"/>
      <c r="F41" s="158"/>
      <c r="G41" s="157"/>
      <c r="H41" s="157"/>
      <c r="I41" s="157"/>
      <c r="J41" s="157"/>
      <c r="K41" s="157"/>
    </row>
    <row r="42" spans="1:11" x14ac:dyDescent="0.2">
      <c r="A42" s="156"/>
      <c r="B42" s="158" t="s">
        <v>113</v>
      </c>
      <c r="C42" s="158" t="s">
        <v>202</v>
      </c>
      <c r="D42" s="157"/>
      <c r="E42" s="157"/>
      <c r="F42" s="157"/>
      <c r="G42" s="157"/>
      <c r="H42" s="158"/>
      <c r="I42" s="157"/>
      <c r="J42" s="157"/>
      <c r="K42" s="157"/>
    </row>
    <row r="43" spans="1:11" x14ac:dyDescent="0.2">
      <c r="A43" s="156"/>
      <c r="B43" s="158" t="s">
        <v>113</v>
      </c>
      <c r="C43" s="158" t="s">
        <v>202</v>
      </c>
      <c r="D43" s="157"/>
      <c r="E43" s="157"/>
      <c r="F43" s="157"/>
      <c r="G43" s="158"/>
      <c r="H43" s="158"/>
      <c r="I43" s="157"/>
      <c r="J43" s="157"/>
      <c r="K43" s="157"/>
    </row>
    <row r="44" spans="1:11" x14ac:dyDescent="0.2">
      <c r="A44" s="156"/>
      <c r="B44" s="158" t="s">
        <v>113</v>
      </c>
      <c r="C44" s="158" t="s">
        <v>202</v>
      </c>
      <c r="D44" s="157"/>
      <c r="E44" s="157"/>
      <c r="F44" s="157"/>
      <c r="G44" s="158"/>
      <c r="H44" s="158"/>
      <c r="I44" s="157"/>
      <c r="J44" s="157"/>
      <c r="K44" s="157"/>
    </row>
    <row r="45" spans="1:11" x14ac:dyDescent="0.2">
      <c r="A45" s="156"/>
      <c r="B45" s="158" t="s">
        <v>113</v>
      </c>
      <c r="C45" s="158" t="s">
        <v>202</v>
      </c>
      <c r="D45" s="157"/>
      <c r="E45" s="157"/>
      <c r="F45" s="157"/>
      <c r="G45" s="157"/>
      <c r="H45" s="158"/>
      <c r="I45" s="157"/>
      <c r="J45" s="157"/>
      <c r="K45" s="157"/>
    </row>
    <row r="46" spans="1:11" x14ac:dyDescent="0.2">
      <c r="A46" s="156"/>
      <c r="B46" s="158" t="s">
        <v>113</v>
      </c>
      <c r="C46" s="158" t="s">
        <v>202</v>
      </c>
      <c r="D46" s="157"/>
      <c r="E46" s="157"/>
      <c r="F46" s="157"/>
      <c r="G46" s="157"/>
      <c r="H46" s="158"/>
      <c r="I46" s="157"/>
      <c r="J46" s="157"/>
      <c r="K46" s="157"/>
    </row>
    <row r="47" spans="1:11" x14ac:dyDescent="0.2">
      <c r="A47" s="156"/>
      <c r="B47" s="158" t="s">
        <v>113</v>
      </c>
      <c r="C47" s="158" t="s">
        <v>202</v>
      </c>
      <c r="D47" s="157"/>
      <c r="E47" s="157"/>
      <c r="F47" s="157"/>
      <c r="G47" s="158"/>
      <c r="H47" s="157"/>
      <c r="I47" s="157"/>
      <c r="J47" s="157"/>
      <c r="K47" s="157"/>
    </row>
    <row r="48" spans="1:11" x14ac:dyDescent="0.2">
      <c r="A48" s="156"/>
      <c r="B48" s="158" t="s">
        <v>113</v>
      </c>
      <c r="C48" s="158" t="s">
        <v>202</v>
      </c>
      <c r="D48" s="157"/>
      <c r="E48" s="157"/>
      <c r="F48" s="157"/>
      <c r="G48" s="158"/>
      <c r="H48" s="158"/>
      <c r="I48" s="157"/>
      <c r="J48" s="157"/>
      <c r="K48" s="157"/>
    </row>
    <row r="49" spans="1:11" x14ac:dyDescent="0.2">
      <c r="A49" s="156"/>
      <c r="B49" s="158" t="s">
        <v>113</v>
      </c>
      <c r="C49" s="158" t="s">
        <v>202</v>
      </c>
      <c r="D49" s="157"/>
      <c r="E49" s="157"/>
      <c r="F49" s="157"/>
      <c r="G49" s="157"/>
      <c r="H49" s="158"/>
      <c r="I49" s="157"/>
      <c r="J49" s="157"/>
      <c r="K49" s="157"/>
    </row>
    <row r="50" spans="1:11" x14ac:dyDescent="0.2">
      <c r="A50" s="156"/>
      <c r="B50" s="158" t="s">
        <v>113</v>
      </c>
      <c r="C50" s="158" t="s">
        <v>202</v>
      </c>
      <c r="D50" s="157"/>
      <c r="E50" s="157"/>
      <c r="F50" s="157"/>
      <c r="G50" s="157"/>
      <c r="H50" s="158"/>
      <c r="I50" s="157"/>
      <c r="J50" s="157"/>
      <c r="K50" s="157"/>
    </row>
    <row r="51" spans="1:11" x14ac:dyDescent="0.2">
      <c r="A51" s="156"/>
      <c r="B51" s="158" t="s">
        <v>113</v>
      </c>
      <c r="C51" s="158" t="s">
        <v>202</v>
      </c>
      <c r="D51" s="157"/>
      <c r="E51" s="157"/>
      <c r="F51" s="157"/>
      <c r="G51" s="158"/>
      <c r="H51" s="158"/>
      <c r="I51" s="157"/>
      <c r="J51" s="157"/>
      <c r="K51" s="157"/>
    </row>
    <row r="52" spans="1:11" x14ac:dyDescent="0.2">
      <c r="A52" s="156"/>
      <c r="B52" s="158" t="s">
        <v>113</v>
      </c>
      <c r="C52" s="158" t="s">
        <v>202</v>
      </c>
      <c r="D52" s="157"/>
      <c r="E52" s="157"/>
      <c r="F52" s="157"/>
      <c r="G52" s="158"/>
      <c r="H52" s="158"/>
      <c r="I52" s="157"/>
      <c r="J52" s="157"/>
      <c r="K52" s="157"/>
    </row>
    <row r="53" spans="1:11" x14ac:dyDescent="0.2">
      <c r="A53" s="156"/>
      <c r="B53" s="158" t="s">
        <v>113</v>
      </c>
      <c r="C53" s="158" t="s">
        <v>202</v>
      </c>
      <c r="D53" s="157"/>
      <c r="E53" s="157"/>
      <c r="F53" s="158"/>
      <c r="G53" s="157"/>
      <c r="H53" s="157"/>
      <c r="I53" s="157"/>
      <c r="J53" s="157"/>
      <c r="K53" s="157"/>
    </row>
    <row r="54" spans="1:11" x14ac:dyDescent="0.2">
      <c r="A54" s="156"/>
      <c r="B54" s="158" t="s">
        <v>113</v>
      </c>
      <c r="C54" s="158" t="s">
        <v>202</v>
      </c>
      <c r="D54" s="157"/>
      <c r="E54" s="157"/>
      <c r="F54" s="157"/>
      <c r="G54" s="157"/>
      <c r="H54" s="158"/>
      <c r="I54" s="157"/>
      <c r="J54" s="157"/>
      <c r="K54" s="157"/>
    </row>
    <row r="55" spans="1:11" x14ac:dyDescent="0.2">
      <c r="A55" s="156"/>
      <c r="B55" s="158" t="s">
        <v>113</v>
      </c>
      <c r="C55" s="158" t="s">
        <v>0</v>
      </c>
      <c r="D55" s="158" t="s">
        <v>177</v>
      </c>
      <c r="E55" s="158" t="s">
        <v>3</v>
      </c>
      <c r="F55" s="158" t="s">
        <v>15</v>
      </c>
      <c r="G55" s="158" t="s">
        <v>155</v>
      </c>
      <c r="H55" s="158" t="s">
        <v>17</v>
      </c>
      <c r="I55" s="157" t="s">
        <v>132</v>
      </c>
      <c r="J55" s="157"/>
      <c r="K55" s="157"/>
    </row>
    <row r="56" spans="1:11" x14ac:dyDescent="0.2">
      <c r="A56" s="156"/>
      <c r="B56" s="158" t="s">
        <v>113</v>
      </c>
      <c r="C56" s="158" t="s">
        <v>1</v>
      </c>
      <c r="D56" s="158" t="s">
        <v>177</v>
      </c>
      <c r="E56" s="158" t="s">
        <v>4</v>
      </c>
      <c r="F56" s="158" t="s">
        <v>15</v>
      </c>
      <c r="G56" s="158" t="s">
        <v>155</v>
      </c>
      <c r="H56" s="158" t="s">
        <v>17</v>
      </c>
      <c r="I56" s="157" t="s">
        <v>132</v>
      </c>
      <c r="J56" s="157"/>
      <c r="K56" s="157"/>
    </row>
    <row r="57" spans="1:11" x14ac:dyDescent="0.2">
      <c r="A57" s="156"/>
      <c r="B57" s="158" t="s">
        <v>113</v>
      </c>
      <c r="C57" s="158" t="s">
        <v>1</v>
      </c>
      <c r="D57" s="158" t="s">
        <v>177</v>
      </c>
      <c r="E57" s="158" t="s">
        <v>3</v>
      </c>
      <c r="F57" s="158" t="s">
        <v>15</v>
      </c>
      <c r="G57" s="158" t="s">
        <v>156</v>
      </c>
      <c r="H57" s="158" t="s">
        <v>17</v>
      </c>
      <c r="I57" s="157" t="s">
        <v>130</v>
      </c>
      <c r="J57" s="157"/>
      <c r="K57" s="157"/>
    </row>
    <row r="58" spans="1:11" x14ac:dyDescent="0.2">
      <c r="A58" s="156"/>
      <c r="B58" s="158" t="s">
        <v>113</v>
      </c>
      <c r="C58" s="158" t="s">
        <v>1</v>
      </c>
      <c r="D58" s="158" t="s">
        <v>177</v>
      </c>
      <c r="E58" s="158" t="s">
        <v>4</v>
      </c>
      <c r="F58" s="158" t="s">
        <v>9</v>
      </c>
      <c r="G58" s="158" t="s">
        <v>155</v>
      </c>
      <c r="H58" s="158" t="s">
        <v>159</v>
      </c>
      <c r="I58" s="157"/>
      <c r="J58" s="157"/>
      <c r="K58" s="157"/>
    </row>
    <row r="59" spans="1:11" x14ac:dyDescent="0.2">
      <c r="A59" s="156"/>
      <c r="B59" s="158" t="s">
        <v>113</v>
      </c>
      <c r="C59" s="158" t="s">
        <v>0</v>
      </c>
      <c r="D59" s="158" t="s">
        <v>177</v>
      </c>
      <c r="E59" s="158" t="s">
        <v>4</v>
      </c>
      <c r="F59" s="158" t="s">
        <v>10</v>
      </c>
      <c r="G59" s="158" t="s">
        <v>155</v>
      </c>
      <c r="H59" s="158" t="s">
        <v>159</v>
      </c>
      <c r="I59" s="157"/>
      <c r="J59" s="157"/>
      <c r="K59" s="157"/>
    </row>
    <row r="60" spans="1:11" x14ac:dyDescent="0.2">
      <c r="A60" s="156"/>
      <c r="B60" s="158" t="s">
        <v>113</v>
      </c>
      <c r="C60" s="158" t="s">
        <v>0</v>
      </c>
      <c r="D60" s="158" t="s">
        <v>177</v>
      </c>
      <c r="E60" s="158" t="s">
        <v>4</v>
      </c>
      <c r="F60" s="157" t="s">
        <v>16</v>
      </c>
      <c r="G60" s="158" t="s">
        <v>156</v>
      </c>
      <c r="H60" s="158" t="s">
        <v>159</v>
      </c>
      <c r="I60" s="157"/>
      <c r="J60" s="157"/>
      <c r="K60" s="157"/>
    </row>
    <row r="61" spans="1:11" x14ac:dyDescent="0.2">
      <c r="A61" s="156"/>
      <c r="B61" s="158" t="s">
        <v>113</v>
      </c>
      <c r="C61" s="158" t="s">
        <v>1</v>
      </c>
      <c r="D61" s="158" t="s">
        <v>177</v>
      </c>
      <c r="E61" s="158" t="s">
        <v>4</v>
      </c>
      <c r="F61" s="158" t="s">
        <v>106</v>
      </c>
      <c r="G61" s="157" t="s">
        <v>158</v>
      </c>
      <c r="H61" s="158" t="s">
        <v>159</v>
      </c>
      <c r="I61" s="157"/>
      <c r="J61" s="157"/>
      <c r="K61" s="157"/>
    </row>
    <row r="62" spans="1:11" x14ac:dyDescent="0.2">
      <c r="A62" s="156"/>
      <c r="B62" s="158" t="s">
        <v>113</v>
      </c>
      <c r="C62" s="158" t="s">
        <v>0</v>
      </c>
      <c r="D62" s="158" t="s">
        <v>177</v>
      </c>
      <c r="E62" s="158" t="s">
        <v>3</v>
      </c>
      <c r="F62" s="158" t="s">
        <v>110</v>
      </c>
      <c r="G62" s="158" t="s">
        <v>155</v>
      </c>
      <c r="H62" s="158" t="s">
        <v>159</v>
      </c>
      <c r="I62" s="157"/>
      <c r="J62" s="157"/>
      <c r="K62" s="157"/>
    </row>
    <row r="63" spans="1:11" x14ac:dyDescent="0.2">
      <c r="A63" s="156"/>
      <c r="B63" s="158" t="s">
        <v>116</v>
      </c>
      <c r="C63" s="158" t="s">
        <v>0</v>
      </c>
      <c r="D63" s="158" t="s">
        <v>177</v>
      </c>
      <c r="E63" s="158" t="s">
        <v>4</v>
      </c>
      <c r="F63" s="158" t="s">
        <v>13</v>
      </c>
      <c r="G63" s="158" t="s">
        <v>110</v>
      </c>
      <c r="H63" s="158" t="s">
        <v>7</v>
      </c>
      <c r="I63" s="157" t="s">
        <v>143</v>
      </c>
      <c r="J63" s="157"/>
      <c r="K63" s="157"/>
    </row>
    <row r="64" spans="1:11" x14ac:dyDescent="0.2">
      <c r="A64" s="156"/>
      <c r="B64" s="158" t="s">
        <v>116</v>
      </c>
      <c r="C64" s="158" t="s">
        <v>1</v>
      </c>
      <c r="D64" s="158" t="s">
        <v>177</v>
      </c>
      <c r="E64" s="158" t="s">
        <v>4</v>
      </c>
      <c r="F64" s="158" t="s">
        <v>13</v>
      </c>
      <c r="G64" s="158" t="s">
        <v>110</v>
      </c>
      <c r="H64" s="158" t="s">
        <v>7</v>
      </c>
      <c r="I64" s="158" t="s">
        <v>143</v>
      </c>
      <c r="J64" s="157"/>
      <c r="K64" s="157"/>
    </row>
    <row r="65" spans="1:11" x14ac:dyDescent="0.2">
      <c r="A65" s="156"/>
      <c r="B65" s="158" t="s">
        <v>113</v>
      </c>
      <c r="C65" s="158" t="s">
        <v>0</v>
      </c>
      <c r="D65" s="158" t="s">
        <v>177</v>
      </c>
      <c r="E65" s="158" t="s">
        <v>4</v>
      </c>
      <c r="F65" s="158" t="s">
        <v>10</v>
      </c>
      <c r="G65" s="158" t="s">
        <v>155</v>
      </c>
      <c r="H65" s="158" t="s">
        <v>159</v>
      </c>
      <c r="I65" s="157"/>
      <c r="J65" s="157"/>
      <c r="K65" s="157"/>
    </row>
    <row r="66" spans="1:11" x14ac:dyDescent="0.2">
      <c r="A66" s="156"/>
      <c r="B66" s="158" t="s">
        <v>113</v>
      </c>
      <c r="C66" s="158" t="s">
        <v>1</v>
      </c>
      <c r="D66" s="158" t="s">
        <v>2</v>
      </c>
      <c r="E66" s="158" t="s">
        <v>4</v>
      </c>
      <c r="F66" s="158" t="s">
        <v>10</v>
      </c>
      <c r="G66" s="158" t="s">
        <v>155</v>
      </c>
      <c r="H66" s="158" t="s">
        <v>159</v>
      </c>
      <c r="I66" s="157"/>
      <c r="J66" s="157"/>
      <c r="K66" s="157"/>
    </row>
    <row r="67" spans="1:11" x14ac:dyDescent="0.2">
      <c r="A67" s="156"/>
      <c r="B67" s="158" t="s">
        <v>113</v>
      </c>
      <c r="C67" s="158" t="s">
        <v>1</v>
      </c>
      <c r="D67" s="158" t="s">
        <v>2</v>
      </c>
      <c r="E67" s="158" t="s">
        <v>4</v>
      </c>
      <c r="F67" s="158" t="s">
        <v>10</v>
      </c>
      <c r="G67" s="158" t="s">
        <v>158</v>
      </c>
      <c r="H67" s="158" t="s">
        <v>159</v>
      </c>
      <c r="I67" s="157"/>
      <c r="J67" s="157"/>
      <c r="K67" s="157"/>
    </row>
    <row r="68" spans="1:11" x14ac:dyDescent="0.2">
      <c r="A68" s="156"/>
      <c r="B68" s="158" t="s">
        <v>113</v>
      </c>
      <c r="C68" s="158" t="s">
        <v>0</v>
      </c>
      <c r="D68" s="158" t="s">
        <v>2</v>
      </c>
      <c r="E68" s="158" t="s">
        <v>3</v>
      </c>
      <c r="F68" s="158" t="s">
        <v>110</v>
      </c>
      <c r="G68" s="158" t="s">
        <v>155</v>
      </c>
      <c r="H68" s="158" t="s">
        <v>159</v>
      </c>
      <c r="I68" s="157"/>
      <c r="J68" s="157"/>
      <c r="K68" s="157"/>
    </row>
    <row r="69" spans="1:11" x14ac:dyDescent="0.2">
      <c r="A69" s="156"/>
      <c r="B69" s="158" t="s">
        <v>113</v>
      </c>
      <c r="C69" s="158" t="s">
        <v>1</v>
      </c>
      <c r="D69" s="158" t="s">
        <v>2</v>
      </c>
      <c r="E69" s="158" t="s">
        <v>4</v>
      </c>
      <c r="F69" s="158" t="s">
        <v>110</v>
      </c>
      <c r="G69" s="158" t="s">
        <v>155</v>
      </c>
      <c r="H69" s="158" t="s">
        <v>159</v>
      </c>
      <c r="I69" s="157"/>
      <c r="J69" s="157"/>
      <c r="K69" s="157"/>
    </row>
    <row r="70" spans="1:11" x14ac:dyDescent="0.2">
      <c r="A70" s="156"/>
      <c r="B70" s="158" t="s">
        <v>114</v>
      </c>
      <c r="C70" s="158" t="s">
        <v>0</v>
      </c>
      <c r="D70" s="158" t="s">
        <v>177</v>
      </c>
      <c r="E70" s="158" t="s">
        <v>4</v>
      </c>
      <c r="F70" s="158" t="s">
        <v>23</v>
      </c>
      <c r="G70" s="158" t="s">
        <v>228</v>
      </c>
      <c r="H70" s="158" t="s">
        <v>17</v>
      </c>
      <c r="I70" s="157" t="s">
        <v>130</v>
      </c>
      <c r="J70" s="157"/>
      <c r="K70" s="157"/>
    </row>
    <row r="71" spans="1:11" x14ac:dyDescent="0.2">
      <c r="A71" s="156"/>
      <c r="B71" s="158" t="s">
        <v>114</v>
      </c>
      <c r="C71" s="158" t="s">
        <v>0</v>
      </c>
      <c r="D71" s="158" t="s">
        <v>2</v>
      </c>
      <c r="E71" s="158" t="s">
        <v>4</v>
      </c>
      <c r="F71" s="158" t="s">
        <v>13</v>
      </c>
      <c r="G71" s="158" t="s">
        <v>228</v>
      </c>
      <c r="H71" s="158" t="s">
        <v>7</v>
      </c>
      <c r="I71" s="157" t="s">
        <v>130</v>
      </c>
      <c r="J71" s="157"/>
      <c r="K71" s="157"/>
    </row>
    <row r="72" spans="1:11" x14ac:dyDescent="0.2">
      <c r="A72" s="156"/>
      <c r="B72" s="158" t="s">
        <v>114</v>
      </c>
      <c r="C72" s="158" t="s">
        <v>1</v>
      </c>
      <c r="D72" s="158" t="s">
        <v>177</v>
      </c>
      <c r="E72" s="158" t="s">
        <v>4</v>
      </c>
      <c r="F72" s="158" t="s">
        <v>10</v>
      </c>
      <c r="G72" s="158" t="s">
        <v>156</v>
      </c>
      <c r="H72" s="158" t="s">
        <v>7</v>
      </c>
      <c r="I72" s="157" t="s">
        <v>120</v>
      </c>
      <c r="J72" s="157"/>
      <c r="K72" s="157"/>
    </row>
    <row r="73" spans="1:11" x14ac:dyDescent="0.2">
      <c r="A73" s="156"/>
      <c r="B73" s="158" t="s">
        <v>114</v>
      </c>
      <c r="C73" s="158" t="s">
        <v>1</v>
      </c>
      <c r="D73" s="158" t="s">
        <v>177</v>
      </c>
      <c r="E73" s="158" t="s">
        <v>4</v>
      </c>
      <c r="F73" s="158" t="s">
        <v>106</v>
      </c>
      <c r="G73" s="158" t="s">
        <v>156</v>
      </c>
      <c r="H73" s="158" t="s">
        <v>7</v>
      </c>
      <c r="I73" s="158" t="s">
        <v>120</v>
      </c>
      <c r="J73" s="157"/>
      <c r="K73" s="157"/>
    </row>
    <row r="74" spans="1:11" x14ac:dyDescent="0.2">
      <c r="A74" s="156"/>
      <c r="B74" s="158" t="s">
        <v>114</v>
      </c>
      <c r="C74" s="158" t="s">
        <v>1</v>
      </c>
      <c r="D74" s="158" t="s">
        <v>177</v>
      </c>
      <c r="E74" s="158" t="s">
        <v>3</v>
      </c>
      <c r="F74" s="158" t="s">
        <v>13</v>
      </c>
      <c r="G74" s="158" t="s">
        <v>156</v>
      </c>
      <c r="H74" s="158" t="s">
        <v>7</v>
      </c>
      <c r="I74" s="158" t="s">
        <v>120</v>
      </c>
      <c r="J74" s="157"/>
      <c r="K74" s="157"/>
    </row>
    <row r="75" spans="1:11" x14ac:dyDescent="0.2">
      <c r="A75" s="156"/>
      <c r="B75" s="158" t="s">
        <v>114</v>
      </c>
      <c r="C75" s="158" t="s">
        <v>1</v>
      </c>
      <c r="D75" s="158" t="s">
        <v>177</v>
      </c>
      <c r="E75" s="158" t="s">
        <v>3</v>
      </c>
      <c r="F75" s="158" t="s">
        <v>106</v>
      </c>
      <c r="G75" s="158" t="s">
        <v>156</v>
      </c>
      <c r="H75" s="158" t="s">
        <v>7</v>
      </c>
      <c r="I75" s="158" t="s">
        <v>120</v>
      </c>
      <c r="J75" s="157"/>
      <c r="K75" s="157"/>
    </row>
    <row r="76" spans="1:11" x14ac:dyDescent="0.2">
      <c r="A76" s="156"/>
      <c r="B76" s="158" t="s">
        <v>114</v>
      </c>
      <c r="C76" s="158" t="s">
        <v>1</v>
      </c>
      <c r="D76" s="158" t="s">
        <v>177</v>
      </c>
      <c r="E76" s="158" t="s">
        <v>3</v>
      </c>
      <c r="F76" s="158" t="s">
        <v>9</v>
      </c>
      <c r="G76" s="158" t="s">
        <v>158</v>
      </c>
      <c r="H76" s="158" t="s">
        <v>17</v>
      </c>
      <c r="I76" s="157" t="s">
        <v>130</v>
      </c>
      <c r="J76" s="157"/>
      <c r="K76" s="157"/>
    </row>
    <row r="77" spans="1:11" x14ac:dyDescent="0.2">
      <c r="A77" s="156"/>
      <c r="B77" s="158" t="s">
        <v>114</v>
      </c>
      <c r="C77" s="158" t="s">
        <v>0</v>
      </c>
      <c r="D77" s="158" t="s">
        <v>177</v>
      </c>
      <c r="E77" s="158" t="s">
        <v>3</v>
      </c>
      <c r="F77" s="158" t="s">
        <v>56</v>
      </c>
      <c r="G77" s="158" t="s">
        <v>156</v>
      </c>
      <c r="H77" s="158" t="s">
        <v>7</v>
      </c>
      <c r="I77" s="157" t="s">
        <v>254</v>
      </c>
      <c r="J77" s="157"/>
      <c r="K77" s="157"/>
    </row>
    <row r="78" spans="1:11" x14ac:dyDescent="0.2">
      <c r="A78" s="156"/>
      <c r="B78" s="158" t="s">
        <v>114</v>
      </c>
      <c r="C78" s="158" t="s">
        <v>0</v>
      </c>
      <c r="D78" s="158" t="s">
        <v>177</v>
      </c>
      <c r="E78" s="158" t="s">
        <v>4</v>
      </c>
      <c r="F78" s="158" t="s">
        <v>10</v>
      </c>
      <c r="G78" s="158" t="s">
        <v>156</v>
      </c>
      <c r="H78" s="158" t="s">
        <v>7</v>
      </c>
      <c r="I78" s="158" t="s">
        <v>254</v>
      </c>
      <c r="J78" s="157"/>
      <c r="K78" s="157"/>
    </row>
    <row r="79" spans="1:11" x14ac:dyDescent="0.2">
      <c r="A79" s="156"/>
      <c r="B79" s="158" t="s">
        <v>114</v>
      </c>
      <c r="C79" s="158" t="s">
        <v>0</v>
      </c>
      <c r="D79" s="158" t="s">
        <v>177</v>
      </c>
      <c r="E79" s="158" t="s">
        <v>4</v>
      </c>
      <c r="F79" s="158" t="s">
        <v>10</v>
      </c>
      <c r="G79" s="158" t="s">
        <v>156</v>
      </c>
      <c r="H79" s="158" t="s">
        <v>7</v>
      </c>
      <c r="I79" s="158" t="s">
        <v>254</v>
      </c>
      <c r="J79" s="157"/>
      <c r="K79" s="157"/>
    </row>
    <row r="80" spans="1:11" x14ac:dyDescent="0.2">
      <c r="A80" s="156"/>
      <c r="B80" s="158" t="s">
        <v>114</v>
      </c>
      <c r="C80" s="158" t="s">
        <v>0</v>
      </c>
      <c r="D80" s="158" t="s">
        <v>177</v>
      </c>
      <c r="E80" s="158" t="s">
        <v>3</v>
      </c>
      <c r="F80" s="158" t="s">
        <v>56</v>
      </c>
      <c r="G80" s="158" t="s">
        <v>156</v>
      </c>
      <c r="H80" s="158" t="s">
        <v>7</v>
      </c>
      <c r="I80" s="157" t="s">
        <v>119</v>
      </c>
      <c r="J80" s="157"/>
      <c r="K80" s="157"/>
    </row>
    <row r="81" spans="1:11" x14ac:dyDescent="0.2">
      <c r="A81" s="156"/>
      <c r="B81" s="158" t="s">
        <v>114</v>
      </c>
      <c r="C81" s="158" t="s">
        <v>0</v>
      </c>
      <c r="D81" s="158" t="s">
        <v>177</v>
      </c>
      <c r="E81" s="158" t="s">
        <v>3</v>
      </c>
      <c r="F81" s="158" t="s">
        <v>23</v>
      </c>
      <c r="G81" s="158" t="s">
        <v>156</v>
      </c>
      <c r="H81" s="158" t="s">
        <v>7</v>
      </c>
      <c r="I81" s="158" t="s">
        <v>119</v>
      </c>
      <c r="J81" s="157"/>
      <c r="K81" s="157"/>
    </row>
    <row r="82" spans="1:11" x14ac:dyDescent="0.2">
      <c r="A82" s="156"/>
      <c r="B82" s="158" t="s">
        <v>114</v>
      </c>
      <c r="C82" s="158" t="s">
        <v>0</v>
      </c>
      <c r="D82" s="158" t="s">
        <v>177</v>
      </c>
      <c r="E82" s="158" t="s">
        <v>3</v>
      </c>
      <c r="F82" s="158" t="s">
        <v>23</v>
      </c>
      <c r="G82" s="158" t="s">
        <v>156</v>
      </c>
      <c r="H82" s="158" t="s">
        <v>7</v>
      </c>
      <c r="I82" s="158" t="s">
        <v>119</v>
      </c>
      <c r="J82" s="157"/>
      <c r="K82" s="157"/>
    </row>
    <row r="83" spans="1:11" x14ac:dyDescent="0.2">
      <c r="A83" s="156"/>
      <c r="B83" s="158" t="s">
        <v>114</v>
      </c>
      <c r="C83" s="158" t="s">
        <v>0</v>
      </c>
      <c r="D83" s="158" t="s">
        <v>177</v>
      </c>
      <c r="E83" s="158" t="s">
        <v>3</v>
      </c>
      <c r="F83" s="158" t="s">
        <v>13</v>
      </c>
      <c r="G83" s="158" t="s">
        <v>156</v>
      </c>
      <c r="H83" s="158" t="s">
        <v>7</v>
      </c>
      <c r="I83" s="158" t="s">
        <v>119</v>
      </c>
      <c r="J83" s="157"/>
      <c r="K83" s="157"/>
    </row>
    <row r="84" spans="1:11" x14ac:dyDescent="0.2">
      <c r="A84" s="156"/>
      <c r="B84" s="158" t="s">
        <v>112</v>
      </c>
      <c r="C84" s="158" t="s">
        <v>0</v>
      </c>
      <c r="D84" s="158" t="s">
        <v>177</v>
      </c>
      <c r="E84" s="158" t="s">
        <v>3</v>
      </c>
      <c r="F84" s="158" t="s">
        <v>106</v>
      </c>
      <c r="G84" s="158" t="s">
        <v>155</v>
      </c>
      <c r="H84" s="158" t="s">
        <v>17</v>
      </c>
      <c r="I84" s="157" t="s">
        <v>130</v>
      </c>
      <c r="J84" s="157"/>
      <c r="K84" s="157"/>
    </row>
    <row r="85" spans="1:11" x14ac:dyDescent="0.2">
      <c r="A85" s="156"/>
      <c r="B85" s="158" t="s">
        <v>112</v>
      </c>
      <c r="C85" s="158" t="s">
        <v>0</v>
      </c>
      <c r="D85" s="158" t="s">
        <v>177</v>
      </c>
      <c r="E85" s="158" t="s">
        <v>4</v>
      </c>
      <c r="F85" s="158" t="s">
        <v>106</v>
      </c>
      <c r="G85" s="158" t="s">
        <v>228</v>
      </c>
      <c r="H85" s="158" t="s">
        <v>17</v>
      </c>
      <c r="I85" s="157" t="s">
        <v>130</v>
      </c>
      <c r="J85" s="157"/>
      <c r="K85" s="157"/>
    </row>
    <row r="86" spans="1:11" x14ac:dyDescent="0.2">
      <c r="A86" s="156"/>
      <c r="B86" s="158" t="s">
        <v>112</v>
      </c>
      <c r="C86" s="158" t="s">
        <v>0</v>
      </c>
      <c r="D86" s="158" t="s">
        <v>177</v>
      </c>
      <c r="E86" s="158" t="s">
        <v>3</v>
      </c>
      <c r="F86" s="158" t="s">
        <v>9</v>
      </c>
      <c r="G86" s="158" t="s">
        <v>156</v>
      </c>
      <c r="H86" s="158" t="s">
        <v>17</v>
      </c>
      <c r="I86" s="157" t="s">
        <v>130</v>
      </c>
      <c r="J86" s="157"/>
      <c r="K86" s="157"/>
    </row>
    <row r="87" spans="1:11" x14ac:dyDescent="0.2">
      <c r="A87" s="156"/>
      <c r="B87" s="158" t="s">
        <v>112</v>
      </c>
      <c r="C87" s="158" t="s">
        <v>1</v>
      </c>
      <c r="D87" s="158" t="s">
        <v>177</v>
      </c>
      <c r="E87" s="158" t="s">
        <v>4</v>
      </c>
      <c r="F87" s="158" t="s">
        <v>9</v>
      </c>
      <c r="G87" s="158" t="s">
        <v>156</v>
      </c>
      <c r="H87" s="158" t="s">
        <v>17</v>
      </c>
      <c r="I87" s="158" t="s">
        <v>130</v>
      </c>
      <c r="J87" s="157"/>
      <c r="K87" s="157"/>
    </row>
    <row r="88" spans="1:11" x14ac:dyDescent="0.2">
      <c r="A88" s="159"/>
      <c r="B88" s="158" t="s">
        <v>112</v>
      </c>
      <c r="C88" s="158" t="s">
        <v>0</v>
      </c>
      <c r="D88" s="158" t="s">
        <v>177</v>
      </c>
      <c r="E88" s="158" t="s">
        <v>3</v>
      </c>
      <c r="F88" s="158" t="s">
        <v>13</v>
      </c>
      <c r="G88" s="158" t="s">
        <v>228</v>
      </c>
      <c r="H88" s="158" t="s">
        <v>17</v>
      </c>
      <c r="I88" s="157" t="s">
        <v>130</v>
      </c>
      <c r="J88" s="157"/>
      <c r="K88" s="157"/>
    </row>
    <row r="89" spans="1:11" x14ac:dyDescent="0.2">
      <c r="A89" s="156"/>
      <c r="B89" s="158" t="s">
        <v>112</v>
      </c>
      <c r="C89" s="158" t="s">
        <v>1</v>
      </c>
      <c r="D89" s="158" t="s">
        <v>2</v>
      </c>
      <c r="E89" s="158" t="s">
        <v>4</v>
      </c>
      <c r="F89" s="158" t="s">
        <v>16</v>
      </c>
      <c r="G89" s="158" t="s">
        <v>155</v>
      </c>
      <c r="H89" s="158" t="s">
        <v>159</v>
      </c>
      <c r="I89" s="157"/>
      <c r="J89" s="157"/>
      <c r="K89" s="157"/>
    </row>
    <row r="90" spans="1:11" x14ac:dyDescent="0.2">
      <c r="A90" s="156"/>
      <c r="B90" s="158" t="s">
        <v>112</v>
      </c>
      <c r="C90" s="158" t="s">
        <v>1</v>
      </c>
      <c r="D90" s="158" t="s">
        <v>2</v>
      </c>
      <c r="E90" s="158" t="s">
        <v>3</v>
      </c>
      <c r="F90" s="158" t="s">
        <v>16</v>
      </c>
      <c r="G90" s="158" t="s">
        <v>155</v>
      </c>
      <c r="H90" s="158" t="s">
        <v>159</v>
      </c>
      <c r="I90" s="157"/>
      <c r="J90" s="157"/>
      <c r="K90" s="157"/>
    </row>
    <row r="91" spans="1:11" x14ac:dyDescent="0.2">
      <c r="A91" s="156"/>
      <c r="B91" s="158" t="s">
        <v>112</v>
      </c>
      <c r="C91" s="158" t="s">
        <v>1</v>
      </c>
      <c r="D91" s="158" t="s">
        <v>177</v>
      </c>
      <c r="E91" s="158" t="s">
        <v>4</v>
      </c>
      <c r="F91" s="158" t="s">
        <v>13</v>
      </c>
      <c r="G91" s="158" t="s">
        <v>158</v>
      </c>
      <c r="H91" s="158" t="s">
        <v>17</v>
      </c>
      <c r="I91" s="157" t="s">
        <v>130</v>
      </c>
      <c r="J91" s="157"/>
      <c r="K91" s="157"/>
    </row>
    <row r="92" spans="1:11" x14ac:dyDescent="0.2">
      <c r="A92" s="156"/>
      <c r="B92" s="158" t="s">
        <v>112</v>
      </c>
      <c r="C92" s="158" t="s">
        <v>1</v>
      </c>
      <c r="D92" s="158" t="s">
        <v>177</v>
      </c>
      <c r="E92" s="158" t="s">
        <v>232</v>
      </c>
      <c r="F92" s="158" t="s">
        <v>13</v>
      </c>
      <c r="G92" s="158" t="s">
        <v>158</v>
      </c>
      <c r="H92" s="158" t="s">
        <v>17</v>
      </c>
      <c r="I92" s="157" t="s">
        <v>130</v>
      </c>
      <c r="J92" s="157"/>
      <c r="K92" s="157"/>
    </row>
    <row r="93" spans="1:11" x14ac:dyDescent="0.2">
      <c r="A93" s="156"/>
      <c r="B93" s="158" t="s">
        <v>112</v>
      </c>
      <c r="C93" s="158" t="s">
        <v>1</v>
      </c>
      <c r="D93" s="158" t="s">
        <v>177</v>
      </c>
      <c r="E93" s="158" t="s">
        <v>3</v>
      </c>
      <c r="F93" s="158" t="s">
        <v>56</v>
      </c>
      <c r="G93" s="158" t="s">
        <v>158</v>
      </c>
      <c r="H93" s="158" t="s">
        <v>17</v>
      </c>
      <c r="I93" s="157" t="s">
        <v>130</v>
      </c>
      <c r="J93" s="157"/>
      <c r="K93" s="157"/>
    </row>
    <row r="94" spans="1:11" x14ac:dyDescent="0.2">
      <c r="A94" s="156"/>
      <c r="B94" s="158" t="s">
        <v>112</v>
      </c>
      <c r="C94" s="158" t="s">
        <v>1</v>
      </c>
      <c r="D94" s="158" t="s">
        <v>177</v>
      </c>
      <c r="E94" s="158" t="s">
        <v>4</v>
      </c>
      <c r="F94" s="158" t="s">
        <v>16</v>
      </c>
      <c r="G94" s="158" t="s">
        <v>158</v>
      </c>
      <c r="H94" s="158" t="s">
        <v>17</v>
      </c>
      <c r="I94" s="157" t="s">
        <v>130</v>
      </c>
      <c r="J94" s="157"/>
      <c r="K94" s="157"/>
    </row>
    <row r="95" spans="1:11" x14ac:dyDescent="0.2">
      <c r="A95" s="156"/>
      <c r="B95" s="158" t="s">
        <v>112</v>
      </c>
      <c r="C95" s="158" t="s">
        <v>0</v>
      </c>
      <c r="D95" s="158" t="s">
        <v>177</v>
      </c>
      <c r="E95" s="158" t="s">
        <v>4</v>
      </c>
      <c r="F95" s="158" t="s">
        <v>10</v>
      </c>
      <c r="G95" s="158" t="s">
        <v>228</v>
      </c>
      <c r="H95" s="158" t="s">
        <v>17</v>
      </c>
      <c r="I95" s="157" t="s">
        <v>130</v>
      </c>
      <c r="J95" s="157"/>
      <c r="K95" s="157"/>
    </row>
    <row r="96" spans="1:11" x14ac:dyDescent="0.2">
      <c r="A96" s="156"/>
      <c r="B96" s="158" t="s">
        <v>113</v>
      </c>
      <c r="C96" s="158" t="s">
        <v>0</v>
      </c>
      <c r="D96" s="158" t="s">
        <v>177</v>
      </c>
      <c r="E96" s="158" t="s">
        <v>4</v>
      </c>
      <c r="F96" s="158" t="s">
        <v>10</v>
      </c>
      <c r="G96" s="158" t="s">
        <v>228</v>
      </c>
      <c r="H96" s="158" t="s">
        <v>17</v>
      </c>
      <c r="I96" s="157" t="s">
        <v>130</v>
      </c>
      <c r="J96" s="157"/>
      <c r="K96" s="157"/>
    </row>
    <row r="97" spans="1:11" x14ac:dyDescent="0.2">
      <c r="A97" s="156"/>
      <c r="B97" s="158" t="s">
        <v>113</v>
      </c>
      <c r="C97" s="158" t="s">
        <v>1</v>
      </c>
      <c r="D97" s="158" t="s">
        <v>177</v>
      </c>
      <c r="E97" s="158" t="s">
        <v>4</v>
      </c>
      <c r="F97" s="158" t="s">
        <v>16</v>
      </c>
      <c r="G97" s="158" t="s">
        <v>155</v>
      </c>
      <c r="H97" s="158" t="s">
        <v>18</v>
      </c>
      <c r="I97" s="157"/>
      <c r="J97" s="157"/>
      <c r="K97" s="157"/>
    </row>
    <row r="98" spans="1:11" x14ac:dyDescent="0.2">
      <c r="A98" s="156"/>
      <c r="B98" s="158" t="s">
        <v>113</v>
      </c>
      <c r="C98" s="158" t="s">
        <v>1</v>
      </c>
      <c r="D98" s="158" t="s">
        <v>177</v>
      </c>
      <c r="E98" s="158" t="s">
        <v>4</v>
      </c>
      <c r="F98" s="158" t="s">
        <v>10</v>
      </c>
      <c r="G98" s="158" t="s">
        <v>158</v>
      </c>
      <c r="H98" s="158" t="s">
        <v>17</v>
      </c>
      <c r="I98" s="157" t="s">
        <v>130</v>
      </c>
      <c r="J98" s="157"/>
      <c r="K98" s="157"/>
    </row>
    <row r="99" spans="1:11" x14ac:dyDescent="0.2">
      <c r="A99" s="156"/>
      <c r="B99" s="158" t="s">
        <v>113</v>
      </c>
      <c r="C99" s="158" t="s">
        <v>0</v>
      </c>
      <c r="D99" s="158" t="s">
        <v>2</v>
      </c>
      <c r="E99" s="158" t="s">
        <v>4</v>
      </c>
      <c r="F99" s="158" t="s">
        <v>10</v>
      </c>
      <c r="G99" s="158" t="s">
        <v>155</v>
      </c>
      <c r="H99" s="158" t="s">
        <v>159</v>
      </c>
      <c r="I99" s="157"/>
      <c r="J99" s="157"/>
      <c r="K99" s="157"/>
    </row>
    <row r="100" spans="1:11" x14ac:dyDescent="0.2">
      <c r="A100" s="156"/>
      <c r="B100" s="158" t="s">
        <v>113</v>
      </c>
      <c r="C100" s="158" t="s">
        <v>1</v>
      </c>
      <c r="D100" s="158" t="s">
        <v>2</v>
      </c>
      <c r="E100" s="158" t="s">
        <v>3</v>
      </c>
      <c r="F100" s="158" t="s">
        <v>10</v>
      </c>
      <c r="G100" s="158" t="s">
        <v>155</v>
      </c>
      <c r="H100" s="158" t="s">
        <v>159</v>
      </c>
      <c r="I100" s="157"/>
      <c r="J100" s="157"/>
      <c r="K100" s="157"/>
    </row>
    <row r="101" spans="1:11" x14ac:dyDescent="0.2">
      <c r="A101" s="156"/>
      <c r="B101" s="158" t="s">
        <v>113</v>
      </c>
      <c r="C101" s="158" t="s">
        <v>0</v>
      </c>
      <c r="D101" s="158" t="s">
        <v>177</v>
      </c>
      <c r="E101" s="158" t="s">
        <v>3</v>
      </c>
      <c r="F101" s="158" t="s">
        <v>106</v>
      </c>
      <c r="G101" s="158" t="s">
        <v>155</v>
      </c>
      <c r="H101" s="158" t="s">
        <v>159</v>
      </c>
      <c r="I101" s="157"/>
      <c r="J101" s="157"/>
      <c r="K101" s="157"/>
    </row>
    <row r="102" spans="1:11" x14ac:dyDescent="0.2">
      <c r="A102" s="156"/>
      <c r="B102" s="158" t="s">
        <v>113</v>
      </c>
      <c r="C102" s="158" t="s">
        <v>1</v>
      </c>
      <c r="D102" s="158" t="s">
        <v>177</v>
      </c>
      <c r="E102" s="158" t="s">
        <v>4</v>
      </c>
      <c r="F102" s="158" t="s">
        <v>106</v>
      </c>
      <c r="G102" s="158" t="s">
        <v>155</v>
      </c>
      <c r="H102" s="158" t="s">
        <v>159</v>
      </c>
      <c r="I102" s="157"/>
      <c r="J102" s="157"/>
      <c r="K102" s="157"/>
    </row>
    <row r="103" spans="1:11" x14ac:dyDescent="0.2">
      <c r="A103" s="156"/>
      <c r="B103" s="158" t="s">
        <v>113</v>
      </c>
      <c r="C103" s="158" t="s">
        <v>0</v>
      </c>
      <c r="D103" s="158" t="s">
        <v>2</v>
      </c>
      <c r="E103" s="158" t="s">
        <v>3</v>
      </c>
      <c r="F103" s="158" t="s">
        <v>23</v>
      </c>
      <c r="G103" s="158" t="s">
        <v>156</v>
      </c>
      <c r="H103" s="158" t="s">
        <v>159</v>
      </c>
      <c r="I103" s="157"/>
      <c r="J103" s="157"/>
      <c r="K103" s="157"/>
    </row>
    <row r="104" spans="1:11" x14ac:dyDescent="0.2">
      <c r="A104" s="156"/>
      <c r="B104" s="157" t="s">
        <v>116</v>
      </c>
      <c r="C104" s="158" t="s">
        <v>0</v>
      </c>
      <c r="D104" s="158" t="s">
        <v>177</v>
      </c>
      <c r="E104" s="158" t="s">
        <v>3</v>
      </c>
      <c r="F104" s="158" t="s">
        <v>110</v>
      </c>
      <c r="G104" s="158" t="s">
        <v>110</v>
      </c>
      <c r="H104" s="158" t="s">
        <v>7</v>
      </c>
      <c r="I104" s="157" t="s">
        <v>134</v>
      </c>
      <c r="J104" s="157"/>
      <c r="K104" s="157"/>
    </row>
    <row r="105" spans="1:11" x14ac:dyDescent="0.2">
      <c r="A105" s="156"/>
      <c r="B105" s="157" t="s">
        <v>116</v>
      </c>
      <c r="C105" s="158" t="s">
        <v>0</v>
      </c>
      <c r="D105" s="158" t="s">
        <v>177</v>
      </c>
      <c r="E105" s="158" t="s">
        <v>3</v>
      </c>
      <c r="F105" s="158" t="s">
        <v>110</v>
      </c>
      <c r="G105" s="158" t="s">
        <v>110</v>
      </c>
      <c r="H105" s="158" t="s">
        <v>7</v>
      </c>
      <c r="I105" s="157" t="s">
        <v>134</v>
      </c>
      <c r="J105" s="157"/>
      <c r="K105" s="157"/>
    </row>
    <row r="106" spans="1:11" x14ac:dyDescent="0.2">
      <c r="A106" s="156"/>
      <c r="B106" s="157" t="s">
        <v>116</v>
      </c>
      <c r="C106" s="158" t="s">
        <v>0</v>
      </c>
      <c r="D106" s="158" t="s">
        <v>177</v>
      </c>
      <c r="E106" s="158" t="s">
        <v>3</v>
      </c>
      <c r="F106" s="158" t="s">
        <v>110</v>
      </c>
      <c r="G106" s="158" t="s">
        <v>110</v>
      </c>
      <c r="H106" s="158" t="s">
        <v>7</v>
      </c>
      <c r="I106" s="157" t="s">
        <v>134</v>
      </c>
      <c r="J106" s="157"/>
      <c r="K106" s="157"/>
    </row>
    <row r="107" spans="1:11" x14ac:dyDescent="0.2">
      <c r="A107" s="156"/>
      <c r="B107" s="157" t="s">
        <v>116</v>
      </c>
      <c r="C107" s="158" t="s">
        <v>0</v>
      </c>
      <c r="D107" s="158" t="s">
        <v>177</v>
      </c>
      <c r="E107" s="158" t="s">
        <v>3</v>
      </c>
      <c r="F107" s="158" t="s">
        <v>110</v>
      </c>
      <c r="G107" s="158" t="s">
        <v>110</v>
      </c>
      <c r="H107" s="158" t="s">
        <v>7</v>
      </c>
      <c r="I107" s="157" t="s">
        <v>134</v>
      </c>
      <c r="J107" s="157"/>
      <c r="K107" s="157"/>
    </row>
    <row r="108" spans="1:11" x14ac:dyDescent="0.2">
      <c r="A108" s="156"/>
      <c r="B108" s="157" t="s">
        <v>116</v>
      </c>
      <c r="C108" s="158" t="s">
        <v>0</v>
      </c>
      <c r="D108" s="158" t="s">
        <v>177</v>
      </c>
      <c r="E108" s="158" t="s">
        <v>3</v>
      </c>
      <c r="F108" s="158" t="s">
        <v>110</v>
      </c>
      <c r="G108" s="158" t="s">
        <v>110</v>
      </c>
      <c r="H108" s="158" t="s">
        <v>7</v>
      </c>
      <c r="I108" s="157" t="s">
        <v>134</v>
      </c>
      <c r="J108" s="157"/>
      <c r="K108" s="157"/>
    </row>
    <row r="109" spans="1:11" x14ac:dyDescent="0.2">
      <c r="A109" s="156"/>
      <c r="B109" s="157" t="s">
        <v>116</v>
      </c>
      <c r="C109" s="158" t="s">
        <v>0</v>
      </c>
      <c r="D109" s="158" t="s">
        <v>177</v>
      </c>
      <c r="E109" s="158" t="s">
        <v>3</v>
      </c>
      <c r="F109" s="158" t="s">
        <v>110</v>
      </c>
      <c r="G109" s="158" t="s">
        <v>110</v>
      </c>
      <c r="H109" s="158" t="s">
        <v>7</v>
      </c>
      <c r="I109" s="157" t="s">
        <v>134</v>
      </c>
      <c r="J109" s="157"/>
      <c r="K109" s="157"/>
    </row>
    <row r="110" spans="1:11" x14ac:dyDescent="0.2">
      <c r="A110" s="156"/>
      <c r="B110" s="157" t="s">
        <v>116</v>
      </c>
      <c r="C110" s="158" t="s">
        <v>0</v>
      </c>
      <c r="D110" s="158" t="s">
        <v>177</v>
      </c>
      <c r="E110" s="158" t="s">
        <v>4</v>
      </c>
      <c r="F110" s="158" t="s">
        <v>110</v>
      </c>
      <c r="G110" s="158" t="s">
        <v>110</v>
      </c>
      <c r="H110" s="158" t="s">
        <v>7</v>
      </c>
      <c r="I110" s="157" t="s">
        <v>134</v>
      </c>
      <c r="J110" s="157"/>
      <c r="K110" s="157"/>
    </row>
    <row r="111" spans="1:11" x14ac:dyDescent="0.2">
      <c r="A111" s="156"/>
      <c r="B111" s="157" t="s">
        <v>116</v>
      </c>
      <c r="C111" s="158" t="s">
        <v>0</v>
      </c>
      <c r="D111" s="158" t="s">
        <v>177</v>
      </c>
      <c r="E111" s="158" t="s">
        <v>4</v>
      </c>
      <c r="F111" s="158" t="s">
        <v>110</v>
      </c>
      <c r="G111" s="158" t="s">
        <v>110</v>
      </c>
      <c r="H111" s="158" t="s">
        <v>7</v>
      </c>
      <c r="I111" s="157" t="s">
        <v>134</v>
      </c>
      <c r="J111" s="157"/>
      <c r="K111" s="157"/>
    </row>
    <row r="112" spans="1:11" x14ac:dyDescent="0.2">
      <c r="A112" s="156"/>
      <c r="B112" s="157" t="s">
        <v>116</v>
      </c>
      <c r="C112" s="158" t="s">
        <v>0</v>
      </c>
      <c r="D112" s="158" t="s">
        <v>177</v>
      </c>
      <c r="E112" s="158" t="s">
        <v>4</v>
      </c>
      <c r="F112" s="158" t="s">
        <v>110</v>
      </c>
      <c r="G112" s="158" t="s">
        <v>110</v>
      </c>
      <c r="H112" s="158" t="s">
        <v>7</v>
      </c>
      <c r="I112" s="157" t="s">
        <v>134</v>
      </c>
      <c r="J112" s="157"/>
      <c r="K112" s="157"/>
    </row>
    <row r="113" spans="1:11" x14ac:dyDescent="0.2">
      <c r="A113" s="156"/>
      <c r="B113" s="157" t="s">
        <v>116</v>
      </c>
      <c r="C113" s="158" t="s">
        <v>0</v>
      </c>
      <c r="D113" s="158" t="s">
        <v>177</v>
      </c>
      <c r="E113" s="158" t="s">
        <v>4</v>
      </c>
      <c r="F113" s="158" t="s">
        <v>110</v>
      </c>
      <c r="G113" s="158" t="s">
        <v>110</v>
      </c>
      <c r="H113" s="158" t="s">
        <v>7</v>
      </c>
      <c r="I113" s="157" t="s">
        <v>134</v>
      </c>
      <c r="J113" s="157"/>
      <c r="K113" s="157"/>
    </row>
    <row r="114" spans="1:11" x14ac:dyDescent="0.2">
      <c r="A114" s="156"/>
      <c r="B114" s="157" t="s">
        <v>116</v>
      </c>
      <c r="C114" s="158" t="s">
        <v>0</v>
      </c>
      <c r="D114" s="158" t="s">
        <v>177</v>
      </c>
      <c r="E114" s="158" t="s">
        <v>4</v>
      </c>
      <c r="F114" s="158" t="s">
        <v>110</v>
      </c>
      <c r="G114" s="158" t="s">
        <v>110</v>
      </c>
      <c r="H114" s="158" t="s">
        <v>7</v>
      </c>
      <c r="I114" s="157" t="s">
        <v>134</v>
      </c>
      <c r="J114" s="157"/>
      <c r="K114" s="157"/>
    </row>
    <row r="115" spans="1:11" x14ac:dyDescent="0.2">
      <c r="A115" s="156"/>
      <c r="B115" s="157" t="s">
        <v>116</v>
      </c>
      <c r="C115" s="158" t="s">
        <v>0</v>
      </c>
      <c r="D115" s="158" t="s">
        <v>177</v>
      </c>
      <c r="E115" s="158" t="s">
        <v>4</v>
      </c>
      <c r="F115" s="158" t="s">
        <v>110</v>
      </c>
      <c r="G115" s="158" t="s">
        <v>110</v>
      </c>
      <c r="H115" s="158" t="s">
        <v>7</v>
      </c>
      <c r="I115" s="157" t="s">
        <v>134</v>
      </c>
      <c r="J115" s="157"/>
      <c r="K115" s="157"/>
    </row>
    <row r="116" spans="1:11" x14ac:dyDescent="0.2">
      <c r="A116" s="156"/>
      <c r="B116" s="157" t="s">
        <v>116</v>
      </c>
      <c r="C116" s="158" t="s">
        <v>0</v>
      </c>
      <c r="D116" s="158" t="s">
        <v>177</v>
      </c>
      <c r="E116" s="158" t="s">
        <v>4</v>
      </c>
      <c r="F116" s="158" t="s">
        <v>110</v>
      </c>
      <c r="G116" s="158" t="s">
        <v>110</v>
      </c>
      <c r="H116" s="158" t="s">
        <v>7</v>
      </c>
      <c r="I116" s="157" t="s">
        <v>134</v>
      </c>
      <c r="J116" s="157"/>
      <c r="K116" s="157"/>
    </row>
    <row r="117" spans="1:11" x14ac:dyDescent="0.2">
      <c r="A117" s="156"/>
      <c r="B117" s="157" t="s">
        <v>116</v>
      </c>
      <c r="C117" s="158" t="s">
        <v>0</v>
      </c>
      <c r="D117" s="158" t="s">
        <v>177</v>
      </c>
      <c r="E117" s="158" t="s">
        <v>4</v>
      </c>
      <c r="F117" s="158" t="s">
        <v>110</v>
      </c>
      <c r="G117" s="158" t="s">
        <v>110</v>
      </c>
      <c r="H117" s="158" t="s">
        <v>7</v>
      </c>
      <c r="I117" s="157" t="s">
        <v>134</v>
      </c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B3:B4"/>
    <mergeCell ref="C3:C4"/>
    <mergeCell ref="D3:D4"/>
    <mergeCell ref="E3:E4"/>
    <mergeCell ref="F3:F4"/>
    <mergeCell ref="G3:G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" right="0" top="0" bottom="0" header="0" footer="0"/>
  <pageSetup paperSize="9" scale="3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opLeftCell="A79" workbookViewId="0">
      <selection activeCell="J117" sqref="J117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113</v>
      </c>
      <c r="C5" s="157" t="s">
        <v>0</v>
      </c>
      <c r="D5" s="157" t="s">
        <v>177</v>
      </c>
      <c r="E5" s="157" t="s">
        <v>3</v>
      </c>
      <c r="F5" s="157" t="s">
        <v>12</v>
      </c>
      <c r="G5" s="157" t="s">
        <v>228</v>
      </c>
      <c r="H5" s="157" t="s">
        <v>17</v>
      </c>
      <c r="I5" s="157" t="s">
        <v>130</v>
      </c>
      <c r="J5" s="157"/>
      <c r="K5" s="157"/>
    </row>
    <row r="6" spans="1:11" x14ac:dyDescent="0.2">
      <c r="A6" s="156"/>
      <c r="B6" s="158" t="s">
        <v>113</v>
      </c>
      <c r="C6" s="158" t="s">
        <v>0</v>
      </c>
      <c r="D6" s="158" t="s">
        <v>177</v>
      </c>
      <c r="E6" s="157" t="s">
        <v>4</v>
      </c>
      <c r="F6" s="157" t="s">
        <v>10</v>
      </c>
      <c r="G6" s="158" t="s">
        <v>228</v>
      </c>
      <c r="H6" s="158" t="s">
        <v>17</v>
      </c>
      <c r="I6" s="157" t="s">
        <v>132</v>
      </c>
      <c r="J6" s="157"/>
      <c r="K6" s="157"/>
    </row>
    <row r="7" spans="1:11" x14ac:dyDescent="0.2">
      <c r="A7" s="156"/>
      <c r="B7" s="158" t="s">
        <v>113</v>
      </c>
      <c r="C7" s="157" t="s">
        <v>1</v>
      </c>
      <c r="D7" s="158" t="s">
        <v>177</v>
      </c>
      <c r="E7" s="158" t="s">
        <v>3</v>
      </c>
      <c r="F7" s="158" t="s">
        <v>10</v>
      </c>
      <c r="G7" s="158" t="s">
        <v>228</v>
      </c>
      <c r="H7" s="158" t="s">
        <v>17</v>
      </c>
      <c r="I7" s="157" t="s">
        <v>132</v>
      </c>
      <c r="J7" s="157"/>
      <c r="K7" s="157"/>
    </row>
    <row r="8" spans="1:11" x14ac:dyDescent="0.2">
      <c r="A8" s="156"/>
      <c r="B8" s="158" t="s">
        <v>113</v>
      </c>
      <c r="C8" s="158" t="s">
        <v>0</v>
      </c>
      <c r="D8" s="158" t="s">
        <v>177</v>
      </c>
      <c r="E8" s="158" t="s">
        <v>4</v>
      </c>
      <c r="F8" s="158" t="s">
        <v>11</v>
      </c>
      <c r="G8" s="158" t="s">
        <v>156</v>
      </c>
      <c r="H8" s="158" t="s">
        <v>159</v>
      </c>
      <c r="I8" s="157"/>
      <c r="J8" s="157"/>
      <c r="K8" s="157"/>
    </row>
    <row r="9" spans="1:11" x14ac:dyDescent="0.2">
      <c r="A9" s="156"/>
      <c r="B9" s="158" t="s">
        <v>113</v>
      </c>
      <c r="C9" s="158" t="s">
        <v>0</v>
      </c>
      <c r="D9" s="157" t="s">
        <v>2</v>
      </c>
      <c r="E9" s="158" t="s">
        <v>4</v>
      </c>
      <c r="F9" s="157" t="s">
        <v>13</v>
      </c>
      <c r="G9" s="157" t="s">
        <v>155</v>
      </c>
      <c r="H9" s="158" t="s">
        <v>159</v>
      </c>
      <c r="I9" s="157"/>
      <c r="J9" s="157"/>
      <c r="K9" s="157"/>
    </row>
    <row r="10" spans="1:11" x14ac:dyDescent="0.2">
      <c r="A10" s="156"/>
      <c r="B10" s="158" t="s">
        <v>113</v>
      </c>
      <c r="C10" s="158" t="s">
        <v>0</v>
      </c>
      <c r="D10" s="158" t="s">
        <v>2</v>
      </c>
      <c r="E10" s="158" t="s">
        <v>4</v>
      </c>
      <c r="F10" s="158" t="s">
        <v>10</v>
      </c>
      <c r="G10" s="158" t="s">
        <v>156</v>
      </c>
      <c r="H10" s="158" t="s">
        <v>159</v>
      </c>
      <c r="I10" s="157"/>
      <c r="J10" s="157"/>
      <c r="K10" s="157"/>
    </row>
    <row r="11" spans="1:11" x14ac:dyDescent="0.2">
      <c r="A11" s="156"/>
      <c r="B11" s="158" t="s">
        <v>113</v>
      </c>
      <c r="C11" s="158" t="s">
        <v>1</v>
      </c>
      <c r="D11" s="158" t="s">
        <v>2</v>
      </c>
      <c r="E11" s="158" t="s">
        <v>4</v>
      </c>
      <c r="F11" s="158" t="s">
        <v>10</v>
      </c>
      <c r="G11" s="158" t="s">
        <v>156</v>
      </c>
      <c r="H11" s="158" t="s">
        <v>159</v>
      </c>
      <c r="I11" s="157"/>
      <c r="J11" s="157"/>
      <c r="K11" s="157"/>
    </row>
    <row r="12" spans="1:11" x14ac:dyDescent="0.2">
      <c r="A12" s="156"/>
      <c r="B12" s="158" t="s">
        <v>113</v>
      </c>
      <c r="C12" s="158" t="s">
        <v>0</v>
      </c>
      <c r="D12" s="158" t="s">
        <v>2</v>
      </c>
      <c r="E12" s="158" t="s">
        <v>4</v>
      </c>
      <c r="F12" s="158" t="s">
        <v>10</v>
      </c>
      <c r="G12" s="158" t="s">
        <v>155</v>
      </c>
      <c r="H12" s="158" t="s">
        <v>159</v>
      </c>
      <c r="I12" s="157"/>
      <c r="J12" s="157"/>
      <c r="K12" s="157"/>
    </row>
    <row r="13" spans="1:11" x14ac:dyDescent="0.2">
      <c r="A13" s="156"/>
      <c r="B13" s="158" t="s">
        <v>113</v>
      </c>
      <c r="C13" s="158" t="s">
        <v>1</v>
      </c>
      <c r="D13" s="158" t="s">
        <v>177</v>
      </c>
      <c r="E13" s="158" t="s">
        <v>4</v>
      </c>
      <c r="F13" s="157" t="s">
        <v>9</v>
      </c>
      <c r="G13" s="158" t="s">
        <v>156</v>
      </c>
      <c r="H13" s="158" t="s">
        <v>17</v>
      </c>
      <c r="I13" s="157" t="s">
        <v>130</v>
      </c>
      <c r="J13" s="157"/>
      <c r="K13" s="157"/>
    </row>
    <row r="14" spans="1:11" x14ac:dyDescent="0.2">
      <c r="A14" s="156"/>
      <c r="B14" s="158" t="s">
        <v>113</v>
      </c>
      <c r="C14" s="158" t="s">
        <v>0</v>
      </c>
      <c r="D14" s="158" t="s">
        <v>177</v>
      </c>
      <c r="E14" s="158" t="s">
        <v>3</v>
      </c>
      <c r="F14" s="158" t="s">
        <v>9</v>
      </c>
      <c r="G14" s="158" t="s">
        <v>156</v>
      </c>
      <c r="H14" s="158" t="s">
        <v>159</v>
      </c>
      <c r="I14" s="158"/>
      <c r="J14" s="158"/>
      <c r="K14" s="158"/>
    </row>
    <row r="15" spans="1:11" x14ac:dyDescent="0.2">
      <c r="A15" s="156"/>
      <c r="B15" s="158" t="s">
        <v>113</v>
      </c>
      <c r="C15" s="157" t="s">
        <v>22</v>
      </c>
      <c r="D15" s="157"/>
      <c r="E15" s="157"/>
      <c r="F15" s="157"/>
      <c r="G15" s="158"/>
      <c r="H15" s="158" t="s">
        <v>229</v>
      </c>
      <c r="I15" s="158"/>
      <c r="J15" s="158"/>
      <c r="K15" s="158"/>
    </row>
    <row r="16" spans="1:11" x14ac:dyDescent="0.2">
      <c r="A16" s="156"/>
      <c r="B16" s="158" t="s">
        <v>113</v>
      </c>
      <c r="C16" s="158" t="s">
        <v>22</v>
      </c>
      <c r="D16" s="157"/>
      <c r="E16" s="157"/>
      <c r="F16" s="157"/>
      <c r="G16" s="158"/>
      <c r="H16" s="158" t="s">
        <v>229</v>
      </c>
      <c r="I16" s="158"/>
      <c r="J16" s="158"/>
      <c r="K16" s="158"/>
    </row>
    <row r="17" spans="1:11" x14ac:dyDescent="0.2">
      <c r="A17" s="156"/>
      <c r="B17" s="158" t="s">
        <v>113</v>
      </c>
      <c r="C17" s="158" t="s">
        <v>22</v>
      </c>
      <c r="D17" s="157"/>
      <c r="E17" s="157"/>
      <c r="F17" s="157"/>
      <c r="G17" s="157"/>
      <c r="H17" s="158" t="s">
        <v>229</v>
      </c>
      <c r="I17" s="157"/>
      <c r="J17" s="157"/>
      <c r="K17" s="157"/>
    </row>
    <row r="18" spans="1:11" x14ac:dyDescent="0.2">
      <c r="A18" s="156"/>
      <c r="B18" s="158" t="s">
        <v>113</v>
      </c>
      <c r="C18" s="158" t="s">
        <v>22</v>
      </c>
      <c r="D18" s="157"/>
      <c r="E18" s="157"/>
      <c r="F18" s="157"/>
      <c r="G18" s="157"/>
      <c r="H18" s="158" t="s">
        <v>229</v>
      </c>
      <c r="I18" s="158"/>
      <c r="J18" s="158"/>
      <c r="K18" s="158"/>
    </row>
    <row r="19" spans="1:11" x14ac:dyDescent="0.2">
      <c r="A19" s="156"/>
      <c r="B19" s="158" t="s">
        <v>113</v>
      </c>
      <c r="C19" s="158" t="s">
        <v>22</v>
      </c>
      <c r="D19" s="157"/>
      <c r="E19" s="157"/>
      <c r="F19" s="157"/>
      <c r="G19" s="158"/>
      <c r="H19" s="158" t="s">
        <v>229</v>
      </c>
      <c r="I19" s="157"/>
      <c r="J19" s="157"/>
      <c r="K19" s="157"/>
    </row>
    <row r="20" spans="1:11" x14ac:dyDescent="0.2">
      <c r="A20" s="156"/>
      <c r="B20" s="158" t="s">
        <v>113</v>
      </c>
      <c r="C20" s="158" t="s">
        <v>22</v>
      </c>
      <c r="D20" s="157"/>
      <c r="E20" s="157"/>
      <c r="F20" s="157"/>
      <c r="G20" s="158"/>
      <c r="H20" s="158" t="s">
        <v>229</v>
      </c>
      <c r="I20" s="158"/>
      <c r="J20" s="158"/>
      <c r="K20" s="158"/>
    </row>
    <row r="21" spans="1:11" x14ac:dyDescent="0.2">
      <c r="A21" s="156"/>
      <c r="B21" s="158" t="s">
        <v>113</v>
      </c>
      <c r="C21" s="158" t="s">
        <v>22</v>
      </c>
      <c r="D21" s="157"/>
      <c r="E21" s="157"/>
      <c r="F21" s="157"/>
      <c r="G21" s="157"/>
      <c r="H21" s="158" t="s">
        <v>229</v>
      </c>
      <c r="I21" s="158"/>
      <c r="J21" s="158"/>
      <c r="K21" s="158"/>
    </row>
    <row r="22" spans="1:11" x14ac:dyDescent="0.2">
      <c r="A22" s="156"/>
      <c r="B22" s="158" t="s">
        <v>113</v>
      </c>
      <c r="C22" s="158" t="s">
        <v>22</v>
      </c>
      <c r="D22" s="157"/>
      <c r="E22" s="157"/>
      <c r="F22" s="157"/>
      <c r="G22" s="157"/>
      <c r="H22" s="158" t="s">
        <v>229</v>
      </c>
      <c r="I22" s="158"/>
      <c r="J22" s="158"/>
      <c r="K22" s="158"/>
    </row>
    <row r="23" spans="1:11" x14ac:dyDescent="0.2">
      <c r="A23" s="156"/>
      <c r="B23" s="158" t="s">
        <v>113</v>
      </c>
      <c r="C23" s="158" t="s">
        <v>22</v>
      </c>
      <c r="D23" s="157"/>
      <c r="E23" s="157"/>
      <c r="F23" s="158"/>
      <c r="G23" s="158"/>
      <c r="H23" s="158" t="s">
        <v>229</v>
      </c>
      <c r="I23" s="157"/>
      <c r="J23" s="157"/>
      <c r="K23" s="157"/>
    </row>
    <row r="24" spans="1:11" x14ac:dyDescent="0.2">
      <c r="A24" s="156"/>
      <c r="B24" s="158" t="s">
        <v>113</v>
      </c>
      <c r="C24" s="158" t="s">
        <v>22</v>
      </c>
      <c r="D24" s="157"/>
      <c r="E24" s="157"/>
      <c r="F24" s="157"/>
      <c r="G24" s="158"/>
      <c r="H24" s="158" t="s">
        <v>229</v>
      </c>
      <c r="I24" s="158"/>
      <c r="J24" s="158"/>
      <c r="K24" s="158"/>
    </row>
    <row r="25" spans="1:11" x14ac:dyDescent="0.2">
      <c r="A25" s="156"/>
      <c r="B25" s="158" t="s">
        <v>113</v>
      </c>
      <c r="C25" s="158" t="s">
        <v>22</v>
      </c>
      <c r="D25" s="157"/>
      <c r="E25" s="157"/>
      <c r="F25" s="158"/>
      <c r="G25" s="157"/>
      <c r="H25" s="158" t="s">
        <v>229</v>
      </c>
      <c r="I25" s="157"/>
      <c r="J25" s="157"/>
      <c r="K25" s="157"/>
    </row>
    <row r="26" spans="1:11" x14ac:dyDescent="0.2">
      <c r="A26" s="156"/>
      <c r="B26" s="158" t="s">
        <v>113</v>
      </c>
      <c r="C26" s="158" t="s">
        <v>22</v>
      </c>
      <c r="D26" s="157"/>
      <c r="E26" s="157"/>
      <c r="F26" s="158"/>
      <c r="G26" s="157"/>
      <c r="H26" s="158" t="s">
        <v>229</v>
      </c>
      <c r="I26" s="157"/>
      <c r="J26" s="157"/>
      <c r="K26" s="157"/>
    </row>
    <row r="27" spans="1:11" x14ac:dyDescent="0.2">
      <c r="A27" s="156"/>
      <c r="B27" s="158" t="s">
        <v>113</v>
      </c>
      <c r="C27" s="158" t="s">
        <v>22</v>
      </c>
      <c r="D27" s="157"/>
      <c r="E27" s="157"/>
      <c r="F27" s="157"/>
      <c r="G27" s="158"/>
      <c r="H27" s="158" t="s">
        <v>229</v>
      </c>
      <c r="I27" s="157"/>
      <c r="J27" s="157"/>
      <c r="K27" s="157"/>
    </row>
    <row r="28" spans="1:11" x14ac:dyDescent="0.2">
      <c r="A28" s="156"/>
      <c r="B28" s="158" t="s">
        <v>113</v>
      </c>
      <c r="C28" s="158" t="s">
        <v>22</v>
      </c>
      <c r="D28" s="157"/>
      <c r="E28" s="157"/>
      <c r="F28" s="157"/>
      <c r="G28" s="158"/>
      <c r="H28" s="158" t="s">
        <v>229</v>
      </c>
      <c r="I28" s="157"/>
      <c r="J28" s="157"/>
      <c r="K28" s="157"/>
    </row>
    <row r="29" spans="1:11" x14ac:dyDescent="0.2">
      <c r="A29" s="156"/>
      <c r="B29" s="158" t="s">
        <v>113</v>
      </c>
      <c r="C29" s="158" t="s">
        <v>22</v>
      </c>
      <c r="D29" s="157"/>
      <c r="E29" s="157"/>
      <c r="F29" s="157"/>
      <c r="G29" s="157"/>
      <c r="H29" s="158" t="s">
        <v>229</v>
      </c>
      <c r="I29" s="157"/>
      <c r="J29" s="157"/>
      <c r="K29" s="157"/>
    </row>
    <row r="30" spans="1:11" x14ac:dyDescent="0.2">
      <c r="A30" s="156"/>
      <c r="B30" s="158" t="s">
        <v>113</v>
      </c>
      <c r="C30" s="158" t="s">
        <v>22</v>
      </c>
      <c r="D30" s="157"/>
      <c r="E30" s="157"/>
      <c r="F30" s="157"/>
      <c r="G30" s="157"/>
      <c r="H30" s="158" t="s">
        <v>229</v>
      </c>
      <c r="I30" s="157"/>
      <c r="J30" s="157"/>
      <c r="K30" s="157"/>
    </row>
    <row r="31" spans="1:11" x14ac:dyDescent="0.2">
      <c r="A31" s="156"/>
      <c r="B31" s="158" t="s">
        <v>113</v>
      </c>
      <c r="C31" s="158" t="s">
        <v>22</v>
      </c>
      <c r="D31" s="157"/>
      <c r="E31" s="157"/>
      <c r="F31" s="157"/>
      <c r="G31" s="158"/>
      <c r="H31" s="158" t="s">
        <v>229</v>
      </c>
      <c r="I31" s="157"/>
      <c r="J31" s="157"/>
      <c r="K31" s="157"/>
    </row>
    <row r="32" spans="1:11" x14ac:dyDescent="0.2">
      <c r="A32" s="156"/>
      <c r="B32" s="158" t="s">
        <v>113</v>
      </c>
      <c r="C32" s="158" t="s">
        <v>22</v>
      </c>
      <c r="D32" s="157"/>
      <c r="E32" s="157"/>
      <c r="F32" s="157"/>
      <c r="G32" s="158"/>
      <c r="H32" s="158" t="s">
        <v>229</v>
      </c>
      <c r="I32" s="157"/>
      <c r="J32" s="157"/>
      <c r="K32" s="157"/>
    </row>
    <row r="33" spans="1:11" x14ac:dyDescent="0.2">
      <c r="A33" s="156"/>
      <c r="B33" s="158" t="s">
        <v>113</v>
      </c>
      <c r="C33" s="158" t="s">
        <v>22</v>
      </c>
      <c r="D33" s="157"/>
      <c r="E33" s="157"/>
      <c r="F33" s="157"/>
      <c r="G33" s="157"/>
      <c r="H33" s="158" t="s">
        <v>229</v>
      </c>
      <c r="I33" s="157"/>
      <c r="J33" s="157"/>
      <c r="K33" s="157"/>
    </row>
    <row r="34" spans="1:11" x14ac:dyDescent="0.2">
      <c r="A34" s="156"/>
      <c r="B34" s="158" t="s">
        <v>113</v>
      </c>
      <c r="C34" s="158" t="s">
        <v>22</v>
      </c>
      <c r="D34" s="157"/>
      <c r="E34" s="157"/>
      <c r="F34" s="157"/>
      <c r="G34" s="157"/>
      <c r="H34" s="158" t="s">
        <v>229</v>
      </c>
      <c r="I34" s="157"/>
      <c r="J34" s="157"/>
      <c r="K34" s="157"/>
    </row>
    <row r="35" spans="1:11" x14ac:dyDescent="0.2">
      <c r="A35" s="156"/>
      <c r="B35" s="158" t="s">
        <v>113</v>
      </c>
      <c r="C35" s="158" t="s">
        <v>22</v>
      </c>
      <c r="D35" s="157"/>
      <c r="E35" s="157"/>
      <c r="F35" s="157"/>
      <c r="G35" s="158"/>
      <c r="H35" s="158" t="s">
        <v>229</v>
      </c>
      <c r="I35" s="157"/>
      <c r="J35" s="157"/>
      <c r="K35" s="157"/>
    </row>
    <row r="36" spans="1:11" x14ac:dyDescent="0.2">
      <c r="A36" s="156"/>
      <c r="B36" s="158" t="s">
        <v>113</v>
      </c>
      <c r="C36" s="158" t="s">
        <v>22</v>
      </c>
      <c r="D36" s="157"/>
      <c r="E36" s="157"/>
      <c r="F36" s="157"/>
      <c r="G36" s="158"/>
      <c r="H36" s="158" t="s">
        <v>229</v>
      </c>
      <c r="I36" s="157"/>
      <c r="J36" s="157"/>
      <c r="K36" s="157"/>
    </row>
    <row r="37" spans="1:11" x14ac:dyDescent="0.2">
      <c r="A37" s="156"/>
      <c r="B37" s="158" t="s">
        <v>113</v>
      </c>
      <c r="C37" s="158" t="s">
        <v>22</v>
      </c>
      <c r="D37" s="157"/>
      <c r="E37" s="157"/>
      <c r="F37" s="157"/>
      <c r="G37" s="157"/>
      <c r="H37" s="158" t="s">
        <v>229</v>
      </c>
      <c r="I37" s="157"/>
      <c r="J37" s="157"/>
      <c r="K37" s="157"/>
    </row>
    <row r="38" spans="1:11" x14ac:dyDescent="0.2">
      <c r="A38" s="156"/>
      <c r="B38" s="158" t="s">
        <v>113</v>
      </c>
      <c r="C38" s="158" t="s">
        <v>22</v>
      </c>
      <c r="D38" s="157"/>
      <c r="E38" s="157"/>
      <c r="F38" s="158"/>
      <c r="G38" s="157"/>
      <c r="H38" s="158" t="s">
        <v>229</v>
      </c>
      <c r="I38" s="157"/>
      <c r="J38" s="157"/>
      <c r="K38" s="157"/>
    </row>
    <row r="39" spans="1:11" x14ac:dyDescent="0.2">
      <c r="A39" s="156"/>
      <c r="B39" s="158" t="s">
        <v>113</v>
      </c>
      <c r="C39" s="158" t="s">
        <v>22</v>
      </c>
      <c r="D39" s="157"/>
      <c r="E39" s="157"/>
      <c r="F39" s="157"/>
      <c r="G39" s="158"/>
      <c r="H39" s="158" t="s">
        <v>229</v>
      </c>
      <c r="I39" s="157"/>
      <c r="J39" s="157"/>
      <c r="K39" s="157"/>
    </row>
    <row r="40" spans="1:11" x14ac:dyDescent="0.2">
      <c r="A40" s="156"/>
      <c r="B40" s="158" t="s">
        <v>113</v>
      </c>
      <c r="C40" s="158" t="s">
        <v>22</v>
      </c>
      <c r="D40" s="157"/>
      <c r="E40" s="157"/>
      <c r="F40" s="158"/>
      <c r="G40" s="158"/>
      <c r="H40" s="158" t="s">
        <v>229</v>
      </c>
      <c r="I40" s="157"/>
      <c r="J40" s="157"/>
      <c r="K40" s="157"/>
    </row>
    <row r="41" spans="1:11" x14ac:dyDescent="0.2">
      <c r="A41" s="156"/>
      <c r="B41" s="158" t="s">
        <v>113</v>
      </c>
      <c r="C41" s="158" t="s">
        <v>22</v>
      </c>
      <c r="D41" s="157"/>
      <c r="E41" s="157"/>
      <c r="F41" s="158"/>
      <c r="G41" s="157"/>
      <c r="H41" s="158" t="s">
        <v>229</v>
      </c>
      <c r="I41" s="157"/>
      <c r="J41" s="157"/>
      <c r="K41" s="157"/>
    </row>
    <row r="42" spans="1:11" x14ac:dyDescent="0.2">
      <c r="A42" s="156"/>
      <c r="B42" s="158" t="s">
        <v>113</v>
      </c>
      <c r="C42" s="158" t="s">
        <v>22</v>
      </c>
      <c r="D42" s="157"/>
      <c r="E42" s="157"/>
      <c r="F42" s="157"/>
      <c r="G42" s="157"/>
      <c r="H42" s="158" t="s">
        <v>229</v>
      </c>
      <c r="I42" s="157"/>
      <c r="J42" s="157"/>
      <c r="K42" s="157"/>
    </row>
    <row r="43" spans="1:11" x14ac:dyDescent="0.2">
      <c r="A43" s="156"/>
      <c r="B43" s="158" t="s">
        <v>113</v>
      </c>
      <c r="C43" s="158" t="s">
        <v>22</v>
      </c>
      <c r="D43" s="157"/>
      <c r="E43" s="157"/>
      <c r="F43" s="157"/>
      <c r="G43" s="158"/>
      <c r="H43" s="158" t="s">
        <v>229</v>
      </c>
      <c r="I43" s="157"/>
      <c r="J43" s="157"/>
      <c r="K43" s="157"/>
    </row>
    <row r="44" spans="1:11" x14ac:dyDescent="0.2">
      <c r="A44" s="156"/>
      <c r="B44" s="158" t="s">
        <v>113</v>
      </c>
      <c r="C44" s="158" t="s">
        <v>22</v>
      </c>
      <c r="D44" s="157"/>
      <c r="E44" s="157"/>
      <c r="F44" s="157"/>
      <c r="G44" s="158"/>
      <c r="H44" s="158" t="s">
        <v>229</v>
      </c>
      <c r="I44" s="157"/>
      <c r="J44" s="157"/>
      <c r="K44" s="157"/>
    </row>
    <row r="45" spans="1:11" x14ac:dyDescent="0.2">
      <c r="A45" s="156"/>
      <c r="B45" s="158" t="s">
        <v>113</v>
      </c>
      <c r="C45" s="158" t="s">
        <v>0</v>
      </c>
      <c r="D45" s="158" t="s">
        <v>2</v>
      </c>
      <c r="E45" s="158" t="s">
        <v>3</v>
      </c>
      <c r="F45" s="157" t="s">
        <v>277</v>
      </c>
      <c r="G45" s="158" t="s">
        <v>228</v>
      </c>
      <c r="H45" s="158" t="s">
        <v>159</v>
      </c>
      <c r="I45" s="157"/>
      <c r="J45" s="157"/>
      <c r="K45" s="157"/>
    </row>
    <row r="46" spans="1:11" x14ac:dyDescent="0.2">
      <c r="A46" s="156"/>
      <c r="B46" s="158" t="s">
        <v>113</v>
      </c>
      <c r="C46" s="158" t="s">
        <v>1</v>
      </c>
      <c r="D46" s="158" t="s">
        <v>2</v>
      </c>
      <c r="E46" s="158" t="s">
        <v>4</v>
      </c>
      <c r="F46" s="157" t="s">
        <v>15</v>
      </c>
      <c r="G46" s="158" t="s">
        <v>156</v>
      </c>
      <c r="H46" s="158" t="s">
        <v>159</v>
      </c>
      <c r="I46" s="157"/>
      <c r="J46" s="157"/>
      <c r="K46" s="157"/>
    </row>
    <row r="47" spans="1:11" x14ac:dyDescent="0.2">
      <c r="A47" s="156"/>
      <c r="B47" s="158" t="s">
        <v>113</v>
      </c>
      <c r="C47" s="158" t="s">
        <v>1</v>
      </c>
      <c r="D47" s="158" t="s">
        <v>2</v>
      </c>
      <c r="E47" s="158" t="s">
        <v>3</v>
      </c>
      <c r="F47" s="158" t="s">
        <v>15</v>
      </c>
      <c r="G47" s="158" t="s">
        <v>156</v>
      </c>
      <c r="H47" s="158" t="s">
        <v>159</v>
      </c>
      <c r="I47" s="157"/>
      <c r="J47" s="157"/>
      <c r="K47" s="157"/>
    </row>
    <row r="48" spans="1:11" x14ac:dyDescent="0.2">
      <c r="A48" s="156"/>
      <c r="B48" s="158" t="s">
        <v>113</v>
      </c>
      <c r="C48" s="158" t="s">
        <v>0</v>
      </c>
      <c r="D48" s="158" t="s">
        <v>177</v>
      </c>
      <c r="E48" s="158" t="s">
        <v>4</v>
      </c>
      <c r="F48" s="158" t="s">
        <v>10</v>
      </c>
      <c r="G48" s="158" t="s">
        <v>228</v>
      </c>
      <c r="H48" s="158" t="s">
        <v>159</v>
      </c>
      <c r="I48" s="157"/>
      <c r="J48" s="157"/>
      <c r="K48" s="157"/>
    </row>
    <row r="49" spans="1:11" x14ac:dyDescent="0.2">
      <c r="A49" s="156"/>
      <c r="B49" s="158" t="s">
        <v>113</v>
      </c>
      <c r="C49" s="158" t="s">
        <v>0</v>
      </c>
      <c r="D49" s="158" t="s">
        <v>2</v>
      </c>
      <c r="E49" s="158" t="s">
        <v>4</v>
      </c>
      <c r="F49" s="158" t="s">
        <v>13</v>
      </c>
      <c r="G49" s="158" t="s">
        <v>156</v>
      </c>
      <c r="H49" s="158" t="s">
        <v>159</v>
      </c>
      <c r="I49" s="157"/>
      <c r="J49" s="157"/>
      <c r="K49" s="157"/>
    </row>
    <row r="50" spans="1:11" x14ac:dyDescent="0.2">
      <c r="A50" s="156"/>
      <c r="B50" s="158" t="s">
        <v>113</v>
      </c>
      <c r="C50" s="158" t="s">
        <v>1</v>
      </c>
      <c r="D50" s="158" t="s">
        <v>2</v>
      </c>
      <c r="E50" s="158" t="s">
        <v>4</v>
      </c>
      <c r="F50" s="158" t="s">
        <v>13</v>
      </c>
      <c r="G50" s="158" t="s">
        <v>156</v>
      </c>
      <c r="H50" s="158" t="s">
        <v>159</v>
      </c>
      <c r="I50" s="157"/>
      <c r="J50" s="157"/>
      <c r="K50" s="157"/>
    </row>
    <row r="51" spans="1:11" x14ac:dyDescent="0.2">
      <c r="A51" s="156"/>
      <c r="B51" s="158" t="s">
        <v>113</v>
      </c>
      <c r="C51" s="158" t="s">
        <v>1</v>
      </c>
      <c r="D51" s="158" t="s">
        <v>177</v>
      </c>
      <c r="E51" s="158" t="s">
        <v>4</v>
      </c>
      <c r="F51" s="158" t="s">
        <v>10</v>
      </c>
      <c r="G51" s="158" t="s">
        <v>156</v>
      </c>
      <c r="H51" s="158" t="s">
        <v>17</v>
      </c>
      <c r="I51" s="157" t="s">
        <v>130</v>
      </c>
      <c r="J51" s="157"/>
      <c r="K51" s="157"/>
    </row>
    <row r="52" spans="1:11" x14ac:dyDescent="0.2">
      <c r="A52" s="156"/>
      <c r="B52" s="158" t="s">
        <v>113</v>
      </c>
      <c r="C52" s="158" t="s">
        <v>0</v>
      </c>
      <c r="D52" s="158" t="s">
        <v>177</v>
      </c>
      <c r="E52" s="158" t="s">
        <v>3</v>
      </c>
      <c r="F52" s="158" t="s">
        <v>9</v>
      </c>
      <c r="G52" s="158" t="s">
        <v>155</v>
      </c>
      <c r="H52" s="158" t="s">
        <v>159</v>
      </c>
      <c r="I52" s="157"/>
      <c r="J52" s="157"/>
      <c r="K52" s="157"/>
    </row>
    <row r="53" spans="1:11" x14ac:dyDescent="0.2">
      <c r="A53" s="156"/>
      <c r="B53" s="158" t="s">
        <v>113</v>
      </c>
      <c r="C53" s="158" t="s">
        <v>0</v>
      </c>
      <c r="D53" s="158" t="s">
        <v>177</v>
      </c>
      <c r="E53" s="158" t="s">
        <v>4</v>
      </c>
      <c r="F53" s="158" t="s">
        <v>14</v>
      </c>
      <c r="G53" s="158" t="s">
        <v>155</v>
      </c>
      <c r="H53" s="158" t="s">
        <v>17</v>
      </c>
      <c r="I53" s="157" t="s">
        <v>130</v>
      </c>
      <c r="J53" s="157"/>
      <c r="K53" s="157"/>
    </row>
    <row r="54" spans="1:11" x14ac:dyDescent="0.2">
      <c r="A54" s="156"/>
      <c r="B54" s="158" t="s">
        <v>114</v>
      </c>
      <c r="C54" s="158" t="s">
        <v>0</v>
      </c>
      <c r="D54" s="158" t="s">
        <v>177</v>
      </c>
      <c r="E54" s="158" t="s">
        <v>4</v>
      </c>
      <c r="F54" s="157" t="s">
        <v>106</v>
      </c>
      <c r="G54" s="158" t="s">
        <v>156</v>
      </c>
      <c r="H54" s="158" t="s">
        <v>17</v>
      </c>
      <c r="I54" s="157" t="s">
        <v>130</v>
      </c>
      <c r="J54" s="157"/>
      <c r="K54" s="157"/>
    </row>
    <row r="55" spans="1:11" x14ac:dyDescent="0.2">
      <c r="A55" s="156"/>
      <c r="B55" s="158" t="s">
        <v>114</v>
      </c>
      <c r="C55" s="158" t="s">
        <v>1</v>
      </c>
      <c r="D55" s="158" t="s">
        <v>177</v>
      </c>
      <c r="E55" s="158" t="s">
        <v>4</v>
      </c>
      <c r="F55" s="158" t="s">
        <v>23</v>
      </c>
      <c r="G55" s="158" t="s">
        <v>156</v>
      </c>
      <c r="H55" s="158" t="s">
        <v>17</v>
      </c>
      <c r="I55" s="157" t="s">
        <v>130</v>
      </c>
      <c r="J55" s="157"/>
      <c r="K55" s="157"/>
    </row>
    <row r="56" spans="1:11" x14ac:dyDescent="0.2">
      <c r="A56" s="156"/>
      <c r="B56" s="158" t="s">
        <v>114</v>
      </c>
      <c r="C56" s="158" t="s">
        <v>0</v>
      </c>
      <c r="D56" s="158" t="s">
        <v>177</v>
      </c>
      <c r="E56" s="158" t="s">
        <v>4</v>
      </c>
      <c r="F56" s="158" t="s">
        <v>10</v>
      </c>
      <c r="G56" s="158" t="s">
        <v>228</v>
      </c>
      <c r="H56" s="158" t="s">
        <v>17</v>
      </c>
      <c r="I56" s="157" t="s">
        <v>130</v>
      </c>
      <c r="J56" s="157"/>
      <c r="K56" s="157"/>
    </row>
    <row r="57" spans="1:11" x14ac:dyDescent="0.2">
      <c r="A57" s="156"/>
      <c r="B57" s="158" t="s">
        <v>114</v>
      </c>
      <c r="C57" s="158" t="s">
        <v>1</v>
      </c>
      <c r="D57" s="158" t="s">
        <v>177</v>
      </c>
      <c r="E57" s="158" t="s">
        <v>3</v>
      </c>
      <c r="F57" s="158" t="s">
        <v>10</v>
      </c>
      <c r="G57" s="157" t="s">
        <v>158</v>
      </c>
      <c r="H57" s="158" t="s">
        <v>17</v>
      </c>
      <c r="I57" s="157" t="s">
        <v>130</v>
      </c>
      <c r="J57" s="157"/>
      <c r="K57" s="157"/>
    </row>
    <row r="58" spans="1:11" x14ac:dyDescent="0.2">
      <c r="A58" s="156"/>
      <c r="B58" s="158" t="s">
        <v>114</v>
      </c>
      <c r="C58" s="158" t="s">
        <v>0</v>
      </c>
      <c r="D58" s="158" t="s">
        <v>177</v>
      </c>
      <c r="E58" s="158" t="s">
        <v>4</v>
      </c>
      <c r="F58" s="158" t="s">
        <v>9</v>
      </c>
      <c r="G58" s="158" t="s">
        <v>228</v>
      </c>
      <c r="H58" s="158" t="s">
        <v>17</v>
      </c>
      <c r="I58" s="157" t="s">
        <v>130</v>
      </c>
      <c r="J58" s="157"/>
      <c r="K58" s="157"/>
    </row>
    <row r="59" spans="1:11" x14ac:dyDescent="0.2">
      <c r="A59" s="156"/>
      <c r="B59" s="158" t="s">
        <v>113</v>
      </c>
      <c r="C59" s="158" t="s">
        <v>1</v>
      </c>
      <c r="D59" s="158" t="s">
        <v>177</v>
      </c>
      <c r="E59" s="158" t="s">
        <v>3</v>
      </c>
      <c r="F59" s="158" t="s">
        <v>13</v>
      </c>
      <c r="G59" s="158" t="s">
        <v>158</v>
      </c>
      <c r="H59" s="157" t="s">
        <v>7</v>
      </c>
      <c r="I59" s="157" t="s">
        <v>239</v>
      </c>
      <c r="J59" s="157"/>
      <c r="K59" s="157"/>
    </row>
    <row r="60" spans="1:11" x14ac:dyDescent="0.2">
      <c r="A60" s="156"/>
      <c r="B60" s="158" t="s">
        <v>113</v>
      </c>
      <c r="C60" s="158" t="s">
        <v>1</v>
      </c>
      <c r="D60" s="158" t="s">
        <v>177</v>
      </c>
      <c r="E60" s="158" t="s">
        <v>4</v>
      </c>
      <c r="F60" s="158" t="s">
        <v>9</v>
      </c>
      <c r="G60" s="158" t="s">
        <v>158</v>
      </c>
      <c r="H60" s="158" t="s">
        <v>7</v>
      </c>
      <c r="I60" s="158" t="s">
        <v>239</v>
      </c>
      <c r="J60" s="157"/>
      <c r="K60" s="157"/>
    </row>
    <row r="61" spans="1:11" x14ac:dyDescent="0.2">
      <c r="A61" s="156"/>
      <c r="B61" s="158" t="s">
        <v>113</v>
      </c>
      <c r="C61" s="158" t="s">
        <v>1</v>
      </c>
      <c r="D61" s="158" t="s">
        <v>177</v>
      </c>
      <c r="E61" s="158" t="s">
        <v>4</v>
      </c>
      <c r="F61" s="158" t="s">
        <v>10</v>
      </c>
      <c r="G61" s="158" t="s">
        <v>158</v>
      </c>
      <c r="H61" s="158" t="s">
        <v>7</v>
      </c>
      <c r="I61" s="158" t="s">
        <v>239</v>
      </c>
      <c r="J61" s="157"/>
      <c r="K61" s="157"/>
    </row>
    <row r="62" spans="1:11" x14ac:dyDescent="0.2">
      <c r="A62" s="156"/>
      <c r="B62" s="158" t="s">
        <v>113</v>
      </c>
      <c r="C62" s="158" t="s">
        <v>1</v>
      </c>
      <c r="D62" s="158" t="s">
        <v>177</v>
      </c>
      <c r="E62" s="158" t="s">
        <v>4</v>
      </c>
      <c r="F62" s="158" t="s">
        <v>15</v>
      </c>
      <c r="G62" s="158" t="s">
        <v>158</v>
      </c>
      <c r="H62" s="158" t="s">
        <v>7</v>
      </c>
      <c r="I62" s="158" t="s">
        <v>239</v>
      </c>
      <c r="J62" s="157"/>
      <c r="K62" s="157"/>
    </row>
    <row r="63" spans="1:11" x14ac:dyDescent="0.2">
      <c r="A63" s="156"/>
      <c r="B63" s="158" t="s">
        <v>113</v>
      </c>
      <c r="C63" s="158" t="s">
        <v>1</v>
      </c>
      <c r="D63" s="158" t="s">
        <v>177</v>
      </c>
      <c r="E63" s="158" t="s">
        <v>4</v>
      </c>
      <c r="F63" s="158" t="s">
        <v>13</v>
      </c>
      <c r="G63" s="158" t="s">
        <v>158</v>
      </c>
      <c r="H63" s="158" t="s">
        <v>7</v>
      </c>
      <c r="I63" s="158" t="s">
        <v>239</v>
      </c>
      <c r="J63" s="157"/>
      <c r="K63" s="157"/>
    </row>
    <row r="64" spans="1:11" x14ac:dyDescent="0.2">
      <c r="A64" s="156"/>
      <c r="B64" s="158" t="s">
        <v>114</v>
      </c>
      <c r="C64" s="158" t="s">
        <v>0</v>
      </c>
      <c r="D64" s="158" t="s">
        <v>177</v>
      </c>
      <c r="E64" s="158" t="s">
        <v>3</v>
      </c>
      <c r="F64" s="158" t="s">
        <v>9</v>
      </c>
      <c r="G64" s="158" t="s">
        <v>156</v>
      </c>
      <c r="H64" s="158" t="s">
        <v>17</v>
      </c>
      <c r="I64" s="157" t="s">
        <v>130</v>
      </c>
      <c r="J64" s="157"/>
      <c r="K64" s="157"/>
    </row>
    <row r="65" spans="1:11" x14ac:dyDescent="0.2">
      <c r="A65" s="156"/>
      <c r="B65" s="158" t="s">
        <v>114</v>
      </c>
      <c r="C65" s="158" t="s">
        <v>0</v>
      </c>
      <c r="D65" s="158" t="s">
        <v>177</v>
      </c>
      <c r="E65" s="158" t="s">
        <v>4</v>
      </c>
      <c r="F65" s="158" t="s">
        <v>10</v>
      </c>
      <c r="G65" s="158" t="s">
        <v>228</v>
      </c>
      <c r="H65" s="158" t="s">
        <v>17</v>
      </c>
      <c r="I65" s="157" t="s">
        <v>130</v>
      </c>
      <c r="J65" s="157"/>
      <c r="K65" s="157"/>
    </row>
    <row r="66" spans="1:11" x14ac:dyDescent="0.2">
      <c r="A66" s="156"/>
      <c r="B66" s="158" t="s">
        <v>114</v>
      </c>
      <c r="C66" s="158" t="s">
        <v>0</v>
      </c>
      <c r="D66" s="158" t="s">
        <v>2</v>
      </c>
      <c r="E66" s="158" t="s">
        <v>3</v>
      </c>
      <c r="F66" s="157" t="s">
        <v>277</v>
      </c>
      <c r="G66" s="158" t="s">
        <v>228</v>
      </c>
      <c r="H66" s="158" t="s">
        <v>159</v>
      </c>
      <c r="I66" s="157" t="s">
        <v>130</v>
      </c>
      <c r="J66" s="157"/>
      <c r="K66" s="157"/>
    </row>
    <row r="67" spans="1:11" x14ac:dyDescent="0.2">
      <c r="A67" s="156"/>
      <c r="B67" s="158" t="s">
        <v>114</v>
      </c>
      <c r="C67" s="158" t="s">
        <v>0</v>
      </c>
      <c r="D67" s="158" t="s">
        <v>177</v>
      </c>
      <c r="E67" s="158" t="s">
        <v>3</v>
      </c>
      <c r="F67" s="158" t="s">
        <v>9</v>
      </c>
      <c r="G67" s="158" t="s">
        <v>156</v>
      </c>
      <c r="H67" s="158" t="s">
        <v>7</v>
      </c>
      <c r="I67" s="157" t="s">
        <v>242</v>
      </c>
      <c r="J67" s="157"/>
      <c r="K67" s="157"/>
    </row>
    <row r="68" spans="1:11" x14ac:dyDescent="0.2">
      <c r="A68" s="156"/>
      <c r="B68" s="158" t="s">
        <v>114</v>
      </c>
      <c r="C68" s="158" t="s">
        <v>0</v>
      </c>
      <c r="D68" s="158" t="s">
        <v>177</v>
      </c>
      <c r="E68" s="158" t="s">
        <v>3</v>
      </c>
      <c r="F68" s="158" t="s">
        <v>9</v>
      </c>
      <c r="G68" s="158" t="s">
        <v>156</v>
      </c>
      <c r="H68" s="158" t="s">
        <v>7</v>
      </c>
      <c r="I68" s="158" t="s">
        <v>242</v>
      </c>
      <c r="J68" s="157"/>
      <c r="K68" s="157"/>
    </row>
    <row r="69" spans="1:11" x14ac:dyDescent="0.2">
      <c r="A69" s="156"/>
      <c r="B69" s="158" t="s">
        <v>114</v>
      </c>
      <c r="C69" s="158" t="s">
        <v>0</v>
      </c>
      <c r="D69" s="158" t="s">
        <v>177</v>
      </c>
      <c r="E69" s="158" t="s">
        <v>4</v>
      </c>
      <c r="F69" s="158" t="s">
        <v>9</v>
      </c>
      <c r="G69" s="158" t="s">
        <v>156</v>
      </c>
      <c r="H69" s="158" t="s">
        <v>7</v>
      </c>
      <c r="I69" s="158" t="s">
        <v>242</v>
      </c>
      <c r="J69" s="157"/>
      <c r="K69" s="157"/>
    </row>
    <row r="70" spans="1:11" x14ac:dyDescent="0.2">
      <c r="A70" s="156"/>
      <c r="B70" s="158" t="s">
        <v>114</v>
      </c>
      <c r="C70" s="158" t="s">
        <v>0</v>
      </c>
      <c r="D70" s="158" t="s">
        <v>177</v>
      </c>
      <c r="E70" s="158" t="s">
        <v>4</v>
      </c>
      <c r="F70" s="158" t="s">
        <v>9</v>
      </c>
      <c r="G70" s="158" t="s">
        <v>156</v>
      </c>
      <c r="H70" s="158" t="s">
        <v>7</v>
      </c>
      <c r="I70" s="158" t="s">
        <v>242</v>
      </c>
      <c r="J70" s="157"/>
      <c r="K70" s="157"/>
    </row>
    <row r="71" spans="1:11" x14ac:dyDescent="0.2">
      <c r="A71" s="156"/>
      <c r="B71" s="158" t="s">
        <v>114</v>
      </c>
      <c r="C71" s="158" t="s">
        <v>1</v>
      </c>
      <c r="D71" s="158" t="s">
        <v>177</v>
      </c>
      <c r="E71" s="158" t="s">
        <v>4</v>
      </c>
      <c r="F71" s="158" t="s">
        <v>9</v>
      </c>
      <c r="G71" s="158" t="s">
        <v>158</v>
      </c>
      <c r="H71" s="158" t="s">
        <v>7</v>
      </c>
      <c r="I71" s="158" t="s">
        <v>242</v>
      </c>
      <c r="J71" s="157"/>
      <c r="K71" s="157"/>
    </row>
    <row r="72" spans="1:11" x14ac:dyDescent="0.2">
      <c r="A72" s="156"/>
      <c r="B72" s="158" t="s">
        <v>114</v>
      </c>
      <c r="C72" s="158" t="s">
        <v>1</v>
      </c>
      <c r="D72" s="158" t="s">
        <v>177</v>
      </c>
      <c r="E72" s="158" t="s">
        <v>4</v>
      </c>
      <c r="F72" s="158" t="s">
        <v>9</v>
      </c>
      <c r="G72" s="158" t="s">
        <v>158</v>
      </c>
      <c r="H72" s="158" t="s">
        <v>7</v>
      </c>
      <c r="I72" s="158" t="s">
        <v>242</v>
      </c>
      <c r="J72" s="157"/>
      <c r="K72" s="157"/>
    </row>
    <row r="73" spans="1:11" x14ac:dyDescent="0.2">
      <c r="A73" s="156"/>
      <c r="B73" s="158" t="s">
        <v>114</v>
      </c>
      <c r="C73" s="158" t="s">
        <v>1</v>
      </c>
      <c r="D73" s="158" t="s">
        <v>177</v>
      </c>
      <c r="E73" s="158" t="s">
        <v>4</v>
      </c>
      <c r="F73" s="158" t="s">
        <v>9</v>
      </c>
      <c r="G73" s="158" t="s">
        <v>158</v>
      </c>
      <c r="H73" s="158" t="s">
        <v>7</v>
      </c>
      <c r="I73" s="158" t="s">
        <v>242</v>
      </c>
      <c r="J73" s="157"/>
      <c r="K73" s="157"/>
    </row>
    <row r="74" spans="1:11" x14ac:dyDescent="0.2">
      <c r="A74" s="156"/>
      <c r="B74" s="158" t="s">
        <v>114</v>
      </c>
      <c r="C74" s="158" t="s">
        <v>1</v>
      </c>
      <c r="D74" s="158" t="s">
        <v>177</v>
      </c>
      <c r="E74" s="158" t="s">
        <v>3</v>
      </c>
      <c r="F74" s="158" t="s">
        <v>9</v>
      </c>
      <c r="G74" s="158" t="s">
        <v>158</v>
      </c>
      <c r="H74" s="158" t="s">
        <v>7</v>
      </c>
      <c r="I74" s="158" t="s">
        <v>242</v>
      </c>
      <c r="J74" s="157"/>
      <c r="K74" s="157"/>
    </row>
    <row r="75" spans="1:11" x14ac:dyDescent="0.2">
      <c r="A75" s="156"/>
      <c r="B75" s="158" t="s">
        <v>112</v>
      </c>
      <c r="C75" s="158" t="s">
        <v>0</v>
      </c>
      <c r="D75" s="158" t="s">
        <v>177</v>
      </c>
      <c r="E75" s="158" t="s">
        <v>4</v>
      </c>
      <c r="F75" s="158" t="s">
        <v>10</v>
      </c>
      <c r="G75" s="158" t="s">
        <v>228</v>
      </c>
      <c r="H75" s="158" t="s">
        <v>17</v>
      </c>
      <c r="I75" s="157" t="s">
        <v>130</v>
      </c>
      <c r="J75" s="157"/>
      <c r="K75" s="157"/>
    </row>
    <row r="76" spans="1:11" x14ac:dyDescent="0.2">
      <c r="A76" s="156"/>
      <c r="B76" s="158" t="s">
        <v>112</v>
      </c>
      <c r="C76" s="158" t="s">
        <v>1</v>
      </c>
      <c r="D76" s="158" t="s">
        <v>2</v>
      </c>
      <c r="E76" s="158" t="s">
        <v>232</v>
      </c>
      <c r="F76" s="158" t="s">
        <v>10</v>
      </c>
      <c r="G76" s="158" t="s">
        <v>228</v>
      </c>
      <c r="H76" s="158" t="s">
        <v>159</v>
      </c>
      <c r="I76" s="157"/>
      <c r="J76" s="157"/>
      <c r="K76" s="157"/>
    </row>
    <row r="77" spans="1:11" x14ac:dyDescent="0.2">
      <c r="A77" s="156"/>
      <c r="B77" s="158" t="s">
        <v>112</v>
      </c>
      <c r="C77" s="158" t="s">
        <v>0</v>
      </c>
      <c r="D77" s="158" t="s">
        <v>2</v>
      </c>
      <c r="E77" s="158" t="s">
        <v>4</v>
      </c>
      <c r="F77" s="158" t="s">
        <v>12</v>
      </c>
      <c r="G77" s="158" t="s">
        <v>156</v>
      </c>
      <c r="H77" s="158" t="s">
        <v>159</v>
      </c>
      <c r="I77" s="157"/>
      <c r="J77" s="157"/>
      <c r="K77" s="157"/>
    </row>
    <row r="78" spans="1:11" x14ac:dyDescent="0.2">
      <c r="A78" s="156"/>
      <c r="B78" s="158" t="s">
        <v>112</v>
      </c>
      <c r="C78" s="158" t="s">
        <v>1</v>
      </c>
      <c r="D78" s="158" t="s">
        <v>2</v>
      </c>
      <c r="E78" s="158" t="s">
        <v>4</v>
      </c>
      <c r="F78" s="158" t="s">
        <v>12</v>
      </c>
      <c r="G78" s="158" t="s">
        <v>156</v>
      </c>
      <c r="H78" s="158" t="s">
        <v>159</v>
      </c>
      <c r="I78" s="157"/>
      <c r="J78" s="157"/>
      <c r="K78" s="157"/>
    </row>
    <row r="79" spans="1:11" x14ac:dyDescent="0.2">
      <c r="A79" s="156"/>
      <c r="B79" s="158" t="s">
        <v>112</v>
      </c>
      <c r="C79" s="158" t="s">
        <v>1</v>
      </c>
      <c r="D79" s="158" t="s">
        <v>2</v>
      </c>
      <c r="E79" s="158" t="s">
        <v>3</v>
      </c>
      <c r="F79" s="158" t="s">
        <v>12</v>
      </c>
      <c r="G79" s="158" t="s">
        <v>156</v>
      </c>
      <c r="H79" s="158" t="s">
        <v>159</v>
      </c>
      <c r="I79" s="157"/>
      <c r="J79" s="157"/>
      <c r="K79" s="157"/>
    </row>
    <row r="80" spans="1:11" x14ac:dyDescent="0.2">
      <c r="A80" s="156"/>
      <c r="B80" s="158" t="s">
        <v>112</v>
      </c>
      <c r="C80" s="158" t="s">
        <v>0</v>
      </c>
      <c r="D80" s="158" t="s">
        <v>177</v>
      </c>
      <c r="E80" s="158" t="s">
        <v>3</v>
      </c>
      <c r="F80" s="158" t="s">
        <v>23</v>
      </c>
      <c r="G80" s="158" t="s">
        <v>155</v>
      </c>
      <c r="H80" s="158" t="s">
        <v>159</v>
      </c>
      <c r="I80" s="157"/>
      <c r="J80" s="157"/>
      <c r="K80" s="157"/>
    </row>
    <row r="81" spans="1:11" x14ac:dyDescent="0.2">
      <c r="A81" s="156"/>
      <c r="B81" s="158" t="s">
        <v>112</v>
      </c>
      <c r="C81" s="158" t="s">
        <v>0</v>
      </c>
      <c r="D81" s="158" t="s">
        <v>177</v>
      </c>
      <c r="E81" s="158" t="s">
        <v>4</v>
      </c>
      <c r="F81" s="158" t="s">
        <v>10</v>
      </c>
      <c r="G81" s="158" t="s">
        <v>228</v>
      </c>
      <c r="H81" s="158" t="s">
        <v>159</v>
      </c>
      <c r="I81" s="157"/>
      <c r="J81" s="157"/>
      <c r="K81" s="157"/>
    </row>
    <row r="82" spans="1:11" x14ac:dyDescent="0.2">
      <c r="A82" s="156"/>
      <c r="B82" s="158" t="s">
        <v>112</v>
      </c>
      <c r="C82" s="158" t="s">
        <v>1</v>
      </c>
      <c r="D82" s="158" t="s">
        <v>177</v>
      </c>
      <c r="E82" s="158" t="s">
        <v>4</v>
      </c>
      <c r="F82" s="158" t="s">
        <v>10</v>
      </c>
      <c r="G82" s="158" t="s">
        <v>228</v>
      </c>
      <c r="H82" s="158" t="s">
        <v>159</v>
      </c>
      <c r="I82" s="157"/>
      <c r="J82" s="157"/>
      <c r="K82" s="157"/>
    </row>
    <row r="83" spans="1:11" x14ac:dyDescent="0.2">
      <c r="A83" s="156"/>
      <c r="B83" s="158" t="s">
        <v>112</v>
      </c>
      <c r="C83" s="158" t="s">
        <v>1</v>
      </c>
      <c r="D83" s="158" t="s">
        <v>177</v>
      </c>
      <c r="E83" s="158" t="s">
        <v>3</v>
      </c>
      <c r="F83" s="158" t="s">
        <v>56</v>
      </c>
      <c r="G83" s="158" t="s">
        <v>156</v>
      </c>
      <c r="H83" s="158" t="s">
        <v>7</v>
      </c>
      <c r="I83" s="157" t="s">
        <v>120</v>
      </c>
      <c r="J83" s="157"/>
      <c r="K83" s="157"/>
    </row>
    <row r="84" spans="1:11" x14ac:dyDescent="0.2">
      <c r="A84" s="156"/>
      <c r="B84" s="158" t="s">
        <v>112</v>
      </c>
      <c r="C84" s="158" t="s">
        <v>1</v>
      </c>
      <c r="D84" s="158" t="s">
        <v>177</v>
      </c>
      <c r="E84" s="158" t="s">
        <v>3</v>
      </c>
      <c r="F84" s="158" t="s">
        <v>13</v>
      </c>
      <c r="G84" s="158" t="s">
        <v>156</v>
      </c>
      <c r="H84" s="158" t="s">
        <v>7</v>
      </c>
      <c r="I84" s="158" t="s">
        <v>120</v>
      </c>
      <c r="J84" s="157"/>
      <c r="K84" s="157"/>
    </row>
    <row r="85" spans="1:11" x14ac:dyDescent="0.2">
      <c r="A85" s="156"/>
      <c r="B85" s="158" t="s">
        <v>112</v>
      </c>
      <c r="C85" s="158" t="s">
        <v>1</v>
      </c>
      <c r="D85" s="158" t="s">
        <v>177</v>
      </c>
      <c r="E85" s="158" t="s">
        <v>4</v>
      </c>
      <c r="F85" s="158" t="s">
        <v>13</v>
      </c>
      <c r="G85" s="158" t="s">
        <v>156</v>
      </c>
      <c r="H85" s="158" t="s">
        <v>7</v>
      </c>
      <c r="I85" s="158" t="s">
        <v>120</v>
      </c>
      <c r="J85" s="157"/>
      <c r="K85" s="157"/>
    </row>
    <row r="86" spans="1:11" x14ac:dyDescent="0.2">
      <c r="A86" s="156"/>
      <c r="B86" s="158" t="s">
        <v>112</v>
      </c>
      <c r="C86" s="158" t="s">
        <v>1</v>
      </c>
      <c r="D86" s="158" t="s">
        <v>177</v>
      </c>
      <c r="E86" s="158" t="s">
        <v>4</v>
      </c>
      <c r="F86" s="158" t="s">
        <v>106</v>
      </c>
      <c r="G86" s="158" t="s">
        <v>156</v>
      </c>
      <c r="H86" s="158" t="s">
        <v>7</v>
      </c>
      <c r="I86" s="158" t="s">
        <v>120</v>
      </c>
      <c r="J86" s="157"/>
      <c r="K86" s="157"/>
    </row>
    <row r="87" spans="1:11" x14ac:dyDescent="0.2">
      <c r="A87" s="156"/>
      <c r="B87" s="158" t="s">
        <v>112</v>
      </c>
      <c r="C87" s="158" t="s">
        <v>1</v>
      </c>
      <c r="D87" s="158" t="s">
        <v>177</v>
      </c>
      <c r="E87" s="158" t="s">
        <v>4</v>
      </c>
      <c r="F87" s="158" t="s">
        <v>13</v>
      </c>
      <c r="G87" s="158" t="s">
        <v>156</v>
      </c>
      <c r="H87" s="158" t="s">
        <v>7</v>
      </c>
      <c r="I87" s="158" t="s">
        <v>120</v>
      </c>
      <c r="J87" s="157"/>
      <c r="K87" s="157"/>
    </row>
    <row r="88" spans="1:11" x14ac:dyDescent="0.2">
      <c r="A88" s="156"/>
      <c r="B88" s="158" t="s">
        <v>112</v>
      </c>
      <c r="C88" s="158" t="s">
        <v>1</v>
      </c>
      <c r="D88" s="158" t="s">
        <v>177</v>
      </c>
      <c r="E88" s="158" t="s">
        <v>4</v>
      </c>
      <c r="F88" s="158" t="s">
        <v>23</v>
      </c>
      <c r="G88" s="158" t="s">
        <v>156</v>
      </c>
      <c r="H88" s="158" t="s">
        <v>7</v>
      </c>
      <c r="I88" s="158" t="s">
        <v>120</v>
      </c>
      <c r="J88" s="157"/>
      <c r="K88" s="157"/>
    </row>
    <row r="89" spans="1:11" x14ac:dyDescent="0.2">
      <c r="A89" s="156"/>
      <c r="B89" s="158" t="s">
        <v>112</v>
      </c>
      <c r="C89" s="158" t="s">
        <v>1</v>
      </c>
      <c r="D89" s="158" t="s">
        <v>177</v>
      </c>
      <c r="E89" s="158" t="s">
        <v>4</v>
      </c>
      <c r="F89" s="158" t="s">
        <v>23</v>
      </c>
      <c r="G89" s="158" t="s">
        <v>156</v>
      </c>
      <c r="H89" s="158" t="s">
        <v>7</v>
      </c>
      <c r="I89" s="158" t="s">
        <v>120</v>
      </c>
      <c r="J89" s="157"/>
      <c r="K89" s="157"/>
    </row>
    <row r="90" spans="1:11" x14ac:dyDescent="0.2">
      <c r="A90" s="156"/>
      <c r="B90" s="158" t="s">
        <v>112</v>
      </c>
      <c r="C90" s="158" t="s">
        <v>1</v>
      </c>
      <c r="D90" s="158" t="s">
        <v>177</v>
      </c>
      <c r="E90" s="158" t="s">
        <v>4</v>
      </c>
      <c r="F90" s="158" t="s">
        <v>9</v>
      </c>
      <c r="G90" s="158" t="s">
        <v>156</v>
      </c>
      <c r="H90" s="158" t="s">
        <v>17</v>
      </c>
      <c r="I90" s="157" t="s">
        <v>130</v>
      </c>
      <c r="J90" s="157"/>
      <c r="K90" s="157"/>
    </row>
    <row r="91" spans="1:11" x14ac:dyDescent="0.2">
      <c r="A91" s="156"/>
      <c r="B91" s="158" t="s">
        <v>112</v>
      </c>
      <c r="C91" s="158" t="s">
        <v>1</v>
      </c>
      <c r="D91" s="158" t="s">
        <v>177</v>
      </c>
      <c r="E91" s="158" t="s">
        <v>4</v>
      </c>
      <c r="F91" s="157" t="s">
        <v>16</v>
      </c>
      <c r="G91" s="158" t="s">
        <v>158</v>
      </c>
      <c r="H91" s="158" t="s">
        <v>17</v>
      </c>
      <c r="I91" s="157" t="s">
        <v>130</v>
      </c>
      <c r="J91" s="157"/>
      <c r="K91" s="157"/>
    </row>
    <row r="92" spans="1:11" x14ac:dyDescent="0.2">
      <c r="A92" s="156"/>
      <c r="B92" s="158" t="s">
        <v>112</v>
      </c>
      <c r="C92" s="158" t="s">
        <v>1</v>
      </c>
      <c r="D92" s="158" t="s">
        <v>177</v>
      </c>
      <c r="E92" s="158" t="s">
        <v>4</v>
      </c>
      <c r="F92" s="158" t="s">
        <v>14</v>
      </c>
      <c r="G92" s="158" t="s">
        <v>158</v>
      </c>
      <c r="H92" s="158" t="s">
        <v>17</v>
      </c>
      <c r="I92" s="157" t="s">
        <v>130</v>
      </c>
      <c r="J92" s="157"/>
      <c r="K92" s="157"/>
    </row>
    <row r="93" spans="1:11" x14ac:dyDescent="0.2">
      <c r="A93" s="156"/>
      <c r="B93" s="158" t="s">
        <v>112</v>
      </c>
      <c r="C93" s="158" t="s">
        <v>0</v>
      </c>
      <c r="D93" s="158" t="s">
        <v>177</v>
      </c>
      <c r="E93" s="158" t="s">
        <v>3</v>
      </c>
      <c r="F93" s="158" t="s">
        <v>106</v>
      </c>
      <c r="G93" s="158" t="s">
        <v>155</v>
      </c>
      <c r="H93" s="158" t="s">
        <v>17</v>
      </c>
      <c r="I93" s="157" t="s">
        <v>130</v>
      </c>
      <c r="J93" s="157"/>
      <c r="K93" s="157"/>
    </row>
    <row r="94" spans="1:11" x14ac:dyDescent="0.2">
      <c r="A94" s="156"/>
      <c r="B94" s="158" t="s">
        <v>112</v>
      </c>
      <c r="C94" s="158" t="s">
        <v>0</v>
      </c>
      <c r="D94" s="158" t="s">
        <v>177</v>
      </c>
      <c r="E94" s="158" t="s">
        <v>4</v>
      </c>
      <c r="F94" s="158" t="s">
        <v>10</v>
      </c>
      <c r="G94" s="158" t="s">
        <v>228</v>
      </c>
      <c r="H94" s="158" t="s">
        <v>17</v>
      </c>
      <c r="I94" s="157" t="s">
        <v>130</v>
      </c>
      <c r="J94" s="157"/>
      <c r="K94" s="157"/>
    </row>
    <row r="95" spans="1:11" x14ac:dyDescent="0.2">
      <c r="A95" s="156"/>
      <c r="B95" s="158" t="s">
        <v>112</v>
      </c>
      <c r="C95" s="158" t="s">
        <v>1</v>
      </c>
      <c r="D95" s="158" t="s">
        <v>177</v>
      </c>
      <c r="E95" s="158" t="s">
        <v>3</v>
      </c>
      <c r="F95" s="158" t="s">
        <v>106</v>
      </c>
      <c r="G95" s="158" t="s">
        <v>158</v>
      </c>
      <c r="H95" s="158" t="s">
        <v>17</v>
      </c>
      <c r="I95" s="157" t="s">
        <v>130</v>
      </c>
      <c r="J95" s="157"/>
      <c r="K95" s="157"/>
    </row>
    <row r="96" spans="1:11" x14ac:dyDescent="0.2">
      <c r="A96" s="156"/>
      <c r="B96" s="158" t="s">
        <v>113</v>
      </c>
      <c r="C96" s="158" t="s">
        <v>0</v>
      </c>
      <c r="D96" s="158" t="s">
        <v>2</v>
      </c>
      <c r="E96" s="158" t="s">
        <v>4</v>
      </c>
      <c r="F96" s="158" t="s">
        <v>10</v>
      </c>
      <c r="G96" s="158" t="s">
        <v>155</v>
      </c>
      <c r="H96" s="158" t="s">
        <v>159</v>
      </c>
      <c r="I96" s="157"/>
      <c r="J96" s="157"/>
      <c r="K96" s="157"/>
    </row>
    <row r="97" spans="1:11" x14ac:dyDescent="0.2">
      <c r="A97" s="156"/>
      <c r="B97" s="158" t="s">
        <v>113</v>
      </c>
      <c r="C97" s="158" t="s">
        <v>1</v>
      </c>
      <c r="D97" s="158" t="s">
        <v>177</v>
      </c>
      <c r="E97" s="158" t="s">
        <v>4</v>
      </c>
      <c r="F97" s="158" t="s">
        <v>10</v>
      </c>
      <c r="G97" s="158" t="s">
        <v>155</v>
      </c>
      <c r="H97" s="158" t="s">
        <v>159</v>
      </c>
      <c r="I97" s="157"/>
      <c r="J97" s="157"/>
      <c r="K97" s="157"/>
    </row>
    <row r="98" spans="1:11" x14ac:dyDescent="0.2">
      <c r="A98" s="156"/>
      <c r="B98" s="158" t="s">
        <v>113</v>
      </c>
      <c r="C98" s="158" t="s">
        <v>1</v>
      </c>
      <c r="D98" s="158" t="s">
        <v>177</v>
      </c>
      <c r="E98" s="158" t="s">
        <v>3</v>
      </c>
      <c r="F98" s="158" t="s">
        <v>11</v>
      </c>
      <c r="G98" s="158" t="s">
        <v>155</v>
      </c>
      <c r="H98" s="158" t="s">
        <v>159</v>
      </c>
      <c r="I98" s="157"/>
      <c r="J98" s="157"/>
      <c r="K98" s="157"/>
    </row>
    <row r="99" spans="1:11" x14ac:dyDescent="0.2">
      <c r="A99" s="156"/>
      <c r="B99" s="158" t="s">
        <v>113</v>
      </c>
      <c r="C99" s="158" t="s">
        <v>0</v>
      </c>
      <c r="D99" s="158" t="s">
        <v>177</v>
      </c>
      <c r="E99" s="158" t="s">
        <v>4</v>
      </c>
      <c r="F99" s="158" t="s">
        <v>13</v>
      </c>
      <c r="G99" s="158" t="s">
        <v>156</v>
      </c>
      <c r="H99" s="158" t="s">
        <v>159</v>
      </c>
      <c r="I99" s="157"/>
      <c r="J99" s="157"/>
      <c r="K99" s="157"/>
    </row>
    <row r="100" spans="1:11" x14ac:dyDescent="0.2">
      <c r="A100" s="156"/>
      <c r="B100" s="158" t="s">
        <v>113</v>
      </c>
      <c r="C100" s="158" t="s">
        <v>0</v>
      </c>
      <c r="D100" s="158" t="s">
        <v>177</v>
      </c>
      <c r="E100" s="158" t="s">
        <v>4</v>
      </c>
      <c r="F100" s="158" t="s">
        <v>10</v>
      </c>
      <c r="G100" s="158" t="s">
        <v>155</v>
      </c>
      <c r="H100" s="158" t="s">
        <v>159</v>
      </c>
      <c r="I100" s="157"/>
      <c r="J100" s="157"/>
      <c r="K100" s="157"/>
    </row>
    <row r="101" spans="1:11" x14ac:dyDescent="0.2">
      <c r="A101" s="156"/>
      <c r="B101" s="158" t="s">
        <v>112</v>
      </c>
      <c r="C101" s="158" t="s">
        <v>0</v>
      </c>
      <c r="D101" s="158" t="s">
        <v>177</v>
      </c>
      <c r="E101" s="158" t="s">
        <v>3</v>
      </c>
      <c r="F101" s="158" t="s">
        <v>12</v>
      </c>
      <c r="G101" s="158" t="s">
        <v>155</v>
      </c>
      <c r="H101" s="158" t="s">
        <v>7</v>
      </c>
      <c r="I101" s="157" t="s">
        <v>123</v>
      </c>
      <c r="J101" s="157"/>
      <c r="K101" s="157"/>
    </row>
    <row r="102" spans="1:11" x14ac:dyDescent="0.2">
      <c r="A102" s="156"/>
      <c r="B102" s="158" t="s">
        <v>112</v>
      </c>
      <c r="C102" s="158" t="s">
        <v>0</v>
      </c>
      <c r="D102" s="158" t="s">
        <v>177</v>
      </c>
      <c r="E102" s="158" t="s">
        <v>3</v>
      </c>
      <c r="F102" s="158" t="s">
        <v>12</v>
      </c>
      <c r="G102" s="158" t="s">
        <v>155</v>
      </c>
      <c r="H102" s="158" t="s">
        <v>7</v>
      </c>
      <c r="I102" s="157" t="s">
        <v>123</v>
      </c>
      <c r="J102" s="157"/>
      <c r="K102" s="157"/>
    </row>
    <row r="103" spans="1:11" x14ac:dyDescent="0.2">
      <c r="A103" s="156"/>
      <c r="B103" s="158" t="s">
        <v>112</v>
      </c>
      <c r="C103" s="158" t="s">
        <v>0</v>
      </c>
      <c r="D103" s="158" t="s">
        <v>177</v>
      </c>
      <c r="E103" s="158" t="s">
        <v>3</v>
      </c>
      <c r="F103" s="158" t="s">
        <v>12</v>
      </c>
      <c r="G103" s="158" t="s">
        <v>155</v>
      </c>
      <c r="H103" s="158" t="s">
        <v>7</v>
      </c>
      <c r="I103" s="157" t="s">
        <v>123</v>
      </c>
      <c r="J103" s="157"/>
      <c r="K103" s="157"/>
    </row>
    <row r="104" spans="1:11" x14ac:dyDescent="0.2">
      <c r="A104" s="156"/>
      <c r="B104" s="158" t="s">
        <v>112</v>
      </c>
      <c r="C104" s="158" t="s">
        <v>0</v>
      </c>
      <c r="D104" s="158" t="s">
        <v>177</v>
      </c>
      <c r="E104" s="158" t="s">
        <v>3</v>
      </c>
      <c r="F104" s="158" t="s">
        <v>12</v>
      </c>
      <c r="G104" s="158" t="s">
        <v>155</v>
      </c>
      <c r="H104" s="158" t="s">
        <v>7</v>
      </c>
      <c r="I104" s="157" t="s">
        <v>123</v>
      </c>
      <c r="J104" s="157"/>
      <c r="K104" s="157"/>
    </row>
    <row r="105" spans="1:11" x14ac:dyDescent="0.2">
      <c r="A105" s="156"/>
      <c r="B105" s="158" t="s">
        <v>112</v>
      </c>
      <c r="C105" s="158" t="s">
        <v>0</v>
      </c>
      <c r="D105" s="158" t="s">
        <v>177</v>
      </c>
      <c r="E105" s="158" t="s">
        <v>3</v>
      </c>
      <c r="F105" s="158" t="s">
        <v>12</v>
      </c>
      <c r="G105" s="158" t="s">
        <v>155</v>
      </c>
      <c r="H105" s="158" t="s">
        <v>7</v>
      </c>
      <c r="I105" s="157" t="s">
        <v>123</v>
      </c>
      <c r="J105" s="157" t="s">
        <v>252</v>
      </c>
      <c r="K105" s="157"/>
    </row>
    <row r="106" spans="1:11" x14ac:dyDescent="0.2">
      <c r="A106" s="156"/>
      <c r="B106" s="158" t="s">
        <v>112</v>
      </c>
      <c r="C106" s="158" t="s">
        <v>0</v>
      </c>
      <c r="D106" s="158" t="s">
        <v>177</v>
      </c>
      <c r="E106" s="158" t="s">
        <v>3</v>
      </c>
      <c r="F106" s="158" t="s">
        <v>12</v>
      </c>
      <c r="G106" s="158" t="s">
        <v>155</v>
      </c>
      <c r="H106" s="158" t="s">
        <v>7</v>
      </c>
      <c r="I106" s="157" t="s">
        <v>123</v>
      </c>
      <c r="J106" s="157"/>
      <c r="K106" s="157"/>
    </row>
    <row r="107" spans="1:11" x14ac:dyDescent="0.2">
      <c r="A107" s="156"/>
      <c r="B107" s="158" t="s">
        <v>112</v>
      </c>
      <c r="C107" s="158" t="s">
        <v>0</v>
      </c>
      <c r="D107" s="158" t="s">
        <v>177</v>
      </c>
      <c r="E107" s="158" t="s">
        <v>3</v>
      </c>
      <c r="F107" s="158" t="s">
        <v>12</v>
      </c>
      <c r="G107" s="158" t="s">
        <v>155</v>
      </c>
      <c r="H107" s="158" t="s">
        <v>7</v>
      </c>
      <c r="I107" s="157" t="s">
        <v>123</v>
      </c>
      <c r="J107" s="157"/>
      <c r="K107" s="157"/>
    </row>
    <row r="108" spans="1:11" x14ac:dyDescent="0.2">
      <c r="A108" s="156"/>
      <c r="B108" s="158" t="s">
        <v>112</v>
      </c>
      <c r="C108" s="158" t="s">
        <v>0</v>
      </c>
      <c r="D108" s="158" t="s">
        <v>177</v>
      </c>
      <c r="E108" s="158" t="s">
        <v>3</v>
      </c>
      <c r="F108" s="158" t="s">
        <v>12</v>
      </c>
      <c r="G108" s="158" t="s">
        <v>155</v>
      </c>
      <c r="H108" s="158" t="s">
        <v>7</v>
      </c>
      <c r="I108" s="157" t="s">
        <v>123</v>
      </c>
      <c r="J108" s="157"/>
      <c r="K108" s="157"/>
    </row>
    <row r="109" spans="1:11" x14ac:dyDescent="0.2">
      <c r="A109" s="156"/>
      <c r="B109" s="158" t="s">
        <v>112</v>
      </c>
      <c r="C109" s="158" t="s">
        <v>0</v>
      </c>
      <c r="D109" s="158" t="s">
        <v>177</v>
      </c>
      <c r="E109" s="158" t="s">
        <v>3</v>
      </c>
      <c r="F109" s="158" t="s">
        <v>12</v>
      </c>
      <c r="G109" s="158" t="s">
        <v>155</v>
      </c>
      <c r="H109" s="158" t="s">
        <v>7</v>
      </c>
      <c r="I109" s="157" t="s">
        <v>123</v>
      </c>
      <c r="J109" s="157" t="s">
        <v>252</v>
      </c>
      <c r="K109" s="157"/>
    </row>
    <row r="110" spans="1:11" x14ac:dyDescent="0.2">
      <c r="A110" s="156"/>
      <c r="B110" s="158" t="s">
        <v>112</v>
      </c>
      <c r="C110" s="158" t="s">
        <v>1</v>
      </c>
      <c r="D110" s="158" t="s">
        <v>177</v>
      </c>
      <c r="E110" s="158" t="s">
        <v>3</v>
      </c>
      <c r="F110" s="158" t="s">
        <v>12</v>
      </c>
      <c r="G110" s="158" t="s">
        <v>155</v>
      </c>
      <c r="H110" s="158" t="s">
        <v>7</v>
      </c>
      <c r="I110" s="157" t="s">
        <v>123</v>
      </c>
      <c r="J110" s="157" t="s">
        <v>252</v>
      </c>
      <c r="K110" s="157" t="s">
        <v>119</v>
      </c>
    </row>
    <row r="111" spans="1:11" x14ac:dyDescent="0.2">
      <c r="A111" s="156"/>
      <c r="B111" s="158" t="s">
        <v>112</v>
      </c>
      <c r="C111" s="158" t="s">
        <v>1</v>
      </c>
      <c r="D111" s="158" t="s">
        <v>177</v>
      </c>
      <c r="E111" s="158" t="s">
        <v>3</v>
      </c>
      <c r="F111" s="158" t="s">
        <v>12</v>
      </c>
      <c r="G111" s="158" t="s">
        <v>155</v>
      </c>
      <c r="H111" s="158" t="s">
        <v>7</v>
      </c>
      <c r="I111" s="157" t="s">
        <v>123</v>
      </c>
      <c r="J111" s="157" t="s">
        <v>252</v>
      </c>
      <c r="K111" s="157"/>
    </row>
    <row r="112" spans="1:11" x14ac:dyDescent="0.2">
      <c r="A112" s="156"/>
      <c r="B112" s="158" t="s">
        <v>112</v>
      </c>
      <c r="C112" s="158" t="s">
        <v>1</v>
      </c>
      <c r="D112" s="158" t="s">
        <v>177</v>
      </c>
      <c r="E112" s="158" t="s">
        <v>3</v>
      </c>
      <c r="F112" s="158" t="s">
        <v>12</v>
      </c>
      <c r="G112" s="158" t="s">
        <v>155</v>
      </c>
      <c r="H112" s="158" t="s">
        <v>7</v>
      </c>
      <c r="I112" s="157" t="s">
        <v>123</v>
      </c>
      <c r="J112" s="157" t="s">
        <v>252</v>
      </c>
      <c r="K112" s="157" t="s">
        <v>119</v>
      </c>
    </row>
    <row r="113" spans="1:11" x14ac:dyDescent="0.2">
      <c r="A113" s="156"/>
      <c r="B113" s="158" t="s">
        <v>112</v>
      </c>
      <c r="C113" s="158" t="s">
        <v>1</v>
      </c>
      <c r="D113" s="158" t="s">
        <v>177</v>
      </c>
      <c r="E113" s="158" t="s">
        <v>3</v>
      </c>
      <c r="F113" s="158" t="s">
        <v>12</v>
      </c>
      <c r="G113" s="158" t="s">
        <v>155</v>
      </c>
      <c r="H113" s="158" t="s">
        <v>7</v>
      </c>
      <c r="I113" s="157" t="s">
        <v>123</v>
      </c>
      <c r="J113" s="157" t="s">
        <v>252</v>
      </c>
      <c r="K113" s="157" t="s">
        <v>119</v>
      </c>
    </row>
    <row r="114" spans="1:11" x14ac:dyDescent="0.2">
      <c r="A114" s="156"/>
      <c r="B114" s="158" t="s">
        <v>112</v>
      </c>
      <c r="C114" s="158" t="s">
        <v>1</v>
      </c>
      <c r="D114" s="158" t="s">
        <v>177</v>
      </c>
      <c r="E114" s="158" t="s">
        <v>4</v>
      </c>
      <c r="F114" s="158" t="s">
        <v>12</v>
      </c>
      <c r="G114" s="158" t="s">
        <v>155</v>
      </c>
      <c r="H114" s="158" t="s">
        <v>7</v>
      </c>
      <c r="I114" s="157" t="s">
        <v>123</v>
      </c>
      <c r="J114" s="157" t="s">
        <v>252</v>
      </c>
      <c r="K114" s="157"/>
    </row>
    <row r="115" spans="1:11" x14ac:dyDescent="0.2">
      <c r="A115" s="156"/>
      <c r="B115" s="158" t="s">
        <v>112</v>
      </c>
      <c r="C115" s="158" t="s">
        <v>1</v>
      </c>
      <c r="D115" s="158" t="s">
        <v>177</v>
      </c>
      <c r="E115" s="158" t="s">
        <v>4</v>
      </c>
      <c r="F115" s="158" t="s">
        <v>12</v>
      </c>
      <c r="G115" s="158" t="s">
        <v>155</v>
      </c>
      <c r="H115" s="158" t="s">
        <v>7</v>
      </c>
      <c r="I115" s="157" t="s">
        <v>123</v>
      </c>
      <c r="J115" s="157"/>
      <c r="K115" s="157"/>
    </row>
    <row r="116" spans="1:11" x14ac:dyDescent="0.2">
      <c r="A116" s="156"/>
      <c r="B116" s="158" t="s">
        <v>112</v>
      </c>
      <c r="C116" s="158" t="s">
        <v>1</v>
      </c>
      <c r="D116" s="158" t="s">
        <v>177</v>
      </c>
      <c r="E116" s="158" t="s">
        <v>4</v>
      </c>
      <c r="F116" s="158" t="s">
        <v>12</v>
      </c>
      <c r="G116" s="158" t="s">
        <v>155</v>
      </c>
      <c r="H116" s="158" t="s">
        <v>7</v>
      </c>
      <c r="I116" s="157" t="s">
        <v>123</v>
      </c>
      <c r="J116" s="157"/>
      <c r="K116" s="157"/>
    </row>
    <row r="117" spans="1:11" x14ac:dyDescent="0.2">
      <c r="A117" s="156"/>
      <c r="B117" s="158" t="s">
        <v>112</v>
      </c>
      <c r="C117" s="158" t="s">
        <v>1</v>
      </c>
      <c r="D117" s="158" t="s">
        <v>177</v>
      </c>
      <c r="E117" s="158" t="s">
        <v>4</v>
      </c>
      <c r="F117" s="158" t="s">
        <v>12</v>
      </c>
      <c r="G117" s="158" t="s">
        <v>155</v>
      </c>
      <c r="H117" s="158" t="s">
        <v>7</v>
      </c>
      <c r="I117" s="157" t="s">
        <v>123</v>
      </c>
      <c r="J117" s="157" t="s">
        <v>252</v>
      </c>
      <c r="K117" s="157"/>
    </row>
    <row r="118" spans="1:11" x14ac:dyDescent="0.2">
      <c r="A118" s="156"/>
      <c r="B118" s="158" t="s">
        <v>112</v>
      </c>
      <c r="C118" s="158" t="s">
        <v>0</v>
      </c>
      <c r="D118" s="158" t="s">
        <v>177</v>
      </c>
      <c r="E118" s="158" t="s">
        <v>4</v>
      </c>
      <c r="F118" s="158" t="s">
        <v>12</v>
      </c>
      <c r="G118" s="158" t="s">
        <v>155</v>
      </c>
      <c r="H118" s="158" t="s">
        <v>7</v>
      </c>
      <c r="I118" s="157" t="s">
        <v>123</v>
      </c>
      <c r="J118" s="157" t="s">
        <v>252</v>
      </c>
      <c r="K118" s="157"/>
    </row>
    <row r="119" spans="1:11" x14ac:dyDescent="0.2">
      <c r="A119" s="156"/>
      <c r="B119" s="158" t="s">
        <v>112</v>
      </c>
      <c r="C119" s="158" t="s">
        <v>0</v>
      </c>
      <c r="D119" s="158" t="s">
        <v>177</v>
      </c>
      <c r="E119" s="158" t="s">
        <v>4</v>
      </c>
      <c r="F119" s="158" t="s">
        <v>12</v>
      </c>
      <c r="G119" s="158" t="s">
        <v>155</v>
      </c>
      <c r="H119" s="158" t="s">
        <v>7</v>
      </c>
      <c r="I119" s="157" t="s">
        <v>123</v>
      </c>
      <c r="J119" s="157" t="s">
        <v>252</v>
      </c>
      <c r="K119" s="157" t="s">
        <v>119</v>
      </c>
    </row>
    <row r="120" spans="1:11" x14ac:dyDescent="0.2">
      <c r="A120" s="156"/>
      <c r="B120" s="158" t="s">
        <v>112</v>
      </c>
      <c r="C120" s="158" t="s">
        <v>0</v>
      </c>
      <c r="D120" s="158" t="s">
        <v>177</v>
      </c>
      <c r="E120" s="158" t="s">
        <v>4</v>
      </c>
      <c r="F120" s="158" t="s">
        <v>12</v>
      </c>
      <c r="G120" s="158" t="s">
        <v>155</v>
      </c>
      <c r="H120" s="158" t="s">
        <v>7</v>
      </c>
      <c r="I120" s="157" t="s">
        <v>123</v>
      </c>
      <c r="J120" s="157" t="s">
        <v>252</v>
      </c>
      <c r="K120" s="157" t="s">
        <v>119</v>
      </c>
    </row>
    <row r="121" spans="1:11" x14ac:dyDescent="0.2">
      <c r="A121" s="156"/>
      <c r="B121" s="158" t="s">
        <v>112</v>
      </c>
      <c r="C121" s="158" t="s">
        <v>0</v>
      </c>
      <c r="D121" s="158" t="s">
        <v>177</v>
      </c>
      <c r="E121" s="158" t="s">
        <v>4</v>
      </c>
      <c r="F121" s="158" t="s">
        <v>12</v>
      </c>
      <c r="G121" s="158" t="s">
        <v>155</v>
      </c>
      <c r="H121" s="158" t="s">
        <v>7</v>
      </c>
      <c r="I121" s="157" t="s">
        <v>123</v>
      </c>
      <c r="J121" s="157"/>
      <c r="K121" s="157"/>
    </row>
    <row r="122" spans="1:11" x14ac:dyDescent="0.2">
      <c r="A122" s="156"/>
      <c r="B122" s="158" t="s">
        <v>112</v>
      </c>
      <c r="C122" s="158" t="s">
        <v>0</v>
      </c>
      <c r="D122" s="158" t="s">
        <v>177</v>
      </c>
      <c r="E122" s="158" t="s">
        <v>4</v>
      </c>
      <c r="F122" s="158" t="s">
        <v>12</v>
      </c>
      <c r="G122" s="158" t="s">
        <v>155</v>
      </c>
      <c r="H122" s="158" t="s">
        <v>7</v>
      </c>
      <c r="I122" s="157" t="s">
        <v>123</v>
      </c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113</v>
      </c>
      <c r="C5" s="157" t="s">
        <v>0</v>
      </c>
      <c r="D5" s="157" t="s">
        <v>177</v>
      </c>
      <c r="E5" s="157" t="s">
        <v>4</v>
      </c>
      <c r="F5" s="157" t="s">
        <v>9</v>
      </c>
      <c r="G5" s="157" t="s">
        <v>156</v>
      </c>
      <c r="H5" s="157" t="s">
        <v>159</v>
      </c>
      <c r="I5" s="157"/>
      <c r="J5" s="157"/>
      <c r="K5" s="157"/>
    </row>
    <row r="6" spans="1:11" x14ac:dyDescent="0.2">
      <c r="A6" s="156"/>
      <c r="B6" s="158" t="s">
        <v>113</v>
      </c>
      <c r="C6" s="157" t="s">
        <v>1</v>
      </c>
      <c r="D6" s="158" t="s">
        <v>177</v>
      </c>
      <c r="E6" s="157" t="s">
        <v>3</v>
      </c>
      <c r="F6" s="158" t="s">
        <v>9</v>
      </c>
      <c r="G6" s="158" t="s">
        <v>156</v>
      </c>
      <c r="H6" s="158" t="s">
        <v>159</v>
      </c>
      <c r="I6" s="157"/>
      <c r="J6" s="157"/>
      <c r="K6" s="157"/>
    </row>
    <row r="7" spans="1:11" x14ac:dyDescent="0.2">
      <c r="A7" s="156"/>
      <c r="B7" s="158" t="s">
        <v>113</v>
      </c>
      <c r="C7" s="158" t="s">
        <v>0</v>
      </c>
      <c r="D7" s="158" t="s">
        <v>177</v>
      </c>
      <c r="E7" s="158" t="s">
        <v>4</v>
      </c>
      <c r="F7" s="157" t="s">
        <v>10</v>
      </c>
      <c r="G7" s="158" t="s">
        <v>228</v>
      </c>
      <c r="H7" s="158" t="s">
        <v>159</v>
      </c>
      <c r="I7" s="157"/>
      <c r="J7" s="157"/>
      <c r="K7" s="157"/>
    </row>
    <row r="8" spans="1:11" x14ac:dyDescent="0.2">
      <c r="A8" s="156"/>
      <c r="B8" s="158" t="s">
        <v>113</v>
      </c>
      <c r="C8" s="158" t="s">
        <v>0</v>
      </c>
      <c r="D8" s="158" t="s">
        <v>177</v>
      </c>
      <c r="E8" s="158" t="s">
        <v>4</v>
      </c>
      <c r="F8" s="158" t="s">
        <v>10</v>
      </c>
      <c r="G8" s="158" t="s">
        <v>155</v>
      </c>
      <c r="H8" s="158" t="s">
        <v>17</v>
      </c>
      <c r="I8" s="157" t="s">
        <v>130</v>
      </c>
      <c r="J8" s="157"/>
      <c r="K8" s="157"/>
    </row>
    <row r="9" spans="1:11" x14ac:dyDescent="0.2">
      <c r="A9" s="156"/>
      <c r="B9" s="158" t="s">
        <v>113</v>
      </c>
      <c r="C9" s="158" t="s">
        <v>0</v>
      </c>
      <c r="D9" s="158" t="s">
        <v>177</v>
      </c>
      <c r="E9" s="158" t="s">
        <v>4</v>
      </c>
      <c r="F9" s="158" t="s">
        <v>10</v>
      </c>
      <c r="G9" s="158" t="s">
        <v>228</v>
      </c>
      <c r="H9" s="158" t="s">
        <v>17</v>
      </c>
      <c r="I9" s="158" t="s">
        <v>130</v>
      </c>
      <c r="J9" s="157"/>
      <c r="K9" s="157"/>
    </row>
    <row r="10" spans="1:11" x14ac:dyDescent="0.2">
      <c r="A10" s="156"/>
      <c r="B10" s="158" t="s">
        <v>113</v>
      </c>
      <c r="C10" s="158" t="s">
        <v>0</v>
      </c>
      <c r="D10" s="158" t="s">
        <v>177</v>
      </c>
      <c r="E10" s="158" t="s">
        <v>3</v>
      </c>
      <c r="F10" s="158" t="s">
        <v>12</v>
      </c>
      <c r="G10" s="158" t="s">
        <v>156</v>
      </c>
      <c r="H10" s="158" t="s">
        <v>159</v>
      </c>
      <c r="I10" s="157"/>
      <c r="J10" s="157"/>
      <c r="K10" s="157"/>
    </row>
    <row r="11" spans="1:11" x14ac:dyDescent="0.2">
      <c r="A11" s="156"/>
      <c r="B11" s="158" t="s">
        <v>113</v>
      </c>
      <c r="C11" s="158" t="s">
        <v>0</v>
      </c>
      <c r="D11" s="158" t="s">
        <v>177</v>
      </c>
      <c r="E11" s="158" t="s">
        <v>4</v>
      </c>
      <c r="F11" s="158" t="s">
        <v>11</v>
      </c>
      <c r="G11" s="158" t="s">
        <v>155</v>
      </c>
      <c r="H11" s="158" t="s">
        <v>159</v>
      </c>
      <c r="I11" s="157"/>
      <c r="J11" s="157"/>
      <c r="K11" s="157"/>
    </row>
    <row r="12" spans="1:11" x14ac:dyDescent="0.2">
      <c r="A12" s="156"/>
      <c r="B12" s="158" t="s">
        <v>116</v>
      </c>
      <c r="C12" s="158" t="s">
        <v>1</v>
      </c>
      <c r="D12" s="157" t="s">
        <v>2</v>
      </c>
      <c r="E12" s="158" t="s">
        <v>4</v>
      </c>
      <c r="F12" s="157" t="s">
        <v>12</v>
      </c>
      <c r="G12" s="158" t="s">
        <v>155</v>
      </c>
      <c r="H12" s="158" t="s">
        <v>7</v>
      </c>
      <c r="I12" s="157" t="s">
        <v>143</v>
      </c>
      <c r="J12" s="157"/>
      <c r="K12" s="157"/>
    </row>
    <row r="13" spans="1:11" x14ac:dyDescent="0.2">
      <c r="A13" s="156"/>
      <c r="B13" s="158" t="s">
        <v>116</v>
      </c>
      <c r="C13" s="158" t="s">
        <v>0</v>
      </c>
      <c r="D13" s="158" t="s">
        <v>177</v>
      </c>
      <c r="E13" s="158" t="s">
        <v>4</v>
      </c>
      <c r="F13" s="158" t="s">
        <v>12</v>
      </c>
      <c r="G13" s="158" t="s">
        <v>155</v>
      </c>
      <c r="H13" s="158" t="s">
        <v>7</v>
      </c>
      <c r="I13" s="158" t="s">
        <v>143</v>
      </c>
      <c r="J13" s="157"/>
      <c r="K13" s="157"/>
    </row>
    <row r="14" spans="1:11" x14ac:dyDescent="0.2">
      <c r="A14" s="156"/>
      <c r="B14" s="158" t="s">
        <v>116</v>
      </c>
      <c r="C14" s="158" t="s">
        <v>1</v>
      </c>
      <c r="D14" s="158" t="s">
        <v>177</v>
      </c>
      <c r="E14" s="158" t="s">
        <v>4</v>
      </c>
      <c r="F14" s="157" t="s">
        <v>106</v>
      </c>
      <c r="G14" s="158" t="s">
        <v>110</v>
      </c>
      <c r="H14" s="158" t="s">
        <v>7</v>
      </c>
      <c r="I14" s="158" t="s">
        <v>143</v>
      </c>
      <c r="J14" s="158"/>
      <c r="K14" s="158"/>
    </row>
    <row r="15" spans="1:11" x14ac:dyDescent="0.2">
      <c r="A15" s="156"/>
      <c r="B15" s="158" t="s">
        <v>116</v>
      </c>
      <c r="C15" s="158" t="s">
        <v>0</v>
      </c>
      <c r="D15" s="158" t="s">
        <v>177</v>
      </c>
      <c r="E15" s="158" t="s">
        <v>3</v>
      </c>
      <c r="F15" s="158" t="s">
        <v>106</v>
      </c>
      <c r="G15" s="158" t="s">
        <v>110</v>
      </c>
      <c r="H15" s="158" t="s">
        <v>7</v>
      </c>
      <c r="I15" s="158" t="s">
        <v>143</v>
      </c>
      <c r="J15" s="158"/>
      <c r="K15" s="158"/>
    </row>
    <row r="16" spans="1:11" x14ac:dyDescent="0.2">
      <c r="A16" s="156"/>
      <c r="B16" s="158" t="s">
        <v>116</v>
      </c>
      <c r="C16" s="158" t="s">
        <v>1</v>
      </c>
      <c r="D16" s="158" t="s">
        <v>177</v>
      </c>
      <c r="E16" s="158" t="s">
        <v>3</v>
      </c>
      <c r="F16" s="158" t="s">
        <v>11</v>
      </c>
      <c r="G16" s="158" t="s">
        <v>110</v>
      </c>
      <c r="H16" s="158" t="s">
        <v>7</v>
      </c>
      <c r="I16" s="158" t="s">
        <v>143</v>
      </c>
      <c r="J16" s="158"/>
      <c r="K16" s="158"/>
    </row>
    <row r="17" spans="1:11" x14ac:dyDescent="0.2">
      <c r="A17" s="156"/>
      <c r="B17" s="158" t="s">
        <v>116</v>
      </c>
      <c r="C17" s="158" t="s">
        <v>0</v>
      </c>
      <c r="D17" s="158" t="s">
        <v>177</v>
      </c>
      <c r="E17" s="158" t="s">
        <v>3</v>
      </c>
      <c r="F17" s="158" t="s">
        <v>106</v>
      </c>
      <c r="G17" s="158" t="s">
        <v>110</v>
      </c>
      <c r="H17" s="158" t="s">
        <v>7</v>
      </c>
      <c r="I17" s="158" t="s">
        <v>143</v>
      </c>
      <c r="J17" s="157"/>
      <c r="K17" s="157"/>
    </row>
    <row r="18" spans="1:11" x14ac:dyDescent="0.2">
      <c r="A18" s="156"/>
      <c r="B18" s="158" t="s">
        <v>116</v>
      </c>
      <c r="C18" s="158" t="s">
        <v>1</v>
      </c>
      <c r="D18" s="158" t="s">
        <v>177</v>
      </c>
      <c r="E18" s="158" t="s">
        <v>4</v>
      </c>
      <c r="F18" s="157" t="s">
        <v>236</v>
      </c>
      <c r="G18" s="158" t="s">
        <v>110</v>
      </c>
      <c r="H18" s="158" t="s">
        <v>7</v>
      </c>
      <c r="I18" s="158" t="s">
        <v>143</v>
      </c>
      <c r="J18" s="158"/>
      <c r="K18" s="158"/>
    </row>
    <row r="19" spans="1:11" x14ac:dyDescent="0.2">
      <c r="A19" s="156"/>
      <c r="B19" s="158" t="s">
        <v>116</v>
      </c>
      <c r="C19" s="158" t="s">
        <v>0</v>
      </c>
      <c r="D19" s="158" t="s">
        <v>177</v>
      </c>
      <c r="E19" s="158" t="s">
        <v>4</v>
      </c>
      <c r="F19" s="158" t="s">
        <v>10</v>
      </c>
      <c r="G19" s="158" t="s">
        <v>110</v>
      </c>
      <c r="H19" s="158" t="s">
        <v>7</v>
      </c>
      <c r="I19" s="158" t="s">
        <v>143</v>
      </c>
      <c r="J19" s="157"/>
      <c r="K19" s="157"/>
    </row>
    <row r="20" spans="1:11" x14ac:dyDescent="0.2">
      <c r="A20" s="156"/>
      <c r="B20" s="157" t="s">
        <v>114</v>
      </c>
      <c r="C20" s="158" t="s">
        <v>1</v>
      </c>
      <c r="D20" s="158" t="s">
        <v>177</v>
      </c>
      <c r="E20" s="158" t="s">
        <v>4</v>
      </c>
      <c r="F20" s="157" t="s">
        <v>23</v>
      </c>
      <c r="G20" s="158" t="s">
        <v>158</v>
      </c>
      <c r="H20" s="158" t="s">
        <v>17</v>
      </c>
      <c r="I20" s="158" t="s">
        <v>130</v>
      </c>
      <c r="J20" s="158"/>
      <c r="K20" s="158"/>
    </row>
    <row r="21" spans="1:11" x14ac:dyDescent="0.2">
      <c r="A21" s="156"/>
      <c r="B21" s="158" t="s">
        <v>114</v>
      </c>
      <c r="C21" s="158" t="s">
        <v>1</v>
      </c>
      <c r="D21" s="158" t="s">
        <v>177</v>
      </c>
      <c r="E21" s="158" t="s">
        <v>4</v>
      </c>
      <c r="F21" s="158" t="s">
        <v>9</v>
      </c>
      <c r="G21" s="158" t="s">
        <v>156</v>
      </c>
      <c r="H21" s="158" t="s">
        <v>17</v>
      </c>
      <c r="I21" s="158" t="s">
        <v>130</v>
      </c>
      <c r="J21" s="158"/>
      <c r="K21" s="158"/>
    </row>
    <row r="22" spans="1:11" x14ac:dyDescent="0.2">
      <c r="A22" s="156"/>
      <c r="B22" s="158" t="s">
        <v>114</v>
      </c>
      <c r="C22" s="158" t="s">
        <v>1</v>
      </c>
      <c r="D22" s="158" t="s">
        <v>177</v>
      </c>
      <c r="E22" s="158" t="s">
        <v>3</v>
      </c>
      <c r="F22" s="158" t="s">
        <v>9</v>
      </c>
      <c r="G22" s="158" t="s">
        <v>156</v>
      </c>
      <c r="H22" s="158" t="s">
        <v>17</v>
      </c>
      <c r="I22" s="158" t="s">
        <v>130</v>
      </c>
      <c r="J22" s="158"/>
      <c r="K22" s="158"/>
    </row>
    <row r="23" spans="1:11" x14ac:dyDescent="0.2">
      <c r="A23" s="156"/>
      <c r="B23" s="158" t="s">
        <v>113</v>
      </c>
      <c r="C23" s="158" t="s">
        <v>0</v>
      </c>
      <c r="D23" s="158" t="s">
        <v>2</v>
      </c>
      <c r="E23" s="158" t="s">
        <v>4</v>
      </c>
      <c r="F23" s="158" t="s">
        <v>11</v>
      </c>
      <c r="G23" s="158" t="s">
        <v>156</v>
      </c>
      <c r="H23" s="158" t="s">
        <v>159</v>
      </c>
      <c r="I23" s="157"/>
      <c r="J23" s="157"/>
      <c r="K23" s="157"/>
    </row>
    <row r="24" spans="1:11" x14ac:dyDescent="0.2">
      <c r="A24" s="156"/>
      <c r="B24" s="158" t="s">
        <v>113</v>
      </c>
      <c r="C24" s="158" t="s">
        <v>1</v>
      </c>
      <c r="D24" s="158" t="s">
        <v>2</v>
      </c>
      <c r="E24" s="158" t="s">
        <v>4</v>
      </c>
      <c r="F24" s="158" t="s">
        <v>11</v>
      </c>
      <c r="G24" s="158" t="s">
        <v>156</v>
      </c>
      <c r="H24" s="158" t="s">
        <v>159</v>
      </c>
      <c r="I24" s="158"/>
      <c r="J24" s="158"/>
      <c r="K24" s="158"/>
    </row>
    <row r="25" spans="1:11" x14ac:dyDescent="0.2">
      <c r="A25" s="156"/>
      <c r="B25" s="158" t="s">
        <v>113</v>
      </c>
      <c r="C25" s="158" t="s">
        <v>0</v>
      </c>
      <c r="D25" s="158" t="s">
        <v>177</v>
      </c>
      <c r="E25" s="158" t="s">
        <v>4</v>
      </c>
      <c r="F25" s="158" t="s">
        <v>10</v>
      </c>
      <c r="G25" s="158" t="s">
        <v>155</v>
      </c>
      <c r="H25" s="158" t="s">
        <v>17</v>
      </c>
      <c r="I25" s="157" t="s">
        <v>131</v>
      </c>
      <c r="J25" s="157"/>
      <c r="K25" s="157"/>
    </row>
    <row r="26" spans="1:11" x14ac:dyDescent="0.2">
      <c r="A26" s="156"/>
      <c r="B26" s="158" t="s">
        <v>113</v>
      </c>
      <c r="C26" s="158" t="s">
        <v>1</v>
      </c>
      <c r="D26" s="158" t="s">
        <v>2</v>
      </c>
      <c r="E26" s="158" t="s">
        <v>4</v>
      </c>
      <c r="F26" s="158" t="s">
        <v>10</v>
      </c>
      <c r="G26" s="158" t="s">
        <v>155</v>
      </c>
      <c r="H26" s="158" t="s">
        <v>17</v>
      </c>
      <c r="I26" s="157" t="s">
        <v>131</v>
      </c>
      <c r="J26" s="157"/>
      <c r="K26" s="157"/>
    </row>
    <row r="27" spans="1:11" x14ac:dyDescent="0.2">
      <c r="A27" s="156"/>
      <c r="B27" s="158" t="s">
        <v>113</v>
      </c>
      <c r="C27" s="158" t="s">
        <v>1</v>
      </c>
      <c r="D27" s="158" t="s">
        <v>2</v>
      </c>
      <c r="E27" s="158" t="s">
        <v>3</v>
      </c>
      <c r="F27" s="158" t="s">
        <v>10</v>
      </c>
      <c r="G27" s="158" t="s">
        <v>155</v>
      </c>
      <c r="H27" s="158" t="s">
        <v>17</v>
      </c>
      <c r="I27" s="157" t="s">
        <v>131</v>
      </c>
      <c r="J27" s="157"/>
      <c r="K27" s="157"/>
    </row>
    <row r="28" spans="1:11" x14ac:dyDescent="0.2">
      <c r="A28" s="156"/>
      <c r="B28" s="158" t="s">
        <v>113</v>
      </c>
      <c r="C28" s="158" t="s">
        <v>0</v>
      </c>
      <c r="D28" s="158" t="s">
        <v>177</v>
      </c>
      <c r="E28" s="158" t="s">
        <v>4</v>
      </c>
      <c r="F28" s="158" t="s">
        <v>10</v>
      </c>
      <c r="G28" s="158" t="s">
        <v>155</v>
      </c>
      <c r="H28" s="158" t="s">
        <v>159</v>
      </c>
      <c r="I28" s="157"/>
      <c r="J28" s="157"/>
      <c r="K28" s="157"/>
    </row>
    <row r="29" spans="1:11" x14ac:dyDescent="0.2">
      <c r="A29" s="156"/>
      <c r="B29" s="158" t="s">
        <v>113</v>
      </c>
      <c r="C29" s="158" t="s">
        <v>1</v>
      </c>
      <c r="D29" s="158" t="s">
        <v>177</v>
      </c>
      <c r="E29" s="158" t="s">
        <v>4</v>
      </c>
      <c r="F29" s="158" t="s">
        <v>10</v>
      </c>
      <c r="G29" s="158" t="s">
        <v>155</v>
      </c>
      <c r="H29" s="158" t="s">
        <v>159</v>
      </c>
      <c r="I29" s="157"/>
      <c r="J29" s="157"/>
      <c r="K29" s="157"/>
    </row>
    <row r="30" spans="1:11" x14ac:dyDescent="0.2">
      <c r="A30" s="156"/>
      <c r="B30" s="158" t="s">
        <v>113</v>
      </c>
      <c r="C30" s="158" t="s">
        <v>0</v>
      </c>
      <c r="D30" s="158" t="s">
        <v>177</v>
      </c>
      <c r="E30" s="158" t="s">
        <v>4</v>
      </c>
      <c r="F30" s="157" t="s">
        <v>13</v>
      </c>
      <c r="G30" s="158" t="s">
        <v>158</v>
      </c>
      <c r="H30" s="158" t="s">
        <v>17</v>
      </c>
      <c r="I30" s="157" t="s">
        <v>130</v>
      </c>
      <c r="J30" s="157"/>
      <c r="K30" s="157"/>
    </row>
    <row r="31" spans="1:11" x14ac:dyDescent="0.2">
      <c r="A31" s="156"/>
      <c r="B31" s="158" t="s">
        <v>114</v>
      </c>
      <c r="C31" s="158" t="s">
        <v>0</v>
      </c>
      <c r="D31" s="158" t="s">
        <v>2</v>
      </c>
      <c r="E31" s="158" t="s">
        <v>4</v>
      </c>
      <c r="F31" s="158" t="s">
        <v>10</v>
      </c>
      <c r="G31" s="158" t="s">
        <v>228</v>
      </c>
      <c r="H31" s="158" t="s">
        <v>7</v>
      </c>
      <c r="I31" s="157" t="s">
        <v>105</v>
      </c>
      <c r="J31" s="157"/>
      <c r="K31" s="157"/>
    </row>
    <row r="32" spans="1:11" x14ac:dyDescent="0.2">
      <c r="A32" s="156"/>
      <c r="B32" s="158" t="s">
        <v>114</v>
      </c>
      <c r="C32" s="158" t="s">
        <v>0</v>
      </c>
      <c r="D32" s="158" t="s">
        <v>2</v>
      </c>
      <c r="E32" s="158" t="s">
        <v>4</v>
      </c>
      <c r="F32" s="158" t="s">
        <v>10</v>
      </c>
      <c r="G32" s="158" t="s">
        <v>228</v>
      </c>
      <c r="H32" s="158" t="s">
        <v>7</v>
      </c>
      <c r="I32" s="158" t="s">
        <v>105</v>
      </c>
      <c r="J32" s="157"/>
      <c r="K32" s="157"/>
    </row>
    <row r="33" spans="1:11" x14ac:dyDescent="0.2">
      <c r="A33" s="156"/>
      <c r="B33" s="158" t="s">
        <v>114</v>
      </c>
      <c r="C33" s="158" t="s">
        <v>0</v>
      </c>
      <c r="D33" s="158" t="s">
        <v>177</v>
      </c>
      <c r="E33" s="158" t="s">
        <v>4</v>
      </c>
      <c r="F33" s="158" t="s">
        <v>10</v>
      </c>
      <c r="G33" s="158" t="s">
        <v>228</v>
      </c>
      <c r="H33" s="158" t="s">
        <v>7</v>
      </c>
      <c r="I33" s="158" t="s">
        <v>105</v>
      </c>
      <c r="J33" s="157"/>
      <c r="K33" s="157"/>
    </row>
    <row r="34" spans="1:11" x14ac:dyDescent="0.2">
      <c r="A34" s="156"/>
      <c r="B34" s="158" t="s">
        <v>114</v>
      </c>
      <c r="C34" s="158" t="s">
        <v>0</v>
      </c>
      <c r="D34" s="158" t="s">
        <v>177</v>
      </c>
      <c r="E34" s="158" t="s">
        <v>4</v>
      </c>
      <c r="F34" s="158" t="s">
        <v>10</v>
      </c>
      <c r="G34" s="158" t="s">
        <v>228</v>
      </c>
      <c r="H34" s="158" t="s">
        <v>7</v>
      </c>
      <c r="I34" s="158" t="s">
        <v>105</v>
      </c>
      <c r="J34" s="157"/>
      <c r="K34" s="157"/>
    </row>
    <row r="35" spans="1:11" x14ac:dyDescent="0.2">
      <c r="A35" s="156"/>
      <c r="B35" s="158" t="s">
        <v>114</v>
      </c>
      <c r="C35" s="158" t="s">
        <v>0</v>
      </c>
      <c r="D35" s="158" t="s">
        <v>177</v>
      </c>
      <c r="E35" s="158" t="s">
        <v>4</v>
      </c>
      <c r="F35" s="158" t="s">
        <v>10</v>
      </c>
      <c r="G35" s="158" t="s">
        <v>228</v>
      </c>
      <c r="H35" s="158" t="s">
        <v>7</v>
      </c>
      <c r="I35" s="158" t="s">
        <v>105</v>
      </c>
      <c r="J35" s="157"/>
      <c r="K35" s="157"/>
    </row>
    <row r="36" spans="1:11" x14ac:dyDescent="0.2">
      <c r="A36" s="156"/>
      <c r="B36" s="158" t="s">
        <v>114</v>
      </c>
      <c r="C36" s="158" t="s">
        <v>0</v>
      </c>
      <c r="D36" s="158" t="s">
        <v>177</v>
      </c>
      <c r="E36" s="158" t="s">
        <v>4</v>
      </c>
      <c r="F36" s="158" t="s">
        <v>10</v>
      </c>
      <c r="G36" s="158" t="s">
        <v>228</v>
      </c>
      <c r="H36" s="158" t="s">
        <v>7</v>
      </c>
      <c r="I36" s="158" t="s">
        <v>105</v>
      </c>
      <c r="J36" s="157"/>
      <c r="K36" s="157"/>
    </row>
    <row r="37" spans="1:11" x14ac:dyDescent="0.2">
      <c r="A37" s="156"/>
      <c r="B37" s="158" t="s">
        <v>114</v>
      </c>
      <c r="C37" s="158" t="s">
        <v>1</v>
      </c>
      <c r="D37" s="158" t="s">
        <v>177</v>
      </c>
      <c r="E37" s="158" t="s">
        <v>4</v>
      </c>
      <c r="F37" s="158" t="s">
        <v>10</v>
      </c>
      <c r="G37" s="158" t="s">
        <v>158</v>
      </c>
      <c r="H37" s="158" t="s">
        <v>17</v>
      </c>
      <c r="I37" s="157" t="s">
        <v>130</v>
      </c>
      <c r="J37" s="157"/>
      <c r="K37" s="157"/>
    </row>
    <row r="38" spans="1:11" x14ac:dyDescent="0.2">
      <c r="A38" s="156"/>
      <c r="B38" s="158" t="s">
        <v>114</v>
      </c>
      <c r="C38" s="158" t="s">
        <v>1</v>
      </c>
      <c r="D38" s="158" t="s">
        <v>177</v>
      </c>
      <c r="E38" s="158" t="s">
        <v>4</v>
      </c>
      <c r="F38" s="158" t="s">
        <v>9</v>
      </c>
      <c r="G38" s="158" t="s">
        <v>158</v>
      </c>
      <c r="H38" s="158" t="s">
        <v>17</v>
      </c>
      <c r="I38" s="157" t="s">
        <v>130</v>
      </c>
      <c r="J38" s="157"/>
      <c r="K38" s="157"/>
    </row>
    <row r="39" spans="1:11" x14ac:dyDescent="0.2">
      <c r="A39" s="156"/>
      <c r="B39" s="157" t="s">
        <v>112</v>
      </c>
      <c r="C39" s="158" t="s">
        <v>0</v>
      </c>
      <c r="D39" s="157" t="s">
        <v>2</v>
      </c>
      <c r="E39" s="157" t="s">
        <v>3</v>
      </c>
      <c r="F39" s="157" t="s">
        <v>23</v>
      </c>
      <c r="G39" s="158" t="s">
        <v>110</v>
      </c>
      <c r="H39" s="158" t="s">
        <v>159</v>
      </c>
      <c r="I39" s="157"/>
      <c r="J39" s="157"/>
      <c r="K39" s="157"/>
    </row>
    <row r="40" spans="1:11" x14ac:dyDescent="0.2">
      <c r="A40" s="156"/>
      <c r="B40" s="158" t="s">
        <v>112</v>
      </c>
      <c r="C40" s="158" t="s">
        <v>1</v>
      </c>
      <c r="D40" s="158" t="s">
        <v>2</v>
      </c>
      <c r="E40" s="158" t="s">
        <v>4</v>
      </c>
      <c r="F40" s="158" t="s">
        <v>23</v>
      </c>
      <c r="G40" s="158" t="s">
        <v>110</v>
      </c>
      <c r="H40" s="158" t="s">
        <v>159</v>
      </c>
      <c r="I40" s="157"/>
      <c r="J40" s="157"/>
      <c r="K40" s="157"/>
    </row>
    <row r="41" spans="1:11" x14ac:dyDescent="0.2">
      <c r="A41" s="156"/>
      <c r="B41" s="158" t="s">
        <v>112</v>
      </c>
      <c r="C41" s="158" t="s">
        <v>1</v>
      </c>
      <c r="D41" s="158" t="s">
        <v>2</v>
      </c>
      <c r="E41" s="158" t="s">
        <v>4</v>
      </c>
      <c r="F41" s="158" t="s">
        <v>23</v>
      </c>
      <c r="G41" s="158" t="s">
        <v>110</v>
      </c>
      <c r="H41" s="158" t="s">
        <v>159</v>
      </c>
      <c r="I41" s="157"/>
      <c r="J41" s="157"/>
      <c r="K41" s="157"/>
    </row>
    <row r="42" spans="1:11" x14ac:dyDescent="0.2">
      <c r="A42" s="156"/>
      <c r="B42" s="158" t="s">
        <v>112</v>
      </c>
      <c r="C42" s="158" t="s">
        <v>0</v>
      </c>
      <c r="D42" s="158" t="s">
        <v>177</v>
      </c>
      <c r="E42" s="158" t="s">
        <v>4</v>
      </c>
      <c r="F42" s="158" t="s">
        <v>10</v>
      </c>
      <c r="G42" s="158" t="s">
        <v>110</v>
      </c>
      <c r="H42" s="158" t="s">
        <v>159</v>
      </c>
      <c r="I42" s="157"/>
      <c r="J42" s="157"/>
      <c r="K42" s="157"/>
    </row>
    <row r="43" spans="1:11" x14ac:dyDescent="0.2">
      <c r="A43" s="156"/>
      <c r="B43" s="158" t="s">
        <v>112</v>
      </c>
      <c r="C43" s="158" t="s">
        <v>0</v>
      </c>
      <c r="D43" s="158" t="s">
        <v>177</v>
      </c>
      <c r="E43" s="158" t="s">
        <v>3</v>
      </c>
      <c r="F43" s="157" t="s">
        <v>12</v>
      </c>
      <c r="G43" s="158" t="s">
        <v>110</v>
      </c>
      <c r="H43" s="158" t="s">
        <v>159</v>
      </c>
      <c r="I43" s="157"/>
      <c r="J43" s="157"/>
      <c r="K43" s="157"/>
    </row>
    <row r="44" spans="1:11" x14ac:dyDescent="0.2">
      <c r="A44" s="156"/>
      <c r="B44" s="158" t="s">
        <v>112</v>
      </c>
      <c r="C44" s="158" t="s">
        <v>1</v>
      </c>
      <c r="D44" s="158" t="s">
        <v>177</v>
      </c>
      <c r="E44" s="158" t="s">
        <v>4</v>
      </c>
      <c r="F44" s="158" t="s">
        <v>12</v>
      </c>
      <c r="G44" s="158" t="s">
        <v>110</v>
      </c>
      <c r="H44" s="158" t="s">
        <v>159</v>
      </c>
      <c r="I44" s="157"/>
      <c r="J44" s="157"/>
      <c r="K44" s="157"/>
    </row>
    <row r="45" spans="1:11" x14ac:dyDescent="0.2">
      <c r="A45" s="156"/>
      <c r="B45" s="158" t="s">
        <v>112</v>
      </c>
      <c r="C45" s="158" t="s">
        <v>0</v>
      </c>
      <c r="D45" s="158" t="s">
        <v>177</v>
      </c>
      <c r="E45" s="158" t="s">
        <v>3</v>
      </c>
      <c r="F45" s="158" t="s">
        <v>13</v>
      </c>
      <c r="G45" s="158" t="s">
        <v>156</v>
      </c>
      <c r="H45" s="158" t="s">
        <v>159</v>
      </c>
      <c r="I45" s="157"/>
      <c r="J45" s="157"/>
      <c r="K45" s="157"/>
    </row>
    <row r="46" spans="1:11" x14ac:dyDescent="0.2">
      <c r="A46" s="156"/>
      <c r="B46" s="158" t="s">
        <v>112</v>
      </c>
      <c r="C46" s="158" t="s">
        <v>1</v>
      </c>
      <c r="D46" s="158" t="s">
        <v>177</v>
      </c>
      <c r="E46" s="158" t="s">
        <v>4</v>
      </c>
      <c r="F46" s="158" t="s">
        <v>13</v>
      </c>
      <c r="G46" s="158" t="s">
        <v>156</v>
      </c>
      <c r="H46" s="158" t="s">
        <v>159</v>
      </c>
      <c r="I46" s="157"/>
      <c r="J46" s="157"/>
      <c r="K46" s="157"/>
    </row>
    <row r="47" spans="1:11" x14ac:dyDescent="0.2">
      <c r="A47" s="156"/>
      <c r="B47" s="158" t="s">
        <v>112</v>
      </c>
      <c r="C47" s="158" t="s">
        <v>0</v>
      </c>
      <c r="D47" s="158" t="s">
        <v>177</v>
      </c>
      <c r="E47" s="158" t="s">
        <v>4</v>
      </c>
      <c r="F47" s="158" t="s">
        <v>10</v>
      </c>
      <c r="G47" s="158" t="s">
        <v>228</v>
      </c>
      <c r="H47" s="158" t="s">
        <v>159</v>
      </c>
      <c r="I47" s="157"/>
      <c r="J47" s="157"/>
      <c r="K47" s="157"/>
    </row>
    <row r="48" spans="1:11" x14ac:dyDescent="0.2">
      <c r="A48" s="156"/>
      <c r="B48" s="158" t="s">
        <v>112</v>
      </c>
      <c r="C48" s="158" t="s">
        <v>0</v>
      </c>
      <c r="D48" s="158" t="s">
        <v>177</v>
      </c>
      <c r="E48" s="158" t="s">
        <v>4</v>
      </c>
      <c r="F48" s="158" t="s">
        <v>16</v>
      </c>
      <c r="G48" s="158" t="s">
        <v>228</v>
      </c>
      <c r="H48" s="158" t="s">
        <v>159</v>
      </c>
      <c r="I48" s="157"/>
      <c r="J48" s="157"/>
      <c r="K48" s="157"/>
    </row>
    <row r="49" spans="1:11" x14ac:dyDescent="0.2">
      <c r="A49" s="156"/>
      <c r="B49" s="158" t="s">
        <v>112</v>
      </c>
      <c r="C49" s="158" t="s">
        <v>0</v>
      </c>
      <c r="D49" s="158" t="s">
        <v>177</v>
      </c>
      <c r="E49" s="158" t="s">
        <v>3</v>
      </c>
      <c r="F49" s="158" t="s">
        <v>12</v>
      </c>
      <c r="G49" s="158" t="s">
        <v>155</v>
      </c>
      <c r="H49" s="158" t="s">
        <v>159</v>
      </c>
      <c r="I49" s="157"/>
      <c r="J49" s="157"/>
      <c r="K49" s="157"/>
    </row>
    <row r="50" spans="1:11" x14ac:dyDescent="0.2">
      <c r="A50" s="156"/>
      <c r="B50" s="158" t="s">
        <v>112</v>
      </c>
      <c r="C50" s="158" t="s">
        <v>1</v>
      </c>
      <c r="D50" s="158" t="s">
        <v>177</v>
      </c>
      <c r="E50" s="158" t="s">
        <v>4</v>
      </c>
      <c r="F50" s="158" t="s">
        <v>12</v>
      </c>
      <c r="G50" s="158" t="s">
        <v>155</v>
      </c>
      <c r="H50" s="158" t="s">
        <v>159</v>
      </c>
      <c r="I50" s="157"/>
      <c r="J50" s="157"/>
      <c r="K50" s="157"/>
    </row>
    <row r="51" spans="1:11" x14ac:dyDescent="0.2">
      <c r="A51" s="156"/>
      <c r="B51" s="158" t="s">
        <v>112</v>
      </c>
      <c r="C51" s="158" t="s">
        <v>0</v>
      </c>
      <c r="D51" s="158" t="s">
        <v>177</v>
      </c>
      <c r="E51" s="158" t="s">
        <v>4</v>
      </c>
      <c r="F51" s="158" t="s">
        <v>23</v>
      </c>
      <c r="G51" s="158" t="s">
        <v>156</v>
      </c>
      <c r="H51" s="158" t="s">
        <v>159</v>
      </c>
      <c r="I51" s="157"/>
      <c r="J51" s="157"/>
      <c r="K51" s="157"/>
    </row>
    <row r="52" spans="1:11" x14ac:dyDescent="0.2">
      <c r="A52" s="156"/>
      <c r="B52" s="158" t="s">
        <v>112</v>
      </c>
      <c r="C52" s="158" t="s">
        <v>1</v>
      </c>
      <c r="D52" s="158" t="s">
        <v>177</v>
      </c>
      <c r="E52" s="158" t="s">
        <v>3</v>
      </c>
      <c r="F52" s="158" t="s">
        <v>236</v>
      </c>
      <c r="G52" s="158" t="s">
        <v>156</v>
      </c>
      <c r="H52" s="158" t="s">
        <v>159</v>
      </c>
      <c r="I52" s="157"/>
      <c r="J52" s="157"/>
      <c r="K52" s="157"/>
    </row>
    <row r="53" spans="1:11" x14ac:dyDescent="0.2">
      <c r="A53" s="156"/>
      <c r="B53" s="158" t="s">
        <v>112</v>
      </c>
      <c r="C53" s="158" t="s">
        <v>1</v>
      </c>
      <c r="D53" s="158" t="s">
        <v>177</v>
      </c>
      <c r="E53" s="158" t="s">
        <v>4</v>
      </c>
      <c r="F53" s="158" t="s">
        <v>13</v>
      </c>
      <c r="G53" s="158" t="s">
        <v>156</v>
      </c>
      <c r="H53" s="158" t="s">
        <v>159</v>
      </c>
      <c r="I53" s="157"/>
      <c r="J53" s="157"/>
      <c r="K53" s="157"/>
    </row>
    <row r="54" spans="1:11" x14ac:dyDescent="0.2">
      <c r="A54" s="156"/>
      <c r="B54" s="158" t="s">
        <v>112</v>
      </c>
      <c r="C54" s="158" t="s">
        <v>0</v>
      </c>
      <c r="D54" s="158" t="s">
        <v>177</v>
      </c>
      <c r="E54" s="158" t="s">
        <v>3</v>
      </c>
      <c r="F54" s="157" t="s">
        <v>16</v>
      </c>
      <c r="G54" s="158" t="s">
        <v>228</v>
      </c>
      <c r="H54" s="158" t="s">
        <v>159</v>
      </c>
      <c r="I54" s="157"/>
      <c r="J54" s="157"/>
      <c r="K54" s="157"/>
    </row>
    <row r="55" spans="1:11" x14ac:dyDescent="0.2">
      <c r="A55" s="156"/>
      <c r="B55" s="158" t="s">
        <v>112</v>
      </c>
      <c r="C55" s="158" t="s">
        <v>1</v>
      </c>
      <c r="D55" s="158" t="s">
        <v>177</v>
      </c>
      <c r="E55" s="158" t="s">
        <v>3</v>
      </c>
      <c r="F55" s="158" t="s">
        <v>106</v>
      </c>
      <c r="G55" s="158" t="s">
        <v>158</v>
      </c>
      <c r="H55" s="158" t="s">
        <v>159</v>
      </c>
      <c r="I55" s="157"/>
      <c r="J55" s="157"/>
      <c r="K55" s="157"/>
    </row>
    <row r="56" spans="1:11" x14ac:dyDescent="0.2">
      <c r="A56" s="156"/>
      <c r="B56" s="158" t="s">
        <v>112</v>
      </c>
      <c r="C56" s="158" t="s">
        <v>0</v>
      </c>
      <c r="D56" s="158" t="s">
        <v>177</v>
      </c>
      <c r="E56" s="158" t="s">
        <v>3</v>
      </c>
      <c r="F56" s="158" t="s">
        <v>9</v>
      </c>
      <c r="G56" s="158" t="s">
        <v>156</v>
      </c>
      <c r="H56" s="158" t="s">
        <v>159</v>
      </c>
      <c r="I56" s="157"/>
      <c r="J56" s="157"/>
      <c r="K56" s="157"/>
    </row>
    <row r="57" spans="1:11" x14ac:dyDescent="0.2">
      <c r="A57" s="156"/>
      <c r="B57" s="157" t="s">
        <v>113</v>
      </c>
      <c r="C57" s="158" t="s">
        <v>0</v>
      </c>
      <c r="D57" s="157" t="s">
        <v>2</v>
      </c>
      <c r="E57" s="157" t="s">
        <v>3</v>
      </c>
      <c r="F57" s="157" t="s">
        <v>23</v>
      </c>
      <c r="G57" s="158" t="s">
        <v>156</v>
      </c>
      <c r="H57" s="158" t="s">
        <v>159</v>
      </c>
      <c r="I57" s="157"/>
      <c r="J57" s="157"/>
      <c r="K57" s="157"/>
    </row>
    <row r="58" spans="1:11" x14ac:dyDescent="0.2">
      <c r="A58" s="156"/>
      <c r="B58" s="158" t="s">
        <v>113</v>
      </c>
      <c r="C58" s="158" t="s">
        <v>1</v>
      </c>
      <c r="D58" s="158" t="s">
        <v>2</v>
      </c>
      <c r="E58" s="158" t="s">
        <v>4</v>
      </c>
      <c r="F58" s="158" t="s">
        <v>23</v>
      </c>
      <c r="G58" s="158" t="s">
        <v>156</v>
      </c>
      <c r="H58" s="158" t="s">
        <v>159</v>
      </c>
      <c r="I58" s="157"/>
      <c r="J58" s="157"/>
      <c r="K58" s="157"/>
    </row>
    <row r="59" spans="1:11" x14ac:dyDescent="0.2">
      <c r="A59" s="156"/>
      <c r="B59" s="158" t="s">
        <v>113</v>
      </c>
      <c r="C59" s="158" t="s">
        <v>1</v>
      </c>
      <c r="D59" s="158" t="s">
        <v>2</v>
      </c>
      <c r="E59" s="158" t="s">
        <v>4</v>
      </c>
      <c r="F59" s="158" t="s">
        <v>23</v>
      </c>
      <c r="G59" s="158" t="s">
        <v>156</v>
      </c>
      <c r="H59" s="158" t="s">
        <v>159</v>
      </c>
      <c r="I59" s="157"/>
      <c r="J59" s="157"/>
      <c r="K59" s="157"/>
    </row>
    <row r="60" spans="1:11" x14ac:dyDescent="0.2">
      <c r="A60" s="156"/>
      <c r="B60" s="158" t="s">
        <v>113</v>
      </c>
      <c r="C60" s="158" t="s">
        <v>0</v>
      </c>
      <c r="D60" s="158" t="s">
        <v>177</v>
      </c>
      <c r="E60" s="158" t="s">
        <v>4</v>
      </c>
      <c r="F60" s="158" t="s">
        <v>10</v>
      </c>
      <c r="G60" s="158" t="s">
        <v>228</v>
      </c>
      <c r="H60" s="158" t="s">
        <v>159</v>
      </c>
      <c r="I60" s="157"/>
      <c r="J60" s="157"/>
      <c r="K60" s="157"/>
    </row>
    <row r="61" spans="1:11" x14ac:dyDescent="0.2">
      <c r="A61" s="156"/>
      <c r="B61" s="158" t="s">
        <v>113</v>
      </c>
      <c r="C61" s="158" t="s">
        <v>0</v>
      </c>
      <c r="D61" s="158" t="s">
        <v>177</v>
      </c>
      <c r="E61" s="158" t="s">
        <v>3</v>
      </c>
      <c r="F61" s="157" t="s">
        <v>12</v>
      </c>
      <c r="G61" s="158" t="s">
        <v>228</v>
      </c>
      <c r="H61" s="158" t="s">
        <v>159</v>
      </c>
      <c r="I61" s="157"/>
      <c r="J61" s="157"/>
      <c r="K61" s="157"/>
    </row>
    <row r="62" spans="1:11" x14ac:dyDescent="0.2">
      <c r="A62" s="156"/>
      <c r="B62" s="158" t="s">
        <v>113</v>
      </c>
      <c r="C62" s="158" t="s">
        <v>1</v>
      </c>
      <c r="D62" s="158" t="s">
        <v>177</v>
      </c>
      <c r="E62" s="158" t="s">
        <v>4</v>
      </c>
      <c r="F62" s="158" t="s">
        <v>12</v>
      </c>
      <c r="G62" s="158" t="s">
        <v>228</v>
      </c>
      <c r="H62" s="158" t="s">
        <v>159</v>
      </c>
      <c r="I62" s="157"/>
      <c r="J62" s="157"/>
      <c r="K62" s="157"/>
    </row>
    <row r="63" spans="1:11" x14ac:dyDescent="0.2">
      <c r="A63" s="156"/>
      <c r="B63" s="158" t="s">
        <v>113</v>
      </c>
      <c r="C63" s="158" t="s">
        <v>0</v>
      </c>
      <c r="D63" s="158" t="s">
        <v>177</v>
      </c>
      <c r="E63" s="158" t="s">
        <v>3</v>
      </c>
      <c r="F63" s="158" t="s">
        <v>13</v>
      </c>
      <c r="G63" s="158" t="s">
        <v>156</v>
      </c>
      <c r="H63" s="158" t="s">
        <v>159</v>
      </c>
      <c r="I63" s="157"/>
      <c r="J63" s="157"/>
      <c r="K63" s="157"/>
    </row>
    <row r="64" spans="1:11" x14ac:dyDescent="0.2">
      <c r="A64" s="156"/>
      <c r="B64" s="158" t="s">
        <v>113</v>
      </c>
      <c r="C64" s="158" t="s">
        <v>1</v>
      </c>
      <c r="D64" s="158" t="s">
        <v>177</v>
      </c>
      <c r="E64" s="158" t="s">
        <v>4</v>
      </c>
      <c r="F64" s="158" t="s">
        <v>13</v>
      </c>
      <c r="G64" s="158" t="s">
        <v>156</v>
      </c>
      <c r="H64" s="158" t="s">
        <v>159</v>
      </c>
      <c r="I64" s="157"/>
      <c r="J64" s="157"/>
      <c r="K64" s="157"/>
    </row>
    <row r="65" spans="1:11" x14ac:dyDescent="0.2">
      <c r="A65" s="156"/>
      <c r="B65" s="158" t="s">
        <v>112</v>
      </c>
      <c r="C65" s="158" t="s">
        <v>0</v>
      </c>
      <c r="D65" s="158" t="s">
        <v>177</v>
      </c>
      <c r="E65" s="158" t="s">
        <v>3</v>
      </c>
      <c r="F65" s="158" t="s">
        <v>106</v>
      </c>
      <c r="G65" s="158" t="s">
        <v>156</v>
      </c>
      <c r="H65" s="158" t="s">
        <v>7</v>
      </c>
      <c r="I65" s="157" t="s">
        <v>128</v>
      </c>
      <c r="J65" s="157"/>
      <c r="K65" s="157"/>
    </row>
    <row r="66" spans="1:11" x14ac:dyDescent="0.2">
      <c r="A66" s="156"/>
      <c r="B66" s="158" t="s">
        <v>112</v>
      </c>
      <c r="C66" s="158" t="s">
        <v>0</v>
      </c>
      <c r="D66" s="158" t="s">
        <v>177</v>
      </c>
      <c r="E66" s="158" t="s">
        <v>3</v>
      </c>
      <c r="F66" s="158" t="s">
        <v>106</v>
      </c>
      <c r="G66" s="158" t="s">
        <v>156</v>
      </c>
      <c r="H66" s="158" t="s">
        <v>7</v>
      </c>
      <c r="I66" s="157" t="s">
        <v>128</v>
      </c>
      <c r="J66" s="157"/>
      <c r="K66" s="157"/>
    </row>
    <row r="67" spans="1:11" x14ac:dyDescent="0.2">
      <c r="A67" s="156"/>
      <c r="B67" s="158" t="s">
        <v>112</v>
      </c>
      <c r="C67" s="158" t="s">
        <v>0</v>
      </c>
      <c r="D67" s="158" t="s">
        <v>177</v>
      </c>
      <c r="E67" s="158" t="s">
        <v>3</v>
      </c>
      <c r="F67" s="158" t="s">
        <v>106</v>
      </c>
      <c r="G67" s="158" t="s">
        <v>156</v>
      </c>
      <c r="H67" s="158" t="s">
        <v>7</v>
      </c>
      <c r="I67" s="157" t="s">
        <v>128</v>
      </c>
      <c r="J67" s="157"/>
      <c r="K67" s="157"/>
    </row>
    <row r="68" spans="1:11" x14ac:dyDescent="0.2">
      <c r="A68" s="156"/>
      <c r="B68" s="158" t="s">
        <v>112</v>
      </c>
      <c r="C68" s="158" t="s">
        <v>0</v>
      </c>
      <c r="D68" s="158" t="s">
        <v>177</v>
      </c>
      <c r="E68" s="158" t="s">
        <v>3</v>
      </c>
      <c r="F68" s="158" t="s">
        <v>106</v>
      </c>
      <c r="G68" s="158" t="s">
        <v>156</v>
      </c>
      <c r="H68" s="158" t="s">
        <v>7</v>
      </c>
      <c r="I68" s="157" t="s">
        <v>128</v>
      </c>
      <c r="J68" s="157"/>
      <c r="K68" s="157"/>
    </row>
    <row r="69" spans="1:11" x14ac:dyDescent="0.2">
      <c r="A69" s="156"/>
      <c r="B69" s="158" t="s">
        <v>112</v>
      </c>
      <c r="C69" s="158" t="s">
        <v>0</v>
      </c>
      <c r="D69" s="158" t="s">
        <v>177</v>
      </c>
      <c r="E69" s="158" t="s">
        <v>3</v>
      </c>
      <c r="F69" s="158" t="s">
        <v>106</v>
      </c>
      <c r="G69" s="158" t="s">
        <v>156</v>
      </c>
      <c r="H69" s="158" t="s">
        <v>7</v>
      </c>
      <c r="I69" s="157" t="s">
        <v>128</v>
      </c>
      <c r="J69" s="157"/>
      <c r="K69" s="157"/>
    </row>
    <row r="70" spans="1:11" x14ac:dyDescent="0.2">
      <c r="A70" s="156"/>
      <c r="B70" s="158" t="s">
        <v>112</v>
      </c>
      <c r="C70" s="158" t="s">
        <v>0</v>
      </c>
      <c r="D70" s="158" t="s">
        <v>177</v>
      </c>
      <c r="E70" s="158" t="s">
        <v>3</v>
      </c>
      <c r="F70" s="158" t="s">
        <v>106</v>
      </c>
      <c r="G70" s="158" t="s">
        <v>156</v>
      </c>
      <c r="H70" s="158" t="s">
        <v>7</v>
      </c>
      <c r="I70" s="157" t="s">
        <v>128</v>
      </c>
      <c r="J70" s="157"/>
      <c r="K70" s="157"/>
    </row>
    <row r="71" spans="1:11" x14ac:dyDescent="0.2">
      <c r="A71" s="156"/>
      <c r="B71" s="158" t="s">
        <v>112</v>
      </c>
      <c r="C71" s="158" t="s">
        <v>0</v>
      </c>
      <c r="D71" s="158" t="s">
        <v>177</v>
      </c>
      <c r="E71" s="158" t="s">
        <v>3</v>
      </c>
      <c r="F71" s="158" t="s">
        <v>106</v>
      </c>
      <c r="G71" s="158" t="s">
        <v>156</v>
      </c>
      <c r="H71" s="158" t="s">
        <v>7</v>
      </c>
      <c r="I71" s="157" t="s">
        <v>128</v>
      </c>
      <c r="J71" s="157"/>
      <c r="K71" s="157"/>
    </row>
    <row r="72" spans="1:11" x14ac:dyDescent="0.2">
      <c r="A72" s="156"/>
      <c r="B72" s="158" t="s">
        <v>112</v>
      </c>
      <c r="C72" s="158" t="s">
        <v>0</v>
      </c>
      <c r="D72" s="158" t="s">
        <v>177</v>
      </c>
      <c r="E72" s="158" t="s">
        <v>3</v>
      </c>
      <c r="F72" s="158" t="s">
        <v>106</v>
      </c>
      <c r="G72" s="158" t="s">
        <v>156</v>
      </c>
      <c r="H72" s="158" t="s">
        <v>7</v>
      </c>
      <c r="I72" s="157" t="s">
        <v>128</v>
      </c>
      <c r="J72" s="157"/>
      <c r="K72" s="157"/>
    </row>
    <row r="73" spans="1:11" x14ac:dyDescent="0.2">
      <c r="A73" s="156"/>
      <c r="B73" s="158" t="s">
        <v>112</v>
      </c>
      <c r="C73" s="158" t="s">
        <v>0</v>
      </c>
      <c r="D73" s="158" t="s">
        <v>177</v>
      </c>
      <c r="E73" s="158" t="s">
        <v>3</v>
      </c>
      <c r="F73" s="158" t="s">
        <v>106</v>
      </c>
      <c r="G73" s="158" t="s">
        <v>228</v>
      </c>
      <c r="H73" s="158" t="s">
        <v>7</v>
      </c>
      <c r="I73" s="157" t="s">
        <v>128</v>
      </c>
      <c r="J73" s="157"/>
      <c r="K73" s="157"/>
    </row>
    <row r="74" spans="1:11" x14ac:dyDescent="0.2">
      <c r="A74" s="156"/>
      <c r="B74" s="158" t="s">
        <v>112</v>
      </c>
      <c r="C74" s="158" t="s">
        <v>0</v>
      </c>
      <c r="D74" s="158" t="s">
        <v>177</v>
      </c>
      <c r="E74" s="158" t="s">
        <v>3</v>
      </c>
      <c r="F74" s="158" t="s">
        <v>106</v>
      </c>
      <c r="G74" s="158" t="s">
        <v>228</v>
      </c>
      <c r="H74" s="158" t="s">
        <v>7</v>
      </c>
      <c r="I74" s="157" t="s">
        <v>128</v>
      </c>
      <c r="J74" s="157"/>
      <c r="K74" s="157"/>
    </row>
    <row r="75" spans="1:11" x14ac:dyDescent="0.2">
      <c r="A75" s="156"/>
      <c r="B75" s="158" t="s">
        <v>112</v>
      </c>
      <c r="C75" s="158" t="s">
        <v>0</v>
      </c>
      <c r="D75" s="158" t="s">
        <v>177</v>
      </c>
      <c r="E75" s="158" t="s">
        <v>3</v>
      </c>
      <c r="F75" s="158" t="s">
        <v>106</v>
      </c>
      <c r="G75" s="158" t="s">
        <v>228</v>
      </c>
      <c r="H75" s="158" t="s">
        <v>7</v>
      </c>
      <c r="I75" s="157" t="s">
        <v>128</v>
      </c>
      <c r="J75" s="157"/>
      <c r="K75" s="157"/>
    </row>
    <row r="76" spans="1:11" x14ac:dyDescent="0.2">
      <c r="A76" s="156"/>
      <c r="B76" s="158" t="s">
        <v>112</v>
      </c>
      <c r="C76" s="158" t="s">
        <v>0</v>
      </c>
      <c r="D76" s="158" t="s">
        <v>177</v>
      </c>
      <c r="E76" s="158" t="s">
        <v>3</v>
      </c>
      <c r="F76" s="158" t="s">
        <v>106</v>
      </c>
      <c r="G76" s="158" t="s">
        <v>228</v>
      </c>
      <c r="H76" s="158" t="s">
        <v>7</v>
      </c>
      <c r="I76" s="157" t="s">
        <v>128</v>
      </c>
      <c r="J76" s="157"/>
      <c r="K76" s="157"/>
    </row>
    <row r="77" spans="1:11" x14ac:dyDescent="0.2">
      <c r="A77" s="156"/>
      <c r="B77" s="158" t="s">
        <v>112</v>
      </c>
      <c r="C77" s="158" t="s">
        <v>0</v>
      </c>
      <c r="D77" s="158" t="s">
        <v>177</v>
      </c>
      <c r="E77" s="158" t="s">
        <v>3</v>
      </c>
      <c r="F77" s="158" t="s">
        <v>106</v>
      </c>
      <c r="G77" s="158" t="s">
        <v>228</v>
      </c>
      <c r="H77" s="158" t="s">
        <v>7</v>
      </c>
      <c r="I77" s="157" t="s">
        <v>128</v>
      </c>
      <c r="J77" s="157"/>
      <c r="K77" s="157"/>
    </row>
    <row r="78" spans="1:11" x14ac:dyDescent="0.2">
      <c r="A78" s="156"/>
      <c r="B78" s="158" t="s">
        <v>112</v>
      </c>
      <c r="C78" s="158" t="s">
        <v>0</v>
      </c>
      <c r="D78" s="158" t="s">
        <v>177</v>
      </c>
      <c r="E78" s="158" t="s">
        <v>4</v>
      </c>
      <c r="F78" s="158" t="s">
        <v>106</v>
      </c>
      <c r="G78" s="158" t="s">
        <v>228</v>
      </c>
      <c r="H78" s="158" t="s">
        <v>7</v>
      </c>
      <c r="I78" s="157" t="s">
        <v>128</v>
      </c>
      <c r="J78" s="157"/>
      <c r="K78" s="157"/>
    </row>
    <row r="79" spans="1:11" x14ac:dyDescent="0.2">
      <c r="A79" s="156"/>
      <c r="B79" s="158" t="s">
        <v>112</v>
      </c>
      <c r="C79" s="158" t="s">
        <v>0</v>
      </c>
      <c r="D79" s="158" t="s">
        <v>177</v>
      </c>
      <c r="E79" s="158" t="s">
        <v>4</v>
      </c>
      <c r="F79" s="158" t="s">
        <v>106</v>
      </c>
      <c r="G79" s="158" t="s">
        <v>228</v>
      </c>
      <c r="H79" s="158" t="s">
        <v>7</v>
      </c>
      <c r="I79" s="157" t="s">
        <v>128</v>
      </c>
      <c r="J79" s="157"/>
      <c r="K79" s="157"/>
    </row>
    <row r="80" spans="1:11" x14ac:dyDescent="0.2">
      <c r="A80" s="156"/>
      <c r="B80" s="158" t="s">
        <v>112</v>
      </c>
      <c r="C80" s="158" t="s">
        <v>0</v>
      </c>
      <c r="D80" s="158" t="s">
        <v>177</v>
      </c>
      <c r="E80" s="158" t="s">
        <v>4</v>
      </c>
      <c r="F80" s="158" t="s">
        <v>106</v>
      </c>
      <c r="G80" s="158" t="s">
        <v>228</v>
      </c>
      <c r="H80" s="158" t="s">
        <v>7</v>
      </c>
      <c r="I80" s="157" t="s">
        <v>128</v>
      </c>
      <c r="J80" s="157"/>
      <c r="K80" s="157"/>
    </row>
    <row r="81" spans="1:11" x14ac:dyDescent="0.2">
      <c r="A81" s="156"/>
      <c r="B81" s="158" t="s">
        <v>112</v>
      </c>
      <c r="C81" s="158" t="s">
        <v>0</v>
      </c>
      <c r="D81" s="158" t="s">
        <v>177</v>
      </c>
      <c r="E81" s="158" t="s">
        <v>4</v>
      </c>
      <c r="F81" s="158" t="s">
        <v>106</v>
      </c>
      <c r="G81" s="158" t="s">
        <v>228</v>
      </c>
      <c r="H81" s="158" t="s">
        <v>7</v>
      </c>
      <c r="I81" s="157" t="s">
        <v>128</v>
      </c>
      <c r="J81" s="157"/>
      <c r="K81" s="157"/>
    </row>
    <row r="82" spans="1:11" x14ac:dyDescent="0.2">
      <c r="A82" s="156"/>
      <c r="B82" s="158" t="s">
        <v>112</v>
      </c>
      <c r="C82" s="158" t="s">
        <v>0</v>
      </c>
      <c r="D82" s="158" t="s">
        <v>177</v>
      </c>
      <c r="E82" s="158" t="s">
        <v>4</v>
      </c>
      <c r="F82" s="158" t="s">
        <v>106</v>
      </c>
      <c r="G82" s="158" t="s">
        <v>156</v>
      </c>
      <c r="H82" s="158" t="s">
        <v>7</v>
      </c>
      <c r="I82" s="157" t="s">
        <v>128</v>
      </c>
      <c r="J82" s="157"/>
      <c r="K82" s="157"/>
    </row>
    <row r="83" spans="1:11" x14ac:dyDescent="0.2">
      <c r="A83" s="156"/>
      <c r="B83" s="158" t="s">
        <v>112</v>
      </c>
      <c r="C83" s="158" t="s">
        <v>0</v>
      </c>
      <c r="D83" s="158" t="s">
        <v>177</v>
      </c>
      <c r="E83" s="158" t="s">
        <v>4</v>
      </c>
      <c r="F83" s="158" t="s">
        <v>106</v>
      </c>
      <c r="G83" s="158" t="s">
        <v>156</v>
      </c>
      <c r="H83" s="158" t="s">
        <v>7</v>
      </c>
      <c r="I83" s="157" t="s">
        <v>128</v>
      </c>
      <c r="J83" s="157"/>
      <c r="K83" s="157"/>
    </row>
    <row r="84" spans="1:11" x14ac:dyDescent="0.2">
      <c r="A84" s="156"/>
      <c r="B84" s="158" t="s">
        <v>112</v>
      </c>
      <c r="C84" s="158" t="s">
        <v>0</v>
      </c>
      <c r="D84" s="158" t="s">
        <v>177</v>
      </c>
      <c r="E84" s="158" t="s">
        <v>4</v>
      </c>
      <c r="F84" s="158" t="s">
        <v>106</v>
      </c>
      <c r="G84" s="158" t="s">
        <v>156</v>
      </c>
      <c r="H84" s="158" t="s">
        <v>7</v>
      </c>
      <c r="I84" s="157" t="s">
        <v>128</v>
      </c>
      <c r="J84" s="157"/>
      <c r="K84" s="157"/>
    </row>
    <row r="85" spans="1:11" x14ac:dyDescent="0.2">
      <c r="A85" s="156"/>
      <c r="B85" s="158" t="s">
        <v>112</v>
      </c>
      <c r="C85" s="158" t="s">
        <v>0</v>
      </c>
      <c r="D85" s="158" t="s">
        <v>177</v>
      </c>
      <c r="E85" s="158" t="s">
        <v>4</v>
      </c>
      <c r="F85" s="158" t="s">
        <v>106</v>
      </c>
      <c r="G85" s="158" t="s">
        <v>156</v>
      </c>
      <c r="H85" s="158" t="s">
        <v>7</v>
      </c>
      <c r="I85" s="157" t="s">
        <v>128</v>
      </c>
      <c r="J85" s="157"/>
      <c r="K85" s="157"/>
    </row>
    <row r="86" spans="1:11" x14ac:dyDescent="0.2">
      <c r="A86" s="156"/>
      <c r="B86" s="158" t="s">
        <v>112</v>
      </c>
      <c r="C86" s="158" t="s">
        <v>0</v>
      </c>
      <c r="D86" s="158" t="s">
        <v>177</v>
      </c>
      <c r="E86" s="158" t="s">
        <v>4</v>
      </c>
      <c r="F86" s="158" t="s">
        <v>106</v>
      </c>
      <c r="G86" s="158" t="s">
        <v>156</v>
      </c>
      <c r="H86" s="158" t="s">
        <v>7</v>
      </c>
      <c r="I86" s="157" t="s">
        <v>128</v>
      </c>
      <c r="J86" s="157"/>
      <c r="K86" s="157"/>
    </row>
    <row r="87" spans="1:11" x14ac:dyDescent="0.2">
      <c r="A87" s="156"/>
      <c r="B87" s="158" t="s">
        <v>112</v>
      </c>
      <c r="C87" s="158" t="s">
        <v>0</v>
      </c>
      <c r="D87" s="158" t="s">
        <v>177</v>
      </c>
      <c r="E87" s="158" t="s">
        <v>4</v>
      </c>
      <c r="F87" s="158" t="s">
        <v>106</v>
      </c>
      <c r="G87" s="158" t="s">
        <v>156</v>
      </c>
      <c r="H87" s="158" t="s">
        <v>7</v>
      </c>
      <c r="I87" s="157" t="s">
        <v>128</v>
      </c>
      <c r="J87" s="157"/>
      <c r="K87" s="157"/>
    </row>
    <row r="88" spans="1:11" x14ac:dyDescent="0.2">
      <c r="A88" s="156"/>
      <c r="B88" s="158" t="s">
        <v>112</v>
      </c>
      <c r="C88" s="158" t="s">
        <v>0</v>
      </c>
      <c r="D88" s="158" t="s">
        <v>177</v>
      </c>
      <c r="E88" s="158" t="s">
        <v>4</v>
      </c>
      <c r="F88" s="158" t="s">
        <v>106</v>
      </c>
      <c r="G88" s="158" t="s">
        <v>156</v>
      </c>
      <c r="H88" s="158" t="s">
        <v>7</v>
      </c>
      <c r="I88" s="157" t="s">
        <v>128</v>
      </c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opLeftCell="A51" workbookViewId="0">
      <selection activeCell="J76" sqref="J76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113</v>
      </c>
      <c r="C5" s="157" t="s">
        <v>1</v>
      </c>
      <c r="D5" s="157" t="s">
        <v>177</v>
      </c>
      <c r="E5" s="157" t="s">
        <v>3</v>
      </c>
      <c r="F5" s="157" t="s">
        <v>10</v>
      </c>
      <c r="G5" s="157" t="s">
        <v>158</v>
      </c>
      <c r="H5" s="157" t="s">
        <v>159</v>
      </c>
      <c r="I5" s="157"/>
      <c r="J5" s="157"/>
      <c r="K5" s="157"/>
    </row>
    <row r="6" spans="1:11" x14ac:dyDescent="0.2">
      <c r="A6" s="156"/>
      <c r="B6" s="158" t="s">
        <v>113</v>
      </c>
      <c r="C6" s="157" t="s">
        <v>0</v>
      </c>
      <c r="D6" s="158" t="s">
        <v>177</v>
      </c>
      <c r="E6" s="157" t="s">
        <v>4</v>
      </c>
      <c r="F6" s="158" t="s">
        <v>10</v>
      </c>
      <c r="G6" s="157" t="s">
        <v>155</v>
      </c>
      <c r="H6" s="158" t="s">
        <v>159</v>
      </c>
      <c r="I6" s="157"/>
      <c r="J6" s="157"/>
      <c r="K6" s="157"/>
    </row>
    <row r="7" spans="1:11" x14ac:dyDescent="0.2">
      <c r="A7" s="156"/>
      <c r="B7" s="158" t="s">
        <v>113</v>
      </c>
      <c r="C7" s="158" t="s">
        <v>0</v>
      </c>
      <c r="D7" s="158" t="s">
        <v>177</v>
      </c>
      <c r="E7" s="158" t="s">
        <v>4</v>
      </c>
      <c r="F7" s="157" t="s">
        <v>106</v>
      </c>
      <c r="G7" s="158" t="s">
        <v>156</v>
      </c>
      <c r="H7" s="158" t="s">
        <v>7</v>
      </c>
      <c r="I7" s="157" t="s">
        <v>133</v>
      </c>
      <c r="J7" s="157"/>
      <c r="K7" s="157"/>
    </row>
    <row r="8" spans="1:11" x14ac:dyDescent="0.2">
      <c r="A8" s="156"/>
      <c r="B8" s="158" t="s">
        <v>113</v>
      </c>
      <c r="C8" s="158" t="s">
        <v>0</v>
      </c>
      <c r="D8" s="158" t="s">
        <v>177</v>
      </c>
      <c r="E8" s="158" t="s">
        <v>4</v>
      </c>
      <c r="F8" s="158" t="s">
        <v>10</v>
      </c>
      <c r="G8" s="158" t="s">
        <v>155</v>
      </c>
      <c r="H8" s="158" t="s">
        <v>7</v>
      </c>
      <c r="I8" s="158" t="s">
        <v>133</v>
      </c>
      <c r="J8" s="157"/>
      <c r="K8" s="157"/>
    </row>
    <row r="9" spans="1:11" x14ac:dyDescent="0.2">
      <c r="A9" s="156"/>
      <c r="B9" s="158" t="s">
        <v>113</v>
      </c>
      <c r="C9" s="158" t="s">
        <v>0</v>
      </c>
      <c r="D9" s="158" t="s">
        <v>177</v>
      </c>
      <c r="E9" s="158" t="s">
        <v>4</v>
      </c>
      <c r="F9" s="158" t="s">
        <v>10</v>
      </c>
      <c r="G9" s="158" t="s">
        <v>155</v>
      </c>
      <c r="H9" s="158" t="s">
        <v>7</v>
      </c>
      <c r="I9" s="158" t="s">
        <v>133</v>
      </c>
      <c r="J9" s="157"/>
      <c r="K9" s="157"/>
    </row>
    <row r="10" spans="1:11" x14ac:dyDescent="0.2">
      <c r="A10" s="156"/>
      <c r="B10" s="158" t="s">
        <v>113</v>
      </c>
      <c r="C10" s="158" t="s">
        <v>0</v>
      </c>
      <c r="D10" s="158" t="s">
        <v>177</v>
      </c>
      <c r="E10" s="158" t="s">
        <v>4</v>
      </c>
      <c r="F10" s="158" t="s">
        <v>10</v>
      </c>
      <c r="G10" s="158" t="s">
        <v>155</v>
      </c>
      <c r="H10" s="158" t="s">
        <v>7</v>
      </c>
      <c r="I10" s="158" t="s">
        <v>133</v>
      </c>
      <c r="J10" s="157"/>
      <c r="K10" s="157"/>
    </row>
    <row r="11" spans="1:11" x14ac:dyDescent="0.2">
      <c r="A11" s="156"/>
      <c r="B11" s="158" t="s">
        <v>113</v>
      </c>
      <c r="C11" s="158" t="s">
        <v>0</v>
      </c>
      <c r="D11" s="158" t="s">
        <v>177</v>
      </c>
      <c r="E11" s="158" t="s">
        <v>4</v>
      </c>
      <c r="F11" s="158" t="s">
        <v>10</v>
      </c>
      <c r="G11" s="158" t="s">
        <v>156</v>
      </c>
      <c r="H11" s="158" t="s">
        <v>7</v>
      </c>
      <c r="I11" s="158" t="s">
        <v>133</v>
      </c>
      <c r="J11" s="157"/>
      <c r="K11" s="157"/>
    </row>
    <row r="12" spans="1:11" x14ac:dyDescent="0.2">
      <c r="A12" s="156"/>
      <c r="B12" s="158" t="s">
        <v>113</v>
      </c>
      <c r="C12" s="158" t="s">
        <v>1</v>
      </c>
      <c r="D12" s="158" t="s">
        <v>177</v>
      </c>
      <c r="E12" s="158" t="s">
        <v>3</v>
      </c>
      <c r="F12" s="158" t="s">
        <v>10</v>
      </c>
      <c r="G12" s="158" t="s">
        <v>156</v>
      </c>
      <c r="H12" s="158" t="s">
        <v>7</v>
      </c>
      <c r="I12" s="158" t="s">
        <v>133</v>
      </c>
      <c r="J12" s="157"/>
      <c r="K12" s="157"/>
    </row>
    <row r="13" spans="1:11" x14ac:dyDescent="0.2">
      <c r="A13" s="156"/>
      <c r="B13" s="158" t="s">
        <v>113</v>
      </c>
      <c r="C13" s="158" t="s">
        <v>0</v>
      </c>
      <c r="D13" s="158" t="s">
        <v>177</v>
      </c>
      <c r="E13" s="158" t="s">
        <v>4</v>
      </c>
      <c r="F13" s="157" t="s">
        <v>235</v>
      </c>
      <c r="G13" s="158" t="s">
        <v>156</v>
      </c>
      <c r="H13" s="158" t="s">
        <v>7</v>
      </c>
      <c r="I13" s="158" t="s">
        <v>133</v>
      </c>
      <c r="J13" s="157"/>
      <c r="K13" s="157"/>
    </row>
    <row r="14" spans="1:11" x14ac:dyDescent="0.2">
      <c r="A14" s="156"/>
      <c r="B14" s="158" t="s">
        <v>113</v>
      </c>
      <c r="C14" s="158" t="s">
        <v>0</v>
      </c>
      <c r="D14" s="158" t="s">
        <v>177</v>
      </c>
      <c r="E14" s="158" t="s">
        <v>3</v>
      </c>
      <c r="F14" s="157" t="s">
        <v>277</v>
      </c>
      <c r="G14" s="158" t="s">
        <v>155</v>
      </c>
      <c r="H14" s="158" t="s">
        <v>7</v>
      </c>
      <c r="I14" s="158" t="s">
        <v>133</v>
      </c>
      <c r="J14" s="158"/>
      <c r="K14" s="158"/>
    </row>
    <row r="15" spans="1:11" x14ac:dyDescent="0.2">
      <c r="A15" s="156"/>
      <c r="B15" s="158" t="s">
        <v>113</v>
      </c>
      <c r="C15" s="158" t="s">
        <v>0</v>
      </c>
      <c r="D15" s="158" t="s">
        <v>177</v>
      </c>
      <c r="E15" s="158" t="s">
        <v>3</v>
      </c>
      <c r="F15" s="157" t="s">
        <v>9</v>
      </c>
      <c r="G15" s="158" t="s">
        <v>155</v>
      </c>
      <c r="H15" s="158" t="s">
        <v>7</v>
      </c>
      <c r="I15" s="158" t="s">
        <v>133</v>
      </c>
      <c r="J15" s="158"/>
      <c r="K15" s="158"/>
    </row>
    <row r="16" spans="1:11" x14ac:dyDescent="0.2">
      <c r="A16" s="156"/>
      <c r="B16" s="158" t="s">
        <v>113</v>
      </c>
      <c r="C16" s="158" t="s">
        <v>0</v>
      </c>
      <c r="D16" s="158" t="s">
        <v>177</v>
      </c>
      <c r="E16" s="158" t="s">
        <v>3</v>
      </c>
      <c r="F16" s="157" t="s">
        <v>56</v>
      </c>
      <c r="G16" s="158" t="s">
        <v>156</v>
      </c>
      <c r="H16" s="158" t="s">
        <v>7</v>
      </c>
      <c r="I16" s="158" t="s">
        <v>133</v>
      </c>
      <c r="J16" s="158"/>
      <c r="K16" s="158"/>
    </row>
    <row r="17" spans="1:11" x14ac:dyDescent="0.2">
      <c r="A17" s="156"/>
      <c r="B17" s="158" t="s">
        <v>113</v>
      </c>
      <c r="C17" s="158" t="s">
        <v>0</v>
      </c>
      <c r="D17" s="158" t="s">
        <v>177</v>
      </c>
      <c r="E17" s="158" t="s">
        <v>4</v>
      </c>
      <c r="F17" s="158" t="s">
        <v>10</v>
      </c>
      <c r="G17" s="158" t="s">
        <v>156</v>
      </c>
      <c r="H17" s="158" t="s">
        <v>7</v>
      </c>
      <c r="I17" s="158" t="s">
        <v>133</v>
      </c>
      <c r="J17" s="157"/>
      <c r="K17" s="157"/>
    </row>
    <row r="18" spans="1:11" x14ac:dyDescent="0.2">
      <c r="A18" s="159" t="s">
        <v>309</v>
      </c>
      <c r="B18" s="158" t="s">
        <v>113</v>
      </c>
      <c r="C18" s="158" t="s">
        <v>0</v>
      </c>
      <c r="D18" s="158" t="s">
        <v>177</v>
      </c>
      <c r="E18" s="158" t="s">
        <v>4</v>
      </c>
      <c r="F18" s="157" t="s">
        <v>16</v>
      </c>
      <c r="G18" s="158" t="s">
        <v>156</v>
      </c>
      <c r="H18" s="158" t="s">
        <v>17</v>
      </c>
      <c r="I18" s="158" t="s">
        <v>130</v>
      </c>
      <c r="J18" s="158"/>
      <c r="K18" s="158"/>
    </row>
    <row r="19" spans="1:11" x14ac:dyDescent="0.2">
      <c r="A19" s="156"/>
      <c r="B19" s="158" t="s">
        <v>113</v>
      </c>
      <c r="C19" s="158" t="s">
        <v>1</v>
      </c>
      <c r="D19" s="158" t="s">
        <v>177</v>
      </c>
      <c r="E19" s="158" t="s">
        <v>4</v>
      </c>
      <c r="F19" s="158" t="s">
        <v>16</v>
      </c>
      <c r="G19" s="158" t="s">
        <v>156</v>
      </c>
      <c r="H19" s="158" t="s">
        <v>159</v>
      </c>
      <c r="I19" s="157"/>
      <c r="J19" s="157"/>
      <c r="K19" s="157"/>
    </row>
    <row r="20" spans="1:11" x14ac:dyDescent="0.2">
      <c r="A20" s="156"/>
      <c r="B20" s="158" t="s">
        <v>113</v>
      </c>
      <c r="C20" s="158" t="s">
        <v>1</v>
      </c>
      <c r="D20" s="158" t="s">
        <v>177</v>
      </c>
      <c r="E20" s="158" t="s">
        <v>4</v>
      </c>
      <c r="F20" s="158" t="s">
        <v>16</v>
      </c>
      <c r="G20" s="158" t="s">
        <v>156</v>
      </c>
      <c r="H20" s="158" t="s">
        <v>159</v>
      </c>
      <c r="I20" s="158"/>
      <c r="J20" s="158"/>
      <c r="K20" s="158"/>
    </row>
    <row r="21" spans="1:11" x14ac:dyDescent="0.2">
      <c r="A21" s="156"/>
      <c r="B21" s="158" t="s">
        <v>113</v>
      </c>
      <c r="C21" s="158" t="s">
        <v>1</v>
      </c>
      <c r="D21" s="158" t="s">
        <v>177</v>
      </c>
      <c r="E21" s="158" t="s">
        <v>3</v>
      </c>
      <c r="F21" s="157" t="s">
        <v>15</v>
      </c>
      <c r="G21" s="158" t="s">
        <v>158</v>
      </c>
      <c r="H21" s="158" t="s">
        <v>17</v>
      </c>
      <c r="I21" s="158" t="s">
        <v>130</v>
      </c>
      <c r="J21" s="158"/>
      <c r="K21" s="158"/>
    </row>
    <row r="22" spans="1:11" x14ac:dyDescent="0.2">
      <c r="A22" s="156"/>
      <c r="B22" s="158" t="s">
        <v>113</v>
      </c>
      <c r="C22" s="158" t="s">
        <v>1</v>
      </c>
      <c r="D22" s="157" t="s">
        <v>2</v>
      </c>
      <c r="E22" s="158" t="s">
        <v>3</v>
      </c>
      <c r="F22" s="158" t="s">
        <v>10</v>
      </c>
      <c r="G22" s="158" t="s">
        <v>155</v>
      </c>
      <c r="H22" s="158" t="s">
        <v>159</v>
      </c>
      <c r="I22" s="158"/>
      <c r="J22" s="158"/>
      <c r="K22" s="158"/>
    </row>
    <row r="23" spans="1:11" x14ac:dyDescent="0.2">
      <c r="A23" s="156"/>
      <c r="B23" s="158" t="s">
        <v>113</v>
      </c>
      <c r="C23" s="158" t="s">
        <v>0</v>
      </c>
      <c r="D23" s="158" t="s">
        <v>2</v>
      </c>
      <c r="E23" s="158" t="s">
        <v>3</v>
      </c>
      <c r="F23" s="158" t="s">
        <v>13</v>
      </c>
      <c r="G23" s="158" t="s">
        <v>156</v>
      </c>
      <c r="H23" s="158" t="s">
        <v>159</v>
      </c>
      <c r="I23" s="157"/>
      <c r="J23" s="157"/>
      <c r="K23" s="157"/>
    </row>
    <row r="24" spans="1:11" x14ac:dyDescent="0.2">
      <c r="A24" s="156"/>
      <c r="B24" s="158" t="s">
        <v>113</v>
      </c>
      <c r="C24" s="158" t="s">
        <v>0</v>
      </c>
      <c r="D24" s="158" t="s">
        <v>177</v>
      </c>
      <c r="E24" s="158" t="s">
        <v>4</v>
      </c>
      <c r="F24" s="158" t="s">
        <v>10</v>
      </c>
      <c r="G24" s="158" t="s">
        <v>155</v>
      </c>
      <c r="H24" s="158" t="s">
        <v>7</v>
      </c>
      <c r="I24" s="158" t="s">
        <v>262</v>
      </c>
      <c r="J24" s="158"/>
      <c r="K24" s="158"/>
    </row>
    <row r="25" spans="1:11" x14ac:dyDescent="0.2">
      <c r="A25" s="156"/>
      <c r="B25" s="158" t="s">
        <v>113</v>
      </c>
      <c r="C25" s="158" t="s">
        <v>0</v>
      </c>
      <c r="D25" s="158" t="s">
        <v>177</v>
      </c>
      <c r="E25" s="158" t="s">
        <v>4</v>
      </c>
      <c r="F25" s="158" t="s">
        <v>10</v>
      </c>
      <c r="G25" s="158" t="s">
        <v>155</v>
      </c>
      <c r="H25" s="158" t="s">
        <v>7</v>
      </c>
      <c r="I25" s="158" t="s">
        <v>262</v>
      </c>
      <c r="J25" s="157"/>
      <c r="K25" s="157"/>
    </row>
    <row r="26" spans="1:11" x14ac:dyDescent="0.2">
      <c r="A26" s="156"/>
      <c r="B26" s="158" t="s">
        <v>113</v>
      </c>
      <c r="C26" s="158" t="s">
        <v>0</v>
      </c>
      <c r="D26" s="158" t="s">
        <v>177</v>
      </c>
      <c r="E26" s="158" t="s">
        <v>4</v>
      </c>
      <c r="F26" s="158" t="s">
        <v>10</v>
      </c>
      <c r="G26" s="158" t="s">
        <v>155</v>
      </c>
      <c r="H26" s="158" t="s">
        <v>7</v>
      </c>
      <c r="I26" s="158" t="s">
        <v>262</v>
      </c>
      <c r="J26" s="157"/>
      <c r="K26" s="157"/>
    </row>
    <row r="27" spans="1:11" x14ac:dyDescent="0.2">
      <c r="A27" s="156"/>
      <c r="B27" s="158" t="s">
        <v>113</v>
      </c>
      <c r="C27" s="158" t="s">
        <v>0</v>
      </c>
      <c r="D27" s="158" t="s">
        <v>177</v>
      </c>
      <c r="E27" s="158" t="s">
        <v>4</v>
      </c>
      <c r="F27" s="157" t="s">
        <v>110</v>
      </c>
      <c r="G27" s="158" t="s">
        <v>110</v>
      </c>
      <c r="H27" s="158" t="s">
        <v>7</v>
      </c>
      <c r="I27" s="158" t="s">
        <v>262</v>
      </c>
      <c r="J27" s="157"/>
      <c r="K27" s="157"/>
    </row>
    <row r="28" spans="1:11" x14ac:dyDescent="0.2">
      <c r="A28" s="156"/>
      <c r="B28" s="158" t="s">
        <v>113</v>
      </c>
      <c r="C28" s="158" t="s">
        <v>0</v>
      </c>
      <c r="D28" s="158" t="s">
        <v>177</v>
      </c>
      <c r="E28" s="158" t="s">
        <v>4</v>
      </c>
      <c r="F28" s="158" t="s">
        <v>110</v>
      </c>
      <c r="G28" s="158" t="s">
        <v>110</v>
      </c>
      <c r="H28" s="158" t="s">
        <v>7</v>
      </c>
      <c r="I28" s="158" t="s">
        <v>262</v>
      </c>
      <c r="J28" s="157"/>
      <c r="K28" s="157"/>
    </row>
    <row r="29" spans="1:11" x14ac:dyDescent="0.2">
      <c r="A29" s="156"/>
      <c r="B29" s="157" t="s">
        <v>114</v>
      </c>
      <c r="C29" s="158" t="s">
        <v>1</v>
      </c>
      <c r="D29" s="158" t="s">
        <v>177</v>
      </c>
      <c r="E29" s="158" t="s">
        <v>3</v>
      </c>
      <c r="F29" s="158" t="s">
        <v>13</v>
      </c>
      <c r="G29" s="157" t="s">
        <v>157</v>
      </c>
      <c r="H29" s="158" t="s">
        <v>17</v>
      </c>
      <c r="I29" s="158" t="s">
        <v>130</v>
      </c>
      <c r="J29" s="157"/>
      <c r="K29" s="157"/>
    </row>
    <row r="30" spans="1:11" x14ac:dyDescent="0.2">
      <c r="A30" s="156"/>
      <c r="B30" s="158" t="s">
        <v>114</v>
      </c>
      <c r="C30" s="158" t="s">
        <v>1</v>
      </c>
      <c r="D30" s="158" t="s">
        <v>177</v>
      </c>
      <c r="E30" s="158" t="s">
        <v>3</v>
      </c>
      <c r="F30" s="158" t="s">
        <v>13</v>
      </c>
      <c r="G30" s="158" t="s">
        <v>158</v>
      </c>
      <c r="H30" s="158" t="s">
        <v>17</v>
      </c>
      <c r="I30" s="158" t="s">
        <v>130</v>
      </c>
      <c r="J30" s="157"/>
      <c r="K30" s="157"/>
    </row>
    <row r="31" spans="1:11" x14ac:dyDescent="0.2">
      <c r="A31" s="156"/>
      <c r="B31" s="158" t="s">
        <v>114</v>
      </c>
      <c r="C31" s="158" t="s">
        <v>0</v>
      </c>
      <c r="D31" s="158" t="s">
        <v>177</v>
      </c>
      <c r="E31" s="158" t="s">
        <v>3</v>
      </c>
      <c r="F31" s="158" t="s">
        <v>106</v>
      </c>
      <c r="G31" s="158" t="s">
        <v>228</v>
      </c>
      <c r="H31" s="158" t="s">
        <v>7</v>
      </c>
      <c r="I31" s="157" t="s">
        <v>251</v>
      </c>
      <c r="J31" s="157"/>
      <c r="K31" s="157"/>
    </row>
    <row r="32" spans="1:11" x14ac:dyDescent="0.2">
      <c r="A32" s="156"/>
      <c r="B32" s="158" t="s">
        <v>114</v>
      </c>
      <c r="C32" s="158" t="s">
        <v>0</v>
      </c>
      <c r="D32" s="158" t="s">
        <v>177</v>
      </c>
      <c r="E32" s="158" t="s">
        <v>3</v>
      </c>
      <c r="F32" s="157" t="s">
        <v>12</v>
      </c>
      <c r="G32" s="158" t="s">
        <v>228</v>
      </c>
      <c r="H32" s="158" t="s">
        <v>7</v>
      </c>
      <c r="I32" s="158" t="s">
        <v>251</v>
      </c>
      <c r="J32" s="157"/>
      <c r="K32" s="157"/>
    </row>
    <row r="33" spans="1:11" x14ac:dyDescent="0.2">
      <c r="A33" s="156"/>
      <c r="B33" s="158" t="s">
        <v>114</v>
      </c>
      <c r="C33" s="158" t="s">
        <v>0</v>
      </c>
      <c r="D33" s="158" t="s">
        <v>177</v>
      </c>
      <c r="E33" s="158" t="s">
        <v>4</v>
      </c>
      <c r="F33" s="158" t="s">
        <v>106</v>
      </c>
      <c r="G33" s="158" t="s">
        <v>156</v>
      </c>
      <c r="H33" s="158" t="s">
        <v>7</v>
      </c>
      <c r="I33" s="158" t="s">
        <v>251</v>
      </c>
      <c r="J33" s="157"/>
      <c r="K33" s="157"/>
    </row>
    <row r="34" spans="1:11" x14ac:dyDescent="0.2">
      <c r="A34" s="156"/>
      <c r="B34" s="158" t="s">
        <v>114</v>
      </c>
      <c r="C34" s="158" t="s">
        <v>0</v>
      </c>
      <c r="D34" s="158" t="s">
        <v>177</v>
      </c>
      <c r="E34" s="158" t="s">
        <v>4</v>
      </c>
      <c r="F34" s="158" t="s">
        <v>10</v>
      </c>
      <c r="G34" s="158" t="s">
        <v>228</v>
      </c>
      <c r="H34" s="158" t="s">
        <v>7</v>
      </c>
      <c r="I34" s="158" t="s">
        <v>251</v>
      </c>
      <c r="J34" s="157"/>
      <c r="K34" s="157"/>
    </row>
    <row r="35" spans="1:11" x14ac:dyDescent="0.2">
      <c r="A35" s="156"/>
      <c r="B35" s="158" t="s">
        <v>114</v>
      </c>
      <c r="C35" s="158" t="s">
        <v>0</v>
      </c>
      <c r="D35" s="158" t="s">
        <v>177</v>
      </c>
      <c r="E35" s="158" t="s">
        <v>4</v>
      </c>
      <c r="F35" s="158" t="s">
        <v>10</v>
      </c>
      <c r="G35" s="158" t="s">
        <v>228</v>
      </c>
      <c r="H35" s="158" t="s">
        <v>7</v>
      </c>
      <c r="I35" s="158" t="s">
        <v>251</v>
      </c>
      <c r="J35" s="157"/>
      <c r="K35" s="157"/>
    </row>
    <row r="36" spans="1:11" x14ac:dyDescent="0.2">
      <c r="A36" s="156"/>
      <c r="B36" s="158" t="s">
        <v>114</v>
      </c>
      <c r="C36" s="158" t="s">
        <v>0</v>
      </c>
      <c r="D36" s="158" t="s">
        <v>177</v>
      </c>
      <c r="E36" s="158" t="s">
        <v>4</v>
      </c>
      <c r="F36" s="158" t="s">
        <v>10</v>
      </c>
      <c r="G36" s="158" t="s">
        <v>155</v>
      </c>
      <c r="H36" s="158" t="s">
        <v>7</v>
      </c>
      <c r="I36" s="158" t="s">
        <v>251</v>
      </c>
      <c r="J36" s="157"/>
      <c r="K36" s="157"/>
    </row>
    <row r="37" spans="1:11" x14ac:dyDescent="0.2">
      <c r="A37" s="156"/>
      <c r="B37" s="158" t="s">
        <v>114</v>
      </c>
      <c r="C37" s="158" t="s">
        <v>0</v>
      </c>
      <c r="D37" s="158" t="s">
        <v>177</v>
      </c>
      <c r="E37" s="158" t="s">
        <v>4</v>
      </c>
      <c r="F37" s="158" t="s">
        <v>13</v>
      </c>
      <c r="G37" s="158" t="s">
        <v>156</v>
      </c>
      <c r="H37" s="158" t="s">
        <v>159</v>
      </c>
      <c r="I37" s="158" t="s">
        <v>130</v>
      </c>
      <c r="J37" s="157"/>
      <c r="K37" s="157"/>
    </row>
    <row r="38" spans="1:11" x14ac:dyDescent="0.2">
      <c r="A38" s="156"/>
      <c r="B38" s="158" t="s">
        <v>114</v>
      </c>
      <c r="C38" s="158" t="s">
        <v>1</v>
      </c>
      <c r="D38" s="158" t="s">
        <v>177</v>
      </c>
      <c r="E38" s="158" t="s">
        <v>3</v>
      </c>
      <c r="F38" s="158" t="s">
        <v>10</v>
      </c>
      <c r="G38" s="158" t="s">
        <v>228</v>
      </c>
      <c r="H38" s="158" t="s">
        <v>17</v>
      </c>
      <c r="I38" s="158" t="s">
        <v>130</v>
      </c>
      <c r="J38" s="157"/>
      <c r="K38" s="157"/>
    </row>
    <row r="39" spans="1:11" x14ac:dyDescent="0.2">
      <c r="A39" s="156"/>
      <c r="B39" s="158" t="s">
        <v>114</v>
      </c>
      <c r="C39" s="158" t="s">
        <v>0</v>
      </c>
      <c r="D39" s="158" t="s">
        <v>177</v>
      </c>
      <c r="E39" s="158" t="s">
        <v>3</v>
      </c>
      <c r="F39" s="158" t="s">
        <v>277</v>
      </c>
      <c r="G39" s="158" t="s">
        <v>156</v>
      </c>
      <c r="H39" s="158" t="s">
        <v>17</v>
      </c>
      <c r="I39" s="158" t="s">
        <v>130</v>
      </c>
      <c r="J39" s="157"/>
      <c r="K39" s="157"/>
    </row>
    <row r="40" spans="1:11" x14ac:dyDescent="0.2">
      <c r="A40" s="156"/>
      <c r="B40" s="158" t="s">
        <v>113</v>
      </c>
      <c r="C40" s="158" t="s">
        <v>0</v>
      </c>
      <c r="D40" s="158" t="s">
        <v>177</v>
      </c>
      <c r="E40" s="158" t="s">
        <v>3</v>
      </c>
      <c r="F40" s="158" t="s">
        <v>56</v>
      </c>
      <c r="G40" s="158" t="s">
        <v>156</v>
      </c>
      <c r="H40" s="158" t="s">
        <v>7</v>
      </c>
      <c r="I40" s="157" t="s">
        <v>240</v>
      </c>
      <c r="J40" s="157"/>
      <c r="K40" s="157"/>
    </row>
    <row r="41" spans="1:11" x14ac:dyDescent="0.2">
      <c r="A41" s="156"/>
      <c r="B41" s="158" t="s">
        <v>113</v>
      </c>
      <c r="C41" s="158" t="s">
        <v>0</v>
      </c>
      <c r="D41" s="158" t="s">
        <v>177</v>
      </c>
      <c r="E41" s="158" t="s">
        <v>4</v>
      </c>
      <c r="F41" s="158" t="s">
        <v>10</v>
      </c>
      <c r="G41" s="158" t="s">
        <v>228</v>
      </c>
      <c r="H41" s="158" t="s">
        <v>7</v>
      </c>
      <c r="I41" s="158" t="s">
        <v>240</v>
      </c>
      <c r="J41" s="157"/>
      <c r="K41" s="157"/>
    </row>
    <row r="42" spans="1:11" x14ac:dyDescent="0.2">
      <c r="A42" s="156"/>
      <c r="B42" s="158" t="s">
        <v>113</v>
      </c>
      <c r="C42" s="158" t="s">
        <v>0</v>
      </c>
      <c r="D42" s="158" t="s">
        <v>177</v>
      </c>
      <c r="E42" s="158" t="s">
        <v>3</v>
      </c>
      <c r="F42" s="157" t="s">
        <v>153</v>
      </c>
      <c r="G42" s="158" t="s">
        <v>156</v>
      </c>
      <c r="H42" s="158" t="s">
        <v>7</v>
      </c>
      <c r="I42" s="158" t="s">
        <v>240</v>
      </c>
      <c r="J42" s="157"/>
      <c r="K42" s="157"/>
    </row>
    <row r="43" spans="1:11" x14ac:dyDescent="0.2">
      <c r="A43" s="156"/>
      <c r="B43" s="158" t="s">
        <v>113</v>
      </c>
      <c r="C43" s="158" t="s">
        <v>0</v>
      </c>
      <c r="D43" s="158" t="s">
        <v>177</v>
      </c>
      <c r="E43" s="158" t="s">
        <v>4</v>
      </c>
      <c r="F43" s="158" t="s">
        <v>13</v>
      </c>
      <c r="G43" s="158" t="s">
        <v>156</v>
      </c>
      <c r="H43" s="158" t="s">
        <v>7</v>
      </c>
      <c r="I43" s="158" t="s">
        <v>240</v>
      </c>
      <c r="J43" s="157"/>
      <c r="K43" s="157"/>
    </row>
    <row r="44" spans="1:11" x14ac:dyDescent="0.2">
      <c r="A44" s="156"/>
      <c r="B44" s="158" t="s">
        <v>113</v>
      </c>
      <c r="C44" s="158" t="s">
        <v>0</v>
      </c>
      <c r="D44" s="158" t="s">
        <v>177</v>
      </c>
      <c r="E44" s="158" t="s">
        <v>4</v>
      </c>
      <c r="F44" s="158" t="s">
        <v>153</v>
      </c>
      <c r="G44" s="158" t="s">
        <v>156</v>
      </c>
      <c r="H44" s="158" t="s">
        <v>7</v>
      </c>
      <c r="I44" s="158" t="s">
        <v>240</v>
      </c>
      <c r="J44" s="157"/>
      <c r="K44" s="157"/>
    </row>
    <row r="45" spans="1:11" x14ac:dyDescent="0.2">
      <c r="A45" s="156"/>
      <c r="B45" s="158" t="s">
        <v>113</v>
      </c>
      <c r="C45" s="158" t="s">
        <v>0</v>
      </c>
      <c r="D45" s="158" t="s">
        <v>177</v>
      </c>
      <c r="E45" s="158" t="s">
        <v>4</v>
      </c>
      <c r="F45" s="158" t="s">
        <v>13</v>
      </c>
      <c r="G45" s="158" t="s">
        <v>156</v>
      </c>
      <c r="H45" s="158" t="s">
        <v>7</v>
      </c>
      <c r="I45" s="158" t="s">
        <v>240</v>
      </c>
      <c r="J45" s="157"/>
      <c r="K45" s="157"/>
    </row>
    <row r="46" spans="1:11" x14ac:dyDescent="0.2">
      <c r="A46" s="156"/>
      <c r="B46" s="158" t="s">
        <v>113</v>
      </c>
      <c r="C46" s="158" t="s">
        <v>0</v>
      </c>
      <c r="D46" s="158" t="s">
        <v>177</v>
      </c>
      <c r="E46" s="158" t="s">
        <v>4</v>
      </c>
      <c r="F46" s="158" t="s">
        <v>10</v>
      </c>
      <c r="G46" s="158" t="s">
        <v>228</v>
      </c>
      <c r="H46" s="158" t="s">
        <v>17</v>
      </c>
      <c r="I46" s="158" t="s">
        <v>130</v>
      </c>
      <c r="J46" s="157"/>
      <c r="K46" s="157"/>
    </row>
    <row r="47" spans="1:11" x14ac:dyDescent="0.2">
      <c r="A47" s="156"/>
      <c r="B47" s="158" t="s">
        <v>113</v>
      </c>
      <c r="C47" s="158" t="s">
        <v>0</v>
      </c>
      <c r="D47" s="158" t="s">
        <v>177</v>
      </c>
      <c r="E47" s="158" t="s">
        <v>3</v>
      </c>
      <c r="F47" s="157" t="s">
        <v>12</v>
      </c>
      <c r="G47" s="158" t="s">
        <v>155</v>
      </c>
      <c r="H47" s="158" t="s">
        <v>17</v>
      </c>
      <c r="I47" s="158" t="s">
        <v>130</v>
      </c>
      <c r="J47" s="157"/>
      <c r="K47" s="157"/>
    </row>
    <row r="48" spans="1:11" x14ac:dyDescent="0.2">
      <c r="A48" s="156"/>
      <c r="B48" s="158" t="s">
        <v>113</v>
      </c>
      <c r="C48" s="158" t="s">
        <v>1</v>
      </c>
      <c r="D48" s="158" t="s">
        <v>2</v>
      </c>
      <c r="E48" s="158" t="s">
        <v>4</v>
      </c>
      <c r="F48" s="158" t="s">
        <v>12</v>
      </c>
      <c r="G48" s="158" t="s">
        <v>155</v>
      </c>
      <c r="H48" s="158" t="s">
        <v>17</v>
      </c>
      <c r="I48" s="157"/>
      <c r="J48" s="157"/>
      <c r="K48" s="157"/>
    </row>
    <row r="49" spans="1:11" x14ac:dyDescent="0.2">
      <c r="A49" s="156"/>
      <c r="B49" s="158" t="s">
        <v>113</v>
      </c>
      <c r="C49" s="158" t="s">
        <v>0</v>
      </c>
      <c r="D49" s="158" t="s">
        <v>177</v>
      </c>
      <c r="E49" s="158" t="s">
        <v>4</v>
      </c>
      <c r="F49" s="158" t="s">
        <v>10</v>
      </c>
      <c r="G49" s="158" t="s">
        <v>156</v>
      </c>
      <c r="H49" s="158" t="s">
        <v>17</v>
      </c>
      <c r="I49" s="158" t="s">
        <v>130</v>
      </c>
      <c r="J49" s="157"/>
      <c r="K49" s="157"/>
    </row>
    <row r="50" spans="1:11" x14ac:dyDescent="0.2">
      <c r="A50" s="156"/>
      <c r="B50" s="158" t="s">
        <v>113</v>
      </c>
      <c r="C50" s="158" t="s">
        <v>0</v>
      </c>
      <c r="D50" s="158" t="s">
        <v>2</v>
      </c>
      <c r="E50" s="158" t="s">
        <v>4</v>
      </c>
      <c r="F50" s="157" t="s">
        <v>15</v>
      </c>
      <c r="G50" s="158" t="s">
        <v>155</v>
      </c>
      <c r="H50" s="158" t="s">
        <v>159</v>
      </c>
      <c r="I50" s="157"/>
      <c r="J50" s="157"/>
      <c r="K50" s="157"/>
    </row>
    <row r="51" spans="1:11" x14ac:dyDescent="0.2">
      <c r="A51" s="156"/>
      <c r="B51" s="158" t="s">
        <v>113</v>
      </c>
      <c r="C51" s="158" t="s">
        <v>1</v>
      </c>
      <c r="D51" s="158" t="s">
        <v>2</v>
      </c>
      <c r="E51" s="158" t="s">
        <v>4</v>
      </c>
      <c r="F51" s="158" t="s">
        <v>15</v>
      </c>
      <c r="G51" s="158" t="s">
        <v>155</v>
      </c>
      <c r="H51" s="158" t="s">
        <v>159</v>
      </c>
      <c r="I51" s="157"/>
      <c r="J51" s="157"/>
      <c r="K51" s="157"/>
    </row>
    <row r="52" spans="1:11" x14ac:dyDescent="0.2">
      <c r="A52" s="156"/>
      <c r="B52" s="158" t="s">
        <v>113</v>
      </c>
      <c r="C52" s="158" t="s">
        <v>0</v>
      </c>
      <c r="D52" s="158" t="s">
        <v>2</v>
      </c>
      <c r="E52" s="158" t="s">
        <v>4</v>
      </c>
      <c r="F52" s="158" t="s">
        <v>10</v>
      </c>
      <c r="G52" s="158" t="s">
        <v>155</v>
      </c>
      <c r="H52" s="158" t="s">
        <v>159</v>
      </c>
      <c r="I52" s="157"/>
      <c r="J52" s="157"/>
      <c r="K52" s="157"/>
    </row>
    <row r="53" spans="1:11" x14ac:dyDescent="0.2">
      <c r="A53" s="156"/>
      <c r="B53" s="158" t="s">
        <v>113</v>
      </c>
      <c r="C53" s="158" t="s">
        <v>1</v>
      </c>
      <c r="D53" s="158" t="s">
        <v>177</v>
      </c>
      <c r="E53" s="158" t="s">
        <v>4</v>
      </c>
      <c r="F53" s="158" t="s">
        <v>10</v>
      </c>
      <c r="G53" s="158" t="s">
        <v>155</v>
      </c>
      <c r="H53" s="158" t="s">
        <v>159</v>
      </c>
      <c r="I53" s="157"/>
      <c r="J53" s="157"/>
      <c r="K53" s="157"/>
    </row>
    <row r="54" spans="1:11" x14ac:dyDescent="0.2">
      <c r="A54" s="156"/>
      <c r="B54" s="158" t="s">
        <v>113</v>
      </c>
      <c r="C54" s="158" t="s">
        <v>0</v>
      </c>
      <c r="D54" s="158" t="s">
        <v>177</v>
      </c>
      <c r="E54" s="158" t="s">
        <v>3</v>
      </c>
      <c r="F54" s="158" t="s">
        <v>56</v>
      </c>
      <c r="G54" s="158" t="s">
        <v>156</v>
      </c>
      <c r="H54" s="158" t="s">
        <v>159</v>
      </c>
      <c r="I54" s="157"/>
      <c r="J54" s="157"/>
      <c r="K54" s="157"/>
    </row>
    <row r="55" spans="1:11" x14ac:dyDescent="0.2">
      <c r="A55" s="156"/>
      <c r="B55" s="158" t="s">
        <v>113</v>
      </c>
      <c r="C55" s="158" t="s">
        <v>0</v>
      </c>
      <c r="D55" s="158" t="s">
        <v>177</v>
      </c>
      <c r="E55" s="158" t="s">
        <v>4</v>
      </c>
      <c r="F55" s="158" t="s">
        <v>106</v>
      </c>
      <c r="G55" s="158" t="s">
        <v>155</v>
      </c>
      <c r="H55" s="158" t="s">
        <v>159</v>
      </c>
      <c r="I55" s="157"/>
      <c r="J55" s="157"/>
      <c r="K55" s="157"/>
    </row>
    <row r="56" spans="1:11" x14ac:dyDescent="0.2">
      <c r="A56" s="156"/>
      <c r="B56" s="158" t="s">
        <v>113</v>
      </c>
      <c r="C56" s="158" t="s">
        <v>1</v>
      </c>
      <c r="D56" s="158" t="s">
        <v>2</v>
      </c>
      <c r="E56" s="158" t="s">
        <v>3</v>
      </c>
      <c r="F56" s="158" t="s">
        <v>106</v>
      </c>
      <c r="G56" s="158" t="s">
        <v>155</v>
      </c>
      <c r="H56" s="158" t="s">
        <v>159</v>
      </c>
      <c r="I56" s="157"/>
      <c r="J56" s="157"/>
      <c r="K56" s="157"/>
    </row>
    <row r="57" spans="1:11" x14ac:dyDescent="0.2">
      <c r="A57" s="156"/>
      <c r="B57" s="158" t="s">
        <v>113</v>
      </c>
      <c r="C57" s="158" t="s">
        <v>1</v>
      </c>
      <c r="D57" s="158" t="s">
        <v>2</v>
      </c>
      <c r="E57" s="158" t="s">
        <v>4</v>
      </c>
      <c r="F57" s="158" t="s">
        <v>106</v>
      </c>
      <c r="G57" s="158" t="s">
        <v>155</v>
      </c>
      <c r="H57" s="158" t="s">
        <v>159</v>
      </c>
      <c r="I57" s="157"/>
      <c r="J57" s="157"/>
      <c r="K57" s="157"/>
    </row>
    <row r="58" spans="1:11" x14ac:dyDescent="0.2">
      <c r="A58" s="156"/>
      <c r="B58" s="158" t="s">
        <v>113</v>
      </c>
      <c r="C58" s="158" t="s">
        <v>0</v>
      </c>
      <c r="D58" s="158" t="s">
        <v>2</v>
      </c>
      <c r="E58" s="158" t="s">
        <v>4</v>
      </c>
      <c r="F58" s="158" t="s">
        <v>9</v>
      </c>
      <c r="G58" s="158" t="s">
        <v>155</v>
      </c>
      <c r="H58" s="158" t="s">
        <v>159</v>
      </c>
      <c r="I58" s="157"/>
      <c r="J58" s="157"/>
      <c r="K58" s="157"/>
    </row>
    <row r="59" spans="1:11" x14ac:dyDescent="0.2">
      <c r="A59" s="156"/>
      <c r="B59" s="158" t="s">
        <v>113</v>
      </c>
      <c r="C59" s="158" t="s">
        <v>0</v>
      </c>
      <c r="D59" s="158" t="s">
        <v>2</v>
      </c>
      <c r="E59" s="158" t="s">
        <v>4</v>
      </c>
      <c r="F59" s="158" t="s">
        <v>10</v>
      </c>
      <c r="G59" s="158" t="s">
        <v>228</v>
      </c>
      <c r="H59" s="158" t="s">
        <v>7</v>
      </c>
      <c r="I59" s="157" t="s">
        <v>250</v>
      </c>
      <c r="J59" s="157"/>
      <c r="K59" s="157"/>
    </row>
    <row r="60" spans="1:11" x14ac:dyDescent="0.2">
      <c r="A60" s="156"/>
      <c r="B60" s="158" t="s">
        <v>113</v>
      </c>
      <c r="C60" s="158" t="s">
        <v>0</v>
      </c>
      <c r="D60" s="158" t="s">
        <v>2</v>
      </c>
      <c r="E60" s="158" t="s">
        <v>4</v>
      </c>
      <c r="F60" s="158" t="s">
        <v>10</v>
      </c>
      <c r="G60" s="158" t="s">
        <v>228</v>
      </c>
      <c r="H60" s="158" t="s">
        <v>7</v>
      </c>
      <c r="I60" s="157" t="s">
        <v>250</v>
      </c>
      <c r="J60" s="157"/>
      <c r="K60" s="157"/>
    </row>
    <row r="61" spans="1:11" x14ac:dyDescent="0.2">
      <c r="A61" s="156"/>
      <c r="B61" s="158" t="s">
        <v>113</v>
      </c>
      <c r="C61" s="158" t="s">
        <v>0</v>
      </c>
      <c r="D61" s="158" t="s">
        <v>2</v>
      </c>
      <c r="E61" s="158" t="s">
        <v>4</v>
      </c>
      <c r="F61" s="158" t="s">
        <v>10</v>
      </c>
      <c r="G61" s="158" t="s">
        <v>228</v>
      </c>
      <c r="H61" s="158" t="s">
        <v>7</v>
      </c>
      <c r="I61" s="157" t="s">
        <v>250</v>
      </c>
      <c r="J61" s="157"/>
      <c r="K61" s="157"/>
    </row>
    <row r="62" spans="1:11" x14ac:dyDescent="0.2">
      <c r="A62" s="156"/>
      <c r="B62" s="158" t="s">
        <v>113</v>
      </c>
      <c r="C62" s="158" t="s">
        <v>0</v>
      </c>
      <c r="D62" s="158" t="s">
        <v>2</v>
      </c>
      <c r="E62" s="158" t="s">
        <v>4</v>
      </c>
      <c r="F62" s="158" t="s">
        <v>10</v>
      </c>
      <c r="G62" s="158" t="s">
        <v>228</v>
      </c>
      <c r="H62" s="158" t="s">
        <v>7</v>
      </c>
      <c r="I62" s="157" t="s">
        <v>250</v>
      </c>
      <c r="J62" s="157"/>
      <c r="K62" s="157"/>
    </row>
    <row r="63" spans="1:11" x14ac:dyDescent="0.2">
      <c r="A63" s="156"/>
      <c r="B63" s="158" t="s">
        <v>113</v>
      </c>
      <c r="C63" s="158" t="s">
        <v>0</v>
      </c>
      <c r="D63" s="158" t="s">
        <v>2</v>
      </c>
      <c r="E63" s="158" t="s">
        <v>4</v>
      </c>
      <c r="F63" s="158" t="s">
        <v>10</v>
      </c>
      <c r="G63" s="158" t="s">
        <v>228</v>
      </c>
      <c r="H63" s="158" t="s">
        <v>7</v>
      </c>
      <c r="I63" s="157" t="s">
        <v>250</v>
      </c>
      <c r="J63" s="157"/>
      <c r="K63" s="157"/>
    </row>
    <row r="64" spans="1:11" x14ac:dyDescent="0.2">
      <c r="A64" s="156"/>
      <c r="B64" s="158" t="s">
        <v>113</v>
      </c>
      <c r="C64" s="158" t="s">
        <v>0</v>
      </c>
      <c r="D64" s="158" t="s">
        <v>2</v>
      </c>
      <c r="E64" s="158" t="s">
        <v>4</v>
      </c>
      <c r="F64" s="158" t="s">
        <v>10</v>
      </c>
      <c r="G64" s="158" t="s">
        <v>228</v>
      </c>
      <c r="H64" s="158" t="s">
        <v>7</v>
      </c>
      <c r="I64" s="157" t="s">
        <v>250</v>
      </c>
      <c r="J64" s="157"/>
      <c r="K64" s="157"/>
    </row>
    <row r="65" spans="1:11" x14ac:dyDescent="0.2">
      <c r="A65" s="156"/>
      <c r="B65" s="158" t="s">
        <v>113</v>
      </c>
      <c r="C65" s="158" t="s">
        <v>0</v>
      </c>
      <c r="D65" s="158" t="s">
        <v>2</v>
      </c>
      <c r="E65" s="158" t="s">
        <v>4</v>
      </c>
      <c r="F65" s="158" t="s">
        <v>10</v>
      </c>
      <c r="G65" s="158" t="s">
        <v>228</v>
      </c>
      <c r="H65" s="158" t="s">
        <v>7</v>
      </c>
      <c r="I65" s="157" t="s">
        <v>250</v>
      </c>
      <c r="J65" s="157"/>
      <c r="K65" s="157"/>
    </row>
    <row r="66" spans="1:11" x14ac:dyDescent="0.2">
      <c r="A66" s="156"/>
      <c r="B66" s="158" t="s">
        <v>113</v>
      </c>
      <c r="C66" s="158" t="s">
        <v>0</v>
      </c>
      <c r="D66" s="158" t="s">
        <v>2</v>
      </c>
      <c r="E66" s="158" t="s">
        <v>4</v>
      </c>
      <c r="F66" s="158" t="s">
        <v>10</v>
      </c>
      <c r="G66" s="158" t="s">
        <v>228</v>
      </c>
      <c r="H66" s="158" t="s">
        <v>7</v>
      </c>
      <c r="I66" s="157" t="s">
        <v>250</v>
      </c>
      <c r="J66" s="157"/>
      <c r="K66" s="157"/>
    </row>
    <row r="67" spans="1:11" x14ac:dyDescent="0.2">
      <c r="A67" s="156"/>
      <c r="B67" s="158" t="s">
        <v>113</v>
      </c>
      <c r="C67" s="158" t="s">
        <v>0</v>
      </c>
      <c r="D67" s="158" t="s">
        <v>2</v>
      </c>
      <c r="E67" s="158" t="s">
        <v>4</v>
      </c>
      <c r="F67" s="158" t="s">
        <v>10</v>
      </c>
      <c r="G67" s="158" t="s">
        <v>228</v>
      </c>
      <c r="H67" s="158" t="s">
        <v>7</v>
      </c>
      <c r="I67" s="157" t="s">
        <v>250</v>
      </c>
      <c r="J67" s="157"/>
      <c r="K67" s="157"/>
    </row>
    <row r="68" spans="1:11" x14ac:dyDescent="0.2">
      <c r="A68" s="156"/>
      <c r="B68" s="158" t="s">
        <v>113</v>
      </c>
      <c r="C68" s="158" t="s">
        <v>0</v>
      </c>
      <c r="D68" s="158" t="s">
        <v>2</v>
      </c>
      <c r="E68" s="158" t="s">
        <v>4</v>
      </c>
      <c r="F68" s="158" t="s">
        <v>10</v>
      </c>
      <c r="G68" s="158" t="s">
        <v>228</v>
      </c>
      <c r="H68" s="158" t="s">
        <v>7</v>
      </c>
      <c r="I68" s="157" t="s">
        <v>250</v>
      </c>
      <c r="J68" s="157"/>
      <c r="K68" s="157"/>
    </row>
    <row r="69" spans="1:11" x14ac:dyDescent="0.2">
      <c r="A69" s="156"/>
      <c r="B69" s="158" t="s">
        <v>113</v>
      </c>
      <c r="C69" s="158" t="s">
        <v>0</v>
      </c>
      <c r="D69" s="158" t="s">
        <v>2</v>
      </c>
      <c r="E69" s="158" t="s">
        <v>4</v>
      </c>
      <c r="F69" s="158" t="s">
        <v>10</v>
      </c>
      <c r="G69" s="158" t="s">
        <v>228</v>
      </c>
      <c r="H69" s="158" t="s">
        <v>7</v>
      </c>
      <c r="I69" s="157" t="s">
        <v>250</v>
      </c>
      <c r="J69" s="157"/>
      <c r="K69" s="157"/>
    </row>
    <row r="70" spans="1:11" x14ac:dyDescent="0.2">
      <c r="A70" s="156"/>
      <c r="B70" s="158" t="s">
        <v>113</v>
      </c>
      <c r="C70" s="158" t="s">
        <v>0</v>
      </c>
      <c r="D70" s="158" t="s">
        <v>2</v>
      </c>
      <c r="E70" s="158" t="s">
        <v>4</v>
      </c>
      <c r="F70" s="158" t="s">
        <v>10</v>
      </c>
      <c r="G70" s="158" t="s">
        <v>228</v>
      </c>
      <c r="H70" s="158" t="s">
        <v>7</v>
      </c>
      <c r="I70" s="157" t="s">
        <v>250</v>
      </c>
      <c r="J70" s="157"/>
      <c r="K70" s="157"/>
    </row>
    <row r="71" spans="1:11" x14ac:dyDescent="0.2">
      <c r="A71" s="156"/>
      <c r="B71" s="158" t="s">
        <v>113</v>
      </c>
      <c r="C71" s="158" t="s">
        <v>0</v>
      </c>
      <c r="D71" s="158" t="s">
        <v>2</v>
      </c>
      <c r="E71" s="158" t="s">
        <v>4</v>
      </c>
      <c r="F71" s="158" t="s">
        <v>10</v>
      </c>
      <c r="G71" s="158" t="s">
        <v>228</v>
      </c>
      <c r="H71" s="158" t="s">
        <v>7</v>
      </c>
      <c r="I71" s="157" t="s">
        <v>250</v>
      </c>
      <c r="J71" s="157"/>
      <c r="K71" s="157"/>
    </row>
    <row r="72" spans="1:11" x14ac:dyDescent="0.2">
      <c r="A72" s="156"/>
      <c r="B72" s="158" t="s">
        <v>113</v>
      </c>
      <c r="C72" s="158" t="s">
        <v>0</v>
      </c>
      <c r="D72" s="158" t="s">
        <v>2</v>
      </c>
      <c r="E72" s="158" t="s">
        <v>4</v>
      </c>
      <c r="F72" s="158" t="s">
        <v>10</v>
      </c>
      <c r="G72" s="158" t="s">
        <v>228</v>
      </c>
      <c r="H72" s="158" t="s">
        <v>7</v>
      </c>
      <c r="I72" s="157" t="s">
        <v>250</v>
      </c>
      <c r="J72" s="157"/>
      <c r="K72" s="157"/>
    </row>
    <row r="73" spans="1:11" x14ac:dyDescent="0.2">
      <c r="A73" s="156"/>
      <c r="B73" s="158" t="s">
        <v>113</v>
      </c>
      <c r="C73" s="158" t="s">
        <v>0</v>
      </c>
      <c r="D73" s="158" t="s">
        <v>2</v>
      </c>
      <c r="E73" s="158" t="s">
        <v>4</v>
      </c>
      <c r="F73" s="158" t="s">
        <v>10</v>
      </c>
      <c r="G73" s="158" t="s">
        <v>228</v>
      </c>
      <c r="H73" s="158" t="s">
        <v>7</v>
      </c>
      <c r="I73" s="157" t="s">
        <v>250</v>
      </c>
      <c r="J73" s="157"/>
      <c r="K73" s="157"/>
    </row>
    <row r="74" spans="1:11" x14ac:dyDescent="0.2">
      <c r="A74" s="156"/>
      <c r="B74" s="158" t="s">
        <v>113</v>
      </c>
      <c r="C74" s="158" t="s">
        <v>0</v>
      </c>
      <c r="D74" s="158" t="s">
        <v>2</v>
      </c>
      <c r="E74" s="158" t="s">
        <v>4</v>
      </c>
      <c r="F74" s="158" t="s">
        <v>10</v>
      </c>
      <c r="G74" s="158" t="s">
        <v>228</v>
      </c>
      <c r="H74" s="158" t="s">
        <v>7</v>
      </c>
      <c r="I74" s="157" t="s">
        <v>250</v>
      </c>
      <c r="J74" s="157"/>
      <c r="K74" s="157"/>
    </row>
    <row r="75" spans="1:11" x14ac:dyDescent="0.2">
      <c r="A75" s="156"/>
      <c r="B75" s="158" t="s">
        <v>113</v>
      </c>
      <c r="C75" s="158" t="s">
        <v>0</v>
      </c>
      <c r="D75" s="158" t="s">
        <v>2</v>
      </c>
      <c r="E75" s="158" t="s">
        <v>4</v>
      </c>
      <c r="F75" s="158" t="s">
        <v>10</v>
      </c>
      <c r="G75" s="158" t="s">
        <v>228</v>
      </c>
      <c r="H75" s="158" t="s">
        <v>7</v>
      </c>
      <c r="I75" s="157" t="s">
        <v>250</v>
      </c>
      <c r="J75" s="157"/>
      <c r="K75" s="157"/>
    </row>
    <row r="76" spans="1:11" x14ac:dyDescent="0.2">
      <c r="A76" s="156"/>
      <c r="B76" s="158" t="s">
        <v>113</v>
      </c>
      <c r="C76" s="158" t="s">
        <v>0</v>
      </c>
      <c r="D76" s="158" t="s">
        <v>2</v>
      </c>
      <c r="E76" s="158" t="s">
        <v>4</v>
      </c>
      <c r="F76" s="158" t="s">
        <v>10</v>
      </c>
      <c r="G76" s="158" t="s">
        <v>228</v>
      </c>
      <c r="H76" s="158" t="s">
        <v>7</v>
      </c>
      <c r="I76" s="157" t="s">
        <v>250</v>
      </c>
      <c r="J76" s="157"/>
      <c r="K76" s="157"/>
    </row>
    <row r="77" spans="1:11" x14ac:dyDescent="0.2">
      <c r="A77" s="156"/>
      <c r="B77" s="158" t="s">
        <v>113</v>
      </c>
      <c r="C77" s="158" t="s">
        <v>0</v>
      </c>
      <c r="D77" s="158" t="s">
        <v>2</v>
      </c>
      <c r="E77" s="158" t="s">
        <v>4</v>
      </c>
      <c r="F77" s="158" t="s">
        <v>10</v>
      </c>
      <c r="G77" s="158" t="s">
        <v>228</v>
      </c>
      <c r="H77" s="158" t="s">
        <v>7</v>
      </c>
      <c r="I77" s="157" t="s">
        <v>250</v>
      </c>
      <c r="J77" s="157"/>
      <c r="K77" s="157"/>
    </row>
    <row r="78" spans="1:11" x14ac:dyDescent="0.2">
      <c r="A78" s="156"/>
      <c r="B78" s="158" t="s">
        <v>113</v>
      </c>
      <c r="C78" s="158" t="s">
        <v>0</v>
      </c>
      <c r="D78" s="158" t="s">
        <v>2</v>
      </c>
      <c r="E78" s="158" t="s">
        <v>4</v>
      </c>
      <c r="F78" s="158" t="s">
        <v>10</v>
      </c>
      <c r="G78" s="158" t="s">
        <v>228</v>
      </c>
      <c r="H78" s="158" t="s">
        <v>7</v>
      </c>
      <c r="I78" s="157" t="s">
        <v>250</v>
      </c>
      <c r="J78" s="157"/>
      <c r="K78" s="157"/>
    </row>
    <row r="79" spans="1:11" x14ac:dyDescent="0.2">
      <c r="A79" s="156"/>
      <c r="B79" s="158" t="s">
        <v>113</v>
      </c>
      <c r="C79" s="158" t="s">
        <v>0</v>
      </c>
      <c r="D79" s="158" t="s">
        <v>2</v>
      </c>
      <c r="E79" s="158" t="s">
        <v>4</v>
      </c>
      <c r="F79" s="158" t="s">
        <v>10</v>
      </c>
      <c r="G79" s="158" t="s">
        <v>228</v>
      </c>
      <c r="H79" s="158" t="s">
        <v>7</v>
      </c>
      <c r="I79" s="157" t="s">
        <v>250</v>
      </c>
      <c r="J79" s="157"/>
      <c r="K79" s="157"/>
    </row>
    <row r="80" spans="1:11" x14ac:dyDescent="0.2">
      <c r="A80" s="156"/>
      <c r="B80" s="158" t="s">
        <v>113</v>
      </c>
      <c r="C80" s="158" t="s">
        <v>0</v>
      </c>
      <c r="D80" s="158" t="s">
        <v>2</v>
      </c>
      <c r="E80" s="158" t="s">
        <v>4</v>
      </c>
      <c r="F80" s="158" t="s">
        <v>10</v>
      </c>
      <c r="G80" s="158" t="s">
        <v>228</v>
      </c>
      <c r="H80" s="158" t="s">
        <v>7</v>
      </c>
      <c r="I80" s="157" t="s">
        <v>250</v>
      </c>
      <c r="J80" s="157"/>
      <c r="K80" s="157"/>
    </row>
    <row r="81" spans="1:11" x14ac:dyDescent="0.2">
      <c r="A81" s="156"/>
      <c r="B81" s="158" t="s">
        <v>113</v>
      </c>
      <c r="C81" s="158" t="s">
        <v>0</v>
      </c>
      <c r="D81" s="158" t="s">
        <v>2</v>
      </c>
      <c r="E81" s="158" t="s">
        <v>4</v>
      </c>
      <c r="F81" s="158" t="s">
        <v>10</v>
      </c>
      <c r="G81" s="158" t="s">
        <v>228</v>
      </c>
      <c r="H81" s="158" t="s">
        <v>7</v>
      </c>
      <c r="I81" s="157" t="s">
        <v>250</v>
      </c>
      <c r="J81" s="157"/>
      <c r="K81" s="157"/>
    </row>
    <row r="82" spans="1:11" x14ac:dyDescent="0.2">
      <c r="A82" s="156"/>
      <c r="B82" s="158" t="s">
        <v>113</v>
      </c>
      <c r="C82" s="158" t="s">
        <v>0</v>
      </c>
      <c r="D82" s="158" t="s">
        <v>2</v>
      </c>
      <c r="E82" s="158" t="s">
        <v>4</v>
      </c>
      <c r="F82" s="158" t="s">
        <v>10</v>
      </c>
      <c r="G82" s="158" t="s">
        <v>228</v>
      </c>
      <c r="H82" s="158" t="s">
        <v>7</v>
      </c>
      <c r="I82" s="157" t="s">
        <v>250</v>
      </c>
      <c r="J82" s="157"/>
      <c r="K82" s="157"/>
    </row>
    <row r="83" spans="1:11" x14ac:dyDescent="0.2">
      <c r="A83" s="156"/>
      <c r="B83" s="158" t="s">
        <v>113</v>
      </c>
      <c r="C83" s="158" t="s">
        <v>0</v>
      </c>
      <c r="D83" s="158" t="s">
        <v>2</v>
      </c>
      <c r="E83" s="158" t="s">
        <v>4</v>
      </c>
      <c r="F83" s="158" t="s">
        <v>10</v>
      </c>
      <c r="G83" s="158" t="s">
        <v>228</v>
      </c>
      <c r="H83" s="158" t="s">
        <v>7</v>
      </c>
      <c r="I83" s="157" t="s">
        <v>250</v>
      </c>
      <c r="J83" s="157"/>
      <c r="K83" s="157"/>
    </row>
    <row r="84" spans="1:11" x14ac:dyDescent="0.2">
      <c r="A84" s="156"/>
      <c r="B84" s="158" t="s">
        <v>113</v>
      </c>
      <c r="C84" s="158" t="s">
        <v>0</v>
      </c>
      <c r="D84" s="158" t="s">
        <v>2</v>
      </c>
      <c r="E84" s="158" t="s">
        <v>4</v>
      </c>
      <c r="F84" s="158" t="s">
        <v>10</v>
      </c>
      <c r="G84" s="158" t="s">
        <v>228</v>
      </c>
      <c r="H84" s="158" t="s">
        <v>7</v>
      </c>
      <c r="I84" s="157" t="s">
        <v>250</v>
      </c>
      <c r="J84" s="157"/>
      <c r="K84" s="157"/>
    </row>
    <row r="85" spans="1:11" x14ac:dyDescent="0.2">
      <c r="A85" s="156"/>
      <c r="B85" s="158" t="s">
        <v>113</v>
      </c>
      <c r="C85" s="158" t="s">
        <v>0</v>
      </c>
      <c r="D85" s="158" t="s">
        <v>2</v>
      </c>
      <c r="E85" s="158" t="s">
        <v>4</v>
      </c>
      <c r="F85" s="158" t="s">
        <v>10</v>
      </c>
      <c r="G85" s="158" t="s">
        <v>228</v>
      </c>
      <c r="H85" s="158" t="s">
        <v>7</v>
      </c>
      <c r="I85" s="157" t="s">
        <v>250</v>
      </c>
      <c r="J85" s="157"/>
      <c r="K85" s="157"/>
    </row>
    <row r="86" spans="1:11" x14ac:dyDescent="0.2">
      <c r="A86" s="156"/>
      <c r="B86" s="158" t="s">
        <v>113</v>
      </c>
      <c r="C86" s="158" t="s">
        <v>0</v>
      </c>
      <c r="D86" s="158" t="s">
        <v>2</v>
      </c>
      <c r="E86" s="158" t="s">
        <v>4</v>
      </c>
      <c r="F86" s="158" t="s">
        <v>10</v>
      </c>
      <c r="G86" s="158" t="s">
        <v>228</v>
      </c>
      <c r="H86" s="158" t="s">
        <v>7</v>
      </c>
      <c r="I86" s="157" t="s">
        <v>250</v>
      </c>
      <c r="J86" s="157"/>
      <c r="K86" s="157"/>
    </row>
    <row r="87" spans="1:11" x14ac:dyDescent="0.2">
      <c r="A87" s="156"/>
      <c r="B87" s="158" t="s">
        <v>113</v>
      </c>
      <c r="C87" s="158" t="s">
        <v>0</v>
      </c>
      <c r="D87" s="158" t="s">
        <v>2</v>
      </c>
      <c r="E87" s="158" t="s">
        <v>4</v>
      </c>
      <c r="F87" s="158" t="s">
        <v>10</v>
      </c>
      <c r="G87" s="158" t="s">
        <v>228</v>
      </c>
      <c r="H87" s="158" t="s">
        <v>7</v>
      </c>
      <c r="I87" s="157" t="s">
        <v>250</v>
      </c>
      <c r="J87" s="157"/>
      <c r="K87" s="157"/>
    </row>
    <row r="88" spans="1:11" x14ac:dyDescent="0.2">
      <c r="A88" s="156"/>
      <c r="B88" s="158" t="s">
        <v>113</v>
      </c>
      <c r="C88" s="158" t="s">
        <v>0</v>
      </c>
      <c r="D88" s="158" t="s">
        <v>2</v>
      </c>
      <c r="E88" s="158" t="s">
        <v>4</v>
      </c>
      <c r="F88" s="158" t="s">
        <v>10</v>
      </c>
      <c r="G88" s="158" t="s">
        <v>228</v>
      </c>
      <c r="H88" s="158" t="s">
        <v>7</v>
      </c>
      <c r="I88" s="157" t="s">
        <v>250</v>
      </c>
      <c r="J88" s="157"/>
      <c r="K88" s="157"/>
    </row>
    <row r="89" spans="1:11" x14ac:dyDescent="0.2">
      <c r="A89" s="156"/>
      <c r="B89" s="158" t="s">
        <v>113</v>
      </c>
      <c r="C89" s="158" t="s">
        <v>0</v>
      </c>
      <c r="D89" s="158" t="s">
        <v>2</v>
      </c>
      <c r="E89" s="158" t="s">
        <v>4</v>
      </c>
      <c r="F89" s="158" t="s">
        <v>10</v>
      </c>
      <c r="G89" s="158" t="s">
        <v>228</v>
      </c>
      <c r="H89" s="158" t="s">
        <v>7</v>
      </c>
      <c r="I89" s="157" t="s">
        <v>250</v>
      </c>
      <c r="J89" s="157"/>
      <c r="K89" s="157"/>
    </row>
    <row r="90" spans="1:11" x14ac:dyDescent="0.2">
      <c r="A90" s="156"/>
      <c r="B90" s="158" t="s">
        <v>113</v>
      </c>
      <c r="C90" s="158" t="s">
        <v>0</v>
      </c>
      <c r="D90" s="158" t="s">
        <v>2</v>
      </c>
      <c r="E90" s="158" t="s">
        <v>4</v>
      </c>
      <c r="F90" s="158" t="s">
        <v>10</v>
      </c>
      <c r="G90" s="158" t="s">
        <v>228</v>
      </c>
      <c r="H90" s="158" t="s">
        <v>7</v>
      </c>
      <c r="I90" s="157" t="s">
        <v>250</v>
      </c>
      <c r="J90" s="157"/>
      <c r="K90" s="157"/>
    </row>
    <row r="91" spans="1:11" x14ac:dyDescent="0.2">
      <c r="A91" s="156"/>
      <c r="B91" s="158" t="s">
        <v>113</v>
      </c>
      <c r="C91" s="158" t="s">
        <v>0</v>
      </c>
      <c r="D91" s="158" t="s">
        <v>2</v>
      </c>
      <c r="E91" s="158" t="s">
        <v>4</v>
      </c>
      <c r="F91" s="158" t="s">
        <v>10</v>
      </c>
      <c r="G91" s="158" t="s">
        <v>228</v>
      </c>
      <c r="H91" s="158" t="s">
        <v>7</v>
      </c>
      <c r="I91" s="157" t="s">
        <v>250</v>
      </c>
      <c r="J91" s="157"/>
      <c r="K91" s="157"/>
    </row>
    <row r="92" spans="1:11" x14ac:dyDescent="0.2">
      <c r="A92" s="156"/>
      <c r="B92" s="158" t="s">
        <v>113</v>
      </c>
      <c r="C92" s="158" t="s">
        <v>0</v>
      </c>
      <c r="D92" s="158" t="s">
        <v>2</v>
      </c>
      <c r="E92" s="158" t="s">
        <v>4</v>
      </c>
      <c r="F92" s="158" t="s">
        <v>10</v>
      </c>
      <c r="G92" s="158" t="s">
        <v>228</v>
      </c>
      <c r="H92" s="158" t="s">
        <v>7</v>
      </c>
      <c r="I92" s="157" t="s">
        <v>250</v>
      </c>
      <c r="J92" s="157"/>
      <c r="K92" s="157"/>
    </row>
    <row r="93" spans="1:11" x14ac:dyDescent="0.2">
      <c r="A93" s="156"/>
      <c r="B93" s="158" t="s">
        <v>113</v>
      </c>
      <c r="C93" s="158" t="s">
        <v>0</v>
      </c>
      <c r="D93" s="158" t="s">
        <v>2</v>
      </c>
      <c r="E93" s="158" t="s">
        <v>4</v>
      </c>
      <c r="F93" s="158" t="s">
        <v>10</v>
      </c>
      <c r="G93" s="158" t="s">
        <v>228</v>
      </c>
      <c r="H93" s="158" t="s">
        <v>7</v>
      </c>
      <c r="I93" s="157" t="s">
        <v>250</v>
      </c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opLeftCell="A7" workbookViewId="0">
      <selection activeCell="J53" sqref="J53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114</v>
      </c>
      <c r="C5" s="157" t="s">
        <v>1</v>
      </c>
      <c r="D5" s="157" t="s">
        <v>177</v>
      </c>
      <c r="E5" s="157" t="s">
        <v>3</v>
      </c>
      <c r="F5" s="157" t="s">
        <v>10</v>
      </c>
      <c r="G5" s="157" t="s">
        <v>155</v>
      </c>
      <c r="H5" s="157" t="s">
        <v>7</v>
      </c>
      <c r="I5" s="157" t="s">
        <v>251</v>
      </c>
      <c r="J5" s="157"/>
      <c r="K5" s="157"/>
    </row>
    <row r="6" spans="1:11" x14ac:dyDescent="0.2">
      <c r="A6" s="156"/>
      <c r="B6" s="158" t="s">
        <v>114</v>
      </c>
      <c r="C6" s="158" t="s">
        <v>1</v>
      </c>
      <c r="D6" s="158" t="s">
        <v>177</v>
      </c>
      <c r="E6" s="157" t="s">
        <v>4</v>
      </c>
      <c r="F6" s="157" t="s">
        <v>12</v>
      </c>
      <c r="G6" s="158" t="s">
        <v>155</v>
      </c>
      <c r="H6" s="158" t="s">
        <v>7</v>
      </c>
      <c r="I6" s="158" t="s">
        <v>251</v>
      </c>
      <c r="J6" s="157"/>
      <c r="K6" s="157"/>
    </row>
    <row r="7" spans="1:11" x14ac:dyDescent="0.2">
      <c r="A7" s="156"/>
      <c r="B7" s="158" t="s">
        <v>114</v>
      </c>
      <c r="C7" s="157" t="s">
        <v>0</v>
      </c>
      <c r="D7" s="158" t="s">
        <v>177</v>
      </c>
      <c r="E7" s="158" t="s">
        <v>4</v>
      </c>
      <c r="F7" s="157" t="s">
        <v>13</v>
      </c>
      <c r="G7" s="158" t="s">
        <v>228</v>
      </c>
      <c r="H7" s="158" t="s">
        <v>7</v>
      </c>
      <c r="I7" s="158" t="s">
        <v>251</v>
      </c>
      <c r="J7" s="157"/>
      <c r="K7" s="157"/>
    </row>
    <row r="8" spans="1:11" x14ac:dyDescent="0.2">
      <c r="A8" s="156"/>
      <c r="B8" s="158" t="s">
        <v>114</v>
      </c>
      <c r="C8" s="158" t="s">
        <v>0</v>
      </c>
      <c r="D8" s="158" t="s">
        <v>177</v>
      </c>
      <c r="E8" s="158" t="s">
        <v>4</v>
      </c>
      <c r="F8" s="158" t="s">
        <v>10</v>
      </c>
      <c r="G8" s="158" t="s">
        <v>155</v>
      </c>
      <c r="H8" s="158" t="s">
        <v>7</v>
      </c>
      <c r="I8" s="158" t="s">
        <v>251</v>
      </c>
      <c r="J8" s="157"/>
      <c r="K8" s="157"/>
    </row>
    <row r="9" spans="1:11" x14ac:dyDescent="0.2">
      <c r="A9" s="156"/>
      <c r="B9" s="158" t="s">
        <v>114</v>
      </c>
      <c r="C9" s="158" t="s">
        <v>0</v>
      </c>
      <c r="D9" s="158" t="s">
        <v>177</v>
      </c>
      <c r="E9" s="158" t="s">
        <v>4</v>
      </c>
      <c r="F9" s="158" t="s">
        <v>10</v>
      </c>
      <c r="G9" s="158" t="s">
        <v>228</v>
      </c>
      <c r="H9" s="158" t="s">
        <v>7</v>
      </c>
      <c r="I9" s="158" t="s">
        <v>251</v>
      </c>
      <c r="J9" s="157"/>
      <c r="K9" s="157"/>
    </row>
    <row r="10" spans="1:11" x14ac:dyDescent="0.2">
      <c r="A10" s="156"/>
      <c r="B10" s="158" t="s">
        <v>114</v>
      </c>
      <c r="C10" s="158" t="s">
        <v>1</v>
      </c>
      <c r="D10" s="158" t="s">
        <v>177</v>
      </c>
      <c r="E10" s="158" t="s">
        <v>4</v>
      </c>
      <c r="F10" s="158" t="s">
        <v>13</v>
      </c>
      <c r="G10" s="157" t="s">
        <v>158</v>
      </c>
      <c r="H10" s="158" t="s">
        <v>17</v>
      </c>
      <c r="I10" s="157" t="s">
        <v>130</v>
      </c>
      <c r="J10" s="157"/>
      <c r="K10" s="157"/>
    </row>
    <row r="11" spans="1:11" x14ac:dyDescent="0.2">
      <c r="A11" s="156"/>
      <c r="B11" s="158" t="s">
        <v>114</v>
      </c>
      <c r="C11" s="158" t="s">
        <v>1</v>
      </c>
      <c r="D11" s="158" t="s">
        <v>177</v>
      </c>
      <c r="E11" s="158" t="s">
        <v>4</v>
      </c>
      <c r="F11" s="158" t="s">
        <v>13</v>
      </c>
      <c r="G11" s="158" t="s">
        <v>158</v>
      </c>
      <c r="H11" s="158" t="s">
        <v>17</v>
      </c>
      <c r="I11" s="158" t="s">
        <v>130</v>
      </c>
      <c r="J11" s="157"/>
      <c r="K11" s="157"/>
    </row>
    <row r="12" spans="1:11" x14ac:dyDescent="0.2">
      <c r="A12" s="156"/>
      <c r="B12" s="158" t="s">
        <v>114</v>
      </c>
      <c r="C12" s="158" t="s">
        <v>0</v>
      </c>
      <c r="D12" s="158" t="s">
        <v>177</v>
      </c>
      <c r="E12" s="158" t="s">
        <v>4</v>
      </c>
      <c r="F12" s="158" t="s">
        <v>10</v>
      </c>
      <c r="G12" s="158" t="s">
        <v>228</v>
      </c>
      <c r="H12" s="158" t="s">
        <v>17</v>
      </c>
      <c r="I12" s="158" t="s">
        <v>130</v>
      </c>
      <c r="J12" s="157"/>
      <c r="K12" s="157"/>
    </row>
    <row r="13" spans="1:11" x14ac:dyDescent="0.2">
      <c r="A13" s="156"/>
      <c r="B13" s="157" t="s">
        <v>113</v>
      </c>
      <c r="C13" s="158" t="s">
        <v>0</v>
      </c>
      <c r="D13" s="158" t="s">
        <v>177</v>
      </c>
      <c r="E13" s="158" t="s">
        <v>4</v>
      </c>
      <c r="F13" s="158" t="s">
        <v>10</v>
      </c>
      <c r="G13" s="158" t="s">
        <v>155</v>
      </c>
      <c r="H13" s="158" t="s">
        <v>17</v>
      </c>
      <c r="I13" s="158" t="s">
        <v>130</v>
      </c>
      <c r="J13" s="157"/>
      <c r="K13" s="157"/>
    </row>
    <row r="14" spans="1:11" x14ac:dyDescent="0.2">
      <c r="A14" s="156"/>
      <c r="B14" s="158" t="s">
        <v>113</v>
      </c>
      <c r="C14" s="158" t="s">
        <v>1</v>
      </c>
      <c r="D14" s="158" t="s">
        <v>177</v>
      </c>
      <c r="E14" s="158" t="s">
        <v>3</v>
      </c>
      <c r="F14" s="157" t="s">
        <v>9</v>
      </c>
      <c r="G14" s="158" t="s">
        <v>228</v>
      </c>
      <c r="H14" s="158" t="s">
        <v>17</v>
      </c>
      <c r="I14" s="158" t="s">
        <v>130</v>
      </c>
      <c r="J14" s="158"/>
      <c r="K14" s="158"/>
    </row>
    <row r="15" spans="1:11" x14ac:dyDescent="0.2">
      <c r="A15" s="156"/>
      <c r="B15" s="158" t="s">
        <v>113</v>
      </c>
      <c r="C15" s="158" t="s">
        <v>1</v>
      </c>
      <c r="D15" s="158" t="s">
        <v>177</v>
      </c>
      <c r="E15" s="158" t="s">
        <v>3</v>
      </c>
      <c r="F15" s="158" t="s">
        <v>9</v>
      </c>
      <c r="G15" s="158" t="s">
        <v>228</v>
      </c>
      <c r="H15" s="158" t="s">
        <v>159</v>
      </c>
      <c r="I15" s="158"/>
      <c r="J15" s="158"/>
      <c r="K15" s="158"/>
    </row>
    <row r="16" spans="1:11" x14ac:dyDescent="0.2">
      <c r="A16" s="156"/>
      <c r="B16" s="158" t="s">
        <v>113</v>
      </c>
      <c r="C16" s="158" t="s">
        <v>0</v>
      </c>
      <c r="D16" s="157" t="s">
        <v>2</v>
      </c>
      <c r="E16" s="158" t="s">
        <v>3</v>
      </c>
      <c r="F16" s="157" t="s">
        <v>56</v>
      </c>
      <c r="G16" s="158" t="s">
        <v>155</v>
      </c>
      <c r="H16" s="158" t="s">
        <v>159</v>
      </c>
      <c r="I16" s="158"/>
      <c r="J16" s="158"/>
      <c r="K16" s="158"/>
    </row>
    <row r="17" spans="1:11" x14ac:dyDescent="0.2">
      <c r="A17" s="156"/>
      <c r="B17" s="158" t="s">
        <v>113</v>
      </c>
      <c r="C17" s="158" t="s">
        <v>0</v>
      </c>
      <c r="D17" s="158" t="s">
        <v>177</v>
      </c>
      <c r="E17" s="158" t="s">
        <v>4</v>
      </c>
      <c r="F17" s="158" t="s">
        <v>10</v>
      </c>
      <c r="G17" s="158" t="s">
        <v>228</v>
      </c>
      <c r="H17" s="158" t="s">
        <v>17</v>
      </c>
      <c r="I17" s="158" t="s">
        <v>130</v>
      </c>
      <c r="J17" s="157"/>
      <c r="K17" s="157"/>
    </row>
    <row r="18" spans="1:11" x14ac:dyDescent="0.2">
      <c r="A18" s="156"/>
      <c r="B18" s="158" t="s">
        <v>113</v>
      </c>
      <c r="C18" s="158" t="s">
        <v>0</v>
      </c>
      <c r="D18" s="158" t="s">
        <v>177</v>
      </c>
      <c r="E18" s="158" t="s">
        <v>4</v>
      </c>
      <c r="F18" s="158" t="s">
        <v>9</v>
      </c>
      <c r="G18" s="158" t="s">
        <v>156</v>
      </c>
      <c r="H18" s="158" t="s">
        <v>159</v>
      </c>
      <c r="I18" s="158"/>
      <c r="J18" s="158"/>
      <c r="K18" s="158"/>
    </row>
    <row r="19" spans="1:11" x14ac:dyDescent="0.2">
      <c r="A19" s="156"/>
      <c r="B19" s="158" t="s">
        <v>113</v>
      </c>
      <c r="C19" s="158" t="s">
        <v>1</v>
      </c>
      <c r="D19" s="158" t="s">
        <v>177</v>
      </c>
      <c r="E19" s="158" t="s">
        <v>3</v>
      </c>
      <c r="F19" s="158" t="s">
        <v>9</v>
      </c>
      <c r="G19" s="158" t="s">
        <v>156</v>
      </c>
      <c r="H19" s="158" t="s">
        <v>159</v>
      </c>
      <c r="I19" s="157"/>
      <c r="J19" s="157"/>
      <c r="K19" s="157"/>
    </row>
    <row r="20" spans="1:11" x14ac:dyDescent="0.2">
      <c r="A20" s="156"/>
      <c r="B20" s="158" t="s">
        <v>113</v>
      </c>
      <c r="C20" s="158" t="s">
        <v>0</v>
      </c>
      <c r="D20" s="158" t="s">
        <v>177</v>
      </c>
      <c r="E20" s="158" t="s">
        <v>3</v>
      </c>
      <c r="F20" s="157" t="s">
        <v>106</v>
      </c>
      <c r="G20" s="158" t="s">
        <v>155</v>
      </c>
      <c r="H20" s="158" t="s">
        <v>159</v>
      </c>
      <c r="I20" s="158"/>
      <c r="J20" s="158"/>
      <c r="K20" s="158"/>
    </row>
    <row r="21" spans="1:11" x14ac:dyDescent="0.2">
      <c r="A21" s="156"/>
      <c r="B21" s="158" t="s">
        <v>113</v>
      </c>
      <c r="C21" s="158" t="s">
        <v>1</v>
      </c>
      <c r="D21" s="158" t="s">
        <v>177</v>
      </c>
      <c r="E21" s="158" t="s">
        <v>4</v>
      </c>
      <c r="F21" s="158" t="s">
        <v>106</v>
      </c>
      <c r="G21" s="158" t="s">
        <v>155</v>
      </c>
      <c r="H21" s="158" t="s">
        <v>159</v>
      </c>
      <c r="I21" s="158"/>
      <c r="J21" s="158"/>
      <c r="K21" s="158"/>
    </row>
    <row r="22" spans="1:11" x14ac:dyDescent="0.2">
      <c r="A22" s="156"/>
      <c r="B22" s="158" t="s">
        <v>113</v>
      </c>
      <c r="C22" s="158" t="s">
        <v>1</v>
      </c>
      <c r="D22" s="158" t="s">
        <v>2</v>
      </c>
      <c r="E22" s="158" t="s">
        <v>4</v>
      </c>
      <c r="F22" s="158" t="s">
        <v>10</v>
      </c>
      <c r="G22" s="158" t="s">
        <v>156</v>
      </c>
      <c r="H22" s="158" t="s">
        <v>159</v>
      </c>
      <c r="I22" s="158"/>
      <c r="J22" s="158"/>
      <c r="K22" s="158"/>
    </row>
    <row r="23" spans="1:11" x14ac:dyDescent="0.2">
      <c r="A23" s="156"/>
      <c r="B23" s="158" t="s">
        <v>113</v>
      </c>
      <c r="C23" s="158" t="s">
        <v>1</v>
      </c>
      <c r="D23" s="158" t="s">
        <v>177</v>
      </c>
      <c r="E23" s="158" t="s">
        <v>4</v>
      </c>
      <c r="F23" s="158" t="s">
        <v>10</v>
      </c>
      <c r="G23" s="158" t="s">
        <v>156</v>
      </c>
      <c r="H23" s="158" t="s">
        <v>159</v>
      </c>
      <c r="I23" s="157"/>
      <c r="J23" s="157"/>
      <c r="K23" s="157"/>
    </row>
    <row r="24" spans="1:11" x14ac:dyDescent="0.2">
      <c r="A24" s="156"/>
      <c r="B24" s="158" t="s">
        <v>113</v>
      </c>
      <c r="C24" s="158" t="s">
        <v>0</v>
      </c>
      <c r="D24" s="158" t="s">
        <v>177</v>
      </c>
      <c r="E24" s="158" t="s">
        <v>4</v>
      </c>
      <c r="F24" s="158" t="s">
        <v>10</v>
      </c>
      <c r="G24" s="158" t="s">
        <v>228</v>
      </c>
      <c r="H24" s="158" t="s">
        <v>17</v>
      </c>
      <c r="I24" s="158" t="s">
        <v>130</v>
      </c>
      <c r="J24" s="158"/>
      <c r="K24" s="158"/>
    </row>
    <row r="25" spans="1:11" x14ac:dyDescent="0.2">
      <c r="A25" s="156"/>
      <c r="B25" s="158" t="s">
        <v>113</v>
      </c>
      <c r="C25" s="158" t="s">
        <v>0</v>
      </c>
      <c r="D25" s="158" t="s">
        <v>177</v>
      </c>
      <c r="E25" s="158" t="s">
        <v>4</v>
      </c>
      <c r="F25" s="158" t="s">
        <v>13</v>
      </c>
      <c r="G25" s="158" t="s">
        <v>156</v>
      </c>
      <c r="H25" s="158" t="s">
        <v>17</v>
      </c>
      <c r="I25" s="158" t="s">
        <v>130</v>
      </c>
      <c r="J25" s="157"/>
      <c r="K25" s="157"/>
    </row>
    <row r="26" spans="1:11" x14ac:dyDescent="0.2">
      <c r="A26" s="156"/>
      <c r="B26" s="158" t="s">
        <v>113</v>
      </c>
      <c r="C26" s="158" t="s">
        <v>0</v>
      </c>
      <c r="D26" s="158" t="s">
        <v>177</v>
      </c>
      <c r="E26" s="158" t="s">
        <v>3</v>
      </c>
      <c r="F26" s="158" t="s">
        <v>9</v>
      </c>
      <c r="G26" s="158" t="s">
        <v>155</v>
      </c>
      <c r="H26" s="158" t="s">
        <v>17</v>
      </c>
      <c r="I26" s="158" t="s">
        <v>130</v>
      </c>
      <c r="J26" s="157"/>
      <c r="K26" s="157"/>
    </row>
    <row r="27" spans="1:11" x14ac:dyDescent="0.2">
      <c r="A27" s="156"/>
      <c r="B27" s="158" t="s">
        <v>113</v>
      </c>
      <c r="C27" s="158" t="s">
        <v>1</v>
      </c>
      <c r="D27" s="158" t="s">
        <v>2</v>
      </c>
      <c r="E27" s="158" t="s">
        <v>4</v>
      </c>
      <c r="F27" s="158" t="s">
        <v>9</v>
      </c>
      <c r="G27" s="158" t="s">
        <v>155</v>
      </c>
      <c r="H27" s="158" t="s">
        <v>17</v>
      </c>
      <c r="I27" s="158" t="s">
        <v>130</v>
      </c>
      <c r="J27" s="157" t="s">
        <v>20</v>
      </c>
      <c r="K27" s="157" t="s">
        <v>149</v>
      </c>
    </row>
    <row r="28" spans="1:11" x14ac:dyDescent="0.2">
      <c r="A28" s="156"/>
      <c r="B28" s="158" t="s">
        <v>113</v>
      </c>
      <c r="C28" s="158" t="s">
        <v>1</v>
      </c>
      <c r="D28" s="158" t="s">
        <v>177</v>
      </c>
      <c r="E28" s="158" t="s">
        <v>4</v>
      </c>
      <c r="F28" s="158" t="s">
        <v>106</v>
      </c>
      <c r="G28" s="158" t="s">
        <v>156</v>
      </c>
      <c r="H28" s="158" t="s">
        <v>17</v>
      </c>
      <c r="I28" s="158" t="s">
        <v>130</v>
      </c>
      <c r="J28" s="157"/>
      <c r="K28" s="157"/>
    </row>
    <row r="29" spans="1:11" x14ac:dyDescent="0.2">
      <c r="A29" s="159" t="s">
        <v>309</v>
      </c>
      <c r="B29" s="158" t="s">
        <v>113</v>
      </c>
      <c r="C29" s="158" t="s">
        <v>0</v>
      </c>
      <c r="D29" s="158" t="s">
        <v>2</v>
      </c>
      <c r="E29" s="158" t="s">
        <v>4</v>
      </c>
      <c r="F29" s="158" t="s">
        <v>13</v>
      </c>
      <c r="G29" s="158" t="s">
        <v>156</v>
      </c>
      <c r="H29" s="158" t="s">
        <v>159</v>
      </c>
      <c r="I29" s="157"/>
      <c r="J29" s="157"/>
      <c r="K29" s="157"/>
    </row>
    <row r="30" spans="1:11" x14ac:dyDescent="0.2">
      <c r="A30" s="156"/>
      <c r="B30" s="158" t="s">
        <v>113</v>
      </c>
      <c r="C30" s="158" t="s">
        <v>1</v>
      </c>
      <c r="D30" s="158" t="s">
        <v>2</v>
      </c>
      <c r="E30" s="158" t="s">
        <v>4</v>
      </c>
      <c r="F30" s="158" t="s">
        <v>13</v>
      </c>
      <c r="G30" s="158" t="s">
        <v>156</v>
      </c>
      <c r="H30" s="158" t="s">
        <v>159</v>
      </c>
      <c r="I30" s="157"/>
      <c r="J30" s="157"/>
      <c r="K30" s="157"/>
    </row>
    <row r="31" spans="1:11" x14ac:dyDescent="0.2">
      <c r="A31" s="156"/>
      <c r="B31" s="158" t="s">
        <v>113</v>
      </c>
      <c r="C31" s="158" t="s">
        <v>0</v>
      </c>
      <c r="D31" s="158" t="s">
        <v>2</v>
      </c>
      <c r="E31" s="158" t="s">
        <v>4</v>
      </c>
      <c r="F31" s="157" t="s">
        <v>11</v>
      </c>
      <c r="G31" s="158" t="s">
        <v>228</v>
      </c>
      <c r="H31" s="158" t="s">
        <v>159</v>
      </c>
      <c r="I31" s="157"/>
      <c r="J31" s="157"/>
      <c r="K31" s="157"/>
    </row>
    <row r="32" spans="1:11" x14ac:dyDescent="0.2">
      <c r="A32" s="156"/>
      <c r="B32" s="158" t="s">
        <v>113</v>
      </c>
      <c r="C32" s="158" t="s">
        <v>0</v>
      </c>
      <c r="D32" s="158" t="s">
        <v>2</v>
      </c>
      <c r="E32" s="158" t="s">
        <v>3</v>
      </c>
      <c r="F32" s="158" t="s">
        <v>13</v>
      </c>
      <c r="G32" s="158" t="s">
        <v>155</v>
      </c>
      <c r="H32" s="158" t="s">
        <v>159</v>
      </c>
      <c r="I32" s="157"/>
      <c r="J32" s="157"/>
      <c r="K32" s="157"/>
    </row>
    <row r="33" spans="1:11" x14ac:dyDescent="0.2">
      <c r="A33" s="156"/>
      <c r="B33" s="158" t="s">
        <v>113</v>
      </c>
      <c r="C33" s="158" t="s">
        <v>1</v>
      </c>
      <c r="D33" s="158" t="s">
        <v>2</v>
      </c>
      <c r="E33" s="158" t="s">
        <v>4</v>
      </c>
      <c r="F33" s="158" t="s">
        <v>13</v>
      </c>
      <c r="G33" s="158" t="s">
        <v>155</v>
      </c>
      <c r="H33" s="158" t="s">
        <v>159</v>
      </c>
      <c r="I33" s="157"/>
      <c r="J33" s="157"/>
      <c r="K33" s="157"/>
    </row>
    <row r="34" spans="1:11" x14ac:dyDescent="0.2">
      <c r="A34" s="156"/>
      <c r="B34" s="158" t="s">
        <v>113</v>
      </c>
      <c r="C34" s="158" t="s">
        <v>0</v>
      </c>
      <c r="D34" s="158" t="s">
        <v>2</v>
      </c>
      <c r="E34" s="158" t="s">
        <v>4</v>
      </c>
      <c r="F34" s="158" t="s">
        <v>10</v>
      </c>
      <c r="G34" s="158" t="s">
        <v>155</v>
      </c>
      <c r="H34" s="158" t="s">
        <v>159</v>
      </c>
      <c r="I34" s="157"/>
      <c r="J34" s="157"/>
      <c r="K34" s="157"/>
    </row>
    <row r="35" spans="1:11" x14ac:dyDescent="0.2">
      <c r="A35" s="156"/>
      <c r="B35" s="158" t="s">
        <v>113</v>
      </c>
      <c r="C35" s="158" t="s">
        <v>1</v>
      </c>
      <c r="D35" s="158" t="s">
        <v>2</v>
      </c>
      <c r="E35" s="158" t="s">
        <v>3</v>
      </c>
      <c r="F35" s="158" t="s">
        <v>10</v>
      </c>
      <c r="G35" s="158" t="s">
        <v>155</v>
      </c>
      <c r="H35" s="158" t="s">
        <v>159</v>
      </c>
      <c r="I35" s="157"/>
      <c r="J35" s="157"/>
      <c r="K35" s="157"/>
    </row>
    <row r="36" spans="1:11" x14ac:dyDescent="0.2">
      <c r="A36" s="156"/>
      <c r="B36" s="158" t="s">
        <v>113</v>
      </c>
      <c r="C36" s="158" t="s">
        <v>0</v>
      </c>
      <c r="D36" s="158" t="s">
        <v>2</v>
      </c>
      <c r="E36" s="158" t="s">
        <v>4</v>
      </c>
      <c r="F36" s="158" t="s">
        <v>10</v>
      </c>
      <c r="G36" s="158" t="s">
        <v>155</v>
      </c>
      <c r="H36" s="158" t="s">
        <v>159</v>
      </c>
      <c r="I36" s="157"/>
      <c r="J36" s="157"/>
      <c r="K36" s="157"/>
    </row>
    <row r="37" spans="1:11" x14ac:dyDescent="0.2">
      <c r="A37" s="156"/>
      <c r="B37" s="157" t="s">
        <v>116</v>
      </c>
      <c r="C37" s="158" t="s">
        <v>0</v>
      </c>
      <c r="D37" s="158" t="s">
        <v>177</v>
      </c>
      <c r="E37" s="158" t="s">
        <v>3</v>
      </c>
      <c r="F37" s="158" t="s">
        <v>13</v>
      </c>
      <c r="G37" s="158" t="s">
        <v>228</v>
      </c>
      <c r="H37" s="158" t="s">
        <v>7</v>
      </c>
      <c r="I37" s="157" t="s">
        <v>255</v>
      </c>
      <c r="J37" s="157"/>
      <c r="K37" s="157"/>
    </row>
    <row r="38" spans="1:11" x14ac:dyDescent="0.2">
      <c r="A38" s="156"/>
      <c r="B38" s="158" t="s">
        <v>113</v>
      </c>
      <c r="C38" s="158" t="s">
        <v>0</v>
      </c>
      <c r="D38" s="158" t="s">
        <v>177</v>
      </c>
      <c r="E38" s="158" t="s">
        <v>4</v>
      </c>
      <c r="F38" s="158" t="s">
        <v>10</v>
      </c>
      <c r="G38" s="158" t="s">
        <v>228</v>
      </c>
      <c r="H38" s="158" t="s">
        <v>17</v>
      </c>
      <c r="I38" s="158" t="s">
        <v>130</v>
      </c>
      <c r="J38" s="157"/>
      <c r="K38" s="157"/>
    </row>
    <row r="39" spans="1:11" x14ac:dyDescent="0.2">
      <c r="A39" s="156"/>
      <c r="B39" s="158" t="s">
        <v>113</v>
      </c>
      <c r="C39" s="158" t="s">
        <v>0</v>
      </c>
      <c r="D39" s="158" t="s">
        <v>177</v>
      </c>
      <c r="E39" s="158" t="s">
        <v>3</v>
      </c>
      <c r="F39" s="158" t="s">
        <v>106</v>
      </c>
      <c r="G39" s="158" t="s">
        <v>156</v>
      </c>
      <c r="H39" s="158" t="s">
        <v>159</v>
      </c>
      <c r="I39" s="157"/>
      <c r="J39" s="157"/>
      <c r="K39" s="157"/>
    </row>
    <row r="40" spans="1:11" x14ac:dyDescent="0.2">
      <c r="A40" s="156"/>
      <c r="B40" s="158" t="s">
        <v>113</v>
      </c>
      <c r="C40" s="158" t="s">
        <v>0</v>
      </c>
      <c r="D40" s="158" t="s">
        <v>177</v>
      </c>
      <c r="E40" s="158" t="s">
        <v>3</v>
      </c>
      <c r="F40" s="158" t="s">
        <v>13</v>
      </c>
      <c r="G40" s="158" t="s">
        <v>156</v>
      </c>
      <c r="H40" s="158" t="s">
        <v>159</v>
      </c>
      <c r="I40" s="157"/>
      <c r="J40" s="157"/>
      <c r="K40" s="157"/>
    </row>
    <row r="41" spans="1:11" x14ac:dyDescent="0.2">
      <c r="A41" s="156"/>
      <c r="B41" s="158" t="s">
        <v>113</v>
      </c>
      <c r="C41" s="158" t="s">
        <v>1</v>
      </c>
      <c r="D41" s="158" t="s">
        <v>177</v>
      </c>
      <c r="E41" s="158" t="s">
        <v>4</v>
      </c>
      <c r="F41" s="158" t="s">
        <v>9</v>
      </c>
      <c r="G41" s="158" t="s">
        <v>158</v>
      </c>
      <c r="H41" s="158" t="s">
        <v>17</v>
      </c>
      <c r="I41" s="158" t="s">
        <v>130</v>
      </c>
      <c r="J41" s="157"/>
      <c r="K41" s="157"/>
    </row>
    <row r="42" spans="1:11" x14ac:dyDescent="0.2">
      <c r="A42" s="156"/>
      <c r="B42" s="158" t="s">
        <v>113</v>
      </c>
      <c r="C42" s="158" t="s">
        <v>1</v>
      </c>
      <c r="D42" s="158" t="s">
        <v>177</v>
      </c>
      <c r="E42" s="158" t="s">
        <v>4</v>
      </c>
      <c r="F42" s="158" t="s">
        <v>9</v>
      </c>
      <c r="G42" s="158" t="s">
        <v>158</v>
      </c>
      <c r="H42" s="158" t="s">
        <v>159</v>
      </c>
      <c r="I42" s="157"/>
      <c r="J42" s="157"/>
      <c r="K42" s="157"/>
    </row>
    <row r="43" spans="1:11" x14ac:dyDescent="0.2">
      <c r="A43" s="156"/>
      <c r="B43" s="158" t="s">
        <v>113</v>
      </c>
      <c r="C43" s="158" t="s">
        <v>1</v>
      </c>
      <c r="D43" s="158" t="s">
        <v>177</v>
      </c>
      <c r="E43" s="157" t="s">
        <v>233</v>
      </c>
      <c r="F43" s="158" t="s">
        <v>9</v>
      </c>
      <c r="G43" s="158" t="s">
        <v>158</v>
      </c>
      <c r="H43" s="158" t="s">
        <v>159</v>
      </c>
      <c r="I43" s="157"/>
      <c r="J43" s="157"/>
      <c r="K43" s="157"/>
    </row>
    <row r="44" spans="1:11" x14ac:dyDescent="0.2">
      <c r="A44" s="156"/>
      <c r="B44" s="158" t="s">
        <v>114</v>
      </c>
      <c r="C44" s="158" t="s">
        <v>1</v>
      </c>
      <c r="D44" s="158" t="s">
        <v>177</v>
      </c>
      <c r="E44" s="158" t="s">
        <v>4</v>
      </c>
      <c r="F44" s="158" t="s">
        <v>13</v>
      </c>
      <c r="G44" s="157" t="s">
        <v>158</v>
      </c>
      <c r="H44" s="158" t="s">
        <v>17</v>
      </c>
      <c r="I44" s="157" t="s">
        <v>130</v>
      </c>
      <c r="J44" s="157"/>
      <c r="K44" s="157"/>
    </row>
    <row r="45" spans="1:11" x14ac:dyDescent="0.2">
      <c r="A45" s="156"/>
      <c r="B45" s="158" t="s">
        <v>114</v>
      </c>
      <c r="C45" s="158" t="s">
        <v>1</v>
      </c>
      <c r="D45" s="158" t="s">
        <v>177</v>
      </c>
      <c r="E45" s="158" t="s">
        <v>4</v>
      </c>
      <c r="F45" s="158" t="s">
        <v>13</v>
      </c>
      <c r="G45" s="158" t="s">
        <v>158</v>
      </c>
      <c r="H45" s="158" t="s">
        <v>17</v>
      </c>
      <c r="I45" s="158" t="s">
        <v>130</v>
      </c>
      <c r="J45" s="157" t="s">
        <v>20</v>
      </c>
      <c r="K45" s="157"/>
    </row>
    <row r="46" spans="1:11" x14ac:dyDescent="0.2">
      <c r="A46" s="156"/>
      <c r="B46" s="158" t="s">
        <v>114</v>
      </c>
      <c r="C46" s="158" t="s">
        <v>0</v>
      </c>
      <c r="D46" s="158" t="s">
        <v>177</v>
      </c>
      <c r="E46" s="158" t="s">
        <v>4</v>
      </c>
      <c r="F46" s="158" t="s">
        <v>10</v>
      </c>
      <c r="G46" s="158" t="s">
        <v>228</v>
      </c>
      <c r="H46" s="158" t="s">
        <v>17</v>
      </c>
      <c r="I46" s="158" t="s">
        <v>130</v>
      </c>
      <c r="J46" s="157" t="s">
        <v>20</v>
      </c>
      <c r="K46" s="157"/>
    </row>
    <row r="47" spans="1:11" x14ac:dyDescent="0.2">
      <c r="A47" s="156"/>
      <c r="B47" s="157" t="s">
        <v>113</v>
      </c>
      <c r="C47" s="158" t="s">
        <v>0</v>
      </c>
      <c r="D47" s="158" t="s">
        <v>177</v>
      </c>
      <c r="E47" s="158" t="s">
        <v>4</v>
      </c>
      <c r="F47" s="158" t="s">
        <v>10</v>
      </c>
      <c r="G47" s="158" t="s">
        <v>155</v>
      </c>
      <c r="H47" s="158" t="s">
        <v>17</v>
      </c>
      <c r="I47" s="158" t="s">
        <v>130</v>
      </c>
      <c r="J47" s="157" t="s">
        <v>20</v>
      </c>
      <c r="K47" s="157" t="s">
        <v>123</v>
      </c>
    </row>
    <row r="48" spans="1:11" x14ac:dyDescent="0.2">
      <c r="A48" s="156"/>
      <c r="B48" s="158" t="s">
        <v>113</v>
      </c>
      <c r="C48" s="158" t="s">
        <v>1</v>
      </c>
      <c r="D48" s="158" t="s">
        <v>177</v>
      </c>
      <c r="E48" s="158" t="s">
        <v>3</v>
      </c>
      <c r="F48" s="157" t="s">
        <v>9</v>
      </c>
      <c r="G48" s="158" t="s">
        <v>228</v>
      </c>
      <c r="H48" s="158" t="s">
        <v>17</v>
      </c>
      <c r="I48" s="158" t="s">
        <v>130</v>
      </c>
      <c r="J48" s="157"/>
      <c r="K48" s="157"/>
    </row>
    <row r="49" spans="1:11" x14ac:dyDescent="0.2">
      <c r="A49" s="156"/>
      <c r="B49" s="158" t="s">
        <v>113</v>
      </c>
      <c r="C49" s="158" t="s">
        <v>1</v>
      </c>
      <c r="D49" s="158" t="s">
        <v>177</v>
      </c>
      <c r="E49" s="158" t="s">
        <v>3</v>
      </c>
      <c r="F49" s="158" t="s">
        <v>9</v>
      </c>
      <c r="G49" s="158" t="s">
        <v>228</v>
      </c>
      <c r="H49" s="158" t="s">
        <v>159</v>
      </c>
      <c r="I49" s="158"/>
      <c r="J49" s="157"/>
      <c r="K49" s="157"/>
    </row>
    <row r="50" spans="1:11" x14ac:dyDescent="0.2">
      <c r="A50" s="156"/>
      <c r="B50" s="158" t="s">
        <v>113</v>
      </c>
      <c r="C50" s="158" t="s">
        <v>0</v>
      </c>
      <c r="D50" s="157" t="s">
        <v>2</v>
      </c>
      <c r="E50" s="158" t="s">
        <v>3</v>
      </c>
      <c r="F50" s="157" t="s">
        <v>56</v>
      </c>
      <c r="G50" s="158" t="s">
        <v>155</v>
      </c>
      <c r="H50" s="158" t="s">
        <v>159</v>
      </c>
      <c r="I50" s="158"/>
      <c r="J50" s="157"/>
      <c r="K50" s="157"/>
    </row>
    <row r="51" spans="1:11" x14ac:dyDescent="0.2">
      <c r="A51" s="156"/>
      <c r="B51" s="158" t="s">
        <v>113</v>
      </c>
      <c r="C51" s="158" t="s">
        <v>0</v>
      </c>
      <c r="D51" s="158" t="s">
        <v>177</v>
      </c>
      <c r="E51" s="158" t="s">
        <v>4</v>
      </c>
      <c r="F51" s="158" t="s">
        <v>10</v>
      </c>
      <c r="G51" s="158" t="s">
        <v>228</v>
      </c>
      <c r="H51" s="158" t="s">
        <v>17</v>
      </c>
      <c r="I51" s="158" t="s">
        <v>130</v>
      </c>
      <c r="J51" s="157" t="s">
        <v>265</v>
      </c>
      <c r="K51" s="157"/>
    </row>
    <row r="52" spans="1:11" x14ac:dyDescent="0.2">
      <c r="A52" s="156"/>
      <c r="B52" s="158" t="s">
        <v>113</v>
      </c>
      <c r="C52" s="158" t="s">
        <v>0</v>
      </c>
      <c r="D52" s="158" t="s">
        <v>177</v>
      </c>
      <c r="E52" s="158" t="s">
        <v>4</v>
      </c>
      <c r="F52" s="158" t="s">
        <v>9</v>
      </c>
      <c r="G52" s="158" t="s">
        <v>156</v>
      </c>
      <c r="H52" s="158" t="s">
        <v>159</v>
      </c>
      <c r="I52" s="158"/>
      <c r="J52" s="157"/>
      <c r="K52" s="157"/>
    </row>
    <row r="53" spans="1:11" x14ac:dyDescent="0.2">
      <c r="A53" s="156"/>
      <c r="B53" s="158" t="s">
        <v>113</v>
      </c>
      <c r="C53" s="158" t="s">
        <v>1</v>
      </c>
      <c r="D53" s="158" t="s">
        <v>177</v>
      </c>
      <c r="E53" s="158" t="s">
        <v>3</v>
      </c>
      <c r="F53" s="158" t="s">
        <v>9</v>
      </c>
      <c r="G53" s="158" t="s">
        <v>156</v>
      </c>
      <c r="H53" s="158" t="s">
        <v>159</v>
      </c>
      <c r="I53" s="157"/>
      <c r="J53" s="157"/>
      <c r="K53" s="157"/>
    </row>
    <row r="54" spans="1:11" x14ac:dyDescent="0.2">
      <c r="A54" s="156"/>
      <c r="B54" s="158" t="s">
        <v>113</v>
      </c>
      <c r="C54" s="158" t="s">
        <v>0</v>
      </c>
      <c r="D54" s="158" t="s">
        <v>177</v>
      </c>
      <c r="E54" s="158" t="s">
        <v>3</v>
      </c>
      <c r="F54" s="157" t="s">
        <v>106</v>
      </c>
      <c r="G54" s="158" t="s">
        <v>155</v>
      </c>
      <c r="H54" s="158" t="s">
        <v>159</v>
      </c>
      <c r="I54" s="158"/>
      <c r="J54" s="157"/>
      <c r="K54" s="157"/>
    </row>
    <row r="55" spans="1:11" x14ac:dyDescent="0.2">
      <c r="A55" s="156"/>
      <c r="B55" s="158" t="s">
        <v>113</v>
      </c>
      <c r="C55" s="158" t="s">
        <v>1</v>
      </c>
      <c r="D55" s="158" t="s">
        <v>177</v>
      </c>
      <c r="E55" s="158" t="s">
        <v>4</v>
      </c>
      <c r="F55" s="158" t="s">
        <v>106</v>
      </c>
      <c r="G55" s="158" t="s">
        <v>155</v>
      </c>
      <c r="H55" s="158" t="s">
        <v>159</v>
      </c>
      <c r="I55" s="158"/>
      <c r="J55" s="157"/>
      <c r="K55" s="157"/>
    </row>
    <row r="56" spans="1:11" x14ac:dyDescent="0.2">
      <c r="A56" s="156"/>
      <c r="B56" s="158" t="s">
        <v>113</v>
      </c>
      <c r="C56" s="158" t="s">
        <v>1</v>
      </c>
      <c r="D56" s="158" t="s">
        <v>2</v>
      </c>
      <c r="E56" s="158" t="s">
        <v>4</v>
      </c>
      <c r="F56" s="158" t="s">
        <v>10</v>
      </c>
      <c r="G56" s="158" t="s">
        <v>156</v>
      </c>
      <c r="H56" s="158" t="s">
        <v>159</v>
      </c>
      <c r="I56" s="158"/>
      <c r="J56" s="157"/>
      <c r="K56" s="157"/>
    </row>
    <row r="57" spans="1:11" x14ac:dyDescent="0.2">
      <c r="A57" s="156"/>
      <c r="B57" s="158" t="s">
        <v>113</v>
      </c>
      <c r="C57" s="158" t="s">
        <v>1</v>
      </c>
      <c r="D57" s="158" t="s">
        <v>177</v>
      </c>
      <c r="E57" s="158" t="s">
        <v>4</v>
      </c>
      <c r="F57" s="158" t="s">
        <v>10</v>
      </c>
      <c r="G57" s="158" t="s">
        <v>156</v>
      </c>
      <c r="H57" s="158" t="s">
        <v>159</v>
      </c>
      <c r="I57" s="157"/>
      <c r="J57" s="157"/>
      <c r="K57" s="157"/>
    </row>
    <row r="58" spans="1:11" x14ac:dyDescent="0.2">
      <c r="A58" s="156"/>
      <c r="B58" s="158"/>
      <c r="C58" s="157"/>
      <c r="D58" s="157"/>
      <c r="E58" s="157"/>
      <c r="F58" s="157"/>
      <c r="G58" s="157"/>
      <c r="H58" s="158"/>
      <c r="I58" s="157"/>
      <c r="J58" s="157"/>
      <c r="K58" s="157"/>
    </row>
    <row r="59" spans="1:11" x14ac:dyDescent="0.2">
      <c r="A59" s="156"/>
      <c r="B59" s="157"/>
      <c r="C59" s="157"/>
      <c r="D59" s="157"/>
      <c r="E59" s="157"/>
      <c r="F59" s="157"/>
      <c r="G59" s="158"/>
      <c r="H59" s="157"/>
      <c r="I59" s="157"/>
      <c r="J59" s="157"/>
      <c r="K59" s="157"/>
    </row>
    <row r="60" spans="1:11" x14ac:dyDescent="0.2">
      <c r="A60" s="156"/>
      <c r="B60" s="158"/>
      <c r="C60" s="157"/>
      <c r="D60" s="157"/>
      <c r="E60" s="157"/>
      <c r="F60" s="157"/>
      <c r="G60" s="158"/>
      <c r="H60" s="158"/>
      <c r="I60" s="157"/>
      <c r="J60" s="157"/>
      <c r="K60" s="157"/>
    </row>
    <row r="61" spans="1:11" x14ac:dyDescent="0.2">
      <c r="A61" s="156"/>
      <c r="B61" s="157"/>
      <c r="C61" s="157"/>
      <c r="D61" s="157"/>
      <c r="E61" s="157"/>
      <c r="F61" s="157"/>
      <c r="G61" s="157"/>
      <c r="H61" s="158"/>
      <c r="I61" s="157"/>
      <c r="J61" s="157"/>
      <c r="K61" s="157"/>
    </row>
    <row r="62" spans="1:11" x14ac:dyDescent="0.2">
      <c r="A62" s="156"/>
      <c r="B62" s="157"/>
      <c r="C62" s="157"/>
      <c r="D62" s="157"/>
      <c r="E62" s="157"/>
      <c r="F62" s="157"/>
      <c r="G62" s="157"/>
      <c r="H62" s="158"/>
      <c r="I62" s="157"/>
      <c r="J62" s="157"/>
      <c r="K62" s="157"/>
    </row>
    <row r="63" spans="1:11" x14ac:dyDescent="0.2">
      <c r="A63" s="156"/>
      <c r="B63" s="158"/>
      <c r="C63" s="157"/>
      <c r="D63" s="157"/>
      <c r="E63" s="157"/>
      <c r="F63" s="157"/>
      <c r="G63" s="158"/>
      <c r="H63" s="158"/>
      <c r="I63" s="157"/>
      <c r="J63" s="157"/>
      <c r="K63" s="157"/>
    </row>
    <row r="64" spans="1:11" x14ac:dyDescent="0.2">
      <c r="A64" s="156"/>
      <c r="B64" s="158"/>
      <c r="C64" s="157"/>
      <c r="D64" s="157"/>
      <c r="E64" s="157"/>
      <c r="F64" s="157"/>
      <c r="G64" s="158"/>
      <c r="H64" s="158"/>
      <c r="I64" s="157"/>
      <c r="J64" s="157"/>
      <c r="K64" s="157"/>
    </row>
    <row r="65" spans="1:11" x14ac:dyDescent="0.2">
      <c r="A65" s="156"/>
      <c r="B65" s="157"/>
      <c r="C65" s="157"/>
      <c r="D65" s="157"/>
      <c r="E65" s="157"/>
      <c r="F65" s="157"/>
      <c r="G65" s="157"/>
      <c r="H65" s="157"/>
      <c r="I65" s="157"/>
      <c r="J65" s="157"/>
      <c r="K65" s="157"/>
    </row>
    <row r="66" spans="1:11" x14ac:dyDescent="0.2">
      <c r="A66" s="156"/>
      <c r="B66" s="158"/>
      <c r="C66" s="157"/>
      <c r="D66" s="157"/>
      <c r="E66" s="157"/>
      <c r="F66" s="157"/>
      <c r="G66" s="157"/>
      <c r="H66" s="158"/>
      <c r="I66" s="157"/>
      <c r="J66" s="157"/>
      <c r="K66" s="157"/>
    </row>
    <row r="67" spans="1:11" x14ac:dyDescent="0.2">
      <c r="A67" s="156"/>
      <c r="B67" s="157"/>
      <c r="C67" s="157"/>
      <c r="D67" s="157"/>
      <c r="E67" s="157"/>
      <c r="F67" s="157"/>
      <c r="G67" s="158"/>
      <c r="H67" s="158"/>
      <c r="I67" s="157"/>
      <c r="J67" s="157"/>
      <c r="K67" s="157"/>
    </row>
    <row r="68" spans="1:11" x14ac:dyDescent="0.2">
      <c r="A68" s="156"/>
      <c r="B68" s="157"/>
      <c r="C68" s="157"/>
      <c r="D68" s="157"/>
      <c r="E68" s="158"/>
      <c r="F68" s="158"/>
      <c r="G68" s="158"/>
      <c r="H68" s="158"/>
      <c r="I68" s="157"/>
      <c r="J68" s="157"/>
      <c r="K68" s="157"/>
    </row>
    <row r="69" spans="1:11" x14ac:dyDescent="0.2">
      <c r="A69" s="156"/>
      <c r="B69" s="158"/>
      <c r="C69" s="157"/>
      <c r="D69" s="157"/>
      <c r="E69" s="158"/>
      <c r="F69" s="157"/>
      <c r="G69" s="157"/>
      <c r="H69" s="158"/>
      <c r="I69" s="157"/>
      <c r="J69" s="157"/>
      <c r="K69" s="157"/>
    </row>
    <row r="70" spans="1:11" x14ac:dyDescent="0.2">
      <c r="A70" s="156"/>
      <c r="B70" s="158"/>
      <c r="C70" s="157"/>
      <c r="D70" s="157"/>
      <c r="E70" s="158"/>
      <c r="F70" s="158"/>
      <c r="G70" s="157"/>
      <c r="H70" s="158"/>
      <c r="I70" s="157"/>
      <c r="J70" s="157"/>
      <c r="K70" s="157"/>
    </row>
    <row r="71" spans="1:11" x14ac:dyDescent="0.2">
      <c r="A71" s="156"/>
      <c r="B71" s="157"/>
      <c r="C71" s="157"/>
      <c r="D71" s="157"/>
      <c r="E71" s="158"/>
      <c r="F71" s="158"/>
      <c r="G71" s="158"/>
      <c r="H71" s="157"/>
      <c r="I71" s="157"/>
      <c r="J71" s="157"/>
      <c r="K71" s="157"/>
    </row>
    <row r="72" spans="1:11" x14ac:dyDescent="0.2">
      <c r="A72" s="156"/>
      <c r="B72" s="158"/>
      <c r="C72" s="157"/>
      <c r="D72" s="157"/>
      <c r="E72" s="158"/>
      <c r="F72" s="157"/>
      <c r="G72" s="158"/>
      <c r="H72" s="158"/>
      <c r="I72" s="157"/>
      <c r="J72" s="157"/>
      <c r="K72" s="157"/>
    </row>
    <row r="73" spans="1:11" x14ac:dyDescent="0.2">
      <c r="A73" s="156"/>
      <c r="B73" s="157"/>
      <c r="C73" s="157"/>
      <c r="D73" s="157"/>
      <c r="E73" s="158"/>
      <c r="F73" s="157"/>
      <c r="G73" s="157"/>
      <c r="H73" s="158"/>
      <c r="I73" s="157"/>
      <c r="J73" s="157"/>
      <c r="K73" s="157"/>
    </row>
    <row r="74" spans="1:11" x14ac:dyDescent="0.2">
      <c r="A74" s="156"/>
      <c r="B74" s="157"/>
      <c r="C74" s="157"/>
      <c r="D74" s="157"/>
      <c r="E74" s="158"/>
      <c r="F74" s="157"/>
      <c r="G74" s="157"/>
      <c r="H74" s="158"/>
      <c r="I74" s="157"/>
      <c r="J74" s="157"/>
      <c r="K74" s="157"/>
    </row>
    <row r="75" spans="1:11" x14ac:dyDescent="0.2">
      <c r="A75" s="156"/>
      <c r="B75" s="158"/>
      <c r="C75" s="157"/>
      <c r="D75" s="157"/>
      <c r="E75" s="158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B3:B4"/>
    <mergeCell ref="C3:C4"/>
    <mergeCell ref="D3:D4"/>
    <mergeCell ref="E3:E4"/>
    <mergeCell ref="F3:F4"/>
    <mergeCell ref="G3:G4"/>
  </mergeCells>
  <dataValidations count="8">
    <dataValidation type="list" showInputMessage="1" showErrorMessage="1" sqref="C5:C254">
      <formula1>ValidPerson</formula1>
    </dataValidation>
    <dataValidation type="list" showInputMessage="1" showErrorMessage="1" sqref="D5:D254">
      <formula1>ValidType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H5:H254">
      <formula1>ValidReason</formula1>
    </dataValidation>
    <dataValidation type="list" showInputMessage="1" showErrorMessage="1" sqref="F5:F254">
      <formula1>ValidCancerSite</formula1>
    </dataValidation>
    <dataValidation type="list" allowBlank="1" showInputMessage="1" showErrorMessage="1" sqref="G5:G254">
      <formula1>ValidStage</formula1>
    </dataValidation>
    <dataValidation type="list" allowBlank="1" showInputMessage="1" showErrorMessage="1" sqref="I5:K254">
      <formula1>ValidProgramme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K255"/>
  <sheetViews>
    <sheetView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/>
      <c r="C5" s="157"/>
      <c r="D5" s="157"/>
      <c r="E5" s="157"/>
      <c r="F5" s="157"/>
      <c r="G5" s="157"/>
      <c r="H5" s="157"/>
      <c r="I5" s="157"/>
      <c r="J5" s="157"/>
      <c r="K5" s="157"/>
    </row>
    <row r="6" spans="1:11" x14ac:dyDescent="0.2">
      <c r="A6" s="156"/>
      <c r="B6" s="158"/>
      <c r="C6" s="157"/>
      <c r="D6" s="157"/>
      <c r="E6" s="157"/>
      <c r="F6" s="157"/>
      <c r="G6" s="157"/>
      <c r="H6" s="158"/>
      <c r="I6" s="157"/>
      <c r="J6" s="157"/>
      <c r="K6" s="157"/>
    </row>
    <row r="7" spans="1:11" x14ac:dyDescent="0.2">
      <c r="A7" s="156"/>
      <c r="B7" s="157"/>
      <c r="C7" s="157"/>
      <c r="D7" s="157"/>
      <c r="E7" s="157"/>
      <c r="F7" s="157"/>
      <c r="G7" s="158"/>
      <c r="H7" s="158"/>
      <c r="I7" s="157"/>
      <c r="J7" s="157"/>
      <c r="K7" s="157"/>
    </row>
    <row r="8" spans="1:11" x14ac:dyDescent="0.2">
      <c r="A8" s="156"/>
      <c r="B8" s="157"/>
      <c r="C8" s="157"/>
      <c r="D8" s="157"/>
      <c r="E8" s="157"/>
      <c r="F8" s="158"/>
      <c r="G8" s="158"/>
      <c r="H8" s="158"/>
      <c r="I8" s="157"/>
      <c r="J8" s="157"/>
      <c r="K8" s="157"/>
    </row>
    <row r="9" spans="1:11" x14ac:dyDescent="0.2">
      <c r="A9" s="156"/>
      <c r="B9" s="158"/>
      <c r="C9" s="157"/>
      <c r="D9" s="157"/>
      <c r="E9" s="157"/>
      <c r="F9" s="157"/>
      <c r="G9" s="157"/>
      <c r="H9" s="158"/>
      <c r="I9" s="157"/>
      <c r="J9" s="157"/>
      <c r="K9" s="157"/>
    </row>
    <row r="10" spans="1:11" x14ac:dyDescent="0.2">
      <c r="A10" s="156"/>
      <c r="B10" s="158"/>
      <c r="C10" s="157"/>
      <c r="D10" s="157"/>
      <c r="E10" s="157"/>
      <c r="F10" s="158"/>
      <c r="G10" s="157"/>
      <c r="H10" s="158"/>
      <c r="I10" s="157"/>
      <c r="J10" s="157"/>
      <c r="K10" s="157"/>
    </row>
    <row r="11" spans="1:11" x14ac:dyDescent="0.2">
      <c r="A11" s="156"/>
      <c r="B11" s="157"/>
      <c r="C11" s="157"/>
      <c r="D11" s="157"/>
      <c r="E11" s="157"/>
      <c r="F11" s="158"/>
      <c r="G11" s="158"/>
      <c r="H11" s="157"/>
      <c r="I11" s="157"/>
      <c r="J11" s="157"/>
      <c r="K11" s="157"/>
    </row>
    <row r="12" spans="1:11" x14ac:dyDescent="0.2">
      <c r="A12" s="156"/>
      <c r="B12" s="158"/>
      <c r="C12" s="157"/>
      <c r="D12" s="157"/>
      <c r="E12" s="157"/>
      <c r="F12" s="157"/>
      <c r="G12" s="158"/>
      <c r="H12" s="158"/>
      <c r="I12" s="157"/>
      <c r="J12" s="157"/>
      <c r="K12" s="157"/>
    </row>
    <row r="13" spans="1:11" x14ac:dyDescent="0.2">
      <c r="A13" s="156"/>
      <c r="B13" s="157"/>
      <c r="C13" s="157"/>
      <c r="D13" s="157"/>
      <c r="E13" s="157"/>
      <c r="F13" s="157"/>
      <c r="G13" s="157"/>
      <c r="H13" s="158"/>
      <c r="I13" s="157"/>
      <c r="J13" s="157"/>
      <c r="K13" s="157"/>
    </row>
    <row r="14" spans="1:11" x14ac:dyDescent="0.2">
      <c r="A14" s="156"/>
      <c r="B14" s="157"/>
      <c r="C14" s="157"/>
      <c r="D14" s="157"/>
      <c r="E14" s="157"/>
      <c r="F14" s="157"/>
      <c r="G14" s="157"/>
      <c r="H14" s="158"/>
      <c r="I14" s="158"/>
      <c r="J14" s="158"/>
      <c r="K14" s="158"/>
    </row>
    <row r="15" spans="1:11" x14ac:dyDescent="0.2">
      <c r="A15" s="156"/>
      <c r="B15" s="158"/>
      <c r="C15" s="157"/>
      <c r="D15" s="157"/>
      <c r="E15" s="157"/>
      <c r="F15" s="157"/>
      <c r="G15" s="158"/>
      <c r="H15" s="158"/>
      <c r="I15" s="158"/>
      <c r="J15" s="158"/>
      <c r="K15" s="158"/>
    </row>
    <row r="16" spans="1:11" x14ac:dyDescent="0.2">
      <c r="A16" s="156"/>
      <c r="B16" s="158"/>
      <c r="C16" s="157"/>
      <c r="D16" s="157"/>
      <c r="E16" s="157"/>
      <c r="F16" s="157"/>
      <c r="G16" s="158"/>
      <c r="H16" s="158"/>
      <c r="I16" s="158"/>
      <c r="J16" s="158"/>
      <c r="K16" s="158"/>
    </row>
    <row r="17" spans="1:11" x14ac:dyDescent="0.2">
      <c r="A17" s="156"/>
      <c r="B17" s="157"/>
      <c r="C17" s="157"/>
      <c r="D17" s="157"/>
      <c r="E17" s="157"/>
      <c r="F17" s="157"/>
      <c r="G17" s="157"/>
      <c r="H17" s="157"/>
      <c r="I17" s="157"/>
      <c r="J17" s="157"/>
      <c r="K17" s="157"/>
    </row>
    <row r="18" spans="1:11" x14ac:dyDescent="0.2">
      <c r="A18" s="156"/>
      <c r="B18" s="158"/>
      <c r="C18" s="157"/>
      <c r="D18" s="157"/>
      <c r="E18" s="157"/>
      <c r="F18" s="157"/>
      <c r="G18" s="157"/>
      <c r="H18" s="158"/>
      <c r="I18" s="158"/>
      <c r="J18" s="158"/>
      <c r="K18" s="158"/>
    </row>
    <row r="19" spans="1:11" x14ac:dyDescent="0.2">
      <c r="A19" s="156"/>
      <c r="B19" s="157"/>
      <c r="C19" s="157"/>
      <c r="D19" s="157"/>
      <c r="E19" s="157"/>
      <c r="F19" s="157"/>
      <c r="G19" s="158"/>
      <c r="H19" s="158"/>
      <c r="I19" s="157"/>
      <c r="J19" s="157"/>
      <c r="K19" s="157"/>
    </row>
    <row r="20" spans="1:11" x14ac:dyDescent="0.2">
      <c r="A20" s="156"/>
      <c r="B20" s="157"/>
      <c r="C20" s="157"/>
      <c r="D20" s="157"/>
      <c r="E20" s="157"/>
      <c r="F20" s="157"/>
      <c r="G20" s="158"/>
      <c r="H20" s="158"/>
      <c r="I20" s="158"/>
      <c r="J20" s="158"/>
      <c r="K20" s="158"/>
    </row>
    <row r="21" spans="1:11" x14ac:dyDescent="0.2">
      <c r="A21" s="156"/>
      <c r="B21" s="158"/>
      <c r="C21" s="157"/>
      <c r="D21" s="157"/>
      <c r="E21" s="157"/>
      <c r="F21" s="157"/>
      <c r="G21" s="157"/>
      <c r="H21" s="158"/>
      <c r="I21" s="158"/>
      <c r="J21" s="158"/>
      <c r="K21" s="158"/>
    </row>
    <row r="22" spans="1:11" x14ac:dyDescent="0.2">
      <c r="A22" s="156"/>
      <c r="B22" s="158"/>
      <c r="C22" s="157"/>
      <c r="D22" s="157"/>
      <c r="E22" s="157"/>
      <c r="F22" s="157"/>
      <c r="G22" s="157"/>
      <c r="H22" s="158"/>
      <c r="I22" s="158"/>
      <c r="J22" s="158"/>
      <c r="K22" s="158"/>
    </row>
    <row r="23" spans="1:11" x14ac:dyDescent="0.2">
      <c r="A23" s="156"/>
      <c r="B23" s="157"/>
      <c r="C23" s="157"/>
      <c r="D23" s="157"/>
      <c r="E23" s="157"/>
      <c r="F23" s="158"/>
      <c r="G23" s="158"/>
      <c r="H23" s="157"/>
      <c r="I23" s="157"/>
      <c r="J23" s="157"/>
      <c r="K23" s="157"/>
    </row>
    <row r="24" spans="1:11" x14ac:dyDescent="0.2">
      <c r="A24" s="156"/>
      <c r="B24" s="158"/>
      <c r="C24" s="157"/>
      <c r="D24" s="157"/>
      <c r="E24" s="157"/>
      <c r="F24" s="157"/>
      <c r="G24" s="158"/>
      <c r="H24" s="158"/>
      <c r="I24" s="158"/>
      <c r="J24" s="158"/>
      <c r="K24" s="158"/>
    </row>
    <row r="25" spans="1:11" x14ac:dyDescent="0.2">
      <c r="A25" s="156"/>
      <c r="B25" s="157"/>
      <c r="C25" s="157"/>
      <c r="D25" s="157"/>
      <c r="E25" s="157"/>
      <c r="F25" s="158"/>
      <c r="G25" s="157"/>
      <c r="H25" s="158"/>
      <c r="I25" s="157"/>
      <c r="J25" s="157"/>
      <c r="K25" s="157"/>
    </row>
    <row r="26" spans="1:11" x14ac:dyDescent="0.2">
      <c r="A26" s="156"/>
      <c r="B26" s="157"/>
      <c r="C26" s="157"/>
      <c r="D26" s="157"/>
      <c r="E26" s="157"/>
      <c r="F26" s="158"/>
      <c r="G26" s="157"/>
      <c r="H26" s="158"/>
      <c r="I26" s="157"/>
      <c r="J26" s="157"/>
      <c r="K26" s="157"/>
    </row>
    <row r="27" spans="1:11" x14ac:dyDescent="0.2">
      <c r="A27" s="156"/>
      <c r="B27" s="158"/>
      <c r="C27" s="157"/>
      <c r="D27" s="157"/>
      <c r="E27" s="157"/>
      <c r="F27" s="157"/>
      <c r="G27" s="158"/>
      <c r="H27" s="158"/>
      <c r="I27" s="157"/>
      <c r="J27" s="157"/>
      <c r="K27" s="157"/>
    </row>
    <row r="28" spans="1:11" x14ac:dyDescent="0.2">
      <c r="A28" s="156"/>
      <c r="B28" s="158"/>
      <c r="C28" s="157"/>
      <c r="D28" s="157"/>
      <c r="E28" s="157"/>
      <c r="F28" s="157"/>
      <c r="G28" s="158"/>
      <c r="H28" s="158"/>
      <c r="I28" s="157"/>
      <c r="J28" s="157"/>
      <c r="K28" s="157"/>
    </row>
    <row r="29" spans="1:11" x14ac:dyDescent="0.2">
      <c r="A29" s="156"/>
      <c r="B29" s="157"/>
      <c r="C29" s="157"/>
      <c r="D29" s="157"/>
      <c r="E29" s="157"/>
      <c r="F29" s="157"/>
      <c r="G29" s="157"/>
      <c r="H29" s="157"/>
      <c r="I29" s="157"/>
      <c r="J29" s="157"/>
      <c r="K29" s="157"/>
    </row>
    <row r="30" spans="1:11" x14ac:dyDescent="0.2">
      <c r="A30" s="156"/>
      <c r="B30" s="158"/>
      <c r="C30" s="157"/>
      <c r="D30" s="157"/>
      <c r="E30" s="157"/>
      <c r="F30" s="157"/>
      <c r="G30" s="157"/>
      <c r="H30" s="158"/>
      <c r="I30" s="157"/>
      <c r="J30" s="157"/>
      <c r="K30" s="157"/>
    </row>
    <row r="31" spans="1:11" x14ac:dyDescent="0.2">
      <c r="A31" s="156"/>
      <c r="B31" s="157"/>
      <c r="C31" s="157"/>
      <c r="D31" s="157"/>
      <c r="E31" s="157"/>
      <c r="F31" s="157"/>
      <c r="G31" s="158"/>
      <c r="H31" s="158"/>
      <c r="I31" s="157"/>
      <c r="J31" s="157"/>
      <c r="K31" s="157"/>
    </row>
    <row r="32" spans="1:11" x14ac:dyDescent="0.2">
      <c r="A32" s="156"/>
      <c r="B32" s="157"/>
      <c r="C32" s="157"/>
      <c r="D32" s="157"/>
      <c r="E32" s="157"/>
      <c r="F32" s="157"/>
      <c r="G32" s="158"/>
      <c r="H32" s="158"/>
      <c r="I32" s="157"/>
      <c r="J32" s="157"/>
      <c r="K32" s="157"/>
    </row>
    <row r="33" spans="1:11" x14ac:dyDescent="0.2">
      <c r="A33" s="156"/>
      <c r="B33" s="158"/>
      <c r="C33" s="157"/>
      <c r="D33" s="157"/>
      <c r="E33" s="157"/>
      <c r="F33" s="157"/>
      <c r="G33" s="157"/>
      <c r="H33" s="158"/>
      <c r="I33" s="157"/>
      <c r="J33" s="157"/>
      <c r="K33" s="157"/>
    </row>
    <row r="34" spans="1:11" x14ac:dyDescent="0.2">
      <c r="A34" s="156"/>
      <c r="B34" s="158"/>
      <c r="C34" s="157"/>
      <c r="D34" s="157"/>
      <c r="E34" s="157"/>
      <c r="F34" s="157"/>
      <c r="G34" s="157"/>
      <c r="H34" s="158"/>
      <c r="I34" s="157"/>
      <c r="J34" s="157"/>
      <c r="K34" s="157"/>
    </row>
    <row r="35" spans="1:11" x14ac:dyDescent="0.2">
      <c r="A35" s="156"/>
      <c r="B35" s="157"/>
      <c r="C35" s="157"/>
      <c r="D35" s="157"/>
      <c r="E35" s="157"/>
      <c r="F35" s="157"/>
      <c r="G35" s="158"/>
      <c r="H35" s="157"/>
      <c r="I35" s="157"/>
      <c r="J35" s="157"/>
      <c r="K35" s="157"/>
    </row>
    <row r="36" spans="1:11" x14ac:dyDescent="0.2">
      <c r="A36" s="156"/>
      <c r="B36" s="158"/>
      <c r="C36" s="157"/>
      <c r="D36" s="157"/>
      <c r="E36" s="157"/>
      <c r="F36" s="157"/>
      <c r="G36" s="158"/>
      <c r="H36" s="158"/>
      <c r="I36" s="157"/>
      <c r="J36" s="157"/>
      <c r="K36" s="157"/>
    </row>
    <row r="37" spans="1:11" x14ac:dyDescent="0.2">
      <c r="A37" s="156"/>
      <c r="B37" s="157"/>
      <c r="C37" s="157"/>
      <c r="D37" s="157"/>
      <c r="E37" s="157"/>
      <c r="F37" s="157"/>
      <c r="G37" s="157"/>
      <c r="H37" s="158"/>
      <c r="I37" s="157"/>
      <c r="J37" s="157"/>
      <c r="K37" s="157"/>
    </row>
    <row r="38" spans="1:11" x14ac:dyDescent="0.2">
      <c r="A38" s="156"/>
      <c r="B38" s="157"/>
      <c r="C38" s="157"/>
      <c r="D38" s="157"/>
      <c r="E38" s="157"/>
      <c r="F38" s="158"/>
      <c r="G38" s="157"/>
      <c r="H38" s="158"/>
      <c r="I38" s="157"/>
      <c r="J38" s="157"/>
      <c r="K38" s="157"/>
    </row>
    <row r="39" spans="1:11" x14ac:dyDescent="0.2">
      <c r="A39" s="156"/>
      <c r="B39" s="158"/>
      <c r="C39" s="157"/>
      <c r="D39" s="157"/>
      <c r="E39" s="157"/>
      <c r="F39" s="157"/>
      <c r="G39" s="158"/>
      <c r="H39" s="158"/>
      <c r="I39" s="157"/>
      <c r="J39" s="157"/>
      <c r="K39" s="157"/>
    </row>
    <row r="40" spans="1:11" x14ac:dyDescent="0.2">
      <c r="A40" s="156"/>
      <c r="B40" s="158"/>
      <c r="C40" s="157"/>
      <c r="D40" s="157"/>
      <c r="E40" s="157"/>
      <c r="F40" s="158"/>
      <c r="G40" s="158"/>
      <c r="H40" s="158"/>
      <c r="I40" s="157"/>
      <c r="J40" s="157"/>
      <c r="K40" s="157"/>
    </row>
    <row r="41" spans="1:11" x14ac:dyDescent="0.2">
      <c r="A41" s="156"/>
      <c r="B41" s="157"/>
      <c r="C41" s="157"/>
      <c r="D41" s="157"/>
      <c r="E41" s="157"/>
      <c r="F41" s="158"/>
      <c r="G41" s="157"/>
      <c r="H41" s="157"/>
      <c r="I41" s="157"/>
      <c r="J41" s="157"/>
      <c r="K41" s="157"/>
    </row>
    <row r="42" spans="1:11" x14ac:dyDescent="0.2">
      <c r="A42" s="156"/>
      <c r="B42" s="158"/>
      <c r="C42" s="157"/>
      <c r="D42" s="157"/>
      <c r="E42" s="157"/>
      <c r="F42" s="157"/>
      <c r="G42" s="157"/>
      <c r="H42" s="158"/>
      <c r="I42" s="157"/>
      <c r="J42" s="157"/>
      <c r="K42" s="157"/>
    </row>
    <row r="43" spans="1:11" x14ac:dyDescent="0.2">
      <c r="A43" s="156"/>
      <c r="B43" s="157"/>
      <c r="C43" s="157"/>
      <c r="D43" s="157"/>
      <c r="E43" s="157"/>
      <c r="F43" s="157"/>
      <c r="G43" s="158"/>
      <c r="H43" s="158"/>
      <c r="I43" s="157"/>
      <c r="J43" s="157"/>
      <c r="K43" s="157"/>
    </row>
    <row r="44" spans="1:11" x14ac:dyDescent="0.2">
      <c r="A44" s="156"/>
      <c r="B44" s="157"/>
      <c r="C44" s="157"/>
      <c r="D44" s="157"/>
      <c r="E44" s="157"/>
      <c r="F44" s="157"/>
      <c r="G44" s="158"/>
      <c r="H44" s="158"/>
      <c r="I44" s="157"/>
      <c r="J44" s="157"/>
      <c r="K44" s="157"/>
    </row>
    <row r="45" spans="1:11" x14ac:dyDescent="0.2">
      <c r="A45" s="156"/>
      <c r="B45" s="158"/>
      <c r="C45" s="157"/>
      <c r="D45" s="157"/>
      <c r="E45" s="157"/>
      <c r="F45" s="157"/>
      <c r="G45" s="157"/>
      <c r="H45" s="158"/>
      <c r="I45" s="157"/>
      <c r="J45" s="157"/>
      <c r="K45" s="157"/>
    </row>
    <row r="46" spans="1:11" x14ac:dyDescent="0.2">
      <c r="A46" s="156"/>
      <c r="B46" s="158"/>
      <c r="C46" s="157"/>
      <c r="D46" s="157"/>
      <c r="E46" s="157"/>
      <c r="F46" s="157"/>
      <c r="G46" s="157"/>
      <c r="H46" s="158"/>
      <c r="I46" s="157"/>
      <c r="J46" s="157"/>
      <c r="K46" s="157"/>
    </row>
    <row r="47" spans="1:11" x14ac:dyDescent="0.2">
      <c r="A47" s="156"/>
      <c r="B47" s="157"/>
      <c r="C47" s="157"/>
      <c r="D47" s="157"/>
      <c r="E47" s="157"/>
      <c r="F47" s="157"/>
      <c r="G47" s="158"/>
      <c r="H47" s="157"/>
      <c r="I47" s="157"/>
      <c r="J47" s="157"/>
      <c r="K47" s="157"/>
    </row>
    <row r="48" spans="1:11" x14ac:dyDescent="0.2">
      <c r="A48" s="156"/>
      <c r="B48" s="158"/>
      <c r="C48" s="157"/>
      <c r="D48" s="157"/>
      <c r="E48" s="157"/>
      <c r="F48" s="157"/>
      <c r="G48" s="158"/>
      <c r="H48" s="158"/>
      <c r="I48" s="157"/>
      <c r="J48" s="157"/>
      <c r="K48" s="157"/>
    </row>
    <row r="49" spans="1:11" x14ac:dyDescent="0.2">
      <c r="A49" s="156"/>
      <c r="B49" s="157"/>
      <c r="C49" s="157"/>
      <c r="D49" s="157"/>
      <c r="E49" s="157"/>
      <c r="F49" s="157"/>
      <c r="G49" s="157"/>
      <c r="H49" s="158"/>
      <c r="I49" s="157"/>
      <c r="J49" s="157"/>
      <c r="K49" s="157"/>
    </row>
    <row r="50" spans="1:11" x14ac:dyDescent="0.2">
      <c r="A50" s="156"/>
      <c r="B50" s="157"/>
      <c r="C50" s="157"/>
      <c r="D50" s="157"/>
      <c r="E50" s="157"/>
      <c r="F50" s="157"/>
      <c r="G50" s="157"/>
      <c r="H50" s="158"/>
      <c r="I50" s="157"/>
      <c r="J50" s="157"/>
      <c r="K50" s="157"/>
    </row>
    <row r="51" spans="1:11" x14ac:dyDescent="0.2">
      <c r="A51" s="156"/>
      <c r="B51" s="158"/>
      <c r="C51" s="157"/>
      <c r="D51" s="157"/>
      <c r="E51" s="157"/>
      <c r="F51" s="157"/>
      <c r="G51" s="158"/>
      <c r="H51" s="158"/>
      <c r="I51" s="157"/>
      <c r="J51" s="157"/>
      <c r="K51" s="157"/>
    </row>
    <row r="52" spans="1:11" x14ac:dyDescent="0.2">
      <c r="A52" s="156"/>
      <c r="B52" s="158"/>
      <c r="C52" s="157"/>
      <c r="D52" s="157"/>
      <c r="E52" s="157"/>
      <c r="F52" s="157"/>
      <c r="G52" s="158"/>
      <c r="H52" s="158"/>
      <c r="I52" s="157"/>
      <c r="J52" s="157"/>
      <c r="K52" s="157"/>
    </row>
    <row r="53" spans="1:11" x14ac:dyDescent="0.2">
      <c r="A53" s="156"/>
      <c r="B53" s="157"/>
      <c r="C53" s="157"/>
      <c r="D53" s="157"/>
      <c r="E53" s="157"/>
      <c r="F53" s="158"/>
      <c r="G53" s="157"/>
      <c r="H53" s="157"/>
      <c r="I53" s="157"/>
      <c r="J53" s="157"/>
      <c r="K53" s="157"/>
    </row>
    <row r="54" spans="1:11" x14ac:dyDescent="0.2">
      <c r="A54" s="156"/>
      <c r="B54" s="158"/>
      <c r="C54" s="157"/>
      <c r="D54" s="157"/>
      <c r="E54" s="157"/>
      <c r="F54" s="157"/>
      <c r="G54" s="157"/>
      <c r="H54" s="158"/>
      <c r="I54" s="157"/>
      <c r="J54" s="157"/>
      <c r="K54" s="157"/>
    </row>
    <row r="55" spans="1:11" x14ac:dyDescent="0.2">
      <c r="A55" s="156"/>
      <c r="B55" s="157"/>
      <c r="C55" s="157"/>
      <c r="D55" s="157"/>
      <c r="E55" s="157"/>
      <c r="F55" s="158"/>
      <c r="G55" s="158"/>
      <c r="H55" s="158"/>
      <c r="I55" s="157"/>
      <c r="J55" s="157"/>
      <c r="K55" s="157"/>
    </row>
    <row r="56" spans="1:11" x14ac:dyDescent="0.2">
      <c r="A56" s="156"/>
      <c r="B56" s="157"/>
      <c r="C56" s="157"/>
      <c r="D56" s="157"/>
      <c r="E56" s="157"/>
      <c r="F56" s="158"/>
      <c r="G56" s="158"/>
      <c r="H56" s="158"/>
      <c r="I56" s="157"/>
      <c r="J56" s="157"/>
      <c r="K56" s="157"/>
    </row>
    <row r="57" spans="1:11" x14ac:dyDescent="0.2">
      <c r="A57" s="156"/>
      <c r="B57" s="158"/>
      <c r="C57" s="157"/>
      <c r="D57" s="157"/>
      <c r="E57" s="157"/>
      <c r="F57" s="157"/>
      <c r="G57" s="157"/>
      <c r="H57" s="158"/>
      <c r="I57" s="157"/>
      <c r="J57" s="157"/>
      <c r="K57" s="157"/>
    </row>
    <row r="58" spans="1:11" x14ac:dyDescent="0.2">
      <c r="A58" s="156"/>
      <c r="B58" s="158"/>
      <c r="C58" s="157"/>
      <c r="D58" s="157"/>
      <c r="E58" s="157"/>
      <c r="F58" s="157"/>
      <c r="G58" s="157"/>
      <c r="H58" s="158"/>
      <c r="I58" s="157"/>
      <c r="J58" s="157"/>
      <c r="K58" s="157"/>
    </row>
    <row r="59" spans="1:11" x14ac:dyDescent="0.2">
      <c r="A59" s="156"/>
      <c r="B59" s="157"/>
      <c r="C59" s="157"/>
      <c r="D59" s="157"/>
      <c r="E59" s="157"/>
      <c r="F59" s="157"/>
      <c r="G59" s="158"/>
      <c r="H59" s="157"/>
      <c r="I59" s="157"/>
      <c r="J59" s="157"/>
      <c r="K59" s="157"/>
    </row>
    <row r="60" spans="1:11" x14ac:dyDescent="0.2">
      <c r="A60" s="156"/>
      <c r="B60" s="158"/>
      <c r="C60" s="157"/>
      <c r="D60" s="157"/>
      <c r="E60" s="157"/>
      <c r="F60" s="157"/>
      <c r="G60" s="158"/>
      <c r="H60" s="158"/>
      <c r="I60" s="157"/>
      <c r="J60" s="157"/>
      <c r="K60" s="157"/>
    </row>
    <row r="61" spans="1:11" x14ac:dyDescent="0.2">
      <c r="A61" s="156"/>
      <c r="B61" s="157"/>
      <c r="C61" s="157"/>
      <c r="D61" s="157"/>
      <c r="E61" s="157"/>
      <c r="F61" s="157"/>
      <c r="G61" s="157"/>
      <c r="H61" s="158"/>
      <c r="I61" s="157"/>
      <c r="J61" s="157"/>
      <c r="K61" s="157"/>
    </row>
    <row r="62" spans="1:11" x14ac:dyDescent="0.2">
      <c r="A62" s="156"/>
      <c r="B62" s="157"/>
      <c r="C62" s="157"/>
      <c r="D62" s="157"/>
      <c r="E62" s="157"/>
      <c r="F62" s="157"/>
      <c r="G62" s="157"/>
      <c r="H62" s="158"/>
      <c r="I62" s="157"/>
      <c r="J62" s="157"/>
      <c r="K62" s="157"/>
    </row>
    <row r="63" spans="1:11" x14ac:dyDescent="0.2">
      <c r="A63" s="156"/>
      <c r="B63" s="158"/>
      <c r="C63" s="157"/>
      <c r="D63" s="157"/>
      <c r="E63" s="157"/>
      <c r="F63" s="157"/>
      <c r="G63" s="158"/>
      <c r="H63" s="158"/>
      <c r="I63" s="157"/>
      <c r="J63" s="157"/>
      <c r="K63" s="157"/>
    </row>
    <row r="64" spans="1:11" x14ac:dyDescent="0.2">
      <c r="A64" s="156"/>
      <c r="B64" s="158"/>
      <c r="C64" s="157"/>
      <c r="D64" s="157"/>
      <c r="E64" s="157"/>
      <c r="F64" s="157"/>
      <c r="G64" s="158"/>
      <c r="H64" s="158"/>
      <c r="I64" s="157"/>
      <c r="J64" s="157"/>
      <c r="K64" s="157"/>
    </row>
    <row r="65" spans="1:11" x14ac:dyDescent="0.2">
      <c r="A65" s="156"/>
      <c r="B65" s="157"/>
      <c r="C65" s="157"/>
      <c r="D65" s="157"/>
      <c r="E65" s="157"/>
      <c r="F65" s="157"/>
      <c r="G65" s="157"/>
      <c r="H65" s="157"/>
      <c r="I65" s="157"/>
      <c r="J65" s="157"/>
      <c r="K65" s="157"/>
    </row>
    <row r="66" spans="1:11" x14ac:dyDescent="0.2">
      <c r="A66" s="156"/>
      <c r="B66" s="158"/>
      <c r="C66" s="157"/>
      <c r="D66" s="157"/>
      <c r="E66" s="157"/>
      <c r="F66" s="157"/>
      <c r="G66" s="157"/>
      <c r="H66" s="158"/>
      <c r="I66" s="157"/>
      <c r="J66" s="157"/>
      <c r="K66" s="157"/>
    </row>
    <row r="67" spans="1:11" x14ac:dyDescent="0.2">
      <c r="A67" s="156"/>
      <c r="B67" s="157"/>
      <c r="C67" s="157"/>
      <c r="D67" s="157"/>
      <c r="E67" s="157"/>
      <c r="F67" s="157"/>
      <c r="G67" s="158"/>
      <c r="H67" s="158"/>
      <c r="I67" s="157"/>
      <c r="J67" s="157"/>
      <c r="K67" s="157"/>
    </row>
    <row r="68" spans="1:11" x14ac:dyDescent="0.2">
      <c r="A68" s="156"/>
      <c r="B68" s="157"/>
      <c r="C68" s="157"/>
      <c r="D68" s="157"/>
      <c r="E68" s="158"/>
      <c r="F68" s="158"/>
      <c r="G68" s="158"/>
      <c r="H68" s="158"/>
      <c r="I68" s="157"/>
      <c r="J68" s="157"/>
      <c r="K68" s="157"/>
    </row>
    <row r="69" spans="1:11" x14ac:dyDescent="0.2">
      <c r="A69" s="156"/>
      <c r="B69" s="158"/>
      <c r="C69" s="157"/>
      <c r="D69" s="157"/>
      <c r="E69" s="158"/>
      <c r="F69" s="157"/>
      <c r="G69" s="157"/>
      <c r="H69" s="158"/>
      <c r="I69" s="157"/>
      <c r="J69" s="157"/>
      <c r="K69" s="157"/>
    </row>
    <row r="70" spans="1:11" x14ac:dyDescent="0.2">
      <c r="A70" s="156"/>
      <c r="B70" s="158"/>
      <c r="C70" s="157"/>
      <c r="D70" s="157"/>
      <c r="E70" s="158"/>
      <c r="F70" s="158"/>
      <c r="G70" s="157"/>
      <c r="H70" s="158"/>
      <c r="I70" s="157"/>
      <c r="J70" s="157"/>
      <c r="K70" s="157"/>
    </row>
    <row r="71" spans="1:11" x14ac:dyDescent="0.2">
      <c r="A71" s="156"/>
      <c r="B71" s="157"/>
      <c r="C71" s="157"/>
      <c r="D71" s="157"/>
      <c r="E71" s="158"/>
      <c r="F71" s="158"/>
      <c r="G71" s="158"/>
      <c r="H71" s="157"/>
      <c r="I71" s="157"/>
      <c r="J71" s="157"/>
      <c r="K71" s="157"/>
    </row>
    <row r="72" spans="1:11" x14ac:dyDescent="0.2">
      <c r="A72" s="156"/>
      <c r="B72" s="158"/>
      <c r="C72" s="157"/>
      <c r="D72" s="157"/>
      <c r="E72" s="158"/>
      <c r="F72" s="157"/>
      <c r="G72" s="158"/>
      <c r="H72" s="158"/>
      <c r="I72" s="157"/>
      <c r="J72" s="157"/>
      <c r="K72" s="157"/>
    </row>
    <row r="73" spans="1:11" x14ac:dyDescent="0.2">
      <c r="A73" s="156"/>
      <c r="B73" s="157"/>
      <c r="C73" s="157"/>
      <c r="D73" s="157"/>
      <c r="E73" s="158"/>
      <c r="F73" s="157"/>
      <c r="G73" s="157"/>
      <c r="H73" s="158"/>
      <c r="I73" s="157"/>
      <c r="J73" s="157"/>
      <c r="K73" s="157"/>
    </row>
    <row r="74" spans="1:11" x14ac:dyDescent="0.2">
      <c r="A74" s="156"/>
      <c r="B74" s="157"/>
      <c r="C74" s="157"/>
      <c r="D74" s="157"/>
      <c r="E74" s="158"/>
      <c r="F74" s="157"/>
      <c r="G74" s="157"/>
      <c r="H74" s="158"/>
      <c r="I74" s="157"/>
      <c r="J74" s="157"/>
      <c r="K74" s="157"/>
    </row>
    <row r="75" spans="1:11" x14ac:dyDescent="0.2">
      <c r="A75" s="156"/>
      <c r="B75" s="158"/>
      <c r="C75" s="157"/>
      <c r="D75" s="157"/>
      <c r="E75" s="158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B3:B4"/>
    <mergeCell ref="C3:C4"/>
    <mergeCell ref="D3:D4"/>
    <mergeCell ref="E3:E4"/>
    <mergeCell ref="F3:F4"/>
    <mergeCell ref="G3:G4"/>
  </mergeCells>
  <dataValidations count="8">
    <dataValidation type="list" showInputMessage="1" showErrorMessage="1" sqref="C5:C254">
      <formula1>ValidPerson</formula1>
    </dataValidation>
    <dataValidation type="list" showInputMessage="1" showErrorMessage="1" sqref="D5:D254">
      <formula1>ValidType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H5:H254">
      <formula1>ValidReason</formula1>
    </dataValidation>
    <dataValidation type="list" showInputMessage="1" showErrorMessage="1" sqref="F5:F254">
      <formula1>ValidCancerSite</formula1>
    </dataValidation>
    <dataValidation type="list" allowBlank="1" showInputMessage="1" showErrorMessage="1" sqref="G5:G254">
      <formula1>ValidStage</formula1>
    </dataValidation>
    <dataValidation type="list" allowBlank="1" showInputMessage="1" showErrorMessage="1" sqref="I5:K254">
      <formula1>ValidProgramme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K255"/>
  <sheetViews>
    <sheetView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/>
      <c r="C5" s="157"/>
      <c r="D5" s="157"/>
      <c r="E5" s="157"/>
      <c r="F5" s="157"/>
      <c r="G5" s="157"/>
      <c r="H5" s="157"/>
      <c r="I5" s="157"/>
      <c r="J5" s="157"/>
      <c r="K5" s="157"/>
    </row>
    <row r="6" spans="1:11" x14ac:dyDescent="0.2">
      <c r="A6" s="156"/>
      <c r="B6" s="158"/>
      <c r="C6" s="157"/>
      <c r="D6" s="157"/>
      <c r="E6" s="157"/>
      <c r="F6" s="157"/>
      <c r="G6" s="157"/>
      <c r="H6" s="158"/>
      <c r="I6" s="157"/>
      <c r="J6" s="157"/>
      <c r="K6" s="157"/>
    </row>
    <row r="7" spans="1:11" x14ac:dyDescent="0.2">
      <c r="A7" s="156"/>
      <c r="B7" s="157"/>
      <c r="C7" s="157"/>
      <c r="D7" s="157"/>
      <c r="E7" s="157"/>
      <c r="F7" s="157"/>
      <c r="G7" s="158"/>
      <c r="H7" s="158"/>
      <c r="I7" s="157"/>
      <c r="J7" s="157"/>
      <c r="K7" s="157"/>
    </row>
    <row r="8" spans="1:11" x14ac:dyDescent="0.2">
      <c r="A8" s="156"/>
      <c r="B8" s="157"/>
      <c r="C8" s="157"/>
      <c r="D8" s="157"/>
      <c r="E8" s="157"/>
      <c r="F8" s="158"/>
      <c r="G8" s="158"/>
      <c r="H8" s="158"/>
      <c r="I8" s="157"/>
      <c r="J8" s="157"/>
      <c r="K8" s="157"/>
    </row>
    <row r="9" spans="1:11" x14ac:dyDescent="0.2">
      <c r="A9" s="156"/>
      <c r="B9" s="158"/>
      <c r="C9" s="157"/>
      <c r="D9" s="157"/>
      <c r="E9" s="157"/>
      <c r="F9" s="157"/>
      <c r="G9" s="157"/>
      <c r="H9" s="158"/>
      <c r="I9" s="157"/>
      <c r="J9" s="157"/>
      <c r="K9" s="157"/>
    </row>
    <row r="10" spans="1:11" x14ac:dyDescent="0.2">
      <c r="A10" s="156"/>
      <c r="B10" s="158"/>
      <c r="C10" s="157"/>
      <c r="D10" s="157"/>
      <c r="E10" s="157"/>
      <c r="F10" s="158"/>
      <c r="G10" s="157"/>
      <c r="H10" s="158"/>
      <c r="I10" s="157"/>
      <c r="J10" s="157"/>
      <c r="K10" s="157"/>
    </row>
    <row r="11" spans="1:11" x14ac:dyDescent="0.2">
      <c r="A11" s="156"/>
      <c r="B11" s="157"/>
      <c r="C11" s="157"/>
      <c r="D11" s="157"/>
      <c r="E11" s="157"/>
      <c r="F11" s="158"/>
      <c r="G11" s="158"/>
      <c r="H11" s="157"/>
      <c r="I11" s="157"/>
      <c r="J11" s="157"/>
      <c r="K11" s="157"/>
    </row>
    <row r="12" spans="1:11" x14ac:dyDescent="0.2">
      <c r="A12" s="156"/>
      <c r="B12" s="158"/>
      <c r="C12" s="157"/>
      <c r="D12" s="157"/>
      <c r="E12" s="157"/>
      <c r="F12" s="157"/>
      <c r="G12" s="158"/>
      <c r="H12" s="158"/>
      <c r="I12" s="157"/>
      <c r="J12" s="157"/>
      <c r="K12" s="157"/>
    </row>
    <row r="13" spans="1:11" x14ac:dyDescent="0.2">
      <c r="A13" s="156"/>
      <c r="B13" s="157"/>
      <c r="C13" s="157"/>
      <c r="D13" s="157"/>
      <c r="E13" s="157"/>
      <c r="F13" s="157"/>
      <c r="G13" s="157"/>
      <c r="H13" s="158"/>
      <c r="I13" s="157"/>
      <c r="J13" s="157"/>
      <c r="K13" s="157"/>
    </row>
    <row r="14" spans="1:11" x14ac:dyDescent="0.2">
      <c r="A14" s="156"/>
      <c r="B14" s="157"/>
      <c r="C14" s="157"/>
      <c r="D14" s="157"/>
      <c r="E14" s="157"/>
      <c r="F14" s="157"/>
      <c r="G14" s="157"/>
      <c r="H14" s="158"/>
      <c r="I14" s="158"/>
      <c r="J14" s="158"/>
      <c r="K14" s="158"/>
    </row>
    <row r="15" spans="1:11" x14ac:dyDescent="0.2">
      <c r="A15" s="156"/>
      <c r="B15" s="158"/>
      <c r="C15" s="157"/>
      <c r="D15" s="157"/>
      <c r="E15" s="157"/>
      <c r="F15" s="157"/>
      <c r="G15" s="158"/>
      <c r="H15" s="158"/>
      <c r="I15" s="158"/>
      <c r="J15" s="158"/>
      <c r="K15" s="158"/>
    </row>
    <row r="16" spans="1:11" x14ac:dyDescent="0.2">
      <c r="A16" s="156"/>
      <c r="B16" s="158"/>
      <c r="C16" s="157"/>
      <c r="D16" s="157"/>
      <c r="E16" s="157"/>
      <c r="F16" s="157"/>
      <c r="G16" s="158"/>
      <c r="H16" s="158"/>
      <c r="I16" s="158"/>
      <c r="J16" s="158"/>
      <c r="K16" s="158"/>
    </row>
    <row r="17" spans="1:11" x14ac:dyDescent="0.2">
      <c r="A17" s="156"/>
      <c r="B17" s="157"/>
      <c r="C17" s="157"/>
      <c r="D17" s="157"/>
      <c r="E17" s="157"/>
      <c r="F17" s="157"/>
      <c r="G17" s="157"/>
      <c r="H17" s="157"/>
      <c r="I17" s="157"/>
      <c r="J17" s="157"/>
      <c r="K17" s="157"/>
    </row>
    <row r="18" spans="1:11" x14ac:dyDescent="0.2">
      <c r="A18" s="156"/>
      <c r="B18" s="158"/>
      <c r="C18" s="157"/>
      <c r="D18" s="157"/>
      <c r="E18" s="157"/>
      <c r="F18" s="157"/>
      <c r="G18" s="157"/>
      <c r="H18" s="158"/>
      <c r="I18" s="158"/>
      <c r="J18" s="158"/>
      <c r="K18" s="158"/>
    </row>
    <row r="19" spans="1:11" x14ac:dyDescent="0.2">
      <c r="A19" s="156"/>
      <c r="B19" s="157"/>
      <c r="C19" s="157"/>
      <c r="D19" s="157"/>
      <c r="E19" s="157"/>
      <c r="F19" s="157"/>
      <c r="G19" s="158"/>
      <c r="H19" s="158"/>
      <c r="I19" s="157"/>
      <c r="J19" s="157"/>
      <c r="K19" s="157"/>
    </row>
    <row r="20" spans="1:11" x14ac:dyDescent="0.2">
      <c r="A20" s="156"/>
      <c r="B20" s="157"/>
      <c r="C20" s="157"/>
      <c r="D20" s="157"/>
      <c r="E20" s="157"/>
      <c r="F20" s="157"/>
      <c r="G20" s="158"/>
      <c r="H20" s="158"/>
      <c r="I20" s="158"/>
      <c r="J20" s="158"/>
      <c r="K20" s="158"/>
    </row>
    <row r="21" spans="1:11" x14ac:dyDescent="0.2">
      <c r="A21" s="156"/>
      <c r="B21" s="158"/>
      <c r="C21" s="157"/>
      <c r="D21" s="157"/>
      <c r="E21" s="157"/>
      <c r="F21" s="157"/>
      <c r="G21" s="157"/>
      <c r="H21" s="158"/>
      <c r="I21" s="158"/>
      <c r="J21" s="158"/>
      <c r="K21" s="158"/>
    </row>
    <row r="22" spans="1:11" x14ac:dyDescent="0.2">
      <c r="A22" s="156"/>
      <c r="B22" s="158"/>
      <c r="C22" s="157"/>
      <c r="D22" s="157"/>
      <c r="E22" s="157"/>
      <c r="F22" s="157"/>
      <c r="G22" s="157"/>
      <c r="H22" s="158"/>
      <c r="I22" s="158"/>
      <c r="J22" s="158"/>
      <c r="K22" s="158"/>
    </row>
    <row r="23" spans="1:11" x14ac:dyDescent="0.2">
      <c r="A23" s="156"/>
      <c r="B23" s="157"/>
      <c r="C23" s="157"/>
      <c r="D23" s="157"/>
      <c r="E23" s="157"/>
      <c r="F23" s="158"/>
      <c r="G23" s="158"/>
      <c r="H23" s="157"/>
      <c r="I23" s="157"/>
      <c r="J23" s="157"/>
      <c r="K23" s="157"/>
    </row>
    <row r="24" spans="1:11" x14ac:dyDescent="0.2">
      <c r="A24" s="156"/>
      <c r="B24" s="158"/>
      <c r="C24" s="157"/>
      <c r="D24" s="157"/>
      <c r="E24" s="157"/>
      <c r="F24" s="157"/>
      <c r="G24" s="158"/>
      <c r="H24" s="158"/>
      <c r="I24" s="158"/>
      <c r="J24" s="158"/>
      <c r="K24" s="158"/>
    </row>
    <row r="25" spans="1:11" x14ac:dyDescent="0.2">
      <c r="A25" s="156"/>
      <c r="B25" s="157"/>
      <c r="C25" s="157"/>
      <c r="D25" s="157"/>
      <c r="E25" s="157"/>
      <c r="F25" s="158"/>
      <c r="G25" s="157"/>
      <c r="H25" s="158"/>
      <c r="I25" s="157"/>
      <c r="J25" s="157"/>
      <c r="K25" s="157"/>
    </row>
    <row r="26" spans="1:11" x14ac:dyDescent="0.2">
      <c r="A26" s="156"/>
      <c r="B26" s="157"/>
      <c r="C26" s="157"/>
      <c r="D26" s="157"/>
      <c r="E26" s="157"/>
      <c r="F26" s="158"/>
      <c r="G26" s="157"/>
      <c r="H26" s="158"/>
      <c r="I26" s="157"/>
      <c r="J26" s="157"/>
      <c r="K26" s="157"/>
    </row>
    <row r="27" spans="1:11" x14ac:dyDescent="0.2">
      <c r="A27" s="156"/>
      <c r="B27" s="158"/>
      <c r="C27" s="157"/>
      <c r="D27" s="157"/>
      <c r="E27" s="157"/>
      <c r="F27" s="157"/>
      <c r="G27" s="158"/>
      <c r="H27" s="158"/>
      <c r="I27" s="157"/>
      <c r="J27" s="157"/>
      <c r="K27" s="157"/>
    </row>
    <row r="28" spans="1:11" x14ac:dyDescent="0.2">
      <c r="A28" s="156"/>
      <c r="B28" s="158"/>
      <c r="C28" s="157"/>
      <c r="D28" s="157"/>
      <c r="E28" s="157"/>
      <c r="F28" s="157"/>
      <c r="G28" s="158"/>
      <c r="H28" s="158"/>
      <c r="I28" s="157"/>
      <c r="J28" s="157"/>
      <c r="K28" s="157"/>
    </row>
    <row r="29" spans="1:11" x14ac:dyDescent="0.2">
      <c r="A29" s="156"/>
      <c r="B29" s="157"/>
      <c r="C29" s="157"/>
      <c r="D29" s="157"/>
      <c r="E29" s="157"/>
      <c r="F29" s="157"/>
      <c r="G29" s="157"/>
      <c r="H29" s="157"/>
      <c r="I29" s="157"/>
      <c r="J29" s="157"/>
      <c r="K29" s="157"/>
    </row>
    <row r="30" spans="1:11" x14ac:dyDescent="0.2">
      <c r="A30" s="156"/>
      <c r="B30" s="158"/>
      <c r="C30" s="157"/>
      <c r="D30" s="157"/>
      <c r="E30" s="157"/>
      <c r="F30" s="157"/>
      <c r="G30" s="157"/>
      <c r="H30" s="158"/>
      <c r="I30" s="157"/>
      <c r="J30" s="157"/>
      <c r="K30" s="157"/>
    </row>
    <row r="31" spans="1:11" x14ac:dyDescent="0.2">
      <c r="A31" s="156"/>
      <c r="B31" s="157"/>
      <c r="C31" s="157"/>
      <c r="D31" s="157"/>
      <c r="E31" s="157"/>
      <c r="F31" s="157"/>
      <c r="G31" s="158"/>
      <c r="H31" s="158"/>
      <c r="I31" s="157"/>
      <c r="J31" s="157"/>
      <c r="K31" s="157"/>
    </row>
    <row r="32" spans="1:11" x14ac:dyDescent="0.2">
      <c r="A32" s="156"/>
      <c r="B32" s="157"/>
      <c r="C32" s="157"/>
      <c r="D32" s="157"/>
      <c r="E32" s="157"/>
      <c r="F32" s="157"/>
      <c r="G32" s="158"/>
      <c r="H32" s="158"/>
      <c r="I32" s="157"/>
      <c r="J32" s="157"/>
      <c r="K32" s="157"/>
    </row>
    <row r="33" spans="1:11" x14ac:dyDescent="0.2">
      <c r="A33" s="156"/>
      <c r="B33" s="158"/>
      <c r="C33" s="157"/>
      <c r="D33" s="157"/>
      <c r="E33" s="157"/>
      <c r="F33" s="157"/>
      <c r="G33" s="157"/>
      <c r="H33" s="158"/>
      <c r="I33" s="157"/>
      <c r="J33" s="157"/>
      <c r="K33" s="157"/>
    </row>
    <row r="34" spans="1:11" x14ac:dyDescent="0.2">
      <c r="A34" s="156"/>
      <c r="B34" s="158"/>
      <c r="C34" s="157"/>
      <c r="D34" s="157"/>
      <c r="E34" s="157"/>
      <c r="F34" s="157"/>
      <c r="G34" s="157"/>
      <c r="H34" s="158"/>
      <c r="I34" s="157"/>
      <c r="J34" s="157"/>
      <c r="K34" s="157"/>
    </row>
    <row r="35" spans="1:11" x14ac:dyDescent="0.2">
      <c r="A35" s="156"/>
      <c r="B35" s="157"/>
      <c r="C35" s="157"/>
      <c r="D35" s="157"/>
      <c r="E35" s="157"/>
      <c r="F35" s="157"/>
      <c r="G35" s="158"/>
      <c r="H35" s="157"/>
      <c r="I35" s="157"/>
      <c r="J35" s="157"/>
      <c r="K35" s="157"/>
    </row>
    <row r="36" spans="1:11" x14ac:dyDescent="0.2">
      <c r="A36" s="156"/>
      <c r="B36" s="158"/>
      <c r="C36" s="157"/>
      <c r="D36" s="157"/>
      <c r="E36" s="157"/>
      <c r="F36" s="157"/>
      <c r="G36" s="158"/>
      <c r="H36" s="158"/>
      <c r="I36" s="157"/>
      <c r="J36" s="157"/>
      <c r="K36" s="157"/>
    </row>
    <row r="37" spans="1:11" x14ac:dyDescent="0.2">
      <c r="A37" s="156"/>
      <c r="B37" s="157"/>
      <c r="C37" s="157"/>
      <c r="D37" s="157"/>
      <c r="E37" s="157"/>
      <c r="F37" s="157"/>
      <c r="G37" s="157"/>
      <c r="H37" s="158"/>
      <c r="I37" s="157"/>
      <c r="J37" s="157"/>
      <c r="K37" s="157"/>
    </row>
    <row r="38" spans="1:11" x14ac:dyDescent="0.2">
      <c r="A38" s="156"/>
      <c r="B38" s="157"/>
      <c r="C38" s="157"/>
      <c r="D38" s="157"/>
      <c r="E38" s="157"/>
      <c r="F38" s="158"/>
      <c r="G38" s="157"/>
      <c r="H38" s="158"/>
      <c r="I38" s="157"/>
      <c r="J38" s="157"/>
      <c r="K38" s="157"/>
    </row>
    <row r="39" spans="1:11" x14ac:dyDescent="0.2">
      <c r="A39" s="156"/>
      <c r="B39" s="158"/>
      <c r="C39" s="157"/>
      <c r="D39" s="157"/>
      <c r="E39" s="157"/>
      <c r="F39" s="157"/>
      <c r="G39" s="158"/>
      <c r="H39" s="158"/>
      <c r="I39" s="157"/>
      <c r="J39" s="157"/>
      <c r="K39" s="157"/>
    </row>
    <row r="40" spans="1:11" x14ac:dyDescent="0.2">
      <c r="A40" s="156"/>
      <c r="B40" s="158"/>
      <c r="C40" s="157"/>
      <c r="D40" s="157"/>
      <c r="E40" s="157"/>
      <c r="F40" s="158"/>
      <c r="G40" s="158"/>
      <c r="H40" s="158"/>
      <c r="I40" s="157"/>
      <c r="J40" s="157"/>
      <c r="K40" s="157"/>
    </row>
    <row r="41" spans="1:11" x14ac:dyDescent="0.2">
      <c r="A41" s="156"/>
      <c r="B41" s="157"/>
      <c r="C41" s="157"/>
      <c r="D41" s="157"/>
      <c r="E41" s="157"/>
      <c r="F41" s="158"/>
      <c r="G41" s="157"/>
      <c r="H41" s="157"/>
      <c r="I41" s="157"/>
      <c r="J41" s="157"/>
      <c r="K41" s="157"/>
    </row>
    <row r="42" spans="1:11" x14ac:dyDescent="0.2">
      <c r="A42" s="156"/>
      <c r="B42" s="158"/>
      <c r="C42" s="157"/>
      <c r="D42" s="157"/>
      <c r="E42" s="157"/>
      <c r="F42" s="157"/>
      <c r="G42" s="157"/>
      <c r="H42" s="158"/>
      <c r="I42" s="157"/>
      <c r="J42" s="157"/>
      <c r="K42" s="157"/>
    </row>
    <row r="43" spans="1:11" x14ac:dyDescent="0.2">
      <c r="A43" s="156"/>
      <c r="B43" s="157"/>
      <c r="C43" s="157"/>
      <c r="D43" s="157"/>
      <c r="E43" s="157"/>
      <c r="F43" s="157"/>
      <c r="G43" s="158"/>
      <c r="H43" s="158"/>
      <c r="I43" s="157"/>
      <c r="J43" s="157"/>
      <c r="K43" s="157"/>
    </row>
    <row r="44" spans="1:11" x14ac:dyDescent="0.2">
      <c r="A44" s="156"/>
      <c r="B44" s="157"/>
      <c r="C44" s="157"/>
      <c r="D44" s="157"/>
      <c r="E44" s="157"/>
      <c r="F44" s="157"/>
      <c r="G44" s="158"/>
      <c r="H44" s="158"/>
      <c r="I44" s="157"/>
      <c r="J44" s="157"/>
      <c r="K44" s="157"/>
    </row>
    <row r="45" spans="1:11" x14ac:dyDescent="0.2">
      <c r="A45" s="156"/>
      <c r="B45" s="158"/>
      <c r="C45" s="157"/>
      <c r="D45" s="157"/>
      <c r="E45" s="157"/>
      <c r="F45" s="157"/>
      <c r="G45" s="157"/>
      <c r="H45" s="158"/>
      <c r="I45" s="157"/>
      <c r="J45" s="157"/>
      <c r="K45" s="157"/>
    </row>
    <row r="46" spans="1:11" x14ac:dyDescent="0.2">
      <c r="A46" s="156"/>
      <c r="B46" s="158"/>
      <c r="C46" s="157"/>
      <c r="D46" s="157"/>
      <c r="E46" s="157"/>
      <c r="F46" s="157"/>
      <c r="G46" s="157"/>
      <c r="H46" s="158"/>
      <c r="I46" s="157"/>
      <c r="J46" s="157"/>
      <c r="K46" s="157"/>
    </row>
    <row r="47" spans="1:11" x14ac:dyDescent="0.2">
      <c r="A47" s="156"/>
      <c r="B47" s="157"/>
      <c r="C47" s="157"/>
      <c r="D47" s="157"/>
      <c r="E47" s="157"/>
      <c r="F47" s="157"/>
      <c r="G47" s="158"/>
      <c r="H47" s="157"/>
      <c r="I47" s="157"/>
      <c r="J47" s="157"/>
      <c r="K47" s="157"/>
    </row>
    <row r="48" spans="1:11" x14ac:dyDescent="0.2">
      <c r="A48" s="156"/>
      <c r="B48" s="158"/>
      <c r="C48" s="157"/>
      <c r="D48" s="157"/>
      <c r="E48" s="157"/>
      <c r="F48" s="157"/>
      <c r="G48" s="158"/>
      <c r="H48" s="158"/>
      <c r="I48" s="157"/>
      <c r="J48" s="157"/>
      <c r="K48" s="157"/>
    </row>
    <row r="49" spans="1:11" x14ac:dyDescent="0.2">
      <c r="A49" s="156"/>
      <c r="B49" s="157"/>
      <c r="C49" s="157"/>
      <c r="D49" s="157"/>
      <c r="E49" s="157"/>
      <c r="F49" s="157"/>
      <c r="G49" s="157"/>
      <c r="H49" s="158"/>
      <c r="I49" s="157"/>
      <c r="J49" s="157"/>
      <c r="K49" s="157"/>
    </row>
    <row r="50" spans="1:11" x14ac:dyDescent="0.2">
      <c r="A50" s="156"/>
      <c r="B50" s="157"/>
      <c r="C50" s="157"/>
      <c r="D50" s="157"/>
      <c r="E50" s="157"/>
      <c r="F50" s="157"/>
      <c r="G50" s="157"/>
      <c r="H50" s="158"/>
      <c r="I50" s="157"/>
      <c r="J50" s="157"/>
      <c r="K50" s="157"/>
    </row>
    <row r="51" spans="1:11" x14ac:dyDescent="0.2">
      <c r="A51" s="156"/>
      <c r="B51" s="158"/>
      <c r="C51" s="157"/>
      <c r="D51" s="157"/>
      <c r="E51" s="157"/>
      <c r="F51" s="157"/>
      <c r="G51" s="158"/>
      <c r="H51" s="158"/>
      <c r="I51" s="157"/>
      <c r="J51" s="157"/>
      <c r="K51" s="157"/>
    </row>
    <row r="52" spans="1:11" x14ac:dyDescent="0.2">
      <c r="A52" s="156"/>
      <c r="B52" s="158"/>
      <c r="C52" s="157"/>
      <c r="D52" s="157"/>
      <c r="E52" s="157"/>
      <c r="F52" s="157"/>
      <c r="G52" s="158"/>
      <c r="H52" s="158"/>
      <c r="I52" s="157"/>
      <c r="J52" s="157"/>
      <c r="K52" s="157"/>
    </row>
    <row r="53" spans="1:11" x14ac:dyDescent="0.2">
      <c r="A53" s="156"/>
      <c r="B53" s="157"/>
      <c r="C53" s="157"/>
      <c r="D53" s="157"/>
      <c r="E53" s="157"/>
      <c r="F53" s="158"/>
      <c r="G53" s="157"/>
      <c r="H53" s="157"/>
      <c r="I53" s="157"/>
      <c r="J53" s="157"/>
      <c r="K53" s="157"/>
    </row>
    <row r="54" spans="1:11" x14ac:dyDescent="0.2">
      <c r="A54" s="156"/>
      <c r="B54" s="158"/>
      <c r="C54" s="157"/>
      <c r="D54" s="157"/>
      <c r="E54" s="157"/>
      <c r="F54" s="157"/>
      <c r="G54" s="157"/>
      <c r="H54" s="158"/>
      <c r="I54" s="157"/>
      <c r="J54" s="157"/>
      <c r="K54" s="157"/>
    </row>
    <row r="55" spans="1:11" x14ac:dyDescent="0.2">
      <c r="A55" s="156"/>
      <c r="B55" s="157"/>
      <c r="C55" s="157"/>
      <c r="D55" s="157"/>
      <c r="E55" s="157"/>
      <c r="F55" s="158"/>
      <c r="G55" s="158"/>
      <c r="H55" s="158"/>
      <c r="I55" s="157"/>
      <c r="J55" s="157"/>
      <c r="K55" s="157"/>
    </row>
    <row r="56" spans="1:11" x14ac:dyDescent="0.2">
      <c r="A56" s="156"/>
      <c r="B56" s="157"/>
      <c r="C56" s="157"/>
      <c r="D56" s="157"/>
      <c r="E56" s="157"/>
      <c r="F56" s="158"/>
      <c r="G56" s="158"/>
      <c r="H56" s="158"/>
      <c r="I56" s="157"/>
      <c r="J56" s="157"/>
      <c r="K56" s="157"/>
    </row>
    <row r="57" spans="1:11" x14ac:dyDescent="0.2">
      <c r="A57" s="156"/>
      <c r="B57" s="158"/>
      <c r="C57" s="157"/>
      <c r="D57" s="157"/>
      <c r="E57" s="157"/>
      <c r="F57" s="157"/>
      <c r="G57" s="157"/>
      <c r="H57" s="158"/>
      <c r="I57" s="157"/>
      <c r="J57" s="157"/>
      <c r="K57" s="157"/>
    </row>
    <row r="58" spans="1:11" x14ac:dyDescent="0.2">
      <c r="A58" s="156"/>
      <c r="B58" s="158"/>
      <c r="C58" s="157"/>
      <c r="D58" s="157"/>
      <c r="E58" s="157"/>
      <c r="F58" s="157"/>
      <c r="G58" s="157"/>
      <c r="H58" s="158"/>
      <c r="I58" s="157"/>
      <c r="J58" s="157"/>
      <c r="K58" s="157"/>
    </row>
    <row r="59" spans="1:11" x14ac:dyDescent="0.2">
      <c r="A59" s="156"/>
      <c r="B59" s="157"/>
      <c r="C59" s="157"/>
      <c r="D59" s="157"/>
      <c r="E59" s="157"/>
      <c r="F59" s="157"/>
      <c r="G59" s="158"/>
      <c r="H59" s="157"/>
      <c r="I59" s="157"/>
      <c r="J59" s="157"/>
      <c r="K59" s="157"/>
    </row>
    <row r="60" spans="1:11" x14ac:dyDescent="0.2">
      <c r="A60" s="156"/>
      <c r="B60" s="158"/>
      <c r="C60" s="157"/>
      <c r="D60" s="157"/>
      <c r="E60" s="157"/>
      <c r="F60" s="157"/>
      <c r="G60" s="158"/>
      <c r="H60" s="158"/>
      <c r="I60" s="157"/>
      <c r="J60" s="157"/>
      <c r="K60" s="157"/>
    </row>
    <row r="61" spans="1:11" x14ac:dyDescent="0.2">
      <c r="A61" s="156"/>
      <c r="B61" s="157"/>
      <c r="C61" s="157"/>
      <c r="D61" s="157"/>
      <c r="E61" s="157"/>
      <c r="F61" s="157"/>
      <c r="G61" s="157"/>
      <c r="H61" s="158"/>
      <c r="I61" s="157"/>
      <c r="J61" s="157"/>
      <c r="K61" s="157"/>
    </row>
    <row r="62" spans="1:11" x14ac:dyDescent="0.2">
      <c r="A62" s="156"/>
      <c r="B62" s="157"/>
      <c r="C62" s="157"/>
      <c r="D62" s="157"/>
      <c r="E62" s="157"/>
      <c r="F62" s="157"/>
      <c r="G62" s="157"/>
      <c r="H62" s="158"/>
      <c r="I62" s="157"/>
      <c r="J62" s="157"/>
      <c r="K62" s="157"/>
    </row>
    <row r="63" spans="1:11" x14ac:dyDescent="0.2">
      <c r="A63" s="156"/>
      <c r="B63" s="158"/>
      <c r="C63" s="157"/>
      <c r="D63" s="157"/>
      <c r="E63" s="157"/>
      <c r="F63" s="157"/>
      <c r="G63" s="158"/>
      <c r="H63" s="158"/>
      <c r="I63" s="157"/>
      <c r="J63" s="157"/>
      <c r="K63" s="157"/>
    </row>
    <row r="64" spans="1:11" x14ac:dyDescent="0.2">
      <c r="A64" s="156"/>
      <c r="B64" s="158"/>
      <c r="C64" s="157"/>
      <c r="D64" s="157"/>
      <c r="E64" s="157"/>
      <c r="F64" s="157"/>
      <c r="G64" s="158"/>
      <c r="H64" s="158"/>
      <c r="I64" s="157"/>
      <c r="J64" s="157"/>
      <c r="K64" s="157"/>
    </row>
    <row r="65" spans="1:11" x14ac:dyDescent="0.2">
      <c r="A65" s="156"/>
      <c r="B65" s="157"/>
      <c r="C65" s="157"/>
      <c r="D65" s="157"/>
      <c r="E65" s="157"/>
      <c r="F65" s="157"/>
      <c r="G65" s="157"/>
      <c r="H65" s="157"/>
      <c r="I65" s="157"/>
      <c r="J65" s="157"/>
      <c r="K65" s="157"/>
    </row>
    <row r="66" spans="1:11" x14ac:dyDescent="0.2">
      <c r="A66" s="156"/>
      <c r="B66" s="158"/>
      <c r="C66" s="157"/>
      <c r="D66" s="157"/>
      <c r="E66" s="157"/>
      <c r="F66" s="157"/>
      <c r="G66" s="157"/>
      <c r="H66" s="158"/>
      <c r="I66" s="157"/>
      <c r="J66" s="157"/>
      <c r="K66" s="157"/>
    </row>
    <row r="67" spans="1:11" x14ac:dyDescent="0.2">
      <c r="A67" s="156"/>
      <c r="B67" s="157"/>
      <c r="C67" s="157"/>
      <c r="D67" s="157"/>
      <c r="E67" s="157"/>
      <c r="F67" s="157"/>
      <c r="G67" s="158"/>
      <c r="H67" s="158"/>
      <c r="I67" s="157"/>
      <c r="J67" s="157"/>
      <c r="K67" s="157"/>
    </row>
    <row r="68" spans="1:11" x14ac:dyDescent="0.2">
      <c r="A68" s="156"/>
      <c r="B68" s="157"/>
      <c r="C68" s="157"/>
      <c r="D68" s="157"/>
      <c r="E68" s="158"/>
      <c r="F68" s="158"/>
      <c r="G68" s="158"/>
      <c r="H68" s="158"/>
      <c r="I68" s="157"/>
      <c r="J68" s="157"/>
      <c r="K68" s="157"/>
    </row>
    <row r="69" spans="1:11" x14ac:dyDescent="0.2">
      <c r="A69" s="156"/>
      <c r="B69" s="158"/>
      <c r="C69" s="157"/>
      <c r="D69" s="157"/>
      <c r="E69" s="158"/>
      <c r="F69" s="157"/>
      <c r="G69" s="157"/>
      <c r="H69" s="158"/>
      <c r="I69" s="157"/>
      <c r="J69" s="157"/>
      <c r="K69" s="157"/>
    </row>
    <row r="70" spans="1:11" x14ac:dyDescent="0.2">
      <c r="A70" s="156"/>
      <c r="B70" s="158"/>
      <c r="C70" s="157"/>
      <c r="D70" s="157"/>
      <c r="E70" s="158"/>
      <c r="F70" s="158"/>
      <c r="G70" s="157"/>
      <c r="H70" s="158"/>
      <c r="I70" s="157"/>
      <c r="J70" s="157"/>
      <c r="K70" s="157"/>
    </row>
    <row r="71" spans="1:11" x14ac:dyDescent="0.2">
      <c r="A71" s="156"/>
      <c r="B71" s="157"/>
      <c r="C71" s="157"/>
      <c r="D71" s="157"/>
      <c r="E71" s="158"/>
      <c r="F71" s="158"/>
      <c r="G71" s="158"/>
      <c r="H71" s="157"/>
      <c r="I71" s="157"/>
      <c r="J71" s="157"/>
      <c r="K71" s="157"/>
    </row>
    <row r="72" spans="1:11" x14ac:dyDescent="0.2">
      <c r="A72" s="156"/>
      <c r="B72" s="158"/>
      <c r="C72" s="157"/>
      <c r="D72" s="157"/>
      <c r="E72" s="158"/>
      <c r="F72" s="157"/>
      <c r="G72" s="158"/>
      <c r="H72" s="158"/>
      <c r="I72" s="157"/>
      <c r="J72" s="157"/>
      <c r="K72" s="157"/>
    </row>
    <row r="73" spans="1:11" x14ac:dyDescent="0.2">
      <c r="A73" s="156"/>
      <c r="B73" s="157"/>
      <c r="C73" s="157"/>
      <c r="D73" s="157"/>
      <c r="E73" s="158"/>
      <c r="F73" s="157"/>
      <c r="G73" s="157"/>
      <c r="H73" s="158"/>
      <c r="I73" s="157"/>
      <c r="J73" s="157"/>
      <c r="K73" s="157"/>
    </row>
    <row r="74" spans="1:11" x14ac:dyDescent="0.2">
      <c r="A74" s="156"/>
      <c r="B74" s="157"/>
      <c r="C74" s="157"/>
      <c r="D74" s="157"/>
      <c r="E74" s="158"/>
      <c r="F74" s="157"/>
      <c r="G74" s="157"/>
      <c r="H74" s="158"/>
      <c r="I74" s="157"/>
      <c r="J74" s="157"/>
      <c r="K74" s="157"/>
    </row>
    <row r="75" spans="1:11" x14ac:dyDescent="0.2">
      <c r="A75" s="156"/>
      <c r="B75" s="158"/>
      <c r="C75" s="157"/>
      <c r="D75" s="157"/>
      <c r="E75" s="158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opLeftCell="A52" workbookViewId="0">
      <selection activeCell="J100" sqref="J100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116</v>
      </c>
      <c r="C5" s="157" t="s">
        <v>0</v>
      </c>
      <c r="D5" s="157" t="s">
        <v>177</v>
      </c>
      <c r="E5" s="157" t="s">
        <v>4</v>
      </c>
      <c r="F5" s="157" t="s">
        <v>15</v>
      </c>
      <c r="G5" s="157" t="s">
        <v>156</v>
      </c>
      <c r="H5" s="157" t="s">
        <v>7</v>
      </c>
      <c r="I5" s="157" t="s">
        <v>143</v>
      </c>
      <c r="J5" s="157"/>
      <c r="K5" s="157"/>
    </row>
    <row r="6" spans="1:11" x14ac:dyDescent="0.2">
      <c r="A6" s="156"/>
      <c r="B6" s="158" t="s">
        <v>113</v>
      </c>
      <c r="C6" s="158" t="s">
        <v>0</v>
      </c>
      <c r="D6" s="157" t="s">
        <v>2</v>
      </c>
      <c r="E6" s="158" t="s">
        <v>4</v>
      </c>
      <c r="F6" s="157" t="s">
        <v>11</v>
      </c>
      <c r="G6" s="158" t="s">
        <v>156</v>
      </c>
      <c r="H6" s="158" t="s">
        <v>159</v>
      </c>
      <c r="I6" s="157"/>
      <c r="J6" s="157"/>
      <c r="K6" s="157"/>
    </row>
    <row r="7" spans="1:11" x14ac:dyDescent="0.2">
      <c r="A7" s="156"/>
      <c r="B7" s="158" t="s">
        <v>113</v>
      </c>
      <c r="C7" s="157" t="s">
        <v>1</v>
      </c>
      <c r="D7" s="158" t="s">
        <v>2</v>
      </c>
      <c r="E7" s="157" t="s">
        <v>3</v>
      </c>
      <c r="F7" s="158" t="s">
        <v>11</v>
      </c>
      <c r="G7" s="158" t="s">
        <v>156</v>
      </c>
      <c r="H7" s="158" t="s">
        <v>159</v>
      </c>
      <c r="I7" s="157"/>
      <c r="J7" s="157"/>
      <c r="K7" s="157"/>
    </row>
    <row r="8" spans="1:11" x14ac:dyDescent="0.2">
      <c r="A8" s="156"/>
      <c r="B8" s="158" t="s">
        <v>113</v>
      </c>
      <c r="C8" s="158" t="s">
        <v>1</v>
      </c>
      <c r="D8" s="158" t="s">
        <v>177</v>
      </c>
      <c r="E8" s="158" t="s">
        <v>3</v>
      </c>
      <c r="F8" s="158" t="s">
        <v>10</v>
      </c>
      <c r="G8" s="158" t="s">
        <v>155</v>
      </c>
      <c r="H8" s="158" t="s">
        <v>159</v>
      </c>
      <c r="I8" s="157"/>
      <c r="J8" s="157"/>
      <c r="K8" s="157"/>
    </row>
    <row r="9" spans="1:11" x14ac:dyDescent="0.2">
      <c r="A9" s="156"/>
      <c r="B9" s="158" t="s">
        <v>112</v>
      </c>
      <c r="C9" s="158" t="s">
        <v>0</v>
      </c>
      <c r="D9" s="158" t="s">
        <v>2</v>
      </c>
      <c r="E9" s="158" t="s">
        <v>4</v>
      </c>
      <c r="F9" s="157" t="s">
        <v>9</v>
      </c>
      <c r="G9" s="158" t="s">
        <v>155</v>
      </c>
      <c r="H9" s="158" t="s">
        <v>159</v>
      </c>
      <c r="I9" s="157"/>
      <c r="J9" s="157"/>
      <c r="K9" s="157"/>
    </row>
    <row r="10" spans="1:11" x14ac:dyDescent="0.2">
      <c r="A10" s="156"/>
      <c r="B10" s="158" t="s">
        <v>112</v>
      </c>
      <c r="C10" s="158" t="s">
        <v>1</v>
      </c>
      <c r="D10" s="158" t="s">
        <v>2</v>
      </c>
      <c r="E10" s="157" t="s">
        <v>232</v>
      </c>
      <c r="F10" s="158" t="s">
        <v>9</v>
      </c>
      <c r="G10" s="158" t="s">
        <v>155</v>
      </c>
      <c r="H10" s="158" t="s">
        <v>159</v>
      </c>
      <c r="I10" s="157"/>
      <c r="J10" s="157"/>
      <c r="K10" s="157"/>
    </row>
    <row r="11" spans="1:11" x14ac:dyDescent="0.2">
      <c r="A11" s="156"/>
      <c r="B11" s="158" t="s">
        <v>112</v>
      </c>
      <c r="C11" s="158" t="s">
        <v>0</v>
      </c>
      <c r="D11" s="158" t="s">
        <v>177</v>
      </c>
      <c r="E11" s="158" t="s">
        <v>3</v>
      </c>
      <c r="F11" s="158" t="s">
        <v>23</v>
      </c>
      <c r="G11" s="158" t="s">
        <v>156</v>
      </c>
      <c r="H11" s="158" t="s">
        <v>159</v>
      </c>
      <c r="I11" s="157"/>
      <c r="J11" s="157"/>
      <c r="K11" s="157"/>
    </row>
    <row r="12" spans="1:11" x14ac:dyDescent="0.2">
      <c r="A12" s="156"/>
      <c r="B12" s="158" t="s">
        <v>112</v>
      </c>
      <c r="C12" s="158" t="s">
        <v>1</v>
      </c>
      <c r="D12" s="158" t="s">
        <v>177</v>
      </c>
      <c r="E12" s="158" t="s">
        <v>3</v>
      </c>
      <c r="F12" s="158" t="s">
        <v>23</v>
      </c>
      <c r="G12" s="158" t="s">
        <v>156</v>
      </c>
      <c r="H12" s="158" t="s">
        <v>159</v>
      </c>
      <c r="I12" s="157"/>
      <c r="J12" s="157"/>
      <c r="K12" s="157"/>
    </row>
    <row r="13" spans="1:11" x14ac:dyDescent="0.2">
      <c r="A13" s="156"/>
      <c r="B13" s="158" t="s">
        <v>112</v>
      </c>
      <c r="C13" s="158" t="s">
        <v>1</v>
      </c>
      <c r="D13" s="158" t="s">
        <v>2</v>
      </c>
      <c r="E13" s="158" t="s">
        <v>4</v>
      </c>
      <c r="F13" s="158" t="s">
        <v>23</v>
      </c>
      <c r="G13" s="158" t="s">
        <v>156</v>
      </c>
      <c r="H13" s="158" t="s">
        <v>159</v>
      </c>
      <c r="I13" s="157"/>
      <c r="J13" s="157"/>
      <c r="K13" s="157"/>
    </row>
    <row r="14" spans="1:11" x14ac:dyDescent="0.2">
      <c r="A14" s="156"/>
      <c r="B14" s="158" t="s">
        <v>112</v>
      </c>
      <c r="C14" s="158" t="s">
        <v>0</v>
      </c>
      <c r="D14" s="158" t="s">
        <v>177</v>
      </c>
      <c r="E14" s="158" t="s">
        <v>4</v>
      </c>
      <c r="F14" s="158" t="s">
        <v>10</v>
      </c>
      <c r="G14" s="157" t="s">
        <v>228</v>
      </c>
      <c r="H14" s="158" t="s">
        <v>17</v>
      </c>
      <c r="I14" s="158" t="s">
        <v>130</v>
      </c>
      <c r="J14" s="158"/>
      <c r="K14" s="158"/>
    </row>
    <row r="15" spans="1:11" x14ac:dyDescent="0.2">
      <c r="A15" s="156"/>
      <c r="B15" s="158" t="s">
        <v>112</v>
      </c>
      <c r="C15" s="158" t="s">
        <v>0</v>
      </c>
      <c r="D15" s="158" t="s">
        <v>177</v>
      </c>
      <c r="E15" s="158" t="s">
        <v>4</v>
      </c>
      <c r="F15" s="158" t="s">
        <v>10</v>
      </c>
      <c r="G15" s="158" t="s">
        <v>228</v>
      </c>
      <c r="H15" s="158" t="s">
        <v>159</v>
      </c>
      <c r="I15" s="158"/>
      <c r="J15" s="158"/>
      <c r="K15" s="158"/>
    </row>
    <row r="16" spans="1:11" x14ac:dyDescent="0.2">
      <c r="A16" s="156"/>
      <c r="B16" s="158" t="s">
        <v>112</v>
      </c>
      <c r="C16" s="158" t="s">
        <v>1</v>
      </c>
      <c r="D16" s="158" t="s">
        <v>177</v>
      </c>
      <c r="E16" s="158" t="s">
        <v>3</v>
      </c>
      <c r="F16" s="158" t="s">
        <v>10</v>
      </c>
      <c r="G16" s="158" t="s">
        <v>228</v>
      </c>
      <c r="H16" s="158" t="s">
        <v>159</v>
      </c>
      <c r="I16" s="158"/>
      <c r="J16" s="158"/>
      <c r="K16" s="158"/>
    </row>
    <row r="17" spans="1:11" x14ac:dyDescent="0.2">
      <c r="A17" s="156"/>
      <c r="B17" s="158" t="s">
        <v>112</v>
      </c>
      <c r="C17" s="158" t="s">
        <v>0</v>
      </c>
      <c r="D17" s="158" t="s">
        <v>177</v>
      </c>
      <c r="E17" s="158" t="s">
        <v>4</v>
      </c>
      <c r="F17" s="157" t="s">
        <v>12</v>
      </c>
      <c r="G17" s="158" t="s">
        <v>156</v>
      </c>
      <c r="H17" s="158" t="s">
        <v>159</v>
      </c>
      <c r="I17" s="157"/>
      <c r="J17" s="157"/>
      <c r="K17" s="157"/>
    </row>
    <row r="18" spans="1:11" x14ac:dyDescent="0.2">
      <c r="A18" s="156"/>
      <c r="B18" s="158" t="s">
        <v>112</v>
      </c>
      <c r="C18" s="158" t="s">
        <v>1</v>
      </c>
      <c r="D18" s="158" t="s">
        <v>177</v>
      </c>
      <c r="E18" s="158" t="s">
        <v>3</v>
      </c>
      <c r="F18" s="158" t="s">
        <v>12</v>
      </c>
      <c r="G18" s="158" t="s">
        <v>156</v>
      </c>
      <c r="H18" s="158" t="s">
        <v>159</v>
      </c>
      <c r="I18" s="158"/>
      <c r="J18" s="158"/>
      <c r="K18" s="158"/>
    </row>
    <row r="19" spans="1:11" x14ac:dyDescent="0.2">
      <c r="A19" s="156"/>
      <c r="B19" s="158" t="s">
        <v>112</v>
      </c>
      <c r="C19" s="158" t="s">
        <v>1</v>
      </c>
      <c r="D19" s="158" t="s">
        <v>177</v>
      </c>
      <c r="E19" s="157" t="s">
        <v>233</v>
      </c>
      <c r="F19" s="158" t="s">
        <v>12</v>
      </c>
      <c r="G19" s="158" t="s">
        <v>156</v>
      </c>
      <c r="H19" s="158" t="s">
        <v>159</v>
      </c>
      <c r="I19" s="157"/>
      <c r="J19" s="157"/>
      <c r="K19" s="157"/>
    </row>
    <row r="20" spans="1:11" x14ac:dyDescent="0.2">
      <c r="A20" s="156"/>
      <c r="B20" s="158" t="s">
        <v>112</v>
      </c>
      <c r="C20" s="158" t="s">
        <v>1</v>
      </c>
      <c r="D20" s="158" t="s">
        <v>177</v>
      </c>
      <c r="E20" s="158" t="s">
        <v>4</v>
      </c>
      <c r="F20" s="158" t="s">
        <v>23</v>
      </c>
      <c r="G20" s="158" t="s">
        <v>156</v>
      </c>
      <c r="H20" s="158" t="s">
        <v>159</v>
      </c>
      <c r="I20" s="158"/>
      <c r="J20" s="158"/>
      <c r="K20" s="158"/>
    </row>
    <row r="21" spans="1:11" x14ac:dyDescent="0.2">
      <c r="A21" s="156"/>
      <c r="B21" s="158" t="s">
        <v>112</v>
      </c>
      <c r="C21" s="158" t="s">
        <v>0</v>
      </c>
      <c r="D21" s="158" t="s">
        <v>2</v>
      </c>
      <c r="E21" s="158" t="s">
        <v>4</v>
      </c>
      <c r="F21" s="158" t="s">
        <v>10</v>
      </c>
      <c r="G21" s="158" t="s">
        <v>156</v>
      </c>
      <c r="H21" s="158" t="s">
        <v>159</v>
      </c>
      <c r="I21" s="158"/>
      <c r="J21" s="158"/>
      <c r="K21" s="158"/>
    </row>
    <row r="22" spans="1:11" x14ac:dyDescent="0.2">
      <c r="A22" s="156"/>
      <c r="B22" s="158" t="s">
        <v>113</v>
      </c>
      <c r="C22" s="158" t="s">
        <v>1</v>
      </c>
      <c r="D22" s="158" t="s">
        <v>2</v>
      </c>
      <c r="E22" s="158" t="s">
        <v>4</v>
      </c>
      <c r="F22" s="158" t="s">
        <v>10</v>
      </c>
      <c r="G22" s="158" t="s">
        <v>156</v>
      </c>
      <c r="H22" s="158" t="s">
        <v>159</v>
      </c>
      <c r="I22" s="158"/>
      <c r="J22" s="158"/>
      <c r="K22" s="158"/>
    </row>
    <row r="23" spans="1:11" x14ac:dyDescent="0.2">
      <c r="A23" s="156"/>
      <c r="B23" s="158" t="s">
        <v>113</v>
      </c>
      <c r="C23" s="158" t="s">
        <v>0</v>
      </c>
      <c r="D23" s="158" t="s">
        <v>177</v>
      </c>
      <c r="E23" s="158" t="s">
        <v>3</v>
      </c>
      <c r="F23" s="158" t="s">
        <v>106</v>
      </c>
      <c r="G23" s="158" t="s">
        <v>156</v>
      </c>
      <c r="H23" s="158" t="s">
        <v>17</v>
      </c>
      <c r="I23" s="157"/>
      <c r="J23" s="157"/>
      <c r="K23" s="157"/>
    </row>
    <row r="24" spans="1:11" x14ac:dyDescent="0.2">
      <c r="A24" s="156"/>
      <c r="B24" s="158" t="s">
        <v>113</v>
      </c>
      <c r="C24" s="157" t="s">
        <v>202</v>
      </c>
      <c r="D24" s="158" t="s">
        <v>2</v>
      </c>
      <c r="E24" s="158" t="s">
        <v>4</v>
      </c>
      <c r="F24" s="157"/>
      <c r="G24" s="158"/>
      <c r="H24" s="158" t="s">
        <v>17</v>
      </c>
      <c r="I24" s="158"/>
      <c r="J24" s="158"/>
      <c r="K24" s="158"/>
    </row>
    <row r="25" spans="1:11" x14ac:dyDescent="0.2">
      <c r="A25" s="156"/>
      <c r="B25" s="158" t="s">
        <v>113</v>
      </c>
      <c r="C25" s="158" t="s">
        <v>0</v>
      </c>
      <c r="D25" s="158" t="s">
        <v>177</v>
      </c>
      <c r="E25" s="158" t="s">
        <v>4</v>
      </c>
      <c r="F25" s="158" t="s">
        <v>10</v>
      </c>
      <c r="G25" s="158" t="s">
        <v>228</v>
      </c>
      <c r="H25" s="158" t="s">
        <v>159</v>
      </c>
      <c r="I25" s="157"/>
      <c r="J25" s="157"/>
      <c r="K25" s="157"/>
    </row>
    <row r="26" spans="1:11" x14ac:dyDescent="0.2">
      <c r="A26" s="156"/>
      <c r="B26" s="158" t="s">
        <v>113</v>
      </c>
      <c r="C26" s="158" t="s">
        <v>1</v>
      </c>
      <c r="D26" s="158" t="s">
        <v>177</v>
      </c>
      <c r="E26" s="158" t="s">
        <v>3</v>
      </c>
      <c r="F26" s="158" t="s">
        <v>10</v>
      </c>
      <c r="G26" s="158" t="s">
        <v>228</v>
      </c>
      <c r="H26" s="158" t="s">
        <v>159</v>
      </c>
      <c r="I26" s="157"/>
      <c r="J26" s="157"/>
      <c r="K26" s="157"/>
    </row>
    <row r="27" spans="1:11" x14ac:dyDescent="0.2">
      <c r="A27" s="156"/>
      <c r="B27" s="158" t="s">
        <v>113</v>
      </c>
      <c r="C27" s="158" t="s">
        <v>0</v>
      </c>
      <c r="D27" s="158" t="s">
        <v>177</v>
      </c>
      <c r="E27" s="158" t="s">
        <v>4</v>
      </c>
      <c r="F27" s="158" t="s">
        <v>106</v>
      </c>
      <c r="G27" s="158" t="s">
        <v>156</v>
      </c>
      <c r="H27" s="158" t="s">
        <v>17</v>
      </c>
      <c r="I27" s="158" t="s">
        <v>130</v>
      </c>
      <c r="J27" s="157"/>
      <c r="K27" s="157"/>
    </row>
    <row r="28" spans="1:11" x14ac:dyDescent="0.2">
      <c r="A28" s="156"/>
      <c r="B28" s="158" t="s">
        <v>113</v>
      </c>
      <c r="C28" s="158" t="s">
        <v>1</v>
      </c>
      <c r="D28" s="158" t="s">
        <v>177</v>
      </c>
      <c r="E28" s="158" t="s">
        <v>3</v>
      </c>
      <c r="F28" s="158" t="s">
        <v>106</v>
      </c>
      <c r="G28" s="158" t="s">
        <v>156</v>
      </c>
      <c r="H28" s="158" t="s">
        <v>17</v>
      </c>
      <c r="I28" s="158" t="s">
        <v>130</v>
      </c>
      <c r="J28" s="157"/>
      <c r="K28" s="157"/>
    </row>
    <row r="29" spans="1:11" x14ac:dyDescent="0.2">
      <c r="A29" s="156"/>
      <c r="B29" s="158" t="s">
        <v>113</v>
      </c>
      <c r="C29" s="158" t="s">
        <v>0</v>
      </c>
      <c r="D29" s="158" t="s">
        <v>177</v>
      </c>
      <c r="E29" s="158" t="s">
        <v>4</v>
      </c>
      <c r="F29" s="158" t="s">
        <v>10</v>
      </c>
      <c r="G29" s="158" t="s">
        <v>228</v>
      </c>
      <c r="H29" s="158" t="s">
        <v>17</v>
      </c>
      <c r="I29" s="158" t="s">
        <v>130</v>
      </c>
      <c r="J29" s="157"/>
      <c r="K29" s="157"/>
    </row>
    <row r="30" spans="1:11" x14ac:dyDescent="0.2">
      <c r="A30" s="156"/>
      <c r="B30" s="158" t="s">
        <v>113</v>
      </c>
      <c r="C30" s="158" t="s">
        <v>0</v>
      </c>
      <c r="D30" s="158" t="s">
        <v>177</v>
      </c>
      <c r="E30" s="158" t="s">
        <v>4</v>
      </c>
      <c r="F30" s="158" t="s">
        <v>10</v>
      </c>
      <c r="G30" s="158" t="s">
        <v>228</v>
      </c>
      <c r="H30" s="158" t="s">
        <v>17</v>
      </c>
      <c r="I30" s="158" t="s">
        <v>130</v>
      </c>
      <c r="J30" s="157"/>
      <c r="K30" s="157"/>
    </row>
    <row r="31" spans="1:11" x14ac:dyDescent="0.2">
      <c r="A31" s="156"/>
      <c r="B31" s="158" t="s">
        <v>113</v>
      </c>
      <c r="C31" s="158" t="s">
        <v>1</v>
      </c>
      <c r="D31" s="158" t="s">
        <v>2</v>
      </c>
      <c r="E31" s="158" t="s">
        <v>4</v>
      </c>
      <c r="F31" s="157" t="s">
        <v>13</v>
      </c>
      <c r="G31" s="158" t="s">
        <v>156</v>
      </c>
      <c r="H31" s="158" t="s">
        <v>159</v>
      </c>
      <c r="I31" s="157"/>
      <c r="J31" s="157"/>
      <c r="K31" s="157"/>
    </row>
    <row r="32" spans="1:11" x14ac:dyDescent="0.2">
      <c r="A32" s="156"/>
      <c r="B32" s="158" t="s">
        <v>113</v>
      </c>
      <c r="C32" s="158" t="s">
        <v>1</v>
      </c>
      <c r="D32" s="158" t="s">
        <v>2</v>
      </c>
      <c r="E32" s="157" t="s">
        <v>232</v>
      </c>
      <c r="F32" s="158" t="s">
        <v>13</v>
      </c>
      <c r="G32" s="158" t="s">
        <v>156</v>
      </c>
      <c r="H32" s="158" t="s">
        <v>159</v>
      </c>
      <c r="I32" s="157"/>
      <c r="J32" s="157"/>
      <c r="K32" s="157"/>
    </row>
    <row r="33" spans="1:11" x14ac:dyDescent="0.2">
      <c r="A33" s="156"/>
      <c r="B33" s="158" t="s">
        <v>113</v>
      </c>
      <c r="C33" s="158" t="s">
        <v>1</v>
      </c>
      <c r="D33" s="158" t="s">
        <v>2</v>
      </c>
      <c r="E33" s="157" t="s">
        <v>232</v>
      </c>
      <c r="F33" s="158" t="s">
        <v>13</v>
      </c>
      <c r="G33" s="158" t="s">
        <v>156</v>
      </c>
      <c r="H33" s="158" t="s">
        <v>159</v>
      </c>
      <c r="I33" s="157"/>
      <c r="J33" s="157"/>
      <c r="K33" s="157"/>
    </row>
    <row r="34" spans="1:11" x14ac:dyDescent="0.2">
      <c r="A34" s="156"/>
      <c r="B34" s="158" t="s">
        <v>113</v>
      </c>
      <c r="C34" s="158" t="s">
        <v>1</v>
      </c>
      <c r="D34" s="158" t="s">
        <v>177</v>
      </c>
      <c r="E34" s="158" t="s">
        <v>4</v>
      </c>
      <c r="F34" s="158" t="s">
        <v>23</v>
      </c>
      <c r="G34" s="157" t="s">
        <v>158</v>
      </c>
      <c r="H34" s="158" t="s">
        <v>7</v>
      </c>
      <c r="I34" s="157" t="s">
        <v>133</v>
      </c>
      <c r="J34" s="157"/>
      <c r="K34" s="157"/>
    </row>
    <row r="35" spans="1:11" x14ac:dyDescent="0.2">
      <c r="A35" s="156"/>
      <c r="B35" s="158" t="s">
        <v>113</v>
      </c>
      <c r="C35" s="158" t="s">
        <v>0</v>
      </c>
      <c r="D35" s="158" t="s">
        <v>177</v>
      </c>
      <c r="E35" s="158" t="s">
        <v>4</v>
      </c>
      <c r="F35" s="158" t="s">
        <v>10</v>
      </c>
      <c r="G35" s="158" t="s">
        <v>228</v>
      </c>
      <c r="H35" s="158" t="s">
        <v>7</v>
      </c>
      <c r="I35" s="158" t="s">
        <v>133</v>
      </c>
      <c r="J35" s="157"/>
      <c r="K35" s="157"/>
    </row>
    <row r="36" spans="1:11" x14ac:dyDescent="0.2">
      <c r="A36" s="156"/>
      <c r="B36" s="158" t="s">
        <v>113</v>
      </c>
      <c r="C36" s="158" t="s">
        <v>0</v>
      </c>
      <c r="D36" s="158" t="s">
        <v>177</v>
      </c>
      <c r="E36" s="158" t="s">
        <v>4</v>
      </c>
      <c r="F36" s="158" t="s">
        <v>106</v>
      </c>
      <c r="G36" s="158" t="s">
        <v>156</v>
      </c>
      <c r="H36" s="158" t="s">
        <v>7</v>
      </c>
      <c r="I36" s="158" t="s">
        <v>133</v>
      </c>
      <c r="J36" s="157"/>
      <c r="K36" s="157"/>
    </row>
    <row r="37" spans="1:11" x14ac:dyDescent="0.2">
      <c r="A37" s="156"/>
      <c r="B37" s="158" t="s">
        <v>113</v>
      </c>
      <c r="C37" s="158" t="s">
        <v>1</v>
      </c>
      <c r="D37" s="158" t="s">
        <v>177</v>
      </c>
      <c r="E37" s="158" t="s">
        <v>3</v>
      </c>
      <c r="F37" s="158" t="s">
        <v>106</v>
      </c>
      <c r="G37" s="158" t="s">
        <v>156</v>
      </c>
      <c r="H37" s="158" t="s">
        <v>7</v>
      </c>
      <c r="I37" s="158" t="s">
        <v>133</v>
      </c>
      <c r="J37" s="157"/>
      <c r="K37" s="157"/>
    </row>
    <row r="38" spans="1:11" x14ac:dyDescent="0.2">
      <c r="A38" s="156"/>
      <c r="B38" s="158" t="s">
        <v>113</v>
      </c>
      <c r="C38" s="158" t="s">
        <v>0</v>
      </c>
      <c r="D38" s="158" t="s">
        <v>177</v>
      </c>
      <c r="E38" s="158" t="s">
        <v>4</v>
      </c>
      <c r="F38" s="158" t="s">
        <v>236</v>
      </c>
      <c r="G38" s="158" t="s">
        <v>156</v>
      </c>
      <c r="H38" s="158" t="s">
        <v>7</v>
      </c>
      <c r="I38" s="158" t="s">
        <v>133</v>
      </c>
      <c r="J38" s="157"/>
      <c r="K38" s="157"/>
    </row>
    <row r="39" spans="1:11" x14ac:dyDescent="0.2">
      <c r="A39" s="156"/>
      <c r="B39" s="158" t="s">
        <v>113</v>
      </c>
      <c r="C39" s="158" t="s">
        <v>0</v>
      </c>
      <c r="D39" s="158" t="s">
        <v>177</v>
      </c>
      <c r="E39" s="158" t="s">
        <v>4</v>
      </c>
      <c r="F39" s="158" t="s">
        <v>11</v>
      </c>
      <c r="G39" s="158" t="s">
        <v>228</v>
      </c>
      <c r="H39" s="158" t="s">
        <v>7</v>
      </c>
      <c r="I39" s="158" t="s">
        <v>133</v>
      </c>
      <c r="J39" s="157"/>
      <c r="K39" s="157"/>
    </row>
    <row r="40" spans="1:11" x14ac:dyDescent="0.2">
      <c r="A40" s="156"/>
      <c r="B40" s="158" t="s">
        <v>113</v>
      </c>
      <c r="C40" s="158" t="s">
        <v>0</v>
      </c>
      <c r="D40" s="158" t="s">
        <v>177</v>
      </c>
      <c r="E40" s="158" t="s">
        <v>4</v>
      </c>
      <c r="F40" s="158" t="s">
        <v>10</v>
      </c>
      <c r="G40" s="158" t="s">
        <v>228</v>
      </c>
      <c r="H40" s="158" t="s">
        <v>7</v>
      </c>
      <c r="I40" s="158" t="s">
        <v>133</v>
      </c>
      <c r="J40" s="157"/>
      <c r="K40" s="157"/>
    </row>
    <row r="41" spans="1:11" x14ac:dyDescent="0.2">
      <c r="A41" s="156"/>
      <c r="B41" s="158" t="s">
        <v>113</v>
      </c>
      <c r="C41" s="158" t="s">
        <v>0</v>
      </c>
      <c r="D41" s="158" t="s">
        <v>177</v>
      </c>
      <c r="E41" s="158" t="s">
        <v>4</v>
      </c>
      <c r="F41" s="158" t="s">
        <v>11</v>
      </c>
      <c r="G41" s="158" t="s">
        <v>156</v>
      </c>
      <c r="H41" s="158" t="s">
        <v>7</v>
      </c>
      <c r="I41" s="158" t="s">
        <v>133</v>
      </c>
      <c r="J41" s="157"/>
      <c r="K41" s="157"/>
    </row>
    <row r="42" spans="1:11" x14ac:dyDescent="0.2">
      <c r="A42" s="156"/>
      <c r="B42" s="158" t="s">
        <v>113</v>
      </c>
      <c r="C42" s="158" t="s">
        <v>0</v>
      </c>
      <c r="D42" s="158" t="s">
        <v>177</v>
      </c>
      <c r="E42" s="158" t="s">
        <v>4</v>
      </c>
      <c r="F42" s="158" t="s">
        <v>10</v>
      </c>
      <c r="G42" s="158" t="s">
        <v>228</v>
      </c>
      <c r="H42" s="158" t="s">
        <v>7</v>
      </c>
      <c r="I42" s="158" t="s">
        <v>133</v>
      </c>
      <c r="J42" s="157"/>
      <c r="K42" s="157"/>
    </row>
    <row r="43" spans="1:11" x14ac:dyDescent="0.2">
      <c r="A43" s="156"/>
      <c r="B43" s="158" t="s">
        <v>113</v>
      </c>
      <c r="C43" s="158" t="s">
        <v>0</v>
      </c>
      <c r="D43" s="158" t="s">
        <v>177</v>
      </c>
      <c r="E43" s="158" t="s">
        <v>4</v>
      </c>
      <c r="F43" s="158" t="s">
        <v>23</v>
      </c>
      <c r="G43" s="158" t="s">
        <v>228</v>
      </c>
      <c r="H43" s="158" t="s">
        <v>7</v>
      </c>
      <c r="I43" s="158" t="s">
        <v>133</v>
      </c>
      <c r="J43" s="157"/>
      <c r="K43" s="157"/>
    </row>
    <row r="44" spans="1:11" x14ac:dyDescent="0.2">
      <c r="A44" s="156"/>
      <c r="B44" s="158" t="s">
        <v>113</v>
      </c>
      <c r="C44" s="158" t="s">
        <v>0</v>
      </c>
      <c r="D44" s="158" t="s">
        <v>177</v>
      </c>
      <c r="E44" s="158" t="s">
        <v>3</v>
      </c>
      <c r="F44" s="157" t="s">
        <v>56</v>
      </c>
      <c r="G44" s="158" t="s">
        <v>156</v>
      </c>
      <c r="H44" s="158" t="s">
        <v>7</v>
      </c>
      <c r="I44" s="158" t="s">
        <v>133</v>
      </c>
      <c r="J44" s="157"/>
      <c r="K44" s="157"/>
    </row>
    <row r="45" spans="1:11" x14ac:dyDescent="0.2">
      <c r="A45" s="156"/>
      <c r="B45" s="158" t="s">
        <v>113</v>
      </c>
      <c r="C45" s="158" t="s">
        <v>0</v>
      </c>
      <c r="D45" s="158" t="s">
        <v>177</v>
      </c>
      <c r="E45" s="158" t="s">
        <v>3</v>
      </c>
      <c r="F45" s="158" t="s">
        <v>56</v>
      </c>
      <c r="G45" s="158" t="s">
        <v>156</v>
      </c>
      <c r="H45" s="158" t="s">
        <v>7</v>
      </c>
      <c r="I45" s="158" t="s">
        <v>133</v>
      </c>
      <c r="J45" s="157"/>
      <c r="K45" s="157"/>
    </row>
    <row r="46" spans="1:11" x14ac:dyDescent="0.2">
      <c r="A46" s="156"/>
      <c r="B46" s="158" t="s">
        <v>113</v>
      </c>
      <c r="C46" s="158" t="s">
        <v>0</v>
      </c>
      <c r="D46" s="158" t="s">
        <v>177</v>
      </c>
      <c r="E46" s="158" t="s">
        <v>4</v>
      </c>
      <c r="F46" s="158" t="s">
        <v>10</v>
      </c>
      <c r="G46" s="158" t="s">
        <v>228</v>
      </c>
      <c r="H46" s="158" t="s">
        <v>7</v>
      </c>
      <c r="I46" s="158" t="s">
        <v>133</v>
      </c>
      <c r="J46" s="157"/>
      <c r="K46" s="157"/>
    </row>
    <row r="47" spans="1:11" x14ac:dyDescent="0.2">
      <c r="A47" s="156"/>
      <c r="B47" s="158" t="s">
        <v>113</v>
      </c>
      <c r="C47" s="158" t="s">
        <v>0</v>
      </c>
      <c r="D47" s="158" t="s">
        <v>177</v>
      </c>
      <c r="E47" s="158" t="s">
        <v>4</v>
      </c>
      <c r="F47" s="158" t="s">
        <v>13</v>
      </c>
      <c r="G47" s="158" t="s">
        <v>156</v>
      </c>
      <c r="H47" s="158" t="s">
        <v>7</v>
      </c>
      <c r="I47" s="158" t="s">
        <v>133</v>
      </c>
      <c r="J47" s="157"/>
      <c r="K47" s="157"/>
    </row>
    <row r="48" spans="1:11" x14ac:dyDescent="0.2">
      <c r="A48" s="156"/>
      <c r="B48" s="158" t="s">
        <v>113</v>
      </c>
      <c r="C48" s="158" t="s">
        <v>1</v>
      </c>
      <c r="D48" s="158" t="s">
        <v>177</v>
      </c>
      <c r="E48" s="158" t="s">
        <v>4</v>
      </c>
      <c r="F48" s="158" t="s">
        <v>13</v>
      </c>
      <c r="G48" s="158" t="s">
        <v>156</v>
      </c>
      <c r="H48" s="158" t="s">
        <v>7</v>
      </c>
      <c r="I48" s="158" t="s">
        <v>133</v>
      </c>
      <c r="J48" s="157"/>
      <c r="K48" s="157"/>
    </row>
    <row r="49" spans="1:11" x14ac:dyDescent="0.2">
      <c r="A49" s="156"/>
      <c r="B49" s="158" t="s">
        <v>113</v>
      </c>
      <c r="C49" s="158" t="s">
        <v>202</v>
      </c>
      <c r="D49" s="157"/>
      <c r="E49" s="157"/>
      <c r="F49" s="157"/>
      <c r="G49" s="157"/>
      <c r="H49" s="158" t="s">
        <v>7</v>
      </c>
      <c r="I49" s="158" t="s">
        <v>133</v>
      </c>
      <c r="J49" s="157"/>
      <c r="K49" s="157"/>
    </row>
    <row r="50" spans="1:11" x14ac:dyDescent="0.2">
      <c r="A50" s="156"/>
      <c r="B50" s="158" t="s">
        <v>113</v>
      </c>
      <c r="C50" s="158" t="s">
        <v>0</v>
      </c>
      <c r="D50" s="158" t="s">
        <v>177</v>
      </c>
      <c r="E50" s="158" t="s">
        <v>4</v>
      </c>
      <c r="F50" s="158" t="s">
        <v>11</v>
      </c>
      <c r="G50" s="158" t="s">
        <v>156</v>
      </c>
      <c r="H50" s="158" t="s">
        <v>7</v>
      </c>
      <c r="I50" s="158" t="s">
        <v>133</v>
      </c>
      <c r="J50" s="157"/>
      <c r="K50" s="157"/>
    </row>
    <row r="51" spans="1:11" x14ac:dyDescent="0.2">
      <c r="A51" s="156"/>
      <c r="B51" s="158" t="s">
        <v>113</v>
      </c>
      <c r="C51" s="158" t="s">
        <v>0</v>
      </c>
      <c r="D51" s="158" t="s">
        <v>177</v>
      </c>
      <c r="E51" s="158" t="s">
        <v>4</v>
      </c>
      <c r="F51" s="158" t="s">
        <v>9</v>
      </c>
      <c r="G51" s="158" t="s">
        <v>156</v>
      </c>
      <c r="H51" s="158" t="s">
        <v>159</v>
      </c>
      <c r="I51" s="157"/>
      <c r="J51" s="157"/>
      <c r="K51" s="157"/>
    </row>
    <row r="52" spans="1:11" x14ac:dyDescent="0.2">
      <c r="A52" s="156"/>
      <c r="B52" s="158" t="s">
        <v>113</v>
      </c>
      <c r="C52" s="158" t="s">
        <v>1</v>
      </c>
      <c r="D52" s="158" t="s">
        <v>2</v>
      </c>
      <c r="E52" s="158" t="s">
        <v>4</v>
      </c>
      <c r="F52" s="157" t="s">
        <v>110</v>
      </c>
      <c r="G52" s="158" t="s">
        <v>158</v>
      </c>
      <c r="H52" s="158" t="s">
        <v>159</v>
      </c>
      <c r="I52" s="157"/>
      <c r="J52" s="157"/>
      <c r="K52" s="157"/>
    </row>
    <row r="53" spans="1:11" x14ac:dyDescent="0.2">
      <c r="A53" s="156"/>
      <c r="B53" s="158" t="s">
        <v>113</v>
      </c>
      <c r="C53" s="158" t="s">
        <v>1</v>
      </c>
      <c r="D53" s="158" t="s">
        <v>177</v>
      </c>
      <c r="E53" s="158" t="s">
        <v>4</v>
      </c>
      <c r="F53" s="158" t="s">
        <v>23</v>
      </c>
      <c r="G53" s="158" t="s">
        <v>156</v>
      </c>
      <c r="H53" s="158" t="s">
        <v>159</v>
      </c>
      <c r="I53" s="157"/>
      <c r="J53" s="157"/>
      <c r="K53" s="157"/>
    </row>
    <row r="54" spans="1:11" x14ac:dyDescent="0.2">
      <c r="A54" s="156"/>
      <c r="B54" s="158" t="s">
        <v>113</v>
      </c>
      <c r="C54" s="158" t="s">
        <v>1</v>
      </c>
      <c r="D54" s="158" t="s">
        <v>177</v>
      </c>
      <c r="E54" s="158" t="s">
        <v>3</v>
      </c>
      <c r="F54" s="158" t="s">
        <v>10</v>
      </c>
      <c r="G54" s="158" t="s">
        <v>228</v>
      </c>
      <c r="H54" s="158" t="s">
        <v>17</v>
      </c>
      <c r="I54" s="158"/>
      <c r="J54" s="157"/>
      <c r="K54" s="157"/>
    </row>
    <row r="55" spans="1:11" x14ac:dyDescent="0.2">
      <c r="A55" s="156"/>
      <c r="B55" s="157" t="s">
        <v>114</v>
      </c>
      <c r="C55" s="158" t="s">
        <v>1</v>
      </c>
      <c r="D55" s="158" t="s">
        <v>177</v>
      </c>
      <c r="E55" s="158" t="s">
        <v>4</v>
      </c>
      <c r="F55" s="158" t="s">
        <v>153</v>
      </c>
      <c r="G55" s="158" t="s">
        <v>158</v>
      </c>
      <c r="H55" s="158" t="s">
        <v>17</v>
      </c>
      <c r="I55" s="158" t="s">
        <v>130</v>
      </c>
      <c r="J55" s="157"/>
      <c r="K55" s="157"/>
    </row>
    <row r="56" spans="1:11" x14ac:dyDescent="0.2">
      <c r="A56" s="156"/>
      <c r="B56" s="158" t="s">
        <v>114</v>
      </c>
      <c r="C56" s="158" t="s">
        <v>0</v>
      </c>
      <c r="D56" s="158" t="s">
        <v>177</v>
      </c>
      <c r="E56" s="158" t="s">
        <v>4</v>
      </c>
      <c r="F56" s="158" t="s">
        <v>10</v>
      </c>
      <c r="G56" s="158" t="s">
        <v>228</v>
      </c>
      <c r="H56" s="158" t="s">
        <v>17</v>
      </c>
      <c r="I56" s="158" t="s">
        <v>130</v>
      </c>
      <c r="J56" s="157"/>
      <c r="K56" s="157"/>
    </row>
    <row r="57" spans="1:11" x14ac:dyDescent="0.2">
      <c r="A57" s="156"/>
      <c r="B57" s="158" t="s">
        <v>114</v>
      </c>
      <c r="C57" s="158" t="s">
        <v>1</v>
      </c>
      <c r="D57" s="158" t="s">
        <v>177</v>
      </c>
      <c r="E57" s="158" t="s">
        <v>4</v>
      </c>
      <c r="F57" s="158" t="s">
        <v>13</v>
      </c>
      <c r="G57" s="158" t="s">
        <v>158</v>
      </c>
      <c r="H57" s="158" t="s">
        <v>17</v>
      </c>
      <c r="I57" s="158" t="s">
        <v>130</v>
      </c>
      <c r="J57" s="157"/>
      <c r="K57" s="157"/>
    </row>
    <row r="58" spans="1:11" x14ac:dyDescent="0.2">
      <c r="A58" s="156"/>
      <c r="B58" s="158" t="s">
        <v>114</v>
      </c>
      <c r="C58" s="158" t="s">
        <v>1</v>
      </c>
      <c r="D58" s="158" t="s">
        <v>2</v>
      </c>
      <c r="E58" s="158" t="s">
        <v>4</v>
      </c>
      <c r="F58" s="158" t="s">
        <v>13</v>
      </c>
      <c r="G58" s="158" t="s">
        <v>155</v>
      </c>
      <c r="H58" s="158" t="s">
        <v>7</v>
      </c>
      <c r="I58" s="157" t="s">
        <v>120</v>
      </c>
      <c r="J58" s="157"/>
      <c r="K58" s="157"/>
    </row>
    <row r="59" spans="1:11" x14ac:dyDescent="0.2">
      <c r="A59" s="156"/>
      <c r="B59" s="158" t="s">
        <v>114</v>
      </c>
      <c r="C59" s="158" t="s">
        <v>1</v>
      </c>
      <c r="D59" s="158" t="s">
        <v>177</v>
      </c>
      <c r="E59" s="158" t="s">
        <v>3</v>
      </c>
      <c r="F59" s="158" t="s">
        <v>106</v>
      </c>
      <c r="G59" s="158" t="s">
        <v>156</v>
      </c>
      <c r="H59" s="158" t="s">
        <v>7</v>
      </c>
      <c r="I59" s="158" t="s">
        <v>120</v>
      </c>
      <c r="J59" s="157"/>
      <c r="K59" s="157"/>
    </row>
    <row r="60" spans="1:11" x14ac:dyDescent="0.2">
      <c r="A60" s="156"/>
      <c r="B60" s="158" t="s">
        <v>114</v>
      </c>
      <c r="C60" s="158" t="s">
        <v>1</v>
      </c>
      <c r="D60" s="158" t="s">
        <v>177</v>
      </c>
      <c r="E60" s="158" t="s">
        <v>3</v>
      </c>
      <c r="F60" s="158" t="s">
        <v>13</v>
      </c>
      <c r="G60" s="158" t="s">
        <v>156</v>
      </c>
      <c r="H60" s="158" t="s">
        <v>7</v>
      </c>
      <c r="I60" s="158" t="s">
        <v>120</v>
      </c>
      <c r="J60" s="157"/>
      <c r="K60" s="157"/>
    </row>
    <row r="61" spans="1:11" x14ac:dyDescent="0.2">
      <c r="A61" s="156"/>
      <c r="B61" s="158" t="s">
        <v>114</v>
      </c>
      <c r="C61" s="158" t="s">
        <v>1</v>
      </c>
      <c r="D61" s="158" t="s">
        <v>177</v>
      </c>
      <c r="E61" s="158" t="s">
        <v>4</v>
      </c>
      <c r="F61" s="158" t="s">
        <v>110</v>
      </c>
      <c r="G61" s="158" t="s">
        <v>156</v>
      </c>
      <c r="H61" s="158" t="s">
        <v>7</v>
      </c>
      <c r="I61" s="158" t="s">
        <v>120</v>
      </c>
      <c r="J61" s="157"/>
      <c r="K61" s="157"/>
    </row>
    <row r="62" spans="1:11" x14ac:dyDescent="0.2">
      <c r="A62" s="156"/>
      <c r="B62" s="158" t="s">
        <v>114</v>
      </c>
      <c r="C62" s="158" t="s">
        <v>0</v>
      </c>
      <c r="D62" s="158" t="s">
        <v>177</v>
      </c>
      <c r="E62" s="158" t="s">
        <v>3</v>
      </c>
      <c r="F62" s="158" t="s">
        <v>56</v>
      </c>
      <c r="G62" s="158" t="s">
        <v>156</v>
      </c>
      <c r="H62" s="158" t="s">
        <v>7</v>
      </c>
      <c r="I62" s="157" t="s">
        <v>254</v>
      </c>
      <c r="J62" s="157"/>
      <c r="K62" s="157"/>
    </row>
    <row r="63" spans="1:11" x14ac:dyDescent="0.2">
      <c r="A63" s="156"/>
      <c r="B63" s="158" t="s">
        <v>114</v>
      </c>
      <c r="C63" s="158" t="s">
        <v>0</v>
      </c>
      <c r="D63" s="158" t="s">
        <v>177</v>
      </c>
      <c r="E63" s="158" t="s">
        <v>4</v>
      </c>
      <c r="F63" s="158" t="s">
        <v>10</v>
      </c>
      <c r="G63" s="158" t="s">
        <v>228</v>
      </c>
      <c r="H63" s="158" t="s">
        <v>7</v>
      </c>
      <c r="I63" s="158" t="s">
        <v>254</v>
      </c>
      <c r="J63" s="157"/>
      <c r="K63" s="157"/>
    </row>
    <row r="64" spans="1:11" x14ac:dyDescent="0.2">
      <c r="A64" s="156"/>
      <c r="B64" s="158" t="s">
        <v>114</v>
      </c>
      <c r="C64" s="158" t="s">
        <v>0</v>
      </c>
      <c r="D64" s="158" t="s">
        <v>177</v>
      </c>
      <c r="E64" s="158" t="s">
        <v>4</v>
      </c>
      <c r="F64" s="158" t="s">
        <v>10</v>
      </c>
      <c r="G64" s="158" t="s">
        <v>156</v>
      </c>
      <c r="H64" s="158" t="s">
        <v>7</v>
      </c>
      <c r="I64" s="158" t="s">
        <v>254</v>
      </c>
      <c r="J64" s="157"/>
      <c r="K64" s="157"/>
    </row>
    <row r="65" spans="1:11" x14ac:dyDescent="0.2">
      <c r="A65" s="156"/>
      <c r="B65" s="158" t="s">
        <v>114</v>
      </c>
      <c r="C65" s="158" t="s">
        <v>0</v>
      </c>
      <c r="D65" s="158" t="s">
        <v>177</v>
      </c>
      <c r="E65" s="158" t="s">
        <v>3</v>
      </c>
      <c r="F65" s="158" t="s">
        <v>23</v>
      </c>
      <c r="G65" s="158" t="s">
        <v>156</v>
      </c>
      <c r="H65" s="158" t="s">
        <v>7</v>
      </c>
      <c r="I65" s="158" t="s">
        <v>119</v>
      </c>
      <c r="J65" s="157"/>
      <c r="K65" s="157"/>
    </row>
    <row r="66" spans="1:11" x14ac:dyDescent="0.2">
      <c r="A66" s="156"/>
      <c r="B66" s="158" t="s">
        <v>114</v>
      </c>
      <c r="C66" s="158" t="s">
        <v>0</v>
      </c>
      <c r="D66" s="158" t="s">
        <v>177</v>
      </c>
      <c r="E66" s="158" t="s">
        <v>3</v>
      </c>
      <c r="F66" s="158" t="s">
        <v>12</v>
      </c>
      <c r="G66" s="158" t="s">
        <v>156</v>
      </c>
      <c r="H66" s="158" t="s">
        <v>7</v>
      </c>
      <c r="I66" s="158" t="s">
        <v>119</v>
      </c>
      <c r="J66" s="157"/>
      <c r="K66" s="157"/>
    </row>
    <row r="67" spans="1:11" x14ac:dyDescent="0.2">
      <c r="A67" s="156"/>
      <c r="B67" s="158" t="s">
        <v>114</v>
      </c>
      <c r="C67" s="158" t="s">
        <v>0</v>
      </c>
      <c r="D67" s="158" t="s">
        <v>177</v>
      </c>
      <c r="E67" s="158" t="s">
        <v>3</v>
      </c>
      <c r="F67" s="158" t="s">
        <v>23</v>
      </c>
      <c r="G67" s="158" t="s">
        <v>156</v>
      </c>
      <c r="H67" s="158" t="s">
        <v>7</v>
      </c>
      <c r="I67" s="158" t="s">
        <v>119</v>
      </c>
      <c r="J67" s="157"/>
      <c r="K67" s="157"/>
    </row>
    <row r="68" spans="1:11" x14ac:dyDescent="0.2">
      <c r="A68" s="156"/>
      <c r="B68" s="158" t="s">
        <v>114</v>
      </c>
      <c r="C68" s="158" t="s">
        <v>0</v>
      </c>
      <c r="D68" s="158" t="s">
        <v>177</v>
      </c>
      <c r="E68" s="158" t="s">
        <v>3</v>
      </c>
      <c r="F68" s="158" t="s">
        <v>13</v>
      </c>
      <c r="G68" s="158" t="s">
        <v>156</v>
      </c>
      <c r="H68" s="158" t="s">
        <v>7</v>
      </c>
      <c r="I68" s="158" t="s">
        <v>119</v>
      </c>
      <c r="J68" s="157"/>
      <c r="K68" s="157"/>
    </row>
    <row r="69" spans="1:11" x14ac:dyDescent="0.2">
      <c r="A69" s="156"/>
      <c r="B69" s="158" t="s">
        <v>114</v>
      </c>
      <c r="C69" s="158" t="s">
        <v>0</v>
      </c>
      <c r="D69" s="158" t="s">
        <v>177</v>
      </c>
      <c r="E69" s="158" t="s">
        <v>3</v>
      </c>
      <c r="F69" s="157" t="s">
        <v>16</v>
      </c>
      <c r="G69" s="158" t="s">
        <v>156</v>
      </c>
      <c r="H69" s="158" t="s">
        <v>7</v>
      </c>
      <c r="I69" s="158" t="s">
        <v>119</v>
      </c>
      <c r="J69" s="157"/>
      <c r="K69" s="157"/>
    </row>
    <row r="70" spans="1:11" x14ac:dyDescent="0.2">
      <c r="A70" s="156"/>
      <c r="B70" s="158" t="s">
        <v>114</v>
      </c>
      <c r="C70" s="158" t="s">
        <v>1</v>
      </c>
      <c r="D70" s="158" t="s">
        <v>177</v>
      </c>
      <c r="E70" s="158" t="s">
        <v>4</v>
      </c>
      <c r="F70" s="158" t="s">
        <v>13</v>
      </c>
      <c r="G70" s="158" t="s">
        <v>158</v>
      </c>
      <c r="H70" s="158" t="s">
        <v>17</v>
      </c>
      <c r="I70" s="158" t="s">
        <v>130</v>
      </c>
      <c r="J70" s="157"/>
      <c r="K70" s="157"/>
    </row>
    <row r="71" spans="1:11" x14ac:dyDescent="0.2">
      <c r="A71" s="156"/>
      <c r="B71" s="158" t="s">
        <v>114</v>
      </c>
      <c r="C71" s="158" t="s">
        <v>0</v>
      </c>
      <c r="D71" s="158" t="s">
        <v>2</v>
      </c>
      <c r="E71" s="158" t="s">
        <v>3</v>
      </c>
      <c r="F71" s="158" t="s">
        <v>106</v>
      </c>
      <c r="G71" s="158" t="s">
        <v>156</v>
      </c>
      <c r="H71" s="158" t="s">
        <v>17</v>
      </c>
      <c r="I71" s="158" t="s">
        <v>130</v>
      </c>
      <c r="J71" s="157"/>
      <c r="K71" s="157"/>
    </row>
    <row r="72" spans="1:11" x14ac:dyDescent="0.2">
      <c r="A72" s="156"/>
      <c r="B72" s="158" t="s">
        <v>114</v>
      </c>
      <c r="C72" s="158" t="s">
        <v>1</v>
      </c>
      <c r="D72" s="158" t="s">
        <v>177</v>
      </c>
      <c r="E72" s="158" t="s">
        <v>4</v>
      </c>
      <c r="F72" s="158" t="s">
        <v>106</v>
      </c>
      <c r="G72" s="158" t="s">
        <v>156</v>
      </c>
      <c r="H72" s="158" t="s">
        <v>17</v>
      </c>
      <c r="I72" s="158" t="s">
        <v>130</v>
      </c>
      <c r="J72" s="157"/>
      <c r="K72" s="157"/>
    </row>
    <row r="73" spans="1:11" x14ac:dyDescent="0.2">
      <c r="A73" s="156"/>
      <c r="B73" s="158" t="s">
        <v>112</v>
      </c>
      <c r="C73" s="158" t="s">
        <v>0</v>
      </c>
      <c r="D73" s="158" t="s">
        <v>177</v>
      </c>
      <c r="E73" s="158" t="s">
        <v>3</v>
      </c>
      <c r="F73" s="158" t="s">
        <v>106</v>
      </c>
      <c r="G73" s="158" t="s">
        <v>156</v>
      </c>
      <c r="H73" s="158" t="s">
        <v>17</v>
      </c>
      <c r="I73" s="158" t="s">
        <v>130</v>
      </c>
      <c r="J73" s="157"/>
      <c r="K73" s="157"/>
    </row>
    <row r="74" spans="1:11" x14ac:dyDescent="0.2">
      <c r="A74" s="156"/>
      <c r="B74" s="158" t="s">
        <v>112</v>
      </c>
      <c r="C74" s="158" t="s">
        <v>0</v>
      </c>
      <c r="D74" s="158" t="s">
        <v>177</v>
      </c>
      <c r="E74" s="158" t="s">
        <v>4</v>
      </c>
      <c r="F74" s="158" t="s">
        <v>10</v>
      </c>
      <c r="G74" s="158" t="s">
        <v>228</v>
      </c>
      <c r="H74" s="158" t="s">
        <v>17</v>
      </c>
      <c r="I74" s="158" t="s">
        <v>130</v>
      </c>
      <c r="J74" s="157"/>
      <c r="K74" s="157"/>
    </row>
    <row r="75" spans="1:11" x14ac:dyDescent="0.2">
      <c r="A75" s="156"/>
      <c r="B75" s="158" t="s">
        <v>112</v>
      </c>
      <c r="C75" s="158" t="s">
        <v>0</v>
      </c>
      <c r="D75" s="158" t="s">
        <v>177</v>
      </c>
      <c r="E75" s="158" t="s">
        <v>4</v>
      </c>
      <c r="F75" s="157" t="s">
        <v>234</v>
      </c>
      <c r="G75" s="158" t="s">
        <v>156</v>
      </c>
      <c r="H75" s="158" t="s">
        <v>17</v>
      </c>
      <c r="I75" s="158" t="s">
        <v>130</v>
      </c>
      <c r="J75" s="157"/>
      <c r="K75" s="157"/>
    </row>
    <row r="76" spans="1:11" x14ac:dyDescent="0.2">
      <c r="A76" s="156"/>
      <c r="B76" s="158" t="s">
        <v>112</v>
      </c>
      <c r="C76" s="158" t="s">
        <v>0</v>
      </c>
      <c r="D76" s="158" t="s">
        <v>177</v>
      </c>
      <c r="E76" s="158" t="s">
        <v>4</v>
      </c>
      <c r="F76" s="158" t="s">
        <v>234</v>
      </c>
      <c r="G76" s="158" t="s">
        <v>156</v>
      </c>
      <c r="H76" s="158" t="s">
        <v>17</v>
      </c>
      <c r="I76" s="158" t="s">
        <v>130</v>
      </c>
      <c r="J76" s="157"/>
      <c r="K76" s="157"/>
    </row>
    <row r="77" spans="1:11" x14ac:dyDescent="0.2">
      <c r="A77" s="156"/>
      <c r="B77" s="158" t="s">
        <v>112</v>
      </c>
      <c r="C77" s="158" t="s">
        <v>1</v>
      </c>
      <c r="D77" s="158" t="s">
        <v>177</v>
      </c>
      <c r="E77" s="158" t="s">
        <v>3</v>
      </c>
      <c r="F77" s="158" t="s">
        <v>234</v>
      </c>
      <c r="G77" s="158" t="s">
        <v>156</v>
      </c>
      <c r="H77" s="158" t="s">
        <v>17</v>
      </c>
      <c r="I77" s="158" t="s">
        <v>130</v>
      </c>
      <c r="J77" s="157"/>
      <c r="K77" s="157"/>
    </row>
    <row r="78" spans="1:11" x14ac:dyDescent="0.2">
      <c r="A78" s="156"/>
      <c r="B78" s="158" t="s">
        <v>112</v>
      </c>
      <c r="C78" s="158" t="s">
        <v>0</v>
      </c>
      <c r="D78" s="158" t="s">
        <v>177</v>
      </c>
      <c r="E78" s="158" t="s">
        <v>4</v>
      </c>
      <c r="F78" s="158" t="s">
        <v>15</v>
      </c>
      <c r="G78" s="158" t="s">
        <v>156</v>
      </c>
      <c r="H78" s="158" t="s">
        <v>159</v>
      </c>
      <c r="I78" s="157"/>
      <c r="J78" s="157"/>
      <c r="K78" s="157"/>
    </row>
    <row r="79" spans="1:11" x14ac:dyDescent="0.2">
      <c r="A79" s="156"/>
      <c r="B79" s="158" t="s">
        <v>116</v>
      </c>
      <c r="C79" s="158" t="s">
        <v>0</v>
      </c>
      <c r="D79" s="158" t="s">
        <v>177</v>
      </c>
      <c r="E79" s="158" t="s">
        <v>4</v>
      </c>
      <c r="F79" s="158" t="s">
        <v>15</v>
      </c>
      <c r="G79" s="158" t="s">
        <v>158</v>
      </c>
      <c r="H79" s="158" t="s">
        <v>7</v>
      </c>
      <c r="I79" s="158" t="s">
        <v>143</v>
      </c>
      <c r="J79" s="157"/>
      <c r="K79" s="157"/>
    </row>
    <row r="80" spans="1:11" x14ac:dyDescent="0.2">
      <c r="A80" s="156"/>
      <c r="B80" s="158" t="s">
        <v>112</v>
      </c>
      <c r="C80" s="158" t="s">
        <v>1</v>
      </c>
      <c r="D80" s="158" t="s">
        <v>177</v>
      </c>
      <c r="E80" s="158" t="s">
        <v>3</v>
      </c>
      <c r="F80" s="158" t="s">
        <v>15</v>
      </c>
      <c r="G80" s="158" t="s">
        <v>156</v>
      </c>
      <c r="H80" s="158" t="s">
        <v>159</v>
      </c>
      <c r="I80" s="158" t="s">
        <v>143</v>
      </c>
      <c r="J80" s="157"/>
      <c r="K80" s="157"/>
    </row>
    <row r="81" spans="1:11" x14ac:dyDescent="0.2">
      <c r="A81" s="156"/>
      <c r="B81" s="158" t="s">
        <v>112</v>
      </c>
      <c r="C81" s="158" t="s">
        <v>1</v>
      </c>
      <c r="D81" s="158" t="s">
        <v>2</v>
      </c>
      <c r="E81" s="158" t="s">
        <v>4</v>
      </c>
      <c r="F81" s="158" t="s">
        <v>15</v>
      </c>
      <c r="G81" s="158" t="s">
        <v>156</v>
      </c>
      <c r="H81" s="158" t="s">
        <v>159</v>
      </c>
      <c r="I81" s="157"/>
      <c r="J81" s="157"/>
      <c r="K81" s="157"/>
    </row>
    <row r="82" spans="1:11" x14ac:dyDescent="0.2">
      <c r="A82" s="156"/>
      <c r="B82" s="158" t="s">
        <v>112</v>
      </c>
      <c r="C82" s="158" t="s">
        <v>0</v>
      </c>
      <c r="D82" s="158" t="s">
        <v>177</v>
      </c>
      <c r="E82" s="158" t="s">
        <v>4</v>
      </c>
      <c r="F82" s="158" t="s">
        <v>10</v>
      </c>
      <c r="G82" s="158" t="s">
        <v>228</v>
      </c>
      <c r="H82" s="158" t="s">
        <v>17</v>
      </c>
      <c r="I82" s="158" t="s">
        <v>130</v>
      </c>
      <c r="J82" s="157"/>
      <c r="K82" s="157"/>
    </row>
    <row r="83" spans="1:11" x14ac:dyDescent="0.2">
      <c r="A83" s="156"/>
      <c r="B83" s="158" t="s">
        <v>112</v>
      </c>
      <c r="C83" s="158" t="s">
        <v>0</v>
      </c>
      <c r="D83" s="158" t="s">
        <v>177</v>
      </c>
      <c r="E83" s="158" t="s">
        <v>4</v>
      </c>
      <c r="F83" s="158" t="s">
        <v>106</v>
      </c>
      <c r="G83" s="158" t="s">
        <v>228</v>
      </c>
      <c r="H83" s="158" t="s">
        <v>17</v>
      </c>
      <c r="I83" s="158" t="s">
        <v>130</v>
      </c>
      <c r="J83" s="157"/>
      <c r="K83" s="157"/>
    </row>
    <row r="84" spans="1:11" x14ac:dyDescent="0.2">
      <c r="A84" s="156"/>
      <c r="B84" s="158" t="s">
        <v>112</v>
      </c>
      <c r="C84" s="158" t="s">
        <v>0</v>
      </c>
      <c r="D84" s="158" t="s">
        <v>2</v>
      </c>
      <c r="E84" s="158" t="s">
        <v>3</v>
      </c>
      <c r="F84" s="158" t="s">
        <v>12</v>
      </c>
      <c r="G84" s="158" t="s">
        <v>155</v>
      </c>
      <c r="H84" s="158" t="s">
        <v>17</v>
      </c>
      <c r="I84" s="158" t="s">
        <v>130</v>
      </c>
      <c r="J84" s="157"/>
      <c r="K84" s="157"/>
    </row>
    <row r="85" spans="1:11" x14ac:dyDescent="0.2">
      <c r="A85" s="156"/>
      <c r="B85" s="158" t="s">
        <v>112</v>
      </c>
      <c r="C85" s="158" t="s">
        <v>0</v>
      </c>
      <c r="D85" s="158" t="s">
        <v>177</v>
      </c>
      <c r="E85" s="158" t="s">
        <v>4</v>
      </c>
      <c r="F85" s="158" t="s">
        <v>10</v>
      </c>
      <c r="G85" s="158" t="s">
        <v>155</v>
      </c>
      <c r="H85" s="158" t="s">
        <v>17</v>
      </c>
      <c r="I85" s="158" t="s">
        <v>130</v>
      </c>
      <c r="J85" s="157"/>
      <c r="K85" s="157"/>
    </row>
    <row r="86" spans="1:11" x14ac:dyDescent="0.2">
      <c r="A86" s="156"/>
      <c r="B86" s="158" t="s">
        <v>112</v>
      </c>
      <c r="C86" s="158" t="s">
        <v>1</v>
      </c>
      <c r="D86" s="158" t="s">
        <v>177</v>
      </c>
      <c r="E86" s="158" t="s">
        <v>4</v>
      </c>
      <c r="F86" s="158" t="s">
        <v>16</v>
      </c>
      <c r="G86" s="158" t="s">
        <v>158</v>
      </c>
      <c r="H86" s="158" t="s">
        <v>17</v>
      </c>
      <c r="I86" s="158" t="s">
        <v>130</v>
      </c>
      <c r="J86" s="157"/>
      <c r="K86" s="157"/>
    </row>
    <row r="87" spans="1:11" x14ac:dyDescent="0.2">
      <c r="A87" s="156"/>
      <c r="B87" s="158" t="s">
        <v>112</v>
      </c>
      <c r="C87" s="158" t="s">
        <v>0</v>
      </c>
      <c r="D87" s="158" t="s">
        <v>2</v>
      </c>
      <c r="E87" s="158" t="s">
        <v>3</v>
      </c>
      <c r="F87" s="158" t="s">
        <v>16</v>
      </c>
      <c r="G87" s="158" t="s">
        <v>156</v>
      </c>
      <c r="H87" s="158" t="s">
        <v>159</v>
      </c>
      <c r="I87" s="157"/>
      <c r="J87" s="157"/>
      <c r="K87" s="157"/>
    </row>
    <row r="88" spans="1:11" x14ac:dyDescent="0.2">
      <c r="A88" s="156"/>
      <c r="B88" s="158" t="s">
        <v>112</v>
      </c>
      <c r="C88" s="158" t="s">
        <v>1</v>
      </c>
      <c r="D88" s="158" t="s">
        <v>2</v>
      </c>
      <c r="E88" s="158" t="s">
        <v>4</v>
      </c>
      <c r="F88" s="158" t="s">
        <v>16</v>
      </c>
      <c r="G88" s="158" t="s">
        <v>156</v>
      </c>
      <c r="H88" s="158" t="s">
        <v>159</v>
      </c>
      <c r="I88" s="157"/>
      <c r="J88" s="157"/>
      <c r="K88" s="157"/>
    </row>
    <row r="89" spans="1:11" x14ac:dyDescent="0.2">
      <c r="A89" s="156"/>
      <c r="B89" s="158" t="s">
        <v>112</v>
      </c>
      <c r="C89" s="158" t="s">
        <v>1</v>
      </c>
      <c r="D89" s="158" t="s">
        <v>2</v>
      </c>
      <c r="E89" s="158" t="s">
        <v>4</v>
      </c>
      <c r="F89" s="158" t="s">
        <v>16</v>
      </c>
      <c r="G89" s="158" t="s">
        <v>156</v>
      </c>
      <c r="H89" s="158" t="s">
        <v>159</v>
      </c>
      <c r="I89" s="157"/>
      <c r="J89" s="157"/>
      <c r="K89" s="157"/>
    </row>
    <row r="90" spans="1:11" x14ac:dyDescent="0.2">
      <c r="A90" s="156"/>
      <c r="B90" s="158" t="s">
        <v>112</v>
      </c>
      <c r="C90" s="158" t="s">
        <v>0</v>
      </c>
      <c r="D90" s="158" t="s">
        <v>2</v>
      </c>
      <c r="E90" s="158" t="s">
        <v>4</v>
      </c>
      <c r="F90" s="158" t="s">
        <v>10</v>
      </c>
      <c r="G90" s="158" t="s">
        <v>155</v>
      </c>
      <c r="H90" s="158" t="s">
        <v>159</v>
      </c>
      <c r="I90" s="157"/>
      <c r="J90" s="157"/>
      <c r="K90" s="157"/>
    </row>
    <row r="91" spans="1:11" x14ac:dyDescent="0.2">
      <c r="A91" s="156"/>
      <c r="B91" s="158" t="s">
        <v>112</v>
      </c>
      <c r="C91" s="158" t="s">
        <v>0</v>
      </c>
      <c r="D91" s="158" t="s">
        <v>177</v>
      </c>
      <c r="E91" s="158" t="s">
        <v>3</v>
      </c>
      <c r="F91" s="158" t="s">
        <v>106</v>
      </c>
      <c r="G91" s="158" t="s">
        <v>155</v>
      </c>
      <c r="H91" s="158" t="s">
        <v>159</v>
      </c>
      <c r="I91" s="157"/>
      <c r="J91" s="157"/>
      <c r="K91" s="157"/>
    </row>
    <row r="92" spans="1:11" x14ac:dyDescent="0.2">
      <c r="A92" s="156"/>
      <c r="B92" s="158" t="s">
        <v>112</v>
      </c>
      <c r="C92" s="158" t="s">
        <v>1</v>
      </c>
      <c r="D92" s="158" t="s">
        <v>177</v>
      </c>
      <c r="E92" s="158" t="s">
        <v>4</v>
      </c>
      <c r="F92" s="158" t="s">
        <v>106</v>
      </c>
      <c r="G92" s="158" t="s">
        <v>155</v>
      </c>
      <c r="H92" s="158" t="s">
        <v>159</v>
      </c>
      <c r="I92" s="157"/>
      <c r="J92" s="157"/>
      <c r="K92" s="157"/>
    </row>
    <row r="93" spans="1:11" x14ac:dyDescent="0.2">
      <c r="A93" s="156"/>
      <c r="B93" s="158" t="s">
        <v>112</v>
      </c>
      <c r="C93" s="158" t="s">
        <v>1</v>
      </c>
      <c r="D93" s="158" t="s">
        <v>177</v>
      </c>
      <c r="E93" s="158" t="s">
        <v>4</v>
      </c>
      <c r="F93" s="158" t="s">
        <v>106</v>
      </c>
      <c r="G93" s="158" t="s">
        <v>155</v>
      </c>
      <c r="H93" s="158" t="s">
        <v>159</v>
      </c>
      <c r="I93" s="157"/>
      <c r="J93" s="157"/>
      <c r="K93" s="157"/>
    </row>
    <row r="94" spans="1:11" x14ac:dyDescent="0.2">
      <c r="A94" s="156"/>
      <c r="B94" s="158" t="s">
        <v>115</v>
      </c>
      <c r="C94" s="158" t="s">
        <v>0</v>
      </c>
      <c r="D94" s="158" t="s">
        <v>177</v>
      </c>
      <c r="E94" s="158" t="s">
        <v>3</v>
      </c>
      <c r="F94" s="158" t="s">
        <v>56</v>
      </c>
      <c r="G94" s="158" t="s">
        <v>156</v>
      </c>
      <c r="H94" s="158" t="s">
        <v>17</v>
      </c>
      <c r="I94" s="157" t="s">
        <v>150</v>
      </c>
      <c r="J94" s="157"/>
      <c r="K94" s="157"/>
    </row>
    <row r="95" spans="1:11" x14ac:dyDescent="0.2">
      <c r="A95" s="156"/>
      <c r="B95" s="158" t="s">
        <v>115</v>
      </c>
      <c r="C95" s="158" t="s">
        <v>1</v>
      </c>
      <c r="D95" s="158" t="s">
        <v>177</v>
      </c>
      <c r="E95" s="158" t="s">
        <v>4</v>
      </c>
      <c r="F95" s="158" t="s">
        <v>56</v>
      </c>
      <c r="G95" s="158" t="s">
        <v>156</v>
      </c>
      <c r="H95" s="158" t="s">
        <v>17</v>
      </c>
      <c r="I95" s="158" t="s">
        <v>150</v>
      </c>
      <c r="J95" s="157"/>
      <c r="K95" s="157"/>
    </row>
    <row r="96" spans="1:11" x14ac:dyDescent="0.2">
      <c r="A96" s="156"/>
      <c r="B96" s="158" t="s">
        <v>115</v>
      </c>
      <c r="C96" s="158" t="s">
        <v>0</v>
      </c>
      <c r="D96" s="158" t="s">
        <v>2</v>
      </c>
      <c r="E96" s="158" t="s">
        <v>4</v>
      </c>
      <c r="F96" s="158" t="s">
        <v>10</v>
      </c>
      <c r="G96" s="158" t="s">
        <v>155</v>
      </c>
      <c r="H96" s="158" t="s">
        <v>18</v>
      </c>
      <c r="I96" s="157" t="s">
        <v>137</v>
      </c>
      <c r="J96" s="157"/>
      <c r="K96" s="157"/>
    </row>
    <row r="97" spans="1:11" x14ac:dyDescent="0.2">
      <c r="A97" s="156"/>
      <c r="B97" s="157" t="s">
        <v>116</v>
      </c>
      <c r="C97" s="158" t="s">
        <v>0</v>
      </c>
      <c r="D97" s="158" t="s">
        <v>177</v>
      </c>
      <c r="E97" s="158" t="s">
        <v>3</v>
      </c>
      <c r="F97" s="158" t="s">
        <v>110</v>
      </c>
      <c r="G97" s="158" t="s">
        <v>110</v>
      </c>
      <c r="H97" s="158" t="s">
        <v>7</v>
      </c>
      <c r="I97" s="157" t="s">
        <v>134</v>
      </c>
      <c r="J97" s="157"/>
      <c r="K97" s="157"/>
    </row>
    <row r="98" spans="1:11" x14ac:dyDescent="0.2">
      <c r="A98" s="156"/>
      <c r="B98" s="157" t="s">
        <v>116</v>
      </c>
      <c r="C98" s="158" t="s">
        <v>0</v>
      </c>
      <c r="D98" s="158" t="s">
        <v>177</v>
      </c>
      <c r="E98" s="158" t="s">
        <v>3</v>
      </c>
      <c r="F98" s="158" t="s">
        <v>110</v>
      </c>
      <c r="G98" s="158" t="s">
        <v>110</v>
      </c>
      <c r="H98" s="158" t="s">
        <v>7</v>
      </c>
      <c r="I98" s="157" t="s">
        <v>134</v>
      </c>
      <c r="J98" s="157" t="s">
        <v>119</v>
      </c>
      <c r="K98" s="157" t="s">
        <v>248</v>
      </c>
    </row>
    <row r="99" spans="1:11" x14ac:dyDescent="0.2">
      <c r="A99" s="156"/>
      <c r="B99" s="157" t="s">
        <v>116</v>
      </c>
      <c r="C99" s="158" t="s">
        <v>0</v>
      </c>
      <c r="D99" s="158" t="s">
        <v>177</v>
      </c>
      <c r="E99" s="158" t="s">
        <v>3</v>
      </c>
      <c r="F99" s="158" t="s">
        <v>110</v>
      </c>
      <c r="G99" s="158" t="s">
        <v>110</v>
      </c>
      <c r="H99" s="158" t="s">
        <v>7</v>
      </c>
      <c r="I99" s="157" t="s">
        <v>134</v>
      </c>
      <c r="J99" s="157"/>
      <c r="K99" s="157"/>
    </row>
    <row r="100" spans="1:11" x14ac:dyDescent="0.2">
      <c r="A100" s="156"/>
      <c r="B100" s="157" t="s">
        <v>116</v>
      </c>
      <c r="C100" s="158" t="s">
        <v>0</v>
      </c>
      <c r="D100" s="158" t="s">
        <v>177</v>
      </c>
      <c r="E100" s="158" t="s">
        <v>3</v>
      </c>
      <c r="F100" s="158" t="s">
        <v>110</v>
      </c>
      <c r="G100" s="158" t="s">
        <v>110</v>
      </c>
      <c r="H100" s="158" t="s">
        <v>7</v>
      </c>
      <c r="I100" s="157" t="s">
        <v>134</v>
      </c>
      <c r="J100" s="157" t="s">
        <v>119</v>
      </c>
      <c r="K100" s="157"/>
    </row>
    <row r="101" spans="1:11" x14ac:dyDescent="0.2">
      <c r="A101" s="156"/>
      <c r="B101" s="157" t="s">
        <v>116</v>
      </c>
      <c r="C101" s="158" t="s">
        <v>0</v>
      </c>
      <c r="D101" s="158" t="s">
        <v>177</v>
      </c>
      <c r="E101" s="158" t="s">
        <v>3</v>
      </c>
      <c r="F101" s="158" t="s">
        <v>110</v>
      </c>
      <c r="G101" s="158" t="s">
        <v>110</v>
      </c>
      <c r="H101" s="158" t="s">
        <v>7</v>
      </c>
      <c r="I101" s="157" t="s">
        <v>134</v>
      </c>
      <c r="J101" s="157" t="s">
        <v>119</v>
      </c>
      <c r="K101" s="157" t="s">
        <v>248</v>
      </c>
    </row>
    <row r="102" spans="1:11" x14ac:dyDescent="0.2">
      <c r="A102" s="156"/>
      <c r="B102" s="157" t="s">
        <v>116</v>
      </c>
      <c r="C102" s="158" t="s">
        <v>0</v>
      </c>
      <c r="D102" s="158" t="s">
        <v>177</v>
      </c>
      <c r="E102" s="158" t="s">
        <v>3</v>
      </c>
      <c r="F102" s="158" t="s">
        <v>110</v>
      </c>
      <c r="G102" s="158" t="s">
        <v>110</v>
      </c>
      <c r="H102" s="158" t="s">
        <v>7</v>
      </c>
      <c r="I102" s="157" t="s">
        <v>134</v>
      </c>
      <c r="J102" s="157" t="s">
        <v>119</v>
      </c>
      <c r="K102" s="157"/>
    </row>
    <row r="103" spans="1:11" x14ac:dyDescent="0.2">
      <c r="A103" s="156"/>
      <c r="B103" s="157" t="s">
        <v>116</v>
      </c>
      <c r="C103" s="158" t="s">
        <v>0</v>
      </c>
      <c r="D103" s="158" t="s">
        <v>177</v>
      </c>
      <c r="E103" s="158" t="s">
        <v>4</v>
      </c>
      <c r="F103" s="158" t="s">
        <v>110</v>
      </c>
      <c r="G103" s="158" t="s">
        <v>110</v>
      </c>
      <c r="H103" s="158" t="s">
        <v>7</v>
      </c>
      <c r="I103" s="157" t="s">
        <v>134</v>
      </c>
      <c r="J103" s="157" t="s">
        <v>119</v>
      </c>
      <c r="K103" s="157" t="s">
        <v>248</v>
      </c>
    </row>
    <row r="104" spans="1:11" x14ac:dyDescent="0.2">
      <c r="A104" s="156"/>
      <c r="B104" s="157" t="s">
        <v>116</v>
      </c>
      <c r="C104" s="158" t="s">
        <v>0</v>
      </c>
      <c r="D104" s="158" t="s">
        <v>177</v>
      </c>
      <c r="E104" s="158" t="s">
        <v>4</v>
      </c>
      <c r="F104" s="158" t="s">
        <v>110</v>
      </c>
      <c r="G104" s="158" t="s">
        <v>110</v>
      </c>
      <c r="H104" s="158" t="s">
        <v>7</v>
      </c>
      <c r="I104" s="157" t="s">
        <v>134</v>
      </c>
      <c r="J104" s="157" t="s">
        <v>119</v>
      </c>
      <c r="K104" s="157"/>
    </row>
    <row r="105" spans="1:11" x14ac:dyDescent="0.2">
      <c r="A105" s="156"/>
      <c r="B105" s="157" t="s">
        <v>116</v>
      </c>
      <c r="C105" s="158" t="s">
        <v>0</v>
      </c>
      <c r="D105" s="158" t="s">
        <v>177</v>
      </c>
      <c r="E105" s="158" t="s">
        <v>4</v>
      </c>
      <c r="F105" s="158" t="s">
        <v>110</v>
      </c>
      <c r="G105" s="158" t="s">
        <v>110</v>
      </c>
      <c r="H105" s="158" t="s">
        <v>7</v>
      </c>
      <c r="I105" s="157" t="s">
        <v>134</v>
      </c>
      <c r="J105" s="157" t="s">
        <v>119</v>
      </c>
      <c r="K105" s="157" t="s">
        <v>248</v>
      </c>
    </row>
    <row r="106" spans="1:11" x14ac:dyDescent="0.2">
      <c r="A106" s="156"/>
      <c r="B106" s="157" t="s">
        <v>116</v>
      </c>
      <c r="C106" s="158" t="s">
        <v>0</v>
      </c>
      <c r="D106" s="158" t="s">
        <v>177</v>
      </c>
      <c r="E106" s="158" t="s">
        <v>4</v>
      </c>
      <c r="F106" s="158" t="s">
        <v>110</v>
      </c>
      <c r="G106" s="158" t="s">
        <v>110</v>
      </c>
      <c r="H106" s="158" t="s">
        <v>7</v>
      </c>
      <c r="I106" s="157" t="s">
        <v>134</v>
      </c>
      <c r="J106" s="157" t="s">
        <v>119</v>
      </c>
      <c r="K106" s="157" t="s">
        <v>248</v>
      </c>
    </row>
    <row r="107" spans="1:11" x14ac:dyDescent="0.2">
      <c r="A107" s="156"/>
      <c r="B107" s="157" t="s">
        <v>116</v>
      </c>
      <c r="C107" s="158" t="s">
        <v>0</v>
      </c>
      <c r="D107" s="158" t="s">
        <v>177</v>
      </c>
      <c r="E107" s="158" t="s">
        <v>4</v>
      </c>
      <c r="F107" s="158" t="s">
        <v>110</v>
      </c>
      <c r="G107" s="158" t="s">
        <v>110</v>
      </c>
      <c r="H107" s="158" t="s">
        <v>7</v>
      </c>
      <c r="I107" s="157" t="s">
        <v>134</v>
      </c>
      <c r="J107" s="157" t="s">
        <v>119</v>
      </c>
      <c r="K107" s="157" t="s">
        <v>248</v>
      </c>
    </row>
    <row r="108" spans="1:11" x14ac:dyDescent="0.2">
      <c r="A108" s="156"/>
      <c r="B108" s="157" t="s">
        <v>116</v>
      </c>
      <c r="C108" s="158" t="s">
        <v>0</v>
      </c>
      <c r="D108" s="158" t="s">
        <v>177</v>
      </c>
      <c r="E108" s="158" t="s">
        <v>4</v>
      </c>
      <c r="F108" s="158" t="s">
        <v>110</v>
      </c>
      <c r="G108" s="158" t="s">
        <v>110</v>
      </c>
      <c r="H108" s="158" t="s">
        <v>7</v>
      </c>
      <c r="I108" s="157" t="s">
        <v>134</v>
      </c>
      <c r="J108" s="157" t="s">
        <v>119</v>
      </c>
      <c r="K108" s="157"/>
    </row>
    <row r="109" spans="1:11" x14ac:dyDescent="0.2">
      <c r="A109" s="156"/>
      <c r="B109" s="157" t="s">
        <v>116</v>
      </c>
      <c r="C109" s="158" t="s">
        <v>0</v>
      </c>
      <c r="D109" s="158" t="s">
        <v>177</v>
      </c>
      <c r="E109" s="158" t="s">
        <v>4</v>
      </c>
      <c r="F109" s="158" t="s">
        <v>110</v>
      </c>
      <c r="G109" s="158" t="s">
        <v>110</v>
      </c>
      <c r="H109" s="158" t="s">
        <v>7</v>
      </c>
      <c r="I109" s="157" t="s">
        <v>134</v>
      </c>
      <c r="J109" s="157" t="s">
        <v>119</v>
      </c>
      <c r="K109" s="157"/>
    </row>
    <row r="110" spans="1:11" x14ac:dyDescent="0.2">
      <c r="A110" s="156"/>
      <c r="B110" s="157" t="s">
        <v>116</v>
      </c>
      <c r="C110" s="158" t="s">
        <v>0</v>
      </c>
      <c r="D110" s="158" t="s">
        <v>177</v>
      </c>
      <c r="E110" s="158" t="s">
        <v>4</v>
      </c>
      <c r="F110" s="158" t="s">
        <v>110</v>
      </c>
      <c r="G110" s="158" t="s">
        <v>110</v>
      </c>
      <c r="H110" s="158" t="s">
        <v>7</v>
      </c>
      <c r="I110" s="157" t="s">
        <v>134</v>
      </c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opLeftCell="A70"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113</v>
      </c>
      <c r="C5" s="157" t="s">
        <v>0</v>
      </c>
      <c r="D5" s="157" t="s">
        <v>177</v>
      </c>
      <c r="E5" s="157" t="s">
        <v>4</v>
      </c>
      <c r="F5" s="157" t="s">
        <v>9</v>
      </c>
      <c r="G5" s="157" t="s">
        <v>156</v>
      </c>
      <c r="H5" s="157" t="s">
        <v>17</v>
      </c>
      <c r="I5" s="157" t="s">
        <v>130</v>
      </c>
      <c r="J5" s="157"/>
      <c r="K5" s="157"/>
    </row>
    <row r="6" spans="1:11" x14ac:dyDescent="0.2">
      <c r="A6" s="156"/>
      <c r="B6" s="158" t="s">
        <v>113</v>
      </c>
      <c r="C6" s="157" t="s">
        <v>1</v>
      </c>
      <c r="D6" s="158" t="s">
        <v>177</v>
      </c>
      <c r="E6" s="158" t="s">
        <v>4</v>
      </c>
      <c r="F6" s="157" t="s">
        <v>23</v>
      </c>
      <c r="G6" s="157" t="s">
        <v>158</v>
      </c>
      <c r="H6" s="158" t="s">
        <v>17</v>
      </c>
      <c r="I6" s="157" t="s">
        <v>132</v>
      </c>
      <c r="J6" s="157" t="s">
        <v>125</v>
      </c>
      <c r="K6" s="157"/>
    </row>
    <row r="7" spans="1:11" x14ac:dyDescent="0.2">
      <c r="A7" s="156"/>
      <c r="B7" s="158" t="s">
        <v>113</v>
      </c>
      <c r="C7" s="158" t="s">
        <v>1</v>
      </c>
      <c r="D7" s="157" t="s">
        <v>2</v>
      </c>
      <c r="E7" s="158" t="s">
        <v>4</v>
      </c>
      <c r="F7" s="158" t="s">
        <v>23</v>
      </c>
      <c r="G7" s="158" t="s">
        <v>158</v>
      </c>
      <c r="H7" s="158" t="s">
        <v>17</v>
      </c>
      <c r="I7" s="157" t="s">
        <v>132</v>
      </c>
      <c r="J7" s="157"/>
      <c r="K7" s="157"/>
    </row>
    <row r="8" spans="1:11" x14ac:dyDescent="0.2">
      <c r="A8" s="156"/>
      <c r="B8" s="158" t="s">
        <v>113</v>
      </c>
      <c r="C8" s="157" t="s">
        <v>202</v>
      </c>
      <c r="D8" s="157"/>
      <c r="E8" s="158" t="s">
        <v>4</v>
      </c>
      <c r="F8" s="158"/>
      <c r="G8" s="158"/>
      <c r="H8" s="158"/>
      <c r="I8" s="157" t="s">
        <v>132</v>
      </c>
      <c r="J8" s="157"/>
      <c r="K8" s="157"/>
    </row>
    <row r="9" spans="1:11" x14ac:dyDescent="0.2">
      <c r="A9" s="156"/>
      <c r="B9" s="158" t="s">
        <v>113</v>
      </c>
      <c r="C9" s="158" t="s">
        <v>202</v>
      </c>
      <c r="D9" s="157"/>
      <c r="E9" s="158" t="s">
        <v>4</v>
      </c>
      <c r="F9" s="157"/>
      <c r="G9" s="157"/>
      <c r="H9" s="158"/>
      <c r="I9" s="157" t="s">
        <v>132</v>
      </c>
      <c r="J9" s="157"/>
      <c r="K9" s="157"/>
    </row>
    <row r="10" spans="1:11" x14ac:dyDescent="0.2">
      <c r="A10" s="156"/>
      <c r="B10" s="158" t="s">
        <v>113</v>
      </c>
      <c r="C10" s="158" t="s">
        <v>0</v>
      </c>
      <c r="D10" s="158" t="s">
        <v>177</v>
      </c>
      <c r="E10" s="157" t="s">
        <v>3</v>
      </c>
      <c r="F10" s="158" t="s">
        <v>16</v>
      </c>
      <c r="G10" s="157" t="s">
        <v>155</v>
      </c>
      <c r="H10" s="158" t="s">
        <v>159</v>
      </c>
      <c r="I10" s="157"/>
      <c r="J10" s="157"/>
      <c r="K10" s="157"/>
    </row>
    <row r="11" spans="1:11" x14ac:dyDescent="0.2">
      <c r="A11" s="156"/>
      <c r="B11" s="158" t="s">
        <v>113</v>
      </c>
      <c r="C11" s="158" t="s">
        <v>1</v>
      </c>
      <c r="D11" s="158" t="s">
        <v>177</v>
      </c>
      <c r="E11" s="158" t="s">
        <v>3</v>
      </c>
      <c r="F11" s="158" t="s">
        <v>110</v>
      </c>
      <c r="G11" s="158" t="s">
        <v>110</v>
      </c>
      <c r="H11" s="158" t="s">
        <v>159</v>
      </c>
      <c r="I11" s="157"/>
      <c r="J11" s="157"/>
      <c r="K11" s="157"/>
    </row>
    <row r="12" spans="1:11" x14ac:dyDescent="0.2">
      <c r="A12" s="156"/>
      <c r="B12" s="158" t="s">
        <v>113</v>
      </c>
      <c r="C12" s="158" t="s">
        <v>0</v>
      </c>
      <c r="D12" s="158" t="s">
        <v>177</v>
      </c>
      <c r="E12" s="158" t="s">
        <v>4</v>
      </c>
      <c r="F12" s="157" t="s">
        <v>10</v>
      </c>
      <c r="G12" s="158" t="s">
        <v>156</v>
      </c>
      <c r="H12" s="158" t="s">
        <v>7</v>
      </c>
      <c r="I12" s="157" t="s">
        <v>103</v>
      </c>
      <c r="J12" s="157"/>
      <c r="K12" s="157"/>
    </row>
    <row r="13" spans="1:11" x14ac:dyDescent="0.2">
      <c r="A13" s="156"/>
      <c r="B13" s="158" t="s">
        <v>113</v>
      </c>
      <c r="C13" s="158" t="s">
        <v>0</v>
      </c>
      <c r="D13" s="158" t="s">
        <v>177</v>
      </c>
      <c r="E13" s="158" t="s">
        <v>4</v>
      </c>
      <c r="F13" s="157" t="s">
        <v>11</v>
      </c>
      <c r="G13" s="158" t="s">
        <v>155</v>
      </c>
      <c r="H13" s="158" t="s">
        <v>7</v>
      </c>
      <c r="I13" s="158" t="s">
        <v>103</v>
      </c>
      <c r="J13" s="157" t="s">
        <v>125</v>
      </c>
      <c r="K13" s="157"/>
    </row>
    <row r="14" spans="1:11" x14ac:dyDescent="0.2">
      <c r="A14" s="156"/>
      <c r="B14" s="158" t="s">
        <v>113</v>
      </c>
      <c r="C14" s="158" t="s">
        <v>0</v>
      </c>
      <c r="D14" s="158" t="s">
        <v>177</v>
      </c>
      <c r="E14" s="158" t="s">
        <v>3</v>
      </c>
      <c r="F14" s="157" t="s">
        <v>56</v>
      </c>
      <c r="G14" s="158" t="s">
        <v>156</v>
      </c>
      <c r="H14" s="158" t="s">
        <v>7</v>
      </c>
      <c r="I14" s="158" t="s">
        <v>103</v>
      </c>
      <c r="J14" s="157" t="s">
        <v>125</v>
      </c>
      <c r="K14" s="158"/>
    </row>
    <row r="15" spans="1:11" x14ac:dyDescent="0.2">
      <c r="A15" s="156"/>
      <c r="B15" s="158" t="s">
        <v>113</v>
      </c>
      <c r="C15" s="158" t="s">
        <v>0</v>
      </c>
      <c r="D15" s="158" t="s">
        <v>177</v>
      </c>
      <c r="E15" s="158" t="s">
        <v>4</v>
      </c>
      <c r="F15" s="158" t="s">
        <v>10</v>
      </c>
      <c r="G15" s="158" t="s">
        <v>155</v>
      </c>
      <c r="H15" s="158" t="s">
        <v>7</v>
      </c>
      <c r="I15" s="158" t="s">
        <v>263</v>
      </c>
      <c r="J15" s="157" t="s">
        <v>125</v>
      </c>
      <c r="K15" s="158"/>
    </row>
    <row r="16" spans="1:11" x14ac:dyDescent="0.2">
      <c r="A16" s="156"/>
      <c r="B16" s="158" t="s">
        <v>113</v>
      </c>
      <c r="C16" s="158" t="s">
        <v>0</v>
      </c>
      <c r="D16" s="158" t="s">
        <v>177</v>
      </c>
      <c r="E16" s="158" t="s">
        <v>4</v>
      </c>
      <c r="F16" s="158" t="s">
        <v>10</v>
      </c>
      <c r="G16" s="158" t="s">
        <v>155</v>
      </c>
      <c r="H16" s="158" t="s">
        <v>7</v>
      </c>
      <c r="I16" s="158" t="s">
        <v>263</v>
      </c>
      <c r="J16" s="157" t="s">
        <v>125</v>
      </c>
      <c r="K16" s="158"/>
    </row>
    <row r="17" spans="1:11" x14ac:dyDescent="0.2">
      <c r="A17" s="156"/>
      <c r="B17" s="158" t="s">
        <v>113</v>
      </c>
      <c r="C17" s="158" t="s">
        <v>0</v>
      </c>
      <c r="D17" s="158" t="s">
        <v>177</v>
      </c>
      <c r="E17" s="158" t="s">
        <v>4</v>
      </c>
      <c r="F17" s="158" t="s">
        <v>10</v>
      </c>
      <c r="G17" s="158" t="s">
        <v>155</v>
      </c>
      <c r="H17" s="158" t="s">
        <v>7</v>
      </c>
      <c r="I17" s="158" t="s">
        <v>263</v>
      </c>
      <c r="J17" s="157" t="s">
        <v>125</v>
      </c>
      <c r="K17" s="157"/>
    </row>
    <row r="18" spans="1:11" x14ac:dyDescent="0.2">
      <c r="A18" s="156"/>
      <c r="B18" s="158" t="s">
        <v>113</v>
      </c>
      <c r="C18" s="158" t="s">
        <v>0</v>
      </c>
      <c r="D18" s="158" t="s">
        <v>177</v>
      </c>
      <c r="E18" s="158" t="s">
        <v>4</v>
      </c>
      <c r="F18" s="158" t="s">
        <v>110</v>
      </c>
      <c r="G18" s="158" t="s">
        <v>110</v>
      </c>
      <c r="H18" s="158" t="s">
        <v>7</v>
      </c>
      <c r="I18" s="158" t="s">
        <v>263</v>
      </c>
      <c r="J18" s="157" t="s">
        <v>125</v>
      </c>
      <c r="K18" s="158"/>
    </row>
    <row r="19" spans="1:11" x14ac:dyDescent="0.2">
      <c r="A19" s="156"/>
      <c r="B19" s="158" t="s">
        <v>113</v>
      </c>
      <c r="C19" s="158" t="s">
        <v>0</v>
      </c>
      <c r="D19" s="158" t="s">
        <v>177</v>
      </c>
      <c r="E19" s="158" t="s">
        <v>4</v>
      </c>
      <c r="F19" s="158" t="s">
        <v>110</v>
      </c>
      <c r="G19" s="158" t="s">
        <v>110</v>
      </c>
      <c r="H19" s="158" t="s">
        <v>7</v>
      </c>
      <c r="I19" s="158" t="s">
        <v>263</v>
      </c>
      <c r="J19" s="157" t="s">
        <v>125</v>
      </c>
      <c r="K19" s="157"/>
    </row>
    <row r="20" spans="1:11" x14ac:dyDescent="0.2">
      <c r="A20" s="156"/>
      <c r="B20" s="158" t="s">
        <v>113</v>
      </c>
      <c r="C20" s="158" t="s">
        <v>0</v>
      </c>
      <c r="D20" s="158" t="s">
        <v>177</v>
      </c>
      <c r="E20" s="158" t="s">
        <v>4</v>
      </c>
      <c r="F20" s="157" t="s">
        <v>106</v>
      </c>
      <c r="G20" s="158" t="s">
        <v>156</v>
      </c>
      <c r="H20" s="158" t="s">
        <v>159</v>
      </c>
      <c r="I20" s="158"/>
      <c r="J20" s="157" t="s">
        <v>125</v>
      </c>
      <c r="K20" s="158"/>
    </row>
    <row r="21" spans="1:11" x14ac:dyDescent="0.2">
      <c r="A21" s="156"/>
      <c r="B21" s="158" t="s">
        <v>113</v>
      </c>
      <c r="C21" s="158" t="s">
        <v>1</v>
      </c>
      <c r="D21" s="158" t="s">
        <v>2</v>
      </c>
      <c r="E21" s="158" t="s">
        <v>4</v>
      </c>
      <c r="F21" s="158" t="s">
        <v>106</v>
      </c>
      <c r="G21" s="158" t="s">
        <v>155</v>
      </c>
      <c r="H21" s="158" t="s">
        <v>159</v>
      </c>
      <c r="I21" s="158"/>
      <c r="J21" s="157" t="s">
        <v>125</v>
      </c>
      <c r="K21" s="158"/>
    </row>
    <row r="22" spans="1:11" x14ac:dyDescent="0.2">
      <c r="A22" s="156"/>
      <c r="B22" s="158" t="s">
        <v>113</v>
      </c>
      <c r="C22" s="158" t="s">
        <v>0</v>
      </c>
      <c r="D22" s="158" t="s">
        <v>177</v>
      </c>
      <c r="E22" s="158" t="s">
        <v>4</v>
      </c>
      <c r="F22" s="158" t="s">
        <v>10</v>
      </c>
      <c r="G22" s="158" t="s">
        <v>155</v>
      </c>
      <c r="H22" s="158" t="s">
        <v>159</v>
      </c>
      <c r="I22" s="158"/>
      <c r="J22" s="157" t="s">
        <v>125</v>
      </c>
      <c r="K22" s="158"/>
    </row>
    <row r="23" spans="1:11" x14ac:dyDescent="0.2">
      <c r="A23" s="156"/>
      <c r="B23" s="157" t="s">
        <v>115</v>
      </c>
      <c r="C23" s="158" t="s">
        <v>0</v>
      </c>
      <c r="D23" s="158" t="s">
        <v>2</v>
      </c>
      <c r="E23" s="158" t="s">
        <v>4</v>
      </c>
      <c r="F23" s="158" t="s">
        <v>11</v>
      </c>
      <c r="G23" s="158" t="s">
        <v>156</v>
      </c>
      <c r="H23" s="157" t="s">
        <v>18</v>
      </c>
      <c r="I23" s="157" t="s">
        <v>137</v>
      </c>
      <c r="J23" s="157" t="s">
        <v>125</v>
      </c>
      <c r="K23" s="157"/>
    </row>
    <row r="24" spans="1:11" x14ac:dyDescent="0.2">
      <c r="A24" s="156"/>
      <c r="B24" s="158" t="s">
        <v>115</v>
      </c>
      <c r="C24" s="158" t="s">
        <v>1</v>
      </c>
      <c r="D24" s="158" t="s">
        <v>2</v>
      </c>
      <c r="E24" s="158" t="s">
        <v>4</v>
      </c>
      <c r="F24" s="158" t="s">
        <v>11</v>
      </c>
      <c r="G24" s="158" t="s">
        <v>156</v>
      </c>
      <c r="H24" s="158" t="s">
        <v>18</v>
      </c>
      <c r="I24" s="158" t="s">
        <v>137</v>
      </c>
      <c r="J24" s="157" t="s">
        <v>125</v>
      </c>
      <c r="K24" s="158"/>
    </row>
    <row r="25" spans="1:11" x14ac:dyDescent="0.2">
      <c r="A25" s="156"/>
      <c r="B25" s="158" t="s">
        <v>115</v>
      </c>
      <c r="C25" s="158" t="s">
        <v>0</v>
      </c>
      <c r="D25" s="158" t="s">
        <v>2</v>
      </c>
      <c r="E25" s="158" t="s">
        <v>4</v>
      </c>
      <c r="F25" s="158" t="s">
        <v>110</v>
      </c>
      <c r="G25" s="158" t="s">
        <v>110</v>
      </c>
      <c r="H25" s="158" t="s">
        <v>18</v>
      </c>
      <c r="I25" s="157" t="s">
        <v>137</v>
      </c>
      <c r="J25" s="157" t="s">
        <v>125</v>
      </c>
      <c r="K25" s="157"/>
    </row>
    <row r="26" spans="1:11" x14ac:dyDescent="0.2">
      <c r="A26" s="156"/>
      <c r="B26" s="158" t="s">
        <v>115</v>
      </c>
      <c r="C26" s="158" t="s">
        <v>1</v>
      </c>
      <c r="D26" s="158" t="s">
        <v>2</v>
      </c>
      <c r="E26" s="158" t="s">
        <v>4</v>
      </c>
      <c r="F26" s="158" t="s">
        <v>15</v>
      </c>
      <c r="G26" s="158" t="s">
        <v>156</v>
      </c>
      <c r="H26" s="158" t="s">
        <v>18</v>
      </c>
      <c r="I26" s="157" t="s">
        <v>137</v>
      </c>
      <c r="J26" s="157" t="s">
        <v>125</v>
      </c>
      <c r="K26" s="157"/>
    </row>
    <row r="27" spans="1:11" x14ac:dyDescent="0.2">
      <c r="A27" s="156"/>
      <c r="B27" s="158" t="s">
        <v>113</v>
      </c>
      <c r="C27" s="158" t="s">
        <v>0</v>
      </c>
      <c r="D27" s="158" t="s">
        <v>177</v>
      </c>
      <c r="E27" s="158" t="s">
        <v>3</v>
      </c>
      <c r="F27" s="157" t="s">
        <v>12</v>
      </c>
      <c r="G27" s="158" t="s">
        <v>228</v>
      </c>
      <c r="H27" s="158" t="s">
        <v>159</v>
      </c>
      <c r="I27" s="157"/>
      <c r="J27" s="157" t="s">
        <v>125</v>
      </c>
      <c r="K27" s="157"/>
    </row>
    <row r="28" spans="1:11" x14ac:dyDescent="0.2">
      <c r="A28" s="156"/>
      <c r="B28" s="158" t="s">
        <v>113</v>
      </c>
      <c r="C28" s="158" t="s">
        <v>0</v>
      </c>
      <c r="D28" s="158" t="s">
        <v>177</v>
      </c>
      <c r="E28" s="158" t="s">
        <v>3</v>
      </c>
      <c r="F28" s="158" t="s">
        <v>106</v>
      </c>
      <c r="G28" s="158" t="s">
        <v>156</v>
      </c>
      <c r="H28" s="158" t="s">
        <v>159</v>
      </c>
      <c r="I28" s="157"/>
      <c r="J28" s="157" t="s">
        <v>125</v>
      </c>
      <c r="K28" s="157"/>
    </row>
    <row r="29" spans="1:11" x14ac:dyDescent="0.2">
      <c r="A29" s="156"/>
      <c r="B29" s="158" t="s">
        <v>113</v>
      </c>
      <c r="C29" s="158" t="s">
        <v>1</v>
      </c>
      <c r="D29" s="158" t="s">
        <v>2</v>
      </c>
      <c r="E29" s="158" t="s">
        <v>3</v>
      </c>
      <c r="F29" s="158" t="s">
        <v>10</v>
      </c>
      <c r="G29" s="158" t="s">
        <v>155</v>
      </c>
      <c r="H29" s="158" t="s">
        <v>159</v>
      </c>
      <c r="I29" s="157"/>
      <c r="J29" s="157" t="s">
        <v>125</v>
      </c>
      <c r="K29" s="157"/>
    </row>
    <row r="30" spans="1:11" x14ac:dyDescent="0.2">
      <c r="A30" s="156"/>
      <c r="B30" s="158" t="s">
        <v>113</v>
      </c>
      <c r="C30" s="158" t="s">
        <v>0</v>
      </c>
      <c r="D30" s="158" t="s">
        <v>177</v>
      </c>
      <c r="E30" s="158" t="s">
        <v>4</v>
      </c>
      <c r="F30" s="158" t="s">
        <v>10</v>
      </c>
      <c r="G30" s="158" t="s">
        <v>228</v>
      </c>
      <c r="H30" s="158" t="s">
        <v>17</v>
      </c>
      <c r="I30" s="157" t="s">
        <v>130</v>
      </c>
      <c r="J30" s="157" t="s">
        <v>125</v>
      </c>
      <c r="K30" s="157"/>
    </row>
    <row r="31" spans="1:11" x14ac:dyDescent="0.2">
      <c r="A31" s="156"/>
      <c r="B31" s="158" t="s">
        <v>113</v>
      </c>
      <c r="C31" s="158" t="s">
        <v>202</v>
      </c>
      <c r="D31" s="157"/>
      <c r="E31" s="157"/>
      <c r="F31" s="157"/>
      <c r="G31" s="158"/>
      <c r="H31" s="158" t="s">
        <v>229</v>
      </c>
      <c r="I31" s="158"/>
      <c r="J31" s="157"/>
      <c r="K31" s="157"/>
    </row>
    <row r="32" spans="1:11" x14ac:dyDescent="0.2">
      <c r="A32" s="156"/>
      <c r="B32" s="158" t="s">
        <v>113</v>
      </c>
      <c r="C32" s="158" t="s">
        <v>202</v>
      </c>
      <c r="D32" s="157"/>
      <c r="E32" s="157"/>
      <c r="F32" s="157"/>
      <c r="G32" s="158"/>
      <c r="H32" s="158" t="s">
        <v>229</v>
      </c>
      <c r="I32" s="157"/>
      <c r="J32" s="157"/>
      <c r="K32" s="157"/>
    </row>
    <row r="33" spans="1:11" x14ac:dyDescent="0.2">
      <c r="A33" s="156"/>
      <c r="B33" s="158" t="s">
        <v>113</v>
      </c>
      <c r="C33" s="158" t="s">
        <v>202</v>
      </c>
      <c r="D33" s="157"/>
      <c r="E33" s="157"/>
      <c r="F33" s="157"/>
      <c r="G33" s="157"/>
      <c r="H33" s="158" t="s">
        <v>229</v>
      </c>
      <c r="I33" s="157"/>
      <c r="J33" s="157"/>
      <c r="K33" s="157"/>
    </row>
    <row r="34" spans="1:11" x14ac:dyDescent="0.2">
      <c r="A34" s="156"/>
      <c r="B34" s="158" t="s">
        <v>113</v>
      </c>
      <c r="C34" s="158" t="s">
        <v>202</v>
      </c>
      <c r="D34" s="157"/>
      <c r="E34" s="157"/>
      <c r="F34" s="157"/>
      <c r="G34" s="157"/>
      <c r="H34" s="158" t="s">
        <v>229</v>
      </c>
      <c r="I34" s="157"/>
      <c r="J34" s="157"/>
      <c r="K34" s="157"/>
    </row>
    <row r="35" spans="1:11" x14ac:dyDescent="0.2">
      <c r="A35" s="156"/>
      <c r="B35" s="158" t="s">
        <v>113</v>
      </c>
      <c r="C35" s="158" t="s">
        <v>202</v>
      </c>
      <c r="D35" s="157"/>
      <c r="E35" s="157"/>
      <c r="F35" s="157"/>
      <c r="G35" s="158"/>
      <c r="H35" s="158" t="s">
        <v>229</v>
      </c>
      <c r="I35" s="157"/>
      <c r="J35" s="157"/>
      <c r="K35" s="157"/>
    </row>
    <row r="36" spans="1:11" x14ac:dyDescent="0.2">
      <c r="A36" s="156"/>
      <c r="B36" s="158" t="s">
        <v>113</v>
      </c>
      <c r="C36" s="158" t="s">
        <v>202</v>
      </c>
      <c r="D36" s="157"/>
      <c r="E36" s="157"/>
      <c r="F36" s="157"/>
      <c r="G36" s="158"/>
      <c r="H36" s="158" t="s">
        <v>229</v>
      </c>
      <c r="I36" s="157"/>
      <c r="J36" s="157"/>
      <c r="K36" s="157"/>
    </row>
    <row r="37" spans="1:11" x14ac:dyDescent="0.2">
      <c r="A37" s="156"/>
      <c r="B37" s="158" t="s">
        <v>113</v>
      </c>
      <c r="C37" s="158" t="s">
        <v>202</v>
      </c>
      <c r="D37" s="157"/>
      <c r="E37" s="157"/>
      <c r="F37" s="157"/>
      <c r="G37" s="157"/>
      <c r="H37" s="158" t="s">
        <v>229</v>
      </c>
      <c r="I37" s="157"/>
      <c r="J37" s="157"/>
      <c r="K37" s="157"/>
    </row>
    <row r="38" spans="1:11" x14ac:dyDescent="0.2">
      <c r="A38" s="156"/>
      <c r="B38" s="158" t="s">
        <v>113</v>
      </c>
      <c r="C38" s="158" t="s">
        <v>202</v>
      </c>
      <c r="D38" s="157"/>
      <c r="E38" s="157"/>
      <c r="F38" s="158"/>
      <c r="G38" s="157"/>
      <c r="H38" s="158" t="s">
        <v>229</v>
      </c>
      <c r="I38" s="157"/>
      <c r="J38" s="157"/>
      <c r="K38" s="157"/>
    </row>
    <row r="39" spans="1:11" x14ac:dyDescent="0.2">
      <c r="A39" s="156"/>
      <c r="B39" s="158" t="s">
        <v>113</v>
      </c>
      <c r="C39" s="158" t="s">
        <v>202</v>
      </c>
      <c r="D39" s="157"/>
      <c r="E39" s="157"/>
      <c r="F39" s="157"/>
      <c r="G39" s="158"/>
      <c r="H39" s="158" t="s">
        <v>229</v>
      </c>
      <c r="I39" s="157"/>
      <c r="J39" s="157" t="s">
        <v>254</v>
      </c>
      <c r="K39" s="157"/>
    </row>
    <row r="40" spans="1:11" x14ac:dyDescent="0.2">
      <c r="A40" s="156"/>
      <c r="B40" s="158" t="s">
        <v>113</v>
      </c>
      <c r="C40" s="158" t="s">
        <v>202</v>
      </c>
      <c r="D40" s="157"/>
      <c r="E40" s="157"/>
      <c r="F40" s="158"/>
      <c r="G40" s="158"/>
      <c r="H40" s="158" t="s">
        <v>229</v>
      </c>
      <c r="I40" s="157"/>
      <c r="J40" s="157" t="s">
        <v>254</v>
      </c>
      <c r="K40" s="157"/>
    </row>
    <row r="41" spans="1:11" x14ac:dyDescent="0.2">
      <c r="A41" s="156"/>
      <c r="B41" s="157" t="s">
        <v>114</v>
      </c>
      <c r="C41" s="158" t="s">
        <v>0</v>
      </c>
      <c r="D41" s="158" t="s">
        <v>177</v>
      </c>
      <c r="E41" s="158" t="s">
        <v>4</v>
      </c>
      <c r="F41" s="158" t="s">
        <v>13</v>
      </c>
      <c r="G41" s="157" t="s">
        <v>228</v>
      </c>
      <c r="H41" s="158" t="s">
        <v>17</v>
      </c>
      <c r="I41" s="157" t="s">
        <v>130</v>
      </c>
      <c r="J41" s="157" t="s">
        <v>254</v>
      </c>
      <c r="K41" s="157"/>
    </row>
    <row r="42" spans="1:11" x14ac:dyDescent="0.2">
      <c r="A42" s="156"/>
      <c r="B42" s="158" t="s">
        <v>114</v>
      </c>
      <c r="C42" s="158" t="s">
        <v>0</v>
      </c>
      <c r="D42" s="158" t="s">
        <v>177</v>
      </c>
      <c r="E42" s="158" t="s">
        <v>4</v>
      </c>
      <c r="F42" s="158" t="s">
        <v>10</v>
      </c>
      <c r="G42" s="158" t="s">
        <v>228</v>
      </c>
      <c r="H42" s="158" t="s">
        <v>17</v>
      </c>
      <c r="I42" s="157" t="s">
        <v>130</v>
      </c>
      <c r="J42" s="157" t="s">
        <v>254</v>
      </c>
      <c r="K42" s="157"/>
    </row>
    <row r="43" spans="1:11" x14ac:dyDescent="0.2">
      <c r="A43" s="156"/>
      <c r="B43" s="158" t="s">
        <v>114</v>
      </c>
      <c r="C43" s="158" t="s">
        <v>1</v>
      </c>
      <c r="D43" s="158" t="s">
        <v>177</v>
      </c>
      <c r="E43" s="158" t="s">
        <v>4</v>
      </c>
      <c r="F43" s="158" t="s">
        <v>9</v>
      </c>
      <c r="G43" s="158" t="s">
        <v>158</v>
      </c>
      <c r="H43" s="158" t="s">
        <v>17</v>
      </c>
      <c r="I43" s="157" t="s">
        <v>130</v>
      </c>
      <c r="J43" s="157" t="s">
        <v>254</v>
      </c>
      <c r="K43" s="157"/>
    </row>
    <row r="44" spans="1:11" x14ac:dyDescent="0.2">
      <c r="A44" s="156"/>
      <c r="B44" s="158" t="s">
        <v>114</v>
      </c>
      <c r="C44" s="158" t="s">
        <v>1</v>
      </c>
      <c r="D44" s="158" t="s">
        <v>177</v>
      </c>
      <c r="E44" s="158" t="s">
        <v>4</v>
      </c>
      <c r="F44" s="158" t="s">
        <v>13</v>
      </c>
      <c r="G44" s="158" t="s">
        <v>158</v>
      </c>
      <c r="H44" s="158" t="s">
        <v>7</v>
      </c>
      <c r="I44" s="157" t="s">
        <v>239</v>
      </c>
      <c r="J44" s="157" t="s">
        <v>254</v>
      </c>
      <c r="K44" s="157"/>
    </row>
    <row r="45" spans="1:11" x14ac:dyDescent="0.2">
      <c r="A45" s="156"/>
      <c r="B45" s="158" t="s">
        <v>114</v>
      </c>
      <c r="C45" s="158" t="s">
        <v>1</v>
      </c>
      <c r="D45" s="158" t="s">
        <v>177</v>
      </c>
      <c r="E45" s="158" t="s">
        <v>4</v>
      </c>
      <c r="F45" s="158" t="s">
        <v>12</v>
      </c>
      <c r="G45" s="158" t="s">
        <v>158</v>
      </c>
      <c r="H45" s="158" t="s">
        <v>7</v>
      </c>
      <c r="I45" s="158" t="s">
        <v>239</v>
      </c>
      <c r="J45" s="157" t="s">
        <v>254</v>
      </c>
      <c r="K45" s="157"/>
    </row>
    <row r="46" spans="1:11" x14ac:dyDescent="0.2">
      <c r="A46" s="156"/>
      <c r="B46" s="158" t="s">
        <v>114</v>
      </c>
      <c r="C46" s="158" t="s">
        <v>1</v>
      </c>
      <c r="D46" s="158" t="s">
        <v>177</v>
      </c>
      <c r="E46" s="158" t="s">
        <v>4</v>
      </c>
      <c r="F46" s="158" t="s">
        <v>9</v>
      </c>
      <c r="G46" s="158" t="s">
        <v>158</v>
      </c>
      <c r="H46" s="158" t="s">
        <v>7</v>
      </c>
      <c r="I46" s="158" t="s">
        <v>239</v>
      </c>
      <c r="J46" s="157" t="s">
        <v>254</v>
      </c>
      <c r="K46" s="157"/>
    </row>
    <row r="47" spans="1:11" x14ac:dyDescent="0.2">
      <c r="A47" s="156"/>
      <c r="B47" s="158" t="s">
        <v>114</v>
      </c>
      <c r="C47" s="158" t="s">
        <v>1</v>
      </c>
      <c r="D47" s="158" t="s">
        <v>177</v>
      </c>
      <c r="E47" s="158" t="s">
        <v>4</v>
      </c>
      <c r="F47" s="158" t="s">
        <v>9</v>
      </c>
      <c r="G47" s="158" t="s">
        <v>158</v>
      </c>
      <c r="H47" s="158" t="s">
        <v>7</v>
      </c>
      <c r="I47" s="158" t="s">
        <v>239</v>
      </c>
      <c r="J47" s="157" t="s">
        <v>254</v>
      </c>
      <c r="K47" s="157"/>
    </row>
    <row r="48" spans="1:11" x14ac:dyDescent="0.2">
      <c r="A48" s="156"/>
      <c r="B48" s="158" t="s">
        <v>114</v>
      </c>
      <c r="C48" s="158" t="s">
        <v>1</v>
      </c>
      <c r="D48" s="158" t="s">
        <v>177</v>
      </c>
      <c r="E48" s="158" t="s">
        <v>4</v>
      </c>
      <c r="F48" s="158" t="s">
        <v>23</v>
      </c>
      <c r="G48" s="158" t="s">
        <v>158</v>
      </c>
      <c r="H48" s="158" t="s">
        <v>7</v>
      </c>
      <c r="I48" s="158" t="s">
        <v>137</v>
      </c>
      <c r="J48" s="157" t="s">
        <v>254</v>
      </c>
      <c r="K48" s="157"/>
    </row>
    <row r="49" spans="1:11" x14ac:dyDescent="0.2">
      <c r="A49" s="156"/>
      <c r="B49" s="158" t="s">
        <v>113</v>
      </c>
      <c r="C49" s="158" t="s">
        <v>1</v>
      </c>
      <c r="D49" s="158" t="s">
        <v>177</v>
      </c>
      <c r="E49" s="158" t="s">
        <v>4</v>
      </c>
      <c r="F49" s="158" t="s">
        <v>10</v>
      </c>
      <c r="G49" s="158" t="s">
        <v>158</v>
      </c>
      <c r="H49" s="158" t="s">
        <v>17</v>
      </c>
      <c r="I49" s="157" t="s">
        <v>130</v>
      </c>
      <c r="J49" s="157" t="s">
        <v>254</v>
      </c>
      <c r="K49" s="157"/>
    </row>
    <row r="50" spans="1:11" x14ac:dyDescent="0.2">
      <c r="A50" s="156"/>
      <c r="B50" s="158" t="s">
        <v>113</v>
      </c>
      <c r="C50" s="158" t="s">
        <v>1</v>
      </c>
      <c r="D50" s="158" t="s">
        <v>177</v>
      </c>
      <c r="E50" s="158" t="s">
        <v>3</v>
      </c>
      <c r="F50" s="158" t="s">
        <v>10</v>
      </c>
      <c r="G50" s="158" t="s">
        <v>155</v>
      </c>
      <c r="H50" s="158" t="s">
        <v>17</v>
      </c>
      <c r="I50" s="157" t="s">
        <v>130</v>
      </c>
      <c r="J50" s="157" t="s">
        <v>254</v>
      </c>
      <c r="K50" s="157"/>
    </row>
    <row r="51" spans="1:11" x14ac:dyDescent="0.2">
      <c r="A51" s="156"/>
      <c r="B51" s="158" t="s">
        <v>114</v>
      </c>
      <c r="C51" s="158" t="s">
        <v>1</v>
      </c>
      <c r="D51" s="158" t="s">
        <v>177</v>
      </c>
      <c r="E51" s="158" t="s">
        <v>4</v>
      </c>
      <c r="F51" s="158" t="s">
        <v>56</v>
      </c>
      <c r="G51" s="158" t="s">
        <v>158</v>
      </c>
      <c r="H51" s="158" t="s">
        <v>17</v>
      </c>
      <c r="I51" s="157" t="s">
        <v>130</v>
      </c>
      <c r="J51" s="157" t="s">
        <v>254</v>
      </c>
      <c r="K51" s="157"/>
    </row>
    <row r="52" spans="1:11" x14ac:dyDescent="0.2">
      <c r="A52" s="156"/>
      <c r="B52" s="158" t="s">
        <v>114</v>
      </c>
      <c r="C52" s="158" t="s">
        <v>1</v>
      </c>
      <c r="D52" s="158" t="s">
        <v>177</v>
      </c>
      <c r="E52" s="158" t="s">
        <v>3</v>
      </c>
      <c r="F52" s="158" t="s">
        <v>10</v>
      </c>
      <c r="G52" s="158" t="s">
        <v>228</v>
      </c>
      <c r="H52" s="158" t="s">
        <v>17</v>
      </c>
      <c r="I52" s="157" t="s">
        <v>130</v>
      </c>
      <c r="J52" s="157" t="s">
        <v>254</v>
      </c>
      <c r="K52" s="157"/>
    </row>
    <row r="53" spans="1:11" x14ac:dyDescent="0.2">
      <c r="A53" s="156"/>
      <c r="B53" s="158" t="s">
        <v>114</v>
      </c>
      <c r="C53" s="158" t="s">
        <v>0</v>
      </c>
      <c r="D53" s="158" t="s">
        <v>177</v>
      </c>
      <c r="E53" s="158" t="s">
        <v>3</v>
      </c>
      <c r="F53" s="158" t="s">
        <v>15</v>
      </c>
      <c r="G53" s="158" t="s">
        <v>228</v>
      </c>
      <c r="H53" s="158" t="s">
        <v>17</v>
      </c>
      <c r="I53" s="157" t="s">
        <v>130</v>
      </c>
      <c r="J53" s="157" t="s">
        <v>254</v>
      </c>
      <c r="K53" s="157"/>
    </row>
    <row r="54" spans="1:11" x14ac:dyDescent="0.2">
      <c r="A54" s="156"/>
      <c r="B54" s="158" t="s">
        <v>112</v>
      </c>
      <c r="C54" s="158" t="s">
        <v>0</v>
      </c>
      <c r="D54" s="158" t="s">
        <v>177</v>
      </c>
      <c r="E54" s="158" t="s">
        <v>3</v>
      </c>
      <c r="F54" s="158" t="s">
        <v>15</v>
      </c>
      <c r="G54" s="158" t="s">
        <v>156</v>
      </c>
      <c r="H54" s="158" t="s">
        <v>159</v>
      </c>
      <c r="I54" s="157"/>
      <c r="J54" s="157"/>
      <c r="K54" s="157"/>
    </row>
    <row r="55" spans="1:11" x14ac:dyDescent="0.2">
      <c r="A55" s="156"/>
      <c r="B55" s="158" t="s">
        <v>112</v>
      </c>
      <c r="C55" s="158" t="s">
        <v>1</v>
      </c>
      <c r="D55" s="158" t="s">
        <v>177</v>
      </c>
      <c r="E55" s="158" t="s">
        <v>4</v>
      </c>
      <c r="F55" s="158" t="s">
        <v>15</v>
      </c>
      <c r="G55" s="158" t="s">
        <v>156</v>
      </c>
      <c r="H55" s="158" t="s">
        <v>159</v>
      </c>
      <c r="I55" s="157"/>
      <c r="J55" s="157"/>
      <c r="K55" s="157"/>
    </row>
    <row r="56" spans="1:11" x14ac:dyDescent="0.2">
      <c r="A56" s="156"/>
      <c r="B56" s="158" t="s">
        <v>112</v>
      </c>
      <c r="C56" s="158" t="s">
        <v>0</v>
      </c>
      <c r="D56" s="158" t="s">
        <v>177</v>
      </c>
      <c r="E56" s="158" t="s">
        <v>4</v>
      </c>
      <c r="F56" s="158" t="s">
        <v>15</v>
      </c>
      <c r="G56" s="158" t="s">
        <v>156</v>
      </c>
      <c r="H56" s="158" t="s">
        <v>17</v>
      </c>
      <c r="I56" s="157" t="s">
        <v>130</v>
      </c>
      <c r="J56" s="157"/>
      <c r="K56" s="157"/>
    </row>
    <row r="57" spans="1:11" x14ac:dyDescent="0.2">
      <c r="A57" s="156"/>
      <c r="B57" s="158" t="s">
        <v>112</v>
      </c>
      <c r="C57" s="158" t="s">
        <v>0</v>
      </c>
      <c r="D57" s="158" t="s">
        <v>177</v>
      </c>
      <c r="E57" s="158" t="s">
        <v>3</v>
      </c>
      <c r="F57" s="158" t="s">
        <v>12</v>
      </c>
      <c r="G57" s="158" t="s">
        <v>228</v>
      </c>
      <c r="H57" s="158" t="s">
        <v>17</v>
      </c>
      <c r="I57" s="157" t="s">
        <v>130</v>
      </c>
      <c r="J57" s="157"/>
      <c r="K57" s="157"/>
    </row>
    <row r="58" spans="1:11" x14ac:dyDescent="0.2">
      <c r="A58" s="156"/>
      <c r="B58" s="158" t="s">
        <v>112</v>
      </c>
      <c r="C58" s="158" t="s">
        <v>1</v>
      </c>
      <c r="D58" s="158" t="s">
        <v>177</v>
      </c>
      <c r="E58" s="158" t="s">
        <v>4</v>
      </c>
      <c r="F58" s="158" t="s">
        <v>12</v>
      </c>
      <c r="G58" s="158" t="s">
        <v>228</v>
      </c>
      <c r="H58" s="158" t="s">
        <v>17</v>
      </c>
      <c r="I58" s="157" t="s">
        <v>130</v>
      </c>
      <c r="J58" s="157"/>
      <c r="K58" s="157"/>
    </row>
    <row r="59" spans="1:11" x14ac:dyDescent="0.2">
      <c r="A59" s="156"/>
      <c r="B59" s="158" t="s">
        <v>112</v>
      </c>
      <c r="C59" s="158" t="s">
        <v>1</v>
      </c>
      <c r="D59" s="158" t="s">
        <v>177</v>
      </c>
      <c r="E59" s="158" t="s">
        <v>3</v>
      </c>
      <c r="F59" s="158" t="s">
        <v>56</v>
      </c>
      <c r="G59" s="158" t="s">
        <v>156</v>
      </c>
      <c r="H59" s="158" t="s">
        <v>17</v>
      </c>
      <c r="I59" s="157" t="s">
        <v>130</v>
      </c>
      <c r="J59" s="157"/>
      <c r="K59" s="157"/>
    </row>
    <row r="60" spans="1:11" x14ac:dyDescent="0.2">
      <c r="A60" s="156"/>
      <c r="B60" s="158" t="s">
        <v>112</v>
      </c>
      <c r="C60" s="158" t="s">
        <v>1</v>
      </c>
      <c r="D60" s="158" t="s">
        <v>177</v>
      </c>
      <c r="E60" s="158" t="s">
        <v>4</v>
      </c>
      <c r="F60" s="158" t="s">
        <v>9</v>
      </c>
      <c r="G60" s="158" t="s">
        <v>156</v>
      </c>
      <c r="H60" s="158" t="s">
        <v>17</v>
      </c>
      <c r="I60" s="157" t="s">
        <v>130</v>
      </c>
      <c r="J60" s="157"/>
      <c r="K60" s="157"/>
    </row>
    <row r="61" spans="1:11" x14ac:dyDescent="0.2">
      <c r="A61" s="156"/>
      <c r="B61" s="158" t="s">
        <v>112</v>
      </c>
      <c r="C61" s="158" t="s">
        <v>1</v>
      </c>
      <c r="D61" s="158" t="s">
        <v>177</v>
      </c>
      <c r="E61" s="158" t="s">
        <v>4</v>
      </c>
      <c r="F61" s="158" t="s">
        <v>23</v>
      </c>
      <c r="G61" s="158" t="s">
        <v>156</v>
      </c>
      <c r="H61" s="158" t="s">
        <v>17</v>
      </c>
      <c r="I61" s="157" t="s">
        <v>130</v>
      </c>
      <c r="J61" s="157"/>
      <c r="K61" s="157"/>
    </row>
    <row r="62" spans="1:11" x14ac:dyDescent="0.2">
      <c r="A62" s="156"/>
      <c r="B62" s="158" t="s">
        <v>112</v>
      </c>
      <c r="C62" s="158" t="s">
        <v>1</v>
      </c>
      <c r="D62" s="158" t="s">
        <v>177</v>
      </c>
      <c r="E62" s="158" t="s">
        <v>4</v>
      </c>
      <c r="F62" s="158" t="s">
        <v>12</v>
      </c>
      <c r="G62" s="158" t="s">
        <v>156</v>
      </c>
      <c r="H62" s="158" t="s">
        <v>17</v>
      </c>
      <c r="I62" s="157" t="s">
        <v>130</v>
      </c>
      <c r="J62" s="157"/>
      <c r="K62" s="157"/>
    </row>
    <row r="63" spans="1:11" x14ac:dyDescent="0.2">
      <c r="A63" s="156"/>
      <c r="B63" s="158" t="s">
        <v>112</v>
      </c>
      <c r="C63" s="158" t="s">
        <v>0</v>
      </c>
      <c r="D63" s="158" t="s">
        <v>177</v>
      </c>
      <c r="E63" s="158" t="s">
        <v>4</v>
      </c>
      <c r="F63" s="158" t="s">
        <v>153</v>
      </c>
      <c r="G63" s="158" t="s">
        <v>228</v>
      </c>
      <c r="H63" s="158" t="s">
        <v>17</v>
      </c>
      <c r="I63" s="157" t="s">
        <v>130</v>
      </c>
      <c r="J63" s="157"/>
      <c r="K63" s="157"/>
    </row>
    <row r="64" spans="1:11" x14ac:dyDescent="0.2">
      <c r="A64" s="156"/>
      <c r="B64" s="158" t="s">
        <v>112</v>
      </c>
      <c r="C64" s="158" t="s">
        <v>0</v>
      </c>
      <c r="D64" s="158" t="s">
        <v>177</v>
      </c>
      <c r="E64" s="158" t="s">
        <v>4</v>
      </c>
      <c r="F64" s="158" t="s">
        <v>15</v>
      </c>
      <c r="G64" s="158" t="s">
        <v>156</v>
      </c>
      <c r="H64" s="158" t="s">
        <v>17</v>
      </c>
      <c r="I64" s="157" t="s">
        <v>130</v>
      </c>
      <c r="J64" s="157"/>
      <c r="K64" s="157"/>
    </row>
    <row r="65" spans="1:11" x14ac:dyDescent="0.2">
      <c r="A65" s="156"/>
      <c r="B65" s="158" t="s">
        <v>112</v>
      </c>
      <c r="C65" s="158" t="s">
        <v>1</v>
      </c>
      <c r="D65" s="158" t="s">
        <v>177</v>
      </c>
      <c r="E65" s="158" t="s">
        <v>4</v>
      </c>
      <c r="F65" s="158" t="s">
        <v>15</v>
      </c>
      <c r="G65" s="158" t="s">
        <v>158</v>
      </c>
      <c r="H65" s="158" t="s">
        <v>17</v>
      </c>
      <c r="I65" s="157" t="s">
        <v>130</v>
      </c>
      <c r="J65" s="157"/>
      <c r="K65" s="157"/>
    </row>
    <row r="66" spans="1:11" x14ac:dyDescent="0.2">
      <c r="A66" s="156"/>
      <c r="B66" s="158" t="s">
        <v>112</v>
      </c>
      <c r="C66" s="158" t="s">
        <v>0</v>
      </c>
      <c r="D66" s="158" t="s">
        <v>2</v>
      </c>
      <c r="E66" s="158" t="s">
        <v>3</v>
      </c>
      <c r="F66" s="158" t="s">
        <v>13</v>
      </c>
      <c r="G66" s="158" t="s">
        <v>228</v>
      </c>
      <c r="H66" s="158" t="s">
        <v>17</v>
      </c>
      <c r="I66" s="157" t="s">
        <v>130</v>
      </c>
      <c r="J66" s="157"/>
      <c r="K66" s="157"/>
    </row>
    <row r="67" spans="1:11" x14ac:dyDescent="0.2">
      <c r="A67" s="156"/>
      <c r="B67" s="158" t="s">
        <v>112</v>
      </c>
      <c r="C67" s="158" t="s">
        <v>0</v>
      </c>
      <c r="D67" s="158" t="s">
        <v>2</v>
      </c>
      <c r="E67" s="158" t="s">
        <v>3</v>
      </c>
      <c r="F67" s="157" t="s">
        <v>277</v>
      </c>
      <c r="G67" s="158" t="s">
        <v>228</v>
      </c>
      <c r="H67" s="158" t="s">
        <v>17</v>
      </c>
      <c r="I67" s="157" t="s">
        <v>130</v>
      </c>
      <c r="J67" s="157"/>
      <c r="K67" s="157"/>
    </row>
    <row r="68" spans="1:11" x14ac:dyDescent="0.2">
      <c r="A68" s="156"/>
      <c r="B68" s="158" t="s">
        <v>112</v>
      </c>
      <c r="C68" s="158" t="s">
        <v>0</v>
      </c>
      <c r="D68" s="158" t="s">
        <v>2</v>
      </c>
      <c r="E68" s="158" t="s">
        <v>3</v>
      </c>
      <c r="F68" s="158" t="s">
        <v>13</v>
      </c>
      <c r="G68" s="158" t="s">
        <v>155</v>
      </c>
      <c r="H68" s="158" t="s">
        <v>159</v>
      </c>
      <c r="I68" s="157"/>
      <c r="J68" s="157"/>
      <c r="K68" s="157"/>
    </row>
    <row r="69" spans="1:11" x14ac:dyDescent="0.2">
      <c r="A69" s="156"/>
      <c r="B69" s="158" t="s">
        <v>112</v>
      </c>
      <c r="C69" s="158" t="s">
        <v>1</v>
      </c>
      <c r="D69" s="158" t="s">
        <v>2</v>
      </c>
      <c r="E69" s="158" t="s">
        <v>4</v>
      </c>
      <c r="F69" s="158" t="s">
        <v>13</v>
      </c>
      <c r="G69" s="158" t="s">
        <v>155</v>
      </c>
      <c r="H69" s="158" t="s">
        <v>159</v>
      </c>
      <c r="I69" s="157"/>
      <c r="J69" s="157"/>
      <c r="K69" s="157"/>
    </row>
    <row r="70" spans="1:11" x14ac:dyDescent="0.2">
      <c r="A70" s="156"/>
      <c r="B70" s="158" t="s">
        <v>112</v>
      </c>
      <c r="C70" s="158" t="s">
        <v>0</v>
      </c>
      <c r="D70" s="158" t="s">
        <v>177</v>
      </c>
      <c r="E70" s="158" t="s">
        <v>3</v>
      </c>
      <c r="F70" s="158" t="s">
        <v>9</v>
      </c>
      <c r="G70" s="158" t="s">
        <v>228</v>
      </c>
      <c r="H70" s="158" t="s">
        <v>7</v>
      </c>
      <c r="I70" s="157" t="s">
        <v>265</v>
      </c>
      <c r="J70" s="157"/>
      <c r="K70" s="157"/>
    </row>
    <row r="71" spans="1:11" x14ac:dyDescent="0.2">
      <c r="A71" s="156"/>
      <c r="B71" s="158" t="s">
        <v>112</v>
      </c>
      <c r="C71" s="158" t="s">
        <v>0</v>
      </c>
      <c r="D71" s="158" t="s">
        <v>177</v>
      </c>
      <c r="E71" s="158" t="s">
        <v>3</v>
      </c>
      <c r="F71" s="158" t="s">
        <v>9</v>
      </c>
      <c r="G71" s="158" t="s">
        <v>228</v>
      </c>
      <c r="H71" s="158" t="s">
        <v>7</v>
      </c>
      <c r="I71" s="158" t="s">
        <v>265</v>
      </c>
      <c r="J71" s="157"/>
      <c r="K71" s="157"/>
    </row>
    <row r="72" spans="1:11" x14ac:dyDescent="0.2">
      <c r="A72" s="156"/>
      <c r="B72" s="158" t="s">
        <v>112</v>
      </c>
      <c r="C72" s="158" t="s">
        <v>0</v>
      </c>
      <c r="D72" s="158" t="s">
        <v>177</v>
      </c>
      <c r="E72" s="158" t="s">
        <v>3</v>
      </c>
      <c r="F72" s="158" t="s">
        <v>106</v>
      </c>
      <c r="G72" s="158" t="s">
        <v>228</v>
      </c>
      <c r="H72" s="158" t="s">
        <v>7</v>
      </c>
      <c r="I72" s="158" t="s">
        <v>265</v>
      </c>
      <c r="J72" s="157"/>
      <c r="K72" s="157"/>
    </row>
    <row r="73" spans="1:11" x14ac:dyDescent="0.2">
      <c r="A73" s="156"/>
      <c r="B73" s="158" t="s">
        <v>112</v>
      </c>
      <c r="C73" s="158" t="s">
        <v>0</v>
      </c>
      <c r="D73" s="158" t="s">
        <v>177</v>
      </c>
      <c r="E73" s="158" t="s">
        <v>4</v>
      </c>
      <c r="F73" s="158" t="s">
        <v>106</v>
      </c>
      <c r="G73" s="158" t="s">
        <v>228</v>
      </c>
      <c r="H73" s="158" t="s">
        <v>7</v>
      </c>
      <c r="I73" s="158" t="s">
        <v>265</v>
      </c>
      <c r="J73" s="157"/>
      <c r="K73" s="157"/>
    </row>
    <row r="74" spans="1:11" x14ac:dyDescent="0.2">
      <c r="A74" s="156"/>
      <c r="B74" s="158" t="s">
        <v>112</v>
      </c>
      <c r="C74" s="158" t="s">
        <v>0</v>
      </c>
      <c r="D74" s="158" t="s">
        <v>177</v>
      </c>
      <c r="E74" s="158" t="s">
        <v>4</v>
      </c>
      <c r="F74" s="157" t="s">
        <v>106</v>
      </c>
      <c r="G74" s="158" t="s">
        <v>228</v>
      </c>
      <c r="H74" s="158" t="s">
        <v>7</v>
      </c>
      <c r="I74" s="158" t="s">
        <v>265</v>
      </c>
      <c r="J74" s="157"/>
      <c r="K74" s="157"/>
    </row>
    <row r="75" spans="1:11" x14ac:dyDescent="0.2">
      <c r="A75" s="156"/>
      <c r="B75" s="158" t="s">
        <v>112</v>
      </c>
      <c r="C75" s="158" t="s">
        <v>0</v>
      </c>
      <c r="D75" s="158" t="s">
        <v>177</v>
      </c>
      <c r="E75" s="158" t="s">
        <v>4</v>
      </c>
      <c r="F75" s="157" t="s">
        <v>106</v>
      </c>
      <c r="G75" s="158" t="s">
        <v>228</v>
      </c>
      <c r="H75" s="158" t="s">
        <v>7</v>
      </c>
      <c r="I75" s="158" t="s">
        <v>265</v>
      </c>
      <c r="J75" s="157"/>
      <c r="K75" s="157"/>
    </row>
    <row r="76" spans="1:11" x14ac:dyDescent="0.2">
      <c r="A76" s="156"/>
      <c r="B76" s="158" t="s">
        <v>112</v>
      </c>
      <c r="C76" s="158" t="s">
        <v>0</v>
      </c>
      <c r="D76" s="158" t="s">
        <v>177</v>
      </c>
      <c r="E76" s="158" t="s">
        <v>4</v>
      </c>
      <c r="F76" s="158" t="s">
        <v>9</v>
      </c>
      <c r="G76" s="158" t="s">
        <v>156</v>
      </c>
      <c r="H76" s="158" t="s">
        <v>7</v>
      </c>
      <c r="I76" s="158" t="s">
        <v>265</v>
      </c>
      <c r="J76" s="157"/>
      <c r="K76" s="157"/>
    </row>
    <row r="77" spans="1:11" x14ac:dyDescent="0.2">
      <c r="A77" s="156"/>
      <c r="B77" s="158" t="s">
        <v>112</v>
      </c>
      <c r="C77" s="158" t="s">
        <v>0</v>
      </c>
      <c r="D77" s="158" t="s">
        <v>177</v>
      </c>
      <c r="E77" s="158" t="s">
        <v>4</v>
      </c>
      <c r="F77" s="158" t="s">
        <v>9</v>
      </c>
      <c r="G77" s="158" t="s">
        <v>156</v>
      </c>
      <c r="H77" s="158" t="s">
        <v>7</v>
      </c>
      <c r="I77" s="158" t="s">
        <v>265</v>
      </c>
      <c r="J77" s="157"/>
      <c r="K77" s="157"/>
    </row>
    <row r="78" spans="1:11" x14ac:dyDescent="0.2">
      <c r="A78" s="156"/>
      <c r="B78" s="158" t="s">
        <v>112</v>
      </c>
      <c r="C78" s="158" t="s">
        <v>0</v>
      </c>
      <c r="D78" s="158" t="s">
        <v>177</v>
      </c>
      <c r="E78" s="158" t="s">
        <v>4</v>
      </c>
      <c r="F78" s="158" t="s">
        <v>9</v>
      </c>
      <c r="G78" s="158" t="s">
        <v>228</v>
      </c>
      <c r="H78" s="158" t="s">
        <v>7</v>
      </c>
      <c r="I78" s="158" t="s">
        <v>265</v>
      </c>
      <c r="J78" s="157"/>
      <c r="K78" s="157"/>
    </row>
    <row r="79" spans="1:11" x14ac:dyDescent="0.2">
      <c r="A79" s="156"/>
      <c r="B79" s="158" t="s">
        <v>112</v>
      </c>
      <c r="C79" s="158" t="s">
        <v>0</v>
      </c>
      <c r="D79" s="158" t="s">
        <v>177</v>
      </c>
      <c r="E79" s="158" t="s">
        <v>4</v>
      </c>
      <c r="F79" s="158" t="s">
        <v>153</v>
      </c>
      <c r="G79" s="158" t="s">
        <v>228</v>
      </c>
      <c r="H79" s="158" t="s">
        <v>7</v>
      </c>
      <c r="I79" s="158" t="s">
        <v>265</v>
      </c>
      <c r="J79" s="157"/>
      <c r="K79" s="157"/>
    </row>
    <row r="80" spans="1:11" x14ac:dyDescent="0.2">
      <c r="A80" s="156"/>
      <c r="B80" s="158" t="s">
        <v>112</v>
      </c>
      <c r="C80" s="158" t="s">
        <v>0</v>
      </c>
      <c r="D80" s="158" t="s">
        <v>177</v>
      </c>
      <c r="E80" s="158" t="s">
        <v>4</v>
      </c>
      <c r="F80" s="158" t="s">
        <v>153</v>
      </c>
      <c r="G80" s="158" t="s">
        <v>228</v>
      </c>
      <c r="H80" s="158" t="s">
        <v>7</v>
      </c>
      <c r="I80" s="158" t="s">
        <v>265</v>
      </c>
      <c r="J80" s="157"/>
      <c r="K80" s="157"/>
    </row>
    <row r="81" spans="1:11" x14ac:dyDescent="0.2">
      <c r="A81" s="156"/>
      <c r="B81" s="158" t="s">
        <v>112</v>
      </c>
      <c r="C81" s="158" t="s">
        <v>1</v>
      </c>
      <c r="D81" s="158" t="s">
        <v>177</v>
      </c>
      <c r="E81" s="158" t="s">
        <v>4</v>
      </c>
      <c r="F81" s="158" t="s">
        <v>153</v>
      </c>
      <c r="G81" s="158" t="s">
        <v>228</v>
      </c>
      <c r="H81" s="158" t="s">
        <v>7</v>
      </c>
      <c r="I81" s="158" t="s">
        <v>265</v>
      </c>
      <c r="J81" s="157"/>
      <c r="K81" s="157"/>
    </row>
    <row r="82" spans="1:11" x14ac:dyDescent="0.2">
      <c r="A82" s="156"/>
      <c r="B82" s="158" t="s">
        <v>112</v>
      </c>
      <c r="C82" s="158" t="s">
        <v>1</v>
      </c>
      <c r="D82" s="158" t="s">
        <v>177</v>
      </c>
      <c r="E82" s="158" t="s">
        <v>4</v>
      </c>
      <c r="F82" s="158" t="s">
        <v>9</v>
      </c>
      <c r="G82" s="158" t="s">
        <v>228</v>
      </c>
      <c r="H82" s="158" t="s">
        <v>7</v>
      </c>
      <c r="I82" s="158" t="s">
        <v>265</v>
      </c>
      <c r="J82" s="157"/>
      <c r="K82" s="157"/>
    </row>
    <row r="83" spans="1:11" x14ac:dyDescent="0.2">
      <c r="A83" s="156"/>
      <c r="B83" s="158" t="s">
        <v>112</v>
      </c>
      <c r="C83" s="158" t="s">
        <v>1</v>
      </c>
      <c r="D83" s="158" t="s">
        <v>177</v>
      </c>
      <c r="E83" s="158" t="s">
        <v>3</v>
      </c>
      <c r="F83" s="158" t="s">
        <v>9</v>
      </c>
      <c r="G83" s="158" t="s">
        <v>228</v>
      </c>
      <c r="H83" s="158" t="s">
        <v>7</v>
      </c>
      <c r="I83" s="158" t="s">
        <v>265</v>
      </c>
      <c r="J83" s="157"/>
      <c r="K83" s="157"/>
    </row>
    <row r="84" spans="1:11" x14ac:dyDescent="0.2">
      <c r="A84" s="156"/>
      <c r="B84" s="158" t="s">
        <v>116</v>
      </c>
      <c r="C84" s="158" t="s">
        <v>0</v>
      </c>
      <c r="D84" s="158" t="s">
        <v>2</v>
      </c>
      <c r="E84" s="158" t="s">
        <v>4</v>
      </c>
      <c r="F84" s="158" t="s">
        <v>110</v>
      </c>
      <c r="G84" s="158" t="s">
        <v>110</v>
      </c>
      <c r="H84" s="158" t="s">
        <v>7</v>
      </c>
      <c r="I84" s="157" t="s">
        <v>20</v>
      </c>
      <c r="J84" s="157"/>
      <c r="K84" s="157"/>
    </row>
    <row r="85" spans="1:11" x14ac:dyDescent="0.2">
      <c r="A85" s="156"/>
      <c r="B85" s="158" t="s">
        <v>116</v>
      </c>
      <c r="C85" s="158" t="s">
        <v>0</v>
      </c>
      <c r="D85" s="158" t="s">
        <v>2</v>
      </c>
      <c r="E85" s="158" t="s">
        <v>4</v>
      </c>
      <c r="F85" s="158" t="s">
        <v>110</v>
      </c>
      <c r="G85" s="158" t="s">
        <v>110</v>
      </c>
      <c r="H85" s="158" t="s">
        <v>7</v>
      </c>
      <c r="I85" s="158" t="s">
        <v>20</v>
      </c>
      <c r="J85" s="158" t="s">
        <v>265</v>
      </c>
      <c r="K85" s="157" t="s">
        <v>144</v>
      </c>
    </row>
    <row r="86" spans="1:11" x14ac:dyDescent="0.2">
      <c r="A86" s="156"/>
      <c r="B86" s="158" t="s">
        <v>116</v>
      </c>
      <c r="C86" s="158" t="s">
        <v>0</v>
      </c>
      <c r="D86" s="158" t="s">
        <v>2</v>
      </c>
      <c r="E86" s="158" t="s">
        <v>4</v>
      </c>
      <c r="F86" s="158" t="s">
        <v>110</v>
      </c>
      <c r="G86" s="158" t="s">
        <v>110</v>
      </c>
      <c r="H86" s="158" t="s">
        <v>7</v>
      </c>
      <c r="I86" s="158" t="s">
        <v>20</v>
      </c>
      <c r="J86" s="158" t="s">
        <v>265</v>
      </c>
      <c r="K86" s="157" t="s">
        <v>144</v>
      </c>
    </row>
    <row r="87" spans="1:11" x14ac:dyDescent="0.2">
      <c r="A87" s="156"/>
      <c r="B87" s="158" t="s">
        <v>116</v>
      </c>
      <c r="C87" s="158" t="s">
        <v>0</v>
      </c>
      <c r="D87" s="158" t="s">
        <v>2</v>
      </c>
      <c r="E87" s="158" t="s">
        <v>4</v>
      </c>
      <c r="F87" s="158" t="s">
        <v>110</v>
      </c>
      <c r="G87" s="158" t="s">
        <v>110</v>
      </c>
      <c r="H87" s="158" t="s">
        <v>7</v>
      </c>
      <c r="I87" s="158" t="s">
        <v>20</v>
      </c>
      <c r="J87" s="158" t="s">
        <v>265</v>
      </c>
      <c r="K87" s="157" t="s">
        <v>144</v>
      </c>
    </row>
    <row r="88" spans="1:11" x14ac:dyDescent="0.2">
      <c r="A88" s="156"/>
      <c r="B88" s="158" t="s">
        <v>116</v>
      </c>
      <c r="C88" s="158" t="s">
        <v>0</v>
      </c>
      <c r="D88" s="158" t="s">
        <v>2</v>
      </c>
      <c r="E88" s="158" t="s">
        <v>4</v>
      </c>
      <c r="F88" s="158" t="s">
        <v>110</v>
      </c>
      <c r="G88" s="158" t="s">
        <v>110</v>
      </c>
      <c r="H88" s="158" t="s">
        <v>7</v>
      </c>
      <c r="I88" s="158" t="s">
        <v>20</v>
      </c>
      <c r="J88" s="158" t="s">
        <v>265</v>
      </c>
      <c r="K88" s="157" t="s">
        <v>144</v>
      </c>
    </row>
    <row r="89" spans="1:11" x14ac:dyDescent="0.2">
      <c r="A89" s="156"/>
      <c r="B89" s="158" t="s">
        <v>116</v>
      </c>
      <c r="C89" s="158" t="s">
        <v>0</v>
      </c>
      <c r="D89" s="158" t="s">
        <v>2</v>
      </c>
      <c r="E89" s="158" t="s">
        <v>4</v>
      </c>
      <c r="F89" s="158" t="s">
        <v>110</v>
      </c>
      <c r="G89" s="158" t="s">
        <v>110</v>
      </c>
      <c r="H89" s="158" t="s">
        <v>7</v>
      </c>
      <c r="I89" s="158" t="s">
        <v>20</v>
      </c>
      <c r="J89" s="158" t="s">
        <v>265</v>
      </c>
      <c r="K89" s="157" t="s">
        <v>144</v>
      </c>
    </row>
    <row r="90" spans="1:11" x14ac:dyDescent="0.2">
      <c r="A90" s="156"/>
      <c r="B90" s="158" t="s">
        <v>116</v>
      </c>
      <c r="C90" s="158" t="s">
        <v>0</v>
      </c>
      <c r="D90" s="158" t="s">
        <v>2</v>
      </c>
      <c r="E90" s="158" t="s">
        <v>4</v>
      </c>
      <c r="F90" s="158" t="s">
        <v>110</v>
      </c>
      <c r="G90" s="158" t="s">
        <v>110</v>
      </c>
      <c r="H90" s="158" t="s">
        <v>7</v>
      </c>
      <c r="I90" s="158" t="s">
        <v>20</v>
      </c>
      <c r="J90" s="158" t="s">
        <v>265</v>
      </c>
      <c r="K90" s="157" t="s">
        <v>144</v>
      </c>
    </row>
    <row r="91" spans="1:11" x14ac:dyDescent="0.2">
      <c r="A91" s="156"/>
      <c r="B91" s="158" t="s">
        <v>116</v>
      </c>
      <c r="C91" s="158" t="s">
        <v>0</v>
      </c>
      <c r="D91" s="158" t="s">
        <v>2</v>
      </c>
      <c r="E91" s="158" t="s">
        <v>4</v>
      </c>
      <c r="F91" s="158" t="s">
        <v>110</v>
      </c>
      <c r="G91" s="158" t="s">
        <v>110</v>
      </c>
      <c r="H91" s="158" t="s">
        <v>7</v>
      </c>
      <c r="I91" s="158" t="s">
        <v>20</v>
      </c>
      <c r="J91" s="158" t="s">
        <v>265</v>
      </c>
      <c r="K91" s="157" t="s">
        <v>144</v>
      </c>
    </row>
    <row r="92" spans="1:11" x14ac:dyDescent="0.2">
      <c r="A92" s="156"/>
      <c r="B92" s="158" t="s">
        <v>116</v>
      </c>
      <c r="C92" s="158" t="s">
        <v>0</v>
      </c>
      <c r="D92" s="158" t="s">
        <v>2</v>
      </c>
      <c r="E92" s="158" t="s">
        <v>4</v>
      </c>
      <c r="F92" s="158" t="s">
        <v>110</v>
      </c>
      <c r="G92" s="158" t="s">
        <v>110</v>
      </c>
      <c r="H92" s="158" t="s">
        <v>7</v>
      </c>
      <c r="I92" s="157" t="s">
        <v>20</v>
      </c>
      <c r="J92" s="158" t="s">
        <v>265</v>
      </c>
      <c r="K92" s="157" t="s">
        <v>144</v>
      </c>
    </row>
    <row r="93" spans="1:11" x14ac:dyDescent="0.2">
      <c r="A93" s="156"/>
      <c r="B93" s="158" t="s">
        <v>116</v>
      </c>
      <c r="C93" s="158" t="s">
        <v>0</v>
      </c>
      <c r="D93" s="158" t="s">
        <v>2</v>
      </c>
      <c r="E93" s="158" t="s">
        <v>4</v>
      </c>
      <c r="F93" s="158" t="s">
        <v>110</v>
      </c>
      <c r="G93" s="158" t="s">
        <v>110</v>
      </c>
      <c r="H93" s="158" t="s">
        <v>7</v>
      </c>
      <c r="I93" s="158" t="s">
        <v>20</v>
      </c>
      <c r="J93" s="158" t="s">
        <v>265</v>
      </c>
      <c r="K93" s="157" t="s">
        <v>144</v>
      </c>
    </row>
    <row r="94" spans="1:11" x14ac:dyDescent="0.2">
      <c r="A94" s="156"/>
      <c r="B94" s="158" t="s">
        <v>116</v>
      </c>
      <c r="C94" s="158" t="s">
        <v>0</v>
      </c>
      <c r="D94" s="158" t="s">
        <v>2</v>
      </c>
      <c r="E94" s="158" t="s">
        <v>4</v>
      </c>
      <c r="F94" s="158" t="s">
        <v>110</v>
      </c>
      <c r="G94" s="158" t="s">
        <v>110</v>
      </c>
      <c r="H94" s="158" t="s">
        <v>7</v>
      </c>
      <c r="I94" s="158" t="s">
        <v>20</v>
      </c>
      <c r="J94" s="158" t="s">
        <v>265</v>
      </c>
      <c r="K94" s="157" t="s">
        <v>144</v>
      </c>
    </row>
    <row r="95" spans="1:11" x14ac:dyDescent="0.2">
      <c r="A95" s="156"/>
      <c r="B95" s="158" t="s">
        <v>116</v>
      </c>
      <c r="C95" s="158" t="s">
        <v>0</v>
      </c>
      <c r="D95" s="158" t="s">
        <v>2</v>
      </c>
      <c r="E95" s="158" t="s">
        <v>4</v>
      </c>
      <c r="F95" s="158" t="s">
        <v>110</v>
      </c>
      <c r="G95" s="158" t="s">
        <v>110</v>
      </c>
      <c r="H95" s="158" t="s">
        <v>7</v>
      </c>
      <c r="I95" s="158" t="s">
        <v>20</v>
      </c>
      <c r="J95" s="158" t="s">
        <v>265</v>
      </c>
      <c r="K95" s="157" t="s">
        <v>144</v>
      </c>
    </row>
    <row r="96" spans="1:11" x14ac:dyDescent="0.2">
      <c r="A96" s="156"/>
      <c r="B96" s="158" t="s">
        <v>116</v>
      </c>
      <c r="C96" s="158" t="s">
        <v>0</v>
      </c>
      <c r="D96" s="158" t="s">
        <v>2</v>
      </c>
      <c r="E96" s="158" t="s">
        <v>4</v>
      </c>
      <c r="F96" s="158" t="s">
        <v>110</v>
      </c>
      <c r="G96" s="158" t="s">
        <v>110</v>
      </c>
      <c r="H96" s="158" t="s">
        <v>7</v>
      </c>
      <c r="I96" s="158" t="s">
        <v>20</v>
      </c>
      <c r="J96" s="158" t="s">
        <v>265</v>
      </c>
      <c r="K96" s="157" t="s">
        <v>144</v>
      </c>
    </row>
    <row r="97" spans="1:11" x14ac:dyDescent="0.2">
      <c r="A97" s="156"/>
      <c r="B97" s="158" t="s">
        <v>116</v>
      </c>
      <c r="C97" s="158" t="s">
        <v>0</v>
      </c>
      <c r="D97" s="158" t="s">
        <v>2</v>
      </c>
      <c r="E97" s="158" t="s">
        <v>4</v>
      </c>
      <c r="F97" s="158" t="s">
        <v>110</v>
      </c>
      <c r="G97" s="158" t="s">
        <v>110</v>
      </c>
      <c r="H97" s="158" t="s">
        <v>7</v>
      </c>
      <c r="I97" s="158" t="s">
        <v>20</v>
      </c>
      <c r="J97" s="158" t="s">
        <v>265</v>
      </c>
      <c r="K97" s="157" t="s">
        <v>144</v>
      </c>
    </row>
    <row r="98" spans="1:11" x14ac:dyDescent="0.2">
      <c r="A98" s="156"/>
      <c r="B98" s="158" t="s">
        <v>116</v>
      </c>
      <c r="C98" s="158" t="s">
        <v>0</v>
      </c>
      <c r="D98" s="158" t="s">
        <v>2</v>
      </c>
      <c r="E98" s="158" t="s">
        <v>4</v>
      </c>
      <c r="F98" s="158" t="s">
        <v>110</v>
      </c>
      <c r="G98" s="158" t="s">
        <v>110</v>
      </c>
      <c r="H98" s="158" t="s">
        <v>7</v>
      </c>
      <c r="I98" s="158" t="s">
        <v>20</v>
      </c>
      <c r="J98" s="158" t="s">
        <v>265</v>
      </c>
      <c r="K98" s="157" t="s">
        <v>144</v>
      </c>
    </row>
    <row r="99" spans="1:11" x14ac:dyDescent="0.2">
      <c r="A99" s="156"/>
      <c r="B99" s="158" t="s">
        <v>116</v>
      </c>
      <c r="C99" s="158" t="s">
        <v>0</v>
      </c>
      <c r="D99" s="158" t="s">
        <v>2</v>
      </c>
      <c r="E99" s="158" t="s">
        <v>4</v>
      </c>
      <c r="F99" s="158" t="s">
        <v>110</v>
      </c>
      <c r="G99" s="158" t="s">
        <v>110</v>
      </c>
      <c r="H99" s="158" t="s">
        <v>7</v>
      </c>
      <c r="I99" s="158" t="s">
        <v>20</v>
      </c>
      <c r="J99" s="157"/>
      <c r="K99" s="157"/>
    </row>
    <row r="100" spans="1:11" x14ac:dyDescent="0.2">
      <c r="A100" s="156"/>
      <c r="B100" s="158" t="s">
        <v>112</v>
      </c>
      <c r="C100" s="158" t="s">
        <v>0</v>
      </c>
      <c r="D100" s="158" t="s">
        <v>177</v>
      </c>
      <c r="E100" s="158" t="s">
        <v>4</v>
      </c>
      <c r="F100" s="158" t="s">
        <v>106</v>
      </c>
      <c r="G100" s="158" t="s">
        <v>156</v>
      </c>
      <c r="H100" s="158" t="s">
        <v>7</v>
      </c>
      <c r="I100" s="157" t="s">
        <v>128</v>
      </c>
      <c r="J100" s="157"/>
      <c r="K100" s="157"/>
    </row>
    <row r="101" spans="1:11" x14ac:dyDescent="0.2">
      <c r="A101" s="156"/>
      <c r="B101" s="158" t="s">
        <v>112</v>
      </c>
      <c r="C101" s="158" t="s">
        <v>0</v>
      </c>
      <c r="D101" s="158" t="s">
        <v>177</v>
      </c>
      <c r="E101" s="158" t="s">
        <v>4</v>
      </c>
      <c r="F101" s="158" t="s">
        <v>106</v>
      </c>
      <c r="G101" s="158" t="s">
        <v>156</v>
      </c>
      <c r="H101" s="158" t="s">
        <v>7</v>
      </c>
      <c r="I101" s="157" t="s">
        <v>128</v>
      </c>
      <c r="J101" s="157"/>
      <c r="K101" s="157"/>
    </row>
    <row r="102" spans="1:11" x14ac:dyDescent="0.2">
      <c r="A102" s="156"/>
      <c r="B102" s="158" t="s">
        <v>112</v>
      </c>
      <c r="C102" s="158" t="s">
        <v>0</v>
      </c>
      <c r="D102" s="158" t="s">
        <v>177</v>
      </c>
      <c r="E102" s="158" t="s">
        <v>4</v>
      </c>
      <c r="F102" s="158" t="s">
        <v>106</v>
      </c>
      <c r="G102" s="158" t="s">
        <v>156</v>
      </c>
      <c r="H102" s="158" t="s">
        <v>7</v>
      </c>
      <c r="I102" s="157" t="s">
        <v>128</v>
      </c>
      <c r="J102" s="157"/>
      <c r="K102" s="157"/>
    </row>
    <row r="103" spans="1:11" x14ac:dyDescent="0.2">
      <c r="A103" s="156"/>
      <c r="B103" s="158" t="s">
        <v>112</v>
      </c>
      <c r="C103" s="158" t="s">
        <v>0</v>
      </c>
      <c r="D103" s="158" t="s">
        <v>177</v>
      </c>
      <c r="E103" s="158" t="s">
        <v>4</v>
      </c>
      <c r="F103" s="158" t="s">
        <v>106</v>
      </c>
      <c r="G103" s="158" t="s">
        <v>156</v>
      </c>
      <c r="H103" s="158" t="s">
        <v>7</v>
      </c>
      <c r="I103" s="157" t="s">
        <v>128</v>
      </c>
      <c r="J103" s="157"/>
      <c r="K103" s="157"/>
    </row>
    <row r="104" spans="1:11" x14ac:dyDescent="0.2">
      <c r="A104" s="156"/>
      <c r="B104" s="158" t="s">
        <v>112</v>
      </c>
      <c r="C104" s="158" t="s">
        <v>0</v>
      </c>
      <c r="D104" s="158" t="s">
        <v>177</v>
      </c>
      <c r="E104" s="158" t="s">
        <v>4</v>
      </c>
      <c r="F104" s="158" t="s">
        <v>106</v>
      </c>
      <c r="G104" s="158" t="s">
        <v>156</v>
      </c>
      <c r="H104" s="158" t="s">
        <v>7</v>
      </c>
      <c r="I104" s="157" t="s">
        <v>128</v>
      </c>
      <c r="J104" s="157"/>
      <c r="K104" s="157"/>
    </row>
    <row r="105" spans="1:11" x14ac:dyDescent="0.2">
      <c r="A105" s="156"/>
      <c r="B105" s="158" t="s">
        <v>112</v>
      </c>
      <c r="C105" s="158" t="s">
        <v>0</v>
      </c>
      <c r="D105" s="158" t="s">
        <v>177</v>
      </c>
      <c r="E105" s="158" t="s">
        <v>4</v>
      </c>
      <c r="F105" s="158" t="s">
        <v>106</v>
      </c>
      <c r="G105" s="158" t="s">
        <v>156</v>
      </c>
      <c r="H105" s="158" t="s">
        <v>7</v>
      </c>
      <c r="I105" s="157" t="s">
        <v>128</v>
      </c>
      <c r="J105" s="157"/>
      <c r="K105" s="157"/>
    </row>
    <row r="106" spans="1:11" x14ac:dyDescent="0.2">
      <c r="A106" s="156"/>
      <c r="B106" s="158" t="s">
        <v>112</v>
      </c>
      <c r="C106" s="157" t="s">
        <v>0</v>
      </c>
      <c r="D106" s="157" t="s">
        <v>177</v>
      </c>
      <c r="E106" s="158" t="s">
        <v>4</v>
      </c>
      <c r="F106" s="157" t="s">
        <v>106</v>
      </c>
      <c r="G106" s="157" t="s">
        <v>156</v>
      </c>
      <c r="H106" s="158" t="s">
        <v>7</v>
      </c>
      <c r="I106" s="157" t="s">
        <v>128</v>
      </c>
      <c r="J106" s="157"/>
      <c r="K106" s="157"/>
    </row>
    <row r="107" spans="1:11" x14ac:dyDescent="0.2">
      <c r="A107" s="156"/>
      <c r="B107" s="158" t="s">
        <v>112</v>
      </c>
      <c r="C107" s="158" t="s">
        <v>0</v>
      </c>
      <c r="D107" s="158" t="s">
        <v>177</v>
      </c>
      <c r="E107" s="158" t="s">
        <v>4</v>
      </c>
      <c r="F107" s="158" t="s">
        <v>106</v>
      </c>
      <c r="G107" s="158" t="s">
        <v>156</v>
      </c>
      <c r="H107" s="158" t="s">
        <v>7</v>
      </c>
      <c r="I107" s="157" t="s">
        <v>128</v>
      </c>
      <c r="J107" s="157"/>
      <c r="K107" s="157"/>
    </row>
    <row r="108" spans="1:11" x14ac:dyDescent="0.2">
      <c r="A108" s="156"/>
      <c r="B108" s="158" t="s">
        <v>112</v>
      </c>
      <c r="C108" s="158" t="s">
        <v>0</v>
      </c>
      <c r="D108" s="158" t="s">
        <v>177</v>
      </c>
      <c r="E108" s="158" t="s">
        <v>4</v>
      </c>
      <c r="F108" s="158" t="s">
        <v>106</v>
      </c>
      <c r="G108" s="158" t="s">
        <v>156</v>
      </c>
      <c r="H108" s="158" t="s">
        <v>7</v>
      </c>
      <c r="I108" s="157" t="s">
        <v>128</v>
      </c>
      <c r="J108" s="157"/>
      <c r="K108" s="157"/>
    </row>
    <row r="109" spans="1:11" x14ac:dyDescent="0.2">
      <c r="A109" s="156"/>
      <c r="B109" s="158" t="s">
        <v>112</v>
      </c>
      <c r="C109" s="158" t="s">
        <v>0</v>
      </c>
      <c r="D109" s="158" t="s">
        <v>177</v>
      </c>
      <c r="E109" s="158" t="s">
        <v>4</v>
      </c>
      <c r="F109" s="158" t="s">
        <v>106</v>
      </c>
      <c r="G109" s="158" t="s">
        <v>156</v>
      </c>
      <c r="H109" s="158" t="s">
        <v>7</v>
      </c>
      <c r="I109" s="157" t="s">
        <v>128</v>
      </c>
      <c r="J109" s="157"/>
      <c r="K109" s="157"/>
    </row>
    <row r="110" spans="1:11" x14ac:dyDescent="0.2">
      <c r="A110" s="156"/>
      <c r="B110" s="158" t="s">
        <v>112</v>
      </c>
      <c r="C110" s="158" t="s">
        <v>0</v>
      </c>
      <c r="D110" s="158" t="s">
        <v>177</v>
      </c>
      <c r="E110" s="158" t="s">
        <v>4</v>
      </c>
      <c r="F110" s="158" t="s">
        <v>106</v>
      </c>
      <c r="G110" s="158" t="s">
        <v>156</v>
      </c>
      <c r="H110" s="158" t="s">
        <v>7</v>
      </c>
      <c r="I110" s="157" t="s">
        <v>128</v>
      </c>
      <c r="J110" s="157"/>
      <c r="K110" s="157"/>
    </row>
    <row r="111" spans="1:11" x14ac:dyDescent="0.2">
      <c r="A111" s="156"/>
      <c r="B111" s="158" t="s">
        <v>112</v>
      </c>
      <c r="C111" s="158" t="s">
        <v>0</v>
      </c>
      <c r="D111" s="158" t="s">
        <v>177</v>
      </c>
      <c r="E111" s="158" t="s">
        <v>4</v>
      </c>
      <c r="F111" s="158" t="s">
        <v>106</v>
      </c>
      <c r="G111" s="158" t="s">
        <v>156</v>
      </c>
      <c r="H111" s="158" t="s">
        <v>7</v>
      </c>
      <c r="I111" s="157" t="s">
        <v>128</v>
      </c>
      <c r="J111" s="157"/>
      <c r="K111" s="157"/>
    </row>
    <row r="112" spans="1:11" x14ac:dyDescent="0.2">
      <c r="A112" s="156"/>
      <c r="B112" s="158" t="s">
        <v>112</v>
      </c>
      <c r="C112" s="158" t="s">
        <v>0</v>
      </c>
      <c r="D112" s="158" t="s">
        <v>177</v>
      </c>
      <c r="E112" s="158" t="s">
        <v>4</v>
      </c>
      <c r="F112" s="158" t="s">
        <v>106</v>
      </c>
      <c r="G112" s="158" t="s">
        <v>156</v>
      </c>
      <c r="H112" s="158" t="s">
        <v>7</v>
      </c>
      <c r="I112" s="157" t="s">
        <v>128</v>
      </c>
      <c r="J112" s="157"/>
      <c r="K112" s="157"/>
    </row>
    <row r="113" spans="1:11" x14ac:dyDescent="0.2">
      <c r="A113" s="156"/>
      <c r="B113" s="158" t="s">
        <v>112</v>
      </c>
      <c r="C113" s="158" t="s">
        <v>0</v>
      </c>
      <c r="D113" s="158" t="s">
        <v>177</v>
      </c>
      <c r="E113" s="158" t="s">
        <v>3</v>
      </c>
      <c r="F113" s="158" t="s">
        <v>106</v>
      </c>
      <c r="G113" s="158" t="s">
        <v>156</v>
      </c>
      <c r="H113" s="158" t="s">
        <v>7</v>
      </c>
      <c r="I113" s="157" t="s">
        <v>128</v>
      </c>
      <c r="J113" s="157"/>
      <c r="K113" s="157"/>
    </row>
    <row r="114" spans="1:11" x14ac:dyDescent="0.2">
      <c r="A114" s="156"/>
      <c r="B114" s="158" t="s">
        <v>112</v>
      </c>
      <c r="C114" s="158" t="s">
        <v>0</v>
      </c>
      <c r="D114" s="158" t="s">
        <v>177</v>
      </c>
      <c r="E114" s="158" t="s">
        <v>3</v>
      </c>
      <c r="F114" s="158" t="s">
        <v>106</v>
      </c>
      <c r="G114" s="158" t="s">
        <v>156</v>
      </c>
      <c r="H114" s="158" t="s">
        <v>7</v>
      </c>
      <c r="I114" s="157" t="s">
        <v>128</v>
      </c>
      <c r="J114" s="157"/>
      <c r="K114" s="157"/>
    </row>
    <row r="115" spans="1:11" x14ac:dyDescent="0.2">
      <c r="A115" s="156"/>
      <c r="B115" s="158" t="s">
        <v>112</v>
      </c>
      <c r="C115" s="158" t="s">
        <v>0</v>
      </c>
      <c r="D115" s="158" t="s">
        <v>177</v>
      </c>
      <c r="E115" s="158" t="s">
        <v>3</v>
      </c>
      <c r="F115" s="158" t="s">
        <v>106</v>
      </c>
      <c r="G115" s="158" t="s">
        <v>156</v>
      </c>
      <c r="H115" s="158" t="s">
        <v>7</v>
      </c>
      <c r="I115" s="157" t="s">
        <v>128</v>
      </c>
      <c r="J115" s="157"/>
      <c r="K115" s="157"/>
    </row>
    <row r="116" spans="1:11" x14ac:dyDescent="0.2">
      <c r="A116" s="156"/>
      <c r="B116" s="158" t="s">
        <v>112</v>
      </c>
      <c r="C116" s="158" t="s">
        <v>0</v>
      </c>
      <c r="D116" s="158" t="s">
        <v>177</v>
      </c>
      <c r="E116" s="158" t="s">
        <v>3</v>
      </c>
      <c r="F116" s="158" t="s">
        <v>106</v>
      </c>
      <c r="G116" s="158" t="s">
        <v>156</v>
      </c>
      <c r="H116" s="158" t="s">
        <v>7</v>
      </c>
      <c r="I116" s="157" t="s">
        <v>128</v>
      </c>
      <c r="J116" s="157"/>
      <c r="K116" s="157"/>
    </row>
    <row r="117" spans="1:11" x14ac:dyDescent="0.2">
      <c r="A117" s="156"/>
      <c r="B117" s="158" t="s">
        <v>112</v>
      </c>
      <c r="C117" s="158" t="s">
        <v>0</v>
      </c>
      <c r="D117" s="158" t="s">
        <v>177</v>
      </c>
      <c r="E117" s="158" t="s">
        <v>3</v>
      </c>
      <c r="F117" s="158" t="s">
        <v>106</v>
      </c>
      <c r="G117" s="158" t="s">
        <v>156</v>
      </c>
      <c r="H117" s="158" t="s">
        <v>7</v>
      </c>
      <c r="I117" s="157" t="s">
        <v>128</v>
      </c>
      <c r="J117" s="157"/>
      <c r="K117" s="157"/>
    </row>
    <row r="118" spans="1:11" x14ac:dyDescent="0.2">
      <c r="A118" s="156"/>
      <c r="B118" s="158" t="s">
        <v>112</v>
      </c>
      <c r="C118" s="158" t="s">
        <v>0</v>
      </c>
      <c r="D118" s="158" t="s">
        <v>177</v>
      </c>
      <c r="E118" s="158" t="s">
        <v>3</v>
      </c>
      <c r="F118" s="158" t="s">
        <v>106</v>
      </c>
      <c r="G118" s="158" t="s">
        <v>156</v>
      </c>
      <c r="H118" s="158" t="s">
        <v>7</v>
      </c>
      <c r="I118" s="157" t="s">
        <v>128</v>
      </c>
      <c r="J118" s="157"/>
      <c r="K118" s="157"/>
    </row>
    <row r="119" spans="1:11" x14ac:dyDescent="0.2">
      <c r="A119" s="156"/>
      <c r="B119" s="158" t="s">
        <v>112</v>
      </c>
      <c r="C119" s="158" t="s">
        <v>0</v>
      </c>
      <c r="D119" s="158" t="s">
        <v>177</v>
      </c>
      <c r="E119" s="158" t="s">
        <v>3</v>
      </c>
      <c r="F119" s="158" t="s">
        <v>106</v>
      </c>
      <c r="G119" s="158" t="s">
        <v>156</v>
      </c>
      <c r="H119" s="158" t="s">
        <v>7</v>
      </c>
      <c r="I119" s="157" t="s">
        <v>128</v>
      </c>
      <c r="J119" s="157"/>
      <c r="K119" s="157"/>
    </row>
    <row r="120" spans="1:11" x14ac:dyDescent="0.2">
      <c r="A120" s="156"/>
      <c r="B120" s="158" t="s">
        <v>112</v>
      </c>
      <c r="C120" s="158" t="s">
        <v>0</v>
      </c>
      <c r="D120" s="158" t="s">
        <v>177</v>
      </c>
      <c r="E120" s="158" t="s">
        <v>3</v>
      </c>
      <c r="F120" s="158" t="s">
        <v>106</v>
      </c>
      <c r="G120" s="158" t="s">
        <v>156</v>
      </c>
      <c r="H120" s="158" t="s">
        <v>7</v>
      </c>
      <c r="I120" s="157" t="s">
        <v>128</v>
      </c>
      <c r="J120" s="157"/>
      <c r="K120" s="157"/>
    </row>
    <row r="121" spans="1:11" x14ac:dyDescent="0.2">
      <c r="A121" s="156"/>
      <c r="B121" s="158" t="s">
        <v>112</v>
      </c>
      <c r="C121" s="158" t="s">
        <v>0</v>
      </c>
      <c r="D121" s="158" t="s">
        <v>177</v>
      </c>
      <c r="E121" s="158" t="s">
        <v>3</v>
      </c>
      <c r="F121" s="158" t="s">
        <v>106</v>
      </c>
      <c r="G121" s="158" t="s">
        <v>156</v>
      </c>
      <c r="H121" s="158" t="s">
        <v>7</v>
      </c>
      <c r="I121" s="157" t="s">
        <v>128</v>
      </c>
      <c r="J121" s="157"/>
      <c r="K121" s="157"/>
    </row>
    <row r="122" spans="1:11" x14ac:dyDescent="0.2">
      <c r="A122" s="156"/>
      <c r="B122" s="158" t="s">
        <v>112</v>
      </c>
      <c r="C122" s="158" t="s">
        <v>0</v>
      </c>
      <c r="D122" s="158" t="s">
        <v>177</v>
      </c>
      <c r="E122" s="158" t="s">
        <v>3</v>
      </c>
      <c r="F122" s="158" t="s">
        <v>106</v>
      </c>
      <c r="G122" s="158" t="s">
        <v>156</v>
      </c>
      <c r="H122" s="158" t="s">
        <v>7</v>
      </c>
      <c r="I122" s="157" t="s">
        <v>128</v>
      </c>
      <c r="J122" s="157"/>
      <c r="K122" s="157"/>
    </row>
    <row r="123" spans="1:11" x14ac:dyDescent="0.2">
      <c r="A123" s="156"/>
      <c r="B123" s="158" t="s">
        <v>112</v>
      </c>
      <c r="C123" s="158" t="s">
        <v>0</v>
      </c>
      <c r="D123" s="158" t="s">
        <v>177</v>
      </c>
      <c r="E123" s="158" t="s">
        <v>3</v>
      </c>
      <c r="F123" s="158" t="s">
        <v>106</v>
      </c>
      <c r="G123" s="158" t="s">
        <v>156</v>
      </c>
      <c r="H123" s="158" t="s">
        <v>7</v>
      </c>
      <c r="I123" s="157" t="s">
        <v>128</v>
      </c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workbookViewId="0">
      <selection activeCell="J24" sqref="J24:J26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116</v>
      </c>
      <c r="C5" s="157" t="s">
        <v>0</v>
      </c>
      <c r="D5" s="157" t="s">
        <v>177</v>
      </c>
      <c r="E5" s="157" t="s">
        <v>3</v>
      </c>
      <c r="F5" s="157" t="s">
        <v>106</v>
      </c>
      <c r="G5" s="157" t="s">
        <v>110</v>
      </c>
      <c r="H5" s="157" t="s">
        <v>7</v>
      </c>
      <c r="I5" s="157" t="s">
        <v>143</v>
      </c>
      <c r="J5" s="157"/>
      <c r="K5" s="157"/>
    </row>
    <row r="6" spans="1:11" x14ac:dyDescent="0.2">
      <c r="A6" s="156"/>
      <c r="B6" s="158" t="s">
        <v>116</v>
      </c>
      <c r="C6" s="157" t="s">
        <v>1</v>
      </c>
      <c r="D6" s="158" t="s">
        <v>177</v>
      </c>
      <c r="E6" s="157" t="s">
        <v>4</v>
      </c>
      <c r="F6" s="158" t="s">
        <v>106</v>
      </c>
      <c r="G6" s="158" t="s">
        <v>110</v>
      </c>
      <c r="H6" s="158" t="s">
        <v>7</v>
      </c>
      <c r="I6" s="158" t="s">
        <v>143</v>
      </c>
      <c r="J6" s="157"/>
      <c r="K6" s="157"/>
    </row>
    <row r="7" spans="1:11" x14ac:dyDescent="0.2">
      <c r="A7" s="156"/>
      <c r="B7" s="158" t="s">
        <v>116</v>
      </c>
      <c r="C7" s="158" t="s">
        <v>0</v>
      </c>
      <c r="D7" s="158" t="s">
        <v>177</v>
      </c>
      <c r="E7" s="158" t="s">
        <v>3</v>
      </c>
      <c r="F7" s="158" t="s">
        <v>106</v>
      </c>
      <c r="G7" s="158" t="s">
        <v>110</v>
      </c>
      <c r="H7" s="158" t="s">
        <v>7</v>
      </c>
      <c r="I7" s="158" t="s">
        <v>143</v>
      </c>
      <c r="J7" s="157"/>
      <c r="K7" s="157"/>
    </row>
    <row r="8" spans="1:11" x14ac:dyDescent="0.2">
      <c r="A8" s="156"/>
      <c r="B8" s="158" t="s">
        <v>116</v>
      </c>
      <c r="C8" s="158" t="s">
        <v>1</v>
      </c>
      <c r="D8" s="158" t="s">
        <v>177</v>
      </c>
      <c r="E8" s="158" t="s">
        <v>4</v>
      </c>
      <c r="F8" s="158" t="s">
        <v>15</v>
      </c>
      <c r="G8" s="158" t="s">
        <v>156</v>
      </c>
      <c r="H8" s="158" t="s">
        <v>7</v>
      </c>
      <c r="I8" s="158" t="s">
        <v>143</v>
      </c>
      <c r="J8" s="157"/>
      <c r="K8" s="157"/>
    </row>
    <row r="9" spans="1:11" x14ac:dyDescent="0.2">
      <c r="A9" s="156"/>
      <c r="B9" s="158" t="s">
        <v>116</v>
      </c>
      <c r="C9" s="158" t="s">
        <v>0</v>
      </c>
      <c r="D9" s="158" t="s">
        <v>177</v>
      </c>
      <c r="E9" s="158" t="s">
        <v>4</v>
      </c>
      <c r="F9" s="157" t="s">
        <v>12</v>
      </c>
      <c r="G9" s="157" t="s">
        <v>155</v>
      </c>
      <c r="H9" s="158" t="s">
        <v>7</v>
      </c>
      <c r="I9" s="158" t="s">
        <v>143</v>
      </c>
      <c r="J9" s="157"/>
      <c r="K9" s="157"/>
    </row>
    <row r="10" spans="1:11" x14ac:dyDescent="0.2">
      <c r="A10" s="156"/>
      <c r="B10" s="158" t="s">
        <v>116</v>
      </c>
      <c r="C10" s="158" t="s">
        <v>0</v>
      </c>
      <c r="D10" s="158" t="s">
        <v>177</v>
      </c>
      <c r="E10" s="158" t="s">
        <v>4</v>
      </c>
      <c r="F10" s="158" t="s">
        <v>11</v>
      </c>
      <c r="G10" s="158" t="s">
        <v>110</v>
      </c>
      <c r="H10" s="158" t="s">
        <v>7</v>
      </c>
      <c r="I10" s="158" t="s">
        <v>143</v>
      </c>
      <c r="J10" s="157"/>
      <c r="K10" s="157"/>
    </row>
    <row r="11" spans="1:11" x14ac:dyDescent="0.2">
      <c r="A11" s="156"/>
      <c r="B11" s="158" t="s">
        <v>116</v>
      </c>
      <c r="C11" s="158" t="s">
        <v>0</v>
      </c>
      <c r="D11" s="158" t="s">
        <v>177</v>
      </c>
      <c r="E11" s="158" t="s">
        <v>4</v>
      </c>
      <c r="F11" s="158" t="s">
        <v>10</v>
      </c>
      <c r="G11" s="158" t="s">
        <v>110</v>
      </c>
      <c r="H11" s="158" t="s">
        <v>7</v>
      </c>
      <c r="I11" s="158" t="s">
        <v>143</v>
      </c>
      <c r="J11" s="157"/>
      <c r="K11" s="157"/>
    </row>
    <row r="12" spans="1:11" x14ac:dyDescent="0.2">
      <c r="A12" s="156"/>
      <c r="B12" s="158" t="s">
        <v>116</v>
      </c>
      <c r="C12" s="158" t="s">
        <v>0</v>
      </c>
      <c r="D12" s="157" t="s">
        <v>2</v>
      </c>
      <c r="E12" s="158" t="s">
        <v>3</v>
      </c>
      <c r="F12" s="158" t="s">
        <v>15</v>
      </c>
      <c r="G12" s="158" t="s">
        <v>110</v>
      </c>
      <c r="H12" s="158" t="s">
        <v>7</v>
      </c>
      <c r="I12" s="158" t="s">
        <v>143</v>
      </c>
      <c r="J12" s="157"/>
      <c r="K12" s="157"/>
    </row>
    <row r="13" spans="1:11" x14ac:dyDescent="0.2">
      <c r="A13" s="156"/>
      <c r="B13" s="157" t="s">
        <v>113</v>
      </c>
      <c r="C13" s="158" t="s">
        <v>0</v>
      </c>
      <c r="D13" s="158" t="s">
        <v>177</v>
      </c>
      <c r="E13" s="158" t="s">
        <v>4</v>
      </c>
      <c r="F13" s="158" t="s">
        <v>11</v>
      </c>
      <c r="G13" s="157" t="s">
        <v>228</v>
      </c>
      <c r="H13" s="158" t="s">
        <v>159</v>
      </c>
      <c r="I13" s="157"/>
      <c r="J13" s="157"/>
      <c r="K13" s="157"/>
    </row>
    <row r="14" spans="1:11" x14ac:dyDescent="0.2">
      <c r="A14" s="156"/>
      <c r="B14" s="158" t="s">
        <v>113</v>
      </c>
      <c r="C14" s="158" t="s">
        <v>0</v>
      </c>
      <c r="D14" s="158" t="s">
        <v>177</v>
      </c>
      <c r="E14" s="158" t="s">
        <v>4</v>
      </c>
      <c r="F14" s="158" t="s">
        <v>11</v>
      </c>
      <c r="G14" s="158" t="s">
        <v>228</v>
      </c>
      <c r="H14" s="158" t="s">
        <v>159</v>
      </c>
      <c r="I14" s="158"/>
      <c r="J14" s="158"/>
      <c r="K14" s="158"/>
    </row>
    <row r="15" spans="1:11" x14ac:dyDescent="0.2">
      <c r="A15" s="156"/>
      <c r="B15" s="158" t="s">
        <v>113</v>
      </c>
      <c r="C15" s="158" t="s">
        <v>0</v>
      </c>
      <c r="D15" s="158" t="s">
        <v>2</v>
      </c>
      <c r="E15" s="158" t="s">
        <v>4</v>
      </c>
      <c r="F15" s="158" t="s">
        <v>106</v>
      </c>
      <c r="G15" s="158" t="s">
        <v>156</v>
      </c>
      <c r="H15" s="158" t="s">
        <v>159</v>
      </c>
      <c r="I15" s="158"/>
      <c r="J15" s="158"/>
      <c r="K15" s="158"/>
    </row>
    <row r="16" spans="1:11" x14ac:dyDescent="0.2">
      <c r="A16" s="156"/>
      <c r="B16" s="158" t="s">
        <v>113</v>
      </c>
      <c r="C16" s="158" t="s">
        <v>0</v>
      </c>
      <c r="D16" s="158" t="s">
        <v>2</v>
      </c>
      <c r="E16" s="158" t="s">
        <v>4</v>
      </c>
      <c r="F16" s="157" t="s">
        <v>13</v>
      </c>
      <c r="G16" s="158" t="s">
        <v>156</v>
      </c>
      <c r="H16" s="158" t="s">
        <v>159</v>
      </c>
      <c r="I16" s="158"/>
      <c r="J16" s="158"/>
      <c r="K16" s="158"/>
    </row>
    <row r="17" spans="1:11" x14ac:dyDescent="0.2">
      <c r="A17" s="156"/>
      <c r="B17" s="158" t="s">
        <v>113</v>
      </c>
      <c r="C17" s="158" t="s">
        <v>0</v>
      </c>
      <c r="D17" s="158" t="s">
        <v>177</v>
      </c>
      <c r="E17" s="158" t="s">
        <v>4</v>
      </c>
      <c r="F17" s="157" t="s">
        <v>9</v>
      </c>
      <c r="G17" s="158" t="s">
        <v>156</v>
      </c>
      <c r="H17" s="158" t="s">
        <v>159</v>
      </c>
      <c r="I17" s="157"/>
      <c r="J17" s="157"/>
      <c r="K17" s="157"/>
    </row>
    <row r="18" spans="1:11" x14ac:dyDescent="0.2">
      <c r="A18" s="156"/>
      <c r="B18" s="158" t="s">
        <v>113</v>
      </c>
      <c r="C18" s="158" t="s">
        <v>1</v>
      </c>
      <c r="D18" s="158" t="s">
        <v>177</v>
      </c>
      <c r="E18" s="158" t="s">
        <v>3</v>
      </c>
      <c r="F18" s="158" t="s">
        <v>9</v>
      </c>
      <c r="G18" s="158" t="s">
        <v>156</v>
      </c>
      <c r="H18" s="158" t="s">
        <v>159</v>
      </c>
      <c r="I18" s="158"/>
      <c r="J18" s="158"/>
      <c r="K18" s="158"/>
    </row>
    <row r="19" spans="1:11" x14ac:dyDescent="0.2">
      <c r="A19" s="156"/>
      <c r="B19" s="158" t="s">
        <v>113</v>
      </c>
      <c r="C19" s="158" t="s">
        <v>1</v>
      </c>
      <c r="D19" s="158" t="s">
        <v>177</v>
      </c>
      <c r="E19" s="158" t="s">
        <v>3</v>
      </c>
      <c r="F19" s="158" t="s">
        <v>9</v>
      </c>
      <c r="G19" s="158" t="s">
        <v>156</v>
      </c>
      <c r="H19" s="158" t="s">
        <v>159</v>
      </c>
      <c r="I19" s="157"/>
      <c r="J19" s="157"/>
      <c r="K19" s="157"/>
    </row>
    <row r="20" spans="1:11" x14ac:dyDescent="0.2">
      <c r="A20" s="156"/>
      <c r="B20" s="158" t="s">
        <v>113</v>
      </c>
      <c r="C20" s="158" t="s">
        <v>0</v>
      </c>
      <c r="D20" s="158" t="s">
        <v>177</v>
      </c>
      <c r="E20" s="158" t="s">
        <v>3</v>
      </c>
      <c r="F20" s="158" t="s">
        <v>106</v>
      </c>
      <c r="G20" s="158" t="s">
        <v>156</v>
      </c>
      <c r="H20" s="158" t="s">
        <v>159</v>
      </c>
      <c r="I20" s="158"/>
      <c r="J20" s="158"/>
      <c r="K20" s="158"/>
    </row>
    <row r="21" spans="1:11" x14ac:dyDescent="0.2">
      <c r="A21" s="156"/>
      <c r="B21" s="158" t="s">
        <v>113</v>
      </c>
      <c r="C21" s="158" t="s">
        <v>0</v>
      </c>
      <c r="D21" s="158" t="s">
        <v>177</v>
      </c>
      <c r="E21" s="158" t="s">
        <v>3</v>
      </c>
      <c r="F21" s="158" t="s">
        <v>13</v>
      </c>
      <c r="G21" s="158" t="s">
        <v>155</v>
      </c>
      <c r="H21" s="158" t="s">
        <v>159</v>
      </c>
      <c r="I21" s="158"/>
      <c r="J21" s="158"/>
      <c r="K21" s="158"/>
    </row>
    <row r="22" spans="1:11" x14ac:dyDescent="0.2">
      <c r="A22" s="156"/>
      <c r="B22" s="158" t="s">
        <v>113</v>
      </c>
      <c r="C22" s="158" t="s">
        <v>0</v>
      </c>
      <c r="D22" s="158" t="s">
        <v>177</v>
      </c>
      <c r="E22" s="158" t="s">
        <v>4</v>
      </c>
      <c r="F22" s="158" t="s">
        <v>10</v>
      </c>
      <c r="G22" s="158" t="s">
        <v>156</v>
      </c>
      <c r="H22" s="158" t="s">
        <v>17</v>
      </c>
      <c r="I22" s="158" t="s">
        <v>130</v>
      </c>
      <c r="J22" s="158"/>
      <c r="K22" s="158"/>
    </row>
    <row r="23" spans="1:11" x14ac:dyDescent="0.2">
      <c r="A23" s="156"/>
      <c r="B23" s="158" t="s">
        <v>113</v>
      </c>
      <c r="C23" s="158" t="s">
        <v>0</v>
      </c>
      <c r="D23" s="158" t="s">
        <v>177</v>
      </c>
      <c r="E23" s="158" t="s">
        <v>4</v>
      </c>
      <c r="F23" s="158" t="s">
        <v>10</v>
      </c>
      <c r="G23" s="158" t="s">
        <v>155</v>
      </c>
      <c r="H23" s="158" t="s">
        <v>7</v>
      </c>
      <c r="I23" s="157" t="s">
        <v>118</v>
      </c>
      <c r="J23" s="157"/>
      <c r="K23" s="157"/>
    </row>
    <row r="24" spans="1:11" x14ac:dyDescent="0.2">
      <c r="A24" s="156"/>
      <c r="B24" s="158" t="s">
        <v>113</v>
      </c>
      <c r="C24" s="158" t="s">
        <v>0</v>
      </c>
      <c r="D24" s="158" t="s">
        <v>177</v>
      </c>
      <c r="E24" s="158" t="s">
        <v>4</v>
      </c>
      <c r="F24" s="158" t="s">
        <v>10</v>
      </c>
      <c r="G24" s="158" t="s">
        <v>155</v>
      </c>
      <c r="H24" s="158" t="s">
        <v>7</v>
      </c>
      <c r="I24" s="158" t="s">
        <v>118</v>
      </c>
      <c r="J24" s="157" t="s">
        <v>255</v>
      </c>
      <c r="K24" s="158"/>
    </row>
    <row r="25" spans="1:11" x14ac:dyDescent="0.2">
      <c r="A25" s="156"/>
      <c r="B25" s="158" t="s">
        <v>113</v>
      </c>
      <c r="C25" s="158" t="s">
        <v>0</v>
      </c>
      <c r="D25" s="158" t="s">
        <v>177</v>
      </c>
      <c r="E25" s="158" t="s">
        <v>4</v>
      </c>
      <c r="F25" s="158" t="s">
        <v>106</v>
      </c>
      <c r="G25" s="158" t="s">
        <v>155</v>
      </c>
      <c r="H25" s="158" t="s">
        <v>7</v>
      </c>
      <c r="I25" s="158" t="s">
        <v>118</v>
      </c>
      <c r="J25" s="157" t="s">
        <v>255</v>
      </c>
      <c r="K25" s="157"/>
    </row>
    <row r="26" spans="1:11" x14ac:dyDescent="0.2">
      <c r="A26" s="156"/>
      <c r="B26" s="158" t="s">
        <v>113</v>
      </c>
      <c r="C26" s="158" t="s">
        <v>0</v>
      </c>
      <c r="D26" s="158" t="s">
        <v>177</v>
      </c>
      <c r="E26" s="158" t="s">
        <v>4</v>
      </c>
      <c r="F26" s="158" t="s">
        <v>10</v>
      </c>
      <c r="G26" s="158" t="s">
        <v>155</v>
      </c>
      <c r="H26" s="158" t="s">
        <v>7</v>
      </c>
      <c r="I26" s="158" t="s">
        <v>118</v>
      </c>
      <c r="J26" s="157" t="s">
        <v>255</v>
      </c>
      <c r="K26" s="157"/>
    </row>
    <row r="27" spans="1:11" x14ac:dyDescent="0.2">
      <c r="A27" s="156"/>
      <c r="B27" s="158" t="s">
        <v>113</v>
      </c>
      <c r="C27" s="158" t="s">
        <v>0</v>
      </c>
      <c r="D27" s="158" t="s">
        <v>177</v>
      </c>
      <c r="E27" s="158" t="s">
        <v>4</v>
      </c>
      <c r="F27" s="158" t="s">
        <v>10</v>
      </c>
      <c r="G27" s="158" t="s">
        <v>155</v>
      </c>
      <c r="H27" s="158" t="s">
        <v>7</v>
      </c>
      <c r="I27" s="158" t="s">
        <v>118</v>
      </c>
      <c r="J27" s="157"/>
      <c r="K27" s="157"/>
    </row>
    <row r="28" spans="1:11" x14ac:dyDescent="0.2">
      <c r="A28" s="156"/>
      <c r="B28" s="158" t="s">
        <v>113</v>
      </c>
      <c r="C28" s="158" t="s">
        <v>1</v>
      </c>
      <c r="D28" s="158" t="s">
        <v>177</v>
      </c>
      <c r="E28" s="158" t="s">
        <v>4</v>
      </c>
      <c r="F28" s="158" t="s">
        <v>15</v>
      </c>
      <c r="G28" s="158" t="s">
        <v>158</v>
      </c>
      <c r="H28" s="158" t="s">
        <v>17</v>
      </c>
      <c r="I28" s="158" t="s">
        <v>130</v>
      </c>
      <c r="J28" s="157"/>
      <c r="K28" s="157"/>
    </row>
    <row r="29" spans="1:11" x14ac:dyDescent="0.2">
      <c r="A29" s="156"/>
      <c r="B29" s="158" t="s">
        <v>113</v>
      </c>
      <c r="C29" s="158" t="s">
        <v>1</v>
      </c>
      <c r="D29" s="158" t="s">
        <v>177</v>
      </c>
      <c r="E29" s="158" t="s">
        <v>4</v>
      </c>
      <c r="F29" s="157" t="s">
        <v>23</v>
      </c>
      <c r="G29" s="158" t="s">
        <v>156</v>
      </c>
      <c r="H29" s="158" t="s">
        <v>17</v>
      </c>
      <c r="I29" s="158" t="s">
        <v>130</v>
      </c>
      <c r="J29" s="157"/>
      <c r="K29" s="157"/>
    </row>
    <row r="30" spans="1:11" x14ac:dyDescent="0.2">
      <c r="A30" s="156"/>
      <c r="B30" s="158" t="s">
        <v>113</v>
      </c>
      <c r="C30" s="158" t="s">
        <v>0</v>
      </c>
      <c r="D30" s="158" t="s">
        <v>2</v>
      </c>
      <c r="E30" s="158" t="s">
        <v>4</v>
      </c>
      <c r="F30" s="158" t="s">
        <v>10</v>
      </c>
      <c r="G30" s="158" t="s">
        <v>155</v>
      </c>
      <c r="H30" s="158" t="s">
        <v>17</v>
      </c>
      <c r="I30" s="158" t="s">
        <v>130</v>
      </c>
      <c r="J30" s="157"/>
      <c r="K30" s="157"/>
    </row>
    <row r="31" spans="1:11" x14ac:dyDescent="0.2">
      <c r="A31" s="156"/>
      <c r="B31" s="158" t="s">
        <v>113</v>
      </c>
      <c r="C31" s="158" t="s">
        <v>1</v>
      </c>
      <c r="D31" s="158" t="s">
        <v>2</v>
      </c>
      <c r="E31" s="158" t="s">
        <v>3</v>
      </c>
      <c r="F31" s="158" t="s">
        <v>10</v>
      </c>
      <c r="G31" s="158" t="s">
        <v>155</v>
      </c>
      <c r="H31" s="158" t="s">
        <v>17</v>
      </c>
      <c r="I31" s="158" t="s">
        <v>130</v>
      </c>
      <c r="J31" s="157"/>
      <c r="K31" s="157"/>
    </row>
    <row r="32" spans="1:11" x14ac:dyDescent="0.2">
      <c r="A32" s="156"/>
      <c r="B32" s="158" t="s">
        <v>113</v>
      </c>
      <c r="C32" s="158" t="s">
        <v>0</v>
      </c>
      <c r="D32" s="158" t="s">
        <v>2</v>
      </c>
      <c r="E32" s="158" t="s">
        <v>4</v>
      </c>
      <c r="F32" s="157" t="s">
        <v>14</v>
      </c>
      <c r="G32" s="158" t="s">
        <v>155</v>
      </c>
      <c r="H32" s="158" t="s">
        <v>159</v>
      </c>
      <c r="I32" s="157"/>
      <c r="J32" s="157"/>
      <c r="K32" s="157"/>
    </row>
    <row r="33" spans="1:11" x14ac:dyDescent="0.2">
      <c r="A33" s="156"/>
      <c r="B33" s="158" t="s">
        <v>113</v>
      </c>
      <c r="C33" s="158" t="s">
        <v>0</v>
      </c>
      <c r="D33" s="158" t="s">
        <v>177</v>
      </c>
      <c r="E33" s="158" t="s">
        <v>4</v>
      </c>
      <c r="F33" s="158" t="s">
        <v>10</v>
      </c>
      <c r="G33" s="158" t="s">
        <v>155</v>
      </c>
      <c r="H33" s="158" t="s">
        <v>159</v>
      </c>
      <c r="I33" s="157"/>
      <c r="J33" s="157"/>
      <c r="K33" s="157"/>
    </row>
    <row r="34" spans="1:11" x14ac:dyDescent="0.2">
      <c r="A34" s="156"/>
      <c r="B34" s="158" t="s">
        <v>113</v>
      </c>
      <c r="C34" s="158" t="s">
        <v>0</v>
      </c>
      <c r="D34" s="158" t="s">
        <v>177</v>
      </c>
      <c r="E34" s="158" t="s">
        <v>3</v>
      </c>
      <c r="F34" s="157" t="s">
        <v>56</v>
      </c>
      <c r="G34" s="158" t="s">
        <v>228</v>
      </c>
      <c r="H34" s="158" t="s">
        <v>159</v>
      </c>
      <c r="I34" s="157"/>
      <c r="J34" s="157"/>
      <c r="K34" s="157"/>
    </row>
    <row r="35" spans="1:11" x14ac:dyDescent="0.2">
      <c r="A35" s="156"/>
      <c r="B35" s="158" t="s">
        <v>113</v>
      </c>
      <c r="C35" s="158" t="s">
        <v>0</v>
      </c>
      <c r="D35" s="158" t="s">
        <v>2</v>
      </c>
      <c r="E35" s="158" t="s">
        <v>4</v>
      </c>
      <c r="F35" s="158" t="s">
        <v>15</v>
      </c>
      <c r="G35" s="158" t="s">
        <v>155</v>
      </c>
      <c r="H35" s="158" t="s">
        <v>159</v>
      </c>
      <c r="I35" s="157"/>
      <c r="J35" s="157"/>
      <c r="K35" s="157"/>
    </row>
    <row r="36" spans="1:11" x14ac:dyDescent="0.2">
      <c r="A36" s="156"/>
      <c r="B36" s="158" t="s">
        <v>113</v>
      </c>
      <c r="C36" s="158" t="s">
        <v>1</v>
      </c>
      <c r="D36" s="158" t="s">
        <v>2</v>
      </c>
      <c r="E36" s="158" t="s">
        <v>3</v>
      </c>
      <c r="F36" s="158" t="s">
        <v>15</v>
      </c>
      <c r="G36" s="158" t="s">
        <v>155</v>
      </c>
      <c r="H36" s="158" t="s">
        <v>159</v>
      </c>
      <c r="I36" s="157"/>
      <c r="J36" s="157"/>
      <c r="K36" s="157"/>
    </row>
    <row r="37" spans="1:11" x14ac:dyDescent="0.2">
      <c r="A37" s="156"/>
      <c r="B37" s="158" t="s">
        <v>113</v>
      </c>
      <c r="C37" s="158" t="s">
        <v>1</v>
      </c>
      <c r="D37" s="158" t="s">
        <v>177</v>
      </c>
      <c r="E37" s="157" t="s">
        <v>233</v>
      </c>
      <c r="F37" s="158" t="s">
        <v>106</v>
      </c>
      <c r="G37" s="158" t="s">
        <v>158</v>
      </c>
      <c r="H37" s="158" t="s">
        <v>17</v>
      </c>
      <c r="I37" s="158" t="s">
        <v>130</v>
      </c>
      <c r="J37" s="157"/>
      <c r="K37" s="157"/>
    </row>
    <row r="38" spans="1:11" x14ac:dyDescent="0.2">
      <c r="A38" s="156"/>
      <c r="B38" s="158" t="s">
        <v>113</v>
      </c>
      <c r="C38" s="158" t="s">
        <v>1</v>
      </c>
      <c r="D38" s="158" t="s">
        <v>2</v>
      </c>
      <c r="E38" s="158" t="s">
        <v>4</v>
      </c>
      <c r="F38" s="158" t="s">
        <v>106</v>
      </c>
      <c r="G38" s="158" t="s">
        <v>155</v>
      </c>
      <c r="H38" s="158" t="s">
        <v>159</v>
      </c>
      <c r="I38" s="157"/>
      <c r="J38" s="157"/>
      <c r="K38" s="157"/>
    </row>
    <row r="39" spans="1:11" x14ac:dyDescent="0.2">
      <c r="A39" s="156"/>
      <c r="B39" s="158" t="s">
        <v>113</v>
      </c>
      <c r="C39" s="158" t="s">
        <v>1</v>
      </c>
      <c r="D39" s="158" t="s">
        <v>177</v>
      </c>
      <c r="E39" s="158" t="s">
        <v>3</v>
      </c>
      <c r="F39" s="158" t="s">
        <v>13</v>
      </c>
      <c r="G39" s="158" t="s">
        <v>158</v>
      </c>
      <c r="H39" s="158" t="s">
        <v>17</v>
      </c>
      <c r="I39" s="158" t="s">
        <v>130</v>
      </c>
      <c r="J39" s="157"/>
      <c r="K39" s="157"/>
    </row>
    <row r="40" spans="1:11" x14ac:dyDescent="0.2">
      <c r="A40" s="156"/>
      <c r="B40" s="158" t="s">
        <v>113</v>
      </c>
      <c r="C40" s="158" t="s">
        <v>1</v>
      </c>
      <c r="D40" s="158" t="s">
        <v>177</v>
      </c>
      <c r="E40" s="158" t="s">
        <v>4</v>
      </c>
      <c r="F40" s="158" t="s">
        <v>13</v>
      </c>
      <c r="G40" s="158" t="s">
        <v>155</v>
      </c>
      <c r="H40" s="158" t="s">
        <v>17</v>
      </c>
      <c r="I40" s="158" t="s">
        <v>130</v>
      </c>
      <c r="J40" s="157"/>
      <c r="K40" s="157"/>
    </row>
    <row r="41" spans="1:11" x14ac:dyDescent="0.2">
      <c r="A41" s="156"/>
      <c r="B41" s="158" t="s">
        <v>113</v>
      </c>
      <c r="C41" s="158" t="s">
        <v>0</v>
      </c>
      <c r="D41" s="158" t="s">
        <v>177</v>
      </c>
      <c r="E41" s="158" t="s">
        <v>4</v>
      </c>
      <c r="F41" s="158" t="s">
        <v>11</v>
      </c>
      <c r="G41" s="158" t="s">
        <v>155</v>
      </c>
      <c r="H41" s="158" t="s">
        <v>17</v>
      </c>
      <c r="I41" s="158" t="s">
        <v>130</v>
      </c>
      <c r="J41" s="157"/>
      <c r="K41" s="157"/>
    </row>
    <row r="42" spans="1:11" x14ac:dyDescent="0.2">
      <c r="A42" s="156"/>
      <c r="B42" s="158" t="s">
        <v>113</v>
      </c>
      <c r="C42" s="158" t="s">
        <v>0</v>
      </c>
      <c r="D42" s="158" t="s">
        <v>177</v>
      </c>
      <c r="E42" s="158" t="s">
        <v>3</v>
      </c>
      <c r="F42" s="158" t="s">
        <v>106</v>
      </c>
      <c r="G42" s="158" t="s">
        <v>156</v>
      </c>
      <c r="H42" s="158" t="s">
        <v>159</v>
      </c>
      <c r="I42" s="157"/>
      <c r="J42" s="157"/>
      <c r="K42" s="157"/>
    </row>
    <row r="43" spans="1:11" x14ac:dyDescent="0.2">
      <c r="A43" s="156"/>
      <c r="B43" s="158" t="s">
        <v>113</v>
      </c>
      <c r="C43" s="158" t="s">
        <v>1</v>
      </c>
      <c r="D43" s="158" t="s">
        <v>177</v>
      </c>
      <c r="E43" s="158" t="s">
        <v>4</v>
      </c>
      <c r="F43" s="158" t="s">
        <v>106</v>
      </c>
      <c r="G43" s="158" t="s">
        <v>156</v>
      </c>
      <c r="H43" s="158" t="s">
        <v>159</v>
      </c>
      <c r="I43" s="157"/>
      <c r="J43" s="157"/>
      <c r="K43" s="157"/>
    </row>
    <row r="44" spans="1:11" x14ac:dyDescent="0.2">
      <c r="A44" s="156"/>
      <c r="B44" s="157" t="s">
        <v>114</v>
      </c>
      <c r="C44" s="158" t="s">
        <v>0</v>
      </c>
      <c r="D44" s="158" t="s">
        <v>177</v>
      </c>
      <c r="E44" s="158" t="s">
        <v>4</v>
      </c>
      <c r="F44" s="158" t="s">
        <v>10</v>
      </c>
      <c r="G44" s="158" t="s">
        <v>156</v>
      </c>
      <c r="H44" s="158" t="s">
        <v>17</v>
      </c>
      <c r="I44" s="158" t="s">
        <v>130</v>
      </c>
      <c r="J44" s="157"/>
      <c r="K44" s="157"/>
    </row>
    <row r="45" spans="1:11" x14ac:dyDescent="0.2">
      <c r="A45" s="156"/>
      <c r="B45" s="158" t="s">
        <v>114</v>
      </c>
      <c r="C45" s="158" t="s">
        <v>1</v>
      </c>
      <c r="D45" s="158" t="s">
        <v>177</v>
      </c>
      <c r="E45" s="158" t="s">
        <v>4</v>
      </c>
      <c r="F45" s="157" t="s">
        <v>237</v>
      </c>
      <c r="G45" s="158" t="s">
        <v>158</v>
      </c>
      <c r="H45" s="158" t="s">
        <v>17</v>
      </c>
      <c r="I45" s="158" t="s">
        <v>130</v>
      </c>
      <c r="J45" s="157" t="s">
        <v>247</v>
      </c>
      <c r="K45" s="157"/>
    </row>
    <row r="46" spans="1:11" x14ac:dyDescent="0.2">
      <c r="A46" s="156"/>
      <c r="B46" s="158" t="s">
        <v>114</v>
      </c>
      <c r="C46" s="158" t="s">
        <v>1</v>
      </c>
      <c r="D46" s="158" t="s">
        <v>177</v>
      </c>
      <c r="E46" s="158" t="s">
        <v>4</v>
      </c>
      <c r="F46" s="158" t="s">
        <v>9</v>
      </c>
      <c r="G46" s="158" t="s">
        <v>158</v>
      </c>
      <c r="H46" s="158" t="s">
        <v>17</v>
      </c>
      <c r="I46" s="158" t="s">
        <v>130</v>
      </c>
      <c r="J46" s="157" t="s">
        <v>247</v>
      </c>
      <c r="K46" s="157"/>
    </row>
    <row r="47" spans="1:11" x14ac:dyDescent="0.2">
      <c r="A47" s="156"/>
      <c r="B47" s="158" t="s">
        <v>114</v>
      </c>
      <c r="C47" s="158" t="s">
        <v>0</v>
      </c>
      <c r="D47" s="158" t="s">
        <v>177</v>
      </c>
      <c r="E47" s="158" t="s">
        <v>3</v>
      </c>
      <c r="F47" s="158" t="s">
        <v>15</v>
      </c>
      <c r="G47" s="158" t="s">
        <v>156</v>
      </c>
      <c r="H47" s="158" t="s">
        <v>17</v>
      </c>
      <c r="I47" s="158" t="s">
        <v>130</v>
      </c>
      <c r="J47" s="157" t="s">
        <v>247</v>
      </c>
      <c r="K47" s="157"/>
    </row>
    <row r="48" spans="1:11" x14ac:dyDescent="0.2">
      <c r="A48" s="156"/>
      <c r="B48" s="158" t="s">
        <v>114</v>
      </c>
      <c r="C48" s="158" t="s">
        <v>1</v>
      </c>
      <c r="D48" s="158" t="s">
        <v>177</v>
      </c>
      <c r="E48" s="158" t="s">
        <v>3</v>
      </c>
      <c r="F48" s="158" t="s">
        <v>10</v>
      </c>
      <c r="G48" s="158" t="s">
        <v>158</v>
      </c>
      <c r="H48" s="158" t="s">
        <v>17</v>
      </c>
      <c r="I48" s="158" t="s">
        <v>130</v>
      </c>
      <c r="J48" s="157" t="s">
        <v>247</v>
      </c>
      <c r="K48" s="157" t="s">
        <v>255</v>
      </c>
    </row>
    <row r="49" spans="1:11" x14ac:dyDescent="0.2">
      <c r="A49" s="156"/>
      <c r="B49" s="158" t="s">
        <v>114</v>
      </c>
      <c r="C49" s="158" t="s">
        <v>1</v>
      </c>
      <c r="D49" s="158" t="s">
        <v>177</v>
      </c>
      <c r="E49" s="158" t="s">
        <v>4</v>
      </c>
      <c r="F49" s="158" t="s">
        <v>237</v>
      </c>
      <c r="G49" s="158" t="s">
        <v>158</v>
      </c>
      <c r="H49" s="158" t="s">
        <v>17</v>
      </c>
      <c r="I49" s="158" t="s">
        <v>130</v>
      </c>
      <c r="J49" s="157" t="s">
        <v>247</v>
      </c>
      <c r="K49" s="157"/>
    </row>
    <row r="50" spans="1:11" x14ac:dyDescent="0.2">
      <c r="A50" s="156"/>
      <c r="B50" s="158" t="s">
        <v>114</v>
      </c>
      <c r="C50" s="158" t="s">
        <v>1</v>
      </c>
      <c r="D50" s="158" t="s">
        <v>2</v>
      </c>
      <c r="E50" s="158" t="s">
        <v>4</v>
      </c>
      <c r="F50" s="158" t="s">
        <v>237</v>
      </c>
      <c r="G50" s="158" t="s">
        <v>158</v>
      </c>
      <c r="H50" s="158" t="s">
        <v>17</v>
      </c>
      <c r="I50" s="158" t="s">
        <v>130</v>
      </c>
      <c r="J50" s="157" t="s">
        <v>247</v>
      </c>
      <c r="K50" s="157" t="s">
        <v>255</v>
      </c>
    </row>
    <row r="51" spans="1:11" x14ac:dyDescent="0.2">
      <c r="A51" s="156"/>
      <c r="B51" s="158" t="s">
        <v>114</v>
      </c>
      <c r="C51" s="158" t="s">
        <v>0</v>
      </c>
      <c r="D51" s="158" t="s">
        <v>177</v>
      </c>
      <c r="E51" s="158" t="s">
        <v>4</v>
      </c>
      <c r="F51" s="158" t="s">
        <v>10</v>
      </c>
      <c r="G51" s="158" t="s">
        <v>228</v>
      </c>
      <c r="H51" s="158" t="s">
        <v>7</v>
      </c>
      <c r="I51" s="157" t="s">
        <v>105</v>
      </c>
      <c r="J51" s="157" t="s">
        <v>247</v>
      </c>
      <c r="K51" s="157" t="s">
        <v>255</v>
      </c>
    </row>
    <row r="52" spans="1:11" x14ac:dyDescent="0.2">
      <c r="A52" s="156"/>
      <c r="B52" s="158" t="s">
        <v>114</v>
      </c>
      <c r="C52" s="158" t="s">
        <v>0</v>
      </c>
      <c r="D52" s="158" t="s">
        <v>177</v>
      </c>
      <c r="E52" s="158" t="s">
        <v>4</v>
      </c>
      <c r="F52" s="158" t="s">
        <v>10</v>
      </c>
      <c r="G52" s="158" t="s">
        <v>228</v>
      </c>
      <c r="H52" s="158" t="s">
        <v>7</v>
      </c>
      <c r="I52" s="158" t="s">
        <v>105</v>
      </c>
      <c r="J52" s="157" t="s">
        <v>247</v>
      </c>
      <c r="K52" s="157" t="s">
        <v>255</v>
      </c>
    </row>
    <row r="53" spans="1:11" x14ac:dyDescent="0.2">
      <c r="A53" s="156"/>
      <c r="B53" s="158" t="s">
        <v>114</v>
      </c>
      <c r="C53" s="158" t="s">
        <v>0</v>
      </c>
      <c r="D53" s="158" t="s">
        <v>177</v>
      </c>
      <c r="E53" s="158" t="s">
        <v>4</v>
      </c>
      <c r="F53" s="158" t="s">
        <v>10</v>
      </c>
      <c r="G53" s="158" t="s">
        <v>228</v>
      </c>
      <c r="H53" s="158" t="s">
        <v>7</v>
      </c>
      <c r="I53" s="158" t="s">
        <v>105</v>
      </c>
      <c r="J53" s="157" t="s">
        <v>247</v>
      </c>
      <c r="K53" s="157"/>
    </row>
    <row r="54" spans="1:11" x14ac:dyDescent="0.2">
      <c r="A54" s="156"/>
      <c r="B54" s="158" t="s">
        <v>114</v>
      </c>
      <c r="C54" s="158" t="s">
        <v>0</v>
      </c>
      <c r="D54" s="158" t="s">
        <v>177</v>
      </c>
      <c r="E54" s="158" t="s">
        <v>4</v>
      </c>
      <c r="F54" s="158" t="s">
        <v>10</v>
      </c>
      <c r="G54" s="158" t="s">
        <v>228</v>
      </c>
      <c r="H54" s="158" t="s">
        <v>7</v>
      </c>
      <c r="I54" s="158" t="s">
        <v>105</v>
      </c>
      <c r="J54" s="157" t="s">
        <v>247</v>
      </c>
      <c r="K54" s="157"/>
    </row>
    <row r="55" spans="1:11" x14ac:dyDescent="0.2">
      <c r="A55" s="156"/>
      <c r="B55" s="158" t="s">
        <v>114</v>
      </c>
      <c r="C55" s="158" t="s">
        <v>0</v>
      </c>
      <c r="D55" s="158" t="s">
        <v>177</v>
      </c>
      <c r="E55" s="158" t="s">
        <v>4</v>
      </c>
      <c r="F55" s="158" t="s">
        <v>10</v>
      </c>
      <c r="G55" s="158" t="s">
        <v>228</v>
      </c>
      <c r="H55" s="158" t="s">
        <v>7</v>
      </c>
      <c r="I55" s="158" t="s">
        <v>105</v>
      </c>
      <c r="J55" s="157" t="s">
        <v>247</v>
      </c>
      <c r="K55" s="157"/>
    </row>
    <row r="56" spans="1:11" x14ac:dyDescent="0.2">
      <c r="A56" s="156"/>
      <c r="B56" s="157" t="s">
        <v>112</v>
      </c>
      <c r="C56" s="158" t="s">
        <v>0</v>
      </c>
      <c r="D56" s="158" t="s">
        <v>177</v>
      </c>
      <c r="E56" s="158" t="s">
        <v>3</v>
      </c>
      <c r="F56" s="158" t="s">
        <v>106</v>
      </c>
      <c r="G56" s="158" t="s">
        <v>228</v>
      </c>
      <c r="H56" s="158" t="s">
        <v>159</v>
      </c>
      <c r="I56" s="158"/>
      <c r="J56" s="157"/>
      <c r="K56" s="157"/>
    </row>
    <row r="57" spans="1:11" x14ac:dyDescent="0.2">
      <c r="A57" s="156"/>
      <c r="B57" s="158" t="s">
        <v>112</v>
      </c>
      <c r="C57" s="158" t="s">
        <v>1</v>
      </c>
      <c r="D57" s="158" t="s">
        <v>177</v>
      </c>
      <c r="E57" s="158" t="s">
        <v>4</v>
      </c>
      <c r="F57" s="158" t="s">
        <v>106</v>
      </c>
      <c r="G57" s="158" t="s">
        <v>228</v>
      </c>
      <c r="H57" s="158" t="s">
        <v>159</v>
      </c>
      <c r="I57" s="157"/>
      <c r="J57" s="157"/>
      <c r="K57" s="157"/>
    </row>
    <row r="58" spans="1:11" x14ac:dyDescent="0.2">
      <c r="A58" s="156"/>
      <c r="B58" s="158" t="s">
        <v>112</v>
      </c>
      <c r="C58" s="158" t="s">
        <v>0</v>
      </c>
      <c r="D58" s="158" t="s">
        <v>2</v>
      </c>
      <c r="E58" s="158" t="s">
        <v>3</v>
      </c>
      <c r="F58" s="158" t="s">
        <v>23</v>
      </c>
      <c r="G58" s="158" t="s">
        <v>156</v>
      </c>
      <c r="H58" s="158" t="s">
        <v>159</v>
      </c>
      <c r="I58" s="157"/>
      <c r="J58" s="157"/>
      <c r="K58" s="157"/>
    </row>
    <row r="59" spans="1:11" x14ac:dyDescent="0.2">
      <c r="A59" s="156"/>
      <c r="B59" s="158" t="s">
        <v>112</v>
      </c>
      <c r="C59" s="158" t="s">
        <v>1</v>
      </c>
      <c r="D59" s="158" t="s">
        <v>2</v>
      </c>
      <c r="E59" s="158" t="s">
        <v>4</v>
      </c>
      <c r="F59" s="158" t="s">
        <v>23</v>
      </c>
      <c r="G59" s="158" t="s">
        <v>156</v>
      </c>
      <c r="H59" s="158" t="s">
        <v>159</v>
      </c>
      <c r="I59" s="157"/>
      <c r="J59" s="157"/>
      <c r="K59" s="157"/>
    </row>
    <row r="60" spans="1:11" x14ac:dyDescent="0.2">
      <c r="A60" s="156"/>
      <c r="B60" s="158" t="s">
        <v>112</v>
      </c>
      <c r="C60" s="158" t="s">
        <v>1</v>
      </c>
      <c r="D60" s="158" t="s">
        <v>2</v>
      </c>
      <c r="E60" s="158" t="s">
        <v>4</v>
      </c>
      <c r="F60" s="158" t="s">
        <v>23</v>
      </c>
      <c r="G60" s="158" t="s">
        <v>156</v>
      </c>
      <c r="H60" s="158" t="s">
        <v>159</v>
      </c>
      <c r="I60" s="157"/>
      <c r="J60" s="157"/>
      <c r="K60" s="157"/>
    </row>
    <row r="61" spans="1:11" x14ac:dyDescent="0.2">
      <c r="A61" s="156"/>
      <c r="B61" s="158" t="s">
        <v>112</v>
      </c>
      <c r="C61" s="158" t="s">
        <v>0</v>
      </c>
      <c r="D61" s="158" t="s">
        <v>177</v>
      </c>
      <c r="E61" s="158" t="s">
        <v>3</v>
      </c>
      <c r="F61" s="157" t="s">
        <v>237</v>
      </c>
      <c r="G61" s="158" t="s">
        <v>228</v>
      </c>
      <c r="H61" s="158" t="s">
        <v>159</v>
      </c>
      <c r="I61" s="157"/>
      <c r="J61" s="157"/>
      <c r="K61" s="157"/>
    </row>
    <row r="62" spans="1:11" x14ac:dyDescent="0.2">
      <c r="A62" s="156"/>
      <c r="B62" s="158" t="s">
        <v>112</v>
      </c>
      <c r="C62" s="158" t="s">
        <v>1</v>
      </c>
      <c r="D62" s="158" t="s">
        <v>177</v>
      </c>
      <c r="E62" s="158" t="s">
        <v>4</v>
      </c>
      <c r="F62" s="158" t="s">
        <v>237</v>
      </c>
      <c r="G62" s="158" t="s">
        <v>228</v>
      </c>
      <c r="H62" s="158" t="s">
        <v>159</v>
      </c>
      <c r="I62" s="157"/>
      <c r="J62" s="157"/>
      <c r="K62" s="157"/>
    </row>
    <row r="63" spans="1:11" x14ac:dyDescent="0.2">
      <c r="A63" s="156"/>
      <c r="B63" s="158" t="s">
        <v>112</v>
      </c>
      <c r="C63" s="158" t="s">
        <v>0</v>
      </c>
      <c r="D63" s="158" t="s">
        <v>177</v>
      </c>
      <c r="E63" s="158" t="s">
        <v>4</v>
      </c>
      <c r="F63" s="158" t="s">
        <v>10</v>
      </c>
      <c r="G63" s="158" t="s">
        <v>156</v>
      </c>
      <c r="H63" s="158" t="s">
        <v>17</v>
      </c>
      <c r="I63" s="158" t="s">
        <v>130</v>
      </c>
      <c r="J63" s="157"/>
      <c r="K63" s="157"/>
    </row>
    <row r="64" spans="1:11" x14ac:dyDescent="0.2">
      <c r="A64" s="156"/>
      <c r="B64" s="158" t="s">
        <v>112</v>
      </c>
      <c r="C64" s="158" t="s">
        <v>0</v>
      </c>
      <c r="D64" s="158" t="s">
        <v>177</v>
      </c>
      <c r="E64" s="158" t="s">
        <v>3</v>
      </c>
      <c r="F64" s="158" t="s">
        <v>23</v>
      </c>
      <c r="G64" s="158" t="s">
        <v>156</v>
      </c>
      <c r="H64" s="158" t="s">
        <v>17</v>
      </c>
      <c r="I64" s="158" t="s">
        <v>130</v>
      </c>
      <c r="J64" s="157"/>
      <c r="K64" s="157"/>
    </row>
    <row r="65" spans="1:11" x14ac:dyDescent="0.2">
      <c r="A65" s="156"/>
      <c r="B65" s="158" t="s">
        <v>112</v>
      </c>
      <c r="C65" s="158" t="s">
        <v>1</v>
      </c>
      <c r="D65" s="158" t="s">
        <v>177</v>
      </c>
      <c r="E65" s="158" t="s">
        <v>4</v>
      </c>
      <c r="F65" s="158" t="s">
        <v>23</v>
      </c>
      <c r="G65" s="158" t="s">
        <v>156</v>
      </c>
      <c r="H65" s="158" t="s">
        <v>17</v>
      </c>
      <c r="I65" s="158" t="s">
        <v>130</v>
      </c>
      <c r="J65" s="157" t="s">
        <v>247</v>
      </c>
      <c r="K65" s="157" t="s">
        <v>255</v>
      </c>
    </row>
    <row r="66" spans="1:11" x14ac:dyDescent="0.2">
      <c r="A66" s="156"/>
      <c r="B66" s="158" t="s">
        <v>112</v>
      </c>
      <c r="C66" s="158" t="s">
        <v>1</v>
      </c>
      <c r="D66" s="158" t="s">
        <v>177</v>
      </c>
      <c r="E66" s="158" t="s">
        <v>4</v>
      </c>
      <c r="F66" s="158" t="s">
        <v>9</v>
      </c>
      <c r="G66" s="158" t="s">
        <v>156</v>
      </c>
      <c r="H66" s="158" t="s">
        <v>17</v>
      </c>
      <c r="I66" s="158" t="s">
        <v>130</v>
      </c>
      <c r="J66" s="157"/>
      <c r="K66" s="157"/>
    </row>
    <row r="67" spans="1:11" x14ac:dyDescent="0.2">
      <c r="A67" s="156"/>
      <c r="B67" s="158" t="s">
        <v>112</v>
      </c>
      <c r="C67" s="158" t="s">
        <v>1</v>
      </c>
      <c r="D67" s="158" t="s">
        <v>177</v>
      </c>
      <c r="E67" s="158" t="s">
        <v>3</v>
      </c>
      <c r="F67" s="158" t="s">
        <v>10</v>
      </c>
      <c r="G67" s="158" t="s">
        <v>158</v>
      </c>
      <c r="H67" s="158" t="s">
        <v>17</v>
      </c>
      <c r="I67" s="158" t="s">
        <v>130</v>
      </c>
      <c r="J67" s="157"/>
      <c r="K67" s="157"/>
    </row>
    <row r="68" spans="1:11" x14ac:dyDescent="0.2">
      <c r="A68" s="156"/>
      <c r="B68" s="158" t="s">
        <v>112</v>
      </c>
      <c r="C68" s="158" t="s">
        <v>0</v>
      </c>
      <c r="D68" s="158" t="s">
        <v>2</v>
      </c>
      <c r="E68" s="158" t="s">
        <v>3</v>
      </c>
      <c r="F68" s="158" t="s">
        <v>56</v>
      </c>
      <c r="G68" s="158" t="s">
        <v>156</v>
      </c>
      <c r="H68" s="158" t="s">
        <v>159</v>
      </c>
      <c r="I68" s="157"/>
      <c r="J68" s="157"/>
      <c r="K68" s="157"/>
    </row>
    <row r="69" spans="1:11" x14ac:dyDescent="0.2">
      <c r="A69" s="156"/>
      <c r="B69" s="158" t="s">
        <v>112</v>
      </c>
      <c r="C69" s="158" t="s">
        <v>1</v>
      </c>
      <c r="D69" s="158" t="s">
        <v>2</v>
      </c>
      <c r="E69" s="158" t="s">
        <v>4</v>
      </c>
      <c r="F69" s="158" t="s">
        <v>56</v>
      </c>
      <c r="G69" s="158" t="s">
        <v>156</v>
      </c>
      <c r="H69" s="158" t="s">
        <v>159</v>
      </c>
      <c r="I69" s="157"/>
      <c r="J69" s="157"/>
      <c r="K69" s="157"/>
    </row>
    <row r="70" spans="1:11" x14ac:dyDescent="0.2">
      <c r="A70" s="156"/>
      <c r="B70" s="158" t="s">
        <v>112</v>
      </c>
      <c r="C70" s="158" t="s">
        <v>1</v>
      </c>
      <c r="D70" s="158" t="s">
        <v>2</v>
      </c>
      <c r="E70" s="158" t="s">
        <v>4</v>
      </c>
      <c r="F70" s="158" t="s">
        <v>56</v>
      </c>
      <c r="G70" s="158" t="s">
        <v>156</v>
      </c>
      <c r="H70" s="158" t="s">
        <v>159</v>
      </c>
      <c r="I70" s="157"/>
      <c r="J70" s="157"/>
      <c r="K70" s="157"/>
    </row>
    <row r="71" spans="1:11" x14ac:dyDescent="0.2">
      <c r="A71" s="156"/>
      <c r="B71" s="158" t="s">
        <v>112</v>
      </c>
      <c r="C71" s="158" t="s">
        <v>0</v>
      </c>
      <c r="D71" s="158" t="s">
        <v>177</v>
      </c>
      <c r="E71" s="158" t="s">
        <v>4</v>
      </c>
      <c r="F71" s="158" t="s">
        <v>10</v>
      </c>
      <c r="G71" s="158" t="s">
        <v>155</v>
      </c>
      <c r="H71" s="158" t="s">
        <v>159</v>
      </c>
      <c r="I71" s="157"/>
      <c r="J71" s="158" t="s">
        <v>314</v>
      </c>
      <c r="K71" s="157"/>
    </row>
    <row r="72" spans="1:11" x14ac:dyDescent="0.2">
      <c r="A72" s="156"/>
      <c r="B72" s="158" t="s">
        <v>112</v>
      </c>
      <c r="C72" s="158" t="s">
        <v>0</v>
      </c>
      <c r="D72" s="158" t="s">
        <v>177</v>
      </c>
      <c r="E72" s="158" t="s">
        <v>4</v>
      </c>
      <c r="F72" s="158" t="s">
        <v>13</v>
      </c>
      <c r="G72" s="158" t="s">
        <v>155</v>
      </c>
      <c r="H72" s="158" t="s">
        <v>159</v>
      </c>
      <c r="I72" s="157"/>
      <c r="J72" s="157"/>
      <c r="K72" s="157"/>
    </row>
    <row r="73" spans="1:11" x14ac:dyDescent="0.2">
      <c r="A73" s="156"/>
      <c r="B73" s="158" t="s">
        <v>112</v>
      </c>
      <c r="C73" s="158" t="s">
        <v>0</v>
      </c>
      <c r="D73" s="158" t="s">
        <v>177</v>
      </c>
      <c r="E73" s="158" t="s">
        <v>4</v>
      </c>
      <c r="F73" s="158" t="s">
        <v>106</v>
      </c>
      <c r="G73" s="158" t="s">
        <v>228</v>
      </c>
      <c r="H73" s="158" t="s">
        <v>159</v>
      </c>
      <c r="I73" s="157"/>
      <c r="J73" s="157"/>
      <c r="K73" s="157"/>
    </row>
    <row r="74" spans="1:11" x14ac:dyDescent="0.2">
      <c r="A74" s="156"/>
      <c r="B74" s="158" t="s">
        <v>112</v>
      </c>
      <c r="C74" s="158" t="s">
        <v>1</v>
      </c>
      <c r="D74" s="158" t="s">
        <v>177</v>
      </c>
      <c r="E74" s="158" t="s">
        <v>3</v>
      </c>
      <c r="F74" s="158" t="s">
        <v>106</v>
      </c>
      <c r="G74" s="158" t="s">
        <v>228</v>
      </c>
      <c r="H74" s="158" t="s">
        <v>159</v>
      </c>
      <c r="I74" s="157"/>
      <c r="J74" s="157"/>
      <c r="K74" s="157"/>
    </row>
    <row r="75" spans="1:11" x14ac:dyDescent="0.2">
      <c r="A75" s="156"/>
      <c r="B75" s="158" t="s">
        <v>112</v>
      </c>
      <c r="C75" s="158" t="s">
        <v>1</v>
      </c>
      <c r="D75" s="158" t="s">
        <v>177</v>
      </c>
      <c r="E75" s="158" t="s">
        <v>3</v>
      </c>
      <c r="F75" s="158" t="s">
        <v>106</v>
      </c>
      <c r="G75" s="158" t="s">
        <v>228</v>
      </c>
      <c r="H75" s="158" t="s">
        <v>159</v>
      </c>
      <c r="I75" s="157"/>
      <c r="J75" s="157"/>
      <c r="K75" s="157"/>
    </row>
    <row r="76" spans="1:11" x14ac:dyDescent="0.2">
      <c r="A76" s="156"/>
      <c r="B76" s="158" t="s">
        <v>112</v>
      </c>
      <c r="C76" s="158" t="s">
        <v>1</v>
      </c>
      <c r="D76" s="158" t="s">
        <v>177</v>
      </c>
      <c r="E76" s="158" t="s">
        <v>3</v>
      </c>
      <c r="F76" s="158" t="s">
        <v>106</v>
      </c>
      <c r="G76" s="158" t="s">
        <v>228</v>
      </c>
      <c r="H76" s="158" t="s">
        <v>159</v>
      </c>
      <c r="I76" s="157"/>
      <c r="J76" s="157"/>
      <c r="K76" s="157"/>
    </row>
    <row r="77" spans="1:11" x14ac:dyDescent="0.2">
      <c r="A77" s="156"/>
      <c r="B77" s="158" t="s">
        <v>112</v>
      </c>
      <c r="C77" s="158" t="s">
        <v>0</v>
      </c>
      <c r="D77" s="158" t="s">
        <v>177</v>
      </c>
      <c r="E77" s="158" t="s">
        <v>3</v>
      </c>
      <c r="F77" s="158" t="s">
        <v>23</v>
      </c>
      <c r="G77" s="158" t="s">
        <v>156</v>
      </c>
      <c r="H77" s="158" t="s">
        <v>159</v>
      </c>
      <c r="I77" s="157"/>
      <c r="J77" s="157"/>
      <c r="K77" s="157"/>
    </row>
    <row r="78" spans="1:11" x14ac:dyDescent="0.2">
      <c r="A78" s="156"/>
      <c r="B78" s="158" t="s">
        <v>112</v>
      </c>
      <c r="C78" s="158" t="s">
        <v>1</v>
      </c>
      <c r="D78" s="158" t="s">
        <v>177</v>
      </c>
      <c r="E78" s="158" t="s">
        <v>4</v>
      </c>
      <c r="F78" s="158" t="s">
        <v>23</v>
      </c>
      <c r="G78" s="158" t="s">
        <v>156</v>
      </c>
      <c r="H78" s="158" t="s">
        <v>159</v>
      </c>
      <c r="I78" s="157"/>
      <c r="J78" s="157"/>
      <c r="K78" s="157"/>
    </row>
    <row r="79" spans="1:11" x14ac:dyDescent="0.2">
      <c r="A79" s="156"/>
      <c r="B79" s="158" t="s">
        <v>112</v>
      </c>
      <c r="C79" s="158" t="s">
        <v>0</v>
      </c>
      <c r="D79" s="158" t="s">
        <v>2</v>
      </c>
      <c r="E79" s="158" t="s">
        <v>4</v>
      </c>
      <c r="F79" s="157" t="s">
        <v>16</v>
      </c>
      <c r="G79" s="158" t="s">
        <v>156</v>
      </c>
      <c r="H79" s="158" t="s">
        <v>159</v>
      </c>
      <c r="I79" s="157"/>
      <c r="J79" s="157"/>
      <c r="K79" s="157"/>
    </row>
    <row r="80" spans="1:11" x14ac:dyDescent="0.2">
      <c r="A80" s="156"/>
      <c r="B80" s="158" t="s">
        <v>112</v>
      </c>
      <c r="C80" s="158" t="s">
        <v>0</v>
      </c>
      <c r="D80" s="158" t="s">
        <v>2</v>
      </c>
      <c r="E80" s="158" t="s">
        <v>4</v>
      </c>
      <c r="F80" s="157" t="s">
        <v>234</v>
      </c>
      <c r="G80" s="158" t="s">
        <v>156</v>
      </c>
      <c r="H80" s="158" t="s">
        <v>159</v>
      </c>
      <c r="I80" s="157"/>
      <c r="J80" s="157"/>
      <c r="K80" s="157"/>
    </row>
    <row r="81" spans="1:11" x14ac:dyDescent="0.2">
      <c r="A81" s="156"/>
      <c r="B81" s="158" t="s">
        <v>113</v>
      </c>
      <c r="C81" s="158" t="s">
        <v>0</v>
      </c>
      <c r="D81" s="158" t="s">
        <v>2</v>
      </c>
      <c r="E81" s="158" t="s">
        <v>4</v>
      </c>
      <c r="F81" s="157" t="s">
        <v>14</v>
      </c>
      <c r="G81" s="158" t="s">
        <v>155</v>
      </c>
      <c r="H81" s="158" t="s">
        <v>159</v>
      </c>
      <c r="I81" s="157"/>
      <c r="J81" s="157"/>
      <c r="K81" s="157"/>
    </row>
    <row r="82" spans="1:11" x14ac:dyDescent="0.2">
      <c r="A82" s="156"/>
      <c r="B82" s="158" t="s">
        <v>113</v>
      </c>
      <c r="C82" s="158" t="s">
        <v>0</v>
      </c>
      <c r="D82" s="158" t="s">
        <v>2</v>
      </c>
      <c r="E82" s="158" t="s">
        <v>4</v>
      </c>
      <c r="F82" s="158" t="s">
        <v>10</v>
      </c>
      <c r="G82" s="158" t="s">
        <v>155</v>
      </c>
      <c r="H82" s="158" t="s">
        <v>159</v>
      </c>
      <c r="I82" s="157"/>
      <c r="J82" s="157"/>
      <c r="K82" s="157"/>
    </row>
    <row r="83" spans="1:11" x14ac:dyDescent="0.2">
      <c r="A83" s="156"/>
      <c r="B83" s="158" t="s">
        <v>113</v>
      </c>
      <c r="C83" s="158" t="s">
        <v>0</v>
      </c>
      <c r="D83" s="158" t="s">
        <v>2</v>
      </c>
      <c r="E83" s="158" t="s">
        <v>3</v>
      </c>
      <c r="F83" s="158" t="s">
        <v>13</v>
      </c>
      <c r="G83" s="158" t="s">
        <v>228</v>
      </c>
      <c r="H83" s="158" t="s">
        <v>159</v>
      </c>
      <c r="I83" s="157"/>
      <c r="J83" s="157"/>
      <c r="K83" s="157"/>
    </row>
    <row r="84" spans="1:11" x14ac:dyDescent="0.2">
      <c r="A84" s="156"/>
      <c r="B84" s="158" t="s">
        <v>113</v>
      </c>
      <c r="C84" s="158" t="s">
        <v>0</v>
      </c>
      <c r="D84" s="158" t="s">
        <v>2</v>
      </c>
      <c r="E84" s="158" t="s">
        <v>4</v>
      </c>
      <c r="F84" s="158" t="s">
        <v>13</v>
      </c>
      <c r="G84" s="158" t="s">
        <v>155</v>
      </c>
      <c r="H84" s="158" t="s">
        <v>159</v>
      </c>
      <c r="I84" s="157"/>
      <c r="J84" s="157"/>
      <c r="K84" s="157"/>
    </row>
    <row r="85" spans="1:11" x14ac:dyDescent="0.2">
      <c r="A85" s="156"/>
      <c r="B85" s="158" t="s">
        <v>113</v>
      </c>
      <c r="C85" s="158" t="s">
        <v>1</v>
      </c>
      <c r="D85" s="158" t="s">
        <v>2</v>
      </c>
      <c r="E85" s="158" t="s">
        <v>3</v>
      </c>
      <c r="F85" s="158" t="s">
        <v>13</v>
      </c>
      <c r="G85" s="158" t="s">
        <v>155</v>
      </c>
      <c r="H85" s="158" t="s">
        <v>159</v>
      </c>
      <c r="I85" s="157"/>
      <c r="J85" s="157"/>
      <c r="K85" s="157"/>
    </row>
    <row r="86" spans="1:11" x14ac:dyDescent="0.2">
      <c r="A86" s="156"/>
      <c r="B86" s="158" t="s">
        <v>113</v>
      </c>
      <c r="C86" s="158" t="s">
        <v>1</v>
      </c>
      <c r="D86" s="158" t="s">
        <v>2</v>
      </c>
      <c r="E86" s="157" t="s">
        <v>233</v>
      </c>
      <c r="F86" s="158" t="s">
        <v>13</v>
      </c>
      <c r="G86" s="158" t="s">
        <v>155</v>
      </c>
      <c r="H86" s="158" t="s">
        <v>159</v>
      </c>
      <c r="I86" s="157"/>
      <c r="J86" s="157"/>
      <c r="K86" s="157"/>
    </row>
    <row r="87" spans="1:11" x14ac:dyDescent="0.2">
      <c r="A87" s="156"/>
      <c r="B87" s="158" t="s">
        <v>113</v>
      </c>
      <c r="C87" s="158" t="s">
        <v>0</v>
      </c>
      <c r="D87" s="158" t="s">
        <v>2</v>
      </c>
      <c r="E87" s="158" t="s">
        <v>4</v>
      </c>
      <c r="F87" s="158" t="s">
        <v>106</v>
      </c>
      <c r="G87" s="158" t="s">
        <v>155</v>
      </c>
      <c r="H87" s="158" t="s">
        <v>159</v>
      </c>
      <c r="I87" s="157"/>
      <c r="J87" s="157"/>
      <c r="K87" s="157"/>
    </row>
    <row r="88" spans="1:11" x14ac:dyDescent="0.2">
      <c r="A88" s="156"/>
      <c r="B88" s="158" t="s">
        <v>113</v>
      </c>
      <c r="C88" s="158" t="s">
        <v>1</v>
      </c>
      <c r="D88" s="158" t="s">
        <v>2</v>
      </c>
      <c r="E88" s="158" t="s">
        <v>3</v>
      </c>
      <c r="F88" s="158" t="s">
        <v>106</v>
      </c>
      <c r="G88" s="158" t="s">
        <v>158</v>
      </c>
      <c r="H88" s="158" t="s">
        <v>159</v>
      </c>
      <c r="I88" s="157"/>
      <c r="J88" s="157"/>
      <c r="K88" s="157"/>
    </row>
    <row r="89" spans="1:11" x14ac:dyDescent="0.2">
      <c r="A89" s="156"/>
      <c r="B89" s="158" t="s">
        <v>113</v>
      </c>
      <c r="C89" s="158" t="s">
        <v>1</v>
      </c>
      <c r="D89" s="158" t="s">
        <v>2</v>
      </c>
      <c r="E89" s="158" t="s">
        <v>4</v>
      </c>
      <c r="F89" s="158" t="s">
        <v>106</v>
      </c>
      <c r="G89" s="158" t="s">
        <v>155</v>
      </c>
      <c r="H89" s="158" t="s">
        <v>159</v>
      </c>
      <c r="I89" s="157"/>
      <c r="J89" s="157"/>
      <c r="K89" s="157"/>
    </row>
    <row r="90" spans="1:11" x14ac:dyDescent="0.2">
      <c r="A90" s="156"/>
      <c r="B90" s="158" t="s">
        <v>113</v>
      </c>
      <c r="C90" s="158" t="s">
        <v>0</v>
      </c>
      <c r="D90" s="158" t="s">
        <v>2</v>
      </c>
      <c r="E90" s="158" t="s">
        <v>4</v>
      </c>
      <c r="F90" s="158" t="s">
        <v>11</v>
      </c>
      <c r="G90" s="158" t="s">
        <v>155</v>
      </c>
      <c r="H90" s="158" t="s">
        <v>159</v>
      </c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opLeftCell="A43" workbookViewId="0">
      <selection activeCell="H83" sqref="H83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114</v>
      </c>
      <c r="C5" s="157" t="s">
        <v>0</v>
      </c>
      <c r="D5" s="157" t="s">
        <v>177</v>
      </c>
      <c r="E5" s="157" t="s">
        <v>4</v>
      </c>
      <c r="F5" s="157" t="s">
        <v>13</v>
      </c>
      <c r="G5" s="157" t="s">
        <v>228</v>
      </c>
      <c r="H5" s="157" t="s">
        <v>17</v>
      </c>
      <c r="I5" s="157" t="s">
        <v>130</v>
      </c>
      <c r="J5" s="157"/>
      <c r="K5" s="157"/>
    </row>
    <row r="6" spans="1:11" x14ac:dyDescent="0.2">
      <c r="A6" s="156"/>
      <c r="B6" s="158" t="s">
        <v>114</v>
      </c>
      <c r="C6" s="157" t="s">
        <v>1</v>
      </c>
      <c r="D6" s="158" t="s">
        <v>177</v>
      </c>
      <c r="E6" s="158" t="s">
        <v>4</v>
      </c>
      <c r="F6" s="158" t="s">
        <v>13</v>
      </c>
      <c r="G6" s="157" t="s">
        <v>158</v>
      </c>
      <c r="H6" s="158" t="s">
        <v>17</v>
      </c>
      <c r="I6" s="158" t="s">
        <v>130</v>
      </c>
      <c r="J6" s="157"/>
      <c r="K6" s="157"/>
    </row>
    <row r="7" spans="1:11" x14ac:dyDescent="0.2">
      <c r="A7" s="156"/>
      <c r="B7" s="158" t="s">
        <v>114</v>
      </c>
      <c r="C7" s="158" t="s">
        <v>1</v>
      </c>
      <c r="D7" s="157" t="s">
        <v>2</v>
      </c>
      <c r="E7" s="158" t="s">
        <v>4</v>
      </c>
      <c r="F7" s="157" t="s">
        <v>10</v>
      </c>
      <c r="G7" s="158" t="s">
        <v>228</v>
      </c>
      <c r="H7" s="158" t="s">
        <v>17</v>
      </c>
      <c r="I7" s="158" t="s">
        <v>130</v>
      </c>
      <c r="J7" s="157"/>
      <c r="K7" s="157"/>
    </row>
    <row r="8" spans="1:11" x14ac:dyDescent="0.2">
      <c r="A8" s="156"/>
      <c r="B8" s="158" t="s">
        <v>114</v>
      </c>
      <c r="C8" s="158" t="s">
        <v>0</v>
      </c>
      <c r="D8" s="158" t="s">
        <v>177</v>
      </c>
      <c r="E8" s="158" t="s">
        <v>4</v>
      </c>
      <c r="F8" s="158" t="s">
        <v>23</v>
      </c>
      <c r="G8" s="158" t="s">
        <v>228</v>
      </c>
      <c r="H8" s="158" t="s">
        <v>17</v>
      </c>
      <c r="I8" s="158" t="s">
        <v>130</v>
      </c>
      <c r="J8" s="157"/>
      <c r="K8" s="157"/>
    </row>
    <row r="9" spans="1:11" x14ac:dyDescent="0.2">
      <c r="A9" s="156"/>
      <c r="B9" s="158" t="s">
        <v>113</v>
      </c>
      <c r="C9" s="158" t="s">
        <v>0</v>
      </c>
      <c r="D9" s="158" t="s">
        <v>177</v>
      </c>
      <c r="E9" s="157" t="s">
        <v>3</v>
      </c>
      <c r="F9" s="158" t="s">
        <v>13</v>
      </c>
      <c r="G9" s="157" t="s">
        <v>155</v>
      </c>
      <c r="H9" s="158" t="s">
        <v>7</v>
      </c>
      <c r="I9" s="157" t="s">
        <v>251</v>
      </c>
      <c r="J9" s="157"/>
      <c r="K9" s="157"/>
    </row>
    <row r="10" spans="1:11" x14ac:dyDescent="0.2">
      <c r="A10" s="156"/>
      <c r="B10" s="158" t="s">
        <v>113</v>
      </c>
      <c r="C10" s="158" t="s">
        <v>0</v>
      </c>
      <c r="D10" s="158" t="s">
        <v>177</v>
      </c>
      <c r="E10" s="158" t="s">
        <v>3</v>
      </c>
      <c r="F10" s="158" t="s">
        <v>12</v>
      </c>
      <c r="G10" s="158" t="s">
        <v>228</v>
      </c>
      <c r="H10" s="158" t="s">
        <v>7</v>
      </c>
      <c r="I10" s="158" t="s">
        <v>251</v>
      </c>
      <c r="J10" s="157"/>
      <c r="K10" s="157"/>
    </row>
    <row r="11" spans="1:11" x14ac:dyDescent="0.2">
      <c r="A11" s="156"/>
      <c r="B11" s="158" t="s">
        <v>113</v>
      </c>
      <c r="C11" s="158" t="s">
        <v>0</v>
      </c>
      <c r="D11" s="158" t="s">
        <v>177</v>
      </c>
      <c r="E11" s="158" t="s">
        <v>4</v>
      </c>
      <c r="F11" s="158" t="s">
        <v>106</v>
      </c>
      <c r="G11" s="158" t="s">
        <v>156</v>
      </c>
      <c r="H11" s="158" t="s">
        <v>7</v>
      </c>
      <c r="I11" s="158" t="s">
        <v>251</v>
      </c>
      <c r="J11" s="157"/>
      <c r="K11" s="157"/>
    </row>
    <row r="12" spans="1:11" x14ac:dyDescent="0.2">
      <c r="A12" s="156"/>
      <c r="B12" s="158" t="s">
        <v>113</v>
      </c>
      <c r="C12" s="158" t="s">
        <v>0</v>
      </c>
      <c r="D12" s="158" t="s">
        <v>177</v>
      </c>
      <c r="E12" s="158" t="s">
        <v>4</v>
      </c>
      <c r="F12" s="158" t="s">
        <v>10</v>
      </c>
      <c r="G12" s="158" t="s">
        <v>228</v>
      </c>
      <c r="H12" s="158" t="s">
        <v>7</v>
      </c>
      <c r="I12" s="158" t="s">
        <v>251</v>
      </c>
      <c r="J12" s="157"/>
      <c r="K12" s="157"/>
    </row>
    <row r="13" spans="1:11" x14ac:dyDescent="0.2">
      <c r="A13" s="156"/>
      <c r="B13" s="158" t="s">
        <v>113</v>
      </c>
      <c r="C13" s="158" t="s">
        <v>0</v>
      </c>
      <c r="D13" s="158" t="s">
        <v>177</v>
      </c>
      <c r="E13" s="158" t="s">
        <v>4</v>
      </c>
      <c r="F13" s="158" t="s">
        <v>10</v>
      </c>
      <c r="G13" s="158" t="s">
        <v>228</v>
      </c>
      <c r="H13" s="158" t="s">
        <v>7</v>
      </c>
      <c r="I13" s="158" t="s">
        <v>251</v>
      </c>
      <c r="J13" s="157"/>
      <c r="K13" s="157"/>
    </row>
    <row r="14" spans="1:11" x14ac:dyDescent="0.2">
      <c r="A14" s="156"/>
      <c r="B14" s="158" t="s">
        <v>113</v>
      </c>
      <c r="C14" s="158" t="s">
        <v>0</v>
      </c>
      <c r="D14" s="158" t="s">
        <v>177</v>
      </c>
      <c r="E14" s="158" t="s">
        <v>4</v>
      </c>
      <c r="F14" s="158" t="s">
        <v>10</v>
      </c>
      <c r="G14" s="158" t="s">
        <v>155</v>
      </c>
      <c r="H14" s="158" t="s">
        <v>7</v>
      </c>
      <c r="I14" s="158" t="s">
        <v>251</v>
      </c>
      <c r="J14" s="158"/>
      <c r="K14" s="158"/>
    </row>
    <row r="15" spans="1:11" x14ac:dyDescent="0.2">
      <c r="A15" s="156"/>
      <c r="B15" s="158" t="s">
        <v>113</v>
      </c>
      <c r="C15" s="158" t="s">
        <v>0</v>
      </c>
      <c r="D15" s="158" t="s">
        <v>177</v>
      </c>
      <c r="E15" s="158" t="s">
        <v>3</v>
      </c>
      <c r="F15" s="158" t="s">
        <v>106</v>
      </c>
      <c r="G15" s="158" t="s">
        <v>228</v>
      </c>
      <c r="H15" s="158" t="s">
        <v>7</v>
      </c>
      <c r="I15" s="158" t="s">
        <v>251</v>
      </c>
      <c r="J15" s="158"/>
      <c r="K15" s="158"/>
    </row>
    <row r="16" spans="1:11" x14ac:dyDescent="0.2">
      <c r="A16" s="156"/>
      <c r="B16" s="158" t="s">
        <v>114</v>
      </c>
      <c r="C16" s="157" t="s">
        <v>202</v>
      </c>
      <c r="D16" s="158" t="s">
        <v>2</v>
      </c>
      <c r="E16" s="158" t="s">
        <v>3</v>
      </c>
      <c r="F16" s="157"/>
      <c r="G16" s="158"/>
      <c r="H16" s="158" t="s">
        <v>17</v>
      </c>
      <c r="I16" s="158" t="s">
        <v>130</v>
      </c>
      <c r="J16" s="158"/>
      <c r="K16" s="158"/>
    </row>
    <row r="17" spans="1:11" x14ac:dyDescent="0.2">
      <c r="A17" s="156"/>
      <c r="B17" s="158" t="s">
        <v>114</v>
      </c>
      <c r="C17" s="158" t="s">
        <v>0</v>
      </c>
      <c r="D17" s="158" t="s">
        <v>177</v>
      </c>
      <c r="E17" s="158" t="s">
        <v>3</v>
      </c>
      <c r="F17" s="158" t="s">
        <v>13</v>
      </c>
      <c r="G17" s="158" t="s">
        <v>156</v>
      </c>
      <c r="H17" s="158" t="s">
        <v>17</v>
      </c>
      <c r="I17" s="158" t="s">
        <v>130</v>
      </c>
      <c r="J17" s="157"/>
      <c r="K17" s="157"/>
    </row>
    <row r="18" spans="1:11" x14ac:dyDescent="0.2">
      <c r="A18" s="156"/>
      <c r="B18" s="158" t="s">
        <v>114</v>
      </c>
      <c r="C18" s="158" t="s">
        <v>1</v>
      </c>
      <c r="D18" s="158" t="s">
        <v>177</v>
      </c>
      <c r="E18" s="158" t="s">
        <v>4</v>
      </c>
      <c r="F18" s="158" t="s">
        <v>10</v>
      </c>
      <c r="G18" s="158" t="s">
        <v>158</v>
      </c>
      <c r="H18" s="158" t="s">
        <v>17</v>
      </c>
      <c r="I18" s="158" t="s">
        <v>130</v>
      </c>
      <c r="J18" s="158"/>
      <c r="K18" s="158"/>
    </row>
    <row r="19" spans="1:11" x14ac:dyDescent="0.2">
      <c r="A19" s="156"/>
      <c r="B19" s="158" t="s">
        <v>113</v>
      </c>
      <c r="C19" s="158" t="s">
        <v>1</v>
      </c>
      <c r="D19" s="158" t="s">
        <v>177</v>
      </c>
      <c r="E19" s="158" t="s">
        <v>3</v>
      </c>
      <c r="F19" s="157" t="s">
        <v>15</v>
      </c>
      <c r="G19" s="158" t="s">
        <v>158</v>
      </c>
      <c r="H19" s="158" t="s">
        <v>17</v>
      </c>
      <c r="I19" s="158" t="s">
        <v>130</v>
      </c>
      <c r="J19" s="157"/>
      <c r="K19" s="157"/>
    </row>
    <row r="20" spans="1:11" x14ac:dyDescent="0.2">
      <c r="A20" s="156"/>
      <c r="B20" s="158" t="s">
        <v>113</v>
      </c>
      <c r="C20" s="158" t="s">
        <v>1</v>
      </c>
      <c r="D20" s="158" t="s">
        <v>177</v>
      </c>
      <c r="E20" s="158" t="s">
        <v>4</v>
      </c>
      <c r="F20" s="158" t="s">
        <v>15</v>
      </c>
      <c r="G20" s="158" t="s">
        <v>158</v>
      </c>
      <c r="H20" s="158" t="s">
        <v>159</v>
      </c>
      <c r="I20" s="158"/>
      <c r="J20" s="158"/>
      <c r="K20" s="158"/>
    </row>
    <row r="21" spans="1:11" x14ac:dyDescent="0.2">
      <c r="A21" s="156"/>
      <c r="B21" s="158" t="s">
        <v>113</v>
      </c>
      <c r="C21" s="158" t="s">
        <v>0</v>
      </c>
      <c r="D21" s="158" t="s">
        <v>177</v>
      </c>
      <c r="E21" s="158" t="s">
        <v>4</v>
      </c>
      <c r="F21" s="157" t="s">
        <v>9</v>
      </c>
      <c r="G21" s="158" t="s">
        <v>156</v>
      </c>
      <c r="H21" s="158" t="s">
        <v>17</v>
      </c>
      <c r="I21" s="158" t="s">
        <v>130</v>
      </c>
      <c r="J21" s="158"/>
      <c r="K21" s="158"/>
    </row>
    <row r="22" spans="1:11" x14ac:dyDescent="0.2">
      <c r="A22" s="156"/>
      <c r="B22" s="158" t="s">
        <v>113</v>
      </c>
      <c r="C22" s="158" t="s">
        <v>1</v>
      </c>
      <c r="D22" s="158" t="s">
        <v>2</v>
      </c>
      <c r="E22" s="158" t="s">
        <v>3</v>
      </c>
      <c r="F22" s="158" t="s">
        <v>9</v>
      </c>
      <c r="G22" s="158" t="s">
        <v>156</v>
      </c>
      <c r="H22" s="158" t="s">
        <v>159</v>
      </c>
      <c r="I22" s="158"/>
      <c r="J22" s="158"/>
      <c r="K22" s="158"/>
    </row>
    <row r="23" spans="1:11" x14ac:dyDescent="0.2">
      <c r="A23" s="156"/>
      <c r="B23" s="158" t="s">
        <v>113</v>
      </c>
      <c r="C23" s="158" t="s">
        <v>1</v>
      </c>
      <c r="D23" s="158" t="s">
        <v>2</v>
      </c>
      <c r="E23" s="157" t="s">
        <v>232</v>
      </c>
      <c r="F23" s="158" t="s">
        <v>9</v>
      </c>
      <c r="G23" s="158" t="s">
        <v>156</v>
      </c>
      <c r="H23" s="158" t="s">
        <v>159</v>
      </c>
      <c r="I23" s="157"/>
      <c r="J23" s="157"/>
      <c r="K23" s="157"/>
    </row>
    <row r="24" spans="1:11" x14ac:dyDescent="0.2">
      <c r="A24" s="156"/>
      <c r="B24" s="158" t="s">
        <v>113</v>
      </c>
      <c r="C24" s="158" t="s">
        <v>1</v>
      </c>
      <c r="D24" s="158" t="s">
        <v>2</v>
      </c>
      <c r="E24" s="157" t="s">
        <v>233</v>
      </c>
      <c r="F24" s="158" t="s">
        <v>9</v>
      </c>
      <c r="G24" s="158" t="s">
        <v>156</v>
      </c>
      <c r="H24" s="158" t="s">
        <v>159</v>
      </c>
      <c r="I24" s="158"/>
      <c r="J24" s="158"/>
      <c r="K24" s="158"/>
    </row>
    <row r="25" spans="1:11" x14ac:dyDescent="0.2">
      <c r="A25" s="156"/>
      <c r="B25" s="158" t="s">
        <v>113</v>
      </c>
      <c r="C25" s="158" t="s">
        <v>0</v>
      </c>
      <c r="D25" s="158" t="s">
        <v>2</v>
      </c>
      <c r="E25" s="158" t="s">
        <v>3</v>
      </c>
      <c r="F25" s="158" t="s">
        <v>56</v>
      </c>
      <c r="G25" s="158" t="s">
        <v>155</v>
      </c>
      <c r="H25" s="158" t="s">
        <v>159</v>
      </c>
      <c r="I25" s="157"/>
      <c r="J25" s="157"/>
      <c r="K25" s="157"/>
    </row>
    <row r="26" spans="1:11" x14ac:dyDescent="0.2">
      <c r="A26" s="156"/>
      <c r="B26" s="158" t="s">
        <v>113</v>
      </c>
      <c r="C26" s="158" t="s">
        <v>1</v>
      </c>
      <c r="D26" s="158" t="s">
        <v>2</v>
      </c>
      <c r="E26" s="158" t="s">
        <v>4</v>
      </c>
      <c r="F26" s="158" t="s">
        <v>56</v>
      </c>
      <c r="G26" s="158" t="s">
        <v>155</v>
      </c>
      <c r="H26" s="158" t="s">
        <v>159</v>
      </c>
      <c r="I26" s="157"/>
      <c r="J26" s="157"/>
      <c r="K26" s="157"/>
    </row>
    <row r="27" spans="1:11" x14ac:dyDescent="0.2">
      <c r="A27" s="156"/>
      <c r="B27" s="158" t="s">
        <v>113</v>
      </c>
      <c r="C27" s="158" t="s">
        <v>1</v>
      </c>
      <c r="D27" s="158" t="s">
        <v>177</v>
      </c>
      <c r="E27" s="158" t="s">
        <v>3</v>
      </c>
      <c r="F27" s="157" t="s">
        <v>11</v>
      </c>
      <c r="G27" s="158" t="s">
        <v>155</v>
      </c>
      <c r="H27" s="158" t="s">
        <v>159</v>
      </c>
      <c r="I27" s="157"/>
      <c r="J27" s="157"/>
      <c r="K27" s="157"/>
    </row>
    <row r="28" spans="1:11" x14ac:dyDescent="0.2">
      <c r="A28" s="156"/>
      <c r="B28" s="158" t="s">
        <v>113</v>
      </c>
      <c r="C28" s="158" t="s">
        <v>0</v>
      </c>
      <c r="D28" s="158" t="s">
        <v>177</v>
      </c>
      <c r="E28" s="158" t="s">
        <v>4</v>
      </c>
      <c r="F28" s="158" t="s">
        <v>10</v>
      </c>
      <c r="G28" s="158" t="s">
        <v>228</v>
      </c>
      <c r="H28" s="158" t="s">
        <v>7</v>
      </c>
      <c r="I28" s="157" t="s">
        <v>133</v>
      </c>
      <c r="J28" s="157"/>
      <c r="K28" s="157"/>
    </row>
    <row r="29" spans="1:11" x14ac:dyDescent="0.2">
      <c r="A29" s="156"/>
      <c r="B29" s="158" t="s">
        <v>113</v>
      </c>
      <c r="C29" s="158" t="s">
        <v>1</v>
      </c>
      <c r="D29" s="158" t="s">
        <v>177</v>
      </c>
      <c r="E29" s="158" t="s">
        <v>3</v>
      </c>
      <c r="F29" s="158" t="s">
        <v>10</v>
      </c>
      <c r="G29" s="158" t="s">
        <v>228</v>
      </c>
      <c r="H29" s="158" t="s">
        <v>7</v>
      </c>
      <c r="I29" s="158" t="s">
        <v>133</v>
      </c>
      <c r="J29" s="157"/>
      <c r="K29" s="157"/>
    </row>
    <row r="30" spans="1:11" x14ac:dyDescent="0.2">
      <c r="A30" s="156"/>
      <c r="B30" s="158" t="s">
        <v>113</v>
      </c>
      <c r="C30" s="158" t="s">
        <v>0</v>
      </c>
      <c r="D30" s="158" t="s">
        <v>177</v>
      </c>
      <c r="E30" s="158" t="s">
        <v>4</v>
      </c>
      <c r="F30" s="158" t="s">
        <v>10</v>
      </c>
      <c r="G30" s="158" t="s">
        <v>156</v>
      </c>
      <c r="H30" s="158" t="s">
        <v>7</v>
      </c>
      <c r="I30" s="158" t="s">
        <v>133</v>
      </c>
      <c r="J30" s="157"/>
      <c r="K30" s="157"/>
    </row>
    <row r="31" spans="1:11" x14ac:dyDescent="0.2">
      <c r="A31" s="156"/>
      <c r="B31" s="158" t="s">
        <v>113</v>
      </c>
      <c r="C31" s="158" t="s">
        <v>0</v>
      </c>
      <c r="D31" s="158" t="s">
        <v>177</v>
      </c>
      <c r="E31" s="158" t="s">
        <v>4</v>
      </c>
      <c r="F31" s="158" t="s">
        <v>10</v>
      </c>
      <c r="G31" s="158" t="s">
        <v>228</v>
      </c>
      <c r="H31" s="158" t="s">
        <v>7</v>
      </c>
      <c r="I31" s="158" t="s">
        <v>133</v>
      </c>
      <c r="J31" s="157"/>
      <c r="K31" s="157"/>
    </row>
    <row r="32" spans="1:11" x14ac:dyDescent="0.2">
      <c r="A32" s="156"/>
      <c r="B32" s="158" t="s">
        <v>113</v>
      </c>
      <c r="C32" s="158" t="s">
        <v>0</v>
      </c>
      <c r="D32" s="158" t="s">
        <v>177</v>
      </c>
      <c r="E32" s="158" t="s">
        <v>4</v>
      </c>
      <c r="F32" s="158" t="s">
        <v>11</v>
      </c>
      <c r="G32" s="158" t="s">
        <v>228</v>
      </c>
      <c r="H32" s="158" t="s">
        <v>7</v>
      </c>
      <c r="I32" s="158" t="s">
        <v>133</v>
      </c>
      <c r="J32" s="157"/>
      <c r="K32" s="157"/>
    </row>
    <row r="33" spans="1:11" x14ac:dyDescent="0.2">
      <c r="A33" s="156"/>
      <c r="B33" s="158" t="s">
        <v>113</v>
      </c>
      <c r="C33" s="158" t="s">
        <v>0</v>
      </c>
      <c r="D33" s="158" t="s">
        <v>177</v>
      </c>
      <c r="E33" s="158" t="s">
        <v>4</v>
      </c>
      <c r="F33" s="158" t="s">
        <v>10</v>
      </c>
      <c r="G33" s="158" t="s">
        <v>228</v>
      </c>
      <c r="H33" s="158" t="s">
        <v>7</v>
      </c>
      <c r="I33" s="158" t="s">
        <v>133</v>
      </c>
      <c r="J33" s="157"/>
      <c r="K33" s="157"/>
    </row>
    <row r="34" spans="1:11" x14ac:dyDescent="0.2">
      <c r="A34" s="156"/>
      <c r="B34" s="158" t="s">
        <v>113</v>
      </c>
      <c r="C34" s="158" t="s">
        <v>0</v>
      </c>
      <c r="D34" s="158" t="s">
        <v>177</v>
      </c>
      <c r="E34" s="158" t="s">
        <v>3</v>
      </c>
      <c r="F34" s="158" t="s">
        <v>56</v>
      </c>
      <c r="G34" s="158" t="s">
        <v>228</v>
      </c>
      <c r="H34" s="158" t="s">
        <v>7</v>
      </c>
      <c r="I34" s="158" t="s">
        <v>133</v>
      </c>
      <c r="J34" s="157"/>
      <c r="K34" s="157"/>
    </row>
    <row r="35" spans="1:11" x14ac:dyDescent="0.2">
      <c r="A35" s="156"/>
      <c r="B35" s="158" t="s">
        <v>113</v>
      </c>
      <c r="C35" s="158" t="s">
        <v>0</v>
      </c>
      <c r="D35" s="158" t="s">
        <v>177</v>
      </c>
      <c r="E35" s="158" t="s">
        <v>3</v>
      </c>
      <c r="F35" s="158" t="s">
        <v>56</v>
      </c>
      <c r="G35" s="158" t="s">
        <v>156</v>
      </c>
      <c r="H35" s="158" t="s">
        <v>7</v>
      </c>
      <c r="I35" s="158" t="s">
        <v>133</v>
      </c>
      <c r="J35" s="157"/>
      <c r="K35" s="157"/>
    </row>
    <row r="36" spans="1:11" x14ac:dyDescent="0.2">
      <c r="A36" s="156"/>
      <c r="B36" s="158" t="s">
        <v>113</v>
      </c>
      <c r="C36" s="158" t="s">
        <v>0</v>
      </c>
      <c r="D36" s="158" t="s">
        <v>177</v>
      </c>
      <c r="E36" s="158" t="s">
        <v>3</v>
      </c>
      <c r="F36" s="158" t="s">
        <v>9</v>
      </c>
      <c r="G36" s="158" t="s">
        <v>156</v>
      </c>
      <c r="H36" s="158" t="s">
        <v>7</v>
      </c>
      <c r="I36" s="158" t="s">
        <v>133</v>
      </c>
      <c r="J36" s="157"/>
      <c r="K36" s="157"/>
    </row>
    <row r="37" spans="1:11" x14ac:dyDescent="0.2">
      <c r="A37" s="156"/>
      <c r="B37" s="158" t="s">
        <v>113</v>
      </c>
      <c r="C37" s="158" t="s">
        <v>0</v>
      </c>
      <c r="D37" s="158" t="s">
        <v>177</v>
      </c>
      <c r="E37" s="158" t="s">
        <v>4</v>
      </c>
      <c r="F37" s="158" t="s">
        <v>11</v>
      </c>
      <c r="G37" s="158" t="s">
        <v>156</v>
      </c>
      <c r="H37" s="158" t="s">
        <v>7</v>
      </c>
      <c r="I37" s="158" t="s">
        <v>133</v>
      </c>
      <c r="J37" s="157"/>
      <c r="K37" s="157"/>
    </row>
    <row r="38" spans="1:11" x14ac:dyDescent="0.2">
      <c r="A38" s="156"/>
      <c r="B38" s="158" t="s">
        <v>113</v>
      </c>
      <c r="C38" s="158" t="s">
        <v>1</v>
      </c>
      <c r="D38" s="158" t="s">
        <v>177</v>
      </c>
      <c r="E38" s="158" t="s">
        <v>4</v>
      </c>
      <c r="F38" s="158" t="s">
        <v>11</v>
      </c>
      <c r="G38" s="158" t="s">
        <v>156</v>
      </c>
      <c r="H38" s="158" t="s">
        <v>7</v>
      </c>
      <c r="I38" s="158" t="s">
        <v>133</v>
      </c>
      <c r="J38" s="157"/>
      <c r="K38" s="157"/>
    </row>
    <row r="39" spans="1:11" x14ac:dyDescent="0.2">
      <c r="A39" s="156"/>
      <c r="B39" s="158" t="s">
        <v>113</v>
      </c>
      <c r="C39" s="158" t="s">
        <v>0</v>
      </c>
      <c r="D39" s="158" t="s">
        <v>177</v>
      </c>
      <c r="E39" s="158" t="s">
        <v>4</v>
      </c>
      <c r="F39" s="158" t="s">
        <v>106</v>
      </c>
      <c r="G39" s="158" t="s">
        <v>156</v>
      </c>
      <c r="H39" s="158" t="s">
        <v>7</v>
      </c>
      <c r="I39" s="158" t="s">
        <v>133</v>
      </c>
      <c r="J39" s="157"/>
      <c r="K39" s="157"/>
    </row>
    <row r="40" spans="1:11" x14ac:dyDescent="0.2">
      <c r="A40" s="156"/>
      <c r="B40" s="158" t="s">
        <v>113</v>
      </c>
      <c r="C40" s="158" t="s">
        <v>0</v>
      </c>
      <c r="D40" s="158" t="s">
        <v>177</v>
      </c>
      <c r="E40" s="158" t="s">
        <v>4</v>
      </c>
      <c r="F40" s="158" t="s">
        <v>11</v>
      </c>
      <c r="G40" s="158" t="s">
        <v>156</v>
      </c>
      <c r="H40" s="158" t="s">
        <v>7</v>
      </c>
      <c r="I40" s="158" t="s">
        <v>133</v>
      </c>
      <c r="J40" s="157"/>
      <c r="K40" s="157"/>
    </row>
    <row r="41" spans="1:11" x14ac:dyDescent="0.2">
      <c r="A41" s="156"/>
      <c r="B41" s="158" t="s">
        <v>113</v>
      </c>
      <c r="C41" s="158" t="s">
        <v>0</v>
      </c>
      <c r="D41" s="158" t="s">
        <v>2</v>
      </c>
      <c r="E41" s="158" t="s">
        <v>4</v>
      </c>
      <c r="F41" s="158" t="s">
        <v>10</v>
      </c>
      <c r="G41" s="158" t="s">
        <v>155</v>
      </c>
      <c r="H41" s="158" t="s">
        <v>7</v>
      </c>
      <c r="I41" s="158" t="s">
        <v>133</v>
      </c>
      <c r="J41" s="157"/>
      <c r="K41" s="157"/>
    </row>
    <row r="42" spans="1:11" x14ac:dyDescent="0.2">
      <c r="A42" s="156"/>
      <c r="B42" s="158" t="s">
        <v>113</v>
      </c>
      <c r="C42" s="158" t="s">
        <v>0</v>
      </c>
      <c r="D42" s="158" t="s">
        <v>2</v>
      </c>
      <c r="E42" s="158" t="s">
        <v>4</v>
      </c>
      <c r="F42" s="158" t="s">
        <v>10</v>
      </c>
      <c r="G42" s="158" t="s">
        <v>155</v>
      </c>
      <c r="H42" s="158" t="s">
        <v>7</v>
      </c>
      <c r="I42" s="158" t="s">
        <v>133</v>
      </c>
      <c r="J42" s="157"/>
      <c r="K42" s="157"/>
    </row>
    <row r="43" spans="1:11" x14ac:dyDescent="0.2">
      <c r="A43" s="156"/>
      <c r="B43" s="157" t="s">
        <v>112</v>
      </c>
      <c r="C43" s="158" t="s">
        <v>0</v>
      </c>
      <c r="D43" s="158" t="s">
        <v>2</v>
      </c>
      <c r="E43" s="158" t="s">
        <v>3</v>
      </c>
      <c r="F43" s="157" t="s">
        <v>12</v>
      </c>
      <c r="G43" s="158" t="s">
        <v>156</v>
      </c>
      <c r="H43" s="158" t="s">
        <v>159</v>
      </c>
      <c r="I43" s="157"/>
      <c r="J43" s="157"/>
      <c r="K43" s="157"/>
    </row>
    <row r="44" spans="1:11" x14ac:dyDescent="0.2">
      <c r="A44" s="156"/>
      <c r="B44" s="158" t="s">
        <v>112</v>
      </c>
      <c r="C44" s="158" t="s">
        <v>1</v>
      </c>
      <c r="D44" s="158" t="s">
        <v>2</v>
      </c>
      <c r="E44" s="158" t="s">
        <v>4</v>
      </c>
      <c r="F44" s="158" t="s">
        <v>12</v>
      </c>
      <c r="G44" s="158" t="s">
        <v>156</v>
      </c>
      <c r="H44" s="158" t="s">
        <v>159</v>
      </c>
      <c r="I44" s="157"/>
      <c r="J44" s="157"/>
      <c r="K44" s="157"/>
    </row>
    <row r="45" spans="1:11" x14ac:dyDescent="0.2">
      <c r="A45" s="156"/>
      <c r="B45" s="158" t="s">
        <v>112</v>
      </c>
      <c r="C45" s="158" t="s">
        <v>1</v>
      </c>
      <c r="D45" s="158" t="s">
        <v>2</v>
      </c>
      <c r="E45" s="158" t="s">
        <v>4</v>
      </c>
      <c r="F45" s="158" t="s">
        <v>12</v>
      </c>
      <c r="G45" s="158" t="s">
        <v>156</v>
      </c>
      <c r="H45" s="158" t="s">
        <v>159</v>
      </c>
      <c r="I45" s="157"/>
      <c r="J45" s="157"/>
      <c r="K45" s="157"/>
    </row>
    <row r="46" spans="1:11" x14ac:dyDescent="0.2">
      <c r="A46" s="156"/>
      <c r="B46" s="158" t="s">
        <v>112</v>
      </c>
      <c r="C46" s="158" t="s">
        <v>0</v>
      </c>
      <c r="D46" s="158" t="s">
        <v>177</v>
      </c>
      <c r="E46" s="158" t="s">
        <v>4</v>
      </c>
      <c r="F46" s="158" t="s">
        <v>10</v>
      </c>
      <c r="G46" s="158" t="s">
        <v>156</v>
      </c>
      <c r="H46" s="158" t="s">
        <v>17</v>
      </c>
      <c r="I46" s="158" t="s">
        <v>130</v>
      </c>
      <c r="J46" s="157"/>
      <c r="K46" s="157"/>
    </row>
    <row r="47" spans="1:11" x14ac:dyDescent="0.2">
      <c r="A47" s="156"/>
      <c r="B47" s="158" t="s">
        <v>112</v>
      </c>
      <c r="C47" s="158" t="s">
        <v>1</v>
      </c>
      <c r="D47" s="158" t="s">
        <v>177</v>
      </c>
      <c r="E47" s="158" t="s">
        <v>4</v>
      </c>
      <c r="F47" s="158" t="s">
        <v>10</v>
      </c>
      <c r="G47" s="158" t="s">
        <v>156</v>
      </c>
      <c r="H47" s="158" t="s">
        <v>17</v>
      </c>
      <c r="I47" s="158" t="s">
        <v>130</v>
      </c>
      <c r="J47" s="157"/>
      <c r="K47" s="157"/>
    </row>
    <row r="48" spans="1:11" x14ac:dyDescent="0.2">
      <c r="A48" s="156"/>
      <c r="B48" s="158" t="s">
        <v>112</v>
      </c>
      <c r="C48" s="158" t="s">
        <v>1</v>
      </c>
      <c r="D48" s="158" t="s">
        <v>177</v>
      </c>
      <c r="E48" s="158" t="s">
        <v>4</v>
      </c>
      <c r="F48" s="158" t="s">
        <v>15</v>
      </c>
      <c r="G48" s="158" t="s">
        <v>158</v>
      </c>
      <c r="H48" s="158" t="s">
        <v>17</v>
      </c>
      <c r="I48" s="158" t="s">
        <v>130</v>
      </c>
      <c r="J48" s="157"/>
      <c r="K48" s="157"/>
    </row>
    <row r="49" spans="1:11" x14ac:dyDescent="0.2">
      <c r="A49" s="156"/>
      <c r="B49" s="158" t="s">
        <v>112</v>
      </c>
      <c r="C49" s="158" t="s">
        <v>1</v>
      </c>
      <c r="D49" s="158" t="s">
        <v>177</v>
      </c>
      <c r="E49" s="158" t="s">
        <v>232</v>
      </c>
      <c r="F49" s="158" t="s">
        <v>15</v>
      </c>
      <c r="G49" s="158" t="s">
        <v>158</v>
      </c>
      <c r="H49" s="158" t="s">
        <v>17</v>
      </c>
      <c r="I49" s="158" t="s">
        <v>130</v>
      </c>
      <c r="J49" s="157"/>
      <c r="K49" s="157"/>
    </row>
    <row r="50" spans="1:11" x14ac:dyDescent="0.2">
      <c r="A50" s="156"/>
      <c r="B50" s="158" t="s">
        <v>112</v>
      </c>
      <c r="C50" s="158" t="s">
        <v>0</v>
      </c>
      <c r="D50" s="158" t="s">
        <v>2</v>
      </c>
      <c r="E50" s="158" t="s">
        <v>4</v>
      </c>
      <c r="F50" s="158" t="s">
        <v>13</v>
      </c>
      <c r="G50" s="158" t="s">
        <v>155</v>
      </c>
      <c r="H50" s="158" t="s">
        <v>159</v>
      </c>
      <c r="I50" s="157"/>
      <c r="J50" s="157"/>
      <c r="K50" s="157"/>
    </row>
    <row r="51" spans="1:11" x14ac:dyDescent="0.2">
      <c r="A51" s="156"/>
      <c r="B51" s="158" t="s">
        <v>112</v>
      </c>
      <c r="C51" s="158" t="s">
        <v>1</v>
      </c>
      <c r="D51" s="158" t="s">
        <v>2</v>
      </c>
      <c r="E51" s="158" t="s">
        <v>4</v>
      </c>
      <c r="F51" s="158" t="s">
        <v>13</v>
      </c>
      <c r="G51" s="158" t="s">
        <v>155</v>
      </c>
      <c r="H51" s="158" t="s">
        <v>159</v>
      </c>
      <c r="I51" s="157"/>
      <c r="J51" s="157"/>
      <c r="K51" s="157"/>
    </row>
    <row r="52" spans="1:11" x14ac:dyDescent="0.2">
      <c r="A52" s="156"/>
      <c r="B52" s="158" t="s">
        <v>112</v>
      </c>
      <c r="C52" s="158" t="s">
        <v>1</v>
      </c>
      <c r="D52" s="158" t="s">
        <v>177</v>
      </c>
      <c r="E52" s="158" t="s">
        <v>4</v>
      </c>
      <c r="F52" s="158" t="s">
        <v>106</v>
      </c>
      <c r="G52" s="158" t="s">
        <v>158</v>
      </c>
      <c r="H52" s="158" t="s">
        <v>17</v>
      </c>
      <c r="I52" s="158" t="s">
        <v>130</v>
      </c>
      <c r="J52" s="157"/>
      <c r="K52" s="157"/>
    </row>
    <row r="53" spans="1:11" x14ac:dyDescent="0.2">
      <c r="A53" s="156"/>
      <c r="B53" s="158" t="s">
        <v>112</v>
      </c>
      <c r="C53" s="158" t="s">
        <v>1</v>
      </c>
      <c r="D53" s="158" t="s">
        <v>177</v>
      </c>
      <c r="E53" s="158" t="s">
        <v>3</v>
      </c>
      <c r="F53" s="158" t="s">
        <v>106</v>
      </c>
      <c r="G53" s="158" t="s">
        <v>158</v>
      </c>
      <c r="H53" s="158" t="s">
        <v>17</v>
      </c>
      <c r="I53" s="158" t="s">
        <v>130</v>
      </c>
      <c r="J53" s="157"/>
      <c r="K53" s="157"/>
    </row>
    <row r="54" spans="1:11" x14ac:dyDescent="0.2">
      <c r="A54" s="156"/>
      <c r="B54" s="158" t="s">
        <v>112</v>
      </c>
      <c r="C54" s="158" t="s">
        <v>0</v>
      </c>
      <c r="D54" s="158" t="s">
        <v>177</v>
      </c>
      <c r="E54" s="158" t="s">
        <v>3</v>
      </c>
      <c r="F54" s="157" t="s">
        <v>236</v>
      </c>
      <c r="G54" s="158" t="s">
        <v>228</v>
      </c>
      <c r="H54" s="158" t="s">
        <v>17</v>
      </c>
      <c r="I54" s="158" t="s">
        <v>130</v>
      </c>
      <c r="J54" s="157"/>
      <c r="K54" s="157"/>
    </row>
    <row r="55" spans="1:11" x14ac:dyDescent="0.2">
      <c r="A55" s="156"/>
      <c r="B55" s="158" t="s">
        <v>112</v>
      </c>
      <c r="C55" s="158" t="s">
        <v>1</v>
      </c>
      <c r="D55" s="158" t="s">
        <v>177</v>
      </c>
      <c r="E55" s="158" t="s">
        <v>4</v>
      </c>
      <c r="F55" s="158" t="s">
        <v>23</v>
      </c>
      <c r="G55" s="158" t="s">
        <v>156</v>
      </c>
      <c r="H55" s="158" t="s">
        <v>17</v>
      </c>
      <c r="I55" s="158" t="s">
        <v>130</v>
      </c>
      <c r="J55" s="157"/>
      <c r="K55" s="157"/>
    </row>
    <row r="56" spans="1:11" x14ac:dyDescent="0.2">
      <c r="A56" s="156"/>
      <c r="B56" s="158" t="s">
        <v>112</v>
      </c>
      <c r="C56" s="158" t="s">
        <v>0</v>
      </c>
      <c r="D56" s="158" t="s">
        <v>177</v>
      </c>
      <c r="E56" s="158" t="s">
        <v>4</v>
      </c>
      <c r="F56" s="158" t="s">
        <v>10</v>
      </c>
      <c r="G56" s="158" t="s">
        <v>228</v>
      </c>
      <c r="H56" s="158" t="s">
        <v>17</v>
      </c>
      <c r="I56" s="158" t="s">
        <v>130</v>
      </c>
      <c r="J56" s="157"/>
      <c r="K56" s="157"/>
    </row>
    <row r="57" spans="1:11" x14ac:dyDescent="0.2">
      <c r="A57" s="156"/>
      <c r="B57" s="158" t="s">
        <v>116</v>
      </c>
      <c r="C57" s="158" t="s">
        <v>0</v>
      </c>
      <c r="D57" s="158" t="s">
        <v>177</v>
      </c>
      <c r="E57" s="158" t="s">
        <v>4</v>
      </c>
      <c r="F57" s="157" t="s">
        <v>110</v>
      </c>
      <c r="G57" s="157" t="s">
        <v>110</v>
      </c>
      <c r="H57" s="158" t="s">
        <v>7</v>
      </c>
      <c r="I57" s="157" t="s">
        <v>102</v>
      </c>
      <c r="J57" s="157"/>
      <c r="K57" s="157"/>
    </row>
    <row r="58" spans="1:11" x14ac:dyDescent="0.2">
      <c r="A58" s="156"/>
      <c r="B58" s="158" t="s">
        <v>116</v>
      </c>
      <c r="C58" s="158" t="s">
        <v>0</v>
      </c>
      <c r="D58" s="158" t="s">
        <v>177</v>
      </c>
      <c r="E58" s="158" t="s">
        <v>4</v>
      </c>
      <c r="F58" s="158" t="s">
        <v>110</v>
      </c>
      <c r="G58" s="158" t="s">
        <v>110</v>
      </c>
      <c r="H58" s="158" t="s">
        <v>7</v>
      </c>
      <c r="I58" s="158" t="s">
        <v>102</v>
      </c>
      <c r="J58" s="157"/>
      <c r="K58" s="157"/>
    </row>
    <row r="59" spans="1:11" x14ac:dyDescent="0.2">
      <c r="A59" s="156"/>
      <c r="B59" s="158" t="s">
        <v>116</v>
      </c>
      <c r="C59" s="158" t="s">
        <v>0</v>
      </c>
      <c r="D59" s="158" t="s">
        <v>177</v>
      </c>
      <c r="E59" s="158" t="s">
        <v>4</v>
      </c>
      <c r="F59" s="158" t="s">
        <v>110</v>
      </c>
      <c r="G59" s="158" t="s">
        <v>110</v>
      </c>
      <c r="H59" s="158" t="s">
        <v>7</v>
      </c>
      <c r="I59" s="158" t="s">
        <v>102</v>
      </c>
      <c r="J59" s="157"/>
      <c r="K59" s="157"/>
    </row>
    <row r="60" spans="1:11" x14ac:dyDescent="0.2">
      <c r="A60" s="156"/>
      <c r="B60" s="158" t="s">
        <v>116</v>
      </c>
      <c r="C60" s="158" t="s">
        <v>0</v>
      </c>
      <c r="D60" s="158" t="s">
        <v>177</v>
      </c>
      <c r="E60" s="158" t="s">
        <v>4</v>
      </c>
      <c r="F60" s="158" t="s">
        <v>110</v>
      </c>
      <c r="G60" s="158" t="s">
        <v>110</v>
      </c>
      <c r="H60" s="158" t="s">
        <v>7</v>
      </c>
      <c r="I60" s="158" t="s">
        <v>102</v>
      </c>
      <c r="J60" s="157"/>
      <c r="K60" s="157"/>
    </row>
    <row r="61" spans="1:11" x14ac:dyDescent="0.2">
      <c r="A61" s="156"/>
      <c r="B61" s="158" t="s">
        <v>116</v>
      </c>
      <c r="C61" s="158" t="s">
        <v>0</v>
      </c>
      <c r="D61" s="158" t="s">
        <v>177</v>
      </c>
      <c r="E61" s="158" t="s">
        <v>4</v>
      </c>
      <c r="F61" s="158" t="s">
        <v>110</v>
      </c>
      <c r="G61" s="158" t="s">
        <v>110</v>
      </c>
      <c r="H61" s="158" t="s">
        <v>7</v>
      </c>
      <c r="I61" s="158" t="s">
        <v>102</v>
      </c>
      <c r="J61" s="157"/>
      <c r="K61" s="157"/>
    </row>
    <row r="62" spans="1:11" x14ac:dyDescent="0.2">
      <c r="A62" s="156"/>
      <c r="B62" s="158" t="s">
        <v>116</v>
      </c>
      <c r="C62" s="158" t="s">
        <v>0</v>
      </c>
      <c r="D62" s="158" t="s">
        <v>177</v>
      </c>
      <c r="E62" s="158" t="s">
        <v>4</v>
      </c>
      <c r="F62" s="158" t="s">
        <v>110</v>
      </c>
      <c r="G62" s="158" t="s">
        <v>110</v>
      </c>
      <c r="H62" s="158" t="s">
        <v>7</v>
      </c>
      <c r="I62" s="158" t="s">
        <v>102</v>
      </c>
      <c r="J62" s="157"/>
      <c r="K62" s="157"/>
    </row>
    <row r="63" spans="1:11" x14ac:dyDescent="0.2">
      <c r="A63" s="156"/>
      <c r="B63" s="158"/>
      <c r="C63" s="158"/>
      <c r="D63" s="158"/>
      <c r="E63" s="158"/>
      <c r="F63" s="158"/>
      <c r="G63" s="158"/>
      <c r="H63" s="158"/>
      <c r="I63" s="158"/>
      <c r="J63" s="157"/>
      <c r="K63" s="157"/>
    </row>
    <row r="64" spans="1:11" x14ac:dyDescent="0.2">
      <c r="A64" s="156"/>
      <c r="B64" s="158"/>
      <c r="C64" s="158"/>
      <c r="D64" s="158"/>
      <c r="E64" s="158"/>
      <c r="F64" s="158"/>
      <c r="G64" s="158"/>
      <c r="H64" s="158"/>
      <c r="I64" s="158"/>
      <c r="J64" s="157"/>
      <c r="K64" s="157"/>
    </row>
    <row r="65" spans="1:11" x14ac:dyDescent="0.2">
      <c r="A65" s="156"/>
      <c r="B65" s="158"/>
      <c r="C65" s="158"/>
      <c r="D65" s="158"/>
      <c r="E65" s="158"/>
      <c r="F65" s="158"/>
      <c r="G65" s="158"/>
      <c r="H65" s="158"/>
      <c r="I65" s="158"/>
      <c r="J65" s="157"/>
      <c r="K65" s="157"/>
    </row>
    <row r="66" spans="1:11" x14ac:dyDescent="0.2">
      <c r="A66" s="156"/>
      <c r="B66" s="158"/>
      <c r="C66" s="158"/>
      <c r="D66" s="158"/>
      <c r="E66" s="158"/>
      <c r="F66" s="158"/>
      <c r="G66" s="158"/>
      <c r="H66" s="158"/>
      <c r="I66" s="158"/>
      <c r="J66" s="157"/>
      <c r="K66" s="157"/>
    </row>
    <row r="67" spans="1:11" x14ac:dyDescent="0.2">
      <c r="A67" s="156"/>
      <c r="B67" s="158"/>
      <c r="C67" s="158"/>
      <c r="D67" s="158"/>
      <c r="E67" s="158"/>
      <c r="F67" s="158"/>
      <c r="G67" s="158"/>
      <c r="H67" s="158"/>
      <c r="I67" s="158"/>
      <c r="J67" s="157"/>
      <c r="K67" s="157"/>
    </row>
    <row r="68" spans="1:11" x14ac:dyDescent="0.2">
      <c r="A68" s="156"/>
      <c r="B68" s="158"/>
      <c r="C68" s="158"/>
      <c r="D68" s="158"/>
      <c r="E68" s="158"/>
      <c r="F68" s="158"/>
      <c r="G68" s="158"/>
      <c r="H68" s="158"/>
      <c r="I68" s="158"/>
      <c r="J68" s="157"/>
      <c r="K68" s="157"/>
    </row>
    <row r="69" spans="1:11" x14ac:dyDescent="0.2">
      <c r="A69" s="156"/>
      <c r="B69" s="158"/>
      <c r="C69" s="158"/>
      <c r="D69" s="158"/>
      <c r="E69" s="158"/>
      <c r="F69" s="158"/>
      <c r="G69" s="158"/>
      <c r="H69" s="158"/>
      <c r="I69" s="158"/>
      <c r="J69" s="157"/>
      <c r="K69" s="157"/>
    </row>
    <row r="70" spans="1:11" x14ac:dyDescent="0.2">
      <c r="A70" s="156"/>
      <c r="B70" s="158"/>
      <c r="C70" s="158"/>
      <c r="D70" s="158"/>
      <c r="E70" s="158"/>
      <c r="F70" s="158"/>
      <c r="G70" s="158"/>
      <c r="H70" s="158"/>
      <c r="I70" s="157"/>
      <c r="J70" s="157"/>
      <c r="K70" s="157"/>
    </row>
    <row r="71" spans="1:11" x14ac:dyDescent="0.2">
      <c r="A71" s="156"/>
      <c r="B71" s="158"/>
      <c r="C71" s="158"/>
      <c r="D71" s="158"/>
      <c r="E71" s="158"/>
      <c r="F71" s="158"/>
      <c r="G71" s="158"/>
      <c r="H71" s="158"/>
      <c r="I71" s="157"/>
      <c r="J71" s="157"/>
      <c r="K71" s="157"/>
    </row>
    <row r="72" spans="1:11" x14ac:dyDescent="0.2">
      <c r="A72" s="156"/>
      <c r="B72" s="158"/>
      <c r="C72" s="158"/>
      <c r="D72" s="158"/>
      <c r="E72" s="158"/>
      <c r="F72" s="158"/>
      <c r="G72" s="158"/>
      <c r="H72" s="158"/>
      <c r="I72" s="157"/>
      <c r="J72" s="157"/>
      <c r="K72" s="157"/>
    </row>
    <row r="73" spans="1:11" x14ac:dyDescent="0.2">
      <c r="A73" s="156"/>
      <c r="B73" s="158"/>
      <c r="C73" s="158"/>
      <c r="D73" s="158"/>
      <c r="E73" s="158"/>
      <c r="F73" s="158"/>
      <c r="G73" s="158"/>
      <c r="H73" s="158"/>
      <c r="I73" s="157"/>
      <c r="J73" s="157"/>
      <c r="K73" s="157"/>
    </row>
    <row r="74" spans="1:11" x14ac:dyDescent="0.2">
      <c r="A74" s="156"/>
      <c r="B74" s="158"/>
      <c r="C74" s="158"/>
      <c r="D74" s="158"/>
      <c r="E74" s="158"/>
      <c r="F74" s="158"/>
      <c r="G74" s="158"/>
      <c r="H74" s="158"/>
      <c r="I74" s="157"/>
      <c r="J74" s="157"/>
      <c r="K74" s="157"/>
    </row>
    <row r="75" spans="1:11" x14ac:dyDescent="0.2">
      <c r="A75" s="156"/>
      <c r="B75" s="158"/>
      <c r="C75" s="158"/>
      <c r="D75" s="158"/>
      <c r="E75" s="158"/>
      <c r="F75" s="158"/>
      <c r="G75" s="158"/>
      <c r="H75" s="158"/>
      <c r="I75" s="157"/>
      <c r="J75" s="157"/>
      <c r="K75" s="157"/>
    </row>
    <row r="76" spans="1:11" x14ac:dyDescent="0.2">
      <c r="A76" s="156"/>
      <c r="B76" s="158"/>
      <c r="C76" s="158"/>
      <c r="D76" s="158"/>
      <c r="E76" s="158"/>
      <c r="F76" s="158"/>
      <c r="G76" s="158"/>
      <c r="H76" s="158"/>
      <c r="I76" s="157"/>
      <c r="J76" s="157"/>
      <c r="K76" s="157"/>
    </row>
    <row r="77" spans="1:11" x14ac:dyDescent="0.2">
      <c r="A77" s="156"/>
      <c r="B77" s="158"/>
      <c r="C77" s="158"/>
      <c r="D77" s="158"/>
      <c r="E77" s="158"/>
      <c r="F77" s="158"/>
      <c r="G77" s="158"/>
      <c r="H77" s="158"/>
      <c r="I77" s="157"/>
      <c r="J77" s="157"/>
      <c r="K77" s="157"/>
    </row>
    <row r="78" spans="1:11" x14ac:dyDescent="0.2">
      <c r="A78" s="156"/>
      <c r="B78" s="158"/>
      <c r="C78" s="158"/>
      <c r="D78" s="158"/>
      <c r="E78" s="158"/>
      <c r="F78" s="158"/>
      <c r="G78" s="158"/>
      <c r="H78" s="158"/>
      <c r="I78" s="157"/>
      <c r="J78" s="157"/>
      <c r="K78" s="157"/>
    </row>
    <row r="79" spans="1:11" x14ac:dyDescent="0.2">
      <c r="A79" s="156"/>
      <c r="B79" s="158"/>
      <c r="C79" s="158"/>
      <c r="D79" s="158"/>
      <c r="E79" s="158"/>
      <c r="F79" s="158"/>
      <c r="G79" s="158"/>
      <c r="H79" s="158"/>
      <c r="I79" s="157"/>
      <c r="J79" s="157"/>
      <c r="K79" s="157"/>
    </row>
    <row r="80" spans="1:11" x14ac:dyDescent="0.2">
      <c r="A80" s="156"/>
      <c r="B80" s="158"/>
      <c r="C80" s="158"/>
      <c r="D80" s="158"/>
      <c r="E80" s="158"/>
      <c r="F80" s="158"/>
      <c r="G80" s="158"/>
      <c r="H80" s="158"/>
      <c r="I80" s="157"/>
      <c r="J80" s="157"/>
      <c r="K80" s="157"/>
    </row>
    <row r="81" spans="1:11" x14ac:dyDescent="0.2">
      <c r="A81" s="156"/>
      <c r="B81" s="158"/>
      <c r="C81" s="158"/>
      <c r="D81" s="158"/>
      <c r="E81" s="158"/>
      <c r="F81" s="158"/>
      <c r="G81" s="158"/>
      <c r="H81" s="158"/>
      <c r="I81" s="157"/>
      <c r="J81" s="157"/>
      <c r="K81" s="157"/>
    </row>
    <row r="82" spans="1:11" x14ac:dyDescent="0.2">
      <c r="A82" s="156"/>
      <c r="B82" s="158"/>
      <c r="C82" s="158"/>
      <c r="D82" s="158"/>
      <c r="E82" s="158"/>
      <c r="F82" s="158"/>
      <c r="G82" s="158"/>
      <c r="H82" s="158"/>
      <c r="I82" s="157"/>
      <c r="J82" s="157"/>
      <c r="K82" s="157"/>
    </row>
    <row r="83" spans="1:11" x14ac:dyDescent="0.2">
      <c r="A83" s="156"/>
      <c r="B83" s="158"/>
      <c r="C83" s="158"/>
      <c r="D83" s="158"/>
      <c r="E83" s="158"/>
      <c r="F83" s="158"/>
      <c r="G83" s="158"/>
      <c r="H83" s="158"/>
      <c r="I83" s="157"/>
      <c r="J83" s="157"/>
      <c r="K83" s="157"/>
    </row>
    <row r="84" spans="1:11" x14ac:dyDescent="0.2">
      <c r="A84" s="156"/>
      <c r="B84" s="158"/>
      <c r="C84" s="158"/>
      <c r="D84" s="158"/>
      <c r="E84" s="158"/>
      <c r="F84" s="158"/>
      <c r="G84" s="158"/>
      <c r="H84" s="158"/>
      <c r="I84" s="157"/>
      <c r="J84" s="157"/>
      <c r="K84" s="157"/>
    </row>
    <row r="85" spans="1:11" x14ac:dyDescent="0.2">
      <c r="A85" s="156"/>
      <c r="B85" s="158"/>
      <c r="C85" s="158"/>
      <c r="D85" s="158"/>
      <c r="E85" s="158"/>
      <c r="F85" s="158"/>
      <c r="G85" s="158"/>
      <c r="H85" s="158"/>
      <c r="I85" s="157"/>
      <c r="J85" s="157"/>
      <c r="K85" s="157"/>
    </row>
    <row r="86" spans="1:11" x14ac:dyDescent="0.2">
      <c r="A86" s="156"/>
      <c r="B86" s="158"/>
      <c r="C86" s="158"/>
      <c r="D86" s="158"/>
      <c r="E86" s="158"/>
      <c r="F86" s="158"/>
      <c r="G86" s="158"/>
      <c r="H86" s="158"/>
      <c r="I86" s="157"/>
      <c r="J86" s="157"/>
      <c r="K86" s="157"/>
    </row>
    <row r="87" spans="1:11" x14ac:dyDescent="0.2">
      <c r="A87" s="156"/>
      <c r="B87" s="158"/>
      <c r="C87" s="158"/>
      <c r="D87" s="158"/>
      <c r="E87" s="158"/>
      <c r="F87" s="158"/>
      <c r="G87" s="158"/>
      <c r="H87" s="158"/>
      <c r="I87" s="157"/>
      <c r="J87" s="157"/>
      <c r="K87" s="157"/>
    </row>
    <row r="88" spans="1:11" x14ac:dyDescent="0.2">
      <c r="A88" s="156"/>
      <c r="B88" s="158"/>
      <c r="C88" s="158"/>
      <c r="D88" s="158"/>
      <c r="E88" s="158"/>
      <c r="F88" s="158"/>
      <c r="G88" s="158"/>
      <c r="H88" s="158"/>
      <c r="I88" s="157"/>
      <c r="J88" s="157"/>
      <c r="K88" s="157"/>
    </row>
    <row r="89" spans="1:11" x14ac:dyDescent="0.2">
      <c r="A89" s="156"/>
      <c r="B89" s="158"/>
      <c r="C89" s="158"/>
      <c r="D89" s="158"/>
      <c r="E89" s="158"/>
      <c r="F89" s="158"/>
      <c r="G89" s="158"/>
      <c r="H89" s="158"/>
      <c r="I89" s="157"/>
      <c r="J89" s="157"/>
      <c r="K89" s="157"/>
    </row>
    <row r="90" spans="1:11" x14ac:dyDescent="0.2">
      <c r="A90" s="156"/>
      <c r="B90" s="158"/>
      <c r="C90" s="158"/>
      <c r="D90" s="158"/>
      <c r="E90" s="158"/>
      <c r="F90" s="158"/>
      <c r="G90" s="158"/>
      <c r="H90" s="158"/>
      <c r="I90" s="157"/>
      <c r="J90" s="157"/>
      <c r="K90" s="157"/>
    </row>
    <row r="91" spans="1:11" x14ac:dyDescent="0.2">
      <c r="A91" s="156"/>
      <c r="B91" s="158"/>
      <c r="C91" s="158"/>
      <c r="D91" s="158"/>
      <c r="E91" s="158"/>
      <c r="F91" s="158"/>
      <c r="G91" s="158"/>
      <c r="H91" s="158"/>
      <c r="I91" s="157"/>
      <c r="J91" s="157"/>
      <c r="K91" s="157"/>
    </row>
    <row r="92" spans="1:11" x14ac:dyDescent="0.2">
      <c r="A92" s="156"/>
      <c r="B92" s="158"/>
      <c r="C92" s="158"/>
      <c r="D92" s="158"/>
      <c r="E92" s="158"/>
      <c r="F92" s="158"/>
      <c r="G92" s="158"/>
      <c r="H92" s="158"/>
      <c r="I92" s="157"/>
      <c r="J92" s="157"/>
      <c r="K92" s="157"/>
    </row>
    <row r="93" spans="1:11" x14ac:dyDescent="0.2">
      <c r="A93" s="156"/>
      <c r="B93" s="158"/>
      <c r="C93" s="158"/>
      <c r="D93" s="158"/>
      <c r="E93" s="158"/>
      <c r="F93" s="158"/>
      <c r="G93" s="158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B3:B4"/>
    <mergeCell ref="C3:C4"/>
    <mergeCell ref="D3:D4"/>
    <mergeCell ref="E3:E4"/>
    <mergeCell ref="F3:F4"/>
    <mergeCell ref="G3:G4"/>
  </mergeCells>
  <dataValidations count="8">
    <dataValidation type="list" showInputMessage="1" showErrorMessage="1" sqref="C5:C254">
      <formula1>ValidPerson</formula1>
    </dataValidation>
    <dataValidation type="list" showInputMessage="1" showErrorMessage="1" sqref="D5:D254">
      <formula1>ValidType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H5:H254">
      <formula1>ValidReason</formula1>
    </dataValidation>
    <dataValidation type="list" showInputMessage="1" showErrorMessage="1" sqref="F5:F254">
      <formula1>ValidCancerSite</formula1>
    </dataValidation>
    <dataValidation type="list" allowBlank="1" showInputMessage="1" showErrorMessage="1" sqref="G5:G254">
      <formula1>ValidStage</formula1>
    </dataValidation>
    <dataValidation type="list" allowBlank="1" showInputMessage="1" showErrorMessage="1" sqref="I5:K254">
      <formula1>ValidProgramme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workbookViewId="0">
      <selection activeCell="K24" sqref="K24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113</v>
      </c>
      <c r="C5" s="157" t="s">
        <v>0</v>
      </c>
      <c r="D5" s="157" t="s">
        <v>177</v>
      </c>
      <c r="E5" s="157" t="s">
        <v>4</v>
      </c>
      <c r="F5" s="157" t="s">
        <v>110</v>
      </c>
      <c r="G5" s="157" t="s">
        <v>228</v>
      </c>
      <c r="H5" s="157" t="s">
        <v>159</v>
      </c>
      <c r="I5" s="157"/>
      <c r="J5" s="157"/>
      <c r="K5" s="157"/>
    </row>
    <row r="6" spans="1:11" x14ac:dyDescent="0.2">
      <c r="A6" s="156"/>
      <c r="B6" s="158" t="s">
        <v>113</v>
      </c>
      <c r="C6" s="157" t="s">
        <v>1</v>
      </c>
      <c r="D6" s="158" t="s">
        <v>177</v>
      </c>
      <c r="E6" s="157" t="s">
        <v>3</v>
      </c>
      <c r="F6" s="158" t="s">
        <v>110</v>
      </c>
      <c r="G6" s="158" t="s">
        <v>228</v>
      </c>
      <c r="H6" s="158" t="s">
        <v>159</v>
      </c>
      <c r="I6" s="157"/>
      <c r="J6" s="157"/>
      <c r="K6" s="157"/>
    </row>
    <row r="7" spans="1:11" x14ac:dyDescent="0.2">
      <c r="A7" s="156"/>
      <c r="B7" s="158" t="s">
        <v>113</v>
      </c>
      <c r="C7" s="158" t="s">
        <v>0</v>
      </c>
      <c r="D7" s="158" t="s">
        <v>177</v>
      </c>
      <c r="E7" s="158" t="s">
        <v>3</v>
      </c>
      <c r="F7" s="157" t="s">
        <v>56</v>
      </c>
      <c r="G7" s="158" t="s">
        <v>228</v>
      </c>
      <c r="H7" s="158" t="s">
        <v>159</v>
      </c>
      <c r="I7" s="157"/>
      <c r="J7" s="157"/>
      <c r="K7" s="157"/>
    </row>
    <row r="8" spans="1:11" x14ac:dyDescent="0.2">
      <c r="A8" s="156"/>
      <c r="B8" s="158" t="s">
        <v>113</v>
      </c>
      <c r="C8" s="158" t="s">
        <v>0</v>
      </c>
      <c r="D8" s="158" t="s">
        <v>177</v>
      </c>
      <c r="E8" s="158" t="s">
        <v>4</v>
      </c>
      <c r="F8" s="158" t="s">
        <v>10</v>
      </c>
      <c r="G8" s="158" t="s">
        <v>156</v>
      </c>
      <c r="H8" s="158" t="s">
        <v>159</v>
      </c>
      <c r="I8" s="157"/>
      <c r="J8" s="157"/>
      <c r="K8" s="157"/>
    </row>
    <row r="9" spans="1:11" x14ac:dyDescent="0.2">
      <c r="A9" s="156"/>
      <c r="B9" s="158" t="s">
        <v>114</v>
      </c>
      <c r="C9" s="158" t="s">
        <v>1</v>
      </c>
      <c r="D9" s="158" t="s">
        <v>177</v>
      </c>
      <c r="E9" s="158" t="s">
        <v>4</v>
      </c>
      <c r="F9" s="157" t="s">
        <v>12</v>
      </c>
      <c r="G9" s="157" t="s">
        <v>155</v>
      </c>
      <c r="H9" s="158" t="s">
        <v>7</v>
      </c>
      <c r="I9" s="157" t="s">
        <v>251</v>
      </c>
      <c r="J9" s="157"/>
      <c r="K9" s="157"/>
    </row>
    <row r="10" spans="1:11" x14ac:dyDescent="0.2">
      <c r="A10" s="156"/>
      <c r="B10" s="158" t="s">
        <v>114</v>
      </c>
      <c r="C10" s="158" t="s">
        <v>0</v>
      </c>
      <c r="D10" s="158" t="s">
        <v>177</v>
      </c>
      <c r="E10" s="158" t="s">
        <v>4</v>
      </c>
      <c r="F10" s="158" t="s">
        <v>13</v>
      </c>
      <c r="G10" s="158" t="s">
        <v>228</v>
      </c>
      <c r="H10" s="158" t="s">
        <v>7</v>
      </c>
      <c r="I10" s="158" t="s">
        <v>251</v>
      </c>
      <c r="J10" s="157" t="s">
        <v>128</v>
      </c>
      <c r="K10" s="157"/>
    </row>
    <row r="11" spans="1:11" x14ac:dyDescent="0.2">
      <c r="A11" s="156"/>
      <c r="B11" s="158" t="s">
        <v>114</v>
      </c>
      <c r="C11" s="158" t="s">
        <v>1</v>
      </c>
      <c r="D11" s="158" t="s">
        <v>177</v>
      </c>
      <c r="E11" s="158" t="s">
        <v>3</v>
      </c>
      <c r="F11" s="158" t="s">
        <v>10</v>
      </c>
      <c r="G11" s="158" t="s">
        <v>155</v>
      </c>
      <c r="H11" s="158" t="s">
        <v>7</v>
      </c>
      <c r="I11" s="158" t="s">
        <v>251</v>
      </c>
      <c r="J11" s="157"/>
      <c r="K11" s="157"/>
    </row>
    <row r="12" spans="1:11" x14ac:dyDescent="0.2">
      <c r="A12" s="156"/>
      <c r="B12" s="158" t="s">
        <v>114</v>
      </c>
      <c r="C12" s="158" t="s">
        <v>0</v>
      </c>
      <c r="D12" s="158" t="s">
        <v>177</v>
      </c>
      <c r="E12" s="158" t="s">
        <v>4</v>
      </c>
      <c r="F12" s="158" t="s">
        <v>10</v>
      </c>
      <c r="G12" s="158" t="s">
        <v>228</v>
      </c>
      <c r="H12" s="158" t="s">
        <v>7</v>
      </c>
      <c r="I12" s="158" t="s">
        <v>251</v>
      </c>
      <c r="J12" s="157" t="s">
        <v>124</v>
      </c>
      <c r="K12" s="157" t="s">
        <v>128</v>
      </c>
    </row>
    <row r="13" spans="1:11" x14ac:dyDescent="0.2">
      <c r="A13" s="156"/>
      <c r="B13" s="158" t="s">
        <v>114</v>
      </c>
      <c r="C13" s="157" t="s">
        <v>0</v>
      </c>
      <c r="D13" s="158" t="s">
        <v>177</v>
      </c>
      <c r="E13" s="158" t="s">
        <v>4</v>
      </c>
      <c r="F13" s="157" t="s">
        <v>23</v>
      </c>
      <c r="G13" s="158" t="s">
        <v>155</v>
      </c>
      <c r="H13" s="158" t="s">
        <v>17</v>
      </c>
      <c r="I13" s="157" t="s">
        <v>130</v>
      </c>
      <c r="J13" s="157"/>
      <c r="K13" s="157"/>
    </row>
    <row r="14" spans="1:11" x14ac:dyDescent="0.2">
      <c r="A14" s="156"/>
      <c r="B14" s="158" t="s">
        <v>114</v>
      </c>
      <c r="C14" s="158" t="s">
        <v>0</v>
      </c>
      <c r="D14" s="158" t="s">
        <v>177</v>
      </c>
      <c r="E14" s="158" t="s">
        <v>4</v>
      </c>
      <c r="F14" s="157" t="s">
        <v>106</v>
      </c>
      <c r="G14" s="158" t="s">
        <v>155</v>
      </c>
      <c r="H14" s="158" t="s">
        <v>17</v>
      </c>
      <c r="I14" s="158" t="s">
        <v>130</v>
      </c>
      <c r="J14" s="158"/>
      <c r="K14" s="158"/>
    </row>
    <row r="15" spans="1:11" x14ac:dyDescent="0.2">
      <c r="A15" s="156"/>
      <c r="B15" s="158" t="s">
        <v>113</v>
      </c>
      <c r="C15" s="158" t="s">
        <v>0</v>
      </c>
      <c r="D15" s="158" t="s">
        <v>177</v>
      </c>
      <c r="E15" s="158" t="s">
        <v>3</v>
      </c>
      <c r="F15" s="158" t="s">
        <v>13</v>
      </c>
      <c r="G15" s="158" t="s">
        <v>228</v>
      </c>
      <c r="H15" s="158" t="s">
        <v>159</v>
      </c>
      <c r="I15" s="158"/>
      <c r="J15" s="158"/>
      <c r="K15" s="158"/>
    </row>
    <row r="16" spans="1:11" x14ac:dyDescent="0.2">
      <c r="A16" s="156"/>
      <c r="B16" s="158" t="s">
        <v>113</v>
      </c>
      <c r="C16" s="158" t="s">
        <v>0</v>
      </c>
      <c r="D16" s="157" t="s">
        <v>2</v>
      </c>
      <c r="E16" s="158" t="s">
        <v>3</v>
      </c>
      <c r="F16" s="158" t="s">
        <v>23</v>
      </c>
      <c r="G16" s="158" t="s">
        <v>155</v>
      </c>
      <c r="H16" s="158" t="s">
        <v>159</v>
      </c>
      <c r="I16" s="158"/>
      <c r="J16" s="158"/>
      <c r="K16" s="158"/>
    </row>
    <row r="17" spans="1:11" x14ac:dyDescent="0.2">
      <c r="A17" s="156"/>
      <c r="B17" s="158" t="s">
        <v>113</v>
      </c>
      <c r="C17" s="158" t="s">
        <v>1</v>
      </c>
      <c r="D17" s="158" t="s">
        <v>2</v>
      </c>
      <c r="E17" s="158" t="s">
        <v>4</v>
      </c>
      <c r="F17" s="158" t="s">
        <v>23</v>
      </c>
      <c r="G17" s="158" t="s">
        <v>155</v>
      </c>
      <c r="H17" s="158" t="s">
        <v>159</v>
      </c>
      <c r="I17" s="157"/>
      <c r="J17" s="157"/>
      <c r="K17" s="157"/>
    </row>
    <row r="18" spans="1:11" x14ac:dyDescent="0.2">
      <c r="A18" s="156"/>
      <c r="B18" s="158" t="s">
        <v>113</v>
      </c>
      <c r="C18" s="158" t="s">
        <v>1</v>
      </c>
      <c r="D18" s="158" t="s">
        <v>2</v>
      </c>
      <c r="E18" s="158" t="s">
        <v>4</v>
      </c>
      <c r="F18" s="157" t="s">
        <v>11</v>
      </c>
      <c r="G18" s="158" t="s">
        <v>155</v>
      </c>
      <c r="H18" s="158" t="s">
        <v>159</v>
      </c>
      <c r="I18" s="158"/>
      <c r="J18" s="158"/>
      <c r="K18" s="158"/>
    </row>
    <row r="19" spans="1:11" x14ac:dyDescent="0.2">
      <c r="A19" s="156"/>
      <c r="B19" s="158" t="s">
        <v>114</v>
      </c>
      <c r="C19" s="158" t="s">
        <v>0</v>
      </c>
      <c r="D19" s="158" t="s">
        <v>2</v>
      </c>
      <c r="E19" s="158" t="s">
        <v>4</v>
      </c>
      <c r="F19" s="157" t="s">
        <v>16</v>
      </c>
      <c r="G19" s="158" t="s">
        <v>155</v>
      </c>
      <c r="H19" s="158" t="s">
        <v>159</v>
      </c>
      <c r="I19" s="157"/>
      <c r="J19" s="157"/>
      <c r="K19" s="157"/>
    </row>
    <row r="20" spans="1:11" x14ac:dyDescent="0.2">
      <c r="A20" s="156"/>
      <c r="B20" s="158" t="s">
        <v>114</v>
      </c>
      <c r="C20" s="158" t="s">
        <v>1</v>
      </c>
      <c r="D20" s="158" t="s">
        <v>2</v>
      </c>
      <c r="E20" s="158" t="s">
        <v>4</v>
      </c>
      <c r="F20" s="158" t="s">
        <v>16</v>
      </c>
      <c r="G20" s="158" t="s">
        <v>155</v>
      </c>
      <c r="H20" s="158" t="s">
        <v>159</v>
      </c>
      <c r="I20" s="158"/>
      <c r="J20" s="158"/>
      <c r="K20" s="158"/>
    </row>
    <row r="21" spans="1:11" x14ac:dyDescent="0.2">
      <c r="A21" s="156"/>
      <c r="B21" s="158" t="s">
        <v>114</v>
      </c>
      <c r="C21" s="158" t="s">
        <v>1</v>
      </c>
      <c r="D21" s="158" t="s">
        <v>177</v>
      </c>
      <c r="E21" s="158" t="s">
        <v>4</v>
      </c>
      <c r="F21" s="158" t="s">
        <v>13</v>
      </c>
      <c r="G21" s="157" t="s">
        <v>158</v>
      </c>
      <c r="H21" s="158" t="s">
        <v>17</v>
      </c>
      <c r="I21" s="158"/>
      <c r="J21" s="158"/>
      <c r="K21" s="158"/>
    </row>
    <row r="22" spans="1:11" x14ac:dyDescent="0.2">
      <c r="A22" s="156"/>
      <c r="B22" s="158" t="s">
        <v>114</v>
      </c>
      <c r="C22" s="158" t="s">
        <v>0</v>
      </c>
      <c r="D22" s="158" t="s">
        <v>177</v>
      </c>
      <c r="E22" s="158" t="s">
        <v>3</v>
      </c>
      <c r="F22" s="158" t="s">
        <v>56</v>
      </c>
      <c r="G22" s="158" t="s">
        <v>156</v>
      </c>
      <c r="H22" s="158" t="s">
        <v>17</v>
      </c>
      <c r="I22" s="158"/>
      <c r="J22" s="158"/>
      <c r="K22" s="158"/>
    </row>
    <row r="23" spans="1:11" x14ac:dyDescent="0.2">
      <c r="A23" s="156"/>
      <c r="B23" s="158" t="s">
        <v>114</v>
      </c>
      <c r="C23" s="158" t="s">
        <v>1</v>
      </c>
      <c r="D23" s="158" t="s">
        <v>177</v>
      </c>
      <c r="E23" s="158" t="s">
        <v>3</v>
      </c>
      <c r="F23" s="158" t="s">
        <v>23</v>
      </c>
      <c r="G23" s="158" t="s">
        <v>158</v>
      </c>
      <c r="H23" s="158" t="s">
        <v>17</v>
      </c>
      <c r="I23" s="157"/>
      <c r="J23" s="157"/>
      <c r="K23" s="157"/>
    </row>
    <row r="24" spans="1:11" x14ac:dyDescent="0.2">
      <c r="A24" s="156"/>
      <c r="B24" s="157" t="s">
        <v>113</v>
      </c>
      <c r="C24" s="157" t="s">
        <v>0</v>
      </c>
      <c r="D24" s="157" t="s">
        <v>177</v>
      </c>
      <c r="E24" s="157" t="s">
        <v>4</v>
      </c>
      <c r="F24" s="157" t="s">
        <v>9</v>
      </c>
      <c r="G24" s="157" t="s">
        <v>156</v>
      </c>
      <c r="H24" s="157" t="s">
        <v>17</v>
      </c>
      <c r="I24" s="157" t="s">
        <v>130</v>
      </c>
      <c r="J24" s="158" t="s">
        <v>243</v>
      </c>
      <c r="K24" s="158" t="s">
        <v>243</v>
      </c>
    </row>
    <row r="25" spans="1:11" x14ac:dyDescent="0.2">
      <c r="A25" s="156"/>
      <c r="B25" s="158" t="s">
        <v>113</v>
      </c>
      <c r="C25" s="157" t="s">
        <v>1</v>
      </c>
      <c r="D25" s="158" t="s">
        <v>177</v>
      </c>
      <c r="E25" s="158" t="s">
        <v>4</v>
      </c>
      <c r="F25" s="157" t="s">
        <v>23</v>
      </c>
      <c r="G25" s="157" t="s">
        <v>158</v>
      </c>
      <c r="H25" s="158" t="s">
        <v>17</v>
      </c>
      <c r="I25" s="157" t="s">
        <v>132</v>
      </c>
      <c r="J25" s="157"/>
      <c r="K25" s="157"/>
    </row>
    <row r="26" spans="1:11" x14ac:dyDescent="0.2">
      <c r="A26" s="156"/>
      <c r="B26" s="158" t="s">
        <v>113</v>
      </c>
      <c r="C26" s="158" t="s">
        <v>1</v>
      </c>
      <c r="D26" s="157" t="s">
        <v>2</v>
      </c>
      <c r="E26" s="158" t="s">
        <v>4</v>
      </c>
      <c r="F26" s="158" t="s">
        <v>23</v>
      </c>
      <c r="G26" s="158" t="s">
        <v>158</v>
      </c>
      <c r="H26" s="158" t="s">
        <v>17</v>
      </c>
      <c r="I26" s="157" t="s">
        <v>132</v>
      </c>
      <c r="J26" s="157"/>
      <c r="K26" s="157"/>
    </row>
    <row r="27" spans="1:11" x14ac:dyDescent="0.2">
      <c r="A27" s="156"/>
      <c r="B27" s="158" t="s">
        <v>113</v>
      </c>
      <c r="C27" s="158" t="s">
        <v>0</v>
      </c>
      <c r="D27" s="158" t="s">
        <v>2</v>
      </c>
      <c r="E27" s="158" t="s">
        <v>4</v>
      </c>
      <c r="F27" s="158" t="s">
        <v>11</v>
      </c>
      <c r="G27" s="158" t="s">
        <v>228</v>
      </c>
      <c r="H27" s="158" t="s">
        <v>159</v>
      </c>
      <c r="I27" s="157"/>
      <c r="J27" s="157"/>
      <c r="K27" s="157"/>
    </row>
    <row r="28" spans="1:11" x14ac:dyDescent="0.2">
      <c r="A28" s="156"/>
      <c r="B28" s="158" t="s">
        <v>113</v>
      </c>
      <c r="C28" s="158" t="s">
        <v>0</v>
      </c>
      <c r="D28" s="158" t="s">
        <v>2</v>
      </c>
      <c r="E28" s="158" t="s">
        <v>4</v>
      </c>
      <c r="F28" s="158" t="s">
        <v>11</v>
      </c>
      <c r="G28" s="158" t="s">
        <v>228</v>
      </c>
      <c r="H28" s="158" t="s">
        <v>159</v>
      </c>
      <c r="I28" s="157"/>
      <c r="J28" s="157"/>
      <c r="K28" s="157"/>
    </row>
    <row r="29" spans="1:11" x14ac:dyDescent="0.2">
      <c r="A29" s="156"/>
      <c r="B29" s="158" t="s">
        <v>113</v>
      </c>
      <c r="C29" s="158" t="s">
        <v>0</v>
      </c>
      <c r="D29" s="158" t="s">
        <v>177</v>
      </c>
      <c r="E29" s="157" t="s">
        <v>3</v>
      </c>
      <c r="F29" s="158" t="s">
        <v>16</v>
      </c>
      <c r="G29" s="157" t="s">
        <v>155</v>
      </c>
      <c r="H29" s="158" t="s">
        <v>159</v>
      </c>
      <c r="I29" s="157"/>
      <c r="J29" s="157"/>
      <c r="K29" s="157"/>
    </row>
    <row r="30" spans="1:11" x14ac:dyDescent="0.2">
      <c r="A30" s="156"/>
      <c r="B30" s="158" t="s">
        <v>113</v>
      </c>
      <c r="C30" s="158" t="s">
        <v>1</v>
      </c>
      <c r="D30" s="158" t="s">
        <v>177</v>
      </c>
      <c r="E30" s="158" t="s">
        <v>3</v>
      </c>
      <c r="F30" s="158" t="s">
        <v>110</v>
      </c>
      <c r="G30" s="158" t="s">
        <v>110</v>
      </c>
      <c r="H30" s="158" t="s">
        <v>159</v>
      </c>
      <c r="I30" s="157"/>
      <c r="J30" s="157"/>
      <c r="K30" s="157"/>
    </row>
    <row r="31" spans="1:11" x14ac:dyDescent="0.2">
      <c r="A31" s="156"/>
      <c r="B31" s="158" t="s">
        <v>113</v>
      </c>
      <c r="C31" s="158" t="s">
        <v>0</v>
      </c>
      <c r="D31" s="158" t="s">
        <v>177</v>
      </c>
      <c r="E31" s="158" t="s">
        <v>4</v>
      </c>
      <c r="F31" s="157" t="s">
        <v>10</v>
      </c>
      <c r="G31" s="158" t="s">
        <v>156</v>
      </c>
      <c r="H31" s="158" t="s">
        <v>159</v>
      </c>
      <c r="I31" s="157"/>
      <c r="J31" s="157"/>
      <c r="K31" s="157"/>
    </row>
    <row r="32" spans="1:11" x14ac:dyDescent="0.2">
      <c r="A32" s="156"/>
      <c r="B32" s="158" t="s">
        <v>113</v>
      </c>
      <c r="C32" s="158" t="s">
        <v>0</v>
      </c>
      <c r="D32" s="158" t="s">
        <v>177</v>
      </c>
      <c r="E32" s="158" t="s">
        <v>4</v>
      </c>
      <c r="F32" s="157" t="s">
        <v>11</v>
      </c>
      <c r="G32" s="158" t="s">
        <v>155</v>
      </c>
      <c r="H32" s="158" t="s">
        <v>159</v>
      </c>
      <c r="I32" s="158"/>
      <c r="J32" s="157"/>
      <c r="K32" s="157"/>
    </row>
    <row r="33" spans="1:11" x14ac:dyDescent="0.2">
      <c r="A33" s="156"/>
      <c r="B33" s="158" t="s">
        <v>113</v>
      </c>
      <c r="C33" s="158" t="s">
        <v>0</v>
      </c>
      <c r="D33" s="158" t="s">
        <v>177</v>
      </c>
      <c r="E33" s="158" t="s">
        <v>3</v>
      </c>
      <c r="F33" s="157" t="s">
        <v>56</v>
      </c>
      <c r="G33" s="158" t="s">
        <v>156</v>
      </c>
      <c r="H33" s="158" t="s">
        <v>159</v>
      </c>
      <c r="I33" s="158"/>
      <c r="J33" s="157"/>
      <c r="K33" s="157"/>
    </row>
    <row r="34" spans="1:11" x14ac:dyDescent="0.2">
      <c r="A34" s="156"/>
      <c r="B34" s="158" t="s">
        <v>113</v>
      </c>
      <c r="C34" s="158" t="s">
        <v>0</v>
      </c>
      <c r="D34" s="158" t="s">
        <v>177</v>
      </c>
      <c r="E34" s="158" t="s">
        <v>4</v>
      </c>
      <c r="F34" s="158" t="s">
        <v>12</v>
      </c>
      <c r="G34" s="158" t="s">
        <v>155</v>
      </c>
      <c r="H34" s="158" t="s">
        <v>159</v>
      </c>
      <c r="I34" s="158"/>
      <c r="J34" s="157"/>
      <c r="K34" s="157"/>
    </row>
    <row r="35" spans="1:11" x14ac:dyDescent="0.2">
      <c r="A35" s="156"/>
      <c r="B35" s="158" t="s">
        <v>113</v>
      </c>
      <c r="C35" s="158" t="s">
        <v>0</v>
      </c>
      <c r="D35" s="158" t="s">
        <v>177</v>
      </c>
      <c r="E35" s="158" t="s">
        <v>4</v>
      </c>
      <c r="F35" s="158" t="s">
        <v>12</v>
      </c>
      <c r="G35" s="158" t="s">
        <v>155</v>
      </c>
      <c r="H35" s="158" t="s">
        <v>159</v>
      </c>
      <c r="I35" s="158"/>
      <c r="J35" s="157"/>
      <c r="K35" s="157"/>
    </row>
    <row r="36" spans="1:11" x14ac:dyDescent="0.2">
      <c r="A36" s="156"/>
      <c r="B36" s="158" t="s">
        <v>113</v>
      </c>
      <c r="C36" s="158" t="s">
        <v>0</v>
      </c>
      <c r="D36" s="158" t="s">
        <v>177</v>
      </c>
      <c r="E36" s="158" t="s">
        <v>4</v>
      </c>
      <c r="F36" s="158" t="s">
        <v>12</v>
      </c>
      <c r="G36" s="158" t="s">
        <v>155</v>
      </c>
      <c r="H36" s="158" t="s">
        <v>159</v>
      </c>
      <c r="I36" s="158"/>
      <c r="J36" s="157"/>
      <c r="K36" s="157"/>
    </row>
    <row r="37" spans="1:11" x14ac:dyDescent="0.2">
      <c r="A37" s="156"/>
      <c r="B37" s="158" t="s">
        <v>113</v>
      </c>
      <c r="C37" s="158" t="s">
        <v>0</v>
      </c>
      <c r="D37" s="158" t="s">
        <v>177</v>
      </c>
      <c r="E37" s="158" t="s">
        <v>4</v>
      </c>
      <c r="F37" s="158" t="s">
        <v>13</v>
      </c>
      <c r="G37" s="158" t="s">
        <v>110</v>
      </c>
      <c r="H37" s="158" t="s">
        <v>159</v>
      </c>
      <c r="I37" s="158"/>
      <c r="J37" s="157"/>
      <c r="K37" s="157"/>
    </row>
    <row r="38" spans="1:11" x14ac:dyDescent="0.2">
      <c r="A38" s="156"/>
      <c r="B38" s="158" t="s">
        <v>113</v>
      </c>
      <c r="C38" s="158" t="s">
        <v>0</v>
      </c>
      <c r="D38" s="158" t="s">
        <v>177</v>
      </c>
      <c r="E38" s="158" t="s">
        <v>4</v>
      </c>
      <c r="F38" s="158" t="s">
        <v>13</v>
      </c>
      <c r="G38" s="158" t="s">
        <v>110</v>
      </c>
      <c r="H38" s="158" t="s">
        <v>159</v>
      </c>
      <c r="I38" s="158"/>
      <c r="J38" s="157"/>
      <c r="K38" s="157"/>
    </row>
    <row r="39" spans="1:11" x14ac:dyDescent="0.2">
      <c r="A39" s="156"/>
      <c r="B39" s="158" t="s">
        <v>113</v>
      </c>
      <c r="C39" s="158" t="s">
        <v>0</v>
      </c>
      <c r="D39" s="158" t="s">
        <v>177</v>
      </c>
      <c r="E39" s="158" t="s">
        <v>4</v>
      </c>
      <c r="F39" s="157" t="s">
        <v>106</v>
      </c>
      <c r="G39" s="158" t="s">
        <v>156</v>
      </c>
      <c r="H39" s="158" t="s">
        <v>159</v>
      </c>
      <c r="I39" s="158"/>
      <c r="J39" s="157"/>
      <c r="K39" s="157"/>
    </row>
    <row r="40" spans="1:11" x14ac:dyDescent="0.2">
      <c r="A40" s="156"/>
      <c r="B40" s="158" t="s">
        <v>113</v>
      </c>
      <c r="C40" s="158" t="s">
        <v>1</v>
      </c>
      <c r="D40" s="158" t="s">
        <v>2</v>
      </c>
      <c r="E40" s="158" t="s">
        <v>4</v>
      </c>
      <c r="F40" s="158" t="s">
        <v>106</v>
      </c>
      <c r="G40" s="158" t="s">
        <v>155</v>
      </c>
      <c r="H40" s="158" t="s">
        <v>159</v>
      </c>
      <c r="I40" s="158"/>
      <c r="J40" s="157"/>
      <c r="K40" s="157"/>
    </row>
    <row r="41" spans="1:11" x14ac:dyDescent="0.2">
      <c r="A41" s="156"/>
      <c r="B41" s="158" t="s">
        <v>113</v>
      </c>
      <c r="C41" s="158" t="s">
        <v>0</v>
      </c>
      <c r="D41" s="158" t="s">
        <v>177</v>
      </c>
      <c r="E41" s="158" t="s">
        <v>4</v>
      </c>
      <c r="F41" s="158" t="s">
        <v>10</v>
      </c>
      <c r="G41" s="158" t="s">
        <v>155</v>
      </c>
      <c r="H41" s="158" t="s">
        <v>159</v>
      </c>
      <c r="I41" s="158"/>
      <c r="J41" s="157"/>
      <c r="K41" s="157"/>
    </row>
    <row r="42" spans="1:11" x14ac:dyDescent="0.2">
      <c r="A42" s="156"/>
      <c r="B42" s="158"/>
      <c r="C42" s="157"/>
      <c r="D42" s="157"/>
      <c r="E42" s="157"/>
      <c r="F42" s="157"/>
      <c r="G42" s="157"/>
      <c r="H42" s="158"/>
      <c r="I42" s="157"/>
      <c r="J42" s="157"/>
      <c r="K42" s="157"/>
    </row>
    <row r="43" spans="1:11" x14ac:dyDescent="0.2">
      <c r="A43" s="156"/>
      <c r="B43" s="157"/>
      <c r="C43" s="157"/>
      <c r="D43" s="157"/>
      <c r="E43" s="157"/>
      <c r="F43" s="157"/>
      <c r="G43" s="158"/>
      <c r="H43" s="158"/>
      <c r="I43" s="157"/>
      <c r="J43" s="157"/>
      <c r="K43" s="157"/>
    </row>
    <row r="44" spans="1:11" x14ac:dyDescent="0.2">
      <c r="A44" s="156"/>
      <c r="B44" s="157"/>
      <c r="C44" s="157"/>
      <c r="D44" s="157"/>
      <c r="E44" s="157"/>
      <c r="F44" s="157"/>
      <c r="G44" s="158"/>
      <c r="H44" s="158"/>
      <c r="I44" s="157"/>
      <c r="J44" s="157"/>
      <c r="K44" s="157"/>
    </row>
    <row r="45" spans="1:11" x14ac:dyDescent="0.2">
      <c r="A45" s="156"/>
      <c r="B45" s="158"/>
      <c r="C45" s="157"/>
      <c r="D45" s="157"/>
      <c r="E45" s="157"/>
      <c r="F45" s="157"/>
      <c r="G45" s="157"/>
      <c r="H45" s="158"/>
      <c r="I45" s="157"/>
      <c r="J45" s="157"/>
      <c r="K45" s="157"/>
    </row>
    <row r="46" spans="1:11" x14ac:dyDescent="0.2">
      <c r="A46" s="156"/>
      <c r="B46" s="158"/>
      <c r="C46" s="157"/>
      <c r="D46" s="157"/>
      <c r="E46" s="157"/>
      <c r="F46" s="157"/>
      <c r="G46" s="157"/>
      <c r="H46" s="158"/>
      <c r="I46" s="157"/>
      <c r="J46" s="157"/>
      <c r="K46" s="157"/>
    </row>
    <row r="47" spans="1:11" x14ac:dyDescent="0.2">
      <c r="A47" s="156"/>
      <c r="B47" s="157"/>
      <c r="C47" s="157"/>
      <c r="D47" s="157"/>
      <c r="E47" s="157"/>
      <c r="F47" s="157"/>
      <c r="G47" s="158"/>
      <c r="H47" s="157"/>
      <c r="I47" s="157"/>
      <c r="J47" s="157"/>
      <c r="K47" s="157"/>
    </row>
    <row r="48" spans="1:11" x14ac:dyDescent="0.2">
      <c r="A48" s="156"/>
      <c r="B48" s="158"/>
      <c r="C48" s="157"/>
      <c r="D48" s="157"/>
      <c r="E48" s="157"/>
      <c r="F48" s="157"/>
      <c r="G48" s="158"/>
      <c r="H48" s="158"/>
      <c r="I48" s="157"/>
      <c r="J48" s="157"/>
      <c r="K48" s="157"/>
    </row>
    <row r="49" spans="1:11" x14ac:dyDescent="0.2">
      <c r="A49" s="156"/>
      <c r="B49" s="157"/>
      <c r="C49" s="157"/>
      <c r="D49" s="157"/>
      <c r="E49" s="157"/>
      <c r="F49" s="157"/>
      <c r="G49" s="157"/>
      <c r="H49" s="158"/>
      <c r="I49" s="157"/>
      <c r="J49" s="157"/>
      <c r="K49" s="157"/>
    </row>
    <row r="50" spans="1:11" x14ac:dyDescent="0.2">
      <c r="A50" s="156"/>
      <c r="B50" s="157"/>
      <c r="C50" s="157"/>
      <c r="D50" s="157"/>
      <c r="E50" s="157"/>
      <c r="F50" s="157"/>
      <c r="G50" s="157"/>
      <c r="H50" s="158"/>
      <c r="I50" s="157"/>
      <c r="J50" s="157"/>
      <c r="K50" s="157"/>
    </row>
    <row r="51" spans="1:11" x14ac:dyDescent="0.2">
      <c r="A51" s="156"/>
      <c r="B51" s="158"/>
      <c r="C51" s="157"/>
      <c r="D51" s="157"/>
      <c r="E51" s="157"/>
      <c r="F51" s="157"/>
      <c r="G51" s="158"/>
      <c r="H51" s="158"/>
      <c r="I51" s="157"/>
      <c r="J51" s="157"/>
      <c r="K51" s="157"/>
    </row>
    <row r="52" spans="1:11" x14ac:dyDescent="0.2">
      <c r="A52" s="156"/>
      <c r="B52" s="158"/>
      <c r="C52" s="157"/>
      <c r="D52" s="157"/>
      <c r="E52" s="157"/>
      <c r="F52" s="157"/>
      <c r="G52" s="158"/>
      <c r="H52" s="158"/>
      <c r="I52" s="157"/>
      <c r="J52" s="157"/>
      <c r="K52" s="157"/>
    </row>
    <row r="53" spans="1:11" x14ac:dyDescent="0.2">
      <c r="A53" s="156"/>
      <c r="B53" s="157"/>
      <c r="C53" s="157"/>
      <c r="D53" s="157"/>
      <c r="E53" s="157"/>
      <c r="F53" s="158"/>
      <c r="G53" s="157"/>
      <c r="H53" s="157"/>
      <c r="I53" s="157"/>
      <c r="J53" s="157"/>
      <c r="K53" s="157"/>
    </row>
    <row r="54" spans="1:11" x14ac:dyDescent="0.2">
      <c r="A54" s="156"/>
      <c r="B54" s="158"/>
      <c r="C54" s="157"/>
      <c r="D54" s="157"/>
      <c r="E54" s="157"/>
      <c r="F54" s="157"/>
      <c r="G54" s="157"/>
      <c r="H54" s="158"/>
      <c r="I54" s="157"/>
      <c r="J54" s="157"/>
      <c r="K54" s="157"/>
    </row>
    <row r="55" spans="1:11" x14ac:dyDescent="0.2">
      <c r="A55" s="156"/>
      <c r="B55" s="157"/>
      <c r="C55" s="157"/>
      <c r="D55" s="157"/>
      <c r="E55" s="157"/>
      <c r="F55" s="158"/>
      <c r="G55" s="158"/>
      <c r="H55" s="158"/>
      <c r="I55" s="157"/>
      <c r="J55" s="157"/>
      <c r="K55" s="157"/>
    </row>
    <row r="56" spans="1:11" x14ac:dyDescent="0.2">
      <c r="A56" s="156"/>
      <c r="B56" s="157"/>
      <c r="C56" s="157"/>
      <c r="D56" s="157"/>
      <c r="E56" s="157"/>
      <c r="F56" s="158"/>
      <c r="G56" s="158"/>
      <c r="H56" s="158"/>
      <c r="I56" s="157"/>
      <c r="J56" s="157"/>
      <c r="K56" s="157"/>
    </row>
    <row r="57" spans="1:11" x14ac:dyDescent="0.2">
      <c r="A57" s="156"/>
      <c r="B57" s="158"/>
      <c r="C57" s="157"/>
      <c r="D57" s="157"/>
      <c r="E57" s="157"/>
      <c r="F57" s="157"/>
      <c r="G57" s="157"/>
      <c r="H57" s="158"/>
      <c r="I57" s="157"/>
      <c r="J57" s="157"/>
      <c r="K57" s="157"/>
    </row>
    <row r="58" spans="1:11" x14ac:dyDescent="0.2">
      <c r="A58" s="156"/>
      <c r="B58" s="158"/>
      <c r="C58" s="157"/>
      <c r="D58" s="157"/>
      <c r="E58" s="157"/>
      <c r="F58" s="157"/>
      <c r="G58" s="157"/>
      <c r="H58" s="158"/>
      <c r="I58" s="157"/>
      <c r="J58" s="157"/>
      <c r="K58" s="157"/>
    </row>
    <row r="59" spans="1:11" x14ac:dyDescent="0.2">
      <c r="A59" s="156"/>
      <c r="B59" s="157"/>
      <c r="C59" s="157"/>
      <c r="D59" s="157"/>
      <c r="E59" s="157"/>
      <c r="F59" s="157"/>
      <c r="G59" s="158"/>
      <c r="H59" s="157"/>
      <c r="I59" s="157"/>
      <c r="J59" s="157"/>
      <c r="K59" s="157"/>
    </row>
    <row r="60" spans="1:11" x14ac:dyDescent="0.2">
      <c r="A60" s="156"/>
      <c r="B60" s="158"/>
      <c r="C60" s="157"/>
      <c r="D60" s="157"/>
      <c r="E60" s="157"/>
      <c r="F60" s="157"/>
      <c r="G60" s="158"/>
      <c r="H60" s="158"/>
      <c r="I60" s="157"/>
      <c r="J60" s="157"/>
      <c r="K60" s="157"/>
    </row>
    <row r="61" spans="1:11" x14ac:dyDescent="0.2">
      <c r="A61" s="156"/>
      <c r="B61" s="157"/>
      <c r="C61" s="157"/>
      <c r="D61" s="157"/>
      <c r="E61" s="157"/>
      <c r="F61" s="157"/>
      <c r="G61" s="157"/>
      <c r="H61" s="158"/>
      <c r="I61" s="157"/>
      <c r="J61" s="157"/>
      <c r="K61" s="157"/>
    </row>
    <row r="62" spans="1:11" x14ac:dyDescent="0.2">
      <c r="A62" s="156"/>
      <c r="B62" s="157"/>
      <c r="C62" s="157"/>
      <c r="D62" s="157"/>
      <c r="E62" s="157"/>
      <c r="F62" s="157"/>
      <c r="G62" s="157"/>
      <c r="H62" s="158"/>
      <c r="I62" s="157"/>
      <c r="J62" s="157"/>
      <c r="K62" s="157"/>
    </row>
    <row r="63" spans="1:11" x14ac:dyDescent="0.2">
      <c r="A63" s="156"/>
      <c r="B63" s="158"/>
      <c r="C63" s="157"/>
      <c r="D63" s="157"/>
      <c r="E63" s="157"/>
      <c r="F63" s="157"/>
      <c r="G63" s="158"/>
      <c r="H63" s="158"/>
      <c r="I63" s="157"/>
      <c r="J63" s="157"/>
      <c r="K63" s="157"/>
    </row>
    <row r="64" spans="1:11" x14ac:dyDescent="0.2">
      <c r="A64" s="156"/>
      <c r="B64" s="158"/>
      <c r="C64" s="157"/>
      <c r="D64" s="157"/>
      <c r="E64" s="157"/>
      <c r="F64" s="157"/>
      <c r="G64" s="158"/>
      <c r="H64" s="158"/>
      <c r="I64" s="157"/>
      <c r="J64" s="157"/>
      <c r="K64" s="157"/>
    </row>
    <row r="65" spans="1:11" x14ac:dyDescent="0.2">
      <c r="A65" s="156"/>
      <c r="B65" s="157"/>
      <c r="C65" s="157"/>
      <c r="D65" s="157"/>
      <c r="E65" s="157"/>
      <c r="F65" s="157"/>
      <c r="G65" s="157"/>
      <c r="H65" s="157"/>
      <c r="I65" s="157"/>
      <c r="J65" s="157"/>
      <c r="K65" s="157"/>
    </row>
    <row r="66" spans="1:11" x14ac:dyDescent="0.2">
      <c r="A66" s="156"/>
      <c r="B66" s="158"/>
      <c r="C66" s="157"/>
      <c r="D66" s="157"/>
      <c r="E66" s="157"/>
      <c r="F66" s="157"/>
      <c r="G66" s="157"/>
      <c r="H66" s="158"/>
      <c r="I66" s="157"/>
      <c r="J66" s="157"/>
      <c r="K66" s="157"/>
    </row>
    <row r="67" spans="1:11" x14ac:dyDescent="0.2">
      <c r="A67" s="156"/>
      <c r="B67" s="157"/>
      <c r="C67" s="157"/>
      <c r="D67" s="157"/>
      <c r="E67" s="157"/>
      <c r="F67" s="157"/>
      <c r="G67" s="158"/>
      <c r="H67" s="158"/>
      <c r="I67" s="157"/>
      <c r="J67" s="157"/>
      <c r="K67" s="157"/>
    </row>
    <row r="68" spans="1:11" x14ac:dyDescent="0.2">
      <c r="A68" s="156"/>
      <c r="B68" s="157"/>
      <c r="C68" s="157"/>
      <c r="D68" s="157"/>
      <c r="E68" s="158"/>
      <c r="F68" s="158"/>
      <c r="G68" s="158"/>
      <c r="H68" s="158"/>
      <c r="I68" s="157"/>
      <c r="J68" s="157"/>
      <c r="K68" s="157"/>
    </row>
    <row r="69" spans="1:11" x14ac:dyDescent="0.2">
      <c r="A69" s="156"/>
      <c r="B69" s="158"/>
      <c r="C69" s="157"/>
      <c r="D69" s="157"/>
      <c r="E69" s="158"/>
      <c r="F69" s="157"/>
      <c r="G69" s="157"/>
      <c r="H69" s="158"/>
      <c r="I69" s="157"/>
      <c r="J69" s="157"/>
      <c r="K69" s="157"/>
    </row>
    <row r="70" spans="1:11" x14ac:dyDescent="0.2">
      <c r="A70" s="156"/>
      <c r="B70" s="158"/>
      <c r="C70" s="157"/>
      <c r="D70" s="157"/>
      <c r="E70" s="158"/>
      <c r="F70" s="158"/>
      <c r="G70" s="157"/>
      <c r="H70" s="158"/>
      <c r="I70" s="157"/>
      <c r="J70" s="157"/>
      <c r="K70" s="157"/>
    </row>
    <row r="71" spans="1:11" x14ac:dyDescent="0.2">
      <c r="A71" s="156"/>
      <c r="B71" s="157"/>
      <c r="C71" s="157"/>
      <c r="D71" s="157"/>
      <c r="E71" s="158"/>
      <c r="F71" s="158"/>
      <c r="G71" s="158"/>
      <c r="H71" s="157"/>
      <c r="I71" s="157"/>
      <c r="J71" s="157"/>
      <c r="K71" s="157"/>
    </row>
    <row r="72" spans="1:11" x14ac:dyDescent="0.2">
      <c r="A72" s="156"/>
      <c r="B72" s="158"/>
      <c r="C72" s="157"/>
      <c r="D72" s="157"/>
      <c r="E72" s="158"/>
      <c r="F72" s="157"/>
      <c r="G72" s="158"/>
      <c r="H72" s="158"/>
      <c r="I72" s="157"/>
      <c r="J72" s="157"/>
      <c r="K72" s="157"/>
    </row>
    <row r="73" spans="1:11" x14ac:dyDescent="0.2">
      <c r="A73" s="156"/>
      <c r="B73" s="157"/>
      <c r="C73" s="157"/>
      <c r="D73" s="157"/>
      <c r="E73" s="158"/>
      <c r="F73" s="157"/>
      <c r="G73" s="157"/>
      <c r="H73" s="158"/>
      <c r="I73" s="157"/>
      <c r="J73" s="157"/>
      <c r="K73" s="157"/>
    </row>
    <row r="74" spans="1:11" x14ac:dyDescent="0.2">
      <c r="A74" s="156"/>
      <c r="B74" s="157"/>
      <c r="C74" s="157"/>
      <c r="D74" s="157"/>
      <c r="E74" s="158"/>
      <c r="F74" s="157"/>
      <c r="G74" s="157"/>
      <c r="H74" s="158"/>
      <c r="I74" s="157"/>
      <c r="J74" s="157"/>
      <c r="K74" s="157"/>
    </row>
    <row r="75" spans="1:11" x14ac:dyDescent="0.2">
      <c r="A75" s="156"/>
      <c r="B75" s="158"/>
      <c r="C75" s="157"/>
      <c r="D75" s="157"/>
      <c r="E75" s="158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B3:B4"/>
    <mergeCell ref="C3:C4"/>
    <mergeCell ref="D3:D4"/>
    <mergeCell ref="E3:E4"/>
    <mergeCell ref="F3:F4"/>
    <mergeCell ref="G3:G4"/>
  </mergeCells>
  <dataValidations count="8">
    <dataValidation type="list" showInputMessage="1" showErrorMessage="1" sqref="C5:C254">
      <formula1>ValidPerson</formula1>
    </dataValidation>
    <dataValidation type="list" showInputMessage="1" showErrorMessage="1" sqref="D5:D254">
      <formula1>ValidType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H5:H254">
      <formula1>ValidReason</formula1>
    </dataValidation>
    <dataValidation type="list" showInputMessage="1" showErrorMessage="1" sqref="F5:F254">
      <formula1>ValidCancerSite</formula1>
    </dataValidation>
    <dataValidation type="list" allowBlank="1" showInputMessage="1" showErrorMessage="1" sqref="G5:G254">
      <formula1>ValidStage</formula1>
    </dataValidation>
    <dataValidation type="list" allowBlank="1" showInputMessage="1" showErrorMessage="1" sqref="I5:K254">
      <formula1>ValidProgramme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K255"/>
  <sheetViews>
    <sheetView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/>
      <c r="C5" s="157"/>
      <c r="D5" s="157"/>
      <c r="E5" s="157"/>
      <c r="F5" s="157"/>
      <c r="G5" s="157"/>
      <c r="H5" s="157"/>
      <c r="I5" s="157"/>
      <c r="J5" s="157"/>
      <c r="K5" s="157"/>
    </row>
    <row r="6" spans="1:11" x14ac:dyDescent="0.2">
      <c r="A6" s="156"/>
      <c r="B6" s="158"/>
      <c r="C6" s="157"/>
      <c r="D6" s="157"/>
      <c r="E6" s="157"/>
      <c r="F6" s="157"/>
      <c r="G6" s="157"/>
      <c r="H6" s="158"/>
      <c r="I6" s="157"/>
      <c r="J6" s="157"/>
      <c r="K6" s="157"/>
    </row>
    <row r="7" spans="1:11" x14ac:dyDescent="0.2">
      <c r="A7" s="156"/>
      <c r="B7" s="157"/>
      <c r="C7" s="157"/>
      <c r="D7" s="157"/>
      <c r="E7" s="157"/>
      <c r="F7" s="157"/>
      <c r="G7" s="158"/>
      <c r="H7" s="158"/>
      <c r="I7" s="157"/>
      <c r="J7" s="157"/>
      <c r="K7" s="157"/>
    </row>
    <row r="8" spans="1:11" x14ac:dyDescent="0.2">
      <c r="A8" s="156"/>
      <c r="B8" s="157"/>
      <c r="C8" s="157"/>
      <c r="D8" s="157"/>
      <c r="E8" s="157"/>
      <c r="F8" s="158"/>
      <c r="G8" s="158"/>
      <c r="H8" s="158"/>
      <c r="I8" s="157"/>
      <c r="J8" s="157"/>
      <c r="K8" s="157"/>
    </row>
    <row r="9" spans="1:11" x14ac:dyDescent="0.2">
      <c r="A9" s="156"/>
      <c r="B9" s="158"/>
      <c r="C9" s="157"/>
      <c r="D9" s="157"/>
      <c r="E9" s="157"/>
      <c r="F9" s="157"/>
      <c r="G9" s="157"/>
      <c r="H9" s="158"/>
      <c r="I9" s="157"/>
      <c r="J9" s="157"/>
      <c r="K9" s="157"/>
    </row>
    <row r="10" spans="1:11" x14ac:dyDescent="0.2">
      <c r="A10" s="156"/>
      <c r="B10" s="158"/>
      <c r="C10" s="157"/>
      <c r="D10" s="157"/>
      <c r="E10" s="157"/>
      <c r="F10" s="158"/>
      <c r="G10" s="157"/>
      <c r="H10" s="158"/>
      <c r="I10" s="157"/>
      <c r="J10" s="157"/>
      <c r="K10" s="157"/>
    </row>
    <row r="11" spans="1:11" x14ac:dyDescent="0.2">
      <c r="A11" s="156"/>
      <c r="B11" s="157"/>
      <c r="C11" s="157"/>
      <c r="D11" s="157"/>
      <c r="E11" s="157"/>
      <c r="F11" s="158"/>
      <c r="G11" s="158"/>
      <c r="H11" s="157"/>
      <c r="I11" s="157"/>
      <c r="J11" s="157"/>
      <c r="K11" s="157"/>
    </row>
    <row r="12" spans="1:11" x14ac:dyDescent="0.2">
      <c r="A12" s="156"/>
      <c r="B12" s="158"/>
      <c r="C12" s="157"/>
      <c r="D12" s="157"/>
      <c r="E12" s="157"/>
      <c r="F12" s="157"/>
      <c r="G12" s="158"/>
      <c r="H12" s="158"/>
      <c r="I12" s="157"/>
      <c r="J12" s="157"/>
      <c r="K12" s="157"/>
    </row>
    <row r="13" spans="1:11" x14ac:dyDescent="0.2">
      <c r="A13" s="156"/>
      <c r="B13" s="157"/>
      <c r="C13" s="157"/>
      <c r="D13" s="157"/>
      <c r="E13" s="157"/>
      <c r="F13" s="157"/>
      <c r="G13" s="157"/>
      <c r="H13" s="158"/>
      <c r="I13" s="157"/>
      <c r="J13" s="157"/>
      <c r="K13" s="157"/>
    </row>
    <row r="14" spans="1:11" x14ac:dyDescent="0.2">
      <c r="A14" s="156"/>
      <c r="B14" s="157"/>
      <c r="C14" s="157"/>
      <c r="D14" s="157"/>
      <c r="E14" s="157"/>
      <c r="F14" s="157"/>
      <c r="G14" s="157"/>
      <c r="H14" s="158"/>
      <c r="I14" s="158"/>
      <c r="J14" s="158"/>
      <c r="K14" s="158"/>
    </row>
    <row r="15" spans="1:11" x14ac:dyDescent="0.2">
      <c r="A15" s="156"/>
      <c r="B15" s="158"/>
      <c r="C15" s="157"/>
      <c r="D15" s="157"/>
      <c r="E15" s="157"/>
      <c r="F15" s="157"/>
      <c r="G15" s="158"/>
      <c r="H15" s="158"/>
      <c r="I15" s="158"/>
      <c r="J15" s="158"/>
      <c r="K15" s="158"/>
    </row>
    <row r="16" spans="1:11" x14ac:dyDescent="0.2">
      <c r="A16" s="156"/>
      <c r="B16" s="158"/>
      <c r="C16" s="157"/>
      <c r="D16" s="157"/>
      <c r="E16" s="157"/>
      <c r="F16" s="157"/>
      <c r="G16" s="158"/>
      <c r="H16" s="158"/>
      <c r="I16" s="158"/>
      <c r="J16" s="158"/>
      <c r="K16" s="158"/>
    </row>
    <row r="17" spans="1:11" x14ac:dyDescent="0.2">
      <c r="A17" s="156"/>
      <c r="B17" s="157"/>
      <c r="C17" s="157"/>
      <c r="D17" s="157"/>
      <c r="E17" s="157"/>
      <c r="F17" s="157"/>
      <c r="G17" s="157"/>
      <c r="H17" s="157"/>
      <c r="I17" s="157"/>
      <c r="J17" s="157"/>
      <c r="K17" s="157"/>
    </row>
    <row r="18" spans="1:11" x14ac:dyDescent="0.2">
      <c r="A18" s="156"/>
      <c r="B18" s="158"/>
      <c r="C18" s="157"/>
      <c r="D18" s="157"/>
      <c r="E18" s="157"/>
      <c r="F18" s="157"/>
      <c r="G18" s="157"/>
      <c r="H18" s="158"/>
      <c r="I18" s="158"/>
      <c r="J18" s="158"/>
      <c r="K18" s="158"/>
    </row>
    <row r="19" spans="1:11" x14ac:dyDescent="0.2">
      <c r="A19" s="156"/>
      <c r="B19" s="157"/>
      <c r="C19" s="157"/>
      <c r="D19" s="157"/>
      <c r="E19" s="157"/>
      <c r="F19" s="157"/>
      <c r="G19" s="158"/>
      <c r="H19" s="158"/>
      <c r="I19" s="157"/>
      <c r="J19" s="157"/>
      <c r="K19" s="157"/>
    </row>
    <row r="20" spans="1:11" x14ac:dyDescent="0.2">
      <c r="A20" s="156"/>
      <c r="B20" s="157"/>
      <c r="C20" s="157"/>
      <c r="D20" s="157"/>
      <c r="E20" s="157"/>
      <c r="F20" s="157"/>
      <c r="G20" s="158"/>
      <c r="H20" s="158"/>
      <c r="I20" s="158"/>
      <c r="J20" s="158"/>
      <c r="K20" s="158"/>
    </row>
    <row r="21" spans="1:11" x14ac:dyDescent="0.2">
      <c r="A21" s="156"/>
      <c r="B21" s="158"/>
      <c r="C21" s="157"/>
      <c r="D21" s="157"/>
      <c r="E21" s="157"/>
      <c r="F21" s="157"/>
      <c r="G21" s="157"/>
      <c r="H21" s="158"/>
      <c r="I21" s="158"/>
      <c r="J21" s="158"/>
      <c r="K21" s="158"/>
    </row>
    <row r="22" spans="1:11" x14ac:dyDescent="0.2">
      <c r="A22" s="156"/>
      <c r="B22" s="158"/>
      <c r="C22" s="157"/>
      <c r="D22" s="157"/>
      <c r="E22" s="157"/>
      <c r="F22" s="157"/>
      <c r="G22" s="157"/>
      <c r="H22" s="158"/>
      <c r="I22" s="158"/>
      <c r="J22" s="158"/>
      <c r="K22" s="158"/>
    </row>
    <row r="23" spans="1:11" x14ac:dyDescent="0.2">
      <c r="A23" s="156"/>
      <c r="B23" s="157"/>
      <c r="C23" s="157"/>
      <c r="D23" s="157"/>
      <c r="E23" s="157"/>
      <c r="F23" s="158"/>
      <c r="G23" s="158"/>
      <c r="H23" s="157"/>
      <c r="I23" s="157"/>
      <c r="J23" s="157"/>
      <c r="K23" s="157"/>
    </row>
    <row r="24" spans="1:11" x14ac:dyDescent="0.2">
      <c r="A24" s="156"/>
      <c r="B24" s="158"/>
      <c r="C24" s="157"/>
      <c r="D24" s="157"/>
      <c r="E24" s="157"/>
      <c r="F24" s="157"/>
      <c r="G24" s="158"/>
      <c r="H24" s="158"/>
      <c r="I24" s="158"/>
      <c r="J24" s="158"/>
      <c r="K24" s="158"/>
    </row>
    <row r="25" spans="1:11" x14ac:dyDescent="0.2">
      <c r="A25" s="156"/>
      <c r="B25" s="157"/>
      <c r="C25" s="157"/>
      <c r="D25" s="157"/>
      <c r="E25" s="157"/>
      <c r="F25" s="158"/>
      <c r="G25" s="157"/>
      <c r="H25" s="158"/>
      <c r="I25" s="157"/>
      <c r="J25" s="157"/>
      <c r="K25" s="157"/>
    </row>
    <row r="26" spans="1:11" x14ac:dyDescent="0.2">
      <c r="A26" s="156"/>
      <c r="B26" s="157"/>
      <c r="C26" s="157"/>
      <c r="D26" s="157"/>
      <c r="E26" s="157"/>
      <c r="F26" s="158"/>
      <c r="G26" s="157"/>
      <c r="H26" s="158"/>
      <c r="I26" s="157"/>
      <c r="J26" s="157"/>
      <c r="K26" s="157"/>
    </row>
    <row r="27" spans="1:11" x14ac:dyDescent="0.2">
      <c r="A27" s="156"/>
      <c r="B27" s="158"/>
      <c r="C27" s="157"/>
      <c r="D27" s="157"/>
      <c r="E27" s="157"/>
      <c r="F27" s="157"/>
      <c r="G27" s="158"/>
      <c r="H27" s="158"/>
      <c r="I27" s="157"/>
      <c r="J27" s="157"/>
      <c r="K27" s="157"/>
    </row>
    <row r="28" spans="1:11" x14ac:dyDescent="0.2">
      <c r="A28" s="156"/>
      <c r="B28" s="158"/>
      <c r="C28" s="157"/>
      <c r="D28" s="157"/>
      <c r="E28" s="157"/>
      <c r="F28" s="157"/>
      <c r="G28" s="158"/>
      <c r="H28" s="158"/>
      <c r="I28" s="157"/>
      <c r="J28" s="157"/>
      <c r="K28" s="157"/>
    </row>
    <row r="29" spans="1:11" x14ac:dyDescent="0.2">
      <c r="A29" s="156"/>
      <c r="B29" s="157"/>
      <c r="C29" s="157"/>
      <c r="D29" s="157"/>
      <c r="E29" s="157"/>
      <c r="F29" s="157"/>
      <c r="G29" s="157"/>
      <c r="H29" s="157"/>
      <c r="I29" s="157"/>
      <c r="J29" s="157"/>
      <c r="K29" s="157"/>
    </row>
    <row r="30" spans="1:11" x14ac:dyDescent="0.2">
      <c r="A30" s="156"/>
      <c r="B30" s="158"/>
      <c r="C30" s="157"/>
      <c r="D30" s="157"/>
      <c r="E30" s="157"/>
      <c r="F30" s="157"/>
      <c r="G30" s="157"/>
      <c r="H30" s="158"/>
      <c r="I30" s="157"/>
      <c r="J30" s="157"/>
      <c r="K30" s="157"/>
    </row>
    <row r="31" spans="1:11" x14ac:dyDescent="0.2">
      <c r="A31" s="156"/>
      <c r="B31" s="157"/>
      <c r="C31" s="157"/>
      <c r="D31" s="157"/>
      <c r="E31" s="157"/>
      <c r="F31" s="157"/>
      <c r="G31" s="158"/>
      <c r="H31" s="158"/>
      <c r="I31" s="157"/>
      <c r="J31" s="157"/>
      <c r="K31" s="157"/>
    </row>
    <row r="32" spans="1:11" x14ac:dyDescent="0.2">
      <c r="A32" s="156"/>
      <c r="B32" s="157"/>
      <c r="C32" s="157"/>
      <c r="D32" s="157"/>
      <c r="E32" s="157"/>
      <c r="F32" s="157"/>
      <c r="G32" s="158"/>
      <c r="H32" s="158"/>
      <c r="I32" s="157"/>
      <c r="J32" s="157"/>
      <c r="K32" s="157"/>
    </row>
    <row r="33" spans="1:11" x14ac:dyDescent="0.2">
      <c r="A33" s="156"/>
      <c r="B33" s="158"/>
      <c r="C33" s="157"/>
      <c r="D33" s="157"/>
      <c r="E33" s="157"/>
      <c r="F33" s="157"/>
      <c r="G33" s="157"/>
      <c r="H33" s="158"/>
      <c r="I33" s="157"/>
      <c r="J33" s="157"/>
      <c r="K33" s="157"/>
    </row>
    <row r="34" spans="1:11" x14ac:dyDescent="0.2">
      <c r="A34" s="156"/>
      <c r="B34" s="158"/>
      <c r="C34" s="157"/>
      <c r="D34" s="157"/>
      <c r="E34" s="157"/>
      <c r="F34" s="157"/>
      <c r="G34" s="157"/>
      <c r="H34" s="158"/>
      <c r="I34" s="157"/>
      <c r="J34" s="157"/>
      <c r="K34" s="157"/>
    </row>
    <row r="35" spans="1:11" x14ac:dyDescent="0.2">
      <c r="A35" s="156"/>
      <c r="B35" s="157"/>
      <c r="C35" s="157"/>
      <c r="D35" s="157"/>
      <c r="E35" s="157"/>
      <c r="F35" s="157"/>
      <c r="G35" s="158"/>
      <c r="H35" s="157"/>
      <c r="I35" s="157"/>
      <c r="J35" s="157"/>
      <c r="K35" s="157"/>
    </row>
    <row r="36" spans="1:11" x14ac:dyDescent="0.2">
      <c r="A36" s="156"/>
      <c r="B36" s="158"/>
      <c r="C36" s="157"/>
      <c r="D36" s="157"/>
      <c r="E36" s="157"/>
      <c r="F36" s="157"/>
      <c r="G36" s="158"/>
      <c r="H36" s="158"/>
      <c r="I36" s="157"/>
      <c r="J36" s="157"/>
      <c r="K36" s="157"/>
    </row>
    <row r="37" spans="1:11" x14ac:dyDescent="0.2">
      <c r="A37" s="156"/>
      <c r="B37" s="157"/>
      <c r="C37" s="157"/>
      <c r="D37" s="157"/>
      <c r="E37" s="157"/>
      <c r="F37" s="157"/>
      <c r="G37" s="157"/>
      <c r="H37" s="158"/>
      <c r="I37" s="157"/>
      <c r="J37" s="157"/>
      <c r="K37" s="157"/>
    </row>
    <row r="38" spans="1:11" x14ac:dyDescent="0.2">
      <c r="A38" s="156"/>
      <c r="B38" s="157"/>
      <c r="C38" s="157"/>
      <c r="D38" s="157"/>
      <c r="E38" s="157"/>
      <c r="F38" s="158"/>
      <c r="G38" s="157"/>
      <c r="H38" s="158"/>
      <c r="I38" s="157"/>
      <c r="J38" s="157"/>
      <c r="K38" s="157"/>
    </row>
    <row r="39" spans="1:11" x14ac:dyDescent="0.2">
      <c r="A39" s="156"/>
      <c r="B39" s="158"/>
      <c r="C39" s="157"/>
      <c r="D39" s="157"/>
      <c r="E39" s="157"/>
      <c r="F39" s="157"/>
      <c r="G39" s="158"/>
      <c r="H39" s="158"/>
      <c r="I39" s="157"/>
      <c r="J39" s="157"/>
      <c r="K39" s="157"/>
    </row>
    <row r="40" spans="1:11" x14ac:dyDescent="0.2">
      <c r="A40" s="156"/>
      <c r="B40" s="158"/>
      <c r="C40" s="157"/>
      <c r="D40" s="157"/>
      <c r="E40" s="157"/>
      <c r="F40" s="158"/>
      <c r="G40" s="158"/>
      <c r="H40" s="158"/>
      <c r="I40" s="157"/>
      <c r="J40" s="157"/>
      <c r="K40" s="157"/>
    </row>
    <row r="41" spans="1:11" x14ac:dyDescent="0.2">
      <c r="A41" s="156"/>
      <c r="B41" s="157"/>
      <c r="C41" s="157"/>
      <c r="D41" s="157"/>
      <c r="E41" s="157"/>
      <c r="F41" s="158"/>
      <c r="G41" s="157"/>
      <c r="H41" s="157"/>
      <c r="I41" s="157"/>
      <c r="J41" s="157"/>
      <c r="K41" s="157"/>
    </row>
    <row r="42" spans="1:11" x14ac:dyDescent="0.2">
      <c r="A42" s="156"/>
      <c r="B42" s="158"/>
      <c r="C42" s="157"/>
      <c r="D42" s="157"/>
      <c r="E42" s="157"/>
      <c r="F42" s="157"/>
      <c r="G42" s="157"/>
      <c r="H42" s="158"/>
      <c r="I42" s="157"/>
      <c r="J42" s="157"/>
      <c r="K42" s="157"/>
    </row>
    <row r="43" spans="1:11" x14ac:dyDescent="0.2">
      <c r="A43" s="156"/>
      <c r="B43" s="157"/>
      <c r="C43" s="157"/>
      <c r="D43" s="157"/>
      <c r="E43" s="157"/>
      <c r="F43" s="157"/>
      <c r="G43" s="158"/>
      <c r="H43" s="158"/>
      <c r="I43" s="157"/>
      <c r="J43" s="157"/>
      <c r="K43" s="157"/>
    </row>
    <row r="44" spans="1:11" x14ac:dyDescent="0.2">
      <c r="A44" s="156"/>
      <c r="B44" s="157"/>
      <c r="C44" s="157"/>
      <c r="D44" s="157"/>
      <c r="E44" s="157"/>
      <c r="F44" s="157"/>
      <c r="G44" s="158"/>
      <c r="H44" s="158"/>
      <c r="I44" s="157"/>
      <c r="J44" s="157"/>
      <c r="K44" s="157"/>
    </row>
    <row r="45" spans="1:11" x14ac:dyDescent="0.2">
      <c r="A45" s="156"/>
      <c r="B45" s="158"/>
      <c r="C45" s="157"/>
      <c r="D45" s="157"/>
      <c r="E45" s="157"/>
      <c r="F45" s="157"/>
      <c r="G45" s="157"/>
      <c r="H45" s="158"/>
      <c r="I45" s="157"/>
      <c r="J45" s="157"/>
      <c r="K45" s="157"/>
    </row>
    <row r="46" spans="1:11" x14ac:dyDescent="0.2">
      <c r="A46" s="156"/>
      <c r="B46" s="158"/>
      <c r="C46" s="157"/>
      <c r="D46" s="157"/>
      <c r="E46" s="157"/>
      <c r="F46" s="157"/>
      <c r="G46" s="157"/>
      <c r="H46" s="158"/>
      <c r="I46" s="157"/>
      <c r="J46" s="157"/>
      <c r="K46" s="157"/>
    </row>
    <row r="47" spans="1:11" x14ac:dyDescent="0.2">
      <c r="A47" s="156"/>
      <c r="B47" s="157"/>
      <c r="C47" s="157"/>
      <c r="D47" s="157"/>
      <c r="E47" s="157"/>
      <c r="F47" s="157"/>
      <c r="G47" s="158"/>
      <c r="H47" s="157"/>
      <c r="I47" s="157"/>
      <c r="J47" s="157"/>
      <c r="K47" s="157"/>
    </row>
    <row r="48" spans="1:11" x14ac:dyDescent="0.2">
      <c r="A48" s="156"/>
      <c r="B48" s="158"/>
      <c r="C48" s="157"/>
      <c r="D48" s="157"/>
      <c r="E48" s="157"/>
      <c r="F48" s="157"/>
      <c r="G48" s="158"/>
      <c r="H48" s="158"/>
      <c r="I48" s="157"/>
      <c r="J48" s="157"/>
      <c r="K48" s="157"/>
    </row>
    <row r="49" spans="1:11" x14ac:dyDescent="0.2">
      <c r="A49" s="156"/>
      <c r="B49" s="157"/>
      <c r="C49" s="157"/>
      <c r="D49" s="157"/>
      <c r="E49" s="157"/>
      <c r="F49" s="157"/>
      <c r="G49" s="157"/>
      <c r="H49" s="158"/>
      <c r="I49" s="157"/>
      <c r="J49" s="157"/>
      <c r="K49" s="157"/>
    </row>
    <row r="50" spans="1:11" x14ac:dyDescent="0.2">
      <c r="A50" s="156"/>
      <c r="B50" s="157"/>
      <c r="C50" s="157"/>
      <c r="D50" s="157"/>
      <c r="E50" s="157"/>
      <c r="F50" s="157"/>
      <c r="G50" s="157"/>
      <c r="H50" s="158"/>
      <c r="I50" s="157"/>
      <c r="J50" s="157"/>
      <c r="K50" s="157"/>
    </row>
    <row r="51" spans="1:11" x14ac:dyDescent="0.2">
      <c r="A51" s="156"/>
      <c r="B51" s="158"/>
      <c r="C51" s="157"/>
      <c r="D51" s="157"/>
      <c r="E51" s="157"/>
      <c r="F51" s="157"/>
      <c r="G51" s="158"/>
      <c r="H51" s="158"/>
      <c r="I51" s="157"/>
      <c r="J51" s="157"/>
      <c r="K51" s="157"/>
    </row>
    <row r="52" spans="1:11" x14ac:dyDescent="0.2">
      <c r="A52" s="156"/>
      <c r="B52" s="158"/>
      <c r="C52" s="157"/>
      <c r="D52" s="157"/>
      <c r="E52" s="157"/>
      <c r="F52" s="157"/>
      <c r="G52" s="158"/>
      <c r="H52" s="158"/>
      <c r="I52" s="157"/>
      <c r="J52" s="157"/>
      <c r="K52" s="157"/>
    </row>
    <row r="53" spans="1:11" x14ac:dyDescent="0.2">
      <c r="A53" s="156"/>
      <c r="B53" s="157"/>
      <c r="C53" s="157"/>
      <c r="D53" s="157"/>
      <c r="E53" s="157"/>
      <c r="F53" s="158"/>
      <c r="G53" s="157"/>
      <c r="H53" s="157"/>
      <c r="I53" s="157"/>
      <c r="J53" s="157"/>
      <c r="K53" s="157"/>
    </row>
    <row r="54" spans="1:11" x14ac:dyDescent="0.2">
      <c r="A54" s="156"/>
      <c r="B54" s="158"/>
      <c r="C54" s="157"/>
      <c r="D54" s="157"/>
      <c r="E54" s="157"/>
      <c r="F54" s="157"/>
      <c r="G54" s="157"/>
      <c r="H54" s="158"/>
      <c r="I54" s="157"/>
      <c r="J54" s="157"/>
      <c r="K54" s="157"/>
    </row>
    <row r="55" spans="1:11" x14ac:dyDescent="0.2">
      <c r="A55" s="156"/>
      <c r="B55" s="157"/>
      <c r="C55" s="157"/>
      <c r="D55" s="157"/>
      <c r="E55" s="157"/>
      <c r="F55" s="158"/>
      <c r="G55" s="158"/>
      <c r="H55" s="158"/>
      <c r="I55" s="157"/>
      <c r="J55" s="157"/>
      <c r="K55" s="157"/>
    </row>
    <row r="56" spans="1:11" x14ac:dyDescent="0.2">
      <c r="A56" s="156"/>
      <c r="B56" s="157"/>
      <c r="C56" s="157"/>
      <c r="D56" s="157"/>
      <c r="E56" s="157"/>
      <c r="F56" s="158"/>
      <c r="G56" s="158"/>
      <c r="H56" s="158"/>
      <c r="I56" s="157"/>
      <c r="J56" s="157"/>
      <c r="K56" s="157"/>
    </row>
    <row r="57" spans="1:11" x14ac:dyDescent="0.2">
      <c r="A57" s="156"/>
      <c r="B57" s="158"/>
      <c r="C57" s="157"/>
      <c r="D57" s="157"/>
      <c r="E57" s="157"/>
      <c r="F57" s="157"/>
      <c r="G57" s="157"/>
      <c r="H57" s="158"/>
      <c r="I57" s="157"/>
      <c r="J57" s="157"/>
      <c r="K57" s="157"/>
    </row>
    <row r="58" spans="1:11" x14ac:dyDescent="0.2">
      <c r="A58" s="156"/>
      <c r="B58" s="158"/>
      <c r="C58" s="157"/>
      <c r="D58" s="157"/>
      <c r="E58" s="157"/>
      <c r="F58" s="157"/>
      <c r="G58" s="157"/>
      <c r="H58" s="158"/>
      <c r="I58" s="157"/>
      <c r="J58" s="157"/>
      <c r="K58" s="157"/>
    </row>
    <row r="59" spans="1:11" x14ac:dyDescent="0.2">
      <c r="A59" s="156"/>
      <c r="B59" s="157"/>
      <c r="C59" s="157"/>
      <c r="D59" s="157"/>
      <c r="E59" s="157"/>
      <c r="F59" s="157"/>
      <c r="G59" s="158"/>
      <c r="H59" s="157"/>
      <c r="I59" s="157"/>
      <c r="J59" s="157"/>
      <c r="K59" s="157"/>
    </row>
    <row r="60" spans="1:11" x14ac:dyDescent="0.2">
      <c r="A60" s="156"/>
      <c r="B60" s="158"/>
      <c r="C60" s="157"/>
      <c r="D60" s="157"/>
      <c r="E60" s="157"/>
      <c r="F60" s="157"/>
      <c r="G60" s="158"/>
      <c r="H60" s="158"/>
      <c r="I60" s="157"/>
      <c r="J60" s="157"/>
      <c r="K60" s="157"/>
    </row>
    <row r="61" spans="1:11" x14ac:dyDescent="0.2">
      <c r="A61" s="156"/>
      <c r="B61" s="157"/>
      <c r="C61" s="157"/>
      <c r="D61" s="157"/>
      <c r="E61" s="157"/>
      <c r="F61" s="157"/>
      <c r="G61" s="157"/>
      <c r="H61" s="158"/>
      <c r="I61" s="157"/>
      <c r="J61" s="157"/>
      <c r="K61" s="157"/>
    </row>
    <row r="62" spans="1:11" x14ac:dyDescent="0.2">
      <c r="A62" s="156"/>
      <c r="B62" s="157"/>
      <c r="C62" s="157"/>
      <c r="D62" s="157"/>
      <c r="E62" s="157"/>
      <c r="F62" s="157"/>
      <c r="G62" s="157"/>
      <c r="H62" s="158"/>
      <c r="I62" s="157"/>
      <c r="J62" s="157"/>
      <c r="K62" s="157"/>
    </row>
    <row r="63" spans="1:11" x14ac:dyDescent="0.2">
      <c r="A63" s="156"/>
      <c r="B63" s="158"/>
      <c r="C63" s="157"/>
      <c r="D63" s="157"/>
      <c r="E63" s="157"/>
      <c r="F63" s="157"/>
      <c r="G63" s="158"/>
      <c r="H63" s="158"/>
      <c r="I63" s="157"/>
      <c r="J63" s="157"/>
      <c r="K63" s="157"/>
    </row>
    <row r="64" spans="1:11" x14ac:dyDescent="0.2">
      <c r="A64" s="156"/>
      <c r="B64" s="158"/>
      <c r="C64" s="157"/>
      <c r="D64" s="157"/>
      <c r="E64" s="157"/>
      <c r="F64" s="157"/>
      <c r="G64" s="158"/>
      <c r="H64" s="158"/>
      <c r="I64" s="157"/>
      <c r="J64" s="157"/>
      <c r="K64" s="157"/>
    </row>
    <row r="65" spans="1:11" x14ac:dyDescent="0.2">
      <c r="A65" s="156"/>
      <c r="B65" s="157"/>
      <c r="C65" s="157"/>
      <c r="D65" s="157"/>
      <c r="E65" s="157"/>
      <c r="F65" s="157"/>
      <c r="G65" s="157"/>
      <c r="H65" s="157"/>
      <c r="I65" s="157"/>
      <c r="J65" s="157"/>
      <c r="K65" s="157"/>
    </row>
    <row r="66" spans="1:11" x14ac:dyDescent="0.2">
      <c r="A66" s="156"/>
      <c r="B66" s="158"/>
      <c r="C66" s="157"/>
      <c r="D66" s="157"/>
      <c r="E66" s="157"/>
      <c r="F66" s="157"/>
      <c r="G66" s="157"/>
      <c r="H66" s="158"/>
      <c r="I66" s="157"/>
      <c r="J66" s="157"/>
      <c r="K66" s="157"/>
    </row>
    <row r="67" spans="1:11" x14ac:dyDescent="0.2">
      <c r="A67" s="156"/>
      <c r="B67" s="157"/>
      <c r="C67" s="157"/>
      <c r="D67" s="157"/>
      <c r="E67" s="157"/>
      <c r="F67" s="157"/>
      <c r="G67" s="158"/>
      <c r="H67" s="158"/>
      <c r="I67" s="157"/>
      <c r="J67" s="157"/>
      <c r="K67" s="157"/>
    </row>
    <row r="68" spans="1:11" x14ac:dyDescent="0.2">
      <c r="A68" s="156"/>
      <c r="B68" s="157"/>
      <c r="C68" s="157"/>
      <c r="D68" s="157"/>
      <c r="E68" s="158"/>
      <c r="F68" s="158"/>
      <c r="G68" s="158"/>
      <c r="H68" s="158"/>
      <c r="I68" s="157"/>
      <c r="J68" s="157"/>
      <c r="K68" s="157"/>
    </row>
    <row r="69" spans="1:11" x14ac:dyDescent="0.2">
      <c r="A69" s="156"/>
      <c r="B69" s="158"/>
      <c r="C69" s="157"/>
      <c r="D69" s="157"/>
      <c r="E69" s="158"/>
      <c r="F69" s="157"/>
      <c r="G69" s="157"/>
      <c r="H69" s="158"/>
      <c r="I69" s="157"/>
      <c r="J69" s="157"/>
      <c r="K69" s="157"/>
    </row>
    <row r="70" spans="1:11" x14ac:dyDescent="0.2">
      <c r="A70" s="156"/>
      <c r="B70" s="158"/>
      <c r="C70" s="157"/>
      <c r="D70" s="157"/>
      <c r="E70" s="158"/>
      <c r="F70" s="158"/>
      <c r="G70" s="157"/>
      <c r="H70" s="158"/>
      <c r="I70" s="157"/>
      <c r="J70" s="157"/>
      <c r="K70" s="157"/>
    </row>
    <row r="71" spans="1:11" x14ac:dyDescent="0.2">
      <c r="A71" s="156"/>
      <c r="B71" s="157"/>
      <c r="C71" s="157"/>
      <c r="D71" s="157"/>
      <c r="E71" s="158"/>
      <c r="F71" s="158"/>
      <c r="G71" s="158"/>
      <c r="H71" s="157"/>
      <c r="I71" s="157"/>
      <c r="J71" s="157"/>
      <c r="K71" s="157"/>
    </row>
    <row r="72" spans="1:11" x14ac:dyDescent="0.2">
      <c r="A72" s="156"/>
      <c r="B72" s="158"/>
      <c r="C72" s="157"/>
      <c r="D72" s="157"/>
      <c r="E72" s="158"/>
      <c r="F72" s="157"/>
      <c r="G72" s="158"/>
      <c r="H72" s="158"/>
      <c r="I72" s="157"/>
      <c r="J72" s="157"/>
      <c r="K72" s="157"/>
    </row>
    <row r="73" spans="1:11" x14ac:dyDescent="0.2">
      <c r="A73" s="156"/>
      <c r="B73" s="157"/>
      <c r="C73" s="157"/>
      <c r="D73" s="157"/>
      <c r="E73" s="158"/>
      <c r="F73" s="157"/>
      <c r="G73" s="157"/>
      <c r="H73" s="158"/>
      <c r="I73" s="157"/>
      <c r="J73" s="157"/>
      <c r="K73" s="157"/>
    </row>
    <row r="74" spans="1:11" x14ac:dyDescent="0.2">
      <c r="A74" s="156"/>
      <c r="B74" s="157"/>
      <c r="C74" s="157"/>
      <c r="D74" s="157"/>
      <c r="E74" s="158"/>
      <c r="F74" s="157"/>
      <c r="G74" s="157"/>
      <c r="H74" s="158"/>
      <c r="I74" s="157"/>
      <c r="J74" s="157"/>
      <c r="K74" s="157"/>
    </row>
    <row r="75" spans="1:11" x14ac:dyDescent="0.2">
      <c r="A75" s="156"/>
      <c r="B75" s="158"/>
      <c r="C75" s="157"/>
      <c r="D75" s="157"/>
      <c r="E75" s="158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K255"/>
  <sheetViews>
    <sheetView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/>
      <c r="C5" s="157"/>
      <c r="D5" s="157"/>
      <c r="E5" s="157"/>
      <c r="F5" s="157"/>
      <c r="G5" s="157"/>
      <c r="H5" s="157"/>
      <c r="I5" s="157"/>
      <c r="J5" s="157"/>
      <c r="K5" s="157"/>
    </row>
    <row r="6" spans="1:11" x14ac:dyDescent="0.2">
      <c r="A6" s="156"/>
      <c r="B6" s="158"/>
      <c r="C6" s="157"/>
      <c r="D6" s="157"/>
      <c r="E6" s="157"/>
      <c r="F6" s="157"/>
      <c r="G6" s="157"/>
      <c r="H6" s="158"/>
      <c r="I6" s="157"/>
      <c r="J6" s="157"/>
      <c r="K6" s="157"/>
    </row>
    <row r="7" spans="1:11" x14ac:dyDescent="0.2">
      <c r="A7" s="156"/>
      <c r="B7" s="157"/>
      <c r="C7" s="157"/>
      <c r="D7" s="157"/>
      <c r="E7" s="157"/>
      <c r="F7" s="157"/>
      <c r="G7" s="158"/>
      <c r="H7" s="158"/>
      <c r="I7" s="157"/>
      <c r="J7" s="157"/>
      <c r="K7" s="157"/>
    </row>
    <row r="8" spans="1:11" x14ac:dyDescent="0.2">
      <c r="A8" s="156"/>
      <c r="B8" s="157"/>
      <c r="C8" s="157"/>
      <c r="D8" s="157"/>
      <c r="E8" s="157"/>
      <c r="F8" s="158"/>
      <c r="G8" s="158"/>
      <c r="H8" s="158"/>
      <c r="I8" s="157"/>
      <c r="J8" s="157"/>
      <c r="K8" s="157"/>
    </row>
    <row r="9" spans="1:11" x14ac:dyDescent="0.2">
      <c r="A9" s="156"/>
      <c r="B9" s="158"/>
      <c r="C9" s="157"/>
      <c r="D9" s="157"/>
      <c r="E9" s="157"/>
      <c r="F9" s="157"/>
      <c r="G9" s="157"/>
      <c r="H9" s="158"/>
      <c r="I9" s="157"/>
      <c r="J9" s="157"/>
      <c r="K9" s="157"/>
    </row>
    <row r="10" spans="1:11" x14ac:dyDescent="0.2">
      <c r="A10" s="156"/>
      <c r="B10" s="158"/>
      <c r="C10" s="157"/>
      <c r="D10" s="157"/>
      <c r="E10" s="157"/>
      <c r="F10" s="158"/>
      <c r="G10" s="157"/>
      <c r="H10" s="158"/>
      <c r="I10" s="157"/>
      <c r="J10" s="157"/>
      <c r="K10" s="157"/>
    </row>
    <row r="11" spans="1:11" x14ac:dyDescent="0.2">
      <c r="A11" s="156"/>
      <c r="B11" s="157"/>
      <c r="C11" s="157"/>
      <c r="D11" s="157"/>
      <c r="E11" s="157"/>
      <c r="F11" s="158"/>
      <c r="G11" s="158"/>
      <c r="H11" s="157"/>
      <c r="I11" s="157"/>
      <c r="J11" s="157"/>
      <c r="K11" s="157"/>
    </row>
    <row r="12" spans="1:11" x14ac:dyDescent="0.2">
      <c r="A12" s="156"/>
      <c r="B12" s="158"/>
      <c r="C12" s="157"/>
      <c r="D12" s="157"/>
      <c r="E12" s="157"/>
      <c r="F12" s="157"/>
      <c r="G12" s="158"/>
      <c r="H12" s="158"/>
      <c r="I12" s="157"/>
      <c r="J12" s="157"/>
      <c r="K12" s="157"/>
    </row>
    <row r="13" spans="1:11" x14ac:dyDescent="0.2">
      <c r="A13" s="156"/>
      <c r="B13" s="157"/>
      <c r="C13" s="157"/>
      <c r="D13" s="157"/>
      <c r="E13" s="157"/>
      <c r="F13" s="157"/>
      <c r="G13" s="157"/>
      <c r="H13" s="158"/>
      <c r="I13" s="157"/>
      <c r="J13" s="157"/>
      <c r="K13" s="157"/>
    </row>
    <row r="14" spans="1:11" x14ac:dyDescent="0.2">
      <c r="A14" s="156"/>
      <c r="B14" s="157"/>
      <c r="C14" s="157"/>
      <c r="D14" s="157"/>
      <c r="E14" s="157"/>
      <c r="F14" s="157"/>
      <c r="G14" s="157"/>
      <c r="H14" s="158"/>
      <c r="I14" s="158"/>
      <c r="J14" s="158"/>
      <c r="K14" s="158"/>
    </row>
    <row r="15" spans="1:11" x14ac:dyDescent="0.2">
      <c r="A15" s="156"/>
      <c r="B15" s="158"/>
      <c r="C15" s="157"/>
      <c r="D15" s="157"/>
      <c r="E15" s="157"/>
      <c r="F15" s="157"/>
      <c r="G15" s="158"/>
      <c r="H15" s="158"/>
      <c r="I15" s="158"/>
      <c r="J15" s="158"/>
      <c r="K15" s="158"/>
    </row>
    <row r="16" spans="1:11" x14ac:dyDescent="0.2">
      <c r="A16" s="156"/>
      <c r="B16" s="158"/>
      <c r="C16" s="157"/>
      <c r="D16" s="157"/>
      <c r="E16" s="157"/>
      <c r="F16" s="157"/>
      <c r="G16" s="158"/>
      <c r="H16" s="158"/>
      <c r="I16" s="158"/>
      <c r="J16" s="158"/>
      <c r="K16" s="158"/>
    </row>
    <row r="17" spans="1:11" x14ac:dyDescent="0.2">
      <c r="A17" s="156"/>
      <c r="B17" s="157"/>
      <c r="C17" s="157"/>
      <c r="D17" s="157"/>
      <c r="E17" s="157"/>
      <c r="F17" s="157"/>
      <c r="G17" s="157"/>
      <c r="H17" s="157"/>
      <c r="I17" s="157"/>
      <c r="J17" s="157"/>
      <c r="K17" s="157"/>
    </row>
    <row r="18" spans="1:11" x14ac:dyDescent="0.2">
      <c r="A18" s="156"/>
      <c r="B18" s="158"/>
      <c r="C18" s="157"/>
      <c r="D18" s="157"/>
      <c r="E18" s="157"/>
      <c r="F18" s="157"/>
      <c r="G18" s="157"/>
      <c r="H18" s="158"/>
      <c r="I18" s="158"/>
      <c r="J18" s="158"/>
      <c r="K18" s="158"/>
    </row>
    <row r="19" spans="1:11" x14ac:dyDescent="0.2">
      <c r="A19" s="156"/>
      <c r="B19" s="157"/>
      <c r="C19" s="157"/>
      <c r="D19" s="157"/>
      <c r="E19" s="157"/>
      <c r="F19" s="157"/>
      <c r="G19" s="158"/>
      <c r="H19" s="158"/>
      <c r="I19" s="157"/>
      <c r="J19" s="157"/>
      <c r="K19" s="157"/>
    </row>
    <row r="20" spans="1:11" x14ac:dyDescent="0.2">
      <c r="A20" s="156"/>
      <c r="B20" s="157"/>
      <c r="C20" s="157"/>
      <c r="D20" s="157"/>
      <c r="E20" s="157"/>
      <c r="F20" s="157"/>
      <c r="G20" s="158"/>
      <c r="H20" s="158"/>
      <c r="I20" s="158"/>
      <c r="J20" s="158"/>
      <c r="K20" s="158"/>
    </row>
    <row r="21" spans="1:11" x14ac:dyDescent="0.2">
      <c r="A21" s="156"/>
      <c r="B21" s="158"/>
      <c r="C21" s="157"/>
      <c r="D21" s="157"/>
      <c r="E21" s="157"/>
      <c r="F21" s="157"/>
      <c r="G21" s="157"/>
      <c r="H21" s="158"/>
      <c r="I21" s="158"/>
      <c r="J21" s="158"/>
      <c r="K21" s="158"/>
    </row>
    <row r="22" spans="1:11" x14ac:dyDescent="0.2">
      <c r="A22" s="156"/>
      <c r="B22" s="158"/>
      <c r="C22" s="157"/>
      <c r="D22" s="157"/>
      <c r="E22" s="157"/>
      <c r="F22" s="157"/>
      <c r="G22" s="157"/>
      <c r="H22" s="158"/>
      <c r="I22" s="158"/>
      <c r="J22" s="158"/>
      <c r="K22" s="158"/>
    </row>
    <row r="23" spans="1:11" x14ac:dyDescent="0.2">
      <c r="A23" s="156"/>
      <c r="B23" s="157"/>
      <c r="C23" s="157"/>
      <c r="D23" s="157"/>
      <c r="E23" s="157"/>
      <c r="F23" s="158"/>
      <c r="G23" s="158"/>
      <c r="H23" s="157"/>
      <c r="I23" s="157"/>
      <c r="J23" s="157"/>
      <c r="K23" s="157"/>
    </row>
    <row r="24" spans="1:11" x14ac:dyDescent="0.2">
      <c r="A24" s="156"/>
      <c r="B24" s="158"/>
      <c r="C24" s="157"/>
      <c r="D24" s="157"/>
      <c r="E24" s="157"/>
      <c r="F24" s="157"/>
      <c r="G24" s="158"/>
      <c r="H24" s="158"/>
      <c r="I24" s="158"/>
      <c r="J24" s="158"/>
      <c r="K24" s="158"/>
    </row>
    <row r="25" spans="1:11" x14ac:dyDescent="0.2">
      <c r="A25" s="156"/>
      <c r="B25" s="157"/>
      <c r="C25" s="157"/>
      <c r="D25" s="157"/>
      <c r="E25" s="157"/>
      <c r="F25" s="158"/>
      <c r="G25" s="157"/>
      <c r="H25" s="158"/>
      <c r="I25" s="157"/>
      <c r="J25" s="157"/>
      <c r="K25" s="157"/>
    </row>
    <row r="26" spans="1:11" x14ac:dyDescent="0.2">
      <c r="A26" s="156"/>
      <c r="B26" s="157"/>
      <c r="C26" s="157"/>
      <c r="D26" s="157"/>
      <c r="E26" s="157"/>
      <c r="F26" s="158"/>
      <c r="G26" s="157"/>
      <c r="H26" s="158"/>
      <c r="I26" s="157"/>
      <c r="J26" s="157"/>
      <c r="K26" s="157"/>
    </row>
    <row r="27" spans="1:11" x14ac:dyDescent="0.2">
      <c r="A27" s="156"/>
      <c r="B27" s="158"/>
      <c r="C27" s="157"/>
      <c r="D27" s="157"/>
      <c r="E27" s="157"/>
      <c r="F27" s="157"/>
      <c r="G27" s="158"/>
      <c r="H27" s="158"/>
      <c r="I27" s="157"/>
      <c r="J27" s="157"/>
      <c r="K27" s="157"/>
    </row>
    <row r="28" spans="1:11" x14ac:dyDescent="0.2">
      <c r="A28" s="156"/>
      <c r="B28" s="158"/>
      <c r="C28" s="157"/>
      <c r="D28" s="157"/>
      <c r="E28" s="157"/>
      <c r="F28" s="157"/>
      <c r="G28" s="158"/>
      <c r="H28" s="158"/>
      <c r="I28" s="157"/>
      <c r="J28" s="157"/>
      <c r="K28" s="157"/>
    </row>
    <row r="29" spans="1:11" x14ac:dyDescent="0.2">
      <c r="A29" s="156"/>
      <c r="B29" s="157"/>
      <c r="C29" s="157"/>
      <c r="D29" s="157"/>
      <c r="E29" s="157"/>
      <c r="F29" s="157"/>
      <c r="G29" s="157"/>
      <c r="H29" s="157"/>
      <c r="I29" s="157"/>
      <c r="J29" s="157"/>
      <c r="K29" s="157"/>
    </row>
    <row r="30" spans="1:11" x14ac:dyDescent="0.2">
      <c r="A30" s="156"/>
      <c r="B30" s="158"/>
      <c r="C30" s="157"/>
      <c r="D30" s="157"/>
      <c r="E30" s="157"/>
      <c r="F30" s="157"/>
      <c r="G30" s="157"/>
      <c r="H30" s="158"/>
      <c r="I30" s="157"/>
      <c r="J30" s="157"/>
      <c r="K30" s="157"/>
    </row>
    <row r="31" spans="1:11" x14ac:dyDescent="0.2">
      <c r="A31" s="156"/>
      <c r="B31" s="157"/>
      <c r="C31" s="157"/>
      <c r="D31" s="157"/>
      <c r="E31" s="157"/>
      <c r="F31" s="157"/>
      <c r="G31" s="158"/>
      <c r="H31" s="158"/>
      <c r="I31" s="157"/>
      <c r="J31" s="157"/>
      <c r="K31" s="157"/>
    </row>
    <row r="32" spans="1:11" x14ac:dyDescent="0.2">
      <c r="A32" s="156"/>
      <c r="B32" s="157"/>
      <c r="C32" s="157"/>
      <c r="D32" s="157"/>
      <c r="E32" s="157"/>
      <c r="F32" s="157"/>
      <c r="G32" s="158"/>
      <c r="H32" s="158"/>
      <c r="I32" s="157"/>
      <c r="J32" s="157"/>
      <c r="K32" s="157"/>
    </row>
    <row r="33" spans="1:11" x14ac:dyDescent="0.2">
      <c r="A33" s="156"/>
      <c r="B33" s="158"/>
      <c r="C33" s="157"/>
      <c r="D33" s="157"/>
      <c r="E33" s="157"/>
      <c r="F33" s="157"/>
      <c r="G33" s="157"/>
      <c r="H33" s="158"/>
      <c r="I33" s="157"/>
      <c r="J33" s="157"/>
      <c r="K33" s="157"/>
    </row>
    <row r="34" spans="1:11" x14ac:dyDescent="0.2">
      <c r="A34" s="156"/>
      <c r="B34" s="158"/>
      <c r="C34" s="157"/>
      <c r="D34" s="157"/>
      <c r="E34" s="157"/>
      <c r="F34" s="157"/>
      <c r="G34" s="157"/>
      <c r="H34" s="158"/>
      <c r="I34" s="157"/>
      <c r="J34" s="157"/>
      <c r="K34" s="157"/>
    </row>
    <row r="35" spans="1:11" x14ac:dyDescent="0.2">
      <c r="A35" s="156"/>
      <c r="B35" s="157"/>
      <c r="C35" s="157"/>
      <c r="D35" s="157"/>
      <c r="E35" s="157"/>
      <c r="F35" s="157"/>
      <c r="G35" s="158"/>
      <c r="H35" s="157"/>
      <c r="I35" s="157"/>
      <c r="J35" s="157"/>
      <c r="K35" s="157"/>
    </row>
    <row r="36" spans="1:11" x14ac:dyDescent="0.2">
      <c r="A36" s="156"/>
      <c r="B36" s="158"/>
      <c r="C36" s="157"/>
      <c r="D36" s="157"/>
      <c r="E36" s="157"/>
      <c r="F36" s="157"/>
      <c r="G36" s="158"/>
      <c r="H36" s="158"/>
      <c r="I36" s="157"/>
      <c r="J36" s="157"/>
      <c r="K36" s="157"/>
    </row>
    <row r="37" spans="1:11" x14ac:dyDescent="0.2">
      <c r="A37" s="156"/>
      <c r="B37" s="157"/>
      <c r="C37" s="157"/>
      <c r="D37" s="157"/>
      <c r="E37" s="157"/>
      <c r="F37" s="157"/>
      <c r="G37" s="157"/>
      <c r="H37" s="158"/>
      <c r="I37" s="157"/>
      <c r="J37" s="157"/>
      <c r="K37" s="157"/>
    </row>
    <row r="38" spans="1:11" x14ac:dyDescent="0.2">
      <c r="A38" s="156"/>
      <c r="B38" s="157"/>
      <c r="C38" s="157"/>
      <c r="D38" s="157"/>
      <c r="E38" s="157"/>
      <c r="F38" s="158"/>
      <c r="G38" s="157"/>
      <c r="H38" s="158"/>
      <c r="I38" s="157"/>
      <c r="J38" s="157"/>
      <c r="K38" s="157"/>
    </row>
    <row r="39" spans="1:11" x14ac:dyDescent="0.2">
      <c r="A39" s="156"/>
      <c r="B39" s="158"/>
      <c r="C39" s="157"/>
      <c r="D39" s="157"/>
      <c r="E39" s="157"/>
      <c r="F39" s="157"/>
      <c r="G39" s="158"/>
      <c r="H39" s="158"/>
      <c r="I39" s="157"/>
      <c r="J39" s="157"/>
      <c r="K39" s="157"/>
    </row>
    <row r="40" spans="1:11" x14ac:dyDescent="0.2">
      <c r="A40" s="156"/>
      <c r="B40" s="158"/>
      <c r="C40" s="157"/>
      <c r="D40" s="157"/>
      <c r="E40" s="157"/>
      <c r="F40" s="158"/>
      <c r="G40" s="158"/>
      <c r="H40" s="158"/>
      <c r="I40" s="157"/>
      <c r="J40" s="157"/>
      <c r="K40" s="157"/>
    </row>
    <row r="41" spans="1:11" x14ac:dyDescent="0.2">
      <c r="A41" s="156"/>
      <c r="B41" s="157"/>
      <c r="C41" s="157"/>
      <c r="D41" s="157"/>
      <c r="E41" s="157"/>
      <c r="F41" s="158"/>
      <c r="G41" s="157"/>
      <c r="H41" s="157"/>
      <c r="I41" s="157"/>
      <c r="J41" s="157"/>
      <c r="K41" s="157"/>
    </row>
    <row r="42" spans="1:11" x14ac:dyDescent="0.2">
      <c r="A42" s="156"/>
      <c r="B42" s="158"/>
      <c r="C42" s="157"/>
      <c r="D42" s="157"/>
      <c r="E42" s="157"/>
      <c r="F42" s="157"/>
      <c r="G42" s="157"/>
      <c r="H42" s="158"/>
      <c r="I42" s="157"/>
      <c r="J42" s="157"/>
      <c r="K42" s="157"/>
    </row>
    <row r="43" spans="1:11" x14ac:dyDescent="0.2">
      <c r="A43" s="156"/>
      <c r="B43" s="157"/>
      <c r="C43" s="157"/>
      <c r="D43" s="157"/>
      <c r="E43" s="157"/>
      <c r="F43" s="157"/>
      <c r="G43" s="158"/>
      <c r="H43" s="158"/>
      <c r="I43" s="157"/>
      <c r="J43" s="157"/>
      <c r="K43" s="157"/>
    </row>
    <row r="44" spans="1:11" x14ac:dyDescent="0.2">
      <c r="A44" s="156"/>
      <c r="B44" s="157"/>
      <c r="C44" s="157"/>
      <c r="D44" s="157"/>
      <c r="E44" s="157"/>
      <c r="F44" s="157"/>
      <c r="G44" s="158"/>
      <c r="H44" s="158"/>
      <c r="I44" s="157"/>
      <c r="J44" s="157"/>
      <c r="K44" s="157"/>
    </row>
    <row r="45" spans="1:11" x14ac:dyDescent="0.2">
      <c r="A45" s="156"/>
      <c r="B45" s="158"/>
      <c r="C45" s="157"/>
      <c r="D45" s="157"/>
      <c r="E45" s="157"/>
      <c r="F45" s="157"/>
      <c r="G45" s="157"/>
      <c r="H45" s="158"/>
      <c r="I45" s="157"/>
      <c r="J45" s="157"/>
      <c r="K45" s="157"/>
    </row>
    <row r="46" spans="1:11" x14ac:dyDescent="0.2">
      <c r="A46" s="156"/>
      <c r="B46" s="158"/>
      <c r="C46" s="157"/>
      <c r="D46" s="157"/>
      <c r="E46" s="157"/>
      <c r="F46" s="157"/>
      <c r="G46" s="157"/>
      <c r="H46" s="158"/>
      <c r="I46" s="157"/>
      <c r="J46" s="157"/>
      <c r="K46" s="157"/>
    </row>
    <row r="47" spans="1:11" x14ac:dyDescent="0.2">
      <c r="A47" s="156"/>
      <c r="B47" s="157"/>
      <c r="C47" s="157"/>
      <c r="D47" s="157"/>
      <c r="E47" s="157"/>
      <c r="F47" s="157"/>
      <c r="G47" s="158"/>
      <c r="H47" s="157"/>
      <c r="I47" s="157"/>
      <c r="J47" s="157"/>
      <c r="K47" s="157"/>
    </row>
    <row r="48" spans="1:11" x14ac:dyDescent="0.2">
      <c r="A48" s="156"/>
      <c r="B48" s="158"/>
      <c r="C48" s="157"/>
      <c r="D48" s="157"/>
      <c r="E48" s="157"/>
      <c r="F48" s="157"/>
      <c r="G48" s="158"/>
      <c r="H48" s="158"/>
      <c r="I48" s="157"/>
      <c r="J48" s="157"/>
      <c r="K48" s="157"/>
    </row>
    <row r="49" spans="1:11" x14ac:dyDescent="0.2">
      <c r="A49" s="156"/>
      <c r="B49" s="157"/>
      <c r="C49" s="157"/>
      <c r="D49" s="157"/>
      <c r="E49" s="157"/>
      <c r="F49" s="157"/>
      <c r="G49" s="157"/>
      <c r="H49" s="158"/>
      <c r="I49" s="157"/>
      <c r="J49" s="157"/>
      <c r="K49" s="157"/>
    </row>
    <row r="50" spans="1:11" x14ac:dyDescent="0.2">
      <c r="A50" s="156"/>
      <c r="B50" s="157"/>
      <c r="C50" s="157"/>
      <c r="D50" s="157"/>
      <c r="E50" s="157"/>
      <c r="F50" s="157"/>
      <c r="G50" s="157"/>
      <c r="H50" s="158"/>
      <c r="I50" s="157"/>
      <c r="J50" s="157"/>
      <c r="K50" s="157"/>
    </row>
    <row r="51" spans="1:11" x14ac:dyDescent="0.2">
      <c r="A51" s="156"/>
      <c r="B51" s="158"/>
      <c r="C51" s="157"/>
      <c r="D51" s="157"/>
      <c r="E51" s="157"/>
      <c r="F51" s="157"/>
      <c r="G51" s="158"/>
      <c r="H51" s="158"/>
      <c r="I51" s="157"/>
      <c r="J51" s="157"/>
      <c r="K51" s="157"/>
    </row>
    <row r="52" spans="1:11" x14ac:dyDescent="0.2">
      <c r="A52" s="156"/>
      <c r="B52" s="158"/>
      <c r="C52" s="157"/>
      <c r="D52" s="157"/>
      <c r="E52" s="157"/>
      <c r="F52" s="157"/>
      <c r="G52" s="158"/>
      <c r="H52" s="158"/>
      <c r="I52" s="157"/>
      <c r="J52" s="157"/>
      <c r="K52" s="157"/>
    </row>
    <row r="53" spans="1:11" x14ac:dyDescent="0.2">
      <c r="A53" s="156"/>
      <c r="B53" s="157"/>
      <c r="C53" s="157"/>
      <c r="D53" s="157"/>
      <c r="E53" s="157"/>
      <c r="F53" s="158"/>
      <c r="G53" s="157"/>
      <c r="H53" s="157"/>
      <c r="I53" s="157"/>
      <c r="J53" s="157"/>
      <c r="K53" s="157"/>
    </row>
    <row r="54" spans="1:11" x14ac:dyDescent="0.2">
      <c r="A54" s="156"/>
      <c r="B54" s="158"/>
      <c r="C54" s="157"/>
      <c r="D54" s="157"/>
      <c r="E54" s="157"/>
      <c r="F54" s="157"/>
      <c r="G54" s="157"/>
      <c r="H54" s="158"/>
      <c r="I54" s="157"/>
      <c r="J54" s="157"/>
      <c r="K54" s="157"/>
    </row>
    <row r="55" spans="1:11" x14ac:dyDescent="0.2">
      <c r="A55" s="156"/>
      <c r="B55" s="157"/>
      <c r="C55" s="157"/>
      <c r="D55" s="157"/>
      <c r="E55" s="157"/>
      <c r="F55" s="158"/>
      <c r="G55" s="158"/>
      <c r="H55" s="158"/>
      <c r="I55" s="157"/>
      <c r="J55" s="157"/>
      <c r="K55" s="157"/>
    </row>
    <row r="56" spans="1:11" x14ac:dyDescent="0.2">
      <c r="A56" s="156"/>
      <c r="B56" s="157"/>
      <c r="C56" s="157"/>
      <c r="D56" s="157"/>
      <c r="E56" s="157"/>
      <c r="F56" s="158"/>
      <c r="G56" s="158"/>
      <c r="H56" s="158"/>
      <c r="I56" s="157"/>
      <c r="J56" s="157"/>
      <c r="K56" s="157"/>
    </row>
    <row r="57" spans="1:11" x14ac:dyDescent="0.2">
      <c r="A57" s="156"/>
      <c r="B57" s="158"/>
      <c r="C57" s="157"/>
      <c r="D57" s="157"/>
      <c r="E57" s="157"/>
      <c r="F57" s="157"/>
      <c r="G57" s="157"/>
      <c r="H57" s="158"/>
      <c r="I57" s="157"/>
      <c r="J57" s="157"/>
      <c r="K57" s="157"/>
    </row>
    <row r="58" spans="1:11" x14ac:dyDescent="0.2">
      <c r="A58" s="156"/>
      <c r="B58" s="158"/>
      <c r="C58" s="157"/>
      <c r="D58" s="157"/>
      <c r="E58" s="157"/>
      <c r="F58" s="157"/>
      <c r="G58" s="157"/>
      <c r="H58" s="158"/>
      <c r="I58" s="157"/>
      <c r="J58" s="157"/>
      <c r="K58" s="157"/>
    </row>
    <row r="59" spans="1:11" x14ac:dyDescent="0.2">
      <c r="A59" s="156"/>
      <c r="B59" s="157"/>
      <c r="C59" s="157"/>
      <c r="D59" s="157"/>
      <c r="E59" s="157"/>
      <c r="F59" s="157"/>
      <c r="G59" s="158"/>
      <c r="H59" s="157"/>
      <c r="I59" s="157"/>
      <c r="J59" s="157"/>
      <c r="K59" s="157"/>
    </row>
    <row r="60" spans="1:11" x14ac:dyDescent="0.2">
      <c r="A60" s="156"/>
      <c r="B60" s="158"/>
      <c r="C60" s="157"/>
      <c r="D60" s="157"/>
      <c r="E60" s="157"/>
      <c r="F60" s="157"/>
      <c r="G60" s="158"/>
      <c r="H60" s="158"/>
      <c r="I60" s="157"/>
      <c r="J60" s="157"/>
      <c r="K60" s="157"/>
    </row>
    <row r="61" spans="1:11" x14ac:dyDescent="0.2">
      <c r="A61" s="156"/>
      <c r="B61" s="157"/>
      <c r="C61" s="157"/>
      <c r="D61" s="157"/>
      <c r="E61" s="157"/>
      <c r="F61" s="157"/>
      <c r="G61" s="157"/>
      <c r="H61" s="158"/>
      <c r="I61" s="157"/>
      <c r="J61" s="157"/>
      <c r="K61" s="157"/>
    </row>
    <row r="62" spans="1:11" x14ac:dyDescent="0.2">
      <c r="A62" s="156"/>
      <c r="B62" s="157"/>
      <c r="C62" s="157"/>
      <c r="D62" s="157"/>
      <c r="E62" s="157"/>
      <c r="F62" s="157"/>
      <c r="G62" s="157"/>
      <c r="H62" s="158"/>
      <c r="I62" s="157"/>
      <c r="J62" s="157"/>
      <c r="K62" s="157"/>
    </row>
    <row r="63" spans="1:11" x14ac:dyDescent="0.2">
      <c r="A63" s="156"/>
      <c r="B63" s="158"/>
      <c r="C63" s="157"/>
      <c r="D63" s="157"/>
      <c r="E63" s="157"/>
      <c r="F63" s="157"/>
      <c r="G63" s="158"/>
      <c r="H63" s="158"/>
      <c r="I63" s="157"/>
      <c r="J63" s="157"/>
      <c r="K63" s="157"/>
    </row>
    <row r="64" spans="1:11" x14ac:dyDescent="0.2">
      <c r="A64" s="156"/>
      <c r="B64" s="158"/>
      <c r="C64" s="157"/>
      <c r="D64" s="157"/>
      <c r="E64" s="157"/>
      <c r="F64" s="157"/>
      <c r="G64" s="158"/>
      <c r="H64" s="158"/>
      <c r="I64" s="157"/>
      <c r="J64" s="157"/>
      <c r="K64" s="157"/>
    </row>
    <row r="65" spans="1:11" x14ac:dyDescent="0.2">
      <c r="A65" s="156"/>
      <c r="B65" s="157"/>
      <c r="C65" s="157"/>
      <c r="D65" s="157"/>
      <c r="E65" s="157"/>
      <c r="F65" s="157"/>
      <c r="G65" s="157"/>
      <c r="H65" s="157"/>
      <c r="I65" s="157"/>
      <c r="J65" s="157"/>
      <c r="K65" s="157"/>
    </row>
    <row r="66" spans="1:11" x14ac:dyDescent="0.2">
      <c r="A66" s="156"/>
      <c r="B66" s="158"/>
      <c r="C66" s="157"/>
      <c r="D66" s="157"/>
      <c r="E66" s="157"/>
      <c r="F66" s="157"/>
      <c r="G66" s="157"/>
      <c r="H66" s="158"/>
      <c r="I66" s="157"/>
      <c r="J66" s="157"/>
      <c r="K66" s="157"/>
    </row>
    <row r="67" spans="1:11" x14ac:dyDescent="0.2">
      <c r="A67" s="156"/>
      <c r="B67" s="157"/>
      <c r="C67" s="157"/>
      <c r="D67" s="157"/>
      <c r="E67" s="157"/>
      <c r="F67" s="157"/>
      <c r="G67" s="158"/>
      <c r="H67" s="158"/>
      <c r="I67" s="157"/>
      <c r="J67" s="157"/>
      <c r="K67" s="157"/>
    </row>
    <row r="68" spans="1:11" x14ac:dyDescent="0.2">
      <c r="A68" s="156"/>
      <c r="B68" s="157"/>
      <c r="C68" s="157"/>
      <c r="D68" s="157"/>
      <c r="E68" s="158"/>
      <c r="F68" s="158"/>
      <c r="G68" s="158"/>
      <c r="H68" s="158"/>
      <c r="I68" s="157"/>
      <c r="J68" s="157"/>
      <c r="K68" s="157"/>
    </row>
    <row r="69" spans="1:11" x14ac:dyDescent="0.2">
      <c r="A69" s="156"/>
      <c r="B69" s="158"/>
      <c r="C69" s="157"/>
      <c r="D69" s="157"/>
      <c r="E69" s="158"/>
      <c r="F69" s="157"/>
      <c r="G69" s="157"/>
      <c r="H69" s="158"/>
      <c r="I69" s="157"/>
      <c r="J69" s="157"/>
      <c r="K69" s="157"/>
    </row>
    <row r="70" spans="1:11" x14ac:dyDescent="0.2">
      <c r="A70" s="156"/>
      <c r="B70" s="158"/>
      <c r="C70" s="157"/>
      <c r="D70" s="157"/>
      <c r="E70" s="158"/>
      <c r="F70" s="158"/>
      <c r="G70" s="157"/>
      <c r="H70" s="158"/>
      <c r="I70" s="157"/>
      <c r="J70" s="157"/>
      <c r="K70" s="157"/>
    </row>
    <row r="71" spans="1:11" x14ac:dyDescent="0.2">
      <c r="A71" s="156"/>
      <c r="B71" s="157"/>
      <c r="C71" s="157"/>
      <c r="D71" s="157"/>
      <c r="E71" s="158"/>
      <c r="F71" s="158"/>
      <c r="G71" s="158"/>
      <c r="H71" s="157"/>
      <c r="I71" s="157"/>
      <c r="J71" s="157"/>
      <c r="K71" s="157"/>
    </row>
    <row r="72" spans="1:11" x14ac:dyDescent="0.2">
      <c r="A72" s="156"/>
      <c r="B72" s="158"/>
      <c r="C72" s="157"/>
      <c r="D72" s="157"/>
      <c r="E72" s="158"/>
      <c r="F72" s="157"/>
      <c r="G72" s="158"/>
      <c r="H72" s="158"/>
      <c r="I72" s="157"/>
      <c r="J72" s="157"/>
      <c r="K72" s="157"/>
    </row>
    <row r="73" spans="1:11" x14ac:dyDescent="0.2">
      <c r="A73" s="156"/>
      <c r="B73" s="157"/>
      <c r="C73" s="157"/>
      <c r="D73" s="157"/>
      <c r="E73" s="158"/>
      <c r="F73" s="157"/>
      <c r="G73" s="157"/>
      <c r="H73" s="158"/>
      <c r="I73" s="157"/>
      <c r="J73" s="157"/>
      <c r="K73" s="157"/>
    </row>
    <row r="74" spans="1:11" x14ac:dyDescent="0.2">
      <c r="A74" s="156"/>
      <c r="B74" s="157"/>
      <c r="C74" s="157"/>
      <c r="D74" s="157"/>
      <c r="E74" s="158"/>
      <c r="F74" s="157"/>
      <c r="G74" s="157"/>
      <c r="H74" s="158"/>
      <c r="I74" s="157"/>
      <c r="J74" s="157"/>
      <c r="K74" s="157"/>
    </row>
    <row r="75" spans="1:11" x14ac:dyDescent="0.2">
      <c r="A75" s="156"/>
      <c r="B75" s="158"/>
      <c r="C75" s="157"/>
      <c r="D75" s="157"/>
      <c r="E75" s="158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opLeftCell="A64" workbookViewId="0">
      <selection activeCell="F123" sqref="F123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112</v>
      </c>
      <c r="C5" s="157" t="s">
        <v>0</v>
      </c>
      <c r="D5" s="157" t="s">
        <v>177</v>
      </c>
      <c r="E5" s="157" t="s">
        <v>3</v>
      </c>
      <c r="F5" s="157" t="s">
        <v>56</v>
      </c>
      <c r="G5" s="157" t="s">
        <v>155</v>
      </c>
      <c r="H5" s="157" t="s">
        <v>17</v>
      </c>
      <c r="I5" s="157" t="s">
        <v>130</v>
      </c>
      <c r="J5" s="157"/>
      <c r="K5" s="157"/>
    </row>
    <row r="6" spans="1:11" x14ac:dyDescent="0.2">
      <c r="A6" s="156"/>
      <c r="B6" s="158" t="s">
        <v>112</v>
      </c>
      <c r="C6" s="157" t="s">
        <v>1</v>
      </c>
      <c r="D6" s="158" t="s">
        <v>177</v>
      </c>
      <c r="E6" s="157" t="s">
        <v>4</v>
      </c>
      <c r="F6" s="158" t="s">
        <v>56</v>
      </c>
      <c r="G6" s="158" t="s">
        <v>155</v>
      </c>
      <c r="H6" s="158" t="s">
        <v>159</v>
      </c>
      <c r="I6" s="157"/>
      <c r="J6" s="157"/>
      <c r="K6" s="157"/>
    </row>
    <row r="7" spans="1:11" x14ac:dyDescent="0.2">
      <c r="A7" s="156"/>
      <c r="B7" s="158" t="s">
        <v>112</v>
      </c>
      <c r="C7" s="158" t="s">
        <v>0</v>
      </c>
      <c r="D7" s="157" t="s">
        <v>2</v>
      </c>
      <c r="E7" s="157" t="s">
        <v>3</v>
      </c>
      <c r="F7" s="157" t="s">
        <v>13</v>
      </c>
      <c r="G7" s="158"/>
      <c r="H7" s="158" t="s">
        <v>17</v>
      </c>
      <c r="I7" s="158" t="s">
        <v>130</v>
      </c>
      <c r="J7" s="157"/>
      <c r="K7" s="157"/>
    </row>
    <row r="8" spans="1:11" x14ac:dyDescent="0.2">
      <c r="A8" s="156"/>
      <c r="B8" s="158" t="s">
        <v>112</v>
      </c>
      <c r="C8" s="158" t="s">
        <v>1</v>
      </c>
      <c r="D8" s="158" t="s">
        <v>177</v>
      </c>
      <c r="E8" s="158" t="s">
        <v>4</v>
      </c>
      <c r="F8" s="158" t="s">
        <v>13</v>
      </c>
      <c r="G8" s="158" t="s">
        <v>155</v>
      </c>
      <c r="H8" s="158" t="s">
        <v>17</v>
      </c>
      <c r="I8" s="158" t="s">
        <v>130</v>
      </c>
      <c r="J8" s="157"/>
      <c r="K8" s="157"/>
    </row>
    <row r="9" spans="1:11" x14ac:dyDescent="0.2">
      <c r="A9" s="156"/>
      <c r="B9" s="158" t="s">
        <v>116</v>
      </c>
      <c r="C9" s="158" t="s">
        <v>1</v>
      </c>
      <c r="D9" s="158" t="s">
        <v>177</v>
      </c>
      <c r="E9" s="158" t="s">
        <v>4</v>
      </c>
      <c r="F9" s="158" t="s">
        <v>13</v>
      </c>
      <c r="G9" s="158" t="s">
        <v>155</v>
      </c>
      <c r="H9" s="158" t="s">
        <v>7</v>
      </c>
      <c r="I9" s="157" t="s">
        <v>143</v>
      </c>
      <c r="J9" s="157"/>
      <c r="K9" s="157"/>
    </row>
    <row r="10" spans="1:11" x14ac:dyDescent="0.2">
      <c r="A10" s="156"/>
      <c r="B10" s="158" t="s">
        <v>116</v>
      </c>
      <c r="C10" s="158" t="s">
        <v>0</v>
      </c>
      <c r="D10" s="158" t="s">
        <v>177</v>
      </c>
      <c r="E10" s="158" t="s">
        <v>3</v>
      </c>
      <c r="F10" s="158" t="s">
        <v>13</v>
      </c>
      <c r="G10" s="158" t="s">
        <v>155</v>
      </c>
      <c r="H10" s="158" t="s">
        <v>7</v>
      </c>
      <c r="I10" s="158" t="s">
        <v>143</v>
      </c>
      <c r="J10" s="157"/>
      <c r="K10" s="157"/>
    </row>
    <row r="11" spans="1:11" x14ac:dyDescent="0.2">
      <c r="A11" s="156"/>
      <c r="B11" s="157" t="s">
        <v>113</v>
      </c>
      <c r="C11" s="158" t="s">
        <v>0</v>
      </c>
      <c r="D11" s="158" t="s">
        <v>2</v>
      </c>
      <c r="E11" s="158" t="s">
        <v>4</v>
      </c>
      <c r="F11" s="158" t="s">
        <v>10</v>
      </c>
      <c r="G11" s="158" t="s">
        <v>155</v>
      </c>
      <c r="H11" s="158" t="s">
        <v>159</v>
      </c>
      <c r="I11" s="157"/>
      <c r="J11" s="157"/>
      <c r="K11" s="157"/>
    </row>
    <row r="12" spans="1:11" x14ac:dyDescent="0.2">
      <c r="A12" s="156"/>
      <c r="B12" s="158" t="s">
        <v>113</v>
      </c>
      <c r="C12" s="158" t="s">
        <v>0</v>
      </c>
      <c r="D12" s="158" t="s">
        <v>2</v>
      </c>
      <c r="E12" s="158" t="s">
        <v>3</v>
      </c>
      <c r="F12" s="158" t="s">
        <v>56</v>
      </c>
      <c r="G12" s="158" t="s">
        <v>156</v>
      </c>
      <c r="H12" s="158" t="s">
        <v>159</v>
      </c>
      <c r="I12" s="157"/>
      <c r="J12" s="157"/>
      <c r="K12" s="157"/>
    </row>
    <row r="13" spans="1:11" x14ac:dyDescent="0.2">
      <c r="A13" s="156"/>
      <c r="B13" s="158" t="s">
        <v>113</v>
      </c>
      <c r="C13" s="158" t="s">
        <v>1</v>
      </c>
      <c r="D13" s="158" t="s">
        <v>2</v>
      </c>
      <c r="E13" s="158" t="s">
        <v>4</v>
      </c>
      <c r="F13" s="158" t="s">
        <v>56</v>
      </c>
      <c r="G13" s="158" t="s">
        <v>156</v>
      </c>
      <c r="H13" s="158" t="s">
        <v>159</v>
      </c>
      <c r="I13" s="157"/>
      <c r="J13" s="157"/>
      <c r="K13" s="157"/>
    </row>
    <row r="14" spans="1:11" x14ac:dyDescent="0.2">
      <c r="A14" s="156"/>
      <c r="B14" s="158" t="s">
        <v>113</v>
      </c>
      <c r="C14" s="158" t="s">
        <v>0</v>
      </c>
      <c r="D14" s="158" t="s">
        <v>177</v>
      </c>
      <c r="E14" s="158" t="s">
        <v>4</v>
      </c>
      <c r="F14" s="158" t="s">
        <v>11</v>
      </c>
      <c r="G14" s="158" t="s">
        <v>156</v>
      </c>
      <c r="H14" s="158" t="s">
        <v>7</v>
      </c>
      <c r="I14" s="158" t="s">
        <v>133</v>
      </c>
      <c r="J14" s="158"/>
      <c r="K14" s="158"/>
    </row>
    <row r="15" spans="1:11" x14ac:dyDescent="0.2">
      <c r="A15" s="156"/>
      <c r="B15" s="158" t="s">
        <v>113</v>
      </c>
      <c r="C15" s="158" t="s">
        <v>0</v>
      </c>
      <c r="D15" s="158" t="s">
        <v>177</v>
      </c>
      <c r="E15" s="158" t="s">
        <v>3</v>
      </c>
      <c r="F15" s="157" t="s">
        <v>56</v>
      </c>
      <c r="G15" s="158" t="s">
        <v>156</v>
      </c>
      <c r="H15" s="158" t="s">
        <v>7</v>
      </c>
      <c r="I15" s="158" t="s">
        <v>133</v>
      </c>
      <c r="J15" s="158"/>
      <c r="K15" s="158"/>
    </row>
    <row r="16" spans="1:11" x14ac:dyDescent="0.2">
      <c r="A16" s="156"/>
      <c r="B16" s="158" t="s">
        <v>113</v>
      </c>
      <c r="C16" s="158" t="s">
        <v>1</v>
      </c>
      <c r="D16" s="158" t="s">
        <v>177</v>
      </c>
      <c r="E16" s="158" t="s">
        <v>3</v>
      </c>
      <c r="F16" s="157" t="s">
        <v>23</v>
      </c>
      <c r="G16" s="158" t="s">
        <v>156</v>
      </c>
      <c r="H16" s="158" t="s">
        <v>7</v>
      </c>
      <c r="I16" s="158" t="s">
        <v>133</v>
      </c>
      <c r="J16" s="158"/>
      <c r="K16" s="158"/>
    </row>
    <row r="17" spans="1:11" x14ac:dyDescent="0.2">
      <c r="A17" s="156"/>
      <c r="B17" s="158" t="s">
        <v>113</v>
      </c>
      <c r="C17" s="158" t="s">
        <v>0</v>
      </c>
      <c r="D17" s="158" t="s">
        <v>177</v>
      </c>
      <c r="E17" s="158" t="s">
        <v>4</v>
      </c>
      <c r="F17" s="158" t="s">
        <v>10</v>
      </c>
      <c r="G17" s="158" t="s">
        <v>155</v>
      </c>
      <c r="H17" s="158" t="s">
        <v>7</v>
      </c>
      <c r="I17" s="158" t="s">
        <v>133</v>
      </c>
      <c r="J17" s="157"/>
      <c r="K17" s="157"/>
    </row>
    <row r="18" spans="1:11" x14ac:dyDescent="0.2">
      <c r="A18" s="156"/>
      <c r="B18" s="158" t="s">
        <v>113</v>
      </c>
      <c r="C18" s="158" t="s">
        <v>0</v>
      </c>
      <c r="D18" s="158" t="s">
        <v>177</v>
      </c>
      <c r="E18" s="158" t="s">
        <v>4</v>
      </c>
      <c r="F18" s="158" t="s">
        <v>10</v>
      </c>
      <c r="G18" s="158" t="s">
        <v>155</v>
      </c>
      <c r="H18" s="158" t="s">
        <v>7</v>
      </c>
      <c r="I18" s="158" t="s">
        <v>133</v>
      </c>
      <c r="J18" s="158"/>
      <c r="K18" s="158"/>
    </row>
    <row r="19" spans="1:11" x14ac:dyDescent="0.2">
      <c r="A19" s="156"/>
      <c r="B19" s="158" t="s">
        <v>113</v>
      </c>
      <c r="C19" s="158" t="s">
        <v>0</v>
      </c>
      <c r="D19" s="158" t="s">
        <v>177</v>
      </c>
      <c r="E19" s="158" t="s">
        <v>4</v>
      </c>
      <c r="F19" s="158" t="s">
        <v>11</v>
      </c>
      <c r="G19" s="158" t="s">
        <v>156</v>
      </c>
      <c r="H19" s="158" t="s">
        <v>7</v>
      </c>
      <c r="I19" s="158" t="s">
        <v>133</v>
      </c>
      <c r="J19" s="157"/>
      <c r="K19" s="157"/>
    </row>
    <row r="20" spans="1:11" x14ac:dyDescent="0.2">
      <c r="A20" s="156"/>
      <c r="B20" s="158" t="s">
        <v>113</v>
      </c>
      <c r="C20" s="158" t="s">
        <v>1</v>
      </c>
      <c r="D20" s="158" t="s">
        <v>177</v>
      </c>
      <c r="E20" s="158" t="s">
        <v>4</v>
      </c>
      <c r="F20" s="158" t="s">
        <v>23</v>
      </c>
      <c r="G20" s="158" t="s">
        <v>156</v>
      </c>
      <c r="H20" s="158" t="s">
        <v>7</v>
      </c>
      <c r="I20" s="158" t="s">
        <v>133</v>
      </c>
      <c r="J20" s="158"/>
      <c r="K20" s="158"/>
    </row>
    <row r="21" spans="1:11" x14ac:dyDescent="0.2">
      <c r="A21" s="156"/>
      <c r="B21" s="158" t="s">
        <v>113</v>
      </c>
      <c r="C21" s="158" t="s">
        <v>0</v>
      </c>
      <c r="D21" s="158" t="s">
        <v>177</v>
      </c>
      <c r="E21" s="158" t="s">
        <v>4</v>
      </c>
      <c r="F21" s="158" t="s">
        <v>10</v>
      </c>
      <c r="G21" s="158" t="s">
        <v>156</v>
      </c>
      <c r="H21" s="158" t="s">
        <v>7</v>
      </c>
      <c r="I21" s="158" t="s">
        <v>133</v>
      </c>
      <c r="J21" s="158"/>
      <c r="K21" s="158"/>
    </row>
    <row r="22" spans="1:11" x14ac:dyDescent="0.2">
      <c r="A22" s="156"/>
      <c r="B22" s="158" t="s">
        <v>113</v>
      </c>
      <c r="C22" s="158" t="s">
        <v>0</v>
      </c>
      <c r="D22" s="158" t="s">
        <v>177</v>
      </c>
      <c r="E22" s="158" t="s">
        <v>4</v>
      </c>
      <c r="F22" s="158" t="s">
        <v>11</v>
      </c>
      <c r="G22" s="158" t="s">
        <v>155</v>
      </c>
      <c r="H22" s="158" t="s">
        <v>7</v>
      </c>
      <c r="I22" s="158" t="s">
        <v>133</v>
      </c>
      <c r="J22" s="158"/>
      <c r="K22" s="158"/>
    </row>
    <row r="23" spans="1:11" x14ac:dyDescent="0.2">
      <c r="A23" s="156"/>
      <c r="B23" s="158" t="s">
        <v>113</v>
      </c>
      <c r="C23" s="158" t="s">
        <v>0</v>
      </c>
      <c r="D23" s="158" t="s">
        <v>177</v>
      </c>
      <c r="E23" s="158" t="s">
        <v>4</v>
      </c>
      <c r="F23" s="158" t="s">
        <v>23</v>
      </c>
      <c r="G23" s="158" t="s">
        <v>156</v>
      </c>
      <c r="H23" s="158" t="s">
        <v>7</v>
      </c>
      <c r="I23" s="158" t="s">
        <v>133</v>
      </c>
      <c r="J23" s="157"/>
      <c r="K23" s="157"/>
    </row>
    <row r="24" spans="1:11" x14ac:dyDescent="0.2">
      <c r="A24" s="156"/>
      <c r="B24" s="158" t="s">
        <v>113</v>
      </c>
      <c r="C24" s="158" t="s">
        <v>0</v>
      </c>
      <c r="D24" s="158" t="s">
        <v>177</v>
      </c>
      <c r="E24" s="158" t="s">
        <v>4</v>
      </c>
      <c r="F24" s="158" t="s">
        <v>10</v>
      </c>
      <c r="G24" s="158" t="s">
        <v>155</v>
      </c>
      <c r="H24" s="158" t="s">
        <v>7</v>
      </c>
      <c r="I24" s="158" t="s">
        <v>133</v>
      </c>
      <c r="J24" s="158"/>
      <c r="K24" s="158"/>
    </row>
    <row r="25" spans="1:11" x14ac:dyDescent="0.2">
      <c r="A25" s="156"/>
      <c r="B25" s="158" t="s">
        <v>113</v>
      </c>
      <c r="C25" s="158" t="s">
        <v>0</v>
      </c>
      <c r="D25" s="158" t="s">
        <v>177</v>
      </c>
      <c r="E25" s="158" t="s">
        <v>4</v>
      </c>
      <c r="F25" s="158" t="s">
        <v>10</v>
      </c>
      <c r="G25" s="158" t="s">
        <v>155</v>
      </c>
      <c r="H25" s="158" t="s">
        <v>7</v>
      </c>
      <c r="I25" s="158" t="s">
        <v>133</v>
      </c>
      <c r="J25" s="157"/>
      <c r="K25" s="157"/>
    </row>
    <row r="26" spans="1:11" x14ac:dyDescent="0.2">
      <c r="A26" s="156"/>
      <c r="B26" s="158" t="s">
        <v>112</v>
      </c>
      <c r="C26" s="158" t="s">
        <v>0</v>
      </c>
      <c r="D26" s="158" t="s">
        <v>2</v>
      </c>
      <c r="E26" s="158" t="s">
        <v>3</v>
      </c>
      <c r="F26" s="158" t="s">
        <v>16</v>
      </c>
      <c r="G26" s="158" t="s">
        <v>155</v>
      </c>
      <c r="H26" s="158" t="s">
        <v>159</v>
      </c>
      <c r="I26" s="157"/>
      <c r="J26" s="157"/>
      <c r="K26" s="157"/>
    </row>
    <row r="27" spans="1:11" x14ac:dyDescent="0.2">
      <c r="A27" s="156"/>
      <c r="B27" s="158" t="s">
        <v>112</v>
      </c>
      <c r="C27" s="158" t="s">
        <v>1</v>
      </c>
      <c r="D27" s="158" t="s">
        <v>2</v>
      </c>
      <c r="E27" s="158" t="s">
        <v>4</v>
      </c>
      <c r="F27" s="158" t="s">
        <v>16</v>
      </c>
      <c r="G27" s="158" t="s">
        <v>155</v>
      </c>
      <c r="H27" s="158" t="s">
        <v>159</v>
      </c>
      <c r="I27" s="157"/>
      <c r="J27" s="157"/>
      <c r="K27" s="157"/>
    </row>
    <row r="28" spans="1:11" x14ac:dyDescent="0.2">
      <c r="A28" s="156"/>
      <c r="B28" s="158" t="s">
        <v>112</v>
      </c>
      <c r="C28" s="158" t="s">
        <v>0</v>
      </c>
      <c r="D28" s="158" t="s">
        <v>177</v>
      </c>
      <c r="E28" s="158" t="s">
        <v>4</v>
      </c>
      <c r="F28" s="158" t="s">
        <v>10</v>
      </c>
      <c r="G28" s="158" t="s">
        <v>228</v>
      </c>
      <c r="H28" s="158" t="s">
        <v>159</v>
      </c>
      <c r="I28" s="157"/>
      <c r="J28" s="157"/>
      <c r="K28" s="157"/>
    </row>
    <row r="29" spans="1:11" x14ac:dyDescent="0.2">
      <c r="A29" s="156"/>
      <c r="B29" s="158" t="s">
        <v>112</v>
      </c>
      <c r="C29" s="158" t="s">
        <v>1</v>
      </c>
      <c r="D29" s="158" t="s">
        <v>177</v>
      </c>
      <c r="E29" s="158" t="s">
        <v>3</v>
      </c>
      <c r="F29" s="158" t="s">
        <v>10</v>
      </c>
      <c r="G29" s="158" t="s">
        <v>228</v>
      </c>
      <c r="H29" s="158" t="s">
        <v>159</v>
      </c>
      <c r="I29" s="157"/>
      <c r="J29" s="157"/>
      <c r="K29" s="157"/>
    </row>
    <row r="30" spans="1:11" x14ac:dyDescent="0.2">
      <c r="A30" s="156"/>
      <c r="B30" s="158" t="s">
        <v>112</v>
      </c>
      <c r="C30" s="158" t="s">
        <v>1</v>
      </c>
      <c r="D30" s="158" t="s">
        <v>177</v>
      </c>
      <c r="E30" s="158" t="s">
        <v>4</v>
      </c>
      <c r="F30" s="158" t="s">
        <v>10</v>
      </c>
      <c r="G30" s="158" t="s">
        <v>228</v>
      </c>
      <c r="H30" s="158" t="s">
        <v>159</v>
      </c>
      <c r="I30" s="157"/>
      <c r="J30" s="157"/>
      <c r="K30" s="157"/>
    </row>
    <row r="31" spans="1:11" x14ac:dyDescent="0.2">
      <c r="A31" s="156"/>
      <c r="B31" s="158" t="s">
        <v>112</v>
      </c>
      <c r="C31" s="158" t="s">
        <v>0</v>
      </c>
      <c r="D31" s="158" t="s">
        <v>2</v>
      </c>
      <c r="E31" s="158" t="s">
        <v>4</v>
      </c>
      <c r="F31" s="157" t="s">
        <v>9</v>
      </c>
      <c r="G31" s="158" t="s">
        <v>156</v>
      </c>
      <c r="H31" s="158" t="s">
        <v>159</v>
      </c>
      <c r="I31" s="157"/>
      <c r="J31" s="157"/>
      <c r="K31" s="157"/>
    </row>
    <row r="32" spans="1:11" x14ac:dyDescent="0.2">
      <c r="A32" s="156"/>
      <c r="B32" s="158" t="s">
        <v>112</v>
      </c>
      <c r="C32" s="158" t="s">
        <v>0</v>
      </c>
      <c r="D32" s="158" t="s">
        <v>177</v>
      </c>
      <c r="E32" s="158" t="s">
        <v>3</v>
      </c>
      <c r="F32" s="158" t="s">
        <v>23</v>
      </c>
      <c r="G32" s="158" t="s">
        <v>156</v>
      </c>
      <c r="H32" s="158" t="s">
        <v>159</v>
      </c>
      <c r="I32" s="157"/>
      <c r="J32" s="157"/>
      <c r="K32" s="157"/>
    </row>
    <row r="33" spans="1:11" x14ac:dyDescent="0.2">
      <c r="A33" s="156"/>
      <c r="B33" s="158" t="s">
        <v>112</v>
      </c>
      <c r="C33" s="158" t="s">
        <v>1</v>
      </c>
      <c r="D33" s="158" t="s">
        <v>177</v>
      </c>
      <c r="E33" s="158" t="s">
        <v>3</v>
      </c>
      <c r="F33" s="158" t="s">
        <v>23</v>
      </c>
      <c r="G33" s="158" t="s">
        <v>156</v>
      </c>
      <c r="H33" s="158" t="s">
        <v>159</v>
      </c>
      <c r="I33" s="157"/>
      <c r="J33" s="157"/>
      <c r="K33" s="157"/>
    </row>
    <row r="34" spans="1:11" x14ac:dyDescent="0.2">
      <c r="A34" s="156"/>
      <c r="B34" s="158" t="s">
        <v>112</v>
      </c>
      <c r="C34" s="158" t="s">
        <v>0</v>
      </c>
      <c r="D34" s="158" t="s">
        <v>177</v>
      </c>
      <c r="E34" s="158" t="s">
        <v>4</v>
      </c>
      <c r="F34" s="158" t="s">
        <v>10</v>
      </c>
      <c r="G34" s="158" t="s">
        <v>156</v>
      </c>
      <c r="H34" s="158" t="s">
        <v>159</v>
      </c>
      <c r="I34" s="157"/>
      <c r="J34" s="157"/>
      <c r="K34" s="157"/>
    </row>
    <row r="35" spans="1:11" x14ac:dyDescent="0.2">
      <c r="A35" s="156"/>
      <c r="B35" s="158" t="s">
        <v>112</v>
      </c>
      <c r="C35" s="158" t="s">
        <v>1</v>
      </c>
      <c r="D35" s="158" t="s">
        <v>177</v>
      </c>
      <c r="E35" s="158" t="s">
        <v>3</v>
      </c>
      <c r="F35" s="158" t="s">
        <v>10</v>
      </c>
      <c r="G35" s="158" t="s">
        <v>156</v>
      </c>
      <c r="H35" s="158" t="s">
        <v>159</v>
      </c>
      <c r="I35" s="157"/>
      <c r="J35" s="157"/>
      <c r="K35" s="157"/>
    </row>
    <row r="36" spans="1:11" x14ac:dyDescent="0.2">
      <c r="A36" s="156"/>
      <c r="B36" s="158" t="s">
        <v>112</v>
      </c>
      <c r="C36" s="158" t="s">
        <v>0</v>
      </c>
      <c r="D36" s="158" t="s">
        <v>2</v>
      </c>
      <c r="E36" s="158" t="s">
        <v>3</v>
      </c>
      <c r="F36" s="157" t="s">
        <v>15</v>
      </c>
      <c r="G36" s="158" t="s">
        <v>156</v>
      </c>
      <c r="H36" s="158" t="s">
        <v>159</v>
      </c>
      <c r="I36" s="157"/>
      <c r="J36" s="157"/>
      <c r="K36" s="157"/>
    </row>
    <row r="37" spans="1:11" x14ac:dyDescent="0.2">
      <c r="A37" s="156"/>
      <c r="B37" s="158" t="s">
        <v>112</v>
      </c>
      <c r="C37" s="158" t="s">
        <v>1</v>
      </c>
      <c r="D37" s="158" t="s">
        <v>2</v>
      </c>
      <c r="E37" s="158" t="s">
        <v>4</v>
      </c>
      <c r="F37" s="158" t="s">
        <v>15</v>
      </c>
      <c r="G37" s="158" t="s">
        <v>156</v>
      </c>
      <c r="H37" s="158" t="s">
        <v>159</v>
      </c>
      <c r="I37" s="157"/>
      <c r="J37" s="157"/>
      <c r="K37" s="157"/>
    </row>
    <row r="38" spans="1:11" x14ac:dyDescent="0.2">
      <c r="A38" s="156"/>
      <c r="B38" s="158" t="s">
        <v>112</v>
      </c>
      <c r="C38" s="158" t="s">
        <v>0</v>
      </c>
      <c r="D38" s="158" t="s">
        <v>177</v>
      </c>
      <c r="E38" s="158" t="s">
        <v>3</v>
      </c>
      <c r="F38" s="158" t="s">
        <v>13</v>
      </c>
      <c r="G38" s="158" t="s">
        <v>228</v>
      </c>
      <c r="H38" s="158" t="s">
        <v>17</v>
      </c>
      <c r="I38" s="158" t="s">
        <v>130</v>
      </c>
      <c r="J38" s="157"/>
      <c r="K38" s="157"/>
    </row>
    <row r="39" spans="1:11" x14ac:dyDescent="0.2">
      <c r="A39" s="156"/>
      <c r="B39" s="158" t="s">
        <v>112</v>
      </c>
      <c r="C39" s="158" t="s">
        <v>0</v>
      </c>
      <c r="D39" s="158" t="s">
        <v>177</v>
      </c>
      <c r="E39" s="158" t="s">
        <v>3</v>
      </c>
      <c r="F39" s="158" t="s">
        <v>13</v>
      </c>
      <c r="G39" s="158" t="s">
        <v>228</v>
      </c>
      <c r="H39" s="158" t="s">
        <v>159</v>
      </c>
      <c r="I39" s="157"/>
      <c r="J39" s="157"/>
      <c r="K39" s="157"/>
    </row>
    <row r="40" spans="1:11" x14ac:dyDescent="0.2">
      <c r="A40" s="156"/>
      <c r="B40" s="158" t="s">
        <v>112</v>
      </c>
      <c r="C40" s="158" t="s">
        <v>0</v>
      </c>
      <c r="D40" s="158" t="s">
        <v>177</v>
      </c>
      <c r="E40" s="158" t="s">
        <v>3</v>
      </c>
      <c r="F40" s="158" t="s">
        <v>16</v>
      </c>
      <c r="G40" s="158" t="s">
        <v>228</v>
      </c>
      <c r="H40" s="158" t="s">
        <v>159</v>
      </c>
      <c r="I40" s="157"/>
      <c r="J40" s="157"/>
      <c r="K40" s="157"/>
    </row>
    <row r="41" spans="1:11" x14ac:dyDescent="0.2">
      <c r="A41" s="156"/>
      <c r="B41" s="158" t="s">
        <v>113</v>
      </c>
      <c r="C41" s="158" t="s">
        <v>0</v>
      </c>
      <c r="D41" s="158" t="s">
        <v>177</v>
      </c>
      <c r="E41" s="158" t="s">
        <v>4</v>
      </c>
      <c r="F41" s="158" t="s">
        <v>16</v>
      </c>
      <c r="G41" s="158" t="s">
        <v>156</v>
      </c>
      <c r="H41" s="158" t="s">
        <v>17</v>
      </c>
      <c r="I41" s="158" t="s">
        <v>130</v>
      </c>
      <c r="J41" s="157"/>
      <c r="K41" s="157"/>
    </row>
    <row r="42" spans="1:11" x14ac:dyDescent="0.2">
      <c r="A42" s="156"/>
      <c r="B42" s="158" t="s">
        <v>113</v>
      </c>
      <c r="C42" s="158" t="s">
        <v>0</v>
      </c>
      <c r="D42" s="158" t="s">
        <v>177</v>
      </c>
      <c r="E42" s="158" t="s">
        <v>4</v>
      </c>
      <c r="F42" s="157" t="s">
        <v>14</v>
      </c>
      <c r="G42" s="158" t="s">
        <v>155</v>
      </c>
      <c r="H42" s="158" t="s">
        <v>17</v>
      </c>
      <c r="I42" s="158" t="s">
        <v>130</v>
      </c>
      <c r="J42" s="157"/>
      <c r="K42" s="157"/>
    </row>
    <row r="43" spans="1:11" x14ac:dyDescent="0.2">
      <c r="A43" s="156"/>
      <c r="B43" s="158" t="s">
        <v>113</v>
      </c>
      <c r="C43" s="158" t="s">
        <v>0</v>
      </c>
      <c r="D43" s="158" t="s">
        <v>177</v>
      </c>
      <c r="E43" s="158" t="s">
        <v>4</v>
      </c>
      <c r="F43" s="158" t="s">
        <v>10</v>
      </c>
      <c r="G43" s="158" t="s">
        <v>155</v>
      </c>
      <c r="H43" s="158" t="s">
        <v>159</v>
      </c>
      <c r="I43" s="157"/>
      <c r="J43" s="157"/>
      <c r="K43" s="157"/>
    </row>
    <row r="44" spans="1:11" x14ac:dyDescent="0.2">
      <c r="A44" s="156"/>
      <c r="B44" s="158" t="s">
        <v>113</v>
      </c>
      <c r="C44" s="158" t="s">
        <v>1</v>
      </c>
      <c r="D44" s="158" t="s">
        <v>2</v>
      </c>
      <c r="E44" s="158" t="s">
        <v>3</v>
      </c>
      <c r="F44" s="158" t="s">
        <v>16</v>
      </c>
      <c r="G44" s="158" t="s">
        <v>156</v>
      </c>
      <c r="H44" s="158" t="s">
        <v>159</v>
      </c>
      <c r="I44" s="157"/>
      <c r="J44" s="157"/>
      <c r="K44" s="157"/>
    </row>
    <row r="45" spans="1:11" x14ac:dyDescent="0.2">
      <c r="A45" s="156"/>
      <c r="B45" s="158" t="s">
        <v>112</v>
      </c>
      <c r="C45" s="158" t="s">
        <v>0</v>
      </c>
      <c r="D45" s="158" t="s">
        <v>177</v>
      </c>
      <c r="E45" s="158" t="s">
        <v>3</v>
      </c>
      <c r="F45" s="158" t="s">
        <v>56</v>
      </c>
      <c r="G45" s="158" t="s">
        <v>156</v>
      </c>
      <c r="H45" s="158" t="s">
        <v>159</v>
      </c>
      <c r="I45" s="157"/>
      <c r="J45" s="157"/>
      <c r="K45" s="157"/>
    </row>
    <row r="46" spans="1:11" x14ac:dyDescent="0.2">
      <c r="A46" s="156"/>
      <c r="B46" s="158" t="s">
        <v>112</v>
      </c>
      <c r="C46" s="158" t="s">
        <v>1</v>
      </c>
      <c r="D46" s="158" t="s">
        <v>177</v>
      </c>
      <c r="E46" s="158" t="s">
        <v>4</v>
      </c>
      <c r="F46" s="158" t="s">
        <v>56</v>
      </c>
      <c r="G46" s="158" t="s">
        <v>156</v>
      </c>
      <c r="H46" s="158" t="s">
        <v>159</v>
      </c>
      <c r="I46" s="157"/>
      <c r="J46" s="157"/>
      <c r="K46" s="157"/>
    </row>
    <row r="47" spans="1:11" x14ac:dyDescent="0.2">
      <c r="A47" s="156"/>
      <c r="B47" s="158" t="s">
        <v>112</v>
      </c>
      <c r="C47" s="158" t="s">
        <v>1</v>
      </c>
      <c r="D47" s="158" t="s">
        <v>177</v>
      </c>
      <c r="E47" s="158" t="s">
        <v>4</v>
      </c>
      <c r="F47" s="158" t="s">
        <v>23</v>
      </c>
      <c r="G47" s="158" t="s">
        <v>158</v>
      </c>
      <c r="H47" s="158" t="s">
        <v>17</v>
      </c>
      <c r="I47" s="158" t="s">
        <v>130</v>
      </c>
      <c r="J47" s="157"/>
      <c r="K47" s="157"/>
    </row>
    <row r="48" spans="1:11" x14ac:dyDescent="0.2">
      <c r="A48" s="156"/>
      <c r="B48" s="158" t="s">
        <v>112</v>
      </c>
      <c r="C48" s="158" t="s">
        <v>0</v>
      </c>
      <c r="D48" s="158" t="s">
        <v>177</v>
      </c>
      <c r="E48" s="158" t="s">
        <v>4</v>
      </c>
      <c r="F48" s="158" t="s">
        <v>10</v>
      </c>
      <c r="G48" s="158" t="s">
        <v>156</v>
      </c>
      <c r="H48" s="158" t="s">
        <v>159</v>
      </c>
      <c r="I48" s="157"/>
      <c r="J48" s="157"/>
      <c r="K48" s="157"/>
    </row>
    <row r="49" spans="1:11" x14ac:dyDescent="0.2">
      <c r="A49" s="156"/>
      <c r="B49" s="158" t="s">
        <v>112</v>
      </c>
      <c r="C49" s="158" t="s">
        <v>0</v>
      </c>
      <c r="D49" s="158" t="s">
        <v>177</v>
      </c>
      <c r="E49" s="158" t="s">
        <v>4</v>
      </c>
      <c r="F49" s="158" t="s">
        <v>10</v>
      </c>
      <c r="G49" s="158" t="s">
        <v>155</v>
      </c>
      <c r="H49" s="158" t="s">
        <v>159</v>
      </c>
      <c r="I49" s="157"/>
      <c r="J49" s="157"/>
      <c r="K49" s="157"/>
    </row>
    <row r="50" spans="1:11" x14ac:dyDescent="0.2">
      <c r="A50" s="156"/>
      <c r="B50" s="158" t="s">
        <v>112</v>
      </c>
      <c r="C50" s="158" t="s">
        <v>1</v>
      </c>
      <c r="D50" s="158" t="s">
        <v>177</v>
      </c>
      <c r="E50" s="158" t="s">
        <v>4</v>
      </c>
      <c r="F50" s="158" t="s">
        <v>13</v>
      </c>
      <c r="G50" s="158" t="s">
        <v>158</v>
      </c>
      <c r="H50" s="158" t="s">
        <v>17</v>
      </c>
      <c r="I50" s="158" t="s">
        <v>130</v>
      </c>
      <c r="J50" s="157"/>
      <c r="K50" s="157"/>
    </row>
    <row r="51" spans="1:11" x14ac:dyDescent="0.2">
      <c r="A51" s="156"/>
      <c r="B51" s="158" t="s">
        <v>112</v>
      </c>
      <c r="C51" s="158" t="s">
        <v>1</v>
      </c>
      <c r="D51" s="158" t="s">
        <v>177</v>
      </c>
      <c r="E51" s="157" t="s">
        <v>232</v>
      </c>
      <c r="F51" s="158" t="s">
        <v>13</v>
      </c>
      <c r="G51" s="158" t="s">
        <v>158</v>
      </c>
      <c r="H51" s="158" t="s">
        <v>17</v>
      </c>
      <c r="I51" s="158" t="s">
        <v>130</v>
      </c>
      <c r="J51" s="157"/>
      <c r="K51" s="157"/>
    </row>
    <row r="52" spans="1:11" x14ac:dyDescent="0.2">
      <c r="A52" s="156"/>
      <c r="B52" s="158" t="s">
        <v>112</v>
      </c>
      <c r="C52" s="158" t="s">
        <v>0</v>
      </c>
      <c r="D52" s="158" t="s">
        <v>2</v>
      </c>
      <c r="E52" s="158" t="s">
        <v>4</v>
      </c>
      <c r="F52" s="158" t="s">
        <v>23</v>
      </c>
      <c r="G52" s="158" t="s">
        <v>156</v>
      </c>
      <c r="H52" s="158" t="s">
        <v>159</v>
      </c>
      <c r="I52" s="157"/>
      <c r="J52" s="157"/>
      <c r="K52" s="157"/>
    </row>
    <row r="53" spans="1:11" x14ac:dyDescent="0.2">
      <c r="A53" s="156"/>
      <c r="B53" s="158" t="s">
        <v>112</v>
      </c>
      <c r="C53" s="158" t="s">
        <v>0</v>
      </c>
      <c r="D53" s="158" t="s">
        <v>177</v>
      </c>
      <c r="E53" s="158" t="s">
        <v>3</v>
      </c>
      <c r="F53" s="158" t="s">
        <v>56</v>
      </c>
      <c r="G53" s="158" t="s">
        <v>155</v>
      </c>
      <c r="H53" s="158" t="s">
        <v>159</v>
      </c>
      <c r="I53" s="157"/>
      <c r="J53" s="157"/>
      <c r="K53" s="157"/>
    </row>
    <row r="54" spans="1:11" x14ac:dyDescent="0.2">
      <c r="A54" s="156"/>
      <c r="B54" s="158" t="s">
        <v>112</v>
      </c>
      <c r="C54" s="158" t="s">
        <v>1</v>
      </c>
      <c r="D54" s="158" t="s">
        <v>177</v>
      </c>
      <c r="E54" s="158" t="s">
        <v>3</v>
      </c>
      <c r="F54" s="158" t="s">
        <v>56</v>
      </c>
      <c r="G54" s="158" t="s">
        <v>155</v>
      </c>
      <c r="H54" s="158" t="s">
        <v>159</v>
      </c>
      <c r="I54" s="157"/>
      <c r="J54" s="157"/>
      <c r="K54" s="157"/>
    </row>
    <row r="55" spans="1:11" x14ac:dyDescent="0.2">
      <c r="A55" s="156"/>
      <c r="B55" s="158" t="s">
        <v>112</v>
      </c>
      <c r="C55" s="158" t="s">
        <v>1</v>
      </c>
      <c r="D55" s="158" t="s">
        <v>177</v>
      </c>
      <c r="E55" s="158" t="s">
        <v>4</v>
      </c>
      <c r="F55" s="158" t="s">
        <v>56</v>
      </c>
      <c r="G55" s="158" t="s">
        <v>155</v>
      </c>
      <c r="H55" s="158" t="s">
        <v>159</v>
      </c>
      <c r="I55" s="157"/>
      <c r="J55" s="157"/>
      <c r="K55" s="157"/>
    </row>
    <row r="56" spans="1:11" x14ac:dyDescent="0.2">
      <c r="A56" s="156"/>
      <c r="B56" s="158" t="s">
        <v>112</v>
      </c>
      <c r="C56" s="158" t="s">
        <v>0</v>
      </c>
      <c r="D56" s="158" t="s">
        <v>177</v>
      </c>
      <c r="E56" s="158" t="s">
        <v>4</v>
      </c>
      <c r="F56" s="158" t="s">
        <v>10</v>
      </c>
      <c r="G56" s="158" t="s">
        <v>156</v>
      </c>
      <c r="H56" s="158" t="s">
        <v>159</v>
      </c>
      <c r="I56" s="157"/>
      <c r="J56" s="157"/>
      <c r="K56" s="157"/>
    </row>
    <row r="57" spans="1:11" x14ac:dyDescent="0.2">
      <c r="A57" s="156"/>
      <c r="B57" s="158" t="s">
        <v>112</v>
      </c>
      <c r="C57" s="158" t="s">
        <v>1</v>
      </c>
      <c r="D57" s="158" t="s">
        <v>177</v>
      </c>
      <c r="E57" s="158" t="s">
        <v>3</v>
      </c>
      <c r="F57" s="158" t="s">
        <v>10</v>
      </c>
      <c r="G57" s="158" t="s">
        <v>156</v>
      </c>
      <c r="H57" s="158" t="s">
        <v>159</v>
      </c>
      <c r="I57" s="157"/>
      <c r="J57" s="157"/>
      <c r="K57" s="157"/>
    </row>
    <row r="58" spans="1:11" x14ac:dyDescent="0.2">
      <c r="A58" s="156"/>
      <c r="B58" s="158" t="s">
        <v>113</v>
      </c>
      <c r="C58" s="158" t="s">
        <v>0</v>
      </c>
      <c r="D58" s="158" t="s">
        <v>177</v>
      </c>
      <c r="E58" s="158" t="s">
        <v>4</v>
      </c>
      <c r="F58" s="158" t="s">
        <v>10</v>
      </c>
      <c r="G58" s="158" t="s">
        <v>156</v>
      </c>
      <c r="H58" s="158" t="s">
        <v>159</v>
      </c>
      <c r="I58" s="157"/>
      <c r="J58" s="157"/>
      <c r="K58" s="157"/>
    </row>
    <row r="59" spans="1:11" x14ac:dyDescent="0.2">
      <c r="A59" s="156"/>
      <c r="B59" s="158" t="s">
        <v>113</v>
      </c>
      <c r="C59" s="158" t="s">
        <v>1</v>
      </c>
      <c r="D59" s="158" t="s">
        <v>177</v>
      </c>
      <c r="E59" s="158" t="s">
        <v>3</v>
      </c>
      <c r="F59" s="158" t="s">
        <v>10</v>
      </c>
      <c r="G59" s="158" t="s">
        <v>156</v>
      </c>
      <c r="H59" s="158" t="s">
        <v>159</v>
      </c>
      <c r="I59" s="157"/>
      <c r="J59" s="157"/>
      <c r="K59" s="157"/>
    </row>
    <row r="60" spans="1:11" x14ac:dyDescent="0.2">
      <c r="A60" s="156"/>
      <c r="B60" s="158" t="s">
        <v>113</v>
      </c>
      <c r="C60" s="158" t="s">
        <v>1</v>
      </c>
      <c r="D60" s="158" t="s">
        <v>177</v>
      </c>
      <c r="E60" s="158" t="s">
        <v>3</v>
      </c>
      <c r="F60" s="158" t="s">
        <v>10</v>
      </c>
      <c r="G60" s="158" t="s">
        <v>156</v>
      </c>
      <c r="H60" s="158" t="s">
        <v>159</v>
      </c>
      <c r="I60" s="157"/>
      <c r="J60" s="157"/>
      <c r="K60" s="157"/>
    </row>
    <row r="61" spans="1:11" x14ac:dyDescent="0.2">
      <c r="A61" s="156"/>
      <c r="B61" s="158" t="s">
        <v>113</v>
      </c>
      <c r="C61" s="158" t="s">
        <v>0</v>
      </c>
      <c r="D61" s="158" t="s">
        <v>2</v>
      </c>
      <c r="E61" s="158" t="s">
        <v>4</v>
      </c>
      <c r="F61" s="158" t="s">
        <v>11</v>
      </c>
      <c r="G61" s="158" t="s">
        <v>155</v>
      </c>
      <c r="H61" s="158" t="s">
        <v>159</v>
      </c>
      <c r="I61" s="157"/>
      <c r="J61" s="157"/>
      <c r="K61" s="157"/>
    </row>
    <row r="62" spans="1:11" x14ac:dyDescent="0.2">
      <c r="A62" s="156"/>
      <c r="B62" s="158" t="s">
        <v>113</v>
      </c>
      <c r="C62" s="158" t="s">
        <v>1</v>
      </c>
      <c r="D62" s="158" t="s">
        <v>2</v>
      </c>
      <c r="E62" s="158" t="s">
        <v>4</v>
      </c>
      <c r="F62" s="158" t="s">
        <v>11</v>
      </c>
      <c r="G62" s="158" t="s">
        <v>155</v>
      </c>
      <c r="H62" s="158" t="s">
        <v>159</v>
      </c>
      <c r="I62" s="157"/>
      <c r="J62" s="157"/>
      <c r="K62" s="157"/>
    </row>
    <row r="63" spans="1:11" x14ac:dyDescent="0.2">
      <c r="A63" s="156"/>
      <c r="B63" s="158" t="s">
        <v>114</v>
      </c>
      <c r="C63" s="158" t="s">
        <v>1</v>
      </c>
      <c r="D63" s="158" t="s">
        <v>177</v>
      </c>
      <c r="E63" s="158" t="s">
        <v>4</v>
      </c>
      <c r="F63" s="157" t="s">
        <v>106</v>
      </c>
      <c r="G63" s="158" t="s">
        <v>156</v>
      </c>
      <c r="H63" s="158" t="s">
        <v>17</v>
      </c>
      <c r="I63" s="158" t="s">
        <v>130</v>
      </c>
      <c r="J63" s="157" t="s">
        <v>20</v>
      </c>
      <c r="K63" s="157"/>
    </row>
    <row r="64" spans="1:11" x14ac:dyDescent="0.2">
      <c r="A64" s="156"/>
      <c r="B64" s="158" t="s">
        <v>114</v>
      </c>
      <c r="C64" s="158" t="s">
        <v>0</v>
      </c>
      <c r="D64" s="158" t="s">
        <v>177</v>
      </c>
      <c r="E64" s="158" t="s">
        <v>4</v>
      </c>
      <c r="F64" s="158" t="s">
        <v>23</v>
      </c>
      <c r="G64" s="158" t="s">
        <v>228</v>
      </c>
      <c r="H64" s="158" t="s">
        <v>17</v>
      </c>
      <c r="I64" s="158" t="s">
        <v>130</v>
      </c>
      <c r="J64" s="157"/>
      <c r="K64" s="157"/>
    </row>
    <row r="65" spans="1:11" x14ac:dyDescent="0.2">
      <c r="A65" s="156"/>
      <c r="B65" s="158" t="s">
        <v>114</v>
      </c>
      <c r="C65" s="158" t="s">
        <v>1</v>
      </c>
      <c r="D65" s="158" t="s">
        <v>177</v>
      </c>
      <c r="E65" s="158" t="s">
        <v>4</v>
      </c>
      <c r="F65" s="158" t="s">
        <v>106</v>
      </c>
      <c r="G65" s="158" t="s">
        <v>156</v>
      </c>
      <c r="H65" s="158" t="s">
        <v>7</v>
      </c>
      <c r="I65" s="157" t="s">
        <v>120</v>
      </c>
      <c r="J65" s="157" t="s">
        <v>20</v>
      </c>
      <c r="K65" s="157"/>
    </row>
    <row r="66" spans="1:11" x14ac:dyDescent="0.2">
      <c r="A66" s="156"/>
      <c r="B66" s="158" t="s">
        <v>114</v>
      </c>
      <c r="C66" s="158" t="s">
        <v>1</v>
      </c>
      <c r="D66" s="158" t="s">
        <v>177</v>
      </c>
      <c r="E66" s="158" t="s">
        <v>4</v>
      </c>
      <c r="F66" s="158" t="s">
        <v>11</v>
      </c>
      <c r="G66" s="158" t="s">
        <v>156</v>
      </c>
      <c r="H66" s="158" t="s">
        <v>7</v>
      </c>
      <c r="I66" s="158" t="s">
        <v>120</v>
      </c>
      <c r="J66" s="157" t="s">
        <v>20</v>
      </c>
      <c r="K66" s="157"/>
    </row>
    <row r="67" spans="1:11" x14ac:dyDescent="0.2">
      <c r="A67" s="156"/>
      <c r="B67" s="158" t="s">
        <v>114</v>
      </c>
      <c r="C67" s="158" t="s">
        <v>1</v>
      </c>
      <c r="D67" s="158" t="s">
        <v>177</v>
      </c>
      <c r="E67" s="158" t="s">
        <v>3</v>
      </c>
      <c r="F67" s="157" t="s">
        <v>153</v>
      </c>
      <c r="G67" s="158" t="s">
        <v>156</v>
      </c>
      <c r="H67" s="158" t="s">
        <v>7</v>
      </c>
      <c r="I67" s="158" t="s">
        <v>120</v>
      </c>
      <c r="J67" s="157" t="s">
        <v>20</v>
      </c>
      <c r="K67" s="157"/>
    </row>
    <row r="68" spans="1:11" x14ac:dyDescent="0.2">
      <c r="A68" s="156"/>
      <c r="B68" s="158" t="s">
        <v>114</v>
      </c>
      <c r="C68" s="158" t="s">
        <v>1</v>
      </c>
      <c r="D68" s="158" t="s">
        <v>177</v>
      </c>
      <c r="E68" s="158" t="s">
        <v>3</v>
      </c>
      <c r="F68" s="158" t="s">
        <v>13</v>
      </c>
      <c r="G68" s="158" t="s">
        <v>156</v>
      </c>
      <c r="H68" s="158" t="s">
        <v>7</v>
      </c>
      <c r="I68" s="158" t="s">
        <v>120</v>
      </c>
      <c r="J68" s="157" t="s">
        <v>20</v>
      </c>
      <c r="K68" s="157" t="s">
        <v>242</v>
      </c>
    </row>
    <row r="69" spans="1:11" x14ac:dyDescent="0.2">
      <c r="A69" s="156"/>
      <c r="B69" s="158" t="s">
        <v>114</v>
      </c>
      <c r="C69" s="158" t="s">
        <v>0</v>
      </c>
      <c r="D69" s="158" t="s">
        <v>177</v>
      </c>
      <c r="E69" s="158" t="s">
        <v>3</v>
      </c>
      <c r="F69" s="158" t="s">
        <v>56</v>
      </c>
      <c r="G69" s="158" t="s">
        <v>156</v>
      </c>
      <c r="H69" s="158" t="s">
        <v>7</v>
      </c>
      <c r="I69" s="157" t="s">
        <v>254</v>
      </c>
      <c r="J69" s="157" t="s">
        <v>20</v>
      </c>
      <c r="K69" s="157"/>
    </row>
    <row r="70" spans="1:11" x14ac:dyDescent="0.2">
      <c r="A70" s="156"/>
      <c r="B70" s="158" t="s">
        <v>114</v>
      </c>
      <c r="C70" s="158" t="s">
        <v>0</v>
      </c>
      <c r="D70" s="158" t="s">
        <v>177</v>
      </c>
      <c r="E70" s="158" t="s">
        <v>4</v>
      </c>
      <c r="F70" s="158" t="s">
        <v>10</v>
      </c>
      <c r="G70" s="158" t="s">
        <v>228</v>
      </c>
      <c r="H70" s="158" t="s">
        <v>7</v>
      </c>
      <c r="I70" s="158" t="s">
        <v>254</v>
      </c>
      <c r="J70" s="157" t="s">
        <v>20</v>
      </c>
      <c r="K70" s="157"/>
    </row>
    <row r="71" spans="1:11" x14ac:dyDescent="0.2">
      <c r="A71" s="156"/>
      <c r="B71" s="158" t="s">
        <v>114</v>
      </c>
      <c r="C71" s="158" t="s">
        <v>0</v>
      </c>
      <c r="D71" s="158" t="s">
        <v>177</v>
      </c>
      <c r="E71" s="158" t="s">
        <v>3</v>
      </c>
      <c r="F71" s="158" t="s">
        <v>23</v>
      </c>
      <c r="G71" s="158" t="s">
        <v>156</v>
      </c>
      <c r="H71" s="158" t="s">
        <v>7</v>
      </c>
      <c r="I71" s="158" t="s">
        <v>119</v>
      </c>
      <c r="J71" s="157" t="s">
        <v>20</v>
      </c>
      <c r="K71" s="157" t="s">
        <v>242</v>
      </c>
    </row>
    <row r="72" spans="1:11" x14ac:dyDescent="0.2">
      <c r="A72" s="156"/>
      <c r="B72" s="158" t="s">
        <v>114</v>
      </c>
      <c r="C72" s="158" t="s">
        <v>0</v>
      </c>
      <c r="D72" s="158" t="s">
        <v>177</v>
      </c>
      <c r="E72" s="158" t="s">
        <v>3</v>
      </c>
      <c r="F72" s="158" t="s">
        <v>16</v>
      </c>
      <c r="G72" s="158" t="s">
        <v>156</v>
      </c>
      <c r="H72" s="158" t="s">
        <v>7</v>
      </c>
      <c r="I72" s="158" t="s">
        <v>119</v>
      </c>
      <c r="J72" s="157" t="s">
        <v>20</v>
      </c>
      <c r="K72" s="157" t="s">
        <v>242</v>
      </c>
    </row>
    <row r="73" spans="1:11" x14ac:dyDescent="0.2">
      <c r="A73" s="156"/>
      <c r="B73" s="158" t="s">
        <v>114</v>
      </c>
      <c r="C73" s="158" t="s">
        <v>0</v>
      </c>
      <c r="D73" s="158" t="s">
        <v>177</v>
      </c>
      <c r="E73" s="158" t="s">
        <v>3</v>
      </c>
      <c r="F73" s="158" t="s">
        <v>13</v>
      </c>
      <c r="G73" s="158" t="s">
        <v>156</v>
      </c>
      <c r="H73" s="158" t="s">
        <v>7</v>
      </c>
      <c r="I73" s="158" t="s">
        <v>119</v>
      </c>
      <c r="J73" s="157" t="s">
        <v>20</v>
      </c>
      <c r="K73" s="157" t="s">
        <v>242</v>
      </c>
    </row>
    <row r="74" spans="1:11" x14ac:dyDescent="0.2">
      <c r="A74" s="156"/>
      <c r="B74" s="158" t="s">
        <v>114</v>
      </c>
      <c r="C74" s="158" t="s">
        <v>0</v>
      </c>
      <c r="D74" s="158" t="s">
        <v>177</v>
      </c>
      <c r="E74" s="158" t="s">
        <v>3</v>
      </c>
      <c r="F74" s="157" t="s">
        <v>12</v>
      </c>
      <c r="G74" s="158" t="s">
        <v>156</v>
      </c>
      <c r="H74" s="158" t="s">
        <v>7</v>
      </c>
      <c r="I74" s="158" t="s">
        <v>119</v>
      </c>
      <c r="J74" s="157" t="s">
        <v>20</v>
      </c>
      <c r="K74" s="157" t="s">
        <v>242</v>
      </c>
    </row>
    <row r="75" spans="1:11" x14ac:dyDescent="0.2">
      <c r="A75" s="156"/>
      <c r="B75" s="158" t="s">
        <v>114</v>
      </c>
      <c r="C75" s="158" t="s">
        <v>1</v>
      </c>
      <c r="D75" s="158" t="s">
        <v>177</v>
      </c>
      <c r="E75" s="158" t="s">
        <v>4</v>
      </c>
      <c r="F75" s="158" t="s">
        <v>10</v>
      </c>
      <c r="G75" s="158" t="s">
        <v>158</v>
      </c>
      <c r="H75" s="158" t="s">
        <v>17</v>
      </c>
      <c r="I75" s="158" t="s">
        <v>130</v>
      </c>
      <c r="J75" s="157" t="s">
        <v>20</v>
      </c>
      <c r="K75" s="157" t="s">
        <v>242</v>
      </c>
    </row>
    <row r="76" spans="1:11" x14ac:dyDescent="0.2">
      <c r="A76" s="156"/>
      <c r="B76" s="158" t="s">
        <v>114</v>
      </c>
      <c r="C76" s="158" t="s">
        <v>1</v>
      </c>
      <c r="D76" s="158" t="s">
        <v>177</v>
      </c>
      <c r="E76" s="158" t="s">
        <v>3</v>
      </c>
      <c r="F76" s="157" t="s">
        <v>110</v>
      </c>
      <c r="G76" s="158" t="s">
        <v>110</v>
      </c>
      <c r="H76" s="158" t="s">
        <v>17</v>
      </c>
      <c r="I76" s="158" t="s">
        <v>130</v>
      </c>
      <c r="J76" s="157" t="s">
        <v>20</v>
      </c>
      <c r="K76" s="157"/>
    </row>
    <row r="77" spans="1:11" x14ac:dyDescent="0.2">
      <c r="A77" s="156"/>
      <c r="B77" s="158" t="s">
        <v>114</v>
      </c>
      <c r="C77" s="158" t="s">
        <v>1</v>
      </c>
      <c r="D77" s="158" t="s">
        <v>177</v>
      </c>
      <c r="E77" s="158" t="s">
        <v>4</v>
      </c>
      <c r="F77" s="158" t="s">
        <v>13</v>
      </c>
      <c r="G77" s="158" t="s">
        <v>158</v>
      </c>
      <c r="H77" s="158" t="s">
        <v>17</v>
      </c>
      <c r="I77" s="158" t="s">
        <v>130</v>
      </c>
      <c r="J77" s="157" t="s">
        <v>20</v>
      </c>
      <c r="K77" s="157"/>
    </row>
    <row r="78" spans="1:11" x14ac:dyDescent="0.2">
      <c r="A78" s="156"/>
      <c r="B78" s="158" t="s">
        <v>114</v>
      </c>
      <c r="C78" s="158" t="s">
        <v>1</v>
      </c>
      <c r="D78" s="158" t="s">
        <v>177</v>
      </c>
      <c r="E78" s="158" t="s">
        <v>4</v>
      </c>
      <c r="F78" s="158" t="s">
        <v>15</v>
      </c>
      <c r="G78" s="158" t="s">
        <v>156</v>
      </c>
      <c r="H78" s="158" t="s">
        <v>159</v>
      </c>
      <c r="I78" s="157"/>
      <c r="J78" s="157" t="s">
        <v>20</v>
      </c>
      <c r="K78" s="157"/>
    </row>
    <row r="79" spans="1:11" x14ac:dyDescent="0.2">
      <c r="A79" s="156"/>
      <c r="B79" s="157" t="s">
        <v>115</v>
      </c>
      <c r="C79" s="158" t="s">
        <v>1</v>
      </c>
      <c r="D79" s="158" t="s">
        <v>2</v>
      </c>
      <c r="E79" s="158" t="s">
        <v>3</v>
      </c>
      <c r="F79" s="158" t="s">
        <v>110</v>
      </c>
      <c r="G79" s="158" t="s">
        <v>110</v>
      </c>
      <c r="H79" s="158" t="s">
        <v>18</v>
      </c>
      <c r="I79" s="157" t="s">
        <v>137</v>
      </c>
      <c r="J79" s="157" t="s">
        <v>20</v>
      </c>
      <c r="K79" s="157"/>
    </row>
    <row r="80" spans="1:11" x14ac:dyDescent="0.2">
      <c r="A80" s="156"/>
      <c r="B80" s="158" t="s">
        <v>115</v>
      </c>
      <c r="C80" s="158" t="s">
        <v>0</v>
      </c>
      <c r="D80" s="158" t="s">
        <v>2</v>
      </c>
      <c r="E80" s="158" t="s">
        <v>3</v>
      </c>
      <c r="F80" s="158" t="s">
        <v>56</v>
      </c>
      <c r="G80" s="158" t="s">
        <v>156</v>
      </c>
      <c r="H80" s="158" t="s">
        <v>159</v>
      </c>
      <c r="I80" s="157" t="s">
        <v>150</v>
      </c>
      <c r="J80" s="157" t="s">
        <v>20</v>
      </c>
      <c r="K80" s="157"/>
    </row>
    <row r="81" spans="1:11" x14ac:dyDescent="0.2">
      <c r="A81" s="156"/>
      <c r="B81" s="158" t="s">
        <v>115</v>
      </c>
      <c r="C81" s="158" t="s">
        <v>1</v>
      </c>
      <c r="D81" s="158" t="s">
        <v>2</v>
      </c>
      <c r="E81" s="158" t="s">
        <v>4</v>
      </c>
      <c r="F81" s="158" t="s">
        <v>56</v>
      </c>
      <c r="G81" s="158" t="s">
        <v>156</v>
      </c>
      <c r="H81" s="158" t="s">
        <v>159</v>
      </c>
      <c r="I81" s="157" t="s">
        <v>150</v>
      </c>
      <c r="J81" s="157" t="s">
        <v>20</v>
      </c>
      <c r="K81" s="157"/>
    </row>
    <row r="82" spans="1:11" x14ac:dyDescent="0.2">
      <c r="A82" s="156"/>
      <c r="B82" s="158" t="s">
        <v>115</v>
      </c>
      <c r="C82" s="158" t="s">
        <v>0</v>
      </c>
      <c r="D82" s="158" t="s">
        <v>2</v>
      </c>
      <c r="E82" s="158" t="s">
        <v>4</v>
      </c>
      <c r="F82" s="158" t="s">
        <v>106</v>
      </c>
      <c r="G82" s="158" t="s">
        <v>155</v>
      </c>
      <c r="H82" s="158" t="s">
        <v>18</v>
      </c>
      <c r="I82" s="157" t="s">
        <v>137</v>
      </c>
      <c r="J82" s="157"/>
      <c r="K82" s="157"/>
    </row>
    <row r="83" spans="1:11" x14ac:dyDescent="0.2">
      <c r="A83" s="156"/>
      <c r="B83" s="158" t="s">
        <v>115</v>
      </c>
      <c r="C83" s="158" t="s">
        <v>1</v>
      </c>
      <c r="D83" s="158" t="s">
        <v>177</v>
      </c>
      <c r="E83" s="158" t="s">
        <v>4</v>
      </c>
      <c r="F83" s="158" t="s">
        <v>56</v>
      </c>
      <c r="G83" s="158" t="s">
        <v>155</v>
      </c>
      <c r="H83" s="158" t="s">
        <v>18</v>
      </c>
      <c r="I83" s="157" t="s">
        <v>137</v>
      </c>
      <c r="J83" s="157"/>
      <c r="K83" s="157"/>
    </row>
    <row r="84" spans="1:11" x14ac:dyDescent="0.2">
      <c r="A84" s="156"/>
      <c r="B84" s="158" t="s">
        <v>115</v>
      </c>
      <c r="C84" s="158" t="s">
        <v>0</v>
      </c>
      <c r="D84" s="158" t="s">
        <v>2</v>
      </c>
      <c r="E84" s="158" t="s">
        <v>3</v>
      </c>
      <c r="F84" s="158" t="s">
        <v>56</v>
      </c>
      <c r="G84" s="158" t="s">
        <v>155</v>
      </c>
      <c r="H84" s="158" t="s">
        <v>159</v>
      </c>
      <c r="I84" s="157" t="s">
        <v>137</v>
      </c>
      <c r="J84" s="157"/>
      <c r="K84" s="157"/>
    </row>
    <row r="85" spans="1:11" x14ac:dyDescent="0.2">
      <c r="A85" s="156"/>
      <c r="B85" s="158" t="s">
        <v>115</v>
      </c>
      <c r="C85" s="158" t="s">
        <v>0</v>
      </c>
      <c r="D85" s="158" t="s">
        <v>177</v>
      </c>
      <c r="E85" s="158" t="s">
        <v>3</v>
      </c>
      <c r="F85" s="158" t="s">
        <v>56</v>
      </c>
      <c r="G85" s="158" t="s">
        <v>155</v>
      </c>
      <c r="H85" s="158" t="s">
        <v>18</v>
      </c>
      <c r="I85" s="157" t="s">
        <v>137</v>
      </c>
      <c r="J85" s="157"/>
      <c r="K85" s="157"/>
    </row>
    <row r="86" spans="1:11" x14ac:dyDescent="0.2">
      <c r="A86" s="156"/>
      <c r="B86" s="158" t="s">
        <v>115</v>
      </c>
      <c r="C86" s="158" t="s">
        <v>0</v>
      </c>
      <c r="D86" s="158" t="s">
        <v>177</v>
      </c>
      <c r="E86" s="158" t="s">
        <v>3</v>
      </c>
      <c r="F86" s="158" t="s">
        <v>56</v>
      </c>
      <c r="G86" s="158" t="s">
        <v>156</v>
      </c>
      <c r="H86" s="158" t="s">
        <v>159</v>
      </c>
      <c r="I86" s="157" t="s">
        <v>150</v>
      </c>
      <c r="J86" s="157"/>
      <c r="K86" s="157"/>
    </row>
    <row r="87" spans="1:11" x14ac:dyDescent="0.2">
      <c r="A87" s="156"/>
      <c r="B87" s="158" t="s">
        <v>115</v>
      </c>
      <c r="C87" s="158" t="s">
        <v>1</v>
      </c>
      <c r="D87" s="158" t="s">
        <v>177</v>
      </c>
      <c r="E87" s="158" t="s">
        <v>4</v>
      </c>
      <c r="F87" s="158" t="s">
        <v>56</v>
      </c>
      <c r="G87" s="158" t="s">
        <v>156</v>
      </c>
      <c r="H87" s="158" t="s">
        <v>159</v>
      </c>
      <c r="I87" s="157" t="s">
        <v>150</v>
      </c>
      <c r="J87" s="157"/>
      <c r="K87" s="157"/>
    </row>
    <row r="88" spans="1:11" x14ac:dyDescent="0.2">
      <c r="A88" s="156"/>
      <c r="B88" s="158" t="s">
        <v>112</v>
      </c>
      <c r="C88" s="158" t="s">
        <v>0</v>
      </c>
      <c r="D88" s="158" t="s">
        <v>177</v>
      </c>
      <c r="E88" s="158" t="s">
        <v>4</v>
      </c>
      <c r="F88" s="158" t="s">
        <v>13</v>
      </c>
      <c r="G88" s="158" t="s">
        <v>156</v>
      </c>
      <c r="H88" s="158" t="s">
        <v>159</v>
      </c>
      <c r="I88" s="157"/>
      <c r="J88" s="157"/>
      <c r="K88" s="157"/>
    </row>
    <row r="89" spans="1:11" x14ac:dyDescent="0.2">
      <c r="A89" s="156"/>
      <c r="B89" s="158" t="s">
        <v>112</v>
      </c>
      <c r="C89" s="158" t="s">
        <v>1</v>
      </c>
      <c r="D89" s="158" t="s">
        <v>177</v>
      </c>
      <c r="E89" s="158" t="s">
        <v>4</v>
      </c>
      <c r="F89" s="158" t="s">
        <v>13</v>
      </c>
      <c r="G89" s="158" t="s">
        <v>156</v>
      </c>
      <c r="H89" s="158" t="s">
        <v>159</v>
      </c>
      <c r="I89" s="157"/>
      <c r="J89" s="157"/>
      <c r="K89" s="157"/>
    </row>
    <row r="90" spans="1:11" x14ac:dyDescent="0.2">
      <c r="A90" s="156"/>
      <c r="B90" s="158" t="s">
        <v>112</v>
      </c>
      <c r="C90" s="158" t="s">
        <v>0</v>
      </c>
      <c r="D90" s="158" t="s">
        <v>177</v>
      </c>
      <c r="E90" s="158" t="s">
        <v>3</v>
      </c>
      <c r="F90" s="158" t="s">
        <v>106</v>
      </c>
      <c r="G90" s="158" t="s">
        <v>155</v>
      </c>
      <c r="H90" s="158" t="s">
        <v>159</v>
      </c>
      <c r="I90" s="157"/>
      <c r="J90" s="157"/>
      <c r="K90" s="157"/>
    </row>
    <row r="91" spans="1:11" x14ac:dyDescent="0.2">
      <c r="A91" s="156"/>
      <c r="B91" s="158" t="s">
        <v>112</v>
      </c>
      <c r="C91" s="158" t="s">
        <v>1</v>
      </c>
      <c r="D91" s="158" t="s">
        <v>177</v>
      </c>
      <c r="E91" s="158" t="s">
        <v>4</v>
      </c>
      <c r="F91" s="158" t="s">
        <v>106</v>
      </c>
      <c r="G91" s="158" t="s">
        <v>155</v>
      </c>
      <c r="H91" s="158" t="s">
        <v>159</v>
      </c>
      <c r="I91" s="157"/>
      <c r="J91" s="157"/>
      <c r="K91" s="157"/>
    </row>
    <row r="92" spans="1:11" x14ac:dyDescent="0.2">
      <c r="A92" s="156"/>
      <c r="B92" s="158" t="s">
        <v>112</v>
      </c>
      <c r="C92" s="158" t="s">
        <v>1</v>
      </c>
      <c r="D92" s="158" t="s">
        <v>177</v>
      </c>
      <c r="E92" s="158" t="s">
        <v>4</v>
      </c>
      <c r="F92" s="158" t="s">
        <v>23</v>
      </c>
      <c r="G92" s="158" t="s">
        <v>158</v>
      </c>
      <c r="H92" s="158" t="s">
        <v>17</v>
      </c>
      <c r="I92" s="158" t="s">
        <v>130</v>
      </c>
      <c r="J92" s="157"/>
      <c r="K92" s="157"/>
    </row>
    <row r="93" spans="1:11" x14ac:dyDescent="0.2">
      <c r="A93" s="156"/>
      <c r="B93" s="158" t="s">
        <v>112</v>
      </c>
      <c r="C93" s="158" t="s">
        <v>0</v>
      </c>
      <c r="D93" s="158" t="s">
        <v>177</v>
      </c>
      <c r="E93" s="158" t="s">
        <v>4</v>
      </c>
      <c r="F93" s="158" t="s">
        <v>10</v>
      </c>
      <c r="G93" s="158" t="s">
        <v>228</v>
      </c>
      <c r="H93" s="158" t="s">
        <v>17</v>
      </c>
      <c r="I93" s="158" t="s">
        <v>130</v>
      </c>
      <c r="J93" s="157"/>
      <c r="K93" s="157"/>
    </row>
    <row r="94" spans="1:11" x14ac:dyDescent="0.2">
      <c r="A94" s="156"/>
      <c r="B94" s="157" t="s">
        <v>116</v>
      </c>
      <c r="C94" s="158" t="s">
        <v>0</v>
      </c>
      <c r="D94" s="158" t="s">
        <v>177</v>
      </c>
      <c r="E94" s="158" t="s">
        <v>3</v>
      </c>
      <c r="F94" s="158" t="s">
        <v>110</v>
      </c>
      <c r="G94" s="158" t="s">
        <v>110</v>
      </c>
      <c r="H94" s="158" t="s">
        <v>7</v>
      </c>
      <c r="I94" s="157" t="s">
        <v>134</v>
      </c>
      <c r="J94" s="157"/>
      <c r="K94" s="157"/>
    </row>
    <row r="95" spans="1:11" x14ac:dyDescent="0.2">
      <c r="A95" s="156"/>
      <c r="B95" s="157" t="s">
        <v>116</v>
      </c>
      <c r="C95" s="158" t="s">
        <v>0</v>
      </c>
      <c r="D95" s="158" t="s">
        <v>177</v>
      </c>
      <c r="E95" s="158" t="s">
        <v>3</v>
      </c>
      <c r="F95" s="158" t="s">
        <v>110</v>
      </c>
      <c r="G95" s="158" t="s">
        <v>110</v>
      </c>
      <c r="H95" s="158" t="s">
        <v>7</v>
      </c>
      <c r="I95" s="157" t="s">
        <v>134</v>
      </c>
      <c r="J95" s="157"/>
      <c r="K95" s="157"/>
    </row>
    <row r="96" spans="1:11" x14ac:dyDescent="0.2">
      <c r="A96" s="156"/>
      <c r="B96" s="157" t="s">
        <v>116</v>
      </c>
      <c r="C96" s="158" t="s">
        <v>0</v>
      </c>
      <c r="D96" s="158" t="s">
        <v>177</v>
      </c>
      <c r="E96" s="158" t="s">
        <v>3</v>
      </c>
      <c r="F96" s="158" t="s">
        <v>110</v>
      </c>
      <c r="G96" s="158" t="s">
        <v>110</v>
      </c>
      <c r="H96" s="158" t="s">
        <v>7</v>
      </c>
      <c r="I96" s="157" t="s">
        <v>134</v>
      </c>
      <c r="J96" s="157"/>
      <c r="K96" s="157"/>
    </row>
    <row r="97" spans="1:11" x14ac:dyDescent="0.2">
      <c r="A97" s="156"/>
      <c r="B97" s="157" t="s">
        <v>116</v>
      </c>
      <c r="C97" s="158" t="s">
        <v>0</v>
      </c>
      <c r="D97" s="158" t="s">
        <v>177</v>
      </c>
      <c r="E97" s="158" t="s">
        <v>3</v>
      </c>
      <c r="F97" s="158" t="s">
        <v>110</v>
      </c>
      <c r="G97" s="158" t="s">
        <v>110</v>
      </c>
      <c r="H97" s="158" t="s">
        <v>7</v>
      </c>
      <c r="I97" s="157" t="s">
        <v>134</v>
      </c>
      <c r="J97" s="157"/>
      <c r="K97" s="157"/>
    </row>
    <row r="98" spans="1:11" x14ac:dyDescent="0.2">
      <c r="A98" s="156"/>
      <c r="B98" s="157" t="s">
        <v>116</v>
      </c>
      <c r="C98" s="158" t="s">
        <v>0</v>
      </c>
      <c r="D98" s="158" t="s">
        <v>177</v>
      </c>
      <c r="E98" s="158" t="s">
        <v>3</v>
      </c>
      <c r="F98" s="158" t="s">
        <v>110</v>
      </c>
      <c r="G98" s="158" t="s">
        <v>110</v>
      </c>
      <c r="H98" s="158" t="s">
        <v>7</v>
      </c>
      <c r="I98" s="157" t="s">
        <v>134</v>
      </c>
      <c r="J98" s="157"/>
      <c r="K98" s="157"/>
    </row>
    <row r="99" spans="1:11" x14ac:dyDescent="0.2">
      <c r="A99" s="156"/>
      <c r="B99" s="157" t="s">
        <v>116</v>
      </c>
      <c r="C99" s="158" t="s">
        <v>0</v>
      </c>
      <c r="D99" s="158" t="s">
        <v>177</v>
      </c>
      <c r="E99" s="158" t="s">
        <v>3</v>
      </c>
      <c r="F99" s="158" t="s">
        <v>110</v>
      </c>
      <c r="G99" s="158" t="s">
        <v>110</v>
      </c>
      <c r="H99" s="158" t="s">
        <v>7</v>
      </c>
      <c r="I99" s="157" t="s">
        <v>134</v>
      </c>
      <c r="J99" s="157"/>
      <c r="K99" s="157"/>
    </row>
    <row r="100" spans="1:11" x14ac:dyDescent="0.2">
      <c r="A100" s="156"/>
      <c r="B100" s="157" t="s">
        <v>116</v>
      </c>
      <c r="C100" s="158" t="s">
        <v>0</v>
      </c>
      <c r="D100" s="158" t="s">
        <v>177</v>
      </c>
      <c r="E100" s="158" t="s">
        <v>4</v>
      </c>
      <c r="F100" s="158" t="s">
        <v>110</v>
      </c>
      <c r="G100" s="158" t="s">
        <v>110</v>
      </c>
      <c r="H100" s="158" t="s">
        <v>7</v>
      </c>
      <c r="I100" s="157" t="s">
        <v>134</v>
      </c>
      <c r="J100" s="157" t="s">
        <v>20</v>
      </c>
      <c r="K100" s="157" t="s">
        <v>242</v>
      </c>
    </row>
    <row r="101" spans="1:11" x14ac:dyDescent="0.2">
      <c r="A101" s="156"/>
      <c r="B101" s="157" t="s">
        <v>116</v>
      </c>
      <c r="C101" s="158" t="s">
        <v>0</v>
      </c>
      <c r="D101" s="158" t="s">
        <v>177</v>
      </c>
      <c r="E101" s="158" t="s">
        <v>4</v>
      </c>
      <c r="F101" s="158" t="s">
        <v>110</v>
      </c>
      <c r="G101" s="158" t="s">
        <v>110</v>
      </c>
      <c r="H101" s="158" t="s">
        <v>7</v>
      </c>
      <c r="I101" s="157" t="s">
        <v>134</v>
      </c>
      <c r="J101" s="157" t="s">
        <v>20</v>
      </c>
      <c r="K101" s="157" t="s">
        <v>242</v>
      </c>
    </row>
    <row r="102" spans="1:11" x14ac:dyDescent="0.2">
      <c r="A102" s="156"/>
      <c r="B102" s="157" t="s">
        <v>116</v>
      </c>
      <c r="C102" s="158" t="s">
        <v>0</v>
      </c>
      <c r="D102" s="158" t="s">
        <v>177</v>
      </c>
      <c r="E102" s="158" t="s">
        <v>4</v>
      </c>
      <c r="F102" s="158" t="s">
        <v>110</v>
      </c>
      <c r="G102" s="158" t="s">
        <v>110</v>
      </c>
      <c r="H102" s="158" t="s">
        <v>7</v>
      </c>
      <c r="I102" s="157" t="s">
        <v>134</v>
      </c>
      <c r="J102" s="157" t="s">
        <v>20</v>
      </c>
      <c r="K102" s="157" t="s">
        <v>242</v>
      </c>
    </row>
    <row r="103" spans="1:11" x14ac:dyDescent="0.2">
      <c r="A103" s="156"/>
      <c r="B103" s="157" t="s">
        <v>116</v>
      </c>
      <c r="C103" s="158" t="s">
        <v>0</v>
      </c>
      <c r="D103" s="158" t="s">
        <v>177</v>
      </c>
      <c r="E103" s="158" t="s">
        <v>4</v>
      </c>
      <c r="F103" s="158" t="s">
        <v>110</v>
      </c>
      <c r="G103" s="158" t="s">
        <v>110</v>
      </c>
      <c r="H103" s="158" t="s">
        <v>7</v>
      </c>
      <c r="I103" s="157" t="s">
        <v>134</v>
      </c>
      <c r="J103" s="157" t="s">
        <v>20</v>
      </c>
      <c r="K103" s="157"/>
    </row>
    <row r="104" spans="1:11" x14ac:dyDescent="0.2">
      <c r="A104" s="156"/>
      <c r="B104" s="157" t="s">
        <v>116</v>
      </c>
      <c r="C104" s="158" t="s">
        <v>0</v>
      </c>
      <c r="D104" s="158" t="s">
        <v>177</v>
      </c>
      <c r="E104" s="158" t="s">
        <v>4</v>
      </c>
      <c r="F104" s="158" t="s">
        <v>110</v>
      </c>
      <c r="G104" s="158" t="s">
        <v>110</v>
      </c>
      <c r="H104" s="158" t="s">
        <v>7</v>
      </c>
      <c r="I104" s="157" t="s">
        <v>134</v>
      </c>
      <c r="J104" s="157"/>
      <c r="K104" s="157"/>
    </row>
    <row r="105" spans="1:11" x14ac:dyDescent="0.2">
      <c r="A105" s="156"/>
      <c r="B105" s="157" t="s">
        <v>116</v>
      </c>
      <c r="C105" s="158" t="s">
        <v>0</v>
      </c>
      <c r="D105" s="158" t="s">
        <v>177</v>
      </c>
      <c r="E105" s="158" t="s">
        <v>4</v>
      </c>
      <c r="F105" s="158" t="s">
        <v>110</v>
      </c>
      <c r="G105" s="158" t="s">
        <v>110</v>
      </c>
      <c r="H105" s="158" t="s">
        <v>7</v>
      </c>
      <c r="I105" s="157" t="s">
        <v>134</v>
      </c>
      <c r="J105" s="157"/>
      <c r="K105" s="157"/>
    </row>
    <row r="106" spans="1:11" x14ac:dyDescent="0.2">
      <c r="A106" s="156"/>
      <c r="B106" s="157" t="s">
        <v>116</v>
      </c>
      <c r="C106" s="158" t="s">
        <v>0</v>
      </c>
      <c r="D106" s="158" t="s">
        <v>177</v>
      </c>
      <c r="E106" s="158" t="s">
        <v>4</v>
      </c>
      <c r="F106" s="158" t="s">
        <v>110</v>
      </c>
      <c r="G106" s="158" t="s">
        <v>110</v>
      </c>
      <c r="H106" s="158" t="s">
        <v>7</v>
      </c>
      <c r="I106" s="157" t="s">
        <v>134</v>
      </c>
      <c r="J106" s="157"/>
      <c r="K106" s="157"/>
    </row>
    <row r="107" spans="1:11" x14ac:dyDescent="0.2">
      <c r="A107" s="156"/>
      <c r="B107" s="157" t="s">
        <v>116</v>
      </c>
      <c r="C107" s="158" t="s">
        <v>0</v>
      </c>
      <c r="D107" s="158" t="s">
        <v>177</v>
      </c>
      <c r="E107" s="158" t="s">
        <v>4</v>
      </c>
      <c r="F107" s="158" t="s">
        <v>110</v>
      </c>
      <c r="G107" s="158" t="s">
        <v>110</v>
      </c>
      <c r="H107" s="158" t="s">
        <v>7</v>
      </c>
      <c r="I107" s="157" t="s">
        <v>134</v>
      </c>
      <c r="J107" s="157"/>
      <c r="K107" s="157"/>
    </row>
    <row r="108" spans="1:11" x14ac:dyDescent="0.2">
      <c r="A108" s="156"/>
      <c r="B108" s="158" t="s">
        <v>112</v>
      </c>
      <c r="C108" s="158" t="s">
        <v>0</v>
      </c>
      <c r="D108" s="158" t="s">
        <v>2</v>
      </c>
      <c r="E108" s="158" t="s">
        <v>3</v>
      </c>
      <c r="F108" s="158" t="s">
        <v>56</v>
      </c>
      <c r="G108" s="158" t="s">
        <v>155</v>
      </c>
      <c r="H108" s="158" t="s">
        <v>159</v>
      </c>
      <c r="I108" s="157"/>
      <c r="J108" s="157"/>
      <c r="K108" s="157"/>
    </row>
    <row r="109" spans="1:11" x14ac:dyDescent="0.2">
      <c r="A109" s="156"/>
      <c r="B109" s="158" t="s">
        <v>112</v>
      </c>
      <c r="C109" s="158" t="s">
        <v>1</v>
      </c>
      <c r="D109" s="158" t="s">
        <v>2</v>
      </c>
      <c r="E109" s="158" t="s">
        <v>3</v>
      </c>
      <c r="F109" s="158" t="s">
        <v>9</v>
      </c>
      <c r="G109" s="158" t="s">
        <v>155</v>
      </c>
      <c r="H109" s="158" t="s">
        <v>159</v>
      </c>
      <c r="I109" s="157"/>
      <c r="J109" s="157"/>
      <c r="K109" s="157"/>
    </row>
    <row r="110" spans="1:11" x14ac:dyDescent="0.2">
      <c r="A110" s="156"/>
      <c r="B110" s="158" t="s">
        <v>112</v>
      </c>
      <c r="C110" s="158" t="s">
        <v>1</v>
      </c>
      <c r="D110" s="158" t="s">
        <v>2</v>
      </c>
      <c r="E110" s="158" t="s">
        <v>4</v>
      </c>
      <c r="F110" s="158" t="s">
        <v>9</v>
      </c>
      <c r="G110" s="158" t="s">
        <v>155</v>
      </c>
      <c r="H110" s="158" t="s">
        <v>159</v>
      </c>
      <c r="I110" s="157"/>
      <c r="J110" s="157"/>
      <c r="K110" s="157"/>
    </row>
    <row r="111" spans="1:11" x14ac:dyDescent="0.2">
      <c r="A111" s="156"/>
      <c r="B111" s="158" t="s">
        <v>112</v>
      </c>
      <c r="C111" s="158" t="s">
        <v>0</v>
      </c>
      <c r="D111" s="158" t="s">
        <v>2</v>
      </c>
      <c r="E111" s="158" t="s">
        <v>4</v>
      </c>
      <c r="F111" s="158" t="s">
        <v>10</v>
      </c>
      <c r="G111" s="158" t="s">
        <v>156</v>
      </c>
      <c r="H111" s="158" t="s">
        <v>159</v>
      </c>
      <c r="I111" s="157"/>
      <c r="J111" s="157"/>
      <c r="K111" s="157"/>
    </row>
    <row r="112" spans="1:11" x14ac:dyDescent="0.2">
      <c r="A112" s="156"/>
      <c r="B112" s="158" t="s">
        <v>112</v>
      </c>
      <c r="C112" s="158" t="s">
        <v>1</v>
      </c>
      <c r="D112" s="158" t="s">
        <v>2</v>
      </c>
      <c r="E112" s="158" t="s">
        <v>3</v>
      </c>
      <c r="F112" s="158" t="s">
        <v>10</v>
      </c>
      <c r="G112" s="158" t="s">
        <v>156</v>
      </c>
      <c r="H112" s="158" t="s">
        <v>159</v>
      </c>
      <c r="I112" s="157"/>
      <c r="J112" s="157"/>
      <c r="K112" s="157"/>
    </row>
    <row r="113" spans="1:11" x14ac:dyDescent="0.2">
      <c r="A113" s="156"/>
      <c r="B113" s="158" t="s">
        <v>113</v>
      </c>
      <c r="C113" s="158" t="s">
        <v>0</v>
      </c>
      <c r="D113" s="158" t="s">
        <v>2</v>
      </c>
      <c r="E113" s="158" t="s">
        <v>4</v>
      </c>
      <c r="F113" s="158" t="s">
        <v>11</v>
      </c>
      <c r="G113" s="158" t="s">
        <v>156</v>
      </c>
      <c r="H113" s="158" t="s">
        <v>159</v>
      </c>
      <c r="I113" s="157"/>
      <c r="J113" s="157"/>
      <c r="K113" s="157"/>
    </row>
    <row r="114" spans="1:11" x14ac:dyDescent="0.2">
      <c r="A114" s="156"/>
      <c r="B114" s="158" t="s">
        <v>113</v>
      </c>
      <c r="C114" s="158" t="s">
        <v>1</v>
      </c>
      <c r="D114" s="158" t="s">
        <v>2</v>
      </c>
      <c r="E114" s="158" t="s">
        <v>3</v>
      </c>
      <c r="F114" s="158" t="s">
        <v>11</v>
      </c>
      <c r="G114" s="158" t="s">
        <v>156</v>
      </c>
      <c r="H114" s="158" t="s">
        <v>159</v>
      </c>
      <c r="I114" s="157"/>
      <c r="J114" s="157"/>
      <c r="K114" s="157"/>
    </row>
    <row r="115" spans="1:11" x14ac:dyDescent="0.2">
      <c r="A115" s="156"/>
      <c r="B115" s="158" t="s">
        <v>113</v>
      </c>
      <c r="C115" s="158" t="s">
        <v>1</v>
      </c>
      <c r="D115" s="158" t="s">
        <v>2</v>
      </c>
      <c r="E115" s="158" t="s">
        <v>3</v>
      </c>
      <c r="F115" s="158" t="s">
        <v>11</v>
      </c>
      <c r="G115" s="158" t="s">
        <v>156</v>
      </c>
      <c r="H115" s="158" t="s">
        <v>159</v>
      </c>
      <c r="I115" s="157"/>
      <c r="J115" s="157"/>
      <c r="K115" s="157"/>
    </row>
    <row r="116" spans="1:11" x14ac:dyDescent="0.2">
      <c r="A116" s="156"/>
      <c r="B116" s="158" t="s">
        <v>113</v>
      </c>
      <c r="C116" s="158" t="s">
        <v>0</v>
      </c>
      <c r="D116" s="158" t="s">
        <v>2</v>
      </c>
      <c r="E116" s="158" t="s">
        <v>4</v>
      </c>
      <c r="F116" s="158" t="s">
        <v>11</v>
      </c>
      <c r="G116" s="158" t="s">
        <v>155</v>
      </c>
      <c r="H116" s="158" t="s">
        <v>159</v>
      </c>
      <c r="I116" s="157"/>
      <c r="J116" s="157"/>
      <c r="K116" s="157"/>
    </row>
    <row r="117" spans="1:11" x14ac:dyDescent="0.2">
      <c r="A117" s="156"/>
      <c r="B117" s="158" t="s">
        <v>113</v>
      </c>
      <c r="C117" s="158" t="s">
        <v>1</v>
      </c>
      <c r="D117" s="158" t="s">
        <v>2</v>
      </c>
      <c r="E117" s="158" t="s">
        <v>4</v>
      </c>
      <c r="F117" s="158" t="s">
        <v>11</v>
      </c>
      <c r="G117" s="158" t="s">
        <v>155</v>
      </c>
      <c r="H117" s="158" t="s">
        <v>159</v>
      </c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opLeftCell="A34"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113</v>
      </c>
      <c r="C5" s="157" t="s">
        <v>0</v>
      </c>
      <c r="D5" s="157" t="s">
        <v>177</v>
      </c>
      <c r="E5" s="157" t="s">
        <v>4</v>
      </c>
      <c r="F5" s="157" t="s">
        <v>12</v>
      </c>
      <c r="G5" s="157" t="s">
        <v>155</v>
      </c>
      <c r="H5" s="157" t="s">
        <v>159</v>
      </c>
      <c r="I5" s="157"/>
      <c r="J5" s="157"/>
      <c r="K5" s="157"/>
    </row>
    <row r="6" spans="1:11" x14ac:dyDescent="0.2">
      <c r="A6" s="156"/>
      <c r="B6" s="158" t="s">
        <v>113</v>
      </c>
      <c r="C6" s="157" t="s">
        <v>1</v>
      </c>
      <c r="D6" s="158" t="s">
        <v>177</v>
      </c>
      <c r="E6" s="157" t="s">
        <v>3</v>
      </c>
      <c r="F6" s="158" t="s">
        <v>12</v>
      </c>
      <c r="G6" s="158" t="s">
        <v>155</v>
      </c>
      <c r="H6" s="158" t="s">
        <v>159</v>
      </c>
      <c r="I6" s="157"/>
      <c r="J6" s="157"/>
      <c r="K6" s="157"/>
    </row>
    <row r="7" spans="1:11" x14ac:dyDescent="0.2">
      <c r="A7" s="156"/>
      <c r="B7" s="158" t="s">
        <v>113</v>
      </c>
      <c r="C7" s="158" t="s">
        <v>1</v>
      </c>
      <c r="D7" s="158" t="s">
        <v>177</v>
      </c>
      <c r="E7" s="158" t="s">
        <v>3</v>
      </c>
      <c r="F7" s="157" t="s">
        <v>110</v>
      </c>
      <c r="G7" s="158" t="s">
        <v>155</v>
      </c>
      <c r="H7" s="158" t="s">
        <v>159</v>
      </c>
      <c r="I7" s="157"/>
      <c r="J7" s="157"/>
      <c r="K7" s="157"/>
    </row>
    <row r="8" spans="1:11" x14ac:dyDescent="0.2">
      <c r="A8" s="156"/>
      <c r="B8" s="158" t="s">
        <v>113</v>
      </c>
      <c r="C8" s="158" t="s">
        <v>0</v>
      </c>
      <c r="D8" s="158" t="s">
        <v>177</v>
      </c>
      <c r="E8" s="158" t="s">
        <v>4</v>
      </c>
      <c r="F8" s="158" t="s">
        <v>10</v>
      </c>
      <c r="G8" s="158" t="s">
        <v>155</v>
      </c>
      <c r="H8" s="158" t="s">
        <v>159</v>
      </c>
      <c r="I8" s="157"/>
      <c r="J8" s="157"/>
      <c r="K8" s="157"/>
    </row>
    <row r="9" spans="1:11" x14ac:dyDescent="0.2">
      <c r="A9" s="156"/>
      <c r="B9" s="158" t="s">
        <v>113</v>
      </c>
      <c r="C9" s="158" t="s">
        <v>0</v>
      </c>
      <c r="D9" s="158" t="s">
        <v>177</v>
      </c>
      <c r="E9" s="158" t="s">
        <v>4</v>
      </c>
      <c r="F9" s="158" t="s">
        <v>10</v>
      </c>
      <c r="G9" s="157" t="s">
        <v>228</v>
      </c>
      <c r="H9" s="158" t="s">
        <v>17</v>
      </c>
      <c r="I9" s="157" t="s">
        <v>130</v>
      </c>
      <c r="J9" s="157"/>
      <c r="K9" s="157"/>
    </row>
    <row r="10" spans="1:11" x14ac:dyDescent="0.2">
      <c r="A10" s="156"/>
      <c r="B10" s="158" t="s">
        <v>113</v>
      </c>
      <c r="C10" s="158" t="s">
        <v>0</v>
      </c>
      <c r="D10" s="158" t="s">
        <v>177</v>
      </c>
      <c r="E10" s="158" t="s">
        <v>4</v>
      </c>
      <c r="F10" s="158" t="s">
        <v>10</v>
      </c>
      <c r="G10" s="158" t="s">
        <v>228</v>
      </c>
      <c r="H10" s="158" t="s">
        <v>17</v>
      </c>
      <c r="I10" s="158" t="s">
        <v>130</v>
      </c>
      <c r="J10" s="157"/>
      <c r="K10" s="157"/>
    </row>
    <row r="11" spans="1:11" x14ac:dyDescent="0.2">
      <c r="A11" s="156"/>
      <c r="B11" s="158" t="s">
        <v>113</v>
      </c>
      <c r="C11" s="158" t="s">
        <v>0</v>
      </c>
      <c r="D11" s="158" t="s">
        <v>177</v>
      </c>
      <c r="E11" s="158" t="s">
        <v>4</v>
      </c>
      <c r="F11" s="158" t="s">
        <v>10</v>
      </c>
      <c r="G11" s="158" t="s">
        <v>155</v>
      </c>
      <c r="H11" s="158" t="s">
        <v>17</v>
      </c>
      <c r="I11" s="158" t="s">
        <v>130</v>
      </c>
      <c r="J11" s="157"/>
      <c r="K11" s="157"/>
    </row>
    <row r="12" spans="1:11" x14ac:dyDescent="0.2">
      <c r="A12" s="156"/>
      <c r="B12" s="158" t="s">
        <v>116</v>
      </c>
      <c r="C12" s="158" t="s">
        <v>0</v>
      </c>
      <c r="D12" s="158" t="s">
        <v>177</v>
      </c>
      <c r="E12" s="158" t="s">
        <v>4</v>
      </c>
      <c r="F12" s="158" t="s">
        <v>10</v>
      </c>
      <c r="G12" s="158" t="s">
        <v>228</v>
      </c>
      <c r="H12" s="158" t="s">
        <v>7</v>
      </c>
      <c r="I12" s="157" t="s">
        <v>263</v>
      </c>
      <c r="J12" s="157"/>
      <c r="K12" s="157"/>
    </row>
    <row r="13" spans="1:11" x14ac:dyDescent="0.2">
      <c r="A13" s="156"/>
      <c r="B13" s="158" t="s">
        <v>116</v>
      </c>
      <c r="C13" s="158" t="s">
        <v>1</v>
      </c>
      <c r="D13" s="158" t="s">
        <v>177</v>
      </c>
      <c r="E13" s="158" t="s">
        <v>3</v>
      </c>
      <c r="F13" s="158" t="s">
        <v>10</v>
      </c>
      <c r="G13" s="158" t="s">
        <v>228</v>
      </c>
      <c r="H13" s="158" t="s">
        <v>7</v>
      </c>
      <c r="I13" s="158" t="s">
        <v>263</v>
      </c>
      <c r="J13" s="157"/>
      <c r="K13" s="157"/>
    </row>
    <row r="14" spans="1:11" x14ac:dyDescent="0.2">
      <c r="A14" s="156"/>
      <c r="B14" s="158" t="s">
        <v>116</v>
      </c>
      <c r="C14" s="158" t="s">
        <v>0</v>
      </c>
      <c r="D14" s="158" t="s">
        <v>177</v>
      </c>
      <c r="E14" s="158" t="s">
        <v>3</v>
      </c>
      <c r="F14" s="157" t="s">
        <v>56</v>
      </c>
      <c r="G14" s="157" t="s">
        <v>156</v>
      </c>
      <c r="H14" s="158" t="s">
        <v>7</v>
      </c>
      <c r="I14" s="158" t="s">
        <v>263</v>
      </c>
      <c r="J14" s="158"/>
      <c r="K14" s="158"/>
    </row>
    <row r="15" spans="1:11" x14ac:dyDescent="0.2">
      <c r="A15" s="156"/>
      <c r="B15" s="158" t="s">
        <v>116</v>
      </c>
      <c r="C15" s="158" t="s">
        <v>0</v>
      </c>
      <c r="D15" s="158" t="s">
        <v>177</v>
      </c>
      <c r="E15" s="158" t="s">
        <v>4</v>
      </c>
      <c r="F15" s="158" t="s">
        <v>10</v>
      </c>
      <c r="G15" s="158" t="s">
        <v>228</v>
      </c>
      <c r="H15" s="158" t="s">
        <v>7</v>
      </c>
      <c r="I15" s="158" t="s">
        <v>263</v>
      </c>
      <c r="J15" s="158"/>
      <c r="K15" s="158"/>
    </row>
    <row r="16" spans="1:11" x14ac:dyDescent="0.2">
      <c r="A16" s="156"/>
      <c r="B16" s="158" t="s">
        <v>116</v>
      </c>
      <c r="C16" s="158" t="s">
        <v>0</v>
      </c>
      <c r="D16" s="158" t="s">
        <v>177</v>
      </c>
      <c r="E16" s="158" t="s">
        <v>4</v>
      </c>
      <c r="F16" s="158" t="s">
        <v>10</v>
      </c>
      <c r="G16" s="158" t="s">
        <v>155</v>
      </c>
      <c r="H16" s="158" t="s">
        <v>7</v>
      </c>
      <c r="I16" s="158" t="s">
        <v>263</v>
      </c>
      <c r="J16" s="158"/>
      <c r="K16" s="158"/>
    </row>
    <row r="17" spans="1:11" x14ac:dyDescent="0.2">
      <c r="A17" s="156"/>
      <c r="B17" s="158" t="s">
        <v>116</v>
      </c>
      <c r="C17" s="158" t="s">
        <v>0</v>
      </c>
      <c r="D17" s="158" t="s">
        <v>177</v>
      </c>
      <c r="E17" s="158" t="s">
        <v>4</v>
      </c>
      <c r="F17" s="158" t="s">
        <v>110</v>
      </c>
      <c r="G17" s="157" t="s">
        <v>110</v>
      </c>
      <c r="H17" s="158" t="s">
        <v>7</v>
      </c>
      <c r="I17" s="158" t="s">
        <v>263</v>
      </c>
      <c r="J17" s="157"/>
      <c r="K17" s="157"/>
    </row>
    <row r="18" spans="1:11" x14ac:dyDescent="0.2">
      <c r="A18" s="156"/>
      <c r="B18" s="158" t="s">
        <v>116</v>
      </c>
      <c r="C18" s="158" t="s">
        <v>0</v>
      </c>
      <c r="D18" s="158" t="s">
        <v>177</v>
      </c>
      <c r="E18" s="158" t="s">
        <v>4</v>
      </c>
      <c r="F18" s="158" t="s">
        <v>110</v>
      </c>
      <c r="G18" s="158" t="s">
        <v>110</v>
      </c>
      <c r="H18" s="158" t="s">
        <v>7</v>
      </c>
      <c r="I18" s="158" t="s">
        <v>263</v>
      </c>
      <c r="J18" s="158"/>
      <c r="K18" s="158"/>
    </row>
    <row r="19" spans="1:11" x14ac:dyDescent="0.2">
      <c r="A19" s="156"/>
      <c r="B19" s="158" t="s">
        <v>116</v>
      </c>
      <c r="C19" s="158" t="s">
        <v>0</v>
      </c>
      <c r="D19" s="158" t="s">
        <v>177</v>
      </c>
      <c r="E19" s="158" t="s">
        <v>4</v>
      </c>
      <c r="F19" s="158" t="s">
        <v>110</v>
      </c>
      <c r="G19" s="158" t="s">
        <v>110</v>
      </c>
      <c r="H19" s="158" t="s">
        <v>7</v>
      </c>
      <c r="I19" s="158" t="s">
        <v>263</v>
      </c>
      <c r="J19" s="157"/>
      <c r="K19" s="157"/>
    </row>
    <row r="20" spans="1:11" x14ac:dyDescent="0.2">
      <c r="A20" s="156"/>
      <c r="B20" s="158" t="s">
        <v>113</v>
      </c>
      <c r="C20" s="158" t="s">
        <v>0</v>
      </c>
      <c r="D20" s="158" t="s">
        <v>177</v>
      </c>
      <c r="E20" s="158" t="s">
        <v>4</v>
      </c>
      <c r="F20" s="158" t="s">
        <v>10</v>
      </c>
      <c r="G20" s="158" t="s">
        <v>228</v>
      </c>
      <c r="H20" s="158" t="s">
        <v>159</v>
      </c>
      <c r="I20" s="158"/>
      <c r="J20" s="158"/>
      <c r="K20" s="158"/>
    </row>
    <row r="21" spans="1:11" x14ac:dyDescent="0.2">
      <c r="A21" s="156"/>
      <c r="B21" s="158" t="s">
        <v>113</v>
      </c>
      <c r="C21" s="158" t="s">
        <v>0</v>
      </c>
      <c r="D21" s="158" t="s">
        <v>177</v>
      </c>
      <c r="E21" s="158" t="s">
        <v>4</v>
      </c>
      <c r="F21" s="158" t="s">
        <v>10</v>
      </c>
      <c r="G21" s="158" t="s">
        <v>155</v>
      </c>
      <c r="H21" s="158" t="s">
        <v>17</v>
      </c>
      <c r="I21" s="158" t="s">
        <v>130</v>
      </c>
      <c r="J21" s="158"/>
      <c r="K21" s="158"/>
    </row>
    <row r="22" spans="1:11" x14ac:dyDescent="0.2">
      <c r="A22" s="156"/>
      <c r="B22" s="158" t="s">
        <v>113</v>
      </c>
      <c r="C22" s="158" t="s">
        <v>1</v>
      </c>
      <c r="D22" s="158" t="s">
        <v>177</v>
      </c>
      <c r="E22" s="158" t="s">
        <v>4</v>
      </c>
      <c r="F22" s="158" t="s">
        <v>10</v>
      </c>
      <c r="G22" s="158" t="s">
        <v>155</v>
      </c>
      <c r="H22" s="158" t="s">
        <v>159</v>
      </c>
      <c r="I22" s="158"/>
      <c r="J22" s="158"/>
      <c r="K22" s="158"/>
    </row>
    <row r="23" spans="1:11" x14ac:dyDescent="0.2">
      <c r="A23" s="156"/>
      <c r="B23" s="158" t="s">
        <v>113</v>
      </c>
      <c r="C23" s="158" t="s">
        <v>0</v>
      </c>
      <c r="D23" s="158" t="s">
        <v>177</v>
      </c>
      <c r="E23" s="158" t="s">
        <v>4</v>
      </c>
      <c r="F23" s="158" t="s">
        <v>110</v>
      </c>
      <c r="G23" s="158" t="s">
        <v>110</v>
      </c>
      <c r="H23" s="158" t="s">
        <v>7</v>
      </c>
      <c r="I23" s="157" t="s">
        <v>280</v>
      </c>
      <c r="J23" s="157"/>
      <c r="K23" s="157"/>
    </row>
    <row r="24" spans="1:11" x14ac:dyDescent="0.2">
      <c r="A24" s="156"/>
      <c r="B24" s="158" t="s">
        <v>113</v>
      </c>
      <c r="C24" s="158" t="s">
        <v>0</v>
      </c>
      <c r="D24" s="158" t="s">
        <v>177</v>
      </c>
      <c r="E24" s="158" t="s">
        <v>4</v>
      </c>
      <c r="F24" s="157" t="s">
        <v>14</v>
      </c>
      <c r="G24" s="158" t="s">
        <v>156</v>
      </c>
      <c r="H24" s="158" t="s">
        <v>7</v>
      </c>
      <c r="I24" s="158" t="s">
        <v>280</v>
      </c>
      <c r="J24" s="158"/>
      <c r="K24" s="158"/>
    </row>
    <row r="25" spans="1:11" x14ac:dyDescent="0.2">
      <c r="A25" s="156"/>
      <c r="B25" s="157" t="s">
        <v>112</v>
      </c>
      <c r="C25" s="158" t="s">
        <v>0</v>
      </c>
      <c r="D25" s="158" t="s">
        <v>177</v>
      </c>
      <c r="E25" s="158" t="s">
        <v>3</v>
      </c>
      <c r="F25" s="158" t="s">
        <v>12</v>
      </c>
      <c r="G25" s="158" t="s">
        <v>228</v>
      </c>
      <c r="H25" s="158" t="s">
        <v>7</v>
      </c>
      <c r="I25" s="157" t="s">
        <v>123</v>
      </c>
      <c r="J25" s="157"/>
      <c r="K25" s="157"/>
    </row>
    <row r="26" spans="1:11" x14ac:dyDescent="0.2">
      <c r="A26" s="156"/>
      <c r="B26" s="158" t="s">
        <v>112</v>
      </c>
      <c r="C26" s="158" t="s">
        <v>0</v>
      </c>
      <c r="D26" s="158" t="s">
        <v>177</v>
      </c>
      <c r="E26" s="158" t="s">
        <v>3</v>
      </c>
      <c r="F26" s="158" t="s">
        <v>12</v>
      </c>
      <c r="G26" s="158" t="s">
        <v>228</v>
      </c>
      <c r="H26" s="158" t="s">
        <v>7</v>
      </c>
      <c r="I26" s="158" t="s">
        <v>123</v>
      </c>
      <c r="J26" s="157"/>
      <c r="K26" s="157"/>
    </row>
    <row r="27" spans="1:11" x14ac:dyDescent="0.2">
      <c r="A27" s="156"/>
      <c r="B27" s="158" t="s">
        <v>112</v>
      </c>
      <c r="C27" s="158" t="s">
        <v>0</v>
      </c>
      <c r="D27" s="158" t="s">
        <v>177</v>
      </c>
      <c r="E27" s="158" t="s">
        <v>3</v>
      </c>
      <c r="F27" s="158" t="s">
        <v>12</v>
      </c>
      <c r="G27" s="158" t="s">
        <v>228</v>
      </c>
      <c r="H27" s="158" t="s">
        <v>7</v>
      </c>
      <c r="I27" s="158" t="s">
        <v>123</v>
      </c>
      <c r="J27" s="157"/>
      <c r="K27" s="157"/>
    </row>
    <row r="28" spans="1:11" x14ac:dyDescent="0.2">
      <c r="A28" s="156"/>
      <c r="B28" s="158" t="s">
        <v>112</v>
      </c>
      <c r="C28" s="158" t="s">
        <v>0</v>
      </c>
      <c r="D28" s="158" t="s">
        <v>177</v>
      </c>
      <c r="E28" s="158" t="s">
        <v>4</v>
      </c>
      <c r="F28" s="158" t="s">
        <v>12</v>
      </c>
      <c r="G28" s="158" t="s">
        <v>228</v>
      </c>
      <c r="H28" s="158" t="s">
        <v>7</v>
      </c>
      <c r="I28" s="158" t="s">
        <v>123</v>
      </c>
      <c r="J28" s="157"/>
      <c r="K28" s="157"/>
    </row>
    <row r="29" spans="1:11" x14ac:dyDescent="0.2">
      <c r="A29" s="156"/>
      <c r="B29" s="158" t="s">
        <v>112</v>
      </c>
      <c r="C29" s="158" t="s">
        <v>0</v>
      </c>
      <c r="D29" s="158" t="s">
        <v>177</v>
      </c>
      <c r="E29" s="158" t="s">
        <v>4</v>
      </c>
      <c r="F29" s="158" t="s">
        <v>12</v>
      </c>
      <c r="G29" s="158" t="s">
        <v>228</v>
      </c>
      <c r="H29" s="158" t="s">
        <v>7</v>
      </c>
      <c r="I29" s="158" t="s">
        <v>123</v>
      </c>
      <c r="J29" s="157"/>
      <c r="K29" s="157"/>
    </row>
    <row r="30" spans="1:11" x14ac:dyDescent="0.2">
      <c r="A30" s="156"/>
      <c r="B30" s="158" t="s">
        <v>112</v>
      </c>
      <c r="C30" s="158" t="s">
        <v>0</v>
      </c>
      <c r="D30" s="158" t="s">
        <v>177</v>
      </c>
      <c r="E30" s="158" t="s">
        <v>4</v>
      </c>
      <c r="F30" s="158" t="s">
        <v>12</v>
      </c>
      <c r="G30" s="158" t="s">
        <v>228</v>
      </c>
      <c r="H30" s="158" t="s">
        <v>7</v>
      </c>
      <c r="I30" s="158" t="s">
        <v>123</v>
      </c>
      <c r="J30" s="157"/>
      <c r="K30" s="157"/>
    </row>
    <row r="31" spans="1:11" x14ac:dyDescent="0.2">
      <c r="A31" s="156"/>
      <c r="B31" s="158" t="s">
        <v>112</v>
      </c>
      <c r="C31" s="158" t="s">
        <v>1</v>
      </c>
      <c r="D31" s="158" t="s">
        <v>177</v>
      </c>
      <c r="E31" s="158" t="s">
        <v>3</v>
      </c>
      <c r="F31" s="158" t="s">
        <v>12</v>
      </c>
      <c r="G31" s="158" t="s">
        <v>228</v>
      </c>
      <c r="H31" s="158" t="s">
        <v>7</v>
      </c>
      <c r="I31" s="158" t="s">
        <v>123</v>
      </c>
      <c r="J31" s="157"/>
      <c r="K31" s="157"/>
    </row>
    <row r="32" spans="1:11" x14ac:dyDescent="0.2">
      <c r="A32" s="156"/>
      <c r="B32" s="158" t="s">
        <v>112</v>
      </c>
      <c r="C32" s="158" t="s">
        <v>1</v>
      </c>
      <c r="D32" s="158" t="s">
        <v>177</v>
      </c>
      <c r="E32" s="158" t="s">
        <v>3</v>
      </c>
      <c r="F32" s="158" t="s">
        <v>12</v>
      </c>
      <c r="G32" s="158" t="s">
        <v>228</v>
      </c>
      <c r="H32" s="158" t="s">
        <v>7</v>
      </c>
      <c r="I32" s="158" t="s">
        <v>123</v>
      </c>
      <c r="J32" s="157"/>
      <c r="K32" s="157"/>
    </row>
    <row r="33" spans="1:11" x14ac:dyDescent="0.2">
      <c r="A33" s="156"/>
      <c r="B33" s="158" t="s">
        <v>112</v>
      </c>
      <c r="C33" s="158" t="s">
        <v>1</v>
      </c>
      <c r="D33" s="158" t="s">
        <v>177</v>
      </c>
      <c r="E33" s="158" t="s">
        <v>3</v>
      </c>
      <c r="F33" s="158" t="s">
        <v>12</v>
      </c>
      <c r="G33" s="158" t="s">
        <v>228</v>
      </c>
      <c r="H33" s="158" t="s">
        <v>7</v>
      </c>
      <c r="I33" s="158" t="s">
        <v>123</v>
      </c>
      <c r="J33" s="157"/>
      <c r="K33" s="157"/>
    </row>
    <row r="34" spans="1:11" x14ac:dyDescent="0.2">
      <c r="A34" s="156"/>
      <c r="B34" s="158" t="s">
        <v>112</v>
      </c>
      <c r="C34" s="158" t="s">
        <v>1</v>
      </c>
      <c r="D34" s="158" t="s">
        <v>177</v>
      </c>
      <c r="E34" s="158" t="s">
        <v>3</v>
      </c>
      <c r="F34" s="158" t="s">
        <v>12</v>
      </c>
      <c r="G34" s="158" t="s">
        <v>228</v>
      </c>
      <c r="H34" s="158" t="s">
        <v>7</v>
      </c>
      <c r="I34" s="158" t="s">
        <v>123</v>
      </c>
      <c r="J34" s="157"/>
      <c r="K34" s="157"/>
    </row>
    <row r="35" spans="1:11" x14ac:dyDescent="0.2">
      <c r="A35" s="156"/>
      <c r="B35" s="158" t="s">
        <v>112</v>
      </c>
      <c r="C35" s="158" t="s">
        <v>1</v>
      </c>
      <c r="D35" s="158" t="s">
        <v>177</v>
      </c>
      <c r="E35" s="158" t="s">
        <v>3</v>
      </c>
      <c r="F35" s="158" t="s">
        <v>12</v>
      </c>
      <c r="G35" s="158" t="s">
        <v>228</v>
      </c>
      <c r="H35" s="158" t="s">
        <v>7</v>
      </c>
      <c r="I35" s="157" t="s">
        <v>123</v>
      </c>
      <c r="J35" s="157"/>
      <c r="K35" s="157"/>
    </row>
    <row r="36" spans="1:11" x14ac:dyDescent="0.2">
      <c r="A36" s="156"/>
      <c r="B36" s="158" t="s">
        <v>112</v>
      </c>
      <c r="C36" s="158" t="s">
        <v>1</v>
      </c>
      <c r="D36" s="158" t="s">
        <v>177</v>
      </c>
      <c r="E36" s="158" t="s">
        <v>3</v>
      </c>
      <c r="F36" s="158" t="s">
        <v>12</v>
      </c>
      <c r="G36" s="158" t="s">
        <v>228</v>
      </c>
      <c r="H36" s="158" t="s">
        <v>7</v>
      </c>
      <c r="I36" s="158" t="s">
        <v>123</v>
      </c>
      <c r="J36" s="157"/>
      <c r="K36" s="157"/>
    </row>
    <row r="37" spans="1:11" x14ac:dyDescent="0.2">
      <c r="A37" s="156"/>
      <c r="B37" s="158" t="s">
        <v>112</v>
      </c>
      <c r="C37" s="158" t="s">
        <v>1</v>
      </c>
      <c r="D37" s="158" t="s">
        <v>177</v>
      </c>
      <c r="E37" s="158" t="s">
        <v>4</v>
      </c>
      <c r="F37" s="158" t="s">
        <v>12</v>
      </c>
      <c r="G37" s="158" t="s">
        <v>228</v>
      </c>
      <c r="H37" s="158" t="s">
        <v>7</v>
      </c>
      <c r="I37" s="158" t="s">
        <v>123</v>
      </c>
      <c r="J37" s="157"/>
      <c r="K37" s="157"/>
    </row>
    <row r="38" spans="1:11" x14ac:dyDescent="0.2">
      <c r="A38" s="156"/>
      <c r="B38" s="158" t="s">
        <v>112</v>
      </c>
      <c r="C38" s="158" t="s">
        <v>1</v>
      </c>
      <c r="D38" s="158" t="s">
        <v>177</v>
      </c>
      <c r="E38" s="158" t="s">
        <v>4</v>
      </c>
      <c r="F38" s="158" t="s">
        <v>12</v>
      </c>
      <c r="G38" s="158" t="s">
        <v>228</v>
      </c>
      <c r="H38" s="158" t="s">
        <v>7</v>
      </c>
      <c r="I38" s="158" t="s">
        <v>123</v>
      </c>
      <c r="J38" s="157"/>
      <c r="K38" s="157"/>
    </row>
    <row r="39" spans="1:11" x14ac:dyDescent="0.2">
      <c r="A39" s="156"/>
      <c r="B39" s="158" t="s">
        <v>112</v>
      </c>
      <c r="C39" s="158" t="s">
        <v>1</v>
      </c>
      <c r="D39" s="158" t="s">
        <v>177</v>
      </c>
      <c r="E39" s="158" t="s">
        <v>4</v>
      </c>
      <c r="F39" s="158" t="s">
        <v>12</v>
      </c>
      <c r="G39" s="158" t="s">
        <v>228</v>
      </c>
      <c r="H39" s="158" t="s">
        <v>7</v>
      </c>
      <c r="I39" s="158" t="s">
        <v>123</v>
      </c>
      <c r="J39" s="157"/>
      <c r="K39" s="157"/>
    </row>
    <row r="40" spans="1:11" x14ac:dyDescent="0.2">
      <c r="A40" s="156"/>
      <c r="B40" s="158" t="s">
        <v>112</v>
      </c>
      <c r="C40" s="158" t="s">
        <v>1</v>
      </c>
      <c r="D40" s="158" t="s">
        <v>177</v>
      </c>
      <c r="E40" s="158" t="s">
        <v>4</v>
      </c>
      <c r="F40" s="158" t="s">
        <v>12</v>
      </c>
      <c r="G40" s="158" t="s">
        <v>228</v>
      </c>
      <c r="H40" s="158" t="s">
        <v>7</v>
      </c>
      <c r="I40" s="158" t="s">
        <v>123</v>
      </c>
      <c r="J40" s="157"/>
      <c r="K40" s="157"/>
    </row>
    <row r="41" spans="1:11" x14ac:dyDescent="0.2">
      <c r="A41" s="156"/>
      <c r="B41" s="158" t="s">
        <v>112</v>
      </c>
      <c r="C41" s="158" t="s">
        <v>1</v>
      </c>
      <c r="D41" s="158" t="s">
        <v>177</v>
      </c>
      <c r="E41" s="158" t="s">
        <v>4</v>
      </c>
      <c r="F41" s="158" t="s">
        <v>12</v>
      </c>
      <c r="G41" s="158" t="s">
        <v>228</v>
      </c>
      <c r="H41" s="158" t="s">
        <v>7</v>
      </c>
      <c r="I41" s="158" t="s">
        <v>123</v>
      </c>
      <c r="J41" s="157"/>
      <c r="K41" s="157"/>
    </row>
    <row r="42" spans="1:11" x14ac:dyDescent="0.2">
      <c r="A42" s="156"/>
      <c r="B42" s="158" t="s">
        <v>112</v>
      </c>
      <c r="C42" s="158" t="s">
        <v>1</v>
      </c>
      <c r="D42" s="158" t="s">
        <v>177</v>
      </c>
      <c r="E42" s="158" t="s">
        <v>4</v>
      </c>
      <c r="F42" s="158" t="s">
        <v>12</v>
      </c>
      <c r="G42" s="158" t="s">
        <v>228</v>
      </c>
      <c r="H42" s="158" t="s">
        <v>7</v>
      </c>
      <c r="I42" s="158" t="s">
        <v>123</v>
      </c>
      <c r="J42" s="157"/>
      <c r="K42" s="157"/>
    </row>
    <row r="43" spans="1:11" x14ac:dyDescent="0.2">
      <c r="A43" s="156"/>
      <c r="B43" s="158" t="s">
        <v>112</v>
      </c>
      <c r="C43" s="158" t="s">
        <v>1</v>
      </c>
      <c r="D43" s="158" t="s">
        <v>177</v>
      </c>
      <c r="E43" s="158" t="s">
        <v>4</v>
      </c>
      <c r="F43" s="158" t="s">
        <v>12</v>
      </c>
      <c r="G43" s="158" t="s">
        <v>228</v>
      </c>
      <c r="H43" s="158" t="s">
        <v>7</v>
      </c>
      <c r="I43" s="158" t="s">
        <v>123</v>
      </c>
      <c r="J43" s="157"/>
      <c r="K43" s="157"/>
    </row>
    <row r="44" spans="1:11" x14ac:dyDescent="0.2">
      <c r="A44" s="156"/>
      <c r="B44" s="158" t="s">
        <v>112</v>
      </c>
      <c r="C44" s="158" t="s">
        <v>1</v>
      </c>
      <c r="D44" s="158" t="s">
        <v>177</v>
      </c>
      <c r="E44" s="158" t="s">
        <v>4</v>
      </c>
      <c r="F44" s="158" t="s">
        <v>12</v>
      </c>
      <c r="G44" s="158" t="s">
        <v>228</v>
      </c>
      <c r="H44" s="158" t="s">
        <v>7</v>
      </c>
      <c r="I44" s="158" t="s">
        <v>123</v>
      </c>
      <c r="J44" s="157"/>
      <c r="K44" s="157"/>
    </row>
    <row r="45" spans="1:11" x14ac:dyDescent="0.2">
      <c r="A45" s="156"/>
      <c r="B45" s="158" t="s">
        <v>112</v>
      </c>
      <c r="C45" s="158" t="s">
        <v>0</v>
      </c>
      <c r="D45" s="158" t="s">
        <v>177</v>
      </c>
      <c r="E45" s="158" t="s">
        <v>4</v>
      </c>
      <c r="F45" s="158" t="s">
        <v>10</v>
      </c>
      <c r="G45" s="158" t="s">
        <v>228</v>
      </c>
      <c r="H45" s="158" t="s">
        <v>17</v>
      </c>
      <c r="I45" s="158" t="s">
        <v>130</v>
      </c>
      <c r="J45" s="157"/>
      <c r="K45" s="157"/>
    </row>
    <row r="46" spans="1:11" x14ac:dyDescent="0.2">
      <c r="A46" s="156"/>
      <c r="B46" s="158" t="s">
        <v>112</v>
      </c>
      <c r="C46" s="158" t="s">
        <v>0</v>
      </c>
      <c r="D46" s="158" t="s">
        <v>177</v>
      </c>
      <c r="E46" s="158" t="s">
        <v>4</v>
      </c>
      <c r="F46" s="157" t="s">
        <v>153</v>
      </c>
      <c r="G46" s="158" t="s">
        <v>228</v>
      </c>
      <c r="H46" s="158" t="s">
        <v>17</v>
      </c>
      <c r="I46" s="158" t="s">
        <v>130</v>
      </c>
      <c r="J46" s="157"/>
      <c r="K46" s="157"/>
    </row>
    <row r="47" spans="1:11" x14ac:dyDescent="0.2">
      <c r="A47" s="156"/>
      <c r="B47" s="158" t="s">
        <v>112</v>
      </c>
      <c r="C47" s="158" t="s">
        <v>1</v>
      </c>
      <c r="D47" s="158" t="s">
        <v>177</v>
      </c>
      <c r="E47" s="158" t="s">
        <v>4</v>
      </c>
      <c r="F47" s="157" t="s">
        <v>11</v>
      </c>
      <c r="G47" s="158" t="s">
        <v>158</v>
      </c>
      <c r="H47" s="158" t="s">
        <v>17</v>
      </c>
      <c r="I47" s="158" t="s">
        <v>130</v>
      </c>
      <c r="J47" s="157"/>
      <c r="K47" s="157"/>
    </row>
    <row r="48" spans="1:11" x14ac:dyDescent="0.2">
      <c r="A48" s="156"/>
      <c r="B48" s="158" t="s">
        <v>112</v>
      </c>
      <c r="C48" s="158" t="s">
        <v>1</v>
      </c>
      <c r="D48" s="158" t="s">
        <v>177</v>
      </c>
      <c r="E48" s="158" t="s">
        <v>3</v>
      </c>
      <c r="F48" s="157" t="s">
        <v>13</v>
      </c>
      <c r="G48" s="158" t="s">
        <v>110</v>
      </c>
      <c r="H48" s="158" t="s">
        <v>7</v>
      </c>
      <c r="I48" s="157" t="s">
        <v>120</v>
      </c>
      <c r="J48" s="157"/>
      <c r="K48" s="157"/>
    </row>
    <row r="49" spans="1:11" x14ac:dyDescent="0.2">
      <c r="A49" s="156"/>
      <c r="B49" s="158" t="s">
        <v>112</v>
      </c>
      <c r="C49" s="158" t="s">
        <v>1</v>
      </c>
      <c r="D49" s="158" t="s">
        <v>177</v>
      </c>
      <c r="E49" s="158" t="s">
        <v>3</v>
      </c>
      <c r="F49" s="158" t="s">
        <v>56</v>
      </c>
      <c r="G49" s="158" t="s">
        <v>156</v>
      </c>
      <c r="H49" s="158" t="s">
        <v>17</v>
      </c>
      <c r="I49" s="158" t="s">
        <v>130</v>
      </c>
      <c r="J49" s="157"/>
      <c r="K49" s="157"/>
    </row>
    <row r="50" spans="1:11" x14ac:dyDescent="0.2">
      <c r="A50" s="156"/>
      <c r="B50" s="158" t="s">
        <v>112</v>
      </c>
      <c r="C50" s="158" t="s">
        <v>1</v>
      </c>
      <c r="D50" s="158" t="s">
        <v>177</v>
      </c>
      <c r="E50" s="158" t="s">
        <v>4</v>
      </c>
      <c r="F50" s="158" t="s">
        <v>56</v>
      </c>
      <c r="G50" s="158" t="s">
        <v>158</v>
      </c>
      <c r="H50" s="158" t="s">
        <v>17</v>
      </c>
      <c r="I50" s="158" t="s">
        <v>130</v>
      </c>
      <c r="J50" s="157"/>
      <c r="K50" s="157"/>
    </row>
    <row r="51" spans="1:11" x14ac:dyDescent="0.2">
      <c r="A51" s="156"/>
      <c r="B51" s="158" t="s">
        <v>112</v>
      </c>
      <c r="C51" s="158" t="s">
        <v>1</v>
      </c>
      <c r="D51" s="158" t="s">
        <v>177</v>
      </c>
      <c r="E51" s="158" t="s">
        <v>4</v>
      </c>
      <c r="F51" s="158" t="s">
        <v>56</v>
      </c>
      <c r="G51" s="158" t="s">
        <v>156</v>
      </c>
      <c r="H51" s="158" t="s">
        <v>7</v>
      </c>
      <c r="I51" s="158" t="s">
        <v>120</v>
      </c>
      <c r="J51" s="157"/>
      <c r="K51" s="157"/>
    </row>
    <row r="52" spans="1:11" x14ac:dyDescent="0.2">
      <c r="A52" s="156"/>
      <c r="B52" s="158" t="s">
        <v>112</v>
      </c>
      <c r="C52" s="158" t="s">
        <v>1</v>
      </c>
      <c r="D52" s="158" t="s">
        <v>177</v>
      </c>
      <c r="E52" s="158" t="s">
        <v>4</v>
      </c>
      <c r="F52" s="157" t="s">
        <v>23</v>
      </c>
      <c r="G52" s="158" t="s">
        <v>156</v>
      </c>
      <c r="H52" s="158" t="s">
        <v>7</v>
      </c>
      <c r="I52" s="158" t="s">
        <v>120</v>
      </c>
      <c r="J52" s="157"/>
      <c r="K52" s="157"/>
    </row>
    <row r="53" spans="1:11" x14ac:dyDescent="0.2">
      <c r="A53" s="156"/>
      <c r="B53" s="158" t="s">
        <v>112</v>
      </c>
      <c r="C53" s="158" t="s">
        <v>1</v>
      </c>
      <c r="D53" s="158" t="s">
        <v>177</v>
      </c>
      <c r="E53" s="158" t="s">
        <v>4</v>
      </c>
      <c r="F53" s="158" t="s">
        <v>23</v>
      </c>
      <c r="G53" s="158" t="s">
        <v>156</v>
      </c>
      <c r="H53" s="158" t="s">
        <v>7</v>
      </c>
      <c r="I53" s="158" t="s">
        <v>120</v>
      </c>
      <c r="J53" s="157"/>
      <c r="K53" s="157"/>
    </row>
    <row r="54" spans="1:11" x14ac:dyDescent="0.2">
      <c r="A54" s="156"/>
      <c r="B54" s="158" t="s">
        <v>112</v>
      </c>
      <c r="C54" s="158" t="s">
        <v>1</v>
      </c>
      <c r="D54" s="158" t="s">
        <v>177</v>
      </c>
      <c r="E54" s="158" t="s">
        <v>4</v>
      </c>
      <c r="F54" s="158" t="s">
        <v>23</v>
      </c>
      <c r="G54" s="158" t="s">
        <v>156</v>
      </c>
      <c r="H54" s="158" t="s">
        <v>7</v>
      </c>
      <c r="I54" s="158" t="s">
        <v>120</v>
      </c>
      <c r="J54" s="157"/>
      <c r="K54" s="157"/>
    </row>
    <row r="55" spans="1:11" x14ac:dyDescent="0.2">
      <c r="A55" s="156"/>
      <c r="B55" s="158" t="s">
        <v>112</v>
      </c>
      <c r="C55" s="158" t="s">
        <v>1</v>
      </c>
      <c r="D55" s="158" t="s">
        <v>177</v>
      </c>
      <c r="E55" s="158" t="s">
        <v>4</v>
      </c>
      <c r="F55" s="158" t="s">
        <v>13</v>
      </c>
      <c r="G55" s="158" t="s">
        <v>156</v>
      </c>
      <c r="H55" s="158" t="s">
        <v>7</v>
      </c>
      <c r="I55" s="158" t="s">
        <v>120</v>
      </c>
      <c r="J55" s="157"/>
      <c r="K55" s="157"/>
    </row>
    <row r="56" spans="1:11" x14ac:dyDescent="0.2">
      <c r="A56" s="156"/>
      <c r="B56" s="158" t="s">
        <v>115</v>
      </c>
      <c r="C56" s="158" t="s">
        <v>1</v>
      </c>
      <c r="D56" s="158" t="s">
        <v>177</v>
      </c>
      <c r="E56" s="158" t="s">
        <v>4</v>
      </c>
      <c r="F56" s="158" t="s">
        <v>106</v>
      </c>
      <c r="G56" s="158" t="s">
        <v>155</v>
      </c>
      <c r="H56" s="158" t="s">
        <v>17</v>
      </c>
      <c r="I56" s="157" t="s">
        <v>150</v>
      </c>
      <c r="J56" s="157"/>
      <c r="K56" s="157"/>
    </row>
    <row r="57" spans="1:11" x14ac:dyDescent="0.2">
      <c r="A57" s="156"/>
      <c r="B57" s="158" t="s">
        <v>115</v>
      </c>
      <c r="C57" s="158" t="s">
        <v>0</v>
      </c>
      <c r="D57" s="158" t="s">
        <v>177</v>
      </c>
      <c r="E57" s="158" t="s">
        <v>3</v>
      </c>
      <c r="F57" s="158" t="s">
        <v>106</v>
      </c>
      <c r="G57" s="158" t="s">
        <v>155</v>
      </c>
      <c r="H57" s="158" t="s">
        <v>17</v>
      </c>
      <c r="I57" s="158" t="s">
        <v>150</v>
      </c>
      <c r="J57" s="157"/>
      <c r="K57" s="157"/>
    </row>
    <row r="58" spans="1:11" x14ac:dyDescent="0.2">
      <c r="A58" s="156"/>
      <c r="B58" s="158" t="s">
        <v>115</v>
      </c>
      <c r="C58" s="158" t="s">
        <v>1</v>
      </c>
      <c r="D58" s="158" t="s">
        <v>177</v>
      </c>
      <c r="E58" s="158" t="s">
        <v>4</v>
      </c>
      <c r="F58" s="158" t="s">
        <v>56</v>
      </c>
      <c r="G58" s="158" t="s">
        <v>155</v>
      </c>
      <c r="H58" s="158" t="s">
        <v>18</v>
      </c>
      <c r="I58" s="157" t="s">
        <v>137</v>
      </c>
      <c r="J58" s="157"/>
      <c r="K58" s="157"/>
    </row>
    <row r="59" spans="1:11" x14ac:dyDescent="0.2">
      <c r="A59" s="156"/>
      <c r="B59" s="158" t="s">
        <v>115</v>
      </c>
      <c r="C59" s="158" t="s">
        <v>0</v>
      </c>
      <c r="D59" s="158" t="s">
        <v>177</v>
      </c>
      <c r="E59" s="158" t="s">
        <v>4</v>
      </c>
      <c r="F59" s="158" t="s">
        <v>11</v>
      </c>
      <c r="G59" s="158" t="s">
        <v>156</v>
      </c>
      <c r="H59" s="158" t="s">
        <v>18</v>
      </c>
      <c r="I59" s="157" t="s">
        <v>137</v>
      </c>
      <c r="J59" s="157"/>
      <c r="K59" s="157"/>
    </row>
    <row r="60" spans="1:11" x14ac:dyDescent="0.2">
      <c r="A60" s="156"/>
      <c r="B60" s="158" t="s">
        <v>113</v>
      </c>
      <c r="C60" s="158" t="s">
        <v>0</v>
      </c>
      <c r="D60" s="158" t="s">
        <v>177</v>
      </c>
      <c r="E60" s="158" t="s">
        <v>3</v>
      </c>
      <c r="F60" s="158" t="s">
        <v>106</v>
      </c>
      <c r="G60" s="158" t="s">
        <v>156</v>
      </c>
      <c r="H60" s="158" t="s">
        <v>159</v>
      </c>
      <c r="I60" s="157"/>
      <c r="J60" s="157"/>
      <c r="K60" s="157"/>
    </row>
    <row r="61" spans="1:11" x14ac:dyDescent="0.2">
      <c r="A61" s="156"/>
      <c r="B61" s="158" t="s">
        <v>113</v>
      </c>
      <c r="C61" s="158" t="s">
        <v>1</v>
      </c>
      <c r="D61" s="158" t="s">
        <v>177</v>
      </c>
      <c r="E61" s="158" t="s">
        <v>4</v>
      </c>
      <c r="F61" s="158" t="s">
        <v>106</v>
      </c>
      <c r="G61" s="158" t="s">
        <v>156</v>
      </c>
      <c r="H61" s="158" t="s">
        <v>159</v>
      </c>
      <c r="I61" s="157"/>
      <c r="J61" s="157"/>
      <c r="K61" s="157"/>
    </row>
    <row r="62" spans="1:11" x14ac:dyDescent="0.2">
      <c r="A62" s="156"/>
      <c r="B62" s="158" t="s">
        <v>113</v>
      </c>
      <c r="C62" s="158" t="s">
        <v>0</v>
      </c>
      <c r="D62" s="157" t="s">
        <v>2</v>
      </c>
      <c r="E62" s="158" t="s">
        <v>4</v>
      </c>
      <c r="F62" s="158" t="s">
        <v>106</v>
      </c>
      <c r="G62" s="158" t="s">
        <v>156</v>
      </c>
      <c r="H62" s="158" t="s">
        <v>159</v>
      </c>
      <c r="I62" s="157"/>
      <c r="J62" s="157"/>
      <c r="K62" s="157"/>
    </row>
    <row r="63" spans="1:11" x14ac:dyDescent="0.2">
      <c r="A63" s="156"/>
      <c r="B63" s="158" t="s">
        <v>113</v>
      </c>
      <c r="C63" s="158" t="s">
        <v>0</v>
      </c>
      <c r="D63" s="158" t="s">
        <v>177</v>
      </c>
      <c r="E63" s="158" t="s">
        <v>4</v>
      </c>
      <c r="F63" s="158" t="s">
        <v>10</v>
      </c>
      <c r="G63" s="158" t="s">
        <v>228</v>
      </c>
      <c r="H63" s="158" t="s">
        <v>17</v>
      </c>
      <c r="I63" s="158" t="s">
        <v>130</v>
      </c>
      <c r="J63" s="157"/>
      <c r="K63" s="157"/>
    </row>
    <row r="64" spans="1:11" x14ac:dyDescent="0.2">
      <c r="A64" s="156"/>
      <c r="B64" s="158" t="s">
        <v>113</v>
      </c>
      <c r="C64" s="158" t="s">
        <v>1</v>
      </c>
      <c r="D64" s="158" t="s">
        <v>177</v>
      </c>
      <c r="E64" s="158" t="s">
        <v>4</v>
      </c>
      <c r="F64" s="158" t="s">
        <v>10</v>
      </c>
      <c r="G64" s="158" t="s">
        <v>228</v>
      </c>
      <c r="H64" s="158" t="s">
        <v>159</v>
      </c>
      <c r="I64" s="157"/>
      <c r="J64" s="157"/>
      <c r="K64" s="157"/>
    </row>
    <row r="65" spans="1:11" x14ac:dyDescent="0.2">
      <c r="A65" s="156"/>
      <c r="B65" s="157" t="s">
        <v>114</v>
      </c>
      <c r="C65" s="158" t="s">
        <v>0</v>
      </c>
      <c r="D65" s="158" t="s">
        <v>177</v>
      </c>
      <c r="E65" s="158" t="s">
        <v>4</v>
      </c>
      <c r="F65" s="157" t="s">
        <v>9</v>
      </c>
      <c r="G65" s="158" t="s">
        <v>228</v>
      </c>
      <c r="H65" s="158" t="s">
        <v>17</v>
      </c>
      <c r="I65" s="158" t="s">
        <v>130</v>
      </c>
      <c r="J65" s="157"/>
      <c r="K65" s="157"/>
    </row>
    <row r="66" spans="1:11" x14ac:dyDescent="0.2">
      <c r="A66" s="156"/>
      <c r="B66" s="158" t="s">
        <v>114</v>
      </c>
      <c r="C66" s="158" t="s">
        <v>0</v>
      </c>
      <c r="D66" s="158" t="s">
        <v>177</v>
      </c>
      <c r="E66" s="158" t="s">
        <v>4</v>
      </c>
      <c r="F66" s="158" t="s">
        <v>10</v>
      </c>
      <c r="G66" s="158" t="s">
        <v>228</v>
      </c>
      <c r="H66" s="158" t="s">
        <v>17</v>
      </c>
      <c r="I66" s="158" t="s">
        <v>130</v>
      </c>
      <c r="J66" s="157"/>
      <c r="K66" s="157"/>
    </row>
    <row r="67" spans="1:11" x14ac:dyDescent="0.2">
      <c r="A67" s="156"/>
      <c r="B67" s="158" t="s">
        <v>114</v>
      </c>
      <c r="C67" s="158" t="s">
        <v>0</v>
      </c>
      <c r="D67" s="158" t="s">
        <v>177</v>
      </c>
      <c r="E67" s="158" t="s">
        <v>4</v>
      </c>
      <c r="F67" s="158" t="s">
        <v>10</v>
      </c>
      <c r="G67" s="158" t="s">
        <v>228</v>
      </c>
      <c r="H67" s="158" t="s">
        <v>17</v>
      </c>
      <c r="I67" s="158" t="s">
        <v>130</v>
      </c>
      <c r="J67" s="157"/>
      <c r="K67" s="157"/>
    </row>
    <row r="68" spans="1:11" x14ac:dyDescent="0.2">
      <c r="A68" s="156"/>
      <c r="B68" s="158" t="s">
        <v>114</v>
      </c>
      <c r="C68" s="158" t="s">
        <v>0</v>
      </c>
      <c r="D68" s="158" t="s">
        <v>177</v>
      </c>
      <c r="E68" s="158" t="s">
        <v>4</v>
      </c>
      <c r="F68" s="158" t="s">
        <v>14</v>
      </c>
      <c r="G68" s="158" t="s">
        <v>228</v>
      </c>
      <c r="H68" s="158" t="s">
        <v>17</v>
      </c>
      <c r="I68" s="158" t="s">
        <v>130</v>
      </c>
      <c r="J68" s="157"/>
      <c r="K68" s="157"/>
    </row>
    <row r="69" spans="1:11" x14ac:dyDescent="0.2">
      <c r="A69" s="156"/>
      <c r="B69" s="158" t="s">
        <v>114</v>
      </c>
      <c r="C69" s="158" t="s">
        <v>1</v>
      </c>
      <c r="D69" s="158" t="s">
        <v>177</v>
      </c>
      <c r="E69" s="158" t="s">
        <v>4</v>
      </c>
      <c r="F69" s="158" t="s">
        <v>13</v>
      </c>
      <c r="G69" s="158" t="s">
        <v>158</v>
      </c>
      <c r="H69" s="158" t="s">
        <v>17</v>
      </c>
      <c r="I69" s="158" t="s">
        <v>130</v>
      </c>
      <c r="J69" s="157"/>
      <c r="K69" s="157"/>
    </row>
    <row r="70" spans="1:11" x14ac:dyDescent="0.2">
      <c r="A70" s="156"/>
      <c r="B70" s="158" t="s">
        <v>114</v>
      </c>
      <c r="C70" s="158" t="s">
        <v>1</v>
      </c>
      <c r="D70" s="158" t="s">
        <v>177</v>
      </c>
      <c r="E70" s="158" t="s">
        <v>3</v>
      </c>
      <c r="F70" s="158" t="s">
        <v>10</v>
      </c>
      <c r="G70" s="158" t="s">
        <v>158</v>
      </c>
      <c r="H70" s="158" t="s">
        <v>7</v>
      </c>
      <c r="I70" s="157" t="s">
        <v>239</v>
      </c>
      <c r="J70" s="157"/>
      <c r="K70" s="157"/>
    </row>
    <row r="71" spans="1:11" x14ac:dyDescent="0.2">
      <c r="A71" s="156"/>
      <c r="B71" s="158" t="s">
        <v>114</v>
      </c>
      <c r="C71" s="158" t="s">
        <v>1</v>
      </c>
      <c r="D71" s="158" t="s">
        <v>177</v>
      </c>
      <c r="E71" s="158" t="s">
        <v>3</v>
      </c>
      <c r="F71" s="158" t="s">
        <v>23</v>
      </c>
      <c r="G71" s="158" t="s">
        <v>158</v>
      </c>
      <c r="H71" s="158" t="s">
        <v>7</v>
      </c>
      <c r="I71" s="158" t="s">
        <v>239</v>
      </c>
      <c r="J71" s="157"/>
      <c r="K71" s="157"/>
    </row>
    <row r="72" spans="1:11" x14ac:dyDescent="0.2">
      <c r="A72" s="156"/>
      <c r="B72" s="158" t="s">
        <v>114</v>
      </c>
      <c r="C72" s="158" t="s">
        <v>1</v>
      </c>
      <c r="D72" s="158" t="s">
        <v>177</v>
      </c>
      <c r="E72" s="158" t="s">
        <v>4</v>
      </c>
      <c r="F72" s="158" t="s">
        <v>56</v>
      </c>
      <c r="G72" s="158" t="s">
        <v>158</v>
      </c>
      <c r="H72" s="158" t="s">
        <v>7</v>
      </c>
      <c r="I72" s="158" t="s">
        <v>239</v>
      </c>
      <c r="J72" s="157"/>
      <c r="K72" s="157"/>
    </row>
    <row r="73" spans="1:11" x14ac:dyDescent="0.2">
      <c r="A73" s="156"/>
      <c r="B73" s="158" t="s">
        <v>114</v>
      </c>
      <c r="C73" s="158" t="s">
        <v>1</v>
      </c>
      <c r="D73" s="158" t="s">
        <v>177</v>
      </c>
      <c r="E73" s="158" t="s">
        <v>4</v>
      </c>
      <c r="F73" s="158" t="s">
        <v>13</v>
      </c>
      <c r="G73" s="158" t="s">
        <v>158</v>
      </c>
      <c r="H73" s="158" t="s">
        <v>7</v>
      </c>
      <c r="I73" s="158" t="s">
        <v>239</v>
      </c>
      <c r="J73" s="157"/>
      <c r="K73" s="157"/>
    </row>
    <row r="74" spans="1:11" x14ac:dyDescent="0.2">
      <c r="A74" s="156"/>
      <c r="B74" s="158" t="s">
        <v>114</v>
      </c>
      <c r="C74" s="158" t="s">
        <v>1</v>
      </c>
      <c r="D74" s="158" t="s">
        <v>177</v>
      </c>
      <c r="E74" s="158" t="s">
        <v>4</v>
      </c>
      <c r="F74" s="157" t="s">
        <v>15</v>
      </c>
      <c r="G74" s="158" t="s">
        <v>158</v>
      </c>
      <c r="H74" s="158" t="s">
        <v>7</v>
      </c>
      <c r="I74" s="158" t="s">
        <v>239</v>
      </c>
      <c r="J74" s="157"/>
      <c r="K74" s="157"/>
    </row>
    <row r="75" spans="1:11" x14ac:dyDescent="0.2">
      <c r="A75" s="156"/>
      <c r="B75" s="158" t="s">
        <v>114</v>
      </c>
      <c r="C75" s="158" t="s">
        <v>0</v>
      </c>
      <c r="D75" s="158" t="s">
        <v>177</v>
      </c>
      <c r="E75" s="158" t="s">
        <v>3</v>
      </c>
      <c r="F75" s="158" t="s">
        <v>9</v>
      </c>
      <c r="G75" s="158" t="s">
        <v>156</v>
      </c>
      <c r="H75" s="158" t="s">
        <v>17</v>
      </c>
      <c r="I75" s="158" t="s">
        <v>130</v>
      </c>
      <c r="J75" s="157"/>
      <c r="K75" s="157"/>
    </row>
    <row r="76" spans="1:11" x14ac:dyDescent="0.2">
      <c r="A76" s="156"/>
      <c r="B76" s="158" t="s">
        <v>114</v>
      </c>
      <c r="C76" s="158" t="s">
        <v>0</v>
      </c>
      <c r="D76" s="158" t="s">
        <v>177</v>
      </c>
      <c r="E76" s="158" t="s">
        <v>3</v>
      </c>
      <c r="F76" s="157" t="s">
        <v>277</v>
      </c>
      <c r="G76" s="158" t="s">
        <v>228</v>
      </c>
      <c r="H76" s="158" t="s">
        <v>17</v>
      </c>
      <c r="I76" s="158" t="s">
        <v>130</v>
      </c>
      <c r="J76" s="157"/>
      <c r="K76" s="157"/>
    </row>
    <row r="77" spans="1:11" x14ac:dyDescent="0.2">
      <c r="A77" s="156"/>
      <c r="B77" s="158" t="s">
        <v>114</v>
      </c>
      <c r="C77" s="158" t="s">
        <v>0</v>
      </c>
      <c r="D77" s="158" t="s">
        <v>177</v>
      </c>
      <c r="E77" s="158" t="s">
        <v>4</v>
      </c>
      <c r="F77" s="158" t="s">
        <v>10</v>
      </c>
      <c r="G77" s="158" t="s">
        <v>155</v>
      </c>
      <c r="H77" s="158" t="s">
        <v>17</v>
      </c>
      <c r="I77" s="158" t="s">
        <v>130</v>
      </c>
      <c r="J77" s="157"/>
      <c r="K77" s="157"/>
    </row>
    <row r="78" spans="1:11" x14ac:dyDescent="0.2">
      <c r="A78" s="156"/>
      <c r="B78" s="158" t="s">
        <v>112</v>
      </c>
      <c r="C78" s="158" t="s">
        <v>0</v>
      </c>
      <c r="D78" s="158" t="s">
        <v>2</v>
      </c>
      <c r="E78" s="158" t="s">
        <v>3</v>
      </c>
      <c r="F78" s="158" t="s">
        <v>106</v>
      </c>
      <c r="G78" s="158" t="s">
        <v>156</v>
      </c>
      <c r="H78" s="158" t="s">
        <v>159</v>
      </c>
      <c r="I78" s="157"/>
      <c r="J78" s="157"/>
      <c r="K78" s="157"/>
    </row>
    <row r="79" spans="1:11" x14ac:dyDescent="0.2">
      <c r="A79" s="156"/>
      <c r="B79" s="158" t="s">
        <v>112</v>
      </c>
      <c r="C79" s="158" t="s">
        <v>1</v>
      </c>
      <c r="D79" s="158" t="s">
        <v>2</v>
      </c>
      <c r="E79" s="158" t="s">
        <v>3</v>
      </c>
      <c r="F79" s="158" t="s">
        <v>106</v>
      </c>
      <c r="G79" s="158" t="s">
        <v>156</v>
      </c>
      <c r="H79" s="158" t="s">
        <v>159</v>
      </c>
      <c r="I79" s="157"/>
      <c r="J79" s="157"/>
      <c r="K79" s="157"/>
    </row>
    <row r="80" spans="1:11" x14ac:dyDescent="0.2">
      <c r="A80" s="156"/>
      <c r="B80" s="158" t="s">
        <v>112</v>
      </c>
      <c r="C80" s="158" t="s">
        <v>1</v>
      </c>
      <c r="D80" s="158" t="s">
        <v>2</v>
      </c>
      <c r="E80" s="158" t="s">
        <v>4</v>
      </c>
      <c r="F80" s="158" t="s">
        <v>106</v>
      </c>
      <c r="G80" s="158" t="s">
        <v>156</v>
      </c>
      <c r="H80" s="158" t="s">
        <v>159</v>
      </c>
      <c r="I80" s="157"/>
      <c r="J80" s="157"/>
      <c r="K80" s="157"/>
    </row>
    <row r="81" spans="1:11" x14ac:dyDescent="0.2">
      <c r="A81" s="156"/>
      <c r="B81" s="158" t="s">
        <v>114</v>
      </c>
      <c r="C81" s="158" t="s">
        <v>1</v>
      </c>
      <c r="D81" s="158" t="s">
        <v>177</v>
      </c>
      <c r="E81" s="158" t="s">
        <v>3</v>
      </c>
      <c r="F81" s="158" t="s">
        <v>10</v>
      </c>
      <c r="G81" s="158" t="s">
        <v>158</v>
      </c>
      <c r="H81" s="158" t="s">
        <v>7</v>
      </c>
      <c r="I81" s="157" t="s">
        <v>239</v>
      </c>
      <c r="J81" s="157"/>
      <c r="K81" s="157"/>
    </row>
    <row r="82" spans="1:11" x14ac:dyDescent="0.2">
      <c r="A82" s="156"/>
      <c r="B82" s="158" t="s">
        <v>114</v>
      </c>
      <c r="C82" s="158" t="s">
        <v>1</v>
      </c>
      <c r="D82" s="158" t="s">
        <v>177</v>
      </c>
      <c r="E82" s="158" t="s">
        <v>3</v>
      </c>
      <c r="F82" s="158" t="s">
        <v>23</v>
      </c>
      <c r="G82" s="158" t="s">
        <v>158</v>
      </c>
      <c r="H82" s="158" t="s">
        <v>7</v>
      </c>
      <c r="I82" s="158" t="s">
        <v>239</v>
      </c>
      <c r="J82" s="157"/>
      <c r="K82" s="157"/>
    </row>
    <row r="83" spans="1:11" x14ac:dyDescent="0.2">
      <c r="A83" s="156"/>
      <c r="B83" s="158" t="s">
        <v>114</v>
      </c>
      <c r="C83" s="158" t="s">
        <v>1</v>
      </c>
      <c r="D83" s="158" t="s">
        <v>177</v>
      </c>
      <c r="E83" s="158" t="s">
        <v>4</v>
      </c>
      <c r="F83" s="158" t="s">
        <v>56</v>
      </c>
      <c r="G83" s="158" t="s">
        <v>158</v>
      </c>
      <c r="H83" s="158" t="s">
        <v>7</v>
      </c>
      <c r="I83" s="158" t="s">
        <v>239</v>
      </c>
      <c r="J83" s="157"/>
      <c r="K83" s="157"/>
    </row>
    <row r="84" spans="1:11" x14ac:dyDescent="0.2">
      <c r="A84" s="156"/>
      <c r="B84" s="158" t="s">
        <v>114</v>
      </c>
      <c r="C84" s="158" t="s">
        <v>1</v>
      </c>
      <c r="D84" s="158" t="s">
        <v>177</v>
      </c>
      <c r="E84" s="158" t="s">
        <v>4</v>
      </c>
      <c r="F84" s="158" t="s">
        <v>13</v>
      </c>
      <c r="G84" s="158" t="s">
        <v>158</v>
      </c>
      <c r="H84" s="158" t="s">
        <v>7</v>
      </c>
      <c r="I84" s="158" t="s">
        <v>239</v>
      </c>
      <c r="J84" s="157"/>
      <c r="K84" s="157"/>
    </row>
    <row r="85" spans="1:11" x14ac:dyDescent="0.2">
      <c r="A85" s="156"/>
      <c r="B85" s="158" t="s">
        <v>114</v>
      </c>
      <c r="C85" s="158" t="s">
        <v>1</v>
      </c>
      <c r="D85" s="158" t="s">
        <v>177</v>
      </c>
      <c r="E85" s="158" t="s">
        <v>4</v>
      </c>
      <c r="F85" s="157" t="s">
        <v>15</v>
      </c>
      <c r="G85" s="158" t="s">
        <v>158</v>
      </c>
      <c r="H85" s="158" t="s">
        <v>7</v>
      </c>
      <c r="I85" s="158" t="s">
        <v>239</v>
      </c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113</v>
      </c>
      <c r="C5" s="157" t="s">
        <v>0</v>
      </c>
      <c r="D5" s="157" t="s">
        <v>177</v>
      </c>
      <c r="E5" s="157" t="s">
        <v>4</v>
      </c>
      <c r="F5" s="157" t="s">
        <v>10</v>
      </c>
      <c r="G5" s="157" t="s">
        <v>155</v>
      </c>
      <c r="H5" s="157" t="s">
        <v>17</v>
      </c>
      <c r="I5" s="157" t="s">
        <v>132</v>
      </c>
      <c r="J5" s="157"/>
      <c r="K5" s="157"/>
    </row>
    <row r="6" spans="1:11" x14ac:dyDescent="0.2">
      <c r="A6" s="156"/>
      <c r="B6" s="158" t="s">
        <v>113</v>
      </c>
      <c r="C6" s="157" t="s">
        <v>1</v>
      </c>
      <c r="D6" s="158" t="s">
        <v>177</v>
      </c>
      <c r="E6" s="157" t="s">
        <v>3</v>
      </c>
      <c r="F6" s="158" t="s">
        <v>10</v>
      </c>
      <c r="G6" s="158" t="s">
        <v>155</v>
      </c>
      <c r="H6" s="158" t="s">
        <v>17</v>
      </c>
      <c r="I6" s="158" t="s">
        <v>132</v>
      </c>
      <c r="J6" s="157"/>
      <c r="K6" s="157"/>
    </row>
    <row r="7" spans="1:11" x14ac:dyDescent="0.2">
      <c r="A7" s="156"/>
      <c r="B7" s="158" t="s">
        <v>113</v>
      </c>
      <c r="C7" s="158" t="s">
        <v>1</v>
      </c>
      <c r="D7" s="157" t="s">
        <v>2</v>
      </c>
      <c r="E7" s="158" t="s">
        <v>4</v>
      </c>
      <c r="F7" s="157" t="s">
        <v>106</v>
      </c>
      <c r="G7" s="158" t="s">
        <v>155</v>
      </c>
      <c r="H7" s="158" t="s">
        <v>159</v>
      </c>
      <c r="I7" s="157"/>
      <c r="J7" s="157"/>
      <c r="K7" s="157"/>
    </row>
    <row r="8" spans="1:11" x14ac:dyDescent="0.2">
      <c r="A8" s="156"/>
      <c r="B8" s="158" t="s">
        <v>113</v>
      </c>
      <c r="C8" s="158" t="s">
        <v>0</v>
      </c>
      <c r="D8" s="158" t="s">
        <v>177</v>
      </c>
      <c r="E8" s="158" t="s">
        <v>4</v>
      </c>
      <c r="F8" s="158" t="s">
        <v>10</v>
      </c>
      <c r="G8" s="158" t="s">
        <v>155</v>
      </c>
      <c r="H8" s="158" t="s">
        <v>159</v>
      </c>
      <c r="I8" s="157"/>
      <c r="J8" s="157"/>
      <c r="K8" s="157"/>
    </row>
    <row r="9" spans="1:11" x14ac:dyDescent="0.2">
      <c r="A9" s="156"/>
      <c r="B9" s="158" t="s">
        <v>113</v>
      </c>
      <c r="C9" s="158" t="s">
        <v>0</v>
      </c>
      <c r="D9" s="158" t="s">
        <v>2</v>
      </c>
      <c r="E9" s="158" t="s">
        <v>4</v>
      </c>
      <c r="F9" s="158" t="s">
        <v>10</v>
      </c>
      <c r="G9" s="158" t="s">
        <v>155</v>
      </c>
      <c r="H9" s="158" t="s">
        <v>159</v>
      </c>
      <c r="I9" s="157"/>
      <c r="J9" s="157"/>
      <c r="K9" s="157"/>
    </row>
    <row r="10" spans="1:11" x14ac:dyDescent="0.2">
      <c r="A10" s="156"/>
      <c r="B10" s="158" t="s">
        <v>116</v>
      </c>
      <c r="C10" s="158" t="s">
        <v>0</v>
      </c>
      <c r="D10" s="158" t="s">
        <v>177</v>
      </c>
      <c r="E10" s="158" t="s">
        <v>4</v>
      </c>
      <c r="F10" s="158" t="s">
        <v>13</v>
      </c>
      <c r="G10" s="157" t="s">
        <v>156</v>
      </c>
      <c r="H10" s="158" t="s">
        <v>7</v>
      </c>
      <c r="I10" s="157" t="s">
        <v>143</v>
      </c>
      <c r="J10" s="157" t="s">
        <v>132</v>
      </c>
      <c r="K10" s="157" t="s">
        <v>255</v>
      </c>
    </row>
    <row r="11" spans="1:11" x14ac:dyDescent="0.2">
      <c r="A11" s="156"/>
      <c r="B11" s="158" t="s">
        <v>116</v>
      </c>
      <c r="C11" s="158" t="s">
        <v>1</v>
      </c>
      <c r="D11" s="158" t="s">
        <v>2</v>
      </c>
      <c r="E11" s="158" t="s">
        <v>3</v>
      </c>
      <c r="F11" s="158" t="s">
        <v>13</v>
      </c>
      <c r="G11" s="158" t="s">
        <v>156</v>
      </c>
      <c r="H11" s="158" t="s">
        <v>7</v>
      </c>
      <c r="I11" s="158" t="s">
        <v>143</v>
      </c>
      <c r="J11" s="157" t="s">
        <v>132</v>
      </c>
      <c r="K11" s="157" t="s">
        <v>255</v>
      </c>
    </row>
    <row r="12" spans="1:11" x14ac:dyDescent="0.2">
      <c r="A12" s="156"/>
      <c r="B12" s="158" t="s">
        <v>114</v>
      </c>
      <c r="C12" s="158" t="s">
        <v>0</v>
      </c>
      <c r="D12" s="158" t="s">
        <v>177</v>
      </c>
      <c r="E12" s="158" t="s">
        <v>4</v>
      </c>
      <c r="F12" s="158" t="s">
        <v>10</v>
      </c>
      <c r="G12" s="158" t="s">
        <v>228</v>
      </c>
      <c r="H12" s="158" t="s">
        <v>7</v>
      </c>
      <c r="I12" s="157" t="s">
        <v>105</v>
      </c>
      <c r="J12" s="157" t="s">
        <v>132</v>
      </c>
      <c r="K12" s="157" t="s">
        <v>255</v>
      </c>
    </row>
    <row r="13" spans="1:11" x14ac:dyDescent="0.2">
      <c r="A13" s="156"/>
      <c r="B13" s="158" t="s">
        <v>114</v>
      </c>
      <c r="C13" s="158" t="s">
        <v>0</v>
      </c>
      <c r="D13" s="158" t="s">
        <v>177</v>
      </c>
      <c r="E13" s="158" t="s">
        <v>4</v>
      </c>
      <c r="F13" s="158" t="s">
        <v>10</v>
      </c>
      <c r="G13" s="158" t="s">
        <v>228</v>
      </c>
      <c r="H13" s="158" t="s">
        <v>7</v>
      </c>
      <c r="I13" s="158" t="s">
        <v>105</v>
      </c>
      <c r="J13" s="157" t="s">
        <v>132</v>
      </c>
      <c r="K13" s="157" t="s">
        <v>255</v>
      </c>
    </row>
    <row r="14" spans="1:11" x14ac:dyDescent="0.2">
      <c r="A14" s="156"/>
      <c r="B14" s="158" t="s">
        <v>114</v>
      </c>
      <c r="C14" s="158" t="s">
        <v>0</v>
      </c>
      <c r="D14" s="158" t="s">
        <v>177</v>
      </c>
      <c r="E14" s="158" t="s">
        <v>4</v>
      </c>
      <c r="F14" s="158" t="s">
        <v>10</v>
      </c>
      <c r="G14" s="158" t="s">
        <v>228</v>
      </c>
      <c r="H14" s="158" t="s">
        <v>7</v>
      </c>
      <c r="I14" s="158" t="s">
        <v>105</v>
      </c>
      <c r="J14" s="157" t="s">
        <v>132</v>
      </c>
      <c r="K14" s="157" t="s">
        <v>255</v>
      </c>
    </row>
    <row r="15" spans="1:11" x14ac:dyDescent="0.2">
      <c r="A15" s="156"/>
      <c r="B15" s="158" t="s">
        <v>114</v>
      </c>
      <c r="C15" s="158" t="s">
        <v>0</v>
      </c>
      <c r="D15" s="158" t="s">
        <v>177</v>
      </c>
      <c r="E15" s="158" t="s">
        <v>4</v>
      </c>
      <c r="F15" s="158" t="s">
        <v>10</v>
      </c>
      <c r="G15" s="158" t="s">
        <v>228</v>
      </c>
      <c r="H15" s="158" t="s">
        <v>7</v>
      </c>
      <c r="I15" s="158" t="s">
        <v>105</v>
      </c>
      <c r="J15" s="157" t="s">
        <v>132</v>
      </c>
      <c r="K15" s="157" t="s">
        <v>255</v>
      </c>
    </row>
    <row r="16" spans="1:11" x14ac:dyDescent="0.2">
      <c r="A16" s="156"/>
      <c r="B16" s="158" t="s">
        <v>114</v>
      </c>
      <c r="C16" s="158" t="s">
        <v>0</v>
      </c>
      <c r="D16" s="158" t="s">
        <v>177</v>
      </c>
      <c r="E16" s="158" t="s">
        <v>4</v>
      </c>
      <c r="F16" s="158" t="s">
        <v>10</v>
      </c>
      <c r="G16" s="158" t="s">
        <v>228</v>
      </c>
      <c r="H16" s="158" t="s">
        <v>7</v>
      </c>
      <c r="I16" s="158" t="s">
        <v>105</v>
      </c>
      <c r="J16" s="157" t="s">
        <v>132</v>
      </c>
      <c r="K16" s="157" t="s">
        <v>255</v>
      </c>
    </row>
    <row r="17" spans="1:11" x14ac:dyDescent="0.2">
      <c r="A17" s="156"/>
      <c r="B17" s="158" t="s">
        <v>114</v>
      </c>
      <c r="C17" s="158" t="s">
        <v>0</v>
      </c>
      <c r="D17" s="158" t="s">
        <v>177</v>
      </c>
      <c r="E17" s="158" t="s">
        <v>4</v>
      </c>
      <c r="F17" s="158" t="s">
        <v>10</v>
      </c>
      <c r="G17" s="158" t="s">
        <v>228</v>
      </c>
      <c r="H17" s="158" t="s">
        <v>7</v>
      </c>
      <c r="I17" s="158" t="s">
        <v>105</v>
      </c>
      <c r="J17" s="157" t="s">
        <v>132</v>
      </c>
      <c r="K17" s="157" t="s">
        <v>255</v>
      </c>
    </row>
    <row r="18" spans="1:11" x14ac:dyDescent="0.2">
      <c r="A18" s="156"/>
      <c r="B18" s="158" t="s">
        <v>114</v>
      </c>
      <c r="C18" s="158" t="s">
        <v>0</v>
      </c>
      <c r="D18" s="158" t="s">
        <v>177</v>
      </c>
      <c r="E18" s="158" t="s">
        <v>4</v>
      </c>
      <c r="F18" s="158" t="s">
        <v>10</v>
      </c>
      <c r="G18" s="158" t="s">
        <v>228</v>
      </c>
      <c r="H18" s="158" t="s">
        <v>7</v>
      </c>
      <c r="I18" s="158" t="s">
        <v>105</v>
      </c>
      <c r="J18" s="157" t="s">
        <v>132</v>
      </c>
      <c r="K18" s="157" t="s">
        <v>255</v>
      </c>
    </row>
    <row r="19" spans="1:11" x14ac:dyDescent="0.2">
      <c r="A19" s="156"/>
      <c r="B19" s="158" t="s">
        <v>113</v>
      </c>
      <c r="C19" s="158" t="s">
        <v>1</v>
      </c>
      <c r="D19" s="158" t="s">
        <v>177</v>
      </c>
      <c r="E19" s="158" t="s">
        <v>4</v>
      </c>
      <c r="F19" s="158" t="s">
        <v>10</v>
      </c>
      <c r="G19" s="158" t="s">
        <v>158</v>
      </c>
      <c r="H19" s="158" t="s">
        <v>17</v>
      </c>
      <c r="I19" s="158" t="s">
        <v>130</v>
      </c>
      <c r="J19" s="157" t="s">
        <v>132</v>
      </c>
      <c r="K19" s="157" t="s">
        <v>255</v>
      </c>
    </row>
    <row r="20" spans="1:11" x14ac:dyDescent="0.2">
      <c r="A20" s="156"/>
      <c r="B20" s="158" t="s">
        <v>114</v>
      </c>
      <c r="C20" s="158" t="s">
        <v>0</v>
      </c>
      <c r="D20" s="158" t="s">
        <v>177</v>
      </c>
      <c r="E20" s="158" t="s">
        <v>3</v>
      </c>
      <c r="F20" s="157" t="s">
        <v>9</v>
      </c>
      <c r="G20" s="158" t="s">
        <v>156</v>
      </c>
      <c r="H20" s="158" t="s">
        <v>17</v>
      </c>
      <c r="I20" s="158" t="s">
        <v>130</v>
      </c>
      <c r="J20" s="157" t="s">
        <v>132</v>
      </c>
      <c r="K20" s="157" t="s">
        <v>255</v>
      </c>
    </row>
    <row r="21" spans="1:11" x14ac:dyDescent="0.2">
      <c r="A21" s="156"/>
      <c r="B21" s="158" t="s">
        <v>114</v>
      </c>
      <c r="C21" s="158" t="s">
        <v>1</v>
      </c>
      <c r="D21" s="158" t="s">
        <v>177</v>
      </c>
      <c r="E21" s="158" t="s">
        <v>4</v>
      </c>
      <c r="F21" s="158" t="s">
        <v>9</v>
      </c>
      <c r="G21" s="158" t="s">
        <v>156</v>
      </c>
      <c r="H21" s="158" t="s">
        <v>7</v>
      </c>
      <c r="I21" s="158" t="s">
        <v>130</v>
      </c>
      <c r="J21" s="157" t="s">
        <v>132</v>
      </c>
      <c r="K21" s="157" t="s">
        <v>255</v>
      </c>
    </row>
    <row r="22" spans="1:11" x14ac:dyDescent="0.2">
      <c r="A22" s="156"/>
      <c r="B22" s="158" t="s">
        <v>114</v>
      </c>
      <c r="C22" s="158" t="s">
        <v>0</v>
      </c>
      <c r="D22" s="158" t="s">
        <v>177</v>
      </c>
      <c r="E22" s="158" t="s">
        <v>3</v>
      </c>
      <c r="F22" s="158" t="s">
        <v>9</v>
      </c>
      <c r="G22" s="158" t="s">
        <v>156</v>
      </c>
      <c r="H22" s="158" t="s">
        <v>17</v>
      </c>
      <c r="I22" s="158" t="s">
        <v>130</v>
      </c>
      <c r="J22" s="157" t="s">
        <v>132</v>
      </c>
      <c r="K22" s="157" t="s">
        <v>255</v>
      </c>
    </row>
    <row r="23" spans="1:11" x14ac:dyDescent="0.2">
      <c r="A23" s="156"/>
      <c r="B23" s="158" t="s">
        <v>114</v>
      </c>
      <c r="C23" s="158" t="s">
        <v>1</v>
      </c>
      <c r="D23" s="158" t="s">
        <v>177</v>
      </c>
      <c r="E23" s="158" t="s">
        <v>4</v>
      </c>
      <c r="F23" s="158" t="s">
        <v>237</v>
      </c>
      <c r="G23" s="158" t="s">
        <v>158</v>
      </c>
      <c r="H23" s="158" t="s">
        <v>17</v>
      </c>
      <c r="I23" s="157" t="s">
        <v>130</v>
      </c>
      <c r="J23" s="157" t="s">
        <v>132</v>
      </c>
      <c r="K23" s="157" t="s">
        <v>255</v>
      </c>
    </row>
    <row r="24" spans="1:11" x14ac:dyDescent="0.2">
      <c r="A24" s="156"/>
      <c r="B24" s="158" t="s">
        <v>114</v>
      </c>
      <c r="C24" s="158" t="s">
        <v>0</v>
      </c>
      <c r="D24" s="158" t="s">
        <v>177</v>
      </c>
      <c r="E24" s="158" t="s">
        <v>3</v>
      </c>
      <c r="F24" s="157" t="s">
        <v>23</v>
      </c>
      <c r="G24" s="158" t="s">
        <v>155</v>
      </c>
      <c r="H24" s="158" t="s">
        <v>17</v>
      </c>
      <c r="I24" s="158" t="s">
        <v>130</v>
      </c>
      <c r="J24" s="157" t="s">
        <v>132</v>
      </c>
      <c r="K24" s="157" t="s">
        <v>255</v>
      </c>
    </row>
    <row r="25" spans="1:11" x14ac:dyDescent="0.2">
      <c r="A25" s="156"/>
      <c r="B25" s="158" t="s">
        <v>112</v>
      </c>
      <c r="C25" s="158" t="s">
        <v>0</v>
      </c>
      <c r="D25" s="158" t="s">
        <v>177</v>
      </c>
      <c r="E25" s="158" t="s">
        <v>3</v>
      </c>
      <c r="F25" s="158" t="s">
        <v>106</v>
      </c>
      <c r="G25" s="158" t="s">
        <v>155</v>
      </c>
      <c r="H25" s="158" t="s">
        <v>159</v>
      </c>
      <c r="I25" s="157"/>
      <c r="J25" s="157"/>
      <c r="K25" s="157"/>
    </row>
    <row r="26" spans="1:11" x14ac:dyDescent="0.2">
      <c r="A26" s="159" t="s">
        <v>315</v>
      </c>
      <c r="B26" s="158" t="s">
        <v>112</v>
      </c>
      <c r="C26" s="158" t="s">
        <v>1</v>
      </c>
      <c r="D26" s="158" t="s">
        <v>177</v>
      </c>
      <c r="E26" s="158" t="s">
        <v>4</v>
      </c>
      <c r="F26" s="158" t="s">
        <v>106</v>
      </c>
      <c r="G26" s="158" t="s">
        <v>155</v>
      </c>
      <c r="H26" s="158" t="s">
        <v>159</v>
      </c>
      <c r="I26" s="157"/>
      <c r="J26" s="157"/>
      <c r="K26" s="157"/>
    </row>
    <row r="27" spans="1:11" x14ac:dyDescent="0.2">
      <c r="A27" s="156"/>
      <c r="B27" s="158" t="s">
        <v>112</v>
      </c>
      <c r="C27" s="158" t="s">
        <v>1</v>
      </c>
      <c r="D27" s="158" t="s">
        <v>177</v>
      </c>
      <c r="E27" s="158" t="s">
        <v>4</v>
      </c>
      <c r="F27" s="158" t="s">
        <v>106</v>
      </c>
      <c r="G27" s="158" t="s">
        <v>155</v>
      </c>
      <c r="H27" s="158" t="s">
        <v>159</v>
      </c>
      <c r="I27" s="157"/>
      <c r="J27" s="157"/>
      <c r="K27" s="157"/>
    </row>
    <row r="28" spans="1:11" x14ac:dyDescent="0.2">
      <c r="A28" s="156"/>
      <c r="B28" s="158" t="s">
        <v>112</v>
      </c>
      <c r="C28" s="158" t="s">
        <v>0</v>
      </c>
      <c r="D28" s="158" t="s">
        <v>2</v>
      </c>
      <c r="E28" s="158" t="s">
        <v>3</v>
      </c>
      <c r="F28" s="158" t="s">
        <v>13</v>
      </c>
      <c r="G28" s="158" t="s">
        <v>228</v>
      </c>
      <c r="H28" s="158" t="s">
        <v>159</v>
      </c>
      <c r="I28" s="157"/>
      <c r="J28" s="157"/>
      <c r="K28" s="157"/>
    </row>
    <row r="29" spans="1:11" x14ac:dyDescent="0.2">
      <c r="A29" s="156"/>
      <c r="B29" s="158" t="s">
        <v>112</v>
      </c>
      <c r="C29" s="158" t="s">
        <v>0</v>
      </c>
      <c r="D29" s="158" t="s">
        <v>2</v>
      </c>
      <c r="E29" s="158" t="s">
        <v>3</v>
      </c>
      <c r="F29" s="157" t="s">
        <v>234</v>
      </c>
      <c r="G29" s="158" t="s">
        <v>156</v>
      </c>
      <c r="H29" s="158" t="s">
        <v>159</v>
      </c>
      <c r="I29" s="157"/>
      <c r="J29" s="157"/>
      <c r="K29" s="157"/>
    </row>
    <row r="30" spans="1:11" x14ac:dyDescent="0.2">
      <c r="A30" s="156"/>
      <c r="B30" s="158" t="s">
        <v>112</v>
      </c>
      <c r="C30" s="158" t="s">
        <v>1</v>
      </c>
      <c r="D30" s="158" t="s">
        <v>2</v>
      </c>
      <c r="E30" s="158" t="s">
        <v>4</v>
      </c>
      <c r="F30" s="158" t="s">
        <v>316</v>
      </c>
      <c r="G30" s="158" t="s">
        <v>156</v>
      </c>
      <c r="H30" s="158" t="s">
        <v>159</v>
      </c>
      <c r="I30" s="157"/>
      <c r="J30" s="157"/>
      <c r="K30" s="157"/>
    </row>
    <row r="31" spans="1:11" x14ac:dyDescent="0.2">
      <c r="A31" s="156"/>
      <c r="B31" s="158" t="s">
        <v>112</v>
      </c>
      <c r="C31" s="158" t="s">
        <v>0</v>
      </c>
      <c r="D31" s="158" t="s">
        <v>177</v>
      </c>
      <c r="E31" s="158" t="s">
        <v>4</v>
      </c>
      <c r="F31" s="157" t="s">
        <v>12</v>
      </c>
      <c r="G31" s="158" t="s">
        <v>156</v>
      </c>
      <c r="H31" s="158" t="s">
        <v>159</v>
      </c>
      <c r="I31" s="157"/>
      <c r="J31" s="157"/>
      <c r="K31" s="157"/>
    </row>
    <row r="32" spans="1:11" x14ac:dyDescent="0.2">
      <c r="A32" s="156"/>
      <c r="B32" s="158" t="s">
        <v>112</v>
      </c>
      <c r="C32" s="158" t="s">
        <v>1</v>
      </c>
      <c r="D32" s="158" t="s">
        <v>177</v>
      </c>
      <c r="E32" s="158" t="s">
        <v>3</v>
      </c>
      <c r="F32" s="158" t="s">
        <v>12</v>
      </c>
      <c r="G32" s="158" t="s">
        <v>156</v>
      </c>
      <c r="H32" s="158" t="s">
        <v>159</v>
      </c>
      <c r="I32" s="157"/>
      <c r="J32" s="157"/>
      <c r="K32" s="157"/>
    </row>
    <row r="33" spans="1:11" x14ac:dyDescent="0.2">
      <c r="A33" s="156"/>
      <c r="B33" s="158" t="s">
        <v>112</v>
      </c>
      <c r="C33" s="158" t="s">
        <v>1</v>
      </c>
      <c r="D33" s="158" t="s">
        <v>177</v>
      </c>
      <c r="E33" s="158" t="s">
        <v>4</v>
      </c>
      <c r="F33" s="158" t="s">
        <v>12</v>
      </c>
      <c r="G33" s="158" t="s">
        <v>156</v>
      </c>
      <c r="H33" s="158" t="s">
        <v>159</v>
      </c>
      <c r="I33" s="157"/>
      <c r="J33" s="157"/>
      <c r="K33" s="157"/>
    </row>
    <row r="34" spans="1:11" x14ac:dyDescent="0.2">
      <c r="A34" s="156"/>
      <c r="B34" s="158" t="s">
        <v>114</v>
      </c>
      <c r="C34" s="158" t="s">
        <v>0</v>
      </c>
      <c r="D34" s="158" t="s">
        <v>177</v>
      </c>
      <c r="E34" s="158" t="s">
        <v>4</v>
      </c>
      <c r="F34" s="158" t="s">
        <v>10</v>
      </c>
      <c r="G34" s="158" t="s">
        <v>228</v>
      </c>
      <c r="H34" s="158" t="s">
        <v>17</v>
      </c>
      <c r="I34" s="157" t="s">
        <v>130</v>
      </c>
      <c r="J34" s="157" t="s">
        <v>243</v>
      </c>
      <c r="K34" s="157"/>
    </row>
    <row r="35" spans="1:11" x14ac:dyDescent="0.2">
      <c r="A35" s="156"/>
      <c r="B35" s="158" t="s">
        <v>114</v>
      </c>
      <c r="C35" s="158" t="s">
        <v>0</v>
      </c>
      <c r="D35" s="158" t="s">
        <v>177</v>
      </c>
      <c r="E35" s="158" t="s">
        <v>4</v>
      </c>
      <c r="F35" s="158" t="s">
        <v>10</v>
      </c>
      <c r="G35" s="158" t="s">
        <v>228</v>
      </c>
      <c r="H35" s="158" t="s">
        <v>7</v>
      </c>
      <c r="I35" s="157" t="s">
        <v>251</v>
      </c>
      <c r="J35" s="157" t="s">
        <v>243</v>
      </c>
      <c r="K35" s="157"/>
    </row>
    <row r="36" spans="1:11" x14ac:dyDescent="0.2">
      <c r="A36" s="156"/>
      <c r="B36" s="158" t="s">
        <v>114</v>
      </c>
      <c r="C36" s="158" t="s">
        <v>0</v>
      </c>
      <c r="D36" s="158" t="s">
        <v>177</v>
      </c>
      <c r="E36" s="158" t="s">
        <v>4</v>
      </c>
      <c r="F36" s="158" t="s">
        <v>10</v>
      </c>
      <c r="G36" s="158" t="s">
        <v>228</v>
      </c>
      <c r="H36" s="158" t="s">
        <v>7</v>
      </c>
      <c r="I36" s="158" t="s">
        <v>251</v>
      </c>
      <c r="J36" s="157" t="s">
        <v>243</v>
      </c>
      <c r="K36" s="157"/>
    </row>
    <row r="37" spans="1:11" x14ac:dyDescent="0.2">
      <c r="A37" s="156"/>
      <c r="B37" s="158" t="s">
        <v>114</v>
      </c>
      <c r="C37" s="158" t="s">
        <v>1</v>
      </c>
      <c r="D37" s="158" t="s">
        <v>177</v>
      </c>
      <c r="E37" s="158" t="s">
        <v>4</v>
      </c>
      <c r="F37" s="158" t="s">
        <v>13</v>
      </c>
      <c r="G37" s="158" t="s">
        <v>155</v>
      </c>
      <c r="H37" s="158" t="s">
        <v>7</v>
      </c>
      <c r="I37" s="158" t="s">
        <v>251</v>
      </c>
      <c r="J37" s="157" t="s">
        <v>243</v>
      </c>
      <c r="K37" s="157"/>
    </row>
    <row r="38" spans="1:11" x14ac:dyDescent="0.2">
      <c r="A38" s="156"/>
      <c r="B38" s="158" t="s">
        <v>114</v>
      </c>
      <c r="C38" s="158" t="s">
        <v>0</v>
      </c>
      <c r="D38" s="158" t="s">
        <v>177</v>
      </c>
      <c r="E38" s="158" t="s">
        <v>4</v>
      </c>
      <c r="F38" s="158" t="s">
        <v>10</v>
      </c>
      <c r="G38" s="158" t="s">
        <v>228</v>
      </c>
      <c r="H38" s="158" t="s">
        <v>7</v>
      </c>
      <c r="I38" s="158" t="s">
        <v>251</v>
      </c>
      <c r="J38" s="157" t="s">
        <v>243</v>
      </c>
      <c r="K38" s="157"/>
    </row>
    <row r="39" spans="1:11" x14ac:dyDescent="0.2">
      <c r="A39" s="156"/>
      <c r="B39" s="158" t="s">
        <v>112</v>
      </c>
      <c r="C39" s="158" t="s">
        <v>0</v>
      </c>
      <c r="D39" s="158" t="s">
        <v>2</v>
      </c>
      <c r="E39" s="158" t="s">
        <v>3</v>
      </c>
      <c r="F39" s="158" t="s">
        <v>23</v>
      </c>
      <c r="G39" s="158" t="s">
        <v>156</v>
      </c>
      <c r="H39" s="158" t="s">
        <v>159</v>
      </c>
      <c r="I39" s="157"/>
      <c r="J39" s="157"/>
      <c r="K39" s="157"/>
    </row>
    <row r="40" spans="1:11" x14ac:dyDescent="0.2">
      <c r="A40" s="156"/>
      <c r="B40" s="158" t="s">
        <v>112</v>
      </c>
      <c r="C40" s="158" t="s">
        <v>1</v>
      </c>
      <c r="D40" s="158" t="s">
        <v>2</v>
      </c>
      <c r="E40" s="158" t="s">
        <v>4</v>
      </c>
      <c r="F40" s="158" t="s">
        <v>23</v>
      </c>
      <c r="G40" s="158" t="s">
        <v>156</v>
      </c>
      <c r="H40" s="158" t="s">
        <v>159</v>
      </c>
      <c r="I40" s="157"/>
      <c r="J40" s="157"/>
      <c r="K40" s="157"/>
    </row>
    <row r="41" spans="1:11" x14ac:dyDescent="0.2">
      <c r="A41" s="156"/>
      <c r="B41" s="158" t="s">
        <v>112</v>
      </c>
      <c r="C41" s="158" t="s">
        <v>0</v>
      </c>
      <c r="D41" s="158" t="s">
        <v>177</v>
      </c>
      <c r="E41" s="158" t="s">
        <v>4</v>
      </c>
      <c r="F41" s="158" t="s">
        <v>10</v>
      </c>
      <c r="G41" s="158" t="s">
        <v>155</v>
      </c>
      <c r="H41" s="158" t="s">
        <v>159</v>
      </c>
      <c r="I41" s="157"/>
      <c r="J41" s="157"/>
      <c r="K41" s="157"/>
    </row>
    <row r="42" spans="1:11" x14ac:dyDescent="0.2">
      <c r="A42" s="156"/>
      <c r="B42" s="158" t="s">
        <v>112</v>
      </c>
      <c r="C42" s="158" t="s">
        <v>1</v>
      </c>
      <c r="D42" s="158" t="s">
        <v>177</v>
      </c>
      <c r="E42" s="158" t="s">
        <v>4</v>
      </c>
      <c r="F42" s="158" t="s">
        <v>10</v>
      </c>
      <c r="G42" s="158" t="s">
        <v>155</v>
      </c>
      <c r="H42" s="158" t="s">
        <v>159</v>
      </c>
      <c r="I42" s="157"/>
      <c r="J42" s="157"/>
      <c r="K42" s="157"/>
    </row>
    <row r="43" spans="1:11" x14ac:dyDescent="0.2">
      <c r="A43" s="156"/>
      <c r="B43" s="158" t="s">
        <v>112</v>
      </c>
      <c r="C43" s="158" t="s">
        <v>1</v>
      </c>
      <c r="D43" s="158" t="s">
        <v>177</v>
      </c>
      <c r="E43" s="158" t="s">
        <v>3</v>
      </c>
      <c r="F43" s="158" t="s">
        <v>10</v>
      </c>
      <c r="G43" s="158" t="s">
        <v>155</v>
      </c>
      <c r="H43" s="158" t="s">
        <v>159</v>
      </c>
      <c r="I43" s="157"/>
      <c r="J43" s="157"/>
      <c r="K43" s="157"/>
    </row>
    <row r="44" spans="1:11" x14ac:dyDescent="0.2">
      <c r="A44" s="156"/>
      <c r="B44" s="158" t="s">
        <v>112</v>
      </c>
      <c r="C44" s="158" t="s">
        <v>0</v>
      </c>
      <c r="D44" s="158" t="s">
        <v>177</v>
      </c>
      <c r="E44" s="158" t="s">
        <v>3</v>
      </c>
      <c r="F44" s="158" t="s">
        <v>316</v>
      </c>
      <c r="G44" s="158" t="s">
        <v>156</v>
      </c>
      <c r="H44" s="158" t="s">
        <v>17</v>
      </c>
      <c r="I44" s="157" t="s">
        <v>130</v>
      </c>
      <c r="J44" s="157"/>
      <c r="K44" s="157"/>
    </row>
    <row r="45" spans="1:11" x14ac:dyDescent="0.2">
      <c r="A45" s="156"/>
      <c r="B45" s="158" t="s">
        <v>112</v>
      </c>
      <c r="C45" s="158" t="s">
        <v>1</v>
      </c>
      <c r="D45" s="158" t="s">
        <v>177</v>
      </c>
      <c r="E45" s="158" t="s">
        <v>3</v>
      </c>
      <c r="F45" s="158" t="s">
        <v>106</v>
      </c>
      <c r="G45" s="158" t="s">
        <v>156</v>
      </c>
      <c r="H45" s="158" t="s">
        <v>159</v>
      </c>
      <c r="I45" s="157"/>
      <c r="J45" s="157"/>
      <c r="K45" s="157"/>
    </row>
    <row r="46" spans="1:11" x14ac:dyDescent="0.2">
      <c r="A46" s="156"/>
      <c r="B46" s="158" t="s">
        <v>112</v>
      </c>
      <c r="C46" s="158" t="s">
        <v>0</v>
      </c>
      <c r="D46" s="158" t="s">
        <v>177</v>
      </c>
      <c r="E46" s="158" t="s">
        <v>3</v>
      </c>
      <c r="F46" s="158" t="s">
        <v>9</v>
      </c>
      <c r="G46" s="158" t="s">
        <v>156</v>
      </c>
      <c r="H46" s="158" t="s">
        <v>17</v>
      </c>
      <c r="I46" s="157" t="s">
        <v>130</v>
      </c>
      <c r="J46" s="157"/>
      <c r="K46" s="157"/>
    </row>
    <row r="47" spans="1:11" x14ac:dyDescent="0.2">
      <c r="A47" s="156"/>
      <c r="B47" s="158" t="s">
        <v>112</v>
      </c>
      <c r="C47" s="158" t="s">
        <v>1</v>
      </c>
      <c r="D47" s="158" t="s">
        <v>177</v>
      </c>
      <c r="E47" s="158" t="s">
        <v>4</v>
      </c>
      <c r="F47" s="158" t="s">
        <v>9</v>
      </c>
      <c r="G47" s="158" t="s">
        <v>156</v>
      </c>
      <c r="H47" s="158" t="s">
        <v>17</v>
      </c>
      <c r="I47" s="157" t="s">
        <v>130</v>
      </c>
      <c r="J47" s="157"/>
      <c r="K47" s="157"/>
    </row>
    <row r="48" spans="1:11" x14ac:dyDescent="0.2">
      <c r="A48" s="156"/>
      <c r="B48" s="158" t="s">
        <v>112</v>
      </c>
      <c r="C48" s="158" t="s">
        <v>0</v>
      </c>
      <c r="D48" s="158" t="s">
        <v>2</v>
      </c>
      <c r="E48" s="158" t="s">
        <v>4</v>
      </c>
      <c r="F48" s="158" t="s">
        <v>10</v>
      </c>
      <c r="G48" s="158" t="s">
        <v>155</v>
      </c>
      <c r="H48" s="158" t="s">
        <v>159</v>
      </c>
      <c r="I48" s="157"/>
      <c r="J48" s="157"/>
      <c r="K48" s="157"/>
    </row>
    <row r="49" spans="1:11" x14ac:dyDescent="0.2">
      <c r="A49" s="156"/>
      <c r="B49" s="158" t="s">
        <v>112</v>
      </c>
      <c r="C49" s="158" t="s">
        <v>1</v>
      </c>
      <c r="D49" s="158" t="s">
        <v>2</v>
      </c>
      <c r="E49" s="158" t="s">
        <v>4</v>
      </c>
      <c r="F49" s="158" t="s">
        <v>10</v>
      </c>
      <c r="G49" s="158" t="s">
        <v>155</v>
      </c>
      <c r="H49" s="158" t="s">
        <v>159</v>
      </c>
      <c r="I49" s="157"/>
      <c r="J49" s="157"/>
      <c r="K49" s="157"/>
    </row>
    <row r="50" spans="1:11" x14ac:dyDescent="0.2">
      <c r="A50" s="156"/>
      <c r="B50" s="158" t="s">
        <v>112</v>
      </c>
      <c r="C50" s="158" t="s">
        <v>1</v>
      </c>
      <c r="D50" s="158" t="s">
        <v>2</v>
      </c>
      <c r="E50" s="158" t="s">
        <v>4</v>
      </c>
      <c r="F50" s="158" t="s">
        <v>10</v>
      </c>
      <c r="G50" s="158" t="s">
        <v>155</v>
      </c>
      <c r="H50" s="158" t="s">
        <v>159</v>
      </c>
      <c r="I50" s="157"/>
      <c r="J50" s="157"/>
      <c r="K50" s="157"/>
    </row>
    <row r="51" spans="1:11" x14ac:dyDescent="0.2">
      <c r="A51" s="156"/>
      <c r="B51" s="158" t="s">
        <v>113</v>
      </c>
      <c r="C51" s="158" t="s">
        <v>1</v>
      </c>
      <c r="D51" s="158" t="s">
        <v>2</v>
      </c>
      <c r="E51" s="158" t="s">
        <v>4</v>
      </c>
      <c r="F51" s="158" t="s">
        <v>10</v>
      </c>
      <c r="G51" s="158" t="s">
        <v>158</v>
      </c>
      <c r="H51" s="158" t="s">
        <v>159</v>
      </c>
      <c r="I51" s="157"/>
      <c r="J51" s="157"/>
      <c r="K51" s="157"/>
    </row>
    <row r="52" spans="1:11" x14ac:dyDescent="0.2">
      <c r="A52" s="156"/>
      <c r="B52" s="158" t="s">
        <v>113</v>
      </c>
      <c r="C52" s="158" t="s">
        <v>1</v>
      </c>
      <c r="D52" s="158" t="s">
        <v>2</v>
      </c>
      <c r="E52" s="158" t="s">
        <v>4</v>
      </c>
      <c r="F52" s="158" t="s">
        <v>106</v>
      </c>
      <c r="G52" s="158" t="s">
        <v>155</v>
      </c>
      <c r="H52" s="158" t="s">
        <v>159</v>
      </c>
      <c r="I52" s="157"/>
      <c r="J52" s="157"/>
      <c r="K52" s="157"/>
    </row>
    <row r="53" spans="1:11" x14ac:dyDescent="0.2">
      <c r="A53" s="156"/>
      <c r="B53" s="158" t="s">
        <v>113</v>
      </c>
      <c r="C53" s="158" t="s">
        <v>1</v>
      </c>
      <c r="D53" s="158" t="s">
        <v>2</v>
      </c>
      <c r="E53" s="158" t="s">
        <v>4</v>
      </c>
      <c r="F53" s="158" t="s">
        <v>16</v>
      </c>
      <c r="G53" s="158" t="s">
        <v>155</v>
      </c>
      <c r="H53" s="158" t="s">
        <v>159</v>
      </c>
      <c r="I53" s="157"/>
      <c r="J53" s="157"/>
      <c r="K53" s="157"/>
    </row>
    <row r="54" spans="1:11" x14ac:dyDescent="0.2">
      <c r="A54" s="156"/>
      <c r="B54" s="158" t="s">
        <v>113</v>
      </c>
      <c r="C54" s="158" t="s">
        <v>0</v>
      </c>
      <c r="D54" s="158" t="s">
        <v>177</v>
      </c>
      <c r="E54" s="158" t="s">
        <v>4</v>
      </c>
      <c r="F54" s="158" t="s">
        <v>10</v>
      </c>
      <c r="G54" s="158" t="s">
        <v>228</v>
      </c>
      <c r="H54" s="158" t="s">
        <v>17</v>
      </c>
      <c r="I54" s="157" t="s">
        <v>130</v>
      </c>
      <c r="J54" s="157"/>
      <c r="K54" s="157"/>
    </row>
    <row r="55" spans="1:11" x14ac:dyDescent="0.2">
      <c r="A55" s="156"/>
      <c r="B55" s="158" t="s">
        <v>113</v>
      </c>
      <c r="C55" s="158" t="s">
        <v>1</v>
      </c>
      <c r="D55" s="158" t="s">
        <v>177</v>
      </c>
      <c r="E55" s="158" t="s">
        <v>4</v>
      </c>
      <c r="F55" s="158" t="s">
        <v>13</v>
      </c>
      <c r="G55" s="158" t="s">
        <v>156</v>
      </c>
      <c r="H55" s="158" t="s">
        <v>17</v>
      </c>
      <c r="I55" s="157" t="s">
        <v>130</v>
      </c>
      <c r="J55" s="157"/>
      <c r="K55" s="157"/>
    </row>
    <row r="56" spans="1:11" x14ac:dyDescent="0.2">
      <c r="A56" s="156"/>
      <c r="B56" s="158" t="s">
        <v>113</v>
      </c>
      <c r="C56" s="158" t="s">
        <v>1</v>
      </c>
      <c r="D56" s="158" t="s">
        <v>177</v>
      </c>
      <c r="E56" s="158" t="s">
        <v>4</v>
      </c>
      <c r="F56" s="158" t="s">
        <v>23</v>
      </c>
      <c r="G56" s="158" t="s">
        <v>156</v>
      </c>
      <c r="H56" s="158" t="s">
        <v>17</v>
      </c>
      <c r="I56" s="157" t="s">
        <v>130</v>
      </c>
      <c r="J56" s="157"/>
      <c r="K56" s="157"/>
    </row>
    <row r="57" spans="1:11" x14ac:dyDescent="0.2">
      <c r="A57" s="156"/>
      <c r="B57" s="158" t="s">
        <v>113</v>
      </c>
      <c r="C57" s="158" t="s">
        <v>1</v>
      </c>
      <c r="D57" s="158" t="s">
        <v>2</v>
      </c>
      <c r="E57" s="158" t="s">
        <v>4</v>
      </c>
      <c r="F57" s="158" t="s">
        <v>23</v>
      </c>
      <c r="G57" s="158" t="s">
        <v>156</v>
      </c>
      <c r="H57" s="158" t="s">
        <v>159</v>
      </c>
      <c r="I57" s="157"/>
      <c r="J57" s="157"/>
      <c r="K57" s="157"/>
    </row>
    <row r="58" spans="1:11" x14ac:dyDescent="0.2">
      <c r="A58" s="156"/>
      <c r="B58" s="158" t="s">
        <v>113</v>
      </c>
      <c r="C58" s="158" t="s">
        <v>0</v>
      </c>
      <c r="D58" s="158" t="s">
        <v>177</v>
      </c>
      <c r="E58" s="158" t="s">
        <v>4</v>
      </c>
      <c r="F58" s="157" t="s">
        <v>11</v>
      </c>
      <c r="G58" s="158" t="s">
        <v>156</v>
      </c>
      <c r="H58" s="158" t="s">
        <v>159</v>
      </c>
      <c r="I58" s="157"/>
      <c r="J58" s="157"/>
      <c r="K58" s="157"/>
    </row>
    <row r="59" spans="1:11" x14ac:dyDescent="0.2">
      <c r="A59" s="156"/>
      <c r="B59" s="158" t="s">
        <v>113</v>
      </c>
      <c r="C59" s="158" t="s">
        <v>0</v>
      </c>
      <c r="D59" s="158" t="s">
        <v>177</v>
      </c>
      <c r="E59" s="158" t="s">
        <v>4</v>
      </c>
      <c r="F59" s="158" t="s">
        <v>11</v>
      </c>
      <c r="G59" s="158" t="s">
        <v>156</v>
      </c>
      <c r="H59" s="158" t="s">
        <v>159</v>
      </c>
      <c r="I59" s="157"/>
      <c r="J59" s="157"/>
      <c r="K59" s="157"/>
    </row>
    <row r="60" spans="1:11" x14ac:dyDescent="0.2">
      <c r="A60" s="156"/>
      <c r="B60" s="158" t="s">
        <v>113</v>
      </c>
      <c r="C60" s="158" t="s">
        <v>1</v>
      </c>
      <c r="D60" s="158" t="s">
        <v>177</v>
      </c>
      <c r="E60" s="158" t="s">
        <v>3</v>
      </c>
      <c r="F60" s="158" t="s">
        <v>106</v>
      </c>
      <c r="G60" s="158" t="s">
        <v>158</v>
      </c>
      <c r="H60" s="158" t="s">
        <v>159</v>
      </c>
      <c r="I60" s="157"/>
      <c r="J60" s="157"/>
      <c r="K60" s="157"/>
    </row>
    <row r="61" spans="1:11" x14ac:dyDescent="0.2">
      <c r="A61" s="156"/>
      <c r="B61" s="158" t="s">
        <v>113</v>
      </c>
      <c r="C61" s="158" t="s">
        <v>1</v>
      </c>
      <c r="D61" s="158" t="s">
        <v>177</v>
      </c>
      <c r="E61" s="158" t="s">
        <v>3</v>
      </c>
      <c r="F61" s="158" t="s">
        <v>106</v>
      </c>
      <c r="G61" s="158" t="s">
        <v>158</v>
      </c>
      <c r="H61" s="158" t="s">
        <v>159</v>
      </c>
      <c r="I61" s="157"/>
      <c r="J61" s="157"/>
      <c r="K61" s="157"/>
    </row>
    <row r="62" spans="1:11" x14ac:dyDescent="0.2">
      <c r="A62" s="156"/>
      <c r="B62" s="157" t="s">
        <v>116</v>
      </c>
      <c r="C62" s="158" t="s">
        <v>0</v>
      </c>
      <c r="D62" s="158" t="s">
        <v>2</v>
      </c>
      <c r="E62" s="158" t="s">
        <v>4</v>
      </c>
      <c r="F62" s="158" t="s">
        <v>10</v>
      </c>
      <c r="G62" s="158" t="s">
        <v>228</v>
      </c>
      <c r="H62" s="158" t="s">
        <v>7</v>
      </c>
      <c r="I62" s="158" t="s">
        <v>143</v>
      </c>
      <c r="J62" s="157" t="s">
        <v>134</v>
      </c>
      <c r="K62" s="157" t="s">
        <v>102</v>
      </c>
    </row>
    <row r="63" spans="1:11" x14ac:dyDescent="0.2">
      <c r="A63" s="156"/>
      <c r="B63" s="157" t="s">
        <v>116</v>
      </c>
      <c r="C63" s="158" t="s">
        <v>0</v>
      </c>
      <c r="D63" s="158" t="s">
        <v>2</v>
      </c>
      <c r="E63" s="158" t="s">
        <v>4</v>
      </c>
      <c r="F63" s="158" t="s">
        <v>10</v>
      </c>
      <c r="G63" s="158" t="s">
        <v>228</v>
      </c>
      <c r="H63" s="158" t="s">
        <v>7</v>
      </c>
      <c r="I63" s="158" t="s">
        <v>143</v>
      </c>
      <c r="J63" s="157" t="s">
        <v>134</v>
      </c>
      <c r="K63" s="157" t="s">
        <v>102</v>
      </c>
    </row>
    <row r="64" spans="1:11" x14ac:dyDescent="0.2">
      <c r="A64" s="156"/>
      <c r="B64" s="157" t="s">
        <v>116</v>
      </c>
      <c r="C64" s="158" t="s">
        <v>0</v>
      </c>
      <c r="D64" s="158" t="s">
        <v>2</v>
      </c>
      <c r="E64" s="158" t="s">
        <v>4</v>
      </c>
      <c r="F64" s="158" t="s">
        <v>10</v>
      </c>
      <c r="G64" s="158" t="s">
        <v>228</v>
      </c>
      <c r="H64" s="158" t="s">
        <v>7</v>
      </c>
      <c r="I64" s="158" t="s">
        <v>143</v>
      </c>
      <c r="J64" s="157" t="s">
        <v>134</v>
      </c>
      <c r="K64" s="157" t="s">
        <v>102</v>
      </c>
    </row>
    <row r="65" spans="1:11" x14ac:dyDescent="0.2">
      <c r="A65" s="156"/>
      <c r="B65" s="157" t="s">
        <v>116</v>
      </c>
      <c r="C65" s="158" t="s">
        <v>0</v>
      </c>
      <c r="D65" s="158" t="s">
        <v>2</v>
      </c>
      <c r="E65" s="158" t="s">
        <v>4</v>
      </c>
      <c r="F65" s="158" t="s">
        <v>10</v>
      </c>
      <c r="G65" s="158" t="s">
        <v>228</v>
      </c>
      <c r="H65" s="158" t="s">
        <v>7</v>
      </c>
      <c r="I65" s="158" t="s">
        <v>143</v>
      </c>
      <c r="J65" s="157" t="s">
        <v>134</v>
      </c>
      <c r="K65" s="157" t="s">
        <v>102</v>
      </c>
    </row>
    <row r="66" spans="1:11" x14ac:dyDescent="0.2">
      <c r="A66" s="156"/>
      <c r="B66" s="157" t="s">
        <v>116</v>
      </c>
      <c r="C66" s="158" t="s">
        <v>0</v>
      </c>
      <c r="D66" s="158" t="s">
        <v>2</v>
      </c>
      <c r="E66" s="158" t="s">
        <v>4</v>
      </c>
      <c r="F66" s="158" t="s">
        <v>10</v>
      </c>
      <c r="G66" s="158" t="s">
        <v>228</v>
      </c>
      <c r="H66" s="158" t="s">
        <v>7</v>
      </c>
      <c r="I66" s="158" t="s">
        <v>143</v>
      </c>
      <c r="J66" s="157" t="s">
        <v>134</v>
      </c>
      <c r="K66" s="157" t="s">
        <v>102</v>
      </c>
    </row>
    <row r="67" spans="1:11" x14ac:dyDescent="0.2">
      <c r="A67" s="156"/>
      <c r="B67" s="157" t="s">
        <v>116</v>
      </c>
      <c r="C67" s="158" t="s">
        <v>0</v>
      </c>
      <c r="D67" s="158" t="s">
        <v>2</v>
      </c>
      <c r="E67" s="158" t="s">
        <v>4</v>
      </c>
      <c r="F67" s="158" t="s">
        <v>10</v>
      </c>
      <c r="G67" s="158" t="s">
        <v>228</v>
      </c>
      <c r="H67" s="158" t="s">
        <v>7</v>
      </c>
      <c r="I67" s="158" t="s">
        <v>143</v>
      </c>
      <c r="J67" s="157" t="s">
        <v>134</v>
      </c>
      <c r="K67" s="157" t="s">
        <v>102</v>
      </c>
    </row>
    <row r="68" spans="1:11" x14ac:dyDescent="0.2">
      <c r="A68" s="156"/>
      <c r="B68" s="157" t="s">
        <v>116</v>
      </c>
      <c r="C68" s="158" t="s">
        <v>0</v>
      </c>
      <c r="D68" s="158" t="s">
        <v>2</v>
      </c>
      <c r="E68" s="158" t="s">
        <v>4</v>
      </c>
      <c r="F68" s="158" t="s">
        <v>10</v>
      </c>
      <c r="G68" s="158" t="s">
        <v>228</v>
      </c>
      <c r="H68" s="158" t="s">
        <v>7</v>
      </c>
      <c r="I68" s="158" t="s">
        <v>143</v>
      </c>
      <c r="J68" s="157" t="s">
        <v>134</v>
      </c>
      <c r="K68" s="157" t="s">
        <v>102</v>
      </c>
    </row>
    <row r="69" spans="1:11" x14ac:dyDescent="0.2">
      <c r="A69" s="156"/>
      <c r="B69" s="157" t="s">
        <v>116</v>
      </c>
      <c r="C69" s="158" t="s">
        <v>0</v>
      </c>
      <c r="D69" s="158" t="s">
        <v>2</v>
      </c>
      <c r="E69" s="158" t="s">
        <v>4</v>
      </c>
      <c r="F69" s="158" t="s">
        <v>10</v>
      </c>
      <c r="G69" s="158" t="s">
        <v>228</v>
      </c>
      <c r="H69" s="158" t="s">
        <v>7</v>
      </c>
      <c r="I69" s="158" t="s">
        <v>143</v>
      </c>
      <c r="J69" s="157" t="s">
        <v>134</v>
      </c>
      <c r="K69" s="157" t="s">
        <v>102</v>
      </c>
    </row>
    <row r="70" spans="1:11" x14ac:dyDescent="0.2">
      <c r="A70" s="156"/>
      <c r="B70" s="157" t="s">
        <v>116</v>
      </c>
      <c r="C70" s="158" t="s">
        <v>0</v>
      </c>
      <c r="D70" s="158" t="s">
        <v>2</v>
      </c>
      <c r="E70" s="158" t="s">
        <v>4</v>
      </c>
      <c r="F70" s="158" t="s">
        <v>10</v>
      </c>
      <c r="G70" s="158" t="s">
        <v>228</v>
      </c>
      <c r="H70" s="158" t="s">
        <v>7</v>
      </c>
      <c r="I70" s="158" t="s">
        <v>143</v>
      </c>
      <c r="J70" s="157" t="s">
        <v>134</v>
      </c>
      <c r="K70" s="157" t="s">
        <v>102</v>
      </c>
    </row>
    <row r="71" spans="1:11" x14ac:dyDescent="0.2">
      <c r="A71" s="156"/>
      <c r="B71" s="157" t="s">
        <v>116</v>
      </c>
      <c r="C71" s="158" t="s">
        <v>0</v>
      </c>
      <c r="D71" s="158" t="s">
        <v>2</v>
      </c>
      <c r="E71" s="158" t="s">
        <v>4</v>
      </c>
      <c r="F71" s="158" t="s">
        <v>10</v>
      </c>
      <c r="G71" s="158" t="s">
        <v>228</v>
      </c>
      <c r="H71" s="158" t="s">
        <v>7</v>
      </c>
      <c r="I71" s="158" t="s">
        <v>143</v>
      </c>
      <c r="J71" s="157" t="s">
        <v>134</v>
      </c>
      <c r="K71" s="157" t="s">
        <v>102</v>
      </c>
    </row>
    <row r="72" spans="1:11" x14ac:dyDescent="0.2">
      <c r="A72" s="156"/>
      <c r="B72" s="157" t="s">
        <v>116</v>
      </c>
      <c r="C72" s="158" t="s">
        <v>0</v>
      </c>
      <c r="D72" s="158" t="s">
        <v>2</v>
      </c>
      <c r="E72" s="158" t="s">
        <v>4</v>
      </c>
      <c r="F72" s="158" t="s">
        <v>10</v>
      </c>
      <c r="G72" s="158" t="s">
        <v>228</v>
      </c>
      <c r="H72" s="158" t="s">
        <v>7</v>
      </c>
      <c r="I72" s="158" t="s">
        <v>143</v>
      </c>
      <c r="J72" s="157" t="s">
        <v>134</v>
      </c>
      <c r="K72" s="157" t="s">
        <v>102</v>
      </c>
    </row>
    <row r="73" spans="1:11" x14ac:dyDescent="0.2">
      <c r="A73" s="156"/>
      <c r="B73" s="157" t="s">
        <v>116</v>
      </c>
      <c r="C73" s="158" t="s">
        <v>0</v>
      </c>
      <c r="D73" s="158" t="s">
        <v>2</v>
      </c>
      <c r="E73" s="158" t="s">
        <v>4</v>
      </c>
      <c r="F73" s="158" t="s">
        <v>10</v>
      </c>
      <c r="G73" s="158" t="s">
        <v>228</v>
      </c>
      <c r="H73" s="158" t="s">
        <v>7</v>
      </c>
      <c r="I73" s="158" t="s">
        <v>143</v>
      </c>
      <c r="J73" s="157" t="s">
        <v>134</v>
      </c>
      <c r="K73" s="157" t="s">
        <v>102</v>
      </c>
    </row>
    <row r="74" spans="1:11" x14ac:dyDescent="0.2">
      <c r="A74" s="156"/>
      <c r="B74" s="157" t="s">
        <v>116</v>
      </c>
      <c r="C74" s="158" t="s">
        <v>0</v>
      </c>
      <c r="D74" s="158" t="s">
        <v>2</v>
      </c>
      <c r="E74" s="158" t="s">
        <v>4</v>
      </c>
      <c r="F74" s="158" t="s">
        <v>10</v>
      </c>
      <c r="G74" s="158" t="s">
        <v>228</v>
      </c>
      <c r="H74" s="158" t="s">
        <v>7</v>
      </c>
      <c r="I74" s="158" t="s">
        <v>143</v>
      </c>
      <c r="J74" s="157" t="s">
        <v>134</v>
      </c>
      <c r="K74" s="157" t="s">
        <v>102</v>
      </c>
    </row>
    <row r="75" spans="1:11" x14ac:dyDescent="0.2">
      <c r="A75" s="156"/>
      <c r="B75" s="157" t="s">
        <v>116</v>
      </c>
      <c r="C75" s="158" t="s">
        <v>0</v>
      </c>
      <c r="D75" s="158" t="s">
        <v>2</v>
      </c>
      <c r="E75" s="158" t="s">
        <v>4</v>
      </c>
      <c r="F75" s="158" t="s">
        <v>10</v>
      </c>
      <c r="G75" s="158" t="s">
        <v>228</v>
      </c>
      <c r="H75" s="158" t="s">
        <v>7</v>
      </c>
      <c r="I75" s="158" t="s">
        <v>143</v>
      </c>
      <c r="J75" s="157" t="s">
        <v>134</v>
      </c>
      <c r="K75" s="157" t="s">
        <v>102</v>
      </c>
    </row>
    <row r="76" spans="1:11" x14ac:dyDescent="0.2">
      <c r="A76" s="156"/>
      <c r="B76" s="157" t="s">
        <v>116</v>
      </c>
      <c r="C76" s="158" t="s">
        <v>0</v>
      </c>
      <c r="D76" s="158" t="s">
        <v>2</v>
      </c>
      <c r="E76" s="158" t="s">
        <v>4</v>
      </c>
      <c r="F76" s="158" t="s">
        <v>10</v>
      </c>
      <c r="G76" s="158" t="s">
        <v>228</v>
      </c>
      <c r="H76" s="158" t="s">
        <v>7</v>
      </c>
      <c r="I76" s="158" t="s">
        <v>143</v>
      </c>
      <c r="J76" s="157" t="s">
        <v>134</v>
      </c>
      <c r="K76" s="157" t="s">
        <v>102</v>
      </c>
    </row>
    <row r="77" spans="1:11" x14ac:dyDescent="0.2">
      <c r="A77" s="156"/>
      <c r="B77" s="157" t="s">
        <v>116</v>
      </c>
      <c r="C77" s="158" t="s">
        <v>0</v>
      </c>
      <c r="D77" s="158" t="s">
        <v>2</v>
      </c>
      <c r="E77" s="158" t="s">
        <v>4</v>
      </c>
      <c r="F77" s="158" t="s">
        <v>10</v>
      </c>
      <c r="G77" s="158" t="s">
        <v>228</v>
      </c>
      <c r="H77" s="158" t="s">
        <v>7</v>
      </c>
      <c r="I77" s="158" t="s">
        <v>143</v>
      </c>
      <c r="J77" s="157" t="s">
        <v>134</v>
      </c>
      <c r="K77" s="157" t="s">
        <v>102</v>
      </c>
    </row>
    <row r="78" spans="1:11" x14ac:dyDescent="0.2">
      <c r="A78" s="156"/>
      <c r="B78" s="157" t="s">
        <v>116</v>
      </c>
      <c r="C78" s="158" t="s">
        <v>0</v>
      </c>
      <c r="D78" s="158" t="s">
        <v>2</v>
      </c>
      <c r="E78" s="158" t="s">
        <v>4</v>
      </c>
      <c r="F78" s="158" t="s">
        <v>10</v>
      </c>
      <c r="G78" s="158" t="s">
        <v>228</v>
      </c>
      <c r="H78" s="158" t="s">
        <v>7</v>
      </c>
      <c r="I78" s="158" t="s">
        <v>143</v>
      </c>
      <c r="J78" s="157" t="s">
        <v>134</v>
      </c>
      <c r="K78" s="157" t="s">
        <v>102</v>
      </c>
    </row>
    <row r="79" spans="1:11" x14ac:dyDescent="0.2">
      <c r="A79" s="156"/>
      <c r="B79" s="157" t="s">
        <v>116</v>
      </c>
      <c r="C79" s="158" t="s">
        <v>0</v>
      </c>
      <c r="D79" s="158" t="s">
        <v>2</v>
      </c>
      <c r="E79" s="158" t="s">
        <v>4</v>
      </c>
      <c r="F79" s="158" t="s">
        <v>10</v>
      </c>
      <c r="G79" s="158" t="s">
        <v>228</v>
      </c>
      <c r="H79" s="158" t="s">
        <v>7</v>
      </c>
      <c r="I79" s="158" t="s">
        <v>143</v>
      </c>
      <c r="J79" s="157" t="s">
        <v>134</v>
      </c>
      <c r="K79" s="157" t="s">
        <v>102</v>
      </c>
    </row>
    <row r="80" spans="1:11" x14ac:dyDescent="0.2">
      <c r="A80" s="156"/>
      <c r="B80" s="157" t="s">
        <v>116</v>
      </c>
      <c r="C80" s="158" t="s">
        <v>0</v>
      </c>
      <c r="D80" s="158" t="s">
        <v>2</v>
      </c>
      <c r="E80" s="158" t="s">
        <v>4</v>
      </c>
      <c r="F80" s="158" t="s">
        <v>10</v>
      </c>
      <c r="G80" s="158" t="s">
        <v>228</v>
      </c>
      <c r="H80" s="158" t="s">
        <v>7</v>
      </c>
      <c r="I80" s="158" t="s">
        <v>143</v>
      </c>
      <c r="J80" s="157" t="s">
        <v>134</v>
      </c>
      <c r="K80" s="157" t="s">
        <v>102</v>
      </c>
    </row>
    <row r="81" spans="1:11" x14ac:dyDescent="0.2">
      <c r="A81" s="156"/>
      <c r="B81" s="157" t="s">
        <v>116</v>
      </c>
      <c r="C81" s="158" t="s">
        <v>0</v>
      </c>
      <c r="D81" s="158" t="s">
        <v>2</v>
      </c>
      <c r="E81" s="158" t="s">
        <v>4</v>
      </c>
      <c r="F81" s="158" t="s">
        <v>10</v>
      </c>
      <c r="G81" s="158" t="s">
        <v>228</v>
      </c>
      <c r="H81" s="158" t="s">
        <v>7</v>
      </c>
      <c r="I81" s="158" t="s">
        <v>143</v>
      </c>
      <c r="J81" s="157" t="s">
        <v>134</v>
      </c>
      <c r="K81" s="157" t="s">
        <v>102</v>
      </c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opLeftCell="A52" workbookViewId="0">
      <selection activeCell="K89" sqref="K89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112</v>
      </c>
      <c r="C5" s="157" t="s">
        <v>1</v>
      </c>
      <c r="D5" s="157" t="s">
        <v>177</v>
      </c>
      <c r="E5" s="157" t="s">
        <v>3</v>
      </c>
      <c r="F5" s="157" t="s">
        <v>10</v>
      </c>
      <c r="G5" s="157" t="s">
        <v>158</v>
      </c>
      <c r="H5" s="157" t="s">
        <v>159</v>
      </c>
      <c r="I5" s="157"/>
      <c r="J5" s="157"/>
      <c r="K5" s="157"/>
    </row>
    <row r="6" spans="1:11" x14ac:dyDescent="0.2">
      <c r="A6" s="156"/>
      <c r="B6" s="158" t="s">
        <v>112</v>
      </c>
      <c r="C6" s="157" t="s">
        <v>0</v>
      </c>
      <c r="D6" s="158" t="s">
        <v>177</v>
      </c>
      <c r="E6" s="158" t="s">
        <v>3</v>
      </c>
      <c r="F6" s="157" t="s">
        <v>106</v>
      </c>
      <c r="G6" s="157" t="s">
        <v>156</v>
      </c>
      <c r="H6" s="158" t="s">
        <v>17</v>
      </c>
      <c r="I6" s="157" t="s">
        <v>130</v>
      </c>
      <c r="J6" s="157"/>
      <c r="K6" s="157"/>
    </row>
    <row r="7" spans="1:11" x14ac:dyDescent="0.2">
      <c r="A7" s="156"/>
      <c r="B7" s="158" t="s">
        <v>112</v>
      </c>
      <c r="C7" s="158" t="s">
        <v>0</v>
      </c>
      <c r="D7" s="158" t="s">
        <v>177</v>
      </c>
      <c r="E7" s="158" t="s">
        <v>3</v>
      </c>
      <c r="F7" s="157" t="s">
        <v>56</v>
      </c>
      <c r="G7" s="158" t="s">
        <v>156</v>
      </c>
      <c r="H7" s="158" t="s">
        <v>7</v>
      </c>
      <c r="I7" s="157" t="s">
        <v>240</v>
      </c>
      <c r="J7" s="157"/>
      <c r="K7" s="157"/>
    </row>
    <row r="8" spans="1:11" x14ac:dyDescent="0.2">
      <c r="A8" s="156"/>
      <c r="B8" s="158" t="s">
        <v>112</v>
      </c>
      <c r="C8" s="158" t="s">
        <v>0</v>
      </c>
      <c r="D8" s="158" t="s">
        <v>177</v>
      </c>
      <c r="E8" s="157" t="s">
        <v>4</v>
      </c>
      <c r="F8" s="158" t="s">
        <v>12</v>
      </c>
      <c r="G8" s="158" t="s">
        <v>156</v>
      </c>
      <c r="H8" s="158" t="s">
        <v>7</v>
      </c>
      <c r="I8" s="158" t="s">
        <v>240</v>
      </c>
      <c r="J8" s="157"/>
      <c r="K8" s="157"/>
    </row>
    <row r="9" spans="1:11" x14ac:dyDescent="0.2">
      <c r="A9" s="156"/>
      <c r="B9" s="158" t="s">
        <v>112</v>
      </c>
      <c r="C9" s="158" t="s">
        <v>0</v>
      </c>
      <c r="D9" s="158" t="s">
        <v>177</v>
      </c>
      <c r="E9" s="158" t="s">
        <v>4</v>
      </c>
      <c r="F9" s="157" t="s">
        <v>13</v>
      </c>
      <c r="G9" s="158" t="s">
        <v>156</v>
      </c>
      <c r="H9" s="158" t="s">
        <v>7</v>
      </c>
      <c r="I9" s="158" t="s">
        <v>240</v>
      </c>
      <c r="J9" s="157"/>
      <c r="K9" s="157"/>
    </row>
    <row r="10" spans="1:11" x14ac:dyDescent="0.2">
      <c r="A10" s="156"/>
      <c r="B10" s="158" t="s">
        <v>112</v>
      </c>
      <c r="C10" s="158" t="s">
        <v>0</v>
      </c>
      <c r="D10" s="158" t="s">
        <v>177</v>
      </c>
      <c r="E10" s="158" t="s">
        <v>4</v>
      </c>
      <c r="F10" s="158" t="s">
        <v>13</v>
      </c>
      <c r="G10" s="158" t="s">
        <v>156</v>
      </c>
      <c r="H10" s="158" t="s">
        <v>7</v>
      </c>
      <c r="I10" s="158" t="s">
        <v>240</v>
      </c>
      <c r="J10" s="157"/>
      <c r="K10" s="157"/>
    </row>
    <row r="11" spans="1:11" x14ac:dyDescent="0.2">
      <c r="A11" s="156"/>
      <c r="B11" s="158" t="s">
        <v>112</v>
      </c>
      <c r="C11" s="158" t="s">
        <v>0</v>
      </c>
      <c r="D11" s="158" t="s">
        <v>177</v>
      </c>
      <c r="E11" s="158" t="s">
        <v>4</v>
      </c>
      <c r="F11" s="158" t="s">
        <v>13</v>
      </c>
      <c r="G11" s="158" t="s">
        <v>156</v>
      </c>
      <c r="H11" s="158" t="s">
        <v>7</v>
      </c>
      <c r="I11" s="158" t="s">
        <v>240</v>
      </c>
      <c r="J11" s="157"/>
      <c r="K11" s="157"/>
    </row>
    <row r="12" spans="1:11" x14ac:dyDescent="0.2">
      <c r="A12" s="156"/>
      <c r="B12" s="158" t="s">
        <v>112</v>
      </c>
      <c r="C12" s="158" t="s">
        <v>0</v>
      </c>
      <c r="D12" s="158" t="s">
        <v>177</v>
      </c>
      <c r="E12" s="158" t="s">
        <v>4</v>
      </c>
      <c r="F12" s="158" t="s">
        <v>13</v>
      </c>
      <c r="G12" s="158" t="s">
        <v>156</v>
      </c>
      <c r="H12" s="158" t="s">
        <v>7</v>
      </c>
      <c r="I12" s="158" t="s">
        <v>240</v>
      </c>
      <c r="J12" s="157"/>
      <c r="K12" s="157"/>
    </row>
    <row r="13" spans="1:11" x14ac:dyDescent="0.2">
      <c r="A13" s="156"/>
      <c r="B13" s="158" t="s">
        <v>112</v>
      </c>
      <c r="C13" s="158" t="s">
        <v>0</v>
      </c>
      <c r="D13" s="158" t="s">
        <v>177</v>
      </c>
      <c r="E13" s="158" t="s">
        <v>4</v>
      </c>
      <c r="F13" s="157" t="s">
        <v>23</v>
      </c>
      <c r="G13" s="158" t="s">
        <v>156</v>
      </c>
      <c r="H13" s="158" t="s">
        <v>7</v>
      </c>
      <c r="I13" s="158" t="s">
        <v>240</v>
      </c>
      <c r="J13" s="157"/>
      <c r="K13" s="157"/>
    </row>
    <row r="14" spans="1:11" x14ac:dyDescent="0.2">
      <c r="A14" s="156"/>
      <c r="B14" s="158" t="s">
        <v>112</v>
      </c>
      <c r="C14" s="158" t="s">
        <v>0</v>
      </c>
      <c r="D14" s="158" t="s">
        <v>177</v>
      </c>
      <c r="E14" s="158" t="s">
        <v>4</v>
      </c>
      <c r="F14" s="157" t="s">
        <v>153</v>
      </c>
      <c r="G14" s="158" t="s">
        <v>156</v>
      </c>
      <c r="H14" s="158" t="s">
        <v>7</v>
      </c>
      <c r="I14" s="158" t="s">
        <v>240</v>
      </c>
      <c r="J14" s="158"/>
      <c r="K14" s="158"/>
    </row>
    <row r="15" spans="1:11" x14ac:dyDescent="0.2">
      <c r="A15" s="156"/>
      <c r="B15" s="158" t="s">
        <v>112</v>
      </c>
      <c r="C15" s="158" t="s">
        <v>0</v>
      </c>
      <c r="D15" s="158" t="s">
        <v>177</v>
      </c>
      <c r="E15" s="158" t="s">
        <v>4</v>
      </c>
      <c r="F15" s="158" t="s">
        <v>13</v>
      </c>
      <c r="G15" s="158" t="s">
        <v>156</v>
      </c>
      <c r="H15" s="158" t="s">
        <v>7</v>
      </c>
      <c r="I15" s="158" t="s">
        <v>240</v>
      </c>
      <c r="J15" s="158"/>
      <c r="K15" s="158"/>
    </row>
    <row r="16" spans="1:11" x14ac:dyDescent="0.2">
      <c r="A16" s="156"/>
      <c r="B16" s="158" t="s">
        <v>112</v>
      </c>
      <c r="C16" s="158" t="s">
        <v>0</v>
      </c>
      <c r="D16" s="158" t="s">
        <v>177</v>
      </c>
      <c r="E16" s="158" t="s">
        <v>4</v>
      </c>
      <c r="F16" s="158" t="s">
        <v>10</v>
      </c>
      <c r="G16" s="158" t="s">
        <v>156</v>
      </c>
      <c r="H16" s="158" t="s">
        <v>7</v>
      </c>
      <c r="I16" s="158" t="s">
        <v>240</v>
      </c>
      <c r="J16" s="158"/>
      <c r="K16" s="158"/>
    </row>
    <row r="17" spans="1:11" x14ac:dyDescent="0.2">
      <c r="A17" s="156"/>
      <c r="B17" s="158" t="s">
        <v>112</v>
      </c>
      <c r="C17" s="158" t="s">
        <v>1</v>
      </c>
      <c r="D17" s="158" t="s">
        <v>177</v>
      </c>
      <c r="E17" s="158" t="s">
        <v>4</v>
      </c>
      <c r="F17" s="158" t="s">
        <v>106</v>
      </c>
      <c r="G17" s="158" t="s">
        <v>158</v>
      </c>
      <c r="H17" s="158" t="s">
        <v>17</v>
      </c>
      <c r="I17" s="158" t="s">
        <v>130</v>
      </c>
      <c r="J17" s="157"/>
      <c r="K17" s="157"/>
    </row>
    <row r="18" spans="1:11" x14ac:dyDescent="0.2">
      <c r="A18" s="156"/>
      <c r="B18" s="158" t="s">
        <v>112</v>
      </c>
      <c r="C18" s="158" t="s">
        <v>1</v>
      </c>
      <c r="D18" s="158" t="s">
        <v>177</v>
      </c>
      <c r="E18" s="158" t="s">
        <v>4</v>
      </c>
      <c r="F18" s="157" t="s">
        <v>11</v>
      </c>
      <c r="G18" s="158" t="s">
        <v>158</v>
      </c>
      <c r="H18" s="158" t="s">
        <v>17</v>
      </c>
      <c r="I18" s="158" t="s">
        <v>130</v>
      </c>
      <c r="J18" s="158"/>
      <c r="K18" s="158"/>
    </row>
    <row r="19" spans="1:11" x14ac:dyDescent="0.2">
      <c r="A19" s="156"/>
      <c r="B19" s="157" t="s">
        <v>113</v>
      </c>
      <c r="C19" s="158" t="s">
        <v>0</v>
      </c>
      <c r="D19" s="158" t="s">
        <v>177</v>
      </c>
      <c r="E19" s="158" t="s">
        <v>4</v>
      </c>
      <c r="F19" s="158" t="s">
        <v>10</v>
      </c>
      <c r="G19" s="158" t="s">
        <v>228</v>
      </c>
      <c r="H19" s="158" t="s">
        <v>159</v>
      </c>
      <c r="I19" s="157"/>
      <c r="J19" s="157"/>
      <c r="K19" s="157"/>
    </row>
    <row r="20" spans="1:11" x14ac:dyDescent="0.2">
      <c r="A20" s="156"/>
      <c r="B20" s="158" t="s">
        <v>113</v>
      </c>
      <c r="C20" s="158" t="s">
        <v>0</v>
      </c>
      <c r="D20" s="157" t="s">
        <v>2</v>
      </c>
      <c r="E20" s="158" t="s">
        <v>4</v>
      </c>
      <c r="F20" s="158" t="s">
        <v>10</v>
      </c>
      <c r="G20" s="158" t="s">
        <v>155</v>
      </c>
      <c r="H20" s="158" t="s">
        <v>159</v>
      </c>
      <c r="I20" s="158"/>
      <c r="J20" s="158"/>
      <c r="K20" s="158"/>
    </row>
    <row r="21" spans="1:11" x14ac:dyDescent="0.2">
      <c r="A21" s="156"/>
      <c r="B21" s="158" t="s">
        <v>113</v>
      </c>
      <c r="C21" s="158" t="s">
        <v>1</v>
      </c>
      <c r="D21" s="158" t="s">
        <v>2</v>
      </c>
      <c r="E21" s="158" t="s">
        <v>3</v>
      </c>
      <c r="F21" s="158" t="s">
        <v>10</v>
      </c>
      <c r="G21" s="158" t="s">
        <v>155</v>
      </c>
      <c r="H21" s="158" t="s">
        <v>159</v>
      </c>
      <c r="I21" s="158"/>
      <c r="J21" s="158"/>
      <c r="K21" s="158"/>
    </row>
    <row r="22" spans="1:11" x14ac:dyDescent="0.2">
      <c r="A22" s="156"/>
      <c r="B22" s="158" t="s">
        <v>113</v>
      </c>
      <c r="C22" s="158" t="s">
        <v>0</v>
      </c>
      <c r="D22" s="158" t="s">
        <v>177</v>
      </c>
      <c r="E22" s="158" t="s">
        <v>4</v>
      </c>
      <c r="F22" s="157" t="s">
        <v>9</v>
      </c>
      <c r="G22" s="158" t="s">
        <v>158</v>
      </c>
      <c r="H22" s="158" t="s">
        <v>17</v>
      </c>
      <c r="I22" s="158" t="s">
        <v>130</v>
      </c>
      <c r="J22" s="158"/>
      <c r="K22" s="158"/>
    </row>
    <row r="23" spans="1:11" x14ac:dyDescent="0.2">
      <c r="A23" s="156"/>
      <c r="B23" s="158" t="s">
        <v>113</v>
      </c>
      <c r="C23" s="158" t="s">
        <v>0</v>
      </c>
      <c r="D23" s="158" t="s">
        <v>177</v>
      </c>
      <c r="E23" s="158" t="s">
        <v>4</v>
      </c>
      <c r="F23" s="158" t="s">
        <v>153</v>
      </c>
      <c r="G23" s="158" t="s">
        <v>156</v>
      </c>
      <c r="H23" s="158" t="s">
        <v>159</v>
      </c>
      <c r="I23" s="157"/>
      <c r="J23" s="157"/>
      <c r="K23" s="157"/>
    </row>
    <row r="24" spans="1:11" x14ac:dyDescent="0.2">
      <c r="A24" s="156"/>
      <c r="B24" s="158" t="s">
        <v>113</v>
      </c>
      <c r="C24" s="158" t="s">
        <v>0</v>
      </c>
      <c r="D24" s="158" t="s">
        <v>177</v>
      </c>
      <c r="E24" s="158" t="s">
        <v>4</v>
      </c>
      <c r="F24" s="158" t="s">
        <v>10</v>
      </c>
      <c r="G24" s="158" t="s">
        <v>156</v>
      </c>
      <c r="H24" s="158" t="s">
        <v>159</v>
      </c>
      <c r="I24" s="158"/>
      <c r="J24" s="158"/>
      <c r="K24" s="158"/>
    </row>
    <row r="25" spans="1:11" x14ac:dyDescent="0.2">
      <c r="A25" s="156"/>
      <c r="B25" s="158" t="s">
        <v>113</v>
      </c>
      <c r="C25" s="158" t="s">
        <v>0</v>
      </c>
      <c r="D25" s="158" t="s">
        <v>177</v>
      </c>
      <c r="E25" s="158" t="s">
        <v>3</v>
      </c>
      <c r="F25" s="158" t="s">
        <v>12</v>
      </c>
      <c r="G25" s="158" t="s">
        <v>228</v>
      </c>
      <c r="H25" s="158" t="s">
        <v>17</v>
      </c>
      <c r="I25" s="158" t="s">
        <v>130</v>
      </c>
      <c r="J25" s="157"/>
      <c r="K25" s="157"/>
    </row>
    <row r="26" spans="1:11" x14ac:dyDescent="0.2">
      <c r="A26" s="156"/>
      <c r="B26" s="158" t="s">
        <v>113</v>
      </c>
      <c r="C26" s="158" t="s">
        <v>0</v>
      </c>
      <c r="D26" s="158" t="s">
        <v>177</v>
      </c>
      <c r="E26" s="158" t="s">
        <v>3</v>
      </c>
      <c r="F26" s="158" t="s">
        <v>106</v>
      </c>
      <c r="G26" s="158" t="s">
        <v>228</v>
      </c>
      <c r="H26" s="158" t="s">
        <v>7</v>
      </c>
      <c r="I26" s="157" t="s">
        <v>251</v>
      </c>
      <c r="J26" s="157"/>
      <c r="K26" s="157"/>
    </row>
    <row r="27" spans="1:11" x14ac:dyDescent="0.2">
      <c r="A27" s="156"/>
      <c r="B27" s="158" t="s">
        <v>113</v>
      </c>
      <c r="C27" s="158" t="s">
        <v>0</v>
      </c>
      <c r="D27" s="158" t="s">
        <v>177</v>
      </c>
      <c r="E27" s="158" t="s">
        <v>4</v>
      </c>
      <c r="F27" s="158" t="s">
        <v>10</v>
      </c>
      <c r="G27" s="158" t="s">
        <v>228</v>
      </c>
      <c r="H27" s="158" t="s">
        <v>7</v>
      </c>
      <c r="I27" s="158" t="s">
        <v>251</v>
      </c>
      <c r="J27" s="157"/>
      <c r="K27" s="157"/>
    </row>
    <row r="28" spans="1:11" x14ac:dyDescent="0.2">
      <c r="A28" s="156"/>
      <c r="B28" s="158" t="s">
        <v>113</v>
      </c>
      <c r="C28" s="158" t="s">
        <v>0</v>
      </c>
      <c r="D28" s="158" t="s">
        <v>177</v>
      </c>
      <c r="E28" s="158" t="s">
        <v>4</v>
      </c>
      <c r="F28" s="158" t="s">
        <v>10</v>
      </c>
      <c r="G28" s="158" t="s">
        <v>228</v>
      </c>
      <c r="H28" s="158" t="s">
        <v>7</v>
      </c>
      <c r="I28" s="158" t="s">
        <v>251</v>
      </c>
      <c r="J28" s="157"/>
      <c r="K28" s="157"/>
    </row>
    <row r="29" spans="1:11" x14ac:dyDescent="0.2">
      <c r="A29" s="156"/>
      <c r="B29" s="158" t="s">
        <v>113</v>
      </c>
      <c r="C29" s="158" t="s">
        <v>0</v>
      </c>
      <c r="D29" s="158" t="s">
        <v>177</v>
      </c>
      <c r="E29" s="158" t="s">
        <v>4</v>
      </c>
      <c r="F29" s="158" t="s">
        <v>106</v>
      </c>
      <c r="G29" s="158" t="s">
        <v>156</v>
      </c>
      <c r="H29" s="158" t="s">
        <v>7</v>
      </c>
      <c r="I29" s="158" t="s">
        <v>251</v>
      </c>
      <c r="J29" s="157"/>
      <c r="K29" s="157"/>
    </row>
    <row r="30" spans="1:11" x14ac:dyDescent="0.2">
      <c r="A30" s="156"/>
      <c r="B30" s="158" t="s">
        <v>113</v>
      </c>
      <c r="C30" s="158" t="s">
        <v>0</v>
      </c>
      <c r="D30" s="158" t="s">
        <v>177</v>
      </c>
      <c r="E30" s="158" t="s">
        <v>3</v>
      </c>
      <c r="F30" s="158" t="s">
        <v>13</v>
      </c>
      <c r="G30" s="158" t="s">
        <v>155</v>
      </c>
      <c r="H30" s="158" t="s">
        <v>7</v>
      </c>
      <c r="I30" s="158" t="s">
        <v>251</v>
      </c>
      <c r="J30" s="157"/>
      <c r="K30" s="157"/>
    </row>
    <row r="31" spans="1:11" x14ac:dyDescent="0.2">
      <c r="A31" s="156"/>
      <c r="B31" s="158" t="s">
        <v>113</v>
      </c>
      <c r="C31" s="158" t="s">
        <v>0</v>
      </c>
      <c r="D31" s="158" t="s">
        <v>177</v>
      </c>
      <c r="E31" s="158" t="s">
        <v>3</v>
      </c>
      <c r="F31" s="158" t="s">
        <v>12</v>
      </c>
      <c r="G31" s="158" t="s">
        <v>228</v>
      </c>
      <c r="H31" s="158" t="s">
        <v>7</v>
      </c>
      <c r="I31" s="158" t="s">
        <v>251</v>
      </c>
      <c r="J31" s="157"/>
      <c r="K31" s="157"/>
    </row>
    <row r="32" spans="1:11" x14ac:dyDescent="0.2">
      <c r="A32" s="156"/>
      <c r="B32" s="158" t="s">
        <v>113</v>
      </c>
      <c r="C32" s="158" t="s">
        <v>0</v>
      </c>
      <c r="D32" s="158" t="s">
        <v>177</v>
      </c>
      <c r="E32" s="158" t="s">
        <v>4</v>
      </c>
      <c r="F32" s="158" t="s">
        <v>10</v>
      </c>
      <c r="G32" s="158" t="s">
        <v>155</v>
      </c>
      <c r="H32" s="158" t="s">
        <v>7</v>
      </c>
      <c r="I32" s="158" t="s">
        <v>251</v>
      </c>
      <c r="J32" s="157"/>
      <c r="K32" s="157"/>
    </row>
    <row r="33" spans="1:11" x14ac:dyDescent="0.2">
      <c r="A33" s="156"/>
      <c r="B33" s="158" t="s">
        <v>113</v>
      </c>
      <c r="C33" s="158" t="s">
        <v>0</v>
      </c>
      <c r="D33" s="158" t="s">
        <v>177</v>
      </c>
      <c r="E33" s="158" t="s">
        <v>4</v>
      </c>
      <c r="F33" s="158" t="s">
        <v>10</v>
      </c>
      <c r="G33" s="158" t="s">
        <v>156</v>
      </c>
      <c r="H33" s="158" t="s">
        <v>7</v>
      </c>
      <c r="I33" s="157" t="s">
        <v>133</v>
      </c>
      <c r="J33" s="157"/>
      <c r="K33" s="157"/>
    </row>
    <row r="34" spans="1:11" x14ac:dyDescent="0.2">
      <c r="A34" s="156"/>
      <c r="B34" s="158" t="s">
        <v>113</v>
      </c>
      <c r="C34" s="158" t="s">
        <v>1</v>
      </c>
      <c r="D34" s="158" t="s">
        <v>177</v>
      </c>
      <c r="E34" s="158" t="s">
        <v>3</v>
      </c>
      <c r="F34" s="158" t="s">
        <v>10</v>
      </c>
      <c r="G34" s="158" t="s">
        <v>156</v>
      </c>
      <c r="H34" s="158" t="s">
        <v>7</v>
      </c>
      <c r="I34" s="158" t="s">
        <v>133</v>
      </c>
      <c r="J34" s="157"/>
      <c r="K34" s="157"/>
    </row>
    <row r="35" spans="1:11" x14ac:dyDescent="0.2">
      <c r="A35" s="156"/>
      <c r="B35" s="158" t="s">
        <v>113</v>
      </c>
      <c r="C35" s="158" t="s">
        <v>0</v>
      </c>
      <c r="D35" s="158" t="s">
        <v>177</v>
      </c>
      <c r="E35" s="158" t="s">
        <v>4</v>
      </c>
      <c r="F35" s="158" t="s">
        <v>10</v>
      </c>
      <c r="G35" s="158" t="s">
        <v>155</v>
      </c>
      <c r="H35" s="158" t="s">
        <v>7</v>
      </c>
      <c r="I35" s="158" t="s">
        <v>133</v>
      </c>
      <c r="J35" s="157"/>
      <c r="K35" s="157"/>
    </row>
    <row r="36" spans="1:11" x14ac:dyDescent="0.2">
      <c r="A36" s="156"/>
      <c r="B36" s="158" t="s">
        <v>113</v>
      </c>
      <c r="C36" s="158" t="s">
        <v>0</v>
      </c>
      <c r="D36" s="158" t="s">
        <v>177</v>
      </c>
      <c r="E36" s="158" t="s">
        <v>4</v>
      </c>
      <c r="F36" s="158" t="s">
        <v>11</v>
      </c>
      <c r="G36" s="158" t="s">
        <v>155</v>
      </c>
      <c r="H36" s="158" t="s">
        <v>7</v>
      </c>
      <c r="I36" s="158" t="s">
        <v>133</v>
      </c>
      <c r="J36" s="157"/>
      <c r="K36" s="157"/>
    </row>
    <row r="37" spans="1:11" x14ac:dyDescent="0.2">
      <c r="A37" s="156"/>
      <c r="B37" s="158" t="s">
        <v>113</v>
      </c>
      <c r="C37" s="158" t="s">
        <v>0</v>
      </c>
      <c r="D37" s="158" t="s">
        <v>177</v>
      </c>
      <c r="E37" s="158" t="s">
        <v>4</v>
      </c>
      <c r="F37" s="158" t="s">
        <v>106</v>
      </c>
      <c r="G37" s="158" t="s">
        <v>156</v>
      </c>
      <c r="H37" s="158" t="s">
        <v>7</v>
      </c>
      <c r="I37" s="158" t="s">
        <v>133</v>
      </c>
      <c r="J37" s="157"/>
      <c r="K37" s="157"/>
    </row>
    <row r="38" spans="1:11" x14ac:dyDescent="0.2">
      <c r="A38" s="156"/>
      <c r="B38" s="158" t="s">
        <v>113</v>
      </c>
      <c r="C38" s="158" t="s">
        <v>0</v>
      </c>
      <c r="D38" s="158" t="s">
        <v>177</v>
      </c>
      <c r="E38" s="158" t="s">
        <v>4</v>
      </c>
      <c r="F38" s="158" t="s">
        <v>11</v>
      </c>
      <c r="G38" s="158" t="s">
        <v>156</v>
      </c>
      <c r="H38" s="158" t="s">
        <v>7</v>
      </c>
      <c r="I38" s="158" t="s">
        <v>133</v>
      </c>
      <c r="J38" s="157"/>
      <c r="K38" s="157"/>
    </row>
    <row r="39" spans="1:11" x14ac:dyDescent="0.2">
      <c r="A39" s="156"/>
      <c r="B39" s="158" t="s">
        <v>113</v>
      </c>
      <c r="C39" s="158" t="s">
        <v>1</v>
      </c>
      <c r="D39" s="158" t="s">
        <v>177</v>
      </c>
      <c r="E39" s="158" t="s">
        <v>3</v>
      </c>
      <c r="F39" s="158" t="s">
        <v>23</v>
      </c>
      <c r="G39" s="158" t="s">
        <v>156</v>
      </c>
      <c r="H39" s="158" t="s">
        <v>7</v>
      </c>
      <c r="I39" s="158" t="s">
        <v>133</v>
      </c>
      <c r="J39" s="157"/>
      <c r="K39" s="157"/>
    </row>
    <row r="40" spans="1:11" x14ac:dyDescent="0.2">
      <c r="A40" s="156"/>
      <c r="B40" s="158" t="s">
        <v>113</v>
      </c>
      <c r="C40" s="158" t="s">
        <v>0</v>
      </c>
      <c r="D40" s="158" t="s">
        <v>177</v>
      </c>
      <c r="E40" s="158" t="s">
        <v>4</v>
      </c>
      <c r="F40" s="158" t="s">
        <v>10</v>
      </c>
      <c r="G40" s="158" t="s">
        <v>155</v>
      </c>
      <c r="H40" s="158" t="s">
        <v>7</v>
      </c>
      <c r="I40" s="158" t="s">
        <v>133</v>
      </c>
      <c r="J40" s="157"/>
      <c r="K40" s="157"/>
    </row>
    <row r="41" spans="1:11" x14ac:dyDescent="0.2">
      <c r="A41" s="156"/>
      <c r="B41" s="158" t="s">
        <v>113</v>
      </c>
      <c r="C41" s="158" t="s">
        <v>0</v>
      </c>
      <c r="D41" s="158" t="s">
        <v>177</v>
      </c>
      <c r="E41" s="158" t="s">
        <v>3</v>
      </c>
      <c r="F41" s="158" t="s">
        <v>9</v>
      </c>
      <c r="G41" s="158" t="s">
        <v>155</v>
      </c>
      <c r="H41" s="158" t="s">
        <v>7</v>
      </c>
      <c r="I41" s="158" t="s">
        <v>133</v>
      </c>
      <c r="J41" s="157"/>
      <c r="K41" s="157"/>
    </row>
    <row r="42" spans="1:11" x14ac:dyDescent="0.2">
      <c r="A42" s="156"/>
      <c r="B42" s="158" t="s">
        <v>113</v>
      </c>
      <c r="C42" s="158" t="s">
        <v>0</v>
      </c>
      <c r="D42" s="158" t="s">
        <v>2</v>
      </c>
      <c r="E42" s="158" t="s">
        <v>3</v>
      </c>
      <c r="F42" s="157" t="s">
        <v>277</v>
      </c>
      <c r="G42" s="158" t="s">
        <v>155</v>
      </c>
      <c r="H42" s="158" t="s">
        <v>17</v>
      </c>
      <c r="I42" s="158" t="s">
        <v>131</v>
      </c>
      <c r="J42" s="157"/>
      <c r="K42" s="157"/>
    </row>
    <row r="43" spans="1:11" x14ac:dyDescent="0.2">
      <c r="A43" s="156"/>
      <c r="B43" s="158" t="s">
        <v>113</v>
      </c>
      <c r="C43" s="158" t="s">
        <v>1</v>
      </c>
      <c r="D43" s="158" t="s">
        <v>2</v>
      </c>
      <c r="E43" s="158" t="s">
        <v>3</v>
      </c>
      <c r="F43" s="158" t="s">
        <v>277</v>
      </c>
      <c r="G43" s="158" t="s">
        <v>155</v>
      </c>
      <c r="H43" s="158" t="s">
        <v>17</v>
      </c>
      <c r="I43" s="157" t="s">
        <v>131</v>
      </c>
      <c r="J43" s="157"/>
      <c r="K43" s="157"/>
    </row>
    <row r="44" spans="1:11" x14ac:dyDescent="0.2">
      <c r="A44" s="156"/>
      <c r="B44" s="158" t="s">
        <v>113</v>
      </c>
      <c r="C44" s="158" t="s">
        <v>1</v>
      </c>
      <c r="D44" s="158" t="s">
        <v>2</v>
      </c>
      <c r="E44" s="158" t="s">
        <v>4</v>
      </c>
      <c r="F44" s="158" t="s">
        <v>277</v>
      </c>
      <c r="G44" s="158" t="s">
        <v>155</v>
      </c>
      <c r="H44" s="158" t="s">
        <v>17</v>
      </c>
      <c r="I44" s="157" t="s">
        <v>131</v>
      </c>
      <c r="J44" s="157"/>
      <c r="K44" s="157"/>
    </row>
    <row r="45" spans="1:11" x14ac:dyDescent="0.2">
      <c r="A45" s="156"/>
      <c r="B45" s="158" t="s">
        <v>113</v>
      </c>
      <c r="C45" s="158" t="s">
        <v>1</v>
      </c>
      <c r="D45" s="158" t="s">
        <v>2</v>
      </c>
      <c r="E45" s="158" t="s">
        <v>4</v>
      </c>
      <c r="F45" s="157" t="s">
        <v>110</v>
      </c>
      <c r="G45" s="158" t="s">
        <v>156</v>
      </c>
      <c r="H45" s="158" t="s">
        <v>17</v>
      </c>
      <c r="I45" s="157" t="s">
        <v>130</v>
      </c>
      <c r="J45" s="157"/>
      <c r="K45" s="157"/>
    </row>
    <row r="46" spans="1:11" x14ac:dyDescent="0.2">
      <c r="A46" s="156"/>
      <c r="B46" s="158" t="s">
        <v>113</v>
      </c>
      <c r="C46" s="158" t="s">
        <v>1</v>
      </c>
      <c r="D46" s="158" t="s">
        <v>177</v>
      </c>
      <c r="E46" s="158" t="s">
        <v>4</v>
      </c>
      <c r="F46" s="158" t="s">
        <v>10</v>
      </c>
      <c r="G46" s="158" t="s">
        <v>156</v>
      </c>
      <c r="H46" s="158" t="s">
        <v>17</v>
      </c>
      <c r="I46" s="157" t="s">
        <v>130</v>
      </c>
      <c r="J46" s="157"/>
      <c r="K46" s="157"/>
    </row>
    <row r="47" spans="1:11" x14ac:dyDescent="0.2">
      <c r="A47" s="156"/>
      <c r="B47" s="158" t="s">
        <v>113</v>
      </c>
      <c r="C47" s="158" t="s">
        <v>0</v>
      </c>
      <c r="D47" s="158" t="s">
        <v>177</v>
      </c>
      <c r="E47" s="158" t="s">
        <v>4</v>
      </c>
      <c r="F47" s="158" t="s">
        <v>13</v>
      </c>
      <c r="G47" s="158" t="s">
        <v>156</v>
      </c>
      <c r="H47" s="158" t="s">
        <v>17</v>
      </c>
      <c r="I47" s="157" t="s">
        <v>130</v>
      </c>
      <c r="J47" s="157"/>
      <c r="K47" s="157"/>
    </row>
    <row r="48" spans="1:11" x14ac:dyDescent="0.2">
      <c r="A48" s="156"/>
      <c r="B48" s="158" t="s">
        <v>113</v>
      </c>
      <c r="C48" s="158" t="s">
        <v>1</v>
      </c>
      <c r="D48" s="158" t="s">
        <v>177</v>
      </c>
      <c r="E48" s="158" t="s">
        <v>4</v>
      </c>
      <c r="F48" s="158" t="s">
        <v>13</v>
      </c>
      <c r="G48" s="158" t="s">
        <v>156</v>
      </c>
      <c r="H48" s="158" t="s">
        <v>159</v>
      </c>
      <c r="I48" s="157"/>
      <c r="J48" s="157"/>
      <c r="K48" s="157"/>
    </row>
    <row r="49" spans="1:11" x14ac:dyDescent="0.2">
      <c r="A49" s="156"/>
      <c r="B49" s="158" t="s">
        <v>112</v>
      </c>
      <c r="C49" s="158" t="s">
        <v>0</v>
      </c>
      <c r="D49" s="158" t="s">
        <v>177</v>
      </c>
      <c r="E49" s="158" t="s">
        <v>3</v>
      </c>
      <c r="F49" s="158" t="s">
        <v>277</v>
      </c>
      <c r="G49" s="158" t="s">
        <v>228</v>
      </c>
      <c r="H49" s="158" t="s">
        <v>17</v>
      </c>
      <c r="I49" s="157" t="s">
        <v>130</v>
      </c>
      <c r="J49" s="157"/>
      <c r="K49" s="157"/>
    </row>
    <row r="50" spans="1:11" x14ac:dyDescent="0.2">
      <c r="A50" s="156"/>
      <c r="B50" s="158" t="s">
        <v>112</v>
      </c>
      <c r="C50" s="158" t="s">
        <v>0</v>
      </c>
      <c r="D50" s="158" t="s">
        <v>2</v>
      </c>
      <c r="E50" s="158" t="s">
        <v>3</v>
      </c>
      <c r="F50" s="158" t="s">
        <v>13</v>
      </c>
      <c r="G50" s="158" t="s">
        <v>156</v>
      </c>
      <c r="H50" s="158" t="s">
        <v>159</v>
      </c>
      <c r="I50" s="157"/>
      <c r="J50" s="157"/>
      <c r="K50" s="157"/>
    </row>
    <row r="51" spans="1:11" x14ac:dyDescent="0.2">
      <c r="A51" s="156"/>
      <c r="B51" s="158" t="s">
        <v>112</v>
      </c>
      <c r="C51" s="158" t="s">
        <v>1</v>
      </c>
      <c r="D51" s="158" t="s">
        <v>2</v>
      </c>
      <c r="E51" s="158" t="s">
        <v>3</v>
      </c>
      <c r="F51" s="158" t="s">
        <v>13</v>
      </c>
      <c r="G51" s="158" t="s">
        <v>156</v>
      </c>
      <c r="H51" s="158" t="s">
        <v>159</v>
      </c>
      <c r="I51" s="157"/>
      <c r="J51" s="157"/>
      <c r="K51" s="157"/>
    </row>
    <row r="52" spans="1:11" x14ac:dyDescent="0.2">
      <c r="A52" s="156"/>
      <c r="B52" s="158" t="s">
        <v>112</v>
      </c>
      <c r="C52" s="158" t="s">
        <v>0</v>
      </c>
      <c r="D52" s="158" t="s">
        <v>177</v>
      </c>
      <c r="E52" s="158" t="s">
        <v>3</v>
      </c>
      <c r="F52" s="158" t="s">
        <v>106</v>
      </c>
      <c r="G52" s="158" t="s">
        <v>155</v>
      </c>
      <c r="H52" s="158" t="s">
        <v>159</v>
      </c>
      <c r="I52" s="157"/>
      <c r="J52" s="157"/>
      <c r="K52" s="157"/>
    </row>
    <row r="53" spans="1:11" x14ac:dyDescent="0.2">
      <c r="A53" s="156"/>
      <c r="B53" s="158" t="s">
        <v>112</v>
      </c>
      <c r="C53" s="158" t="s">
        <v>1</v>
      </c>
      <c r="D53" s="158" t="s">
        <v>177</v>
      </c>
      <c r="E53" s="158" t="s">
        <v>4</v>
      </c>
      <c r="F53" s="158" t="s">
        <v>106</v>
      </c>
      <c r="G53" s="158" t="s">
        <v>155</v>
      </c>
      <c r="H53" s="158" t="s">
        <v>159</v>
      </c>
      <c r="I53" s="157"/>
      <c r="J53" s="157"/>
      <c r="K53" s="157"/>
    </row>
    <row r="54" spans="1:11" x14ac:dyDescent="0.2">
      <c r="A54" s="156"/>
      <c r="B54" s="158" t="s">
        <v>112</v>
      </c>
      <c r="C54" s="158" t="s">
        <v>1</v>
      </c>
      <c r="D54" s="158" t="s">
        <v>177</v>
      </c>
      <c r="E54" s="158" t="s">
        <v>4</v>
      </c>
      <c r="F54" s="158" t="s">
        <v>106</v>
      </c>
      <c r="G54" s="158" t="s">
        <v>155</v>
      </c>
      <c r="H54" s="158" t="s">
        <v>159</v>
      </c>
      <c r="I54" s="157"/>
      <c r="J54" s="157"/>
      <c r="K54" s="157"/>
    </row>
    <row r="55" spans="1:11" x14ac:dyDescent="0.2">
      <c r="A55" s="156"/>
      <c r="B55" s="158" t="s">
        <v>112</v>
      </c>
      <c r="C55" s="158" t="s">
        <v>0</v>
      </c>
      <c r="D55" s="158" t="s">
        <v>177</v>
      </c>
      <c r="E55" s="158" t="s">
        <v>4</v>
      </c>
      <c r="F55" s="158" t="s">
        <v>153</v>
      </c>
      <c r="G55" s="158" t="s">
        <v>228</v>
      </c>
      <c r="H55" s="158" t="s">
        <v>17</v>
      </c>
      <c r="I55" s="157" t="s">
        <v>130</v>
      </c>
      <c r="J55" s="157"/>
      <c r="K55" s="157"/>
    </row>
    <row r="56" spans="1:11" x14ac:dyDescent="0.2">
      <c r="A56" s="156"/>
      <c r="B56" s="158" t="s">
        <v>112</v>
      </c>
      <c r="C56" s="158" t="s">
        <v>0</v>
      </c>
      <c r="D56" s="158" t="s">
        <v>177</v>
      </c>
      <c r="E56" s="158" t="s">
        <v>4</v>
      </c>
      <c r="F56" s="158" t="s">
        <v>10</v>
      </c>
      <c r="G56" s="158" t="s">
        <v>228</v>
      </c>
      <c r="H56" s="158" t="s">
        <v>159</v>
      </c>
      <c r="I56" s="157"/>
      <c r="J56" s="157"/>
      <c r="K56" s="157"/>
    </row>
    <row r="57" spans="1:11" x14ac:dyDescent="0.2">
      <c r="A57" s="156"/>
      <c r="B57" s="158" t="s">
        <v>112</v>
      </c>
      <c r="C57" s="158" t="s">
        <v>0</v>
      </c>
      <c r="D57" s="158" t="s">
        <v>177</v>
      </c>
      <c r="E57" s="158" t="s">
        <v>4</v>
      </c>
      <c r="F57" s="158" t="s">
        <v>13</v>
      </c>
      <c r="G57" s="158" t="s">
        <v>156</v>
      </c>
      <c r="H57" s="158" t="s">
        <v>159</v>
      </c>
      <c r="I57" s="157"/>
      <c r="J57" s="157"/>
      <c r="K57" s="157"/>
    </row>
    <row r="58" spans="1:11" x14ac:dyDescent="0.2">
      <c r="A58" s="156"/>
      <c r="B58" s="158" t="s">
        <v>112</v>
      </c>
      <c r="C58" s="158" t="s">
        <v>1</v>
      </c>
      <c r="D58" s="158" t="s">
        <v>177</v>
      </c>
      <c r="E58" s="158" t="s">
        <v>3</v>
      </c>
      <c r="F58" s="158" t="s">
        <v>13</v>
      </c>
      <c r="G58" s="158" t="s">
        <v>156</v>
      </c>
      <c r="H58" s="158" t="s">
        <v>159</v>
      </c>
      <c r="I58" s="157"/>
      <c r="J58" s="157"/>
      <c r="K58" s="157"/>
    </row>
    <row r="59" spans="1:11" x14ac:dyDescent="0.2">
      <c r="A59" s="156"/>
      <c r="B59" s="158" t="s">
        <v>112</v>
      </c>
      <c r="C59" s="158" t="s">
        <v>1</v>
      </c>
      <c r="D59" s="158" t="s">
        <v>177</v>
      </c>
      <c r="E59" s="158" t="s">
        <v>3</v>
      </c>
      <c r="F59" s="158" t="s">
        <v>13</v>
      </c>
      <c r="G59" s="158" t="s">
        <v>156</v>
      </c>
      <c r="H59" s="158" t="s">
        <v>159</v>
      </c>
      <c r="I59" s="157"/>
      <c r="J59" s="157"/>
      <c r="K59" s="157"/>
    </row>
    <row r="60" spans="1:11" x14ac:dyDescent="0.2">
      <c r="A60" s="156"/>
      <c r="B60" s="158" t="s">
        <v>113</v>
      </c>
      <c r="C60" s="158" t="s">
        <v>1</v>
      </c>
      <c r="D60" s="158" t="s">
        <v>177</v>
      </c>
      <c r="E60" s="158" t="s">
        <v>4</v>
      </c>
      <c r="F60" s="157" t="s">
        <v>14</v>
      </c>
      <c r="G60" s="158" t="s">
        <v>156</v>
      </c>
      <c r="H60" s="158" t="s">
        <v>18</v>
      </c>
      <c r="I60" s="157"/>
      <c r="J60" s="157"/>
      <c r="K60" s="157"/>
    </row>
    <row r="61" spans="1:11" x14ac:dyDescent="0.2">
      <c r="A61" s="156"/>
      <c r="B61" s="158" t="s">
        <v>112</v>
      </c>
      <c r="C61" s="158" t="s">
        <v>0</v>
      </c>
      <c r="D61" s="158" t="s">
        <v>177</v>
      </c>
      <c r="E61" s="158" t="s">
        <v>3</v>
      </c>
      <c r="F61" s="158" t="s">
        <v>13</v>
      </c>
      <c r="G61" s="158" t="s">
        <v>155</v>
      </c>
      <c r="H61" s="158" t="s">
        <v>159</v>
      </c>
      <c r="I61" s="157"/>
      <c r="J61" s="157"/>
      <c r="K61" s="157"/>
    </row>
    <row r="62" spans="1:11" x14ac:dyDescent="0.2">
      <c r="A62" s="156"/>
      <c r="B62" s="158" t="s">
        <v>112</v>
      </c>
      <c r="C62" s="158" t="s">
        <v>0</v>
      </c>
      <c r="D62" s="158" t="s">
        <v>177</v>
      </c>
      <c r="E62" s="158" t="s">
        <v>4</v>
      </c>
      <c r="F62" s="158" t="s">
        <v>10</v>
      </c>
      <c r="G62" s="158" t="s">
        <v>228</v>
      </c>
      <c r="H62" s="158" t="s">
        <v>159</v>
      </c>
      <c r="I62" s="157"/>
      <c r="J62" s="157"/>
      <c r="K62" s="157"/>
    </row>
    <row r="63" spans="1:11" x14ac:dyDescent="0.2">
      <c r="A63" s="156"/>
      <c r="B63" s="158" t="s">
        <v>112</v>
      </c>
      <c r="C63" s="158" t="s">
        <v>1</v>
      </c>
      <c r="D63" s="158" t="s">
        <v>177</v>
      </c>
      <c r="E63" s="158" t="s">
        <v>4</v>
      </c>
      <c r="F63" s="158" t="s">
        <v>10</v>
      </c>
      <c r="G63" s="158" t="s">
        <v>228</v>
      </c>
      <c r="H63" s="158" t="s">
        <v>159</v>
      </c>
      <c r="I63" s="157"/>
      <c r="J63" s="157"/>
      <c r="K63" s="157"/>
    </row>
    <row r="64" spans="1:11" x14ac:dyDescent="0.2">
      <c r="A64" s="156"/>
      <c r="B64" s="158" t="s">
        <v>112</v>
      </c>
      <c r="C64" s="158" t="s">
        <v>1</v>
      </c>
      <c r="D64" s="158" t="s">
        <v>177</v>
      </c>
      <c r="E64" s="158" t="s">
        <v>4</v>
      </c>
      <c r="F64" s="158" t="s">
        <v>106</v>
      </c>
      <c r="G64" s="158" t="s">
        <v>158</v>
      </c>
      <c r="H64" s="158" t="s">
        <v>17</v>
      </c>
      <c r="I64" s="157" t="s">
        <v>130</v>
      </c>
      <c r="J64" s="157"/>
      <c r="K64" s="157"/>
    </row>
    <row r="65" spans="1:11" x14ac:dyDescent="0.2">
      <c r="A65" s="156"/>
      <c r="B65" s="158" t="s">
        <v>112</v>
      </c>
      <c r="C65" s="158" t="s">
        <v>0</v>
      </c>
      <c r="D65" s="158" t="s">
        <v>177</v>
      </c>
      <c r="E65" s="158" t="s">
        <v>4</v>
      </c>
      <c r="F65" s="158" t="s">
        <v>153</v>
      </c>
      <c r="G65" s="158" t="s">
        <v>228</v>
      </c>
      <c r="H65" s="158" t="s">
        <v>17</v>
      </c>
      <c r="I65" s="157" t="s">
        <v>130</v>
      </c>
      <c r="J65" s="157"/>
      <c r="K65" s="157"/>
    </row>
    <row r="66" spans="1:11" x14ac:dyDescent="0.2">
      <c r="A66" s="156"/>
      <c r="B66" s="158" t="s">
        <v>112</v>
      </c>
      <c r="C66" s="158" t="s">
        <v>1</v>
      </c>
      <c r="D66" s="158" t="s">
        <v>177</v>
      </c>
      <c r="E66" s="158" t="s">
        <v>3</v>
      </c>
      <c r="F66" s="158" t="s">
        <v>106</v>
      </c>
      <c r="G66" s="158" t="s">
        <v>158</v>
      </c>
      <c r="H66" s="158" t="s">
        <v>17</v>
      </c>
      <c r="I66" s="157" t="s">
        <v>130</v>
      </c>
      <c r="J66" s="157"/>
      <c r="K66" s="157"/>
    </row>
    <row r="67" spans="1:11" x14ac:dyDescent="0.2">
      <c r="A67" s="156"/>
      <c r="B67" s="158" t="s">
        <v>112</v>
      </c>
      <c r="C67" s="158" t="s">
        <v>1</v>
      </c>
      <c r="D67" s="158" t="s">
        <v>177</v>
      </c>
      <c r="E67" s="158" t="s">
        <v>4</v>
      </c>
      <c r="F67" s="158" t="s">
        <v>106</v>
      </c>
      <c r="G67" s="158" t="s">
        <v>158</v>
      </c>
      <c r="H67" s="158" t="s">
        <v>17</v>
      </c>
      <c r="I67" s="157" t="s">
        <v>130</v>
      </c>
      <c r="J67" s="157"/>
      <c r="K67" s="157"/>
    </row>
    <row r="68" spans="1:11" x14ac:dyDescent="0.2">
      <c r="A68" s="156"/>
      <c r="B68" s="158" t="s">
        <v>112</v>
      </c>
      <c r="C68" s="158" t="s">
        <v>0</v>
      </c>
      <c r="D68" s="158" t="s">
        <v>177</v>
      </c>
      <c r="E68" s="158" t="s">
        <v>3</v>
      </c>
      <c r="F68" s="158" t="s">
        <v>277</v>
      </c>
      <c r="G68" s="158" t="s">
        <v>228</v>
      </c>
      <c r="H68" s="158" t="s">
        <v>17</v>
      </c>
      <c r="I68" s="157" t="s">
        <v>130</v>
      </c>
      <c r="J68" s="157"/>
      <c r="K68" s="157"/>
    </row>
    <row r="69" spans="1:11" x14ac:dyDescent="0.2">
      <c r="A69" s="156"/>
      <c r="B69" s="158" t="s">
        <v>112</v>
      </c>
      <c r="C69" s="158" t="s">
        <v>0</v>
      </c>
      <c r="D69" s="158" t="s">
        <v>177</v>
      </c>
      <c r="E69" s="158" t="s">
        <v>4</v>
      </c>
      <c r="F69" s="158" t="s">
        <v>10</v>
      </c>
      <c r="G69" s="158" t="s">
        <v>228</v>
      </c>
      <c r="H69" s="158" t="s">
        <v>17</v>
      </c>
      <c r="I69" s="157" t="s">
        <v>130</v>
      </c>
      <c r="J69" s="157"/>
      <c r="K69" s="157"/>
    </row>
    <row r="70" spans="1:11" x14ac:dyDescent="0.2">
      <c r="A70" s="156"/>
      <c r="B70" s="158" t="s">
        <v>116</v>
      </c>
      <c r="C70" s="158" t="s">
        <v>0</v>
      </c>
      <c r="D70" s="158" t="s">
        <v>177</v>
      </c>
      <c r="E70" s="158" t="s">
        <v>4</v>
      </c>
      <c r="F70" s="158" t="s">
        <v>110</v>
      </c>
      <c r="G70" s="157" t="s">
        <v>110</v>
      </c>
      <c r="H70" s="158" t="s">
        <v>7</v>
      </c>
      <c r="I70" s="157" t="s">
        <v>102</v>
      </c>
      <c r="J70" s="157" t="s">
        <v>254</v>
      </c>
      <c r="K70" s="157"/>
    </row>
    <row r="71" spans="1:11" x14ac:dyDescent="0.2">
      <c r="A71" s="156"/>
      <c r="B71" s="158" t="s">
        <v>116</v>
      </c>
      <c r="C71" s="158" t="s">
        <v>0</v>
      </c>
      <c r="D71" s="158" t="s">
        <v>177</v>
      </c>
      <c r="E71" s="158" t="s">
        <v>4</v>
      </c>
      <c r="F71" s="158" t="s">
        <v>110</v>
      </c>
      <c r="G71" s="158" t="s">
        <v>110</v>
      </c>
      <c r="H71" s="158" t="s">
        <v>7</v>
      </c>
      <c r="I71" s="158" t="s">
        <v>102</v>
      </c>
      <c r="J71" s="157" t="s">
        <v>254</v>
      </c>
      <c r="K71" s="157"/>
    </row>
    <row r="72" spans="1:11" x14ac:dyDescent="0.2">
      <c r="A72" s="156"/>
      <c r="B72" s="158" t="s">
        <v>116</v>
      </c>
      <c r="C72" s="158" t="s">
        <v>0</v>
      </c>
      <c r="D72" s="158" t="s">
        <v>177</v>
      </c>
      <c r="E72" s="158" t="s">
        <v>4</v>
      </c>
      <c r="F72" s="158" t="s">
        <v>110</v>
      </c>
      <c r="G72" s="158" t="s">
        <v>110</v>
      </c>
      <c r="H72" s="158" t="s">
        <v>7</v>
      </c>
      <c r="I72" s="158" t="s">
        <v>102</v>
      </c>
      <c r="J72" s="157" t="s">
        <v>254</v>
      </c>
      <c r="K72" s="157"/>
    </row>
    <row r="73" spans="1:11" x14ac:dyDescent="0.2">
      <c r="A73" s="156"/>
      <c r="B73" s="158" t="s">
        <v>116</v>
      </c>
      <c r="C73" s="158" t="s">
        <v>0</v>
      </c>
      <c r="D73" s="158" t="s">
        <v>177</v>
      </c>
      <c r="E73" s="158" t="s">
        <v>4</v>
      </c>
      <c r="F73" s="158" t="s">
        <v>110</v>
      </c>
      <c r="G73" s="158" t="s">
        <v>110</v>
      </c>
      <c r="H73" s="158" t="s">
        <v>7</v>
      </c>
      <c r="I73" s="158" t="s">
        <v>102</v>
      </c>
      <c r="J73" s="157" t="s">
        <v>254</v>
      </c>
      <c r="K73" s="157"/>
    </row>
    <row r="74" spans="1:11" x14ac:dyDescent="0.2">
      <c r="A74" s="156"/>
      <c r="B74" s="158" t="s">
        <v>116</v>
      </c>
      <c r="C74" s="158" t="s">
        <v>0</v>
      </c>
      <c r="D74" s="158" t="s">
        <v>177</v>
      </c>
      <c r="E74" s="158" t="s">
        <v>4</v>
      </c>
      <c r="F74" s="158" t="s">
        <v>110</v>
      </c>
      <c r="G74" s="158" t="s">
        <v>110</v>
      </c>
      <c r="H74" s="158" t="s">
        <v>7</v>
      </c>
      <c r="I74" s="158" t="s">
        <v>102</v>
      </c>
      <c r="J74" s="157" t="s">
        <v>254</v>
      </c>
      <c r="K74" s="157"/>
    </row>
    <row r="75" spans="1:11" x14ac:dyDescent="0.2">
      <c r="A75" s="156"/>
      <c r="B75" s="158" t="s">
        <v>116</v>
      </c>
      <c r="C75" s="158" t="s">
        <v>0</v>
      </c>
      <c r="D75" s="158" t="s">
        <v>177</v>
      </c>
      <c r="E75" s="158" t="s">
        <v>4</v>
      </c>
      <c r="F75" s="158" t="s">
        <v>110</v>
      </c>
      <c r="G75" s="158" t="s">
        <v>110</v>
      </c>
      <c r="H75" s="158" t="s">
        <v>7</v>
      </c>
      <c r="I75" s="158" t="s">
        <v>102</v>
      </c>
      <c r="J75" s="157" t="s">
        <v>254</v>
      </c>
      <c r="K75" s="157" t="s">
        <v>143</v>
      </c>
    </row>
    <row r="76" spans="1:11" x14ac:dyDescent="0.2">
      <c r="A76" s="156"/>
      <c r="B76" s="158" t="s">
        <v>116</v>
      </c>
      <c r="C76" s="158" t="s">
        <v>0</v>
      </c>
      <c r="D76" s="158" t="s">
        <v>177</v>
      </c>
      <c r="E76" s="158" t="s">
        <v>4</v>
      </c>
      <c r="F76" s="158" t="s">
        <v>110</v>
      </c>
      <c r="G76" s="158" t="s">
        <v>110</v>
      </c>
      <c r="H76" s="158" t="s">
        <v>7</v>
      </c>
      <c r="I76" s="158" t="s">
        <v>102</v>
      </c>
      <c r="J76" s="157" t="s">
        <v>254</v>
      </c>
      <c r="K76" s="157"/>
    </row>
    <row r="77" spans="1:11" x14ac:dyDescent="0.2">
      <c r="A77" s="156"/>
      <c r="B77" s="158" t="s">
        <v>116</v>
      </c>
      <c r="C77" s="158" t="s">
        <v>0</v>
      </c>
      <c r="D77" s="158" t="s">
        <v>177</v>
      </c>
      <c r="E77" s="158" t="s">
        <v>4</v>
      </c>
      <c r="F77" s="158" t="s">
        <v>110</v>
      </c>
      <c r="G77" s="158" t="s">
        <v>110</v>
      </c>
      <c r="H77" s="158" t="s">
        <v>7</v>
      </c>
      <c r="I77" s="158" t="s">
        <v>102</v>
      </c>
      <c r="J77" s="157" t="s">
        <v>254</v>
      </c>
      <c r="K77" s="157"/>
    </row>
    <row r="78" spans="1:11" x14ac:dyDescent="0.2">
      <c r="A78" s="156"/>
      <c r="B78" s="158" t="s">
        <v>116</v>
      </c>
      <c r="C78" s="158" t="s">
        <v>0</v>
      </c>
      <c r="D78" s="158" t="s">
        <v>177</v>
      </c>
      <c r="E78" s="158" t="s">
        <v>4</v>
      </c>
      <c r="F78" s="158" t="s">
        <v>110</v>
      </c>
      <c r="G78" s="158" t="s">
        <v>110</v>
      </c>
      <c r="H78" s="158" t="s">
        <v>7</v>
      </c>
      <c r="I78" s="158" t="s">
        <v>102</v>
      </c>
      <c r="J78" s="157" t="s">
        <v>254</v>
      </c>
      <c r="K78" s="157"/>
    </row>
    <row r="79" spans="1:11" x14ac:dyDescent="0.2">
      <c r="A79" s="156"/>
      <c r="B79" s="158" t="s">
        <v>116</v>
      </c>
      <c r="C79" s="158" t="s">
        <v>0</v>
      </c>
      <c r="D79" s="158" t="s">
        <v>177</v>
      </c>
      <c r="E79" s="158" t="s">
        <v>4</v>
      </c>
      <c r="F79" s="158" t="s">
        <v>110</v>
      </c>
      <c r="G79" s="158" t="s">
        <v>110</v>
      </c>
      <c r="H79" s="158" t="s">
        <v>7</v>
      </c>
      <c r="I79" s="158" t="s">
        <v>102</v>
      </c>
      <c r="J79" s="157" t="s">
        <v>254</v>
      </c>
      <c r="K79" s="157"/>
    </row>
    <row r="80" spans="1:11" x14ac:dyDescent="0.2">
      <c r="A80" s="156"/>
      <c r="B80" s="158" t="s">
        <v>116</v>
      </c>
      <c r="C80" s="158" t="s">
        <v>0</v>
      </c>
      <c r="D80" s="158" t="s">
        <v>177</v>
      </c>
      <c r="E80" s="158" t="s">
        <v>3</v>
      </c>
      <c r="F80" s="158" t="s">
        <v>110</v>
      </c>
      <c r="G80" s="158" t="s">
        <v>110</v>
      </c>
      <c r="H80" s="158" t="s">
        <v>7</v>
      </c>
      <c r="I80" s="158" t="s">
        <v>102</v>
      </c>
      <c r="J80" s="157" t="s">
        <v>254</v>
      </c>
      <c r="K80" s="157"/>
    </row>
    <row r="81" spans="1:11" x14ac:dyDescent="0.2">
      <c r="A81" s="156"/>
      <c r="B81" s="158" t="s">
        <v>116</v>
      </c>
      <c r="C81" s="158" t="s">
        <v>0</v>
      </c>
      <c r="D81" s="158" t="s">
        <v>177</v>
      </c>
      <c r="E81" s="158" t="s">
        <v>4</v>
      </c>
      <c r="F81" s="158" t="s">
        <v>110</v>
      </c>
      <c r="G81" s="158" t="s">
        <v>110</v>
      </c>
      <c r="H81" s="158" t="s">
        <v>7</v>
      </c>
      <c r="I81" s="158" t="s">
        <v>102</v>
      </c>
      <c r="J81" s="157" t="s">
        <v>254</v>
      </c>
      <c r="K81" s="157" t="s">
        <v>143</v>
      </c>
    </row>
    <row r="82" spans="1:11" x14ac:dyDescent="0.2">
      <c r="A82" s="156"/>
      <c r="B82" s="158" t="s">
        <v>116</v>
      </c>
      <c r="C82" s="158" t="s">
        <v>0</v>
      </c>
      <c r="D82" s="158" t="s">
        <v>177</v>
      </c>
      <c r="E82" s="158" t="s">
        <v>4</v>
      </c>
      <c r="F82" s="158" t="s">
        <v>110</v>
      </c>
      <c r="G82" s="158" t="s">
        <v>110</v>
      </c>
      <c r="H82" s="158" t="s">
        <v>7</v>
      </c>
      <c r="I82" s="158" t="s">
        <v>102</v>
      </c>
      <c r="J82" s="157" t="s">
        <v>254</v>
      </c>
      <c r="K82" s="157"/>
    </row>
    <row r="83" spans="1:11" x14ac:dyDescent="0.2">
      <c r="A83" s="156"/>
      <c r="B83" s="158" t="s">
        <v>116</v>
      </c>
      <c r="C83" s="158" t="s">
        <v>0</v>
      </c>
      <c r="D83" s="158" t="s">
        <v>177</v>
      </c>
      <c r="E83" s="158" t="s">
        <v>4</v>
      </c>
      <c r="F83" s="158" t="s">
        <v>110</v>
      </c>
      <c r="G83" s="158" t="s">
        <v>110</v>
      </c>
      <c r="H83" s="158" t="s">
        <v>7</v>
      </c>
      <c r="I83" s="158" t="s">
        <v>102</v>
      </c>
      <c r="J83" s="157" t="s">
        <v>254</v>
      </c>
      <c r="K83" s="157"/>
    </row>
    <row r="84" spans="1:11" x14ac:dyDescent="0.2">
      <c r="A84" s="156"/>
      <c r="B84" s="158" t="s">
        <v>116</v>
      </c>
      <c r="C84" s="158" t="s">
        <v>0</v>
      </c>
      <c r="D84" s="158" t="s">
        <v>177</v>
      </c>
      <c r="E84" s="158" t="s">
        <v>3</v>
      </c>
      <c r="F84" s="158" t="s">
        <v>110</v>
      </c>
      <c r="G84" s="158" t="s">
        <v>110</v>
      </c>
      <c r="H84" s="158" t="s">
        <v>7</v>
      </c>
      <c r="I84" s="158" t="s">
        <v>102</v>
      </c>
      <c r="J84" s="157" t="s">
        <v>254</v>
      </c>
      <c r="K84" s="157" t="s">
        <v>143</v>
      </c>
    </row>
    <row r="85" spans="1:11" x14ac:dyDescent="0.2">
      <c r="A85" s="156"/>
      <c r="B85" s="158" t="s">
        <v>112</v>
      </c>
      <c r="C85" s="158" t="s">
        <v>0</v>
      </c>
      <c r="D85" s="158" t="s">
        <v>2</v>
      </c>
      <c r="E85" s="158" t="s">
        <v>4</v>
      </c>
      <c r="F85" s="158" t="s">
        <v>12</v>
      </c>
      <c r="G85" s="158" t="s">
        <v>228</v>
      </c>
      <c r="H85" s="158" t="s">
        <v>7</v>
      </c>
      <c r="I85" s="157" t="s">
        <v>250</v>
      </c>
      <c r="J85" s="157" t="s">
        <v>254</v>
      </c>
      <c r="K85" s="157"/>
    </row>
    <row r="86" spans="1:11" x14ac:dyDescent="0.2">
      <c r="A86" s="156"/>
      <c r="B86" s="158" t="s">
        <v>112</v>
      </c>
      <c r="C86" s="158" t="s">
        <v>0</v>
      </c>
      <c r="D86" s="158" t="s">
        <v>2</v>
      </c>
      <c r="E86" s="158" t="s">
        <v>4</v>
      </c>
      <c r="F86" s="158" t="s">
        <v>12</v>
      </c>
      <c r="G86" s="158" t="s">
        <v>228</v>
      </c>
      <c r="H86" s="158" t="s">
        <v>7</v>
      </c>
      <c r="I86" s="157" t="s">
        <v>250</v>
      </c>
      <c r="J86" s="157" t="s">
        <v>254</v>
      </c>
      <c r="K86" s="157"/>
    </row>
    <row r="87" spans="1:11" x14ac:dyDescent="0.2">
      <c r="A87" s="156"/>
      <c r="B87" s="158" t="s">
        <v>112</v>
      </c>
      <c r="C87" s="158" t="s">
        <v>0</v>
      </c>
      <c r="D87" s="158" t="s">
        <v>2</v>
      </c>
      <c r="E87" s="158" t="s">
        <v>4</v>
      </c>
      <c r="F87" s="158" t="s">
        <v>12</v>
      </c>
      <c r="G87" s="158" t="s">
        <v>228</v>
      </c>
      <c r="H87" s="158" t="s">
        <v>7</v>
      </c>
      <c r="I87" s="157" t="s">
        <v>250</v>
      </c>
      <c r="J87" s="157" t="s">
        <v>254</v>
      </c>
      <c r="K87" s="157"/>
    </row>
    <row r="88" spans="1:11" x14ac:dyDescent="0.2">
      <c r="A88" s="156"/>
      <c r="B88" s="158" t="s">
        <v>112</v>
      </c>
      <c r="C88" s="158" t="s">
        <v>0</v>
      </c>
      <c r="D88" s="158" t="s">
        <v>2</v>
      </c>
      <c r="E88" s="158" t="s">
        <v>4</v>
      </c>
      <c r="F88" s="158" t="s">
        <v>12</v>
      </c>
      <c r="G88" s="158" t="s">
        <v>228</v>
      </c>
      <c r="H88" s="158" t="s">
        <v>7</v>
      </c>
      <c r="I88" s="157" t="s">
        <v>250</v>
      </c>
      <c r="J88" s="157" t="s">
        <v>254</v>
      </c>
      <c r="K88" s="157"/>
    </row>
    <row r="89" spans="1:11" x14ac:dyDescent="0.2">
      <c r="A89" s="156"/>
      <c r="B89" s="158" t="s">
        <v>112</v>
      </c>
      <c r="C89" s="158" t="s">
        <v>0</v>
      </c>
      <c r="D89" s="158" t="s">
        <v>2</v>
      </c>
      <c r="E89" s="158" t="s">
        <v>4</v>
      </c>
      <c r="F89" s="158" t="s">
        <v>12</v>
      </c>
      <c r="G89" s="158" t="s">
        <v>228</v>
      </c>
      <c r="H89" s="158" t="s">
        <v>7</v>
      </c>
      <c r="I89" s="157" t="s">
        <v>250</v>
      </c>
      <c r="J89" s="157" t="s">
        <v>254</v>
      </c>
      <c r="K89" s="157"/>
    </row>
    <row r="90" spans="1:11" x14ac:dyDescent="0.2">
      <c r="A90" s="156"/>
      <c r="B90" s="158" t="s">
        <v>112</v>
      </c>
      <c r="C90" s="158" t="s">
        <v>0</v>
      </c>
      <c r="D90" s="158" t="s">
        <v>2</v>
      </c>
      <c r="E90" s="158" t="s">
        <v>4</v>
      </c>
      <c r="F90" s="158" t="s">
        <v>12</v>
      </c>
      <c r="G90" s="158" t="s">
        <v>228</v>
      </c>
      <c r="H90" s="158" t="s">
        <v>7</v>
      </c>
      <c r="I90" s="157" t="s">
        <v>250</v>
      </c>
      <c r="J90" s="157" t="s">
        <v>254</v>
      </c>
      <c r="K90" s="157" t="s">
        <v>143</v>
      </c>
    </row>
    <row r="91" spans="1:11" x14ac:dyDescent="0.2">
      <c r="A91" s="156"/>
      <c r="B91" s="158" t="s">
        <v>112</v>
      </c>
      <c r="C91" s="158" t="s">
        <v>0</v>
      </c>
      <c r="D91" s="158" t="s">
        <v>2</v>
      </c>
      <c r="E91" s="158" t="s">
        <v>4</v>
      </c>
      <c r="F91" s="158" t="s">
        <v>12</v>
      </c>
      <c r="G91" s="158" t="s">
        <v>228</v>
      </c>
      <c r="H91" s="158" t="s">
        <v>7</v>
      </c>
      <c r="I91" s="157" t="s">
        <v>250</v>
      </c>
      <c r="J91" s="157" t="s">
        <v>254</v>
      </c>
      <c r="K91" s="157"/>
    </row>
    <row r="92" spans="1:11" x14ac:dyDescent="0.2">
      <c r="A92" s="156"/>
      <c r="B92" s="158" t="s">
        <v>112</v>
      </c>
      <c r="C92" s="158" t="s">
        <v>0</v>
      </c>
      <c r="D92" s="158" t="s">
        <v>2</v>
      </c>
      <c r="E92" s="158" t="s">
        <v>4</v>
      </c>
      <c r="F92" s="158" t="s">
        <v>12</v>
      </c>
      <c r="G92" s="158" t="s">
        <v>228</v>
      </c>
      <c r="H92" s="158" t="s">
        <v>7</v>
      </c>
      <c r="I92" s="157" t="s">
        <v>250</v>
      </c>
      <c r="J92" s="157" t="s">
        <v>254</v>
      </c>
      <c r="K92" s="157"/>
    </row>
    <row r="93" spans="1:11" x14ac:dyDescent="0.2">
      <c r="A93" s="156"/>
      <c r="B93" s="158" t="s">
        <v>112</v>
      </c>
      <c r="C93" s="158" t="s">
        <v>0</v>
      </c>
      <c r="D93" s="158" t="s">
        <v>2</v>
      </c>
      <c r="E93" s="158" t="s">
        <v>3</v>
      </c>
      <c r="F93" s="158" t="s">
        <v>12</v>
      </c>
      <c r="G93" s="158" t="s">
        <v>228</v>
      </c>
      <c r="H93" s="158" t="s">
        <v>7</v>
      </c>
      <c r="I93" s="157" t="s">
        <v>250</v>
      </c>
      <c r="J93" s="157" t="s">
        <v>254</v>
      </c>
      <c r="K93" s="157" t="s">
        <v>143</v>
      </c>
    </row>
    <row r="94" spans="1:11" x14ac:dyDescent="0.2">
      <c r="A94" s="156"/>
      <c r="B94" s="158" t="s">
        <v>112</v>
      </c>
      <c r="C94" s="158" t="s">
        <v>0</v>
      </c>
      <c r="D94" s="158" t="s">
        <v>2</v>
      </c>
      <c r="E94" s="158" t="s">
        <v>3</v>
      </c>
      <c r="F94" s="158" t="s">
        <v>12</v>
      </c>
      <c r="G94" s="158" t="s">
        <v>228</v>
      </c>
      <c r="H94" s="158" t="s">
        <v>7</v>
      </c>
      <c r="I94" s="157" t="s">
        <v>250</v>
      </c>
      <c r="J94" s="157" t="s">
        <v>254</v>
      </c>
      <c r="K94" s="157" t="s">
        <v>143</v>
      </c>
    </row>
    <row r="95" spans="1:11" x14ac:dyDescent="0.2">
      <c r="A95" s="156"/>
      <c r="B95" s="158" t="s">
        <v>112</v>
      </c>
      <c r="C95" s="158" t="s">
        <v>0</v>
      </c>
      <c r="D95" s="158" t="s">
        <v>2</v>
      </c>
      <c r="E95" s="158" t="s">
        <v>3</v>
      </c>
      <c r="F95" s="158" t="s">
        <v>12</v>
      </c>
      <c r="G95" s="158" t="s">
        <v>228</v>
      </c>
      <c r="H95" s="158" t="s">
        <v>7</v>
      </c>
      <c r="I95" s="157" t="s">
        <v>250</v>
      </c>
      <c r="J95" s="157" t="s">
        <v>254</v>
      </c>
      <c r="K95" s="157" t="s">
        <v>143</v>
      </c>
    </row>
    <row r="96" spans="1:11" x14ac:dyDescent="0.2">
      <c r="A96" s="156"/>
      <c r="B96" s="158" t="s">
        <v>112</v>
      </c>
      <c r="C96" s="158" t="s">
        <v>0</v>
      </c>
      <c r="D96" s="158" t="s">
        <v>2</v>
      </c>
      <c r="E96" s="158" t="s">
        <v>3</v>
      </c>
      <c r="F96" s="158" t="s">
        <v>12</v>
      </c>
      <c r="G96" s="158" t="s">
        <v>228</v>
      </c>
      <c r="H96" s="158" t="s">
        <v>7</v>
      </c>
      <c r="I96" s="157" t="s">
        <v>250</v>
      </c>
      <c r="J96" s="157" t="s">
        <v>254</v>
      </c>
      <c r="K96" s="157"/>
    </row>
    <row r="97" spans="1:11" x14ac:dyDescent="0.2">
      <c r="A97" s="156"/>
      <c r="B97" s="158" t="s">
        <v>112</v>
      </c>
      <c r="C97" s="158" t="s">
        <v>0</v>
      </c>
      <c r="D97" s="158" t="s">
        <v>2</v>
      </c>
      <c r="E97" s="158" t="s">
        <v>3</v>
      </c>
      <c r="F97" s="158" t="s">
        <v>12</v>
      </c>
      <c r="G97" s="158" t="s">
        <v>228</v>
      </c>
      <c r="H97" s="158" t="s">
        <v>7</v>
      </c>
      <c r="I97" s="157" t="s">
        <v>250</v>
      </c>
      <c r="J97" s="157" t="s">
        <v>254</v>
      </c>
      <c r="K97" s="157" t="s">
        <v>143</v>
      </c>
    </row>
    <row r="98" spans="1:11" x14ac:dyDescent="0.2">
      <c r="A98" s="156"/>
      <c r="B98" s="158" t="s">
        <v>112</v>
      </c>
      <c r="C98" s="158" t="s">
        <v>0</v>
      </c>
      <c r="D98" s="158" t="s">
        <v>177</v>
      </c>
      <c r="E98" s="158" t="s">
        <v>3</v>
      </c>
      <c r="F98" s="158" t="s">
        <v>12</v>
      </c>
      <c r="G98" s="158" t="s">
        <v>228</v>
      </c>
      <c r="H98" s="158" t="s">
        <v>7</v>
      </c>
      <c r="I98" s="157" t="s">
        <v>250</v>
      </c>
      <c r="J98" s="157" t="s">
        <v>254</v>
      </c>
      <c r="K98" s="157"/>
    </row>
    <row r="99" spans="1:11" x14ac:dyDescent="0.2">
      <c r="A99" s="156"/>
      <c r="B99" s="158" t="s">
        <v>112</v>
      </c>
      <c r="C99" s="158" t="s">
        <v>0</v>
      </c>
      <c r="D99" s="158" t="s">
        <v>177</v>
      </c>
      <c r="E99" s="158" t="s">
        <v>3</v>
      </c>
      <c r="F99" s="158" t="s">
        <v>12</v>
      </c>
      <c r="G99" s="158" t="s">
        <v>228</v>
      </c>
      <c r="H99" s="158" t="s">
        <v>7</v>
      </c>
      <c r="I99" s="157" t="s">
        <v>250</v>
      </c>
      <c r="J99" s="157" t="s">
        <v>254</v>
      </c>
      <c r="K99" s="157"/>
    </row>
    <row r="100" spans="1:11" x14ac:dyDescent="0.2">
      <c r="A100" s="156"/>
      <c r="B100" s="158" t="s">
        <v>112</v>
      </c>
      <c r="C100" s="158" t="s">
        <v>0</v>
      </c>
      <c r="D100" s="158" t="s">
        <v>177</v>
      </c>
      <c r="E100" s="158" t="s">
        <v>3</v>
      </c>
      <c r="F100" s="158" t="s">
        <v>12</v>
      </c>
      <c r="G100" s="158" t="s">
        <v>228</v>
      </c>
      <c r="H100" s="158" t="s">
        <v>7</v>
      </c>
      <c r="I100" s="157" t="s">
        <v>250</v>
      </c>
      <c r="J100" s="157"/>
      <c r="K100" s="157"/>
    </row>
    <row r="101" spans="1:11" x14ac:dyDescent="0.2">
      <c r="A101" s="156"/>
      <c r="B101" s="158" t="s">
        <v>112</v>
      </c>
      <c r="C101" s="158" t="s">
        <v>0</v>
      </c>
      <c r="D101" s="158" t="s">
        <v>177</v>
      </c>
      <c r="E101" s="158" t="s">
        <v>3</v>
      </c>
      <c r="F101" s="158" t="s">
        <v>12</v>
      </c>
      <c r="G101" s="158" t="s">
        <v>228</v>
      </c>
      <c r="H101" s="158" t="s">
        <v>7</v>
      </c>
      <c r="I101" s="157" t="s">
        <v>250</v>
      </c>
      <c r="J101" s="157"/>
      <c r="K101" s="157"/>
    </row>
    <row r="102" spans="1:11" x14ac:dyDescent="0.2">
      <c r="A102" s="156"/>
      <c r="B102" s="158" t="s">
        <v>112</v>
      </c>
      <c r="C102" s="158" t="s">
        <v>0</v>
      </c>
      <c r="D102" s="158" t="s">
        <v>177</v>
      </c>
      <c r="E102" s="158" t="s">
        <v>4</v>
      </c>
      <c r="F102" s="158" t="s">
        <v>12</v>
      </c>
      <c r="G102" s="158" t="s">
        <v>228</v>
      </c>
      <c r="H102" s="158" t="s">
        <v>7</v>
      </c>
      <c r="I102" s="157" t="s">
        <v>250</v>
      </c>
      <c r="J102" s="157"/>
      <c r="K102" s="157"/>
    </row>
    <row r="103" spans="1:11" x14ac:dyDescent="0.2">
      <c r="A103" s="156"/>
      <c r="B103" s="158" t="s">
        <v>112</v>
      </c>
      <c r="C103" s="158" t="s">
        <v>0</v>
      </c>
      <c r="D103" s="158" t="s">
        <v>177</v>
      </c>
      <c r="E103" s="158" t="s">
        <v>4</v>
      </c>
      <c r="F103" s="158" t="s">
        <v>12</v>
      </c>
      <c r="G103" s="158" t="s">
        <v>228</v>
      </c>
      <c r="H103" s="158" t="s">
        <v>7</v>
      </c>
      <c r="I103" s="157" t="s">
        <v>250</v>
      </c>
      <c r="J103" s="157"/>
      <c r="K103" s="157"/>
    </row>
    <row r="104" spans="1:11" x14ac:dyDescent="0.2">
      <c r="A104" s="156"/>
      <c r="B104" s="158" t="s">
        <v>112</v>
      </c>
      <c r="C104" s="158" t="s">
        <v>0</v>
      </c>
      <c r="D104" s="158" t="s">
        <v>177</v>
      </c>
      <c r="E104" s="158" t="s">
        <v>4</v>
      </c>
      <c r="F104" s="158" t="s">
        <v>12</v>
      </c>
      <c r="G104" s="158" t="s">
        <v>228</v>
      </c>
      <c r="H104" s="158" t="s">
        <v>7</v>
      </c>
      <c r="I104" s="157" t="s">
        <v>250</v>
      </c>
      <c r="J104" s="157"/>
      <c r="K104" s="157"/>
    </row>
    <row r="105" spans="1:11" x14ac:dyDescent="0.2">
      <c r="A105" s="156"/>
      <c r="B105" s="158" t="s">
        <v>112</v>
      </c>
      <c r="C105" s="158" t="s">
        <v>0</v>
      </c>
      <c r="D105" s="158" t="s">
        <v>177</v>
      </c>
      <c r="E105" s="158" t="s">
        <v>4</v>
      </c>
      <c r="F105" s="158" t="s">
        <v>12</v>
      </c>
      <c r="G105" s="158" t="s">
        <v>228</v>
      </c>
      <c r="H105" s="158" t="s">
        <v>7</v>
      </c>
      <c r="I105" s="157" t="s">
        <v>250</v>
      </c>
      <c r="J105" s="157"/>
      <c r="K105" s="157"/>
    </row>
    <row r="106" spans="1:11" x14ac:dyDescent="0.2">
      <c r="A106" s="156"/>
      <c r="B106" s="158" t="s">
        <v>112</v>
      </c>
      <c r="C106" s="158" t="s">
        <v>0</v>
      </c>
      <c r="D106" s="158" t="s">
        <v>177</v>
      </c>
      <c r="E106" s="158" t="s">
        <v>4</v>
      </c>
      <c r="F106" s="158" t="s">
        <v>12</v>
      </c>
      <c r="G106" s="158" t="s">
        <v>228</v>
      </c>
      <c r="H106" s="158" t="s">
        <v>7</v>
      </c>
      <c r="I106" s="157" t="s">
        <v>250</v>
      </c>
      <c r="J106" s="157"/>
      <c r="K106" s="157"/>
    </row>
    <row r="107" spans="1:11" x14ac:dyDescent="0.2">
      <c r="A107" s="156"/>
      <c r="B107" s="158" t="s">
        <v>112</v>
      </c>
      <c r="C107" s="158" t="s">
        <v>0</v>
      </c>
      <c r="D107" s="158" t="s">
        <v>177</v>
      </c>
      <c r="E107" s="158" t="s">
        <v>4</v>
      </c>
      <c r="F107" s="158" t="s">
        <v>12</v>
      </c>
      <c r="G107" s="158" t="s">
        <v>228</v>
      </c>
      <c r="H107" s="158" t="s">
        <v>7</v>
      </c>
      <c r="I107" s="157" t="s">
        <v>250</v>
      </c>
      <c r="J107" s="157"/>
      <c r="K107" s="157"/>
    </row>
    <row r="108" spans="1:11" x14ac:dyDescent="0.2">
      <c r="A108" s="156"/>
      <c r="B108" s="158" t="s">
        <v>112</v>
      </c>
      <c r="C108" s="158" t="s">
        <v>0</v>
      </c>
      <c r="D108" s="158" t="s">
        <v>177</v>
      </c>
      <c r="E108" s="158" t="s">
        <v>4</v>
      </c>
      <c r="F108" s="158" t="s">
        <v>12</v>
      </c>
      <c r="G108" s="158" t="s">
        <v>228</v>
      </c>
      <c r="H108" s="158" t="s">
        <v>7</v>
      </c>
      <c r="I108" s="157" t="s">
        <v>250</v>
      </c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G5:G254">
      <formula1>ValidStage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I5:K254">
      <formula1>ValidProgramme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opLeftCell="A58" workbookViewId="0">
      <selection activeCell="J86" sqref="J86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112</v>
      </c>
      <c r="C5" s="157" t="s">
        <v>0</v>
      </c>
      <c r="D5" s="157" t="s">
        <v>177</v>
      </c>
      <c r="E5" s="157" t="s">
        <v>4</v>
      </c>
      <c r="F5" s="157" t="s">
        <v>10</v>
      </c>
      <c r="G5" s="157" t="s">
        <v>228</v>
      </c>
      <c r="H5" s="157" t="s">
        <v>159</v>
      </c>
      <c r="I5" s="157"/>
      <c r="J5" s="157"/>
      <c r="K5" s="157"/>
    </row>
    <row r="6" spans="1:11" x14ac:dyDescent="0.2">
      <c r="A6" s="156"/>
      <c r="B6" s="158" t="s">
        <v>112</v>
      </c>
      <c r="C6" s="157" t="s">
        <v>1</v>
      </c>
      <c r="D6" s="158" t="s">
        <v>177</v>
      </c>
      <c r="E6" s="157" t="s">
        <v>3</v>
      </c>
      <c r="F6" s="158" t="s">
        <v>10</v>
      </c>
      <c r="G6" s="158" t="s">
        <v>228</v>
      </c>
      <c r="H6" s="158" t="s">
        <v>159</v>
      </c>
      <c r="I6" s="157"/>
      <c r="J6" s="157"/>
      <c r="K6" s="157"/>
    </row>
    <row r="7" spans="1:11" x14ac:dyDescent="0.2">
      <c r="A7" s="156"/>
      <c r="B7" s="158" t="s">
        <v>112</v>
      </c>
      <c r="C7" s="158" t="s">
        <v>0</v>
      </c>
      <c r="D7" s="158" t="s">
        <v>177</v>
      </c>
      <c r="E7" s="158" t="s">
        <v>3</v>
      </c>
      <c r="F7" s="157" t="s">
        <v>13</v>
      </c>
      <c r="G7" s="158" t="s">
        <v>156</v>
      </c>
      <c r="H7" s="158" t="s">
        <v>159</v>
      </c>
      <c r="I7" s="157"/>
      <c r="J7" s="157"/>
      <c r="K7" s="157"/>
    </row>
    <row r="8" spans="1:11" x14ac:dyDescent="0.2">
      <c r="A8" s="156"/>
      <c r="B8" s="157" t="s">
        <v>114</v>
      </c>
      <c r="C8" s="158" t="s">
        <v>0</v>
      </c>
      <c r="D8" s="157" t="s">
        <v>2</v>
      </c>
      <c r="E8" s="158" t="s">
        <v>3</v>
      </c>
      <c r="F8" s="158" t="s">
        <v>12</v>
      </c>
      <c r="G8" s="158" t="s">
        <v>156</v>
      </c>
      <c r="H8" s="158" t="s">
        <v>7</v>
      </c>
      <c r="I8" s="157" t="s">
        <v>251</v>
      </c>
      <c r="J8" s="157" t="s">
        <v>239</v>
      </c>
      <c r="K8" s="157" t="s">
        <v>260</v>
      </c>
    </row>
    <row r="9" spans="1:11" x14ac:dyDescent="0.2">
      <c r="A9" s="156"/>
      <c r="B9" s="158" t="s">
        <v>114</v>
      </c>
      <c r="C9" s="158" t="s">
        <v>1</v>
      </c>
      <c r="D9" s="158" t="s">
        <v>177</v>
      </c>
      <c r="E9" s="158" t="s">
        <v>4</v>
      </c>
      <c r="F9" s="157" t="s">
        <v>106</v>
      </c>
      <c r="G9" s="158" t="s">
        <v>156</v>
      </c>
      <c r="H9" s="158" t="s">
        <v>7</v>
      </c>
      <c r="I9" s="158" t="s">
        <v>251</v>
      </c>
      <c r="J9" s="157" t="s">
        <v>239</v>
      </c>
      <c r="K9" s="157" t="s">
        <v>260</v>
      </c>
    </row>
    <row r="10" spans="1:11" x14ac:dyDescent="0.2">
      <c r="A10" s="156"/>
      <c r="B10" s="158" t="s">
        <v>114</v>
      </c>
      <c r="C10" s="158" t="s">
        <v>0</v>
      </c>
      <c r="D10" s="158" t="s">
        <v>177</v>
      </c>
      <c r="E10" s="158" t="s">
        <v>4</v>
      </c>
      <c r="F10" s="158" t="s">
        <v>11</v>
      </c>
      <c r="G10" s="158" t="s">
        <v>228</v>
      </c>
      <c r="H10" s="158" t="s">
        <v>7</v>
      </c>
      <c r="I10" s="158" t="s">
        <v>251</v>
      </c>
      <c r="J10" s="157" t="s">
        <v>239</v>
      </c>
      <c r="K10" s="157" t="s">
        <v>260</v>
      </c>
    </row>
    <row r="11" spans="1:11" x14ac:dyDescent="0.2">
      <c r="A11" s="156"/>
      <c r="B11" s="158" t="s">
        <v>114</v>
      </c>
      <c r="C11" s="158" t="s">
        <v>0</v>
      </c>
      <c r="D11" s="158" t="s">
        <v>177</v>
      </c>
      <c r="E11" s="158" t="s">
        <v>4</v>
      </c>
      <c r="F11" s="158" t="s">
        <v>11</v>
      </c>
      <c r="G11" s="158" t="s">
        <v>228</v>
      </c>
      <c r="H11" s="158" t="s">
        <v>7</v>
      </c>
      <c r="I11" s="158" t="s">
        <v>251</v>
      </c>
      <c r="J11" s="157" t="s">
        <v>239</v>
      </c>
      <c r="K11" s="157" t="s">
        <v>260</v>
      </c>
    </row>
    <row r="12" spans="1:11" x14ac:dyDescent="0.2">
      <c r="A12" s="156"/>
      <c r="B12" s="158" t="s">
        <v>114</v>
      </c>
      <c r="C12" s="158" t="s">
        <v>0</v>
      </c>
      <c r="D12" s="158" t="s">
        <v>177</v>
      </c>
      <c r="E12" s="158" t="s">
        <v>4</v>
      </c>
      <c r="F12" s="158" t="s">
        <v>10</v>
      </c>
      <c r="G12" s="158" t="s">
        <v>155</v>
      </c>
      <c r="H12" s="158" t="s">
        <v>7</v>
      </c>
      <c r="I12" s="158" t="s">
        <v>251</v>
      </c>
      <c r="J12" s="157" t="s">
        <v>239</v>
      </c>
      <c r="K12" s="157" t="s">
        <v>260</v>
      </c>
    </row>
    <row r="13" spans="1:11" x14ac:dyDescent="0.2">
      <c r="A13" s="156"/>
      <c r="B13" s="158" t="s">
        <v>114</v>
      </c>
      <c r="C13" s="158" t="s">
        <v>0</v>
      </c>
      <c r="D13" s="158" t="s">
        <v>177</v>
      </c>
      <c r="E13" s="158" t="s">
        <v>4</v>
      </c>
      <c r="F13" s="158" t="s">
        <v>10</v>
      </c>
      <c r="G13" s="158" t="s">
        <v>228</v>
      </c>
      <c r="H13" s="158" t="s">
        <v>7</v>
      </c>
      <c r="I13" s="158" t="s">
        <v>251</v>
      </c>
      <c r="J13" s="157" t="s">
        <v>239</v>
      </c>
      <c r="K13" s="157" t="s">
        <v>260</v>
      </c>
    </row>
    <row r="14" spans="1:11" x14ac:dyDescent="0.2">
      <c r="A14" s="156"/>
      <c r="B14" s="158" t="s">
        <v>114</v>
      </c>
      <c r="C14" s="158" t="s">
        <v>0</v>
      </c>
      <c r="D14" s="158" t="s">
        <v>177</v>
      </c>
      <c r="E14" s="158" t="s">
        <v>4</v>
      </c>
      <c r="F14" s="158" t="s">
        <v>10</v>
      </c>
      <c r="G14" s="158" t="s">
        <v>155</v>
      </c>
      <c r="H14" s="158" t="s">
        <v>7</v>
      </c>
      <c r="I14" s="158" t="s">
        <v>251</v>
      </c>
      <c r="J14" s="157" t="s">
        <v>239</v>
      </c>
      <c r="K14" s="157" t="s">
        <v>260</v>
      </c>
    </row>
    <row r="15" spans="1:11" x14ac:dyDescent="0.2">
      <c r="A15" s="156"/>
      <c r="B15" s="158" t="s">
        <v>114</v>
      </c>
      <c r="C15" s="158" t="s">
        <v>0</v>
      </c>
      <c r="D15" s="158" t="s">
        <v>2</v>
      </c>
      <c r="E15" s="158" t="s">
        <v>4</v>
      </c>
      <c r="F15" s="158" t="s">
        <v>106</v>
      </c>
      <c r="G15" s="158" t="s">
        <v>155</v>
      </c>
      <c r="H15" s="158" t="s">
        <v>7</v>
      </c>
      <c r="I15" s="158" t="s">
        <v>251</v>
      </c>
      <c r="J15" s="157" t="s">
        <v>239</v>
      </c>
      <c r="K15" s="157" t="s">
        <v>260</v>
      </c>
    </row>
    <row r="16" spans="1:11" x14ac:dyDescent="0.2">
      <c r="A16" s="156"/>
      <c r="B16" s="158" t="s">
        <v>113</v>
      </c>
      <c r="C16" s="158" t="s">
        <v>0</v>
      </c>
      <c r="D16" s="158" t="s">
        <v>2</v>
      </c>
      <c r="E16" s="158" t="s">
        <v>3</v>
      </c>
      <c r="F16" s="157" t="s">
        <v>23</v>
      </c>
      <c r="G16" s="158" t="s">
        <v>155</v>
      </c>
      <c r="H16" s="158" t="s">
        <v>17</v>
      </c>
      <c r="I16" s="158" t="s">
        <v>130</v>
      </c>
      <c r="J16" s="157" t="s">
        <v>239</v>
      </c>
      <c r="K16" s="157" t="s">
        <v>260</v>
      </c>
    </row>
    <row r="17" spans="1:11" x14ac:dyDescent="0.2">
      <c r="A17" s="156"/>
      <c r="B17" s="158" t="s">
        <v>113</v>
      </c>
      <c r="C17" s="158" t="s">
        <v>1</v>
      </c>
      <c r="D17" s="158" t="s">
        <v>2</v>
      </c>
      <c r="E17" s="158" t="s">
        <v>4</v>
      </c>
      <c r="F17" s="158" t="s">
        <v>23</v>
      </c>
      <c r="G17" s="158" t="s">
        <v>155</v>
      </c>
      <c r="H17" s="158" t="s">
        <v>17</v>
      </c>
      <c r="I17" s="157"/>
      <c r="J17" s="157"/>
      <c r="K17" s="157"/>
    </row>
    <row r="18" spans="1:11" x14ac:dyDescent="0.2">
      <c r="A18" s="156"/>
      <c r="B18" s="158" t="s">
        <v>113</v>
      </c>
      <c r="C18" s="158" t="s">
        <v>0</v>
      </c>
      <c r="D18" s="158" t="s">
        <v>2</v>
      </c>
      <c r="E18" s="158" t="s">
        <v>4</v>
      </c>
      <c r="F18" s="158" t="s">
        <v>10</v>
      </c>
      <c r="G18" s="158" t="s">
        <v>155</v>
      </c>
      <c r="H18" s="158" t="s">
        <v>17</v>
      </c>
      <c r="I18" s="158" t="s">
        <v>130</v>
      </c>
      <c r="J18" s="158"/>
      <c r="K18" s="158"/>
    </row>
    <row r="19" spans="1:11" x14ac:dyDescent="0.2">
      <c r="A19" s="156"/>
      <c r="B19" s="158" t="s">
        <v>113</v>
      </c>
      <c r="C19" s="158" t="s">
        <v>1</v>
      </c>
      <c r="D19" s="158" t="s">
        <v>2</v>
      </c>
      <c r="E19" s="158" t="s">
        <v>3</v>
      </c>
      <c r="F19" s="158" t="s">
        <v>10</v>
      </c>
      <c r="G19" s="158" t="s">
        <v>155</v>
      </c>
      <c r="H19" s="158" t="s">
        <v>17</v>
      </c>
      <c r="I19" s="157"/>
      <c r="J19" s="157"/>
      <c r="K19" s="157"/>
    </row>
    <row r="20" spans="1:11" x14ac:dyDescent="0.2">
      <c r="A20" s="156"/>
      <c r="B20" s="158" t="s">
        <v>113</v>
      </c>
      <c r="C20" s="158" t="s">
        <v>0</v>
      </c>
      <c r="D20" s="158" t="s">
        <v>177</v>
      </c>
      <c r="E20" s="158" t="s">
        <v>4</v>
      </c>
      <c r="F20" s="158" t="s">
        <v>13</v>
      </c>
      <c r="G20" s="158" t="s">
        <v>156</v>
      </c>
      <c r="H20" s="158" t="s">
        <v>159</v>
      </c>
      <c r="I20" s="158"/>
      <c r="J20" s="158"/>
      <c r="K20" s="158"/>
    </row>
    <row r="21" spans="1:11" x14ac:dyDescent="0.2">
      <c r="A21" s="156"/>
      <c r="B21" s="158" t="s">
        <v>113</v>
      </c>
      <c r="C21" s="158" t="s">
        <v>0</v>
      </c>
      <c r="D21" s="158" t="s">
        <v>177</v>
      </c>
      <c r="E21" s="158" t="s">
        <v>4</v>
      </c>
      <c r="F21" s="158" t="s">
        <v>10</v>
      </c>
      <c r="G21" s="158" t="s">
        <v>156</v>
      </c>
      <c r="H21" s="158" t="s">
        <v>159</v>
      </c>
      <c r="I21" s="158"/>
      <c r="J21" s="158"/>
      <c r="K21" s="158"/>
    </row>
    <row r="22" spans="1:11" x14ac:dyDescent="0.2">
      <c r="A22" s="156"/>
      <c r="B22" s="158" t="s">
        <v>113</v>
      </c>
      <c r="C22" s="158" t="s">
        <v>0</v>
      </c>
      <c r="D22" s="158" t="s">
        <v>2</v>
      </c>
      <c r="E22" s="158" t="s">
        <v>4</v>
      </c>
      <c r="F22" s="158" t="s">
        <v>10</v>
      </c>
      <c r="G22" s="158" t="s">
        <v>228</v>
      </c>
      <c r="H22" s="158" t="s">
        <v>17</v>
      </c>
      <c r="I22" s="158" t="s">
        <v>130</v>
      </c>
      <c r="J22" s="158"/>
      <c r="K22" s="158"/>
    </row>
    <row r="23" spans="1:11" x14ac:dyDescent="0.2">
      <c r="A23" s="156"/>
      <c r="B23" s="158" t="s">
        <v>113</v>
      </c>
      <c r="C23" s="158" t="s">
        <v>0</v>
      </c>
      <c r="D23" s="158" t="s">
        <v>177</v>
      </c>
      <c r="E23" s="158" t="s">
        <v>4</v>
      </c>
      <c r="F23" s="158" t="s">
        <v>10</v>
      </c>
      <c r="G23" s="158" t="s">
        <v>158</v>
      </c>
      <c r="H23" s="158" t="s">
        <v>17</v>
      </c>
      <c r="I23" s="158" t="s">
        <v>130</v>
      </c>
      <c r="J23" s="157"/>
      <c r="K23" s="157"/>
    </row>
    <row r="24" spans="1:11" x14ac:dyDescent="0.2">
      <c r="A24" s="156"/>
      <c r="B24" s="158" t="s">
        <v>113</v>
      </c>
      <c r="C24" s="158" t="s">
        <v>0</v>
      </c>
      <c r="D24" s="158" t="s">
        <v>177</v>
      </c>
      <c r="E24" s="158" t="s">
        <v>4</v>
      </c>
      <c r="F24" s="158" t="s">
        <v>10</v>
      </c>
      <c r="G24" s="158" t="s">
        <v>155</v>
      </c>
      <c r="H24" s="158" t="s">
        <v>159</v>
      </c>
      <c r="I24" s="158"/>
      <c r="J24" s="158"/>
      <c r="K24" s="158"/>
    </row>
    <row r="25" spans="1:11" x14ac:dyDescent="0.2">
      <c r="A25" s="156"/>
      <c r="B25" s="158" t="s">
        <v>113</v>
      </c>
      <c r="C25" s="158" t="s">
        <v>0</v>
      </c>
      <c r="D25" s="158" t="s">
        <v>177</v>
      </c>
      <c r="E25" s="158" t="s">
        <v>4</v>
      </c>
      <c r="F25" s="158" t="s">
        <v>10</v>
      </c>
      <c r="G25" s="158" t="s">
        <v>156</v>
      </c>
      <c r="H25" s="158" t="s">
        <v>159</v>
      </c>
      <c r="I25" s="157"/>
      <c r="J25" s="157"/>
      <c r="K25" s="157"/>
    </row>
    <row r="26" spans="1:11" x14ac:dyDescent="0.2">
      <c r="A26" s="156"/>
      <c r="B26" s="158" t="s">
        <v>113</v>
      </c>
      <c r="C26" s="158" t="s">
        <v>1</v>
      </c>
      <c r="D26" s="158" t="s">
        <v>177</v>
      </c>
      <c r="E26" s="158" t="s">
        <v>3</v>
      </c>
      <c r="F26" s="158" t="s">
        <v>10</v>
      </c>
      <c r="G26" s="158" t="s">
        <v>156</v>
      </c>
      <c r="H26" s="158" t="s">
        <v>159</v>
      </c>
      <c r="I26" s="157"/>
      <c r="J26" s="157"/>
      <c r="K26" s="157"/>
    </row>
    <row r="27" spans="1:11" x14ac:dyDescent="0.2">
      <c r="A27" s="156"/>
      <c r="B27" s="158" t="s">
        <v>113</v>
      </c>
      <c r="C27" s="158" t="s">
        <v>0</v>
      </c>
      <c r="D27" s="158" t="s">
        <v>177</v>
      </c>
      <c r="E27" s="158" t="s">
        <v>4</v>
      </c>
      <c r="F27" s="158" t="s">
        <v>11</v>
      </c>
      <c r="G27" s="158" t="s">
        <v>155</v>
      </c>
      <c r="H27" s="158" t="s">
        <v>159</v>
      </c>
      <c r="I27" s="157"/>
      <c r="J27" s="157"/>
      <c r="K27" s="157"/>
    </row>
    <row r="28" spans="1:11" x14ac:dyDescent="0.2">
      <c r="A28" s="156"/>
      <c r="B28" s="158" t="s">
        <v>114</v>
      </c>
      <c r="C28" s="158" t="s">
        <v>0</v>
      </c>
      <c r="D28" s="158" t="s">
        <v>177</v>
      </c>
      <c r="E28" s="158" t="s">
        <v>4</v>
      </c>
      <c r="F28" s="158" t="s">
        <v>10</v>
      </c>
      <c r="G28" s="158" t="s">
        <v>228</v>
      </c>
      <c r="H28" s="158" t="s">
        <v>17</v>
      </c>
      <c r="I28" s="158" t="s">
        <v>130</v>
      </c>
      <c r="J28" s="157"/>
      <c r="K28" s="157"/>
    </row>
    <row r="29" spans="1:11" x14ac:dyDescent="0.2">
      <c r="A29" s="156"/>
      <c r="B29" s="158" t="s">
        <v>114</v>
      </c>
      <c r="C29" s="158" t="s">
        <v>1</v>
      </c>
      <c r="D29" s="158" t="s">
        <v>177</v>
      </c>
      <c r="E29" s="158" t="s">
        <v>4</v>
      </c>
      <c r="F29" s="158" t="s">
        <v>13</v>
      </c>
      <c r="G29" s="158" t="s">
        <v>158</v>
      </c>
      <c r="H29" s="158" t="s">
        <v>17</v>
      </c>
      <c r="I29" s="158" t="s">
        <v>130</v>
      </c>
      <c r="J29" s="157"/>
      <c r="K29" s="157"/>
    </row>
    <row r="30" spans="1:11" x14ac:dyDescent="0.2">
      <c r="A30" s="156"/>
      <c r="B30" s="158" t="s">
        <v>114</v>
      </c>
      <c r="C30" s="158" t="s">
        <v>0</v>
      </c>
      <c r="D30" s="158" t="s">
        <v>177</v>
      </c>
      <c r="E30" s="158" t="s">
        <v>4</v>
      </c>
      <c r="F30" s="157" t="s">
        <v>14</v>
      </c>
      <c r="G30" s="158" t="s">
        <v>228</v>
      </c>
      <c r="H30" s="158" t="s">
        <v>17</v>
      </c>
      <c r="I30" s="158" t="s">
        <v>130</v>
      </c>
      <c r="J30" s="157"/>
      <c r="K30" s="157"/>
    </row>
    <row r="31" spans="1:11" x14ac:dyDescent="0.2">
      <c r="A31" s="156"/>
      <c r="B31" s="158" t="s">
        <v>113</v>
      </c>
      <c r="C31" s="158" t="s">
        <v>1</v>
      </c>
      <c r="D31" s="158" t="s">
        <v>177</v>
      </c>
      <c r="E31" s="158" t="s">
        <v>3</v>
      </c>
      <c r="F31" s="158" t="s">
        <v>10</v>
      </c>
      <c r="G31" s="158" t="s">
        <v>155</v>
      </c>
      <c r="H31" s="158" t="s">
        <v>18</v>
      </c>
      <c r="I31" s="157"/>
      <c r="J31" s="157"/>
      <c r="K31" s="157"/>
    </row>
    <row r="32" spans="1:11" x14ac:dyDescent="0.2">
      <c r="A32" s="156"/>
      <c r="B32" s="158" t="s">
        <v>113</v>
      </c>
      <c r="C32" s="158" t="s">
        <v>0</v>
      </c>
      <c r="D32" s="158" t="s">
        <v>2</v>
      </c>
      <c r="E32" s="158" t="s">
        <v>3</v>
      </c>
      <c r="F32" s="158" t="s">
        <v>277</v>
      </c>
      <c r="G32" s="158" t="s">
        <v>155</v>
      </c>
      <c r="H32" s="158" t="s">
        <v>159</v>
      </c>
      <c r="I32" s="158" t="s">
        <v>130</v>
      </c>
      <c r="J32" s="157"/>
      <c r="K32" s="157"/>
    </row>
    <row r="33" spans="1:11" x14ac:dyDescent="0.2">
      <c r="A33" s="156"/>
      <c r="B33" s="158" t="s">
        <v>113</v>
      </c>
      <c r="C33" s="158" t="s">
        <v>1</v>
      </c>
      <c r="D33" s="158" t="s">
        <v>2</v>
      </c>
      <c r="E33" s="158" t="s">
        <v>4</v>
      </c>
      <c r="F33" s="158" t="s">
        <v>277</v>
      </c>
      <c r="G33" s="158" t="s">
        <v>155</v>
      </c>
      <c r="H33" s="158" t="s">
        <v>159</v>
      </c>
      <c r="I33" s="157"/>
      <c r="J33" s="157"/>
      <c r="K33" s="157"/>
    </row>
    <row r="34" spans="1:11" x14ac:dyDescent="0.2">
      <c r="A34" s="156"/>
      <c r="B34" s="158" t="s">
        <v>114</v>
      </c>
      <c r="C34" s="158" t="s">
        <v>0</v>
      </c>
      <c r="D34" s="158" t="s">
        <v>177</v>
      </c>
      <c r="E34" s="158" t="s">
        <v>3</v>
      </c>
      <c r="F34" s="158" t="s">
        <v>277</v>
      </c>
      <c r="G34" s="158" t="s">
        <v>155</v>
      </c>
      <c r="H34" s="158" t="s">
        <v>17</v>
      </c>
      <c r="I34" s="158" t="s">
        <v>130</v>
      </c>
      <c r="J34" s="157"/>
      <c r="K34" s="157"/>
    </row>
    <row r="35" spans="1:11" x14ac:dyDescent="0.2">
      <c r="A35" s="156"/>
      <c r="B35" s="158" t="s">
        <v>114</v>
      </c>
      <c r="C35" s="158" t="s">
        <v>0</v>
      </c>
      <c r="D35" s="158" t="s">
        <v>177</v>
      </c>
      <c r="E35" s="158" t="s">
        <v>4</v>
      </c>
      <c r="F35" s="158" t="s">
        <v>11</v>
      </c>
      <c r="G35" s="158" t="s">
        <v>156</v>
      </c>
      <c r="H35" s="158" t="s">
        <v>17</v>
      </c>
      <c r="I35" s="158" t="s">
        <v>130</v>
      </c>
      <c r="J35" s="157"/>
      <c r="K35" s="157"/>
    </row>
    <row r="36" spans="1:11" x14ac:dyDescent="0.2">
      <c r="A36" s="156"/>
      <c r="B36" s="158" t="s">
        <v>114</v>
      </c>
      <c r="C36" s="158" t="s">
        <v>1</v>
      </c>
      <c r="D36" s="158" t="s">
        <v>177</v>
      </c>
      <c r="E36" s="158" t="s">
        <v>4</v>
      </c>
      <c r="F36" s="158" t="s">
        <v>10</v>
      </c>
      <c r="G36" s="158" t="s">
        <v>158</v>
      </c>
      <c r="H36" s="158" t="s">
        <v>17</v>
      </c>
      <c r="I36" s="158" t="s">
        <v>130</v>
      </c>
      <c r="J36" s="157"/>
      <c r="K36" s="157"/>
    </row>
    <row r="37" spans="1:11" x14ac:dyDescent="0.2">
      <c r="A37" s="156"/>
      <c r="B37" s="158" t="s">
        <v>114</v>
      </c>
      <c r="C37" s="158" t="s">
        <v>0</v>
      </c>
      <c r="D37" s="158" t="s">
        <v>177</v>
      </c>
      <c r="E37" s="158" t="s">
        <v>3</v>
      </c>
      <c r="F37" s="158" t="s">
        <v>13</v>
      </c>
      <c r="G37" s="158" t="s">
        <v>155</v>
      </c>
      <c r="H37" s="158" t="s">
        <v>159</v>
      </c>
      <c r="I37" s="158" t="s">
        <v>130</v>
      </c>
      <c r="J37" s="157"/>
      <c r="K37" s="157"/>
    </row>
    <row r="38" spans="1:11" x14ac:dyDescent="0.2">
      <c r="A38" s="156"/>
      <c r="B38" s="158" t="s">
        <v>112</v>
      </c>
      <c r="C38" s="158" t="s">
        <v>1</v>
      </c>
      <c r="D38" s="158" t="s">
        <v>177</v>
      </c>
      <c r="E38" s="158" t="s">
        <v>4</v>
      </c>
      <c r="F38" s="158" t="s">
        <v>9</v>
      </c>
      <c r="G38" s="158" t="s">
        <v>156</v>
      </c>
      <c r="H38" s="158" t="s">
        <v>17</v>
      </c>
      <c r="I38" s="158" t="s">
        <v>130</v>
      </c>
      <c r="J38" s="157"/>
      <c r="K38" s="157"/>
    </row>
    <row r="39" spans="1:11" x14ac:dyDescent="0.2">
      <c r="A39" s="156"/>
      <c r="B39" s="158" t="s">
        <v>112</v>
      </c>
      <c r="C39" s="158" t="s">
        <v>0</v>
      </c>
      <c r="D39" s="158" t="s">
        <v>2</v>
      </c>
      <c r="E39" s="158" t="s">
        <v>3</v>
      </c>
      <c r="F39" s="158" t="s">
        <v>12</v>
      </c>
      <c r="G39" s="158" t="s">
        <v>154</v>
      </c>
      <c r="H39" s="158" t="s">
        <v>159</v>
      </c>
      <c r="I39" s="157"/>
      <c r="J39" s="157"/>
      <c r="K39" s="157"/>
    </row>
    <row r="40" spans="1:11" x14ac:dyDescent="0.2">
      <c r="A40" s="156"/>
      <c r="B40" s="158" t="s">
        <v>112</v>
      </c>
      <c r="C40" s="158" t="s">
        <v>1</v>
      </c>
      <c r="D40" s="158" t="s">
        <v>2</v>
      </c>
      <c r="E40" s="158" t="s">
        <v>3</v>
      </c>
      <c r="F40" s="158" t="s">
        <v>12</v>
      </c>
      <c r="G40" s="158" t="s">
        <v>154</v>
      </c>
      <c r="H40" s="158" t="s">
        <v>159</v>
      </c>
      <c r="I40" s="157"/>
      <c r="J40" s="157"/>
      <c r="K40" s="157"/>
    </row>
    <row r="41" spans="1:11" x14ac:dyDescent="0.2">
      <c r="A41" s="156"/>
      <c r="B41" s="158" t="s">
        <v>112</v>
      </c>
      <c r="C41" s="158" t="s">
        <v>1</v>
      </c>
      <c r="D41" s="158" t="s">
        <v>2</v>
      </c>
      <c r="E41" s="158" t="s">
        <v>4</v>
      </c>
      <c r="F41" s="158" t="s">
        <v>12</v>
      </c>
      <c r="G41" s="158" t="s">
        <v>154</v>
      </c>
      <c r="H41" s="158" t="s">
        <v>159</v>
      </c>
      <c r="I41" s="157"/>
      <c r="J41" s="157"/>
      <c r="K41" s="157"/>
    </row>
    <row r="42" spans="1:11" x14ac:dyDescent="0.2">
      <c r="A42" s="156"/>
      <c r="B42" s="158" t="s">
        <v>112</v>
      </c>
      <c r="C42" s="158" t="s">
        <v>1</v>
      </c>
      <c r="D42" s="158" t="s">
        <v>177</v>
      </c>
      <c r="E42" s="158" t="s">
        <v>4</v>
      </c>
      <c r="F42" s="158" t="s">
        <v>11</v>
      </c>
      <c r="G42" s="158" t="s">
        <v>158</v>
      </c>
      <c r="H42" s="158" t="s">
        <v>17</v>
      </c>
      <c r="I42" s="158" t="s">
        <v>130</v>
      </c>
      <c r="J42" s="157"/>
      <c r="K42" s="157"/>
    </row>
    <row r="43" spans="1:11" x14ac:dyDescent="0.2">
      <c r="A43" s="156"/>
      <c r="B43" s="158" t="s">
        <v>112</v>
      </c>
      <c r="C43" s="158" t="s">
        <v>0</v>
      </c>
      <c r="D43" s="158" t="s">
        <v>177</v>
      </c>
      <c r="E43" s="158" t="s">
        <v>3</v>
      </c>
      <c r="F43" s="158" t="s">
        <v>106</v>
      </c>
      <c r="G43" s="158" t="s">
        <v>155</v>
      </c>
      <c r="H43" s="158" t="s">
        <v>159</v>
      </c>
      <c r="I43" s="157"/>
      <c r="J43" s="157"/>
      <c r="K43" s="157"/>
    </row>
    <row r="44" spans="1:11" x14ac:dyDescent="0.2">
      <c r="A44" s="156"/>
      <c r="B44" s="158" t="s">
        <v>112</v>
      </c>
      <c r="C44" s="158" t="s">
        <v>1</v>
      </c>
      <c r="D44" s="158" t="s">
        <v>177</v>
      </c>
      <c r="E44" s="158" t="s">
        <v>4</v>
      </c>
      <c r="F44" s="158" t="s">
        <v>106</v>
      </c>
      <c r="G44" s="158" t="s">
        <v>155</v>
      </c>
      <c r="H44" s="158" t="s">
        <v>159</v>
      </c>
      <c r="I44" s="157"/>
      <c r="J44" s="157"/>
      <c r="K44" s="157"/>
    </row>
    <row r="45" spans="1:11" x14ac:dyDescent="0.2">
      <c r="A45" s="156"/>
      <c r="B45" s="158" t="s">
        <v>112</v>
      </c>
      <c r="C45" s="158" t="s">
        <v>1</v>
      </c>
      <c r="D45" s="158" t="s">
        <v>177</v>
      </c>
      <c r="E45" s="158" t="s">
        <v>4</v>
      </c>
      <c r="F45" s="157" t="s">
        <v>15</v>
      </c>
      <c r="G45" s="158" t="s">
        <v>158</v>
      </c>
      <c r="H45" s="158" t="s">
        <v>17</v>
      </c>
      <c r="I45" s="158" t="s">
        <v>130</v>
      </c>
      <c r="J45" s="157"/>
      <c r="K45" s="157"/>
    </row>
    <row r="46" spans="1:11" x14ac:dyDescent="0.2">
      <c r="A46" s="156"/>
      <c r="B46" s="158" t="s">
        <v>112</v>
      </c>
      <c r="C46" s="158" t="s">
        <v>1</v>
      </c>
      <c r="D46" s="158" t="s">
        <v>177</v>
      </c>
      <c r="E46" s="158" t="s">
        <v>4</v>
      </c>
      <c r="F46" s="157" t="s">
        <v>56</v>
      </c>
      <c r="G46" s="158" t="s">
        <v>158</v>
      </c>
      <c r="H46" s="158" t="s">
        <v>17</v>
      </c>
      <c r="I46" s="158" t="s">
        <v>130</v>
      </c>
      <c r="J46" s="157"/>
      <c r="K46" s="157"/>
    </row>
    <row r="47" spans="1:11" x14ac:dyDescent="0.2">
      <c r="A47" s="156"/>
      <c r="B47" s="158" t="s">
        <v>112</v>
      </c>
      <c r="C47" s="158" t="s">
        <v>0</v>
      </c>
      <c r="D47" s="158" t="s">
        <v>177</v>
      </c>
      <c r="E47" s="158" t="s">
        <v>3</v>
      </c>
      <c r="F47" s="157" t="s">
        <v>16</v>
      </c>
      <c r="G47" s="158" t="s">
        <v>155</v>
      </c>
      <c r="H47" s="158" t="s">
        <v>17</v>
      </c>
      <c r="I47" s="158" t="s">
        <v>130</v>
      </c>
      <c r="J47" s="157"/>
      <c r="K47" s="157"/>
    </row>
    <row r="48" spans="1:11" x14ac:dyDescent="0.2">
      <c r="A48" s="156"/>
      <c r="B48" s="158" t="s">
        <v>112</v>
      </c>
      <c r="C48" s="158" t="s">
        <v>1</v>
      </c>
      <c r="D48" s="158" t="s">
        <v>177</v>
      </c>
      <c r="E48" s="158" t="s">
        <v>4</v>
      </c>
      <c r="F48" s="158" t="s">
        <v>16</v>
      </c>
      <c r="G48" s="158" t="s">
        <v>155</v>
      </c>
      <c r="H48" s="158" t="s">
        <v>17</v>
      </c>
      <c r="I48" s="158" t="s">
        <v>130</v>
      </c>
      <c r="J48" s="157"/>
      <c r="K48" s="157"/>
    </row>
    <row r="49" spans="1:11" x14ac:dyDescent="0.2">
      <c r="A49" s="156"/>
      <c r="B49" s="158" t="s">
        <v>112</v>
      </c>
      <c r="C49" s="158" t="s">
        <v>1</v>
      </c>
      <c r="D49" s="158" t="s">
        <v>177</v>
      </c>
      <c r="E49" s="158" t="s">
        <v>4</v>
      </c>
      <c r="F49" s="157" t="s">
        <v>153</v>
      </c>
      <c r="G49" s="158" t="s">
        <v>158</v>
      </c>
      <c r="H49" s="158" t="s">
        <v>17</v>
      </c>
      <c r="I49" s="158" t="s">
        <v>130</v>
      </c>
      <c r="J49" s="157"/>
      <c r="K49" s="157"/>
    </row>
    <row r="50" spans="1:11" x14ac:dyDescent="0.2">
      <c r="A50" s="156"/>
      <c r="B50" s="158" t="s">
        <v>112</v>
      </c>
      <c r="C50" s="158" t="s">
        <v>0</v>
      </c>
      <c r="D50" s="158" t="s">
        <v>177</v>
      </c>
      <c r="E50" s="158" t="s">
        <v>4</v>
      </c>
      <c r="F50" s="158" t="s">
        <v>153</v>
      </c>
      <c r="G50" s="158" t="s">
        <v>228</v>
      </c>
      <c r="H50" s="158" t="s">
        <v>17</v>
      </c>
      <c r="I50" s="158" t="s">
        <v>130</v>
      </c>
      <c r="J50" s="157"/>
      <c r="K50" s="157"/>
    </row>
    <row r="51" spans="1:11" x14ac:dyDescent="0.2">
      <c r="A51" s="156"/>
      <c r="B51" s="158" t="s">
        <v>112</v>
      </c>
      <c r="C51" s="158" t="s">
        <v>0</v>
      </c>
      <c r="D51" s="158" t="s">
        <v>177</v>
      </c>
      <c r="E51" s="158" t="s">
        <v>4</v>
      </c>
      <c r="F51" s="158" t="s">
        <v>10</v>
      </c>
      <c r="G51" s="158" t="s">
        <v>155</v>
      </c>
      <c r="H51" s="158" t="s">
        <v>159</v>
      </c>
      <c r="I51" s="157"/>
      <c r="J51" s="157"/>
      <c r="K51" s="157"/>
    </row>
    <row r="52" spans="1:11" x14ac:dyDescent="0.2">
      <c r="A52" s="156"/>
      <c r="B52" s="158" t="s">
        <v>112</v>
      </c>
      <c r="C52" s="158" t="s">
        <v>1</v>
      </c>
      <c r="D52" s="158" t="s">
        <v>177</v>
      </c>
      <c r="E52" s="158" t="s">
        <v>3</v>
      </c>
      <c r="F52" s="158" t="s">
        <v>10</v>
      </c>
      <c r="G52" s="158" t="s">
        <v>155</v>
      </c>
      <c r="H52" s="158" t="s">
        <v>159</v>
      </c>
      <c r="I52" s="157"/>
      <c r="J52" s="157"/>
      <c r="K52" s="157"/>
    </row>
    <row r="53" spans="1:11" x14ac:dyDescent="0.2">
      <c r="A53" s="156"/>
      <c r="B53" s="158" t="s">
        <v>112</v>
      </c>
      <c r="C53" s="158" t="s">
        <v>1</v>
      </c>
      <c r="D53" s="158" t="s">
        <v>2</v>
      </c>
      <c r="E53" s="158" t="s">
        <v>3</v>
      </c>
      <c r="F53" s="158" t="s">
        <v>10</v>
      </c>
      <c r="G53" s="158" t="s">
        <v>155</v>
      </c>
      <c r="H53" s="158" t="s">
        <v>159</v>
      </c>
      <c r="I53" s="157"/>
      <c r="J53" s="157"/>
      <c r="K53" s="157"/>
    </row>
    <row r="54" spans="1:11" x14ac:dyDescent="0.2">
      <c r="A54" s="156"/>
      <c r="B54" s="158" t="s">
        <v>112</v>
      </c>
      <c r="C54" s="157" t="s">
        <v>0</v>
      </c>
      <c r="D54" s="158" t="s">
        <v>177</v>
      </c>
      <c r="E54" s="158" t="s">
        <v>4</v>
      </c>
      <c r="F54" s="158" t="s">
        <v>10</v>
      </c>
      <c r="G54" s="158" t="s">
        <v>155</v>
      </c>
      <c r="H54" s="158" t="s">
        <v>159</v>
      </c>
      <c r="I54" s="157"/>
      <c r="J54" s="157"/>
      <c r="K54" s="157"/>
    </row>
    <row r="55" spans="1:11" x14ac:dyDescent="0.2">
      <c r="A55" s="156"/>
      <c r="B55" s="158" t="s">
        <v>112</v>
      </c>
      <c r="C55" s="158" t="s">
        <v>0</v>
      </c>
      <c r="D55" s="158" t="s">
        <v>2</v>
      </c>
      <c r="E55" s="158" t="s">
        <v>4</v>
      </c>
      <c r="F55" s="158" t="s">
        <v>10</v>
      </c>
      <c r="G55" s="158" t="s">
        <v>155</v>
      </c>
      <c r="H55" s="158" t="s">
        <v>159</v>
      </c>
      <c r="I55" s="157"/>
      <c r="J55" s="157"/>
      <c r="K55" s="157"/>
    </row>
    <row r="56" spans="1:11" x14ac:dyDescent="0.2">
      <c r="A56" s="156"/>
      <c r="B56" s="158" t="s">
        <v>112</v>
      </c>
      <c r="C56" s="158" t="s">
        <v>0</v>
      </c>
      <c r="D56" s="158" t="s">
        <v>2</v>
      </c>
      <c r="E56" s="158" t="s">
        <v>4</v>
      </c>
      <c r="F56" s="158" t="s">
        <v>10</v>
      </c>
      <c r="G56" s="158" t="s">
        <v>155</v>
      </c>
      <c r="H56" s="158" t="s">
        <v>159</v>
      </c>
      <c r="I56" s="157"/>
      <c r="J56" s="157"/>
      <c r="K56" s="157"/>
    </row>
    <row r="57" spans="1:11" x14ac:dyDescent="0.2">
      <c r="A57" s="156"/>
      <c r="B57" s="158" t="s">
        <v>112</v>
      </c>
      <c r="C57" s="158" t="s">
        <v>0</v>
      </c>
      <c r="D57" s="158" t="s">
        <v>2</v>
      </c>
      <c r="E57" s="158" t="s">
        <v>4</v>
      </c>
      <c r="F57" s="158" t="s">
        <v>10</v>
      </c>
      <c r="G57" s="158" t="s">
        <v>155</v>
      </c>
      <c r="H57" s="158" t="s">
        <v>159</v>
      </c>
      <c r="I57" s="157"/>
      <c r="J57" s="157"/>
      <c r="K57" s="157"/>
    </row>
    <row r="58" spans="1:11" x14ac:dyDescent="0.2">
      <c r="A58" s="156"/>
      <c r="B58" s="158" t="s">
        <v>113</v>
      </c>
      <c r="C58" s="158" t="s">
        <v>0</v>
      </c>
      <c r="D58" s="158" t="s">
        <v>177</v>
      </c>
      <c r="E58" s="158" t="s">
        <v>4</v>
      </c>
      <c r="F58" s="158" t="s">
        <v>11</v>
      </c>
      <c r="G58" s="158" t="s">
        <v>155</v>
      </c>
      <c r="H58" s="158" t="s">
        <v>17</v>
      </c>
      <c r="I58" s="158" t="s">
        <v>130</v>
      </c>
      <c r="J58" s="157"/>
      <c r="K58" s="157"/>
    </row>
    <row r="59" spans="1:11" x14ac:dyDescent="0.2">
      <c r="A59" s="156"/>
      <c r="B59" s="158" t="s">
        <v>114</v>
      </c>
      <c r="C59" s="158" t="s">
        <v>0</v>
      </c>
      <c r="D59" s="158" t="s">
        <v>177</v>
      </c>
      <c r="E59" s="158" t="s">
        <v>4</v>
      </c>
      <c r="F59" s="157" t="s">
        <v>14</v>
      </c>
      <c r="G59" s="158" t="s">
        <v>228</v>
      </c>
      <c r="H59" s="158" t="s">
        <v>17</v>
      </c>
      <c r="I59" s="158" t="s">
        <v>130</v>
      </c>
      <c r="J59" s="157"/>
      <c r="K59" s="157"/>
    </row>
    <row r="60" spans="1:11" x14ac:dyDescent="0.2">
      <c r="A60" s="156"/>
      <c r="B60" s="158" t="s">
        <v>113</v>
      </c>
      <c r="C60" s="158" t="s">
        <v>1</v>
      </c>
      <c r="D60" s="158" t="s">
        <v>177</v>
      </c>
      <c r="E60" s="158" t="s">
        <v>3</v>
      </c>
      <c r="F60" s="158" t="s">
        <v>10</v>
      </c>
      <c r="G60" s="158" t="s">
        <v>155</v>
      </c>
      <c r="H60" s="158" t="s">
        <v>18</v>
      </c>
      <c r="I60" s="157"/>
      <c r="J60" s="157"/>
      <c r="K60" s="157"/>
    </row>
    <row r="61" spans="1:11" x14ac:dyDescent="0.2">
      <c r="A61" s="156"/>
      <c r="B61" s="158" t="s">
        <v>113</v>
      </c>
      <c r="C61" s="158" t="s">
        <v>0</v>
      </c>
      <c r="D61" s="158" t="s">
        <v>2</v>
      </c>
      <c r="E61" s="158" t="s">
        <v>3</v>
      </c>
      <c r="F61" s="158" t="s">
        <v>277</v>
      </c>
      <c r="G61" s="158" t="s">
        <v>155</v>
      </c>
      <c r="H61" s="158" t="s">
        <v>159</v>
      </c>
      <c r="I61" s="158" t="s">
        <v>130</v>
      </c>
      <c r="J61" s="157"/>
      <c r="K61" s="157"/>
    </row>
    <row r="62" spans="1:11" x14ac:dyDescent="0.2">
      <c r="A62" s="156"/>
      <c r="B62" s="158" t="s">
        <v>113</v>
      </c>
      <c r="C62" s="158" t="s">
        <v>1</v>
      </c>
      <c r="D62" s="158" t="s">
        <v>2</v>
      </c>
      <c r="E62" s="158" t="s">
        <v>4</v>
      </c>
      <c r="F62" s="158" t="s">
        <v>277</v>
      </c>
      <c r="G62" s="158" t="s">
        <v>155</v>
      </c>
      <c r="H62" s="158" t="s">
        <v>159</v>
      </c>
      <c r="I62" s="157"/>
      <c r="J62" s="157"/>
      <c r="K62" s="157"/>
    </row>
    <row r="63" spans="1:11" x14ac:dyDescent="0.2">
      <c r="A63" s="156"/>
      <c r="B63" s="158" t="s">
        <v>114</v>
      </c>
      <c r="C63" s="158" t="s">
        <v>0</v>
      </c>
      <c r="D63" s="158" t="s">
        <v>177</v>
      </c>
      <c r="E63" s="158" t="s">
        <v>3</v>
      </c>
      <c r="F63" s="158" t="s">
        <v>277</v>
      </c>
      <c r="G63" s="158" t="s">
        <v>155</v>
      </c>
      <c r="H63" s="158" t="s">
        <v>17</v>
      </c>
      <c r="I63" s="158" t="s">
        <v>130</v>
      </c>
      <c r="J63" s="157" t="s">
        <v>148</v>
      </c>
      <c r="K63" s="157" t="s">
        <v>105</v>
      </c>
    </row>
    <row r="64" spans="1:11" x14ac:dyDescent="0.2">
      <c r="A64" s="156"/>
      <c r="B64" s="158" t="s">
        <v>114</v>
      </c>
      <c r="C64" s="158" t="s">
        <v>0</v>
      </c>
      <c r="D64" s="158" t="s">
        <v>177</v>
      </c>
      <c r="E64" s="158" t="s">
        <v>4</v>
      </c>
      <c r="F64" s="158" t="s">
        <v>11</v>
      </c>
      <c r="G64" s="158" t="s">
        <v>156</v>
      </c>
      <c r="H64" s="158" t="s">
        <v>17</v>
      </c>
      <c r="I64" s="158" t="s">
        <v>130</v>
      </c>
      <c r="J64" s="157" t="s">
        <v>148</v>
      </c>
      <c r="K64" s="157" t="s">
        <v>105</v>
      </c>
    </row>
    <row r="65" spans="1:11" x14ac:dyDescent="0.2">
      <c r="A65" s="156"/>
      <c r="B65" s="158" t="s">
        <v>114</v>
      </c>
      <c r="C65" s="158" t="s">
        <v>1</v>
      </c>
      <c r="D65" s="158" t="s">
        <v>177</v>
      </c>
      <c r="E65" s="158" t="s">
        <v>4</v>
      </c>
      <c r="F65" s="158" t="s">
        <v>10</v>
      </c>
      <c r="G65" s="158" t="s">
        <v>158</v>
      </c>
      <c r="H65" s="158" t="s">
        <v>17</v>
      </c>
      <c r="I65" s="158" t="s">
        <v>130</v>
      </c>
      <c r="J65" s="157" t="s">
        <v>148</v>
      </c>
      <c r="K65" s="157" t="s">
        <v>105</v>
      </c>
    </row>
    <row r="66" spans="1:11" x14ac:dyDescent="0.2">
      <c r="A66" s="156"/>
      <c r="B66" s="158" t="s">
        <v>114</v>
      </c>
      <c r="C66" s="158" t="s">
        <v>0</v>
      </c>
      <c r="D66" s="158" t="s">
        <v>177</v>
      </c>
      <c r="E66" s="158" t="s">
        <v>3</v>
      </c>
      <c r="F66" s="158" t="s">
        <v>13</v>
      </c>
      <c r="G66" s="158" t="s">
        <v>155</v>
      </c>
      <c r="H66" s="158" t="s">
        <v>159</v>
      </c>
      <c r="I66" s="158" t="s">
        <v>130</v>
      </c>
      <c r="J66" s="157" t="s">
        <v>148</v>
      </c>
      <c r="K66" s="157" t="s">
        <v>105</v>
      </c>
    </row>
    <row r="67" spans="1:11" x14ac:dyDescent="0.2">
      <c r="A67" s="156"/>
      <c r="B67" s="158" t="s">
        <v>112</v>
      </c>
      <c r="C67" s="158" t="s">
        <v>1</v>
      </c>
      <c r="D67" s="158" t="s">
        <v>177</v>
      </c>
      <c r="E67" s="158" t="s">
        <v>4</v>
      </c>
      <c r="F67" s="158" t="s">
        <v>9</v>
      </c>
      <c r="G67" s="158" t="s">
        <v>156</v>
      </c>
      <c r="H67" s="158" t="s">
        <v>17</v>
      </c>
      <c r="I67" s="158" t="s">
        <v>130</v>
      </c>
      <c r="J67" s="157" t="s">
        <v>148</v>
      </c>
      <c r="K67" s="157" t="s">
        <v>105</v>
      </c>
    </row>
    <row r="68" spans="1:11" x14ac:dyDescent="0.2">
      <c r="A68" s="156"/>
      <c r="B68" s="158" t="s">
        <v>112</v>
      </c>
      <c r="C68" s="158" t="s">
        <v>0</v>
      </c>
      <c r="D68" s="158" t="s">
        <v>2</v>
      </c>
      <c r="E68" s="158" t="s">
        <v>3</v>
      </c>
      <c r="F68" s="158" t="s">
        <v>12</v>
      </c>
      <c r="G68" s="158" t="s">
        <v>154</v>
      </c>
      <c r="H68" s="158" t="s">
        <v>159</v>
      </c>
      <c r="I68" s="157"/>
      <c r="J68" s="157"/>
      <c r="K68" s="157"/>
    </row>
    <row r="69" spans="1:11" x14ac:dyDescent="0.2">
      <c r="A69" s="156"/>
      <c r="B69" s="158" t="s">
        <v>112</v>
      </c>
      <c r="C69" s="158" t="s">
        <v>1</v>
      </c>
      <c r="D69" s="158" t="s">
        <v>2</v>
      </c>
      <c r="E69" s="158" t="s">
        <v>3</v>
      </c>
      <c r="F69" s="158" t="s">
        <v>12</v>
      </c>
      <c r="G69" s="158" t="s">
        <v>154</v>
      </c>
      <c r="H69" s="158" t="s">
        <v>159</v>
      </c>
      <c r="I69" s="157"/>
      <c r="J69" s="157"/>
      <c r="K69" s="157"/>
    </row>
    <row r="70" spans="1:11" x14ac:dyDescent="0.2">
      <c r="A70" s="156"/>
      <c r="B70" s="158" t="s">
        <v>112</v>
      </c>
      <c r="C70" s="158" t="s">
        <v>1</v>
      </c>
      <c r="D70" s="158" t="s">
        <v>2</v>
      </c>
      <c r="E70" s="158" t="s">
        <v>4</v>
      </c>
      <c r="F70" s="158" t="s">
        <v>12</v>
      </c>
      <c r="G70" s="158" t="s">
        <v>154</v>
      </c>
      <c r="H70" s="158" t="s">
        <v>159</v>
      </c>
      <c r="I70" s="157"/>
      <c r="J70" s="157"/>
      <c r="K70" s="157"/>
    </row>
    <row r="71" spans="1:11" x14ac:dyDescent="0.2">
      <c r="A71" s="156"/>
      <c r="B71" s="158" t="s">
        <v>112</v>
      </c>
      <c r="C71" s="158" t="s">
        <v>1</v>
      </c>
      <c r="D71" s="158" t="s">
        <v>177</v>
      </c>
      <c r="E71" s="158" t="s">
        <v>4</v>
      </c>
      <c r="F71" s="158" t="s">
        <v>11</v>
      </c>
      <c r="G71" s="158" t="s">
        <v>158</v>
      </c>
      <c r="H71" s="158" t="s">
        <v>17</v>
      </c>
      <c r="I71" s="158" t="s">
        <v>130</v>
      </c>
      <c r="J71" s="157"/>
      <c r="K71" s="157"/>
    </row>
    <row r="72" spans="1:11" x14ac:dyDescent="0.2">
      <c r="A72" s="156"/>
      <c r="B72" s="158" t="s">
        <v>112</v>
      </c>
      <c r="C72" s="158" t="s">
        <v>0</v>
      </c>
      <c r="D72" s="158" t="s">
        <v>177</v>
      </c>
      <c r="E72" s="158" t="s">
        <v>3</v>
      </c>
      <c r="F72" s="158" t="s">
        <v>106</v>
      </c>
      <c r="G72" s="158" t="s">
        <v>155</v>
      </c>
      <c r="H72" s="158" t="s">
        <v>159</v>
      </c>
      <c r="I72" s="157"/>
      <c r="J72" s="157"/>
      <c r="K72" s="157"/>
    </row>
    <row r="73" spans="1:11" x14ac:dyDescent="0.2">
      <c r="A73" s="156"/>
      <c r="B73" s="158" t="s">
        <v>112</v>
      </c>
      <c r="C73" s="158" t="s">
        <v>1</v>
      </c>
      <c r="D73" s="158" t="s">
        <v>177</v>
      </c>
      <c r="E73" s="158" t="s">
        <v>4</v>
      </c>
      <c r="F73" s="158" t="s">
        <v>106</v>
      </c>
      <c r="G73" s="158" t="s">
        <v>155</v>
      </c>
      <c r="H73" s="158" t="s">
        <v>159</v>
      </c>
      <c r="I73" s="157"/>
      <c r="J73" s="157"/>
      <c r="K73" s="157"/>
    </row>
    <row r="74" spans="1:11" x14ac:dyDescent="0.2">
      <c r="A74" s="156"/>
      <c r="B74" s="158" t="s">
        <v>112</v>
      </c>
      <c r="C74" s="158" t="s">
        <v>1</v>
      </c>
      <c r="D74" s="158" t="s">
        <v>177</v>
      </c>
      <c r="E74" s="158" t="s">
        <v>4</v>
      </c>
      <c r="F74" s="157" t="s">
        <v>15</v>
      </c>
      <c r="G74" s="158" t="s">
        <v>158</v>
      </c>
      <c r="H74" s="158" t="s">
        <v>17</v>
      </c>
      <c r="I74" s="158" t="s">
        <v>130</v>
      </c>
      <c r="J74" s="157" t="s">
        <v>249</v>
      </c>
      <c r="K74" s="157"/>
    </row>
    <row r="75" spans="1:11" x14ac:dyDescent="0.2">
      <c r="A75" s="156"/>
      <c r="B75" s="158" t="s">
        <v>112</v>
      </c>
      <c r="C75" s="158" t="s">
        <v>1</v>
      </c>
      <c r="D75" s="158" t="s">
        <v>177</v>
      </c>
      <c r="E75" s="158" t="s">
        <v>4</v>
      </c>
      <c r="F75" s="157" t="s">
        <v>56</v>
      </c>
      <c r="G75" s="158" t="s">
        <v>158</v>
      </c>
      <c r="H75" s="158" t="s">
        <v>17</v>
      </c>
      <c r="I75" s="158" t="s">
        <v>130</v>
      </c>
      <c r="J75" s="157" t="s">
        <v>249</v>
      </c>
      <c r="K75" s="157"/>
    </row>
    <row r="76" spans="1:11" x14ac:dyDescent="0.2">
      <c r="A76" s="156"/>
      <c r="B76" s="158" t="s">
        <v>112</v>
      </c>
      <c r="C76" s="158" t="s">
        <v>0</v>
      </c>
      <c r="D76" s="158" t="s">
        <v>177</v>
      </c>
      <c r="E76" s="158" t="s">
        <v>3</v>
      </c>
      <c r="F76" s="157" t="s">
        <v>16</v>
      </c>
      <c r="G76" s="158" t="s">
        <v>155</v>
      </c>
      <c r="H76" s="158" t="s">
        <v>17</v>
      </c>
      <c r="I76" s="158" t="s">
        <v>130</v>
      </c>
      <c r="J76" s="157" t="s">
        <v>249</v>
      </c>
      <c r="K76" s="157"/>
    </row>
    <row r="77" spans="1:11" x14ac:dyDescent="0.2">
      <c r="A77" s="156"/>
      <c r="B77" s="158" t="s">
        <v>112</v>
      </c>
      <c r="C77" s="158" t="s">
        <v>1</v>
      </c>
      <c r="D77" s="158" t="s">
        <v>177</v>
      </c>
      <c r="E77" s="158" t="s">
        <v>4</v>
      </c>
      <c r="F77" s="158" t="s">
        <v>16</v>
      </c>
      <c r="G77" s="158" t="s">
        <v>155</v>
      </c>
      <c r="H77" s="158" t="s">
        <v>17</v>
      </c>
      <c r="I77" s="158" t="s">
        <v>130</v>
      </c>
      <c r="J77" s="157" t="s">
        <v>249</v>
      </c>
      <c r="K77" s="157"/>
    </row>
    <row r="78" spans="1:11" x14ac:dyDescent="0.2">
      <c r="A78" s="156"/>
      <c r="B78" s="158" t="s">
        <v>112</v>
      </c>
      <c r="C78" s="158" t="s">
        <v>1</v>
      </c>
      <c r="D78" s="158" t="s">
        <v>177</v>
      </c>
      <c r="E78" s="158" t="s">
        <v>4</v>
      </c>
      <c r="F78" s="157" t="s">
        <v>153</v>
      </c>
      <c r="G78" s="158" t="s">
        <v>158</v>
      </c>
      <c r="H78" s="158" t="s">
        <v>17</v>
      </c>
      <c r="I78" s="158" t="s">
        <v>130</v>
      </c>
      <c r="J78" s="157" t="s">
        <v>249</v>
      </c>
      <c r="K78" s="157"/>
    </row>
    <row r="79" spans="1:11" x14ac:dyDescent="0.2">
      <c r="A79" s="156"/>
      <c r="B79" s="158" t="s">
        <v>112</v>
      </c>
      <c r="C79" s="158" t="s">
        <v>0</v>
      </c>
      <c r="D79" s="158" t="s">
        <v>177</v>
      </c>
      <c r="E79" s="158" t="s">
        <v>4</v>
      </c>
      <c r="F79" s="158" t="s">
        <v>153</v>
      </c>
      <c r="G79" s="158" t="s">
        <v>228</v>
      </c>
      <c r="H79" s="158" t="s">
        <v>17</v>
      </c>
      <c r="I79" s="158" t="s">
        <v>130</v>
      </c>
      <c r="J79" s="157" t="s">
        <v>249</v>
      </c>
      <c r="K79" s="157"/>
    </row>
    <row r="80" spans="1:11" x14ac:dyDescent="0.2">
      <c r="A80" s="156"/>
      <c r="B80" s="158" t="s">
        <v>112</v>
      </c>
      <c r="C80" s="158" t="s">
        <v>0</v>
      </c>
      <c r="D80" s="158" t="s">
        <v>177</v>
      </c>
      <c r="E80" s="158" t="s">
        <v>4</v>
      </c>
      <c r="F80" s="158" t="s">
        <v>10</v>
      </c>
      <c r="G80" s="158" t="s">
        <v>155</v>
      </c>
      <c r="H80" s="158" t="s">
        <v>159</v>
      </c>
      <c r="I80" s="157"/>
      <c r="J80" s="157"/>
      <c r="K80" s="157"/>
    </row>
    <row r="81" spans="1:11" x14ac:dyDescent="0.2">
      <c r="A81" s="156"/>
      <c r="B81" s="158" t="s">
        <v>112</v>
      </c>
      <c r="C81" s="158" t="s">
        <v>1</v>
      </c>
      <c r="D81" s="158" t="s">
        <v>177</v>
      </c>
      <c r="E81" s="158" t="s">
        <v>3</v>
      </c>
      <c r="F81" s="158" t="s">
        <v>10</v>
      </c>
      <c r="G81" s="158" t="s">
        <v>155</v>
      </c>
      <c r="H81" s="158" t="s">
        <v>159</v>
      </c>
      <c r="I81" s="157"/>
      <c r="J81" s="157"/>
      <c r="K81" s="157"/>
    </row>
    <row r="82" spans="1:11" x14ac:dyDescent="0.2">
      <c r="A82" s="156"/>
      <c r="B82" s="158" t="s">
        <v>112</v>
      </c>
      <c r="C82" s="158" t="s">
        <v>1</v>
      </c>
      <c r="D82" s="158" t="s">
        <v>2</v>
      </c>
      <c r="E82" s="158" t="s">
        <v>3</v>
      </c>
      <c r="F82" s="158" t="s">
        <v>10</v>
      </c>
      <c r="G82" s="158" t="s">
        <v>155</v>
      </c>
      <c r="H82" s="158" t="s">
        <v>159</v>
      </c>
      <c r="I82" s="157"/>
      <c r="J82" s="157"/>
      <c r="K82" s="157"/>
    </row>
    <row r="83" spans="1:11" x14ac:dyDescent="0.2">
      <c r="A83" s="156"/>
      <c r="B83" s="158" t="s">
        <v>112</v>
      </c>
      <c r="C83" s="157" t="s">
        <v>0</v>
      </c>
      <c r="D83" s="158" t="s">
        <v>177</v>
      </c>
      <c r="E83" s="158" t="s">
        <v>4</v>
      </c>
      <c r="F83" s="158" t="s">
        <v>10</v>
      </c>
      <c r="G83" s="158" t="s">
        <v>155</v>
      </c>
      <c r="H83" s="158" t="s">
        <v>159</v>
      </c>
      <c r="I83" s="157"/>
      <c r="J83" s="157"/>
      <c r="K83" s="157"/>
    </row>
    <row r="84" spans="1:11" x14ac:dyDescent="0.2">
      <c r="A84" s="156"/>
      <c r="B84" s="158" t="s">
        <v>112</v>
      </c>
      <c r="C84" s="158" t="s">
        <v>0</v>
      </c>
      <c r="D84" s="158" t="s">
        <v>2</v>
      </c>
      <c r="E84" s="158" t="s">
        <v>4</v>
      </c>
      <c r="F84" s="158" t="s">
        <v>10</v>
      </c>
      <c r="G84" s="158" t="s">
        <v>155</v>
      </c>
      <c r="H84" s="158" t="s">
        <v>159</v>
      </c>
      <c r="I84" s="157"/>
      <c r="J84" s="157"/>
      <c r="K84" s="157"/>
    </row>
    <row r="85" spans="1:11" x14ac:dyDescent="0.2">
      <c r="A85" s="156"/>
      <c r="B85" s="158" t="s">
        <v>112</v>
      </c>
      <c r="C85" s="158" t="s">
        <v>0</v>
      </c>
      <c r="D85" s="158" t="s">
        <v>2</v>
      </c>
      <c r="E85" s="158" t="s">
        <v>4</v>
      </c>
      <c r="F85" s="158" t="s">
        <v>10</v>
      </c>
      <c r="G85" s="158" t="s">
        <v>155</v>
      </c>
      <c r="H85" s="158" t="s">
        <v>159</v>
      </c>
      <c r="I85" s="157"/>
      <c r="J85" s="157"/>
      <c r="K85" s="157"/>
    </row>
    <row r="86" spans="1:11" x14ac:dyDescent="0.2">
      <c r="A86" s="156"/>
      <c r="B86" s="158" t="s">
        <v>112</v>
      </c>
      <c r="C86" s="158" t="s">
        <v>0</v>
      </c>
      <c r="D86" s="158" t="s">
        <v>2</v>
      </c>
      <c r="E86" s="158" t="s">
        <v>4</v>
      </c>
      <c r="F86" s="158" t="s">
        <v>10</v>
      </c>
      <c r="G86" s="158" t="s">
        <v>155</v>
      </c>
      <c r="H86" s="158" t="s">
        <v>159</v>
      </c>
      <c r="I86" s="157"/>
      <c r="J86" s="157"/>
      <c r="K86" s="157"/>
    </row>
    <row r="87" spans="1:11" x14ac:dyDescent="0.2">
      <c r="A87" s="156"/>
      <c r="B87" s="158" t="s">
        <v>113</v>
      </c>
      <c r="C87" s="158" t="s">
        <v>0</v>
      </c>
      <c r="D87" s="158" t="s">
        <v>177</v>
      </c>
      <c r="E87" s="158" t="s">
        <v>4</v>
      </c>
      <c r="F87" s="158" t="s">
        <v>11</v>
      </c>
      <c r="G87" s="158" t="s">
        <v>155</v>
      </c>
      <c r="H87" s="158" t="s">
        <v>17</v>
      </c>
      <c r="I87" s="158" t="s">
        <v>130</v>
      </c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B3:B4"/>
    <mergeCell ref="C3:C4"/>
    <mergeCell ref="D3:D4"/>
    <mergeCell ref="E3:E4"/>
    <mergeCell ref="F3:F4"/>
    <mergeCell ref="G3:G4"/>
  </mergeCells>
  <dataValidations count="8">
    <dataValidation type="list" showInputMessage="1" showErrorMessage="1" sqref="C5:C254">
      <formula1>ValidPerson</formula1>
    </dataValidation>
    <dataValidation type="list" showInputMessage="1" showErrorMessage="1" sqref="D5:D254">
      <formula1>ValidType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H5:H254">
      <formula1>ValidReason</formula1>
    </dataValidation>
    <dataValidation type="list" showInputMessage="1" showErrorMessage="1" sqref="F5:F254">
      <formula1>ValidCancerSite</formula1>
    </dataValidation>
    <dataValidation type="list" allowBlank="1" showInputMessage="1" showErrorMessage="1" sqref="G5:G254">
      <formula1>ValidStage</formula1>
    </dataValidation>
    <dataValidation type="list" allowBlank="1" showInputMessage="1" showErrorMessage="1" sqref="I5:K254">
      <formula1>ValidProgramme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K255"/>
  <sheetViews>
    <sheetView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/>
      <c r="C5" s="157"/>
      <c r="D5" s="157"/>
      <c r="E5" s="157"/>
      <c r="F5" s="157"/>
      <c r="G5" s="157"/>
      <c r="H5" s="157"/>
      <c r="I5" s="157"/>
      <c r="J5" s="157"/>
      <c r="K5" s="157"/>
    </row>
    <row r="6" spans="1:11" x14ac:dyDescent="0.2">
      <c r="A6" s="156"/>
      <c r="B6" s="158"/>
      <c r="C6" s="157"/>
      <c r="D6" s="157"/>
      <c r="E6" s="157"/>
      <c r="F6" s="157"/>
      <c r="G6" s="157"/>
      <c r="H6" s="158"/>
      <c r="I6" s="157"/>
      <c r="J6" s="157"/>
      <c r="K6" s="157"/>
    </row>
    <row r="7" spans="1:11" x14ac:dyDescent="0.2">
      <c r="A7" s="156"/>
      <c r="B7" s="157"/>
      <c r="C7" s="157"/>
      <c r="D7" s="157"/>
      <c r="E7" s="157"/>
      <c r="F7" s="157"/>
      <c r="G7" s="158"/>
      <c r="H7" s="158"/>
      <c r="I7" s="157"/>
      <c r="J7" s="157"/>
      <c r="K7" s="157"/>
    </row>
    <row r="8" spans="1:11" x14ac:dyDescent="0.2">
      <c r="A8" s="156"/>
      <c r="B8" s="157"/>
      <c r="C8" s="157"/>
      <c r="D8" s="157"/>
      <c r="E8" s="157"/>
      <c r="F8" s="158"/>
      <c r="G8" s="158"/>
      <c r="H8" s="158"/>
      <c r="I8" s="157"/>
      <c r="J8" s="157"/>
      <c r="K8" s="157"/>
    </row>
    <row r="9" spans="1:11" x14ac:dyDescent="0.2">
      <c r="A9" s="156"/>
      <c r="B9" s="158"/>
      <c r="C9" s="157"/>
      <c r="D9" s="157"/>
      <c r="E9" s="157"/>
      <c r="F9" s="157"/>
      <c r="G9" s="157"/>
      <c r="H9" s="158"/>
      <c r="I9" s="157"/>
      <c r="J9" s="157"/>
      <c r="K9" s="157"/>
    </row>
    <row r="10" spans="1:11" x14ac:dyDescent="0.2">
      <c r="A10" s="156"/>
      <c r="B10" s="158"/>
      <c r="C10" s="157"/>
      <c r="D10" s="157"/>
      <c r="E10" s="157"/>
      <c r="F10" s="158"/>
      <c r="G10" s="157"/>
      <c r="H10" s="158"/>
      <c r="I10" s="157"/>
      <c r="J10" s="157"/>
      <c r="K10" s="157"/>
    </row>
    <row r="11" spans="1:11" x14ac:dyDescent="0.2">
      <c r="A11" s="156"/>
      <c r="B11" s="157"/>
      <c r="C11" s="157"/>
      <c r="D11" s="157"/>
      <c r="E11" s="157"/>
      <c r="F11" s="158"/>
      <c r="G11" s="158"/>
      <c r="H11" s="157"/>
      <c r="I11" s="157"/>
      <c r="J11" s="157"/>
      <c r="K11" s="157"/>
    </row>
    <row r="12" spans="1:11" x14ac:dyDescent="0.2">
      <c r="A12" s="156"/>
      <c r="B12" s="158"/>
      <c r="C12" s="157"/>
      <c r="D12" s="157"/>
      <c r="E12" s="157"/>
      <c r="F12" s="157"/>
      <c r="G12" s="158"/>
      <c r="H12" s="158"/>
      <c r="I12" s="157"/>
      <c r="J12" s="157"/>
      <c r="K12" s="157"/>
    </row>
    <row r="13" spans="1:11" x14ac:dyDescent="0.2">
      <c r="A13" s="156"/>
      <c r="B13" s="157"/>
      <c r="C13" s="157"/>
      <c r="D13" s="157"/>
      <c r="E13" s="157"/>
      <c r="F13" s="157"/>
      <c r="G13" s="157"/>
      <c r="H13" s="158"/>
      <c r="I13" s="157"/>
      <c r="J13" s="157"/>
      <c r="K13" s="157"/>
    </row>
    <row r="14" spans="1:11" x14ac:dyDescent="0.2">
      <c r="A14" s="156"/>
      <c r="B14" s="157"/>
      <c r="C14" s="157"/>
      <c r="D14" s="157"/>
      <c r="E14" s="157"/>
      <c r="F14" s="157"/>
      <c r="G14" s="157"/>
      <c r="H14" s="158"/>
      <c r="I14" s="158"/>
      <c r="J14" s="158"/>
      <c r="K14" s="158"/>
    </row>
    <row r="15" spans="1:11" x14ac:dyDescent="0.2">
      <c r="A15" s="156"/>
      <c r="B15" s="158"/>
      <c r="C15" s="157"/>
      <c r="D15" s="157"/>
      <c r="E15" s="157"/>
      <c r="F15" s="157"/>
      <c r="G15" s="158"/>
      <c r="H15" s="158"/>
      <c r="I15" s="158"/>
      <c r="J15" s="158"/>
      <c r="K15" s="158"/>
    </row>
    <row r="16" spans="1:11" x14ac:dyDescent="0.2">
      <c r="A16" s="156"/>
      <c r="B16" s="158"/>
      <c r="C16" s="157"/>
      <c r="D16" s="157"/>
      <c r="E16" s="157"/>
      <c r="F16" s="157"/>
      <c r="G16" s="158"/>
      <c r="H16" s="158"/>
      <c r="I16" s="158"/>
      <c r="J16" s="158"/>
      <c r="K16" s="158"/>
    </row>
    <row r="17" spans="1:11" x14ac:dyDescent="0.2">
      <c r="A17" s="156"/>
      <c r="B17" s="157"/>
      <c r="C17" s="157"/>
      <c r="D17" s="157"/>
      <c r="E17" s="157"/>
      <c r="F17" s="157"/>
      <c r="G17" s="157"/>
      <c r="H17" s="157"/>
      <c r="I17" s="157"/>
      <c r="J17" s="157"/>
      <c r="K17" s="157"/>
    </row>
    <row r="18" spans="1:11" x14ac:dyDescent="0.2">
      <c r="A18" s="156"/>
      <c r="B18" s="158"/>
      <c r="C18" s="157"/>
      <c r="D18" s="157"/>
      <c r="E18" s="157"/>
      <c r="F18" s="157"/>
      <c r="G18" s="157"/>
      <c r="H18" s="158"/>
      <c r="I18" s="158"/>
      <c r="J18" s="158"/>
      <c r="K18" s="158"/>
    </row>
    <row r="19" spans="1:11" x14ac:dyDescent="0.2">
      <c r="A19" s="156"/>
      <c r="B19" s="157"/>
      <c r="C19" s="157"/>
      <c r="D19" s="157"/>
      <c r="E19" s="157"/>
      <c r="F19" s="157"/>
      <c r="G19" s="158"/>
      <c r="H19" s="158"/>
      <c r="I19" s="157"/>
      <c r="J19" s="157"/>
      <c r="K19" s="157"/>
    </row>
    <row r="20" spans="1:11" x14ac:dyDescent="0.2">
      <c r="A20" s="156"/>
      <c r="B20" s="157"/>
      <c r="C20" s="157"/>
      <c r="D20" s="157"/>
      <c r="E20" s="157"/>
      <c r="F20" s="157"/>
      <c r="G20" s="158"/>
      <c r="H20" s="158"/>
      <c r="I20" s="158"/>
      <c r="J20" s="158"/>
      <c r="K20" s="158"/>
    </row>
    <row r="21" spans="1:11" x14ac:dyDescent="0.2">
      <c r="A21" s="156"/>
      <c r="B21" s="158"/>
      <c r="C21" s="157"/>
      <c r="D21" s="157"/>
      <c r="E21" s="157"/>
      <c r="F21" s="157"/>
      <c r="G21" s="157"/>
      <c r="H21" s="158"/>
      <c r="I21" s="158"/>
      <c r="J21" s="158"/>
      <c r="K21" s="158"/>
    </row>
    <row r="22" spans="1:11" x14ac:dyDescent="0.2">
      <c r="A22" s="156"/>
      <c r="B22" s="158"/>
      <c r="C22" s="157"/>
      <c r="D22" s="157"/>
      <c r="E22" s="157"/>
      <c r="F22" s="157"/>
      <c r="G22" s="157"/>
      <c r="H22" s="158"/>
      <c r="I22" s="158"/>
      <c r="J22" s="158"/>
      <c r="K22" s="158"/>
    </row>
    <row r="23" spans="1:11" x14ac:dyDescent="0.2">
      <c r="A23" s="156"/>
      <c r="B23" s="157"/>
      <c r="C23" s="157"/>
      <c r="D23" s="157"/>
      <c r="E23" s="157"/>
      <c r="F23" s="158"/>
      <c r="G23" s="158"/>
      <c r="H23" s="157"/>
      <c r="I23" s="157"/>
      <c r="J23" s="157"/>
      <c r="K23" s="157"/>
    </row>
    <row r="24" spans="1:11" x14ac:dyDescent="0.2">
      <c r="A24" s="156"/>
      <c r="B24" s="158"/>
      <c r="C24" s="157"/>
      <c r="D24" s="157"/>
      <c r="E24" s="157"/>
      <c r="F24" s="157"/>
      <c r="G24" s="158"/>
      <c r="H24" s="158"/>
      <c r="I24" s="158"/>
      <c r="J24" s="158"/>
      <c r="K24" s="158"/>
    </row>
    <row r="25" spans="1:11" x14ac:dyDescent="0.2">
      <c r="A25" s="156"/>
      <c r="B25" s="157"/>
      <c r="C25" s="157"/>
      <c r="D25" s="157"/>
      <c r="E25" s="157"/>
      <c r="F25" s="158"/>
      <c r="G25" s="157"/>
      <c r="H25" s="158"/>
      <c r="I25" s="157"/>
      <c r="J25" s="157"/>
      <c r="K25" s="157"/>
    </row>
    <row r="26" spans="1:11" x14ac:dyDescent="0.2">
      <c r="A26" s="156"/>
      <c r="B26" s="157"/>
      <c r="C26" s="157"/>
      <c r="D26" s="157"/>
      <c r="E26" s="157"/>
      <c r="F26" s="158"/>
      <c r="G26" s="157"/>
      <c r="H26" s="158"/>
      <c r="I26" s="157"/>
      <c r="J26" s="157"/>
      <c r="K26" s="157"/>
    </row>
    <row r="27" spans="1:11" x14ac:dyDescent="0.2">
      <c r="A27" s="156"/>
      <c r="B27" s="158"/>
      <c r="C27" s="157"/>
      <c r="D27" s="157"/>
      <c r="E27" s="157"/>
      <c r="F27" s="157"/>
      <c r="G27" s="158"/>
      <c r="H27" s="158"/>
      <c r="I27" s="157"/>
      <c r="J27" s="157"/>
      <c r="K27" s="157"/>
    </row>
    <row r="28" spans="1:11" x14ac:dyDescent="0.2">
      <c r="A28" s="156"/>
      <c r="B28" s="158"/>
      <c r="C28" s="157"/>
      <c r="D28" s="157"/>
      <c r="E28" s="157"/>
      <c r="F28" s="157"/>
      <c r="G28" s="158"/>
      <c r="H28" s="158"/>
      <c r="I28" s="157"/>
      <c r="J28" s="157"/>
      <c r="K28" s="157"/>
    </row>
    <row r="29" spans="1:11" x14ac:dyDescent="0.2">
      <c r="A29" s="156"/>
      <c r="B29" s="157"/>
      <c r="C29" s="157"/>
      <c r="D29" s="157"/>
      <c r="E29" s="157"/>
      <c r="F29" s="157"/>
      <c r="G29" s="157"/>
      <c r="H29" s="157"/>
      <c r="I29" s="157"/>
      <c r="J29" s="157"/>
      <c r="K29" s="157"/>
    </row>
    <row r="30" spans="1:11" x14ac:dyDescent="0.2">
      <c r="A30" s="156"/>
      <c r="B30" s="158"/>
      <c r="C30" s="157"/>
      <c r="D30" s="157"/>
      <c r="E30" s="157"/>
      <c r="F30" s="157"/>
      <c r="G30" s="157"/>
      <c r="H30" s="158"/>
      <c r="I30" s="157"/>
      <c r="J30" s="157"/>
      <c r="K30" s="157"/>
    </row>
    <row r="31" spans="1:11" x14ac:dyDescent="0.2">
      <c r="A31" s="156"/>
      <c r="B31" s="157"/>
      <c r="C31" s="157"/>
      <c r="D31" s="157"/>
      <c r="E31" s="157"/>
      <c r="F31" s="157"/>
      <c r="G31" s="158"/>
      <c r="H31" s="158"/>
      <c r="I31" s="157"/>
      <c r="J31" s="157"/>
      <c r="K31" s="157"/>
    </row>
    <row r="32" spans="1:11" x14ac:dyDescent="0.2">
      <c r="A32" s="156"/>
      <c r="B32" s="157"/>
      <c r="C32" s="157"/>
      <c r="D32" s="157"/>
      <c r="E32" s="157"/>
      <c r="F32" s="157"/>
      <c r="G32" s="158"/>
      <c r="H32" s="158"/>
      <c r="I32" s="157"/>
      <c r="J32" s="157"/>
      <c r="K32" s="157"/>
    </row>
    <row r="33" spans="1:11" x14ac:dyDescent="0.2">
      <c r="A33" s="156"/>
      <c r="B33" s="158"/>
      <c r="C33" s="157"/>
      <c r="D33" s="157"/>
      <c r="E33" s="157"/>
      <c r="F33" s="157"/>
      <c r="G33" s="157"/>
      <c r="H33" s="158"/>
      <c r="I33" s="157"/>
      <c r="J33" s="157"/>
      <c r="K33" s="157"/>
    </row>
    <row r="34" spans="1:11" x14ac:dyDescent="0.2">
      <c r="A34" s="156"/>
      <c r="B34" s="158"/>
      <c r="C34" s="157"/>
      <c r="D34" s="157"/>
      <c r="E34" s="157"/>
      <c r="F34" s="157"/>
      <c r="G34" s="157"/>
      <c r="H34" s="158"/>
      <c r="I34" s="157"/>
      <c r="J34" s="157"/>
      <c r="K34" s="157"/>
    </row>
    <row r="35" spans="1:11" x14ac:dyDescent="0.2">
      <c r="A35" s="156"/>
      <c r="B35" s="157"/>
      <c r="C35" s="157"/>
      <c r="D35" s="157"/>
      <c r="E35" s="157"/>
      <c r="F35" s="157"/>
      <c r="G35" s="158"/>
      <c r="H35" s="157"/>
      <c r="I35" s="157"/>
      <c r="J35" s="157"/>
      <c r="K35" s="157"/>
    </row>
    <row r="36" spans="1:11" x14ac:dyDescent="0.2">
      <c r="A36" s="156"/>
      <c r="B36" s="158"/>
      <c r="C36" s="157"/>
      <c r="D36" s="157"/>
      <c r="E36" s="157"/>
      <c r="F36" s="157"/>
      <c r="G36" s="158"/>
      <c r="H36" s="158"/>
      <c r="I36" s="157"/>
      <c r="J36" s="157"/>
      <c r="K36" s="157"/>
    </row>
    <row r="37" spans="1:11" x14ac:dyDescent="0.2">
      <c r="A37" s="156"/>
      <c r="B37" s="157"/>
      <c r="C37" s="157"/>
      <c r="D37" s="157"/>
      <c r="E37" s="157"/>
      <c r="F37" s="157"/>
      <c r="G37" s="157"/>
      <c r="H37" s="158"/>
      <c r="I37" s="157"/>
      <c r="J37" s="157"/>
      <c r="K37" s="157"/>
    </row>
    <row r="38" spans="1:11" x14ac:dyDescent="0.2">
      <c r="A38" s="156"/>
      <c r="B38" s="157"/>
      <c r="C38" s="157"/>
      <c r="D38" s="157"/>
      <c r="E38" s="157"/>
      <c r="F38" s="158"/>
      <c r="G38" s="157"/>
      <c r="H38" s="158"/>
      <c r="I38" s="157"/>
      <c r="J38" s="157"/>
      <c r="K38" s="157"/>
    </row>
    <row r="39" spans="1:11" x14ac:dyDescent="0.2">
      <c r="A39" s="156"/>
      <c r="B39" s="158"/>
      <c r="C39" s="157"/>
      <c r="D39" s="157"/>
      <c r="E39" s="157"/>
      <c r="F39" s="157"/>
      <c r="G39" s="158"/>
      <c r="H39" s="158"/>
      <c r="I39" s="157"/>
      <c r="J39" s="157"/>
      <c r="K39" s="157"/>
    </row>
    <row r="40" spans="1:11" x14ac:dyDescent="0.2">
      <c r="A40" s="156"/>
      <c r="B40" s="158"/>
      <c r="C40" s="157"/>
      <c r="D40" s="157"/>
      <c r="E40" s="157"/>
      <c r="F40" s="158"/>
      <c r="G40" s="158"/>
      <c r="H40" s="158"/>
      <c r="I40" s="157"/>
      <c r="J40" s="157"/>
      <c r="K40" s="157"/>
    </row>
    <row r="41" spans="1:11" x14ac:dyDescent="0.2">
      <c r="A41" s="156"/>
      <c r="B41" s="157"/>
      <c r="C41" s="157"/>
      <c r="D41" s="157"/>
      <c r="E41" s="157"/>
      <c r="F41" s="158"/>
      <c r="G41" s="157"/>
      <c r="H41" s="157"/>
      <c r="I41" s="157"/>
      <c r="J41" s="157"/>
      <c r="K41" s="157"/>
    </row>
    <row r="42" spans="1:11" x14ac:dyDescent="0.2">
      <c r="A42" s="156"/>
      <c r="B42" s="158"/>
      <c r="C42" s="157"/>
      <c r="D42" s="157"/>
      <c r="E42" s="157"/>
      <c r="F42" s="157"/>
      <c r="G42" s="157"/>
      <c r="H42" s="158"/>
      <c r="I42" s="157"/>
      <c r="J42" s="157"/>
      <c r="K42" s="157"/>
    </row>
    <row r="43" spans="1:11" x14ac:dyDescent="0.2">
      <c r="A43" s="156"/>
      <c r="B43" s="157"/>
      <c r="C43" s="157"/>
      <c r="D43" s="157"/>
      <c r="E43" s="157"/>
      <c r="F43" s="157"/>
      <c r="G43" s="158"/>
      <c r="H43" s="158"/>
      <c r="I43" s="157"/>
      <c r="J43" s="157"/>
      <c r="K43" s="157"/>
    </row>
    <row r="44" spans="1:11" x14ac:dyDescent="0.2">
      <c r="A44" s="156"/>
      <c r="B44" s="157"/>
      <c r="C44" s="157"/>
      <c r="D44" s="157"/>
      <c r="E44" s="157"/>
      <c r="F44" s="157"/>
      <c r="G44" s="158"/>
      <c r="H44" s="158"/>
      <c r="I44" s="157"/>
      <c r="J44" s="157"/>
      <c r="K44" s="157"/>
    </row>
    <row r="45" spans="1:11" x14ac:dyDescent="0.2">
      <c r="A45" s="156"/>
      <c r="B45" s="158"/>
      <c r="C45" s="157"/>
      <c r="D45" s="157"/>
      <c r="E45" s="157"/>
      <c r="F45" s="157"/>
      <c r="G45" s="157"/>
      <c r="H45" s="158"/>
      <c r="I45" s="157"/>
      <c r="J45" s="157"/>
      <c r="K45" s="157"/>
    </row>
    <row r="46" spans="1:11" x14ac:dyDescent="0.2">
      <c r="A46" s="156"/>
      <c r="B46" s="158"/>
      <c r="C46" s="157"/>
      <c r="D46" s="157"/>
      <c r="E46" s="157"/>
      <c r="F46" s="157"/>
      <c r="G46" s="157"/>
      <c r="H46" s="158"/>
      <c r="I46" s="157"/>
      <c r="J46" s="157"/>
      <c r="K46" s="157"/>
    </row>
    <row r="47" spans="1:11" x14ac:dyDescent="0.2">
      <c r="A47" s="156"/>
      <c r="B47" s="157"/>
      <c r="C47" s="157"/>
      <c r="D47" s="157"/>
      <c r="E47" s="157"/>
      <c r="F47" s="157"/>
      <c r="G47" s="158"/>
      <c r="H47" s="157"/>
      <c r="I47" s="157"/>
      <c r="J47" s="157"/>
      <c r="K47" s="157"/>
    </row>
    <row r="48" spans="1:11" x14ac:dyDescent="0.2">
      <c r="A48" s="156"/>
      <c r="B48" s="158"/>
      <c r="C48" s="157"/>
      <c r="D48" s="157"/>
      <c r="E48" s="157"/>
      <c r="F48" s="157"/>
      <c r="G48" s="158"/>
      <c r="H48" s="158"/>
      <c r="I48" s="157"/>
      <c r="J48" s="157"/>
      <c r="K48" s="157"/>
    </row>
    <row r="49" spans="1:11" x14ac:dyDescent="0.2">
      <c r="A49" s="156"/>
      <c r="B49" s="157"/>
      <c r="C49" s="157"/>
      <c r="D49" s="157"/>
      <c r="E49" s="157"/>
      <c r="F49" s="157"/>
      <c r="G49" s="157"/>
      <c r="H49" s="158"/>
      <c r="I49" s="157"/>
      <c r="J49" s="157"/>
      <c r="K49" s="157"/>
    </row>
    <row r="50" spans="1:11" x14ac:dyDescent="0.2">
      <c r="A50" s="156"/>
      <c r="B50" s="157"/>
      <c r="C50" s="157"/>
      <c r="D50" s="157"/>
      <c r="E50" s="157"/>
      <c r="F50" s="157"/>
      <c r="G50" s="157"/>
      <c r="H50" s="158"/>
      <c r="I50" s="157"/>
      <c r="J50" s="157"/>
      <c r="K50" s="157"/>
    </row>
    <row r="51" spans="1:11" x14ac:dyDescent="0.2">
      <c r="A51" s="156"/>
      <c r="B51" s="158"/>
      <c r="C51" s="157"/>
      <c r="D51" s="157"/>
      <c r="E51" s="157"/>
      <c r="F51" s="157"/>
      <c r="G51" s="158"/>
      <c r="H51" s="158"/>
      <c r="I51" s="157"/>
      <c r="J51" s="157"/>
      <c r="K51" s="157"/>
    </row>
    <row r="52" spans="1:11" x14ac:dyDescent="0.2">
      <c r="A52" s="156"/>
      <c r="B52" s="158"/>
      <c r="C52" s="157"/>
      <c r="D52" s="157"/>
      <c r="E52" s="157"/>
      <c r="F52" s="157"/>
      <c r="G52" s="158"/>
      <c r="H52" s="158"/>
      <c r="I52" s="157"/>
      <c r="J52" s="157"/>
      <c r="K52" s="157"/>
    </row>
    <row r="53" spans="1:11" x14ac:dyDescent="0.2">
      <c r="A53" s="156"/>
      <c r="B53" s="157"/>
      <c r="C53" s="157"/>
      <c r="D53" s="157"/>
      <c r="E53" s="157"/>
      <c r="F53" s="158"/>
      <c r="G53" s="157"/>
      <c r="H53" s="157"/>
      <c r="I53" s="157"/>
      <c r="J53" s="157"/>
      <c r="K53" s="157"/>
    </row>
    <row r="54" spans="1:11" x14ac:dyDescent="0.2">
      <c r="A54" s="156"/>
      <c r="B54" s="158"/>
      <c r="C54" s="157"/>
      <c r="D54" s="157"/>
      <c r="E54" s="157"/>
      <c r="F54" s="157"/>
      <c r="G54" s="157"/>
      <c r="H54" s="158"/>
      <c r="I54" s="157"/>
      <c r="J54" s="157"/>
      <c r="K54" s="157"/>
    </row>
    <row r="55" spans="1:11" x14ac:dyDescent="0.2">
      <c r="A55" s="156"/>
      <c r="B55" s="157"/>
      <c r="C55" s="157"/>
      <c r="D55" s="157"/>
      <c r="E55" s="157"/>
      <c r="F55" s="158"/>
      <c r="G55" s="158"/>
      <c r="H55" s="158"/>
      <c r="I55" s="157"/>
      <c r="J55" s="157"/>
      <c r="K55" s="157"/>
    </row>
    <row r="56" spans="1:11" x14ac:dyDescent="0.2">
      <c r="A56" s="156"/>
      <c r="B56" s="157"/>
      <c r="C56" s="157"/>
      <c r="D56" s="157"/>
      <c r="E56" s="157"/>
      <c r="F56" s="158"/>
      <c r="G56" s="158"/>
      <c r="H56" s="158"/>
      <c r="I56" s="157"/>
      <c r="J56" s="157"/>
      <c r="K56" s="157"/>
    </row>
    <row r="57" spans="1:11" x14ac:dyDescent="0.2">
      <c r="A57" s="156"/>
      <c r="B57" s="158"/>
      <c r="C57" s="157"/>
      <c r="D57" s="157"/>
      <c r="E57" s="157"/>
      <c r="F57" s="157"/>
      <c r="G57" s="157"/>
      <c r="H57" s="158"/>
      <c r="I57" s="157"/>
      <c r="J57" s="157"/>
      <c r="K57" s="157"/>
    </row>
    <row r="58" spans="1:11" x14ac:dyDescent="0.2">
      <c r="A58" s="156"/>
      <c r="B58" s="158"/>
      <c r="C58" s="157"/>
      <c r="D58" s="157"/>
      <c r="E58" s="157"/>
      <c r="F58" s="157"/>
      <c r="G58" s="157"/>
      <c r="H58" s="158"/>
      <c r="I58" s="157"/>
      <c r="J58" s="157"/>
      <c r="K58" s="157"/>
    </row>
    <row r="59" spans="1:11" x14ac:dyDescent="0.2">
      <c r="A59" s="156"/>
      <c r="B59" s="157"/>
      <c r="C59" s="157"/>
      <c r="D59" s="157"/>
      <c r="E59" s="157"/>
      <c r="F59" s="157"/>
      <c r="G59" s="158"/>
      <c r="H59" s="157"/>
      <c r="I59" s="157"/>
      <c r="J59" s="157"/>
      <c r="K59" s="157"/>
    </row>
    <row r="60" spans="1:11" x14ac:dyDescent="0.2">
      <c r="A60" s="156"/>
      <c r="B60" s="158"/>
      <c r="C60" s="157"/>
      <c r="D60" s="157"/>
      <c r="E60" s="157"/>
      <c r="F60" s="157"/>
      <c r="G60" s="158"/>
      <c r="H60" s="158"/>
      <c r="I60" s="157"/>
      <c r="J60" s="157"/>
      <c r="K60" s="157"/>
    </row>
    <row r="61" spans="1:11" x14ac:dyDescent="0.2">
      <c r="A61" s="156"/>
      <c r="B61" s="157"/>
      <c r="C61" s="157"/>
      <c r="D61" s="157"/>
      <c r="E61" s="157"/>
      <c r="F61" s="157"/>
      <c r="G61" s="157"/>
      <c r="H61" s="158"/>
      <c r="I61" s="157"/>
      <c r="J61" s="157"/>
      <c r="K61" s="157"/>
    </row>
    <row r="62" spans="1:11" x14ac:dyDescent="0.2">
      <c r="A62" s="156"/>
      <c r="B62" s="157"/>
      <c r="C62" s="157"/>
      <c r="D62" s="157"/>
      <c r="E62" s="157"/>
      <c r="F62" s="157"/>
      <c r="G62" s="157"/>
      <c r="H62" s="158"/>
      <c r="I62" s="157"/>
      <c r="J62" s="157"/>
      <c r="K62" s="157"/>
    </row>
    <row r="63" spans="1:11" x14ac:dyDescent="0.2">
      <c r="A63" s="156"/>
      <c r="B63" s="158"/>
      <c r="C63" s="157"/>
      <c r="D63" s="157"/>
      <c r="E63" s="157"/>
      <c r="F63" s="157"/>
      <c r="G63" s="158"/>
      <c r="H63" s="158"/>
      <c r="I63" s="157"/>
      <c r="J63" s="157"/>
      <c r="K63" s="157"/>
    </row>
    <row r="64" spans="1:11" x14ac:dyDescent="0.2">
      <c r="A64" s="156"/>
      <c r="B64" s="158"/>
      <c r="C64" s="157"/>
      <c r="D64" s="157"/>
      <c r="E64" s="157"/>
      <c r="F64" s="157"/>
      <c r="G64" s="158"/>
      <c r="H64" s="158"/>
      <c r="I64" s="157"/>
      <c r="J64" s="157"/>
      <c r="K64" s="157"/>
    </row>
    <row r="65" spans="1:11" x14ac:dyDescent="0.2">
      <c r="A65" s="156"/>
      <c r="B65" s="157"/>
      <c r="C65" s="157"/>
      <c r="D65" s="157"/>
      <c r="E65" s="157"/>
      <c r="F65" s="157"/>
      <c r="G65" s="157"/>
      <c r="H65" s="157"/>
      <c r="I65" s="157"/>
      <c r="J65" s="157"/>
      <c r="K65" s="157"/>
    </row>
    <row r="66" spans="1:11" x14ac:dyDescent="0.2">
      <c r="A66" s="156"/>
      <c r="B66" s="158"/>
      <c r="C66" s="157"/>
      <c r="D66" s="157"/>
      <c r="E66" s="157"/>
      <c r="F66" s="157"/>
      <c r="G66" s="157"/>
      <c r="H66" s="158"/>
      <c r="I66" s="157"/>
      <c r="J66" s="157"/>
      <c r="K66" s="157"/>
    </row>
    <row r="67" spans="1:11" x14ac:dyDescent="0.2">
      <c r="A67" s="156"/>
      <c r="B67" s="157"/>
      <c r="C67" s="157"/>
      <c r="D67" s="157"/>
      <c r="E67" s="157"/>
      <c r="F67" s="157"/>
      <c r="G67" s="158"/>
      <c r="H67" s="158"/>
      <c r="I67" s="157"/>
      <c r="J67" s="157"/>
      <c r="K67" s="157"/>
    </row>
    <row r="68" spans="1:11" x14ac:dyDescent="0.2">
      <c r="A68" s="156"/>
      <c r="B68" s="157"/>
      <c r="C68" s="157"/>
      <c r="D68" s="157"/>
      <c r="E68" s="158"/>
      <c r="F68" s="158"/>
      <c r="G68" s="158"/>
      <c r="H68" s="158"/>
      <c r="I68" s="157"/>
      <c r="J68" s="157"/>
      <c r="K68" s="157"/>
    </row>
    <row r="69" spans="1:11" x14ac:dyDescent="0.2">
      <c r="A69" s="156"/>
      <c r="B69" s="158"/>
      <c r="C69" s="157"/>
      <c r="D69" s="157"/>
      <c r="E69" s="158"/>
      <c r="F69" s="157"/>
      <c r="G69" s="157"/>
      <c r="H69" s="158"/>
      <c r="I69" s="157"/>
      <c r="J69" s="157"/>
      <c r="K69" s="157"/>
    </row>
    <row r="70" spans="1:11" x14ac:dyDescent="0.2">
      <c r="A70" s="156"/>
      <c r="B70" s="158"/>
      <c r="C70" s="157"/>
      <c r="D70" s="157"/>
      <c r="E70" s="158"/>
      <c r="F70" s="158"/>
      <c r="G70" s="157"/>
      <c r="H70" s="158"/>
      <c r="I70" s="157"/>
      <c r="J70" s="157"/>
      <c r="K70" s="157"/>
    </row>
    <row r="71" spans="1:11" x14ac:dyDescent="0.2">
      <c r="A71" s="156"/>
      <c r="B71" s="157"/>
      <c r="C71" s="157"/>
      <c r="D71" s="157"/>
      <c r="E71" s="158"/>
      <c r="F71" s="158"/>
      <c r="G71" s="158"/>
      <c r="H71" s="157"/>
      <c r="I71" s="157"/>
      <c r="J71" s="157"/>
      <c r="K71" s="157"/>
    </row>
    <row r="72" spans="1:11" x14ac:dyDescent="0.2">
      <c r="A72" s="156"/>
      <c r="B72" s="158"/>
      <c r="C72" s="157"/>
      <c r="D72" s="157"/>
      <c r="E72" s="158"/>
      <c r="F72" s="157"/>
      <c r="G72" s="158"/>
      <c r="H72" s="158"/>
      <c r="I72" s="157"/>
      <c r="J72" s="157"/>
      <c r="K72" s="157"/>
    </row>
    <row r="73" spans="1:11" x14ac:dyDescent="0.2">
      <c r="A73" s="156"/>
      <c r="B73" s="157"/>
      <c r="C73" s="157"/>
      <c r="D73" s="157"/>
      <c r="E73" s="158"/>
      <c r="F73" s="157"/>
      <c r="G73" s="157"/>
      <c r="H73" s="158"/>
      <c r="I73" s="157"/>
      <c r="J73" s="157"/>
      <c r="K73" s="157"/>
    </row>
    <row r="74" spans="1:11" x14ac:dyDescent="0.2">
      <c r="A74" s="156"/>
      <c r="B74" s="157"/>
      <c r="C74" s="157"/>
      <c r="D74" s="157"/>
      <c r="E74" s="158"/>
      <c r="F74" s="157"/>
      <c r="G74" s="157"/>
      <c r="H74" s="158"/>
      <c r="I74" s="157"/>
      <c r="J74" s="157"/>
      <c r="K74" s="157"/>
    </row>
    <row r="75" spans="1:11" x14ac:dyDescent="0.2">
      <c r="A75" s="156"/>
      <c r="B75" s="158"/>
      <c r="C75" s="157"/>
      <c r="D75" s="157"/>
      <c r="E75" s="158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B3:B4"/>
    <mergeCell ref="C3:C4"/>
    <mergeCell ref="D3:D4"/>
    <mergeCell ref="E3:E4"/>
    <mergeCell ref="F3:F4"/>
    <mergeCell ref="G3:G4"/>
  </mergeCells>
  <dataValidations count="8">
    <dataValidation type="list" showInputMessage="1" showErrorMessage="1" sqref="C5:C254">
      <formula1>ValidPerson</formula1>
    </dataValidation>
    <dataValidation type="list" showInputMessage="1" showErrorMessage="1" sqref="D5:D254">
      <formula1>ValidType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H5:H254">
      <formula1>ValidReason</formula1>
    </dataValidation>
    <dataValidation type="list" showInputMessage="1" showErrorMessage="1" sqref="F5:F254">
      <formula1>ValidCancerSite</formula1>
    </dataValidation>
    <dataValidation type="list" allowBlank="1" showInputMessage="1" showErrorMessage="1" sqref="G5:G254">
      <formula1>ValidStage</formula1>
    </dataValidation>
    <dataValidation type="list" allowBlank="1" showInputMessage="1" showErrorMessage="1" sqref="I5:K254">
      <formula1>ValidProgramme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K255"/>
  <sheetViews>
    <sheetView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/>
      <c r="C5" s="157"/>
      <c r="D5" s="157"/>
      <c r="E5" s="157"/>
      <c r="F5" s="157"/>
      <c r="G5" s="157"/>
      <c r="H5" s="157"/>
      <c r="I5" s="157"/>
      <c r="J5" s="157"/>
      <c r="K5" s="157"/>
    </row>
    <row r="6" spans="1:11" x14ac:dyDescent="0.2">
      <c r="A6" s="156"/>
      <c r="B6" s="158"/>
      <c r="C6" s="157"/>
      <c r="D6" s="157"/>
      <c r="E6" s="157"/>
      <c r="F6" s="157"/>
      <c r="G6" s="157"/>
      <c r="H6" s="158"/>
      <c r="I6" s="157"/>
      <c r="J6" s="157"/>
      <c r="K6" s="157"/>
    </row>
    <row r="7" spans="1:11" x14ac:dyDescent="0.2">
      <c r="A7" s="156"/>
      <c r="B7" s="157"/>
      <c r="C7" s="157"/>
      <c r="D7" s="157"/>
      <c r="E7" s="157"/>
      <c r="F7" s="157"/>
      <c r="G7" s="158"/>
      <c r="H7" s="158"/>
      <c r="I7" s="157"/>
      <c r="J7" s="157"/>
      <c r="K7" s="157"/>
    </row>
    <row r="8" spans="1:11" x14ac:dyDescent="0.2">
      <c r="A8" s="156"/>
      <c r="B8" s="157"/>
      <c r="C8" s="157"/>
      <c r="D8" s="157"/>
      <c r="E8" s="157"/>
      <c r="F8" s="158"/>
      <c r="G8" s="158"/>
      <c r="H8" s="158"/>
      <c r="I8" s="157"/>
      <c r="J8" s="157"/>
      <c r="K8" s="157"/>
    </row>
    <row r="9" spans="1:11" x14ac:dyDescent="0.2">
      <c r="A9" s="156"/>
      <c r="B9" s="158"/>
      <c r="C9" s="157"/>
      <c r="D9" s="157"/>
      <c r="E9" s="157"/>
      <c r="F9" s="157"/>
      <c r="G9" s="157"/>
      <c r="H9" s="158"/>
      <c r="I9" s="157"/>
      <c r="J9" s="157"/>
      <c r="K9" s="157"/>
    </row>
    <row r="10" spans="1:11" x14ac:dyDescent="0.2">
      <c r="A10" s="156"/>
      <c r="B10" s="158"/>
      <c r="C10" s="157"/>
      <c r="D10" s="157"/>
      <c r="E10" s="157"/>
      <c r="F10" s="158"/>
      <c r="G10" s="157"/>
      <c r="H10" s="158"/>
      <c r="I10" s="157"/>
      <c r="J10" s="157"/>
      <c r="K10" s="157"/>
    </row>
    <row r="11" spans="1:11" x14ac:dyDescent="0.2">
      <c r="A11" s="156"/>
      <c r="B11" s="157"/>
      <c r="C11" s="157"/>
      <c r="D11" s="157"/>
      <c r="E11" s="157"/>
      <c r="F11" s="158"/>
      <c r="G11" s="158"/>
      <c r="H11" s="157"/>
      <c r="I11" s="157"/>
      <c r="J11" s="157"/>
      <c r="K11" s="157"/>
    </row>
    <row r="12" spans="1:11" x14ac:dyDescent="0.2">
      <c r="A12" s="156"/>
      <c r="B12" s="158"/>
      <c r="C12" s="157"/>
      <c r="D12" s="157"/>
      <c r="E12" s="157"/>
      <c r="F12" s="157"/>
      <c r="G12" s="158"/>
      <c r="H12" s="158"/>
      <c r="I12" s="157"/>
      <c r="J12" s="157"/>
      <c r="K12" s="157"/>
    </row>
    <row r="13" spans="1:11" x14ac:dyDescent="0.2">
      <c r="A13" s="156"/>
      <c r="B13" s="157"/>
      <c r="C13" s="157"/>
      <c r="D13" s="157"/>
      <c r="E13" s="157"/>
      <c r="F13" s="157"/>
      <c r="G13" s="157"/>
      <c r="H13" s="158"/>
      <c r="I13" s="157"/>
      <c r="J13" s="157"/>
      <c r="K13" s="157"/>
    </row>
    <row r="14" spans="1:11" x14ac:dyDescent="0.2">
      <c r="A14" s="156"/>
      <c r="B14" s="157"/>
      <c r="C14" s="157"/>
      <c r="D14" s="157"/>
      <c r="E14" s="157"/>
      <c r="F14" s="157"/>
      <c r="G14" s="157"/>
      <c r="H14" s="158"/>
      <c r="I14" s="158"/>
      <c r="J14" s="158"/>
      <c r="K14" s="158"/>
    </row>
    <row r="15" spans="1:11" x14ac:dyDescent="0.2">
      <c r="A15" s="156"/>
      <c r="B15" s="158"/>
      <c r="C15" s="157"/>
      <c r="D15" s="157"/>
      <c r="E15" s="157"/>
      <c r="F15" s="157"/>
      <c r="G15" s="158"/>
      <c r="H15" s="158"/>
      <c r="I15" s="158"/>
      <c r="J15" s="158"/>
      <c r="K15" s="158"/>
    </row>
    <row r="16" spans="1:11" x14ac:dyDescent="0.2">
      <c r="A16" s="156"/>
      <c r="B16" s="158"/>
      <c r="C16" s="157"/>
      <c r="D16" s="157"/>
      <c r="E16" s="157"/>
      <c r="F16" s="157"/>
      <c r="G16" s="158"/>
      <c r="H16" s="158"/>
      <c r="I16" s="158"/>
      <c r="J16" s="158"/>
      <c r="K16" s="158"/>
    </row>
    <row r="17" spans="1:11" x14ac:dyDescent="0.2">
      <c r="A17" s="156"/>
      <c r="B17" s="157"/>
      <c r="C17" s="157"/>
      <c r="D17" s="157"/>
      <c r="E17" s="157"/>
      <c r="F17" s="157"/>
      <c r="G17" s="157"/>
      <c r="H17" s="157"/>
      <c r="I17" s="157"/>
      <c r="J17" s="157"/>
      <c r="K17" s="157"/>
    </row>
    <row r="18" spans="1:11" x14ac:dyDescent="0.2">
      <c r="A18" s="156"/>
      <c r="B18" s="158"/>
      <c r="C18" s="157"/>
      <c r="D18" s="157"/>
      <c r="E18" s="157"/>
      <c r="F18" s="157"/>
      <c r="G18" s="157"/>
      <c r="H18" s="158"/>
      <c r="I18" s="158"/>
      <c r="J18" s="158"/>
      <c r="K18" s="158"/>
    </row>
    <row r="19" spans="1:11" x14ac:dyDescent="0.2">
      <c r="A19" s="156"/>
      <c r="B19" s="157"/>
      <c r="C19" s="157"/>
      <c r="D19" s="157"/>
      <c r="E19" s="157"/>
      <c r="F19" s="157"/>
      <c r="G19" s="158"/>
      <c r="H19" s="158"/>
      <c r="I19" s="157"/>
      <c r="J19" s="157"/>
      <c r="K19" s="157"/>
    </row>
    <row r="20" spans="1:11" x14ac:dyDescent="0.2">
      <c r="A20" s="156"/>
      <c r="B20" s="157"/>
      <c r="C20" s="157"/>
      <c r="D20" s="157"/>
      <c r="E20" s="157"/>
      <c r="F20" s="157"/>
      <c r="G20" s="158"/>
      <c r="H20" s="158"/>
      <c r="I20" s="158"/>
      <c r="J20" s="158"/>
      <c r="K20" s="158"/>
    </row>
    <row r="21" spans="1:11" x14ac:dyDescent="0.2">
      <c r="A21" s="156"/>
      <c r="B21" s="158"/>
      <c r="C21" s="157"/>
      <c r="D21" s="157"/>
      <c r="E21" s="157"/>
      <c r="F21" s="157"/>
      <c r="G21" s="157"/>
      <c r="H21" s="158"/>
      <c r="I21" s="158"/>
      <c r="J21" s="158"/>
      <c r="K21" s="158"/>
    </row>
    <row r="22" spans="1:11" x14ac:dyDescent="0.2">
      <c r="A22" s="156"/>
      <c r="B22" s="158"/>
      <c r="C22" s="157"/>
      <c r="D22" s="157"/>
      <c r="E22" s="157"/>
      <c r="F22" s="157"/>
      <c r="G22" s="157"/>
      <c r="H22" s="158"/>
      <c r="I22" s="158"/>
      <c r="J22" s="158"/>
      <c r="K22" s="158"/>
    </row>
    <row r="23" spans="1:11" x14ac:dyDescent="0.2">
      <c r="A23" s="156"/>
      <c r="B23" s="157"/>
      <c r="C23" s="157"/>
      <c r="D23" s="157"/>
      <c r="E23" s="157"/>
      <c r="F23" s="158"/>
      <c r="G23" s="158"/>
      <c r="H23" s="157"/>
      <c r="I23" s="157"/>
      <c r="J23" s="157"/>
      <c r="K23" s="157"/>
    </row>
    <row r="24" spans="1:11" x14ac:dyDescent="0.2">
      <c r="A24" s="156"/>
      <c r="B24" s="158"/>
      <c r="C24" s="157"/>
      <c r="D24" s="157"/>
      <c r="E24" s="157"/>
      <c r="F24" s="157"/>
      <c r="G24" s="158"/>
      <c r="H24" s="158"/>
      <c r="I24" s="158"/>
      <c r="J24" s="158"/>
      <c r="K24" s="158"/>
    </row>
    <row r="25" spans="1:11" x14ac:dyDescent="0.2">
      <c r="A25" s="156"/>
      <c r="B25" s="157"/>
      <c r="C25" s="157"/>
      <c r="D25" s="157"/>
      <c r="E25" s="157"/>
      <c r="F25" s="158"/>
      <c r="G25" s="157"/>
      <c r="H25" s="158"/>
      <c r="I25" s="157"/>
      <c r="J25" s="157"/>
      <c r="K25" s="157"/>
    </row>
    <row r="26" spans="1:11" x14ac:dyDescent="0.2">
      <c r="A26" s="156"/>
      <c r="B26" s="157"/>
      <c r="C26" s="157"/>
      <c r="D26" s="157"/>
      <c r="E26" s="157"/>
      <c r="F26" s="158"/>
      <c r="G26" s="157"/>
      <c r="H26" s="158"/>
      <c r="I26" s="157"/>
      <c r="J26" s="157"/>
      <c r="K26" s="157"/>
    </row>
    <row r="27" spans="1:11" x14ac:dyDescent="0.2">
      <c r="A27" s="156"/>
      <c r="B27" s="158"/>
      <c r="C27" s="157"/>
      <c r="D27" s="157"/>
      <c r="E27" s="157"/>
      <c r="F27" s="157"/>
      <c r="G27" s="158"/>
      <c r="H27" s="158"/>
      <c r="I27" s="157"/>
      <c r="J27" s="157"/>
      <c r="K27" s="157"/>
    </row>
    <row r="28" spans="1:11" x14ac:dyDescent="0.2">
      <c r="A28" s="156"/>
      <c r="B28" s="158"/>
      <c r="C28" s="157"/>
      <c r="D28" s="157"/>
      <c r="E28" s="157"/>
      <c r="F28" s="157"/>
      <c r="G28" s="158"/>
      <c r="H28" s="158"/>
      <c r="I28" s="157"/>
      <c r="J28" s="157"/>
      <c r="K28" s="157"/>
    </row>
    <row r="29" spans="1:11" x14ac:dyDescent="0.2">
      <c r="A29" s="156"/>
      <c r="B29" s="157"/>
      <c r="C29" s="157"/>
      <c r="D29" s="157"/>
      <c r="E29" s="157"/>
      <c r="F29" s="157"/>
      <c r="G29" s="157"/>
      <c r="H29" s="157"/>
      <c r="I29" s="157"/>
      <c r="J29" s="157"/>
      <c r="K29" s="157"/>
    </row>
    <row r="30" spans="1:11" x14ac:dyDescent="0.2">
      <c r="A30" s="156"/>
      <c r="B30" s="158"/>
      <c r="C30" s="157"/>
      <c r="D30" s="157"/>
      <c r="E30" s="157"/>
      <c r="F30" s="157"/>
      <c r="G30" s="157"/>
      <c r="H30" s="158"/>
      <c r="I30" s="157"/>
      <c r="J30" s="157"/>
      <c r="K30" s="157"/>
    </row>
    <row r="31" spans="1:11" x14ac:dyDescent="0.2">
      <c r="A31" s="156"/>
      <c r="B31" s="157"/>
      <c r="C31" s="157"/>
      <c r="D31" s="157"/>
      <c r="E31" s="157"/>
      <c r="F31" s="157"/>
      <c r="G31" s="158"/>
      <c r="H31" s="158"/>
      <c r="I31" s="157"/>
      <c r="J31" s="157"/>
      <c r="K31" s="157"/>
    </row>
    <row r="32" spans="1:11" x14ac:dyDescent="0.2">
      <c r="A32" s="156"/>
      <c r="B32" s="157"/>
      <c r="C32" s="157"/>
      <c r="D32" s="157"/>
      <c r="E32" s="157"/>
      <c r="F32" s="157"/>
      <c r="G32" s="158"/>
      <c r="H32" s="158"/>
      <c r="I32" s="157"/>
      <c r="J32" s="157"/>
      <c r="K32" s="157"/>
    </row>
    <row r="33" spans="1:11" x14ac:dyDescent="0.2">
      <c r="A33" s="156"/>
      <c r="B33" s="158"/>
      <c r="C33" s="157"/>
      <c r="D33" s="157"/>
      <c r="E33" s="157"/>
      <c r="F33" s="157"/>
      <c r="G33" s="157"/>
      <c r="H33" s="158"/>
      <c r="I33" s="157"/>
      <c r="J33" s="157"/>
      <c r="K33" s="157"/>
    </row>
    <row r="34" spans="1:11" x14ac:dyDescent="0.2">
      <c r="A34" s="156"/>
      <c r="B34" s="158"/>
      <c r="C34" s="157"/>
      <c r="D34" s="157"/>
      <c r="E34" s="157"/>
      <c r="F34" s="157"/>
      <c r="G34" s="157"/>
      <c r="H34" s="158"/>
      <c r="I34" s="157"/>
      <c r="J34" s="157"/>
      <c r="K34" s="157"/>
    </row>
    <row r="35" spans="1:11" x14ac:dyDescent="0.2">
      <c r="A35" s="156"/>
      <c r="B35" s="157"/>
      <c r="C35" s="157"/>
      <c r="D35" s="157"/>
      <c r="E35" s="157"/>
      <c r="F35" s="157"/>
      <c r="G35" s="158"/>
      <c r="H35" s="157"/>
      <c r="I35" s="157"/>
      <c r="J35" s="157"/>
      <c r="K35" s="157"/>
    </row>
    <row r="36" spans="1:11" x14ac:dyDescent="0.2">
      <c r="A36" s="156"/>
      <c r="B36" s="158"/>
      <c r="C36" s="157"/>
      <c r="D36" s="157"/>
      <c r="E36" s="157"/>
      <c r="F36" s="157"/>
      <c r="G36" s="158"/>
      <c r="H36" s="158"/>
      <c r="I36" s="157"/>
      <c r="J36" s="157"/>
      <c r="K36" s="157"/>
    </row>
    <row r="37" spans="1:11" x14ac:dyDescent="0.2">
      <c r="A37" s="156"/>
      <c r="B37" s="157"/>
      <c r="C37" s="157"/>
      <c r="D37" s="157"/>
      <c r="E37" s="157"/>
      <c r="F37" s="157"/>
      <c r="G37" s="157"/>
      <c r="H37" s="158"/>
      <c r="I37" s="157"/>
      <c r="J37" s="157"/>
      <c r="K37" s="157"/>
    </row>
    <row r="38" spans="1:11" x14ac:dyDescent="0.2">
      <c r="A38" s="156"/>
      <c r="B38" s="157"/>
      <c r="C38" s="157"/>
      <c r="D38" s="157"/>
      <c r="E38" s="157"/>
      <c r="F38" s="158"/>
      <c r="G38" s="157"/>
      <c r="H38" s="158"/>
      <c r="I38" s="157"/>
      <c r="J38" s="157"/>
      <c r="K38" s="157"/>
    </row>
    <row r="39" spans="1:11" x14ac:dyDescent="0.2">
      <c r="A39" s="156"/>
      <c r="B39" s="158"/>
      <c r="C39" s="157"/>
      <c r="D39" s="157"/>
      <c r="E39" s="157"/>
      <c r="F39" s="157"/>
      <c r="G39" s="158"/>
      <c r="H39" s="158"/>
      <c r="I39" s="157"/>
      <c r="J39" s="157"/>
      <c r="K39" s="157"/>
    </row>
    <row r="40" spans="1:11" x14ac:dyDescent="0.2">
      <c r="A40" s="156"/>
      <c r="B40" s="158"/>
      <c r="C40" s="157"/>
      <c r="D40" s="157"/>
      <c r="E40" s="157"/>
      <c r="F40" s="158"/>
      <c r="G40" s="158"/>
      <c r="H40" s="158"/>
      <c r="I40" s="157"/>
      <c r="J40" s="157"/>
      <c r="K40" s="157"/>
    </row>
    <row r="41" spans="1:11" x14ac:dyDescent="0.2">
      <c r="A41" s="156"/>
      <c r="B41" s="157"/>
      <c r="C41" s="157"/>
      <c r="D41" s="157"/>
      <c r="E41" s="157"/>
      <c r="F41" s="158"/>
      <c r="G41" s="157"/>
      <c r="H41" s="157"/>
      <c r="I41" s="157"/>
      <c r="J41" s="157"/>
      <c r="K41" s="157"/>
    </row>
    <row r="42" spans="1:11" x14ac:dyDescent="0.2">
      <c r="A42" s="156"/>
      <c r="B42" s="158"/>
      <c r="C42" s="157"/>
      <c r="D42" s="157"/>
      <c r="E42" s="157"/>
      <c r="F42" s="157"/>
      <c r="G42" s="157"/>
      <c r="H42" s="158"/>
      <c r="I42" s="157"/>
      <c r="J42" s="157"/>
      <c r="K42" s="157"/>
    </row>
    <row r="43" spans="1:11" x14ac:dyDescent="0.2">
      <c r="A43" s="156"/>
      <c r="B43" s="157"/>
      <c r="C43" s="157"/>
      <c r="D43" s="157"/>
      <c r="E43" s="157"/>
      <c r="F43" s="157"/>
      <c r="G43" s="158"/>
      <c r="H43" s="158"/>
      <c r="I43" s="157"/>
      <c r="J43" s="157"/>
      <c r="K43" s="157"/>
    </row>
    <row r="44" spans="1:11" x14ac:dyDescent="0.2">
      <c r="A44" s="156"/>
      <c r="B44" s="157"/>
      <c r="C44" s="157"/>
      <c r="D44" s="157"/>
      <c r="E44" s="157"/>
      <c r="F44" s="157"/>
      <c r="G44" s="158"/>
      <c r="H44" s="158"/>
      <c r="I44" s="157"/>
      <c r="J44" s="157"/>
      <c r="K44" s="157"/>
    </row>
    <row r="45" spans="1:11" x14ac:dyDescent="0.2">
      <c r="A45" s="156"/>
      <c r="B45" s="158"/>
      <c r="C45" s="157"/>
      <c r="D45" s="157"/>
      <c r="E45" s="157"/>
      <c r="F45" s="157"/>
      <c r="G45" s="157"/>
      <c r="H45" s="158"/>
      <c r="I45" s="157"/>
      <c r="J45" s="157"/>
      <c r="K45" s="157"/>
    </row>
    <row r="46" spans="1:11" x14ac:dyDescent="0.2">
      <c r="A46" s="156"/>
      <c r="B46" s="158"/>
      <c r="C46" s="157"/>
      <c r="D46" s="157"/>
      <c r="E46" s="157"/>
      <c r="F46" s="157"/>
      <c r="G46" s="157"/>
      <c r="H46" s="158"/>
      <c r="I46" s="157"/>
      <c r="J46" s="157"/>
      <c r="K46" s="157"/>
    </row>
    <row r="47" spans="1:11" x14ac:dyDescent="0.2">
      <c r="A47" s="156"/>
      <c r="B47" s="157"/>
      <c r="C47" s="157"/>
      <c r="D47" s="157"/>
      <c r="E47" s="157"/>
      <c r="F47" s="157"/>
      <c r="G47" s="158"/>
      <c r="H47" s="157"/>
      <c r="I47" s="157"/>
      <c r="J47" s="157"/>
      <c r="K47" s="157"/>
    </row>
    <row r="48" spans="1:11" x14ac:dyDescent="0.2">
      <c r="A48" s="156"/>
      <c r="B48" s="158"/>
      <c r="C48" s="157"/>
      <c r="D48" s="157"/>
      <c r="E48" s="157"/>
      <c r="F48" s="157"/>
      <c r="G48" s="158"/>
      <c r="H48" s="158"/>
      <c r="I48" s="157"/>
      <c r="J48" s="157"/>
      <c r="K48" s="157"/>
    </row>
    <row r="49" spans="1:11" x14ac:dyDescent="0.2">
      <c r="A49" s="156"/>
      <c r="B49" s="157"/>
      <c r="C49" s="157"/>
      <c r="D49" s="157"/>
      <c r="E49" s="157"/>
      <c r="F49" s="157"/>
      <c r="G49" s="157"/>
      <c r="H49" s="158"/>
      <c r="I49" s="157"/>
      <c r="J49" s="157"/>
      <c r="K49" s="157"/>
    </row>
    <row r="50" spans="1:11" x14ac:dyDescent="0.2">
      <c r="A50" s="156"/>
      <c r="B50" s="157"/>
      <c r="C50" s="157"/>
      <c r="D50" s="157"/>
      <c r="E50" s="157"/>
      <c r="F50" s="157"/>
      <c r="G50" s="157"/>
      <c r="H50" s="158"/>
      <c r="I50" s="157"/>
      <c r="J50" s="157"/>
      <c r="K50" s="157"/>
    </row>
    <row r="51" spans="1:11" x14ac:dyDescent="0.2">
      <c r="A51" s="156"/>
      <c r="B51" s="158"/>
      <c r="C51" s="157"/>
      <c r="D51" s="157"/>
      <c r="E51" s="157"/>
      <c r="F51" s="157"/>
      <c r="G51" s="158"/>
      <c r="H51" s="158"/>
      <c r="I51" s="157"/>
      <c r="J51" s="157"/>
      <c r="K51" s="157"/>
    </row>
    <row r="52" spans="1:11" x14ac:dyDescent="0.2">
      <c r="A52" s="156"/>
      <c r="B52" s="158"/>
      <c r="C52" s="157"/>
      <c r="D52" s="157"/>
      <c r="E52" s="157"/>
      <c r="F52" s="157"/>
      <c r="G52" s="158"/>
      <c r="H52" s="158"/>
      <c r="I52" s="157"/>
      <c r="J52" s="157"/>
      <c r="K52" s="157"/>
    </row>
    <row r="53" spans="1:11" x14ac:dyDescent="0.2">
      <c r="A53" s="156"/>
      <c r="B53" s="157"/>
      <c r="C53" s="157"/>
      <c r="D53" s="157"/>
      <c r="E53" s="157"/>
      <c r="F53" s="158"/>
      <c r="G53" s="157"/>
      <c r="H53" s="157"/>
      <c r="I53" s="157"/>
      <c r="J53" s="157"/>
      <c r="K53" s="157"/>
    </row>
    <row r="54" spans="1:11" x14ac:dyDescent="0.2">
      <c r="A54" s="156"/>
      <c r="B54" s="158"/>
      <c r="C54" s="157"/>
      <c r="D54" s="157"/>
      <c r="E54" s="157"/>
      <c r="F54" s="157"/>
      <c r="G54" s="157"/>
      <c r="H54" s="158"/>
      <c r="I54" s="157"/>
      <c r="J54" s="157"/>
      <c r="K54" s="157"/>
    </row>
    <row r="55" spans="1:11" x14ac:dyDescent="0.2">
      <c r="A55" s="156"/>
      <c r="B55" s="157"/>
      <c r="C55" s="157"/>
      <c r="D55" s="157"/>
      <c r="E55" s="157"/>
      <c r="F55" s="158"/>
      <c r="G55" s="158"/>
      <c r="H55" s="158"/>
      <c r="I55" s="157"/>
      <c r="J55" s="157"/>
      <c r="K55" s="157"/>
    </row>
    <row r="56" spans="1:11" x14ac:dyDescent="0.2">
      <c r="A56" s="156"/>
      <c r="B56" s="157"/>
      <c r="C56" s="157"/>
      <c r="D56" s="157"/>
      <c r="E56" s="157"/>
      <c r="F56" s="158"/>
      <c r="G56" s="158"/>
      <c r="H56" s="158"/>
      <c r="I56" s="157"/>
      <c r="J56" s="157"/>
      <c r="K56" s="157"/>
    </row>
    <row r="57" spans="1:11" x14ac:dyDescent="0.2">
      <c r="A57" s="156"/>
      <c r="B57" s="158"/>
      <c r="C57" s="157"/>
      <c r="D57" s="157"/>
      <c r="E57" s="157"/>
      <c r="F57" s="157"/>
      <c r="G57" s="157"/>
      <c r="H57" s="158"/>
      <c r="I57" s="157"/>
      <c r="J57" s="157"/>
      <c r="K57" s="157"/>
    </row>
    <row r="58" spans="1:11" x14ac:dyDescent="0.2">
      <c r="A58" s="156"/>
      <c r="B58" s="158"/>
      <c r="C58" s="157"/>
      <c r="D58" s="157"/>
      <c r="E58" s="157"/>
      <c r="F58" s="157"/>
      <c r="G58" s="157"/>
      <c r="H58" s="158"/>
      <c r="I58" s="157"/>
      <c r="J58" s="157"/>
      <c r="K58" s="157"/>
    </row>
    <row r="59" spans="1:11" x14ac:dyDescent="0.2">
      <c r="A59" s="156"/>
      <c r="B59" s="157"/>
      <c r="C59" s="157"/>
      <c r="D59" s="157"/>
      <c r="E59" s="157"/>
      <c r="F59" s="157"/>
      <c r="G59" s="158"/>
      <c r="H59" s="157"/>
      <c r="I59" s="157"/>
      <c r="J59" s="157"/>
      <c r="K59" s="157"/>
    </row>
    <row r="60" spans="1:11" x14ac:dyDescent="0.2">
      <c r="A60" s="156"/>
      <c r="B60" s="158"/>
      <c r="C60" s="157"/>
      <c r="D60" s="157"/>
      <c r="E60" s="157"/>
      <c r="F60" s="157"/>
      <c r="G60" s="158"/>
      <c r="H60" s="158"/>
      <c r="I60" s="157"/>
      <c r="J60" s="157"/>
      <c r="K60" s="157"/>
    </row>
    <row r="61" spans="1:11" x14ac:dyDescent="0.2">
      <c r="A61" s="156"/>
      <c r="B61" s="157"/>
      <c r="C61" s="157"/>
      <c r="D61" s="157"/>
      <c r="E61" s="157"/>
      <c r="F61" s="157"/>
      <c r="G61" s="157"/>
      <c r="H61" s="158"/>
      <c r="I61" s="157"/>
      <c r="J61" s="157"/>
      <c r="K61" s="157"/>
    </row>
    <row r="62" spans="1:11" x14ac:dyDescent="0.2">
      <c r="A62" s="156"/>
      <c r="B62" s="157"/>
      <c r="C62" s="157"/>
      <c r="D62" s="157"/>
      <c r="E62" s="157"/>
      <c r="F62" s="157"/>
      <c r="G62" s="157"/>
      <c r="H62" s="158"/>
      <c r="I62" s="157"/>
      <c r="J62" s="157"/>
      <c r="K62" s="157"/>
    </row>
    <row r="63" spans="1:11" x14ac:dyDescent="0.2">
      <c r="A63" s="156"/>
      <c r="B63" s="158"/>
      <c r="C63" s="157"/>
      <c r="D63" s="157"/>
      <c r="E63" s="157"/>
      <c r="F63" s="157"/>
      <c r="G63" s="158"/>
      <c r="H63" s="158"/>
      <c r="I63" s="157"/>
      <c r="J63" s="157"/>
      <c r="K63" s="157"/>
    </row>
    <row r="64" spans="1:11" x14ac:dyDescent="0.2">
      <c r="A64" s="156"/>
      <c r="B64" s="158"/>
      <c r="C64" s="157"/>
      <c r="D64" s="157"/>
      <c r="E64" s="157"/>
      <c r="F64" s="157"/>
      <c r="G64" s="158"/>
      <c r="H64" s="158"/>
      <c r="I64" s="157"/>
      <c r="J64" s="157"/>
      <c r="K64" s="157"/>
    </row>
    <row r="65" spans="1:11" x14ac:dyDescent="0.2">
      <c r="A65" s="156"/>
      <c r="B65" s="157"/>
      <c r="C65" s="157"/>
      <c r="D65" s="157"/>
      <c r="E65" s="157"/>
      <c r="F65" s="157"/>
      <c r="G65" s="157"/>
      <c r="H65" s="157"/>
      <c r="I65" s="157"/>
      <c r="J65" s="157"/>
      <c r="K65" s="157"/>
    </row>
    <row r="66" spans="1:11" x14ac:dyDescent="0.2">
      <c r="A66" s="156"/>
      <c r="B66" s="158"/>
      <c r="C66" s="157"/>
      <c r="D66" s="157"/>
      <c r="E66" s="157"/>
      <c r="F66" s="157"/>
      <c r="G66" s="157"/>
      <c r="H66" s="158"/>
      <c r="I66" s="157"/>
      <c r="J66" s="157"/>
      <c r="K66" s="157"/>
    </row>
    <row r="67" spans="1:11" x14ac:dyDescent="0.2">
      <c r="A67" s="156"/>
      <c r="B67" s="157"/>
      <c r="C67" s="157"/>
      <c r="D67" s="157"/>
      <c r="E67" s="157"/>
      <c r="F67" s="157"/>
      <c r="G67" s="158"/>
      <c r="H67" s="158"/>
      <c r="I67" s="157"/>
      <c r="J67" s="157"/>
      <c r="K67" s="157"/>
    </row>
    <row r="68" spans="1:11" x14ac:dyDescent="0.2">
      <c r="A68" s="156"/>
      <c r="B68" s="157"/>
      <c r="C68" s="157"/>
      <c r="D68" s="157"/>
      <c r="E68" s="158"/>
      <c r="F68" s="158"/>
      <c r="G68" s="158"/>
      <c r="H68" s="158"/>
      <c r="I68" s="157"/>
      <c r="J68" s="157"/>
      <c r="K68" s="157"/>
    </row>
    <row r="69" spans="1:11" x14ac:dyDescent="0.2">
      <c r="A69" s="156"/>
      <c r="B69" s="158"/>
      <c r="C69" s="157"/>
      <c r="D69" s="157"/>
      <c r="E69" s="158"/>
      <c r="F69" s="157"/>
      <c r="G69" s="157"/>
      <c r="H69" s="158"/>
      <c r="I69" s="157"/>
      <c r="J69" s="157"/>
      <c r="K69" s="157"/>
    </row>
    <row r="70" spans="1:11" x14ac:dyDescent="0.2">
      <c r="A70" s="156"/>
      <c r="B70" s="158"/>
      <c r="C70" s="157"/>
      <c r="D70" s="157"/>
      <c r="E70" s="158"/>
      <c r="F70" s="158"/>
      <c r="G70" s="157"/>
      <c r="H70" s="158"/>
      <c r="I70" s="157"/>
      <c r="J70" s="157"/>
      <c r="K70" s="157"/>
    </row>
    <row r="71" spans="1:11" x14ac:dyDescent="0.2">
      <c r="A71" s="156"/>
      <c r="B71" s="157"/>
      <c r="C71" s="157"/>
      <c r="D71" s="157"/>
      <c r="E71" s="158"/>
      <c r="F71" s="158"/>
      <c r="G71" s="158"/>
      <c r="H71" s="157"/>
      <c r="I71" s="157"/>
      <c r="J71" s="157"/>
      <c r="K71" s="157"/>
    </row>
    <row r="72" spans="1:11" x14ac:dyDescent="0.2">
      <c r="A72" s="156"/>
      <c r="B72" s="158"/>
      <c r="C72" s="157"/>
      <c r="D72" s="157"/>
      <c r="E72" s="158"/>
      <c r="F72" s="157"/>
      <c r="G72" s="158"/>
      <c r="H72" s="158"/>
      <c r="I72" s="157"/>
      <c r="J72" s="157"/>
      <c r="K72" s="157"/>
    </row>
    <row r="73" spans="1:11" x14ac:dyDescent="0.2">
      <c r="A73" s="156"/>
      <c r="B73" s="157"/>
      <c r="C73" s="157"/>
      <c r="D73" s="157"/>
      <c r="E73" s="158"/>
      <c r="F73" s="157"/>
      <c r="G73" s="157"/>
      <c r="H73" s="158"/>
      <c r="I73" s="157"/>
      <c r="J73" s="157"/>
      <c r="K73" s="157"/>
    </row>
    <row r="74" spans="1:11" x14ac:dyDescent="0.2">
      <c r="A74" s="156"/>
      <c r="B74" s="157"/>
      <c r="C74" s="157"/>
      <c r="D74" s="157"/>
      <c r="E74" s="158"/>
      <c r="F74" s="157"/>
      <c r="G74" s="157"/>
      <c r="H74" s="158"/>
      <c r="I74" s="157"/>
      <c r="J74" s="157"/>
      <c r="K74" s="157"/>
    </row>
    <row r="75" spans="1:11" x14ac:dyDescent="0.2">
      <c r="A75" s="156"/>
      <c r="B75" s="158"/>
      <c r="C75" s="157"/>
      <c r="D75" s="157"/>
      <c r="E75" s="158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opLeftCell="A61" workbookViewId="0">
      <selection activeCell="K89" sqref="K89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112</v>
      </c>
      <c r="C5" s="157" t="s">
        <v>0</v>
      </c>
      <c r="D5" s="157" t="s">
        <v>177</v>
      </c>
      <c r="E5" s="157" t="s">
        <v>3</v>
      </c>
      <c r="F5" s="157" t="s">
        <v>106</v>
      </c>
      <c r="G5" s="157" t="s">
        <v>156</v>
      </c>
      <c r="H5" s="157" t="s">
        <v>17</v>
      </c>
      <c r="I5" s="157" t="s">
        <v>130</v>
      </c>
      <c r="J5" s="157"/>
      <c r="K5" s="157"/>
    </row>
    <row r="6" spans="1:11" x14ac:dyDescent="0.2">
      <c r="A6" s="156"/>
      <c r="B6" s="158" t="s">
        <v>113</v>
      </c>
      <c r="C6" s="158" t="s">
        <v>0</v>
      </c>
      <c r="D6" s="158" t="s">
        <v>177</v>
      </c>
      <c r="E6" s="158" t="s">
        <v>3</v>
      </c>
      <c r="F6" s="157" t="s">
        <v>12</v>
      </c>
      <c r="G6" s="158" t="s">
        <v>156</v>
      </c>
      <c r="H6" s="158" t="s">
        <v>159</v>
      </c>
      <c r="I6" s="157"/>
      <c r="J6" s="157"/>
      <c r="K6" s="157"/>
    </row>
    <row r="7" spans="1:11" x14ac:dyDescent="0.2">
      <c r="A7" s="156"/>
      <c r="B7" s="158" t="s">
        <v>113</v>
      </c>
      <c r="C7" s="157" t="s">
        <v>1</v>
      </c>
      <c r="D7" s="158" t="s">
        <v>177</v>
      </c>
      <c r="E7" s="157" t="s">
        <v>4</v>
      </c>
      <c r="F7" s="158" t="s">
        <v>12</v>
      </c>
      <c r="G7" s="158" t="s">
        <v>156</v>
      </c>
      <c r="H7" s="158" t="s">
        <v>159</v>
      </c>
      <c r="I7" s="157"/>
      <c r="J7" s="157"/>
      <c r="K7" s="157"/>
    </row>
    <row r="8" spans="1:11" x14ac:dyDescent="0.2">
      <c r="A8" s="156"/>
      <c r="B8" s="158" t="s">
        <v>113</v>
      </c>
      <c r="C8" s="158" t="s">
        <v>0</v>
      </c>
      <c r="D8" s="158" t="s">
        <v>177</v>
      </c>
      <c r="E8" s="158" t="s">
        <v>4</v>
      </c>
      <c r="F8" s="158" t="s">
        <v>9</v>
      </c>
      <c r="G8" s="158" t="s">
        <v>228</v>
      </c>
      <c r="H8" s="158" t="s">
        <v>159</v>
      </c>
      <c r="I8" s="157"/>
      <c r="J8" s="157"/>
      <c r="K8" s="157"/>
    </row>
    <row r="9" spans="1:11" x14ac:dyDescent="0.2">
      <c r="A9" s="156"/>
      <c r="B9" s="158" t="s">
        <v>112</v>
      </c>
      <c r="C9" s="158" t="s">
        <v>0</v>
      </c>
      <c r="D9" s="158" t="s">
        <v>177</v>
      </c>
      <c r="E9" s="158" t="s">
        <v>3</v>
      </c>
      <c r="F9" s="158" t="s">
        <v>106</v>
      </c>
      <c r="G9" s="158" t="s">
        <v>156</v>
      </c>
      <c r="H9" s="158" t="s">
        <v>159</v>
      </c>
      <c r="I9" s="157"/>
      <c r="J9" s="157"/>
      <c r="K9" s="157"/>
    </row>
    <row r="10" spans="1:11" x14ac:dyDescent="0.2">
      <c r="A10" s="156"/>
      <c r="B10" s="158" t="s">
        <v>112</v>
      </c>
      <c r="C10" s="158" t="s">
        <v>0</v>
      </c>
      <c r="D10" s="158" t="s">
        <v>177</v>
      </c>
      <c r="E10" s="158" t="s">
        <v>3</v>
      </c>
      <c r="F10" s="158" t="s">
        <v>16</v>
      </c>
      <c r="G10" s="158" t="s">
        <v>228</v>
      </c>
      <c r="H10" s="158" t="s">
        <v>159</v>
      </c>
      <c r="I10" s="157"/>
      <c r="J10" s="157"/>
      <c r="K10" s="157"/>
    </row>
    <row r="11" spans="1:11" x14ac:dyDescent="0.2">
      <c r="A11" s="156"/>
      <c r="B11" s="158" t="s">
        <v>112</v>
      </c>
      <c r="C11" s="158" t="s">
        <v>0</v>
      </c>
      <c r="D11" s="158" t="s">
        <v>177</v>
      </c>
      <c r="E11" s="158" t="s">
        <v>4</v>
      </c>
      <c r="F11" s="158" t="s">
        <v>10</v>
      </c>
      <c r="G11" s="158" t="s">
        <v>110</v>
      </c>
      <c r="H11" s="158" t="s">
        <v>17</v>
      </c>
      <c r="I11" s="158" t="s">
        <v>130</v>
      </c>
      <c r="J11" s="157"/>
      <c r="K11" s="157"/>
    </row>
    <row r="12" spans="1:11" x14ac:dyDescent="0.2">
      <c r="A12" s="156"/>
      <c r="B12" s="158" t="s">
        <v>112</v>
      </c>
      <c r="C12" s="158" t="s">
        <v>0</v>
      </c>
      <c r="D12" s="158" t="s">
        <v>177</v>
      </c>
      <c r="E12" s="158" t="s">
        <v>4</v>
      </c>
      <c r="F12" s="157" t="s">
        <v>13</v>
      </c>
      <c r="G12" s="158" t="s">
        <v>156</v>
      </c>
      <c r="H12" s="158" t="s">
        <v>159</v>
      </c>
      <c r="I12" s="157"/>
      <c r="J12" s="157"/>
      <c r="K12" s="157"/>
    </row>
    <row r="13" spans="1:11" x14ac:dyDescent="0.2">
      <c r="A13" s="156"/>
      <c r="B13" s="158" t="s">
        <v>112</v>
      </c>
      <c r="C13" s="158" t="s">
        <v>1</v>
      </c>
      <c r="D13" s="158" t="s">
        <v>177</v>
      </c>
      <c r="E13" s="158" t="s">
        <v>4</v>
      </c>
      <c r="F13" s="158" t="s">
        <v>13</v>
      </c>
      <c r="G13" s="158" t="s">
        <v>156</v>
      </c>
      <c r="H13" s="158" t="s">
        <v>159</v>
      </c>
      <c r="I13" s="157"/>
      <c r="J13" s="157"/>
      <c r="K13" s="157"/>
    </row>
    <row r="14" spans="1:11" x14ac:dyDescent="0.2">
      <c r="A14" s="156"/>
      <c r="B14" s="158" t="s">
        <v>113</v>
      </c>
      <c r="C14" s="158" t="s">
        <v>0</v>
      </c>
      <c r="D14" s="158" t="s">
        <v>177</v>
      </c>
      <c r="E14" s="158" t="s">
        <v>4</v>
      </c>
      <c r="F14" s="158" t="s">
        <v>13</v>
      </c>
      <c r="G14" s="158" t="s">
        <v>156</v>
      </c>
      <c r="H14" s="158" t="s">
        <v>159</v>
      </c>
      <c r="I14" s="158"/>
      <c r="J14" s="158"/>
      <c r="K14" s="158"/>
    </row>
    <row r="15" spans="1:11" x14ac:dyDescent="0.2">
      <c r="A15" s="156"/>
      <c r="B15" s="158" t="s">
        <v>113</v>
      </c>
      <c r="C15" s="158" t="s">
        <v>1</v>
      </c>
      <c r="D15" s="158" t="s">
        <v>177</v>
      </c>
      <c r="E15" s="158" t="s">
        <v>4</v>
      </c>
      <c r="F15" s="158" t="s">
        <v>13</v>
      </c>
      <c r="G15" s="158" t="s">
        <v>156</v>
      </c>
      <c r="H15" s="158" t="s">
        <v>159</v>
      </c>
      <c r="I15" s="158"/>
      <c r="J15" s="158"/>
      <c r="K15" s="158"/>
    </row>
    <row r="16" spans="1:11" x14ac:dyDescent="0.2">
      <c r="A16" s="156"/>
      <c r="B16" s="158" t="s">
        <v>113</v>
      </c>
      <c r="C16" s="158" t="s">
        <v>0</v>
      </c>
      <c r="D16" s="157" t="s">
        <v>2</v>
      </c>
      <c r="E16" s="158" t="s">
        <v>4</v>
      </c>
      <c r="F16" s="158" t="s">
        <v>13</v>
      </c>
      <c r="G16" s="158" t="s">
        <v>156</v>
      </c>
      <c r="H16" s="158" t="s">
        <v>17</v>
      </c>
      <c r="I16" s="158" t="s">
        <v>132</v>
      </c>
      <c r="J16" s="158"/>
      <c r="K16" s="158"/>
    </row>
    <row r="17" spans="1:11" x14ac:dyDescent="0.2">
      <c r="A17" s="156"/>
      <c r="B17" s="158" t="s">
        <v>113</v>
      </c>
      <c r="C17" s="158" t="s">
        <v>1</v>
      </c>
      <c r="D17" s="158" t="s">
        <v>2</v>
      </c>
      <c r="E17" s="158" t="s">
        <v>4</v>
      </c>
      <c r="F17" s="158" t="s">
        <v>13</v>
      </c>
      <c r="G17" s="158" t="s">
        <v>156</v>
      </c>
      <c r="H17" s="158" t="s">
        <v>17</v>
      </c>
      <c r="I17" s="157" t="s">
        <v>132</v>
      </c>
      <c r="J17" s="157"/>
      <c r="K17" s="157"/>
    </row>
    <row r="18" spans="1:11" x14ac:dyDescent="0.2">
      <c r="A18" s="156"/>
      <c r="B18" s="158" t="s">
        <v>113</v>
      </c>
      <c r="C18" s="158" t="s">
        <v>0</v>
      </c>
      <c r="D18" s="158" t="s">
        <v>177</v>
      </c>
      <c r="E18" s="158" t="s">
        <v>3</v>
      </c>
      <c r="F18" s="158" t="s">
        <v>13</v>
      </c>
      <c r="G18" s="157" t="s">
        <v>155</v>
      </c>
      <c r="H18" s="158" t="s">
        <v>17</v>
      </c>
      <c r="I18" s="158" t="s">
        <v>130</v>
      </c>
      <c r="J18" s="158"/>
      <c r="K18" s="158"/>
    </row>
    <row r="19" spans="1:11" x14ac:dyDescent="0.2">
      <c r="A19" s="156"/>
      <c r="B19" s="158" t="s">
        <v>113</v>
      </c>
      <c r="C19" s="158" t="s">
        <v>0</v>
      </c>
      <c r="D19" s="158" t="s">
        <v>177</v>
      </c>
      <c r="E19" s="158" t="s">
        <v>4</v>
      </c>
      <c r="F19" s="157" t="s">
        <v>10</v>
      </c>
      <c r="G19" s="158" t="s">
        <v>156</v>
      </c>
      <c r="H19" s="158" t="s">
        <v>159</v>
      </c>
      <c r="I19" s="157"/>
      <c r="J19" s="157"/>
      <c r="K19" s="157"/>
    </row>
    <row r="20" spans="1:11" x14ac:dyDescent="0.2">
      <c r="A20" s="156"/>
      <c r="B20" s="157" t="s">
        <v>115</v>
      </c>
      <c r="C20" s="158" t="s">
        <v>0</v>
      </c>
      <c r="D20" s="158" t="s">
        <v>177</v>
      </c>
      <c r="E20" s="158" t="s">
        <v>3</v>
      </c>
      <c r="F20" s="157" t="s">
        <v>15</v>
      </c>
      <c r="G20" s="158" t="s">
        <v>228</v>
      </c>
      <c r="H20" s="158" t="s">
        <v>19</v>
      </c>
      <c r="I20" s="158" t="s">
        <v>137</v>
      </c>
      <c r="J20" s="158"/>
      <c r="K20" s="158"/>
    </row>
    <row r="21" spans="1:11" x14ac:dyDescent="0.2">
      <c r="A21" s="156"/>
      <c r="B21" s="158" t="s">
        <v>115</v>
      </c>
      <c r="C21" s="158" t="s">
        <v>0</v>
      </c>
      <c r="D21" s="158" t="s">
        <v>177</v>
      </c>
      <c r="E21" s="158" t="s">
        <v>4</v>
      </c>
      <c r="F21" s="157" t="s">
        <v>23</v>
      </c>
      <c r="G21" s="158" t="s">
        <v>228</v>
      </c>
      <c r="H21" s="158" t="s">
        <v>18</v>
      </c>
      <c r="I21" s="158" t="s">
        <v>137</v>
      </c>
      <c r="J21" s="158"/>
      <c r="K21" s="158"/>
    </row>
    <row r="22" spans="1:11" x14ac:dyDescent="0.2">
      <c r="A22" s="156"/>
      <c r="B22" s="158" t="s">
        <v>115</v>
      </c>
      <c r="C22" s="158" t="s">
        <v>0</v>
      </c>
      <c r="D22" s="158" t="s">
        <v>2</v>
      </c>
      <c r="E22" s="158" t="s">
        <v>4</v>
      </c>
      <c r="F22" s="157" t="s">
        <v>10</v>
      </c>
      <c r="G22" s="158" t="s">
        <v>228</v>
      </c>
      <c r="H22" s="158" t="s">
        <v>18</v>
      </c>
      <c r="I22" s="158" t="s">
        <v>137</v>
      </c>
      <c r="J22" s="158"/>
      <c r="K22" s="158"/>
    </row>
    <row r="23" spans="1:11" x14ac:dyDescent="0.2">
      <c r="A23" s="156"/>
      <c r="B23" s="158" t="s">
        <v>115</v>
      </c>
      <c r="C23" s="158" t="s">
        <v>0</v>
      </c>
      <c r="D23" s="158" t="s">
        <v>177</v>
      </c>
      <c r="E23" s="158" t="s">
        <v>3</v>
      </c>
      <c r="F23" s="158" t="s">
        <v>56</v>
      </c>
      <c r="G23" s="158" t="s">
        <v>156</v>
      </c>
      <c r="H23" s="158" t="s">
        <v>17</v>
      </c>
      <c r="I23" s="157" t="s">
        <v>150</v>
      </c>
      <c r="J23" s="157"/>
      <c r="K23" s="157"/>
    </row>
    <row r="24" spans="1:11" x14ac:dyDescent="0.2">
      <c r="A24" s="156"/>
      <c r="B24" s="158" t="s">
        <v>115</v>
      </c>
      <c r="C24" s="158" t="s">
        <v>1</v>
      </c>
      <c r="D24" s="158" t="s">
        <v>177</v>
      </c>
      <c r="E24" s="158" t="s">
        <v>4</v>
      </c>
      <c r="F24" s="158" t="s">
        <v>56</v>
      </c>
      <c r="G24" s="158" t="s">
        <v>156</v>
      </c>
      <c r="H24" s="158" t="s">
        <v>17</v>
      </c>
      <c r="I24" s="158" t="s">
        <v>150</v>
      </c>
      <c r="J24" s="158"/>
      <c r="K24" s="158"/>
    </row>
    <row r="25" spans="1:11" x14ac:dyDescent="0.2">
      <c r="A25" s="156"/>
      <c r="B25" s="158" t="s">
        <v>113</v>
      </c>
      <c r="C25" s="158" t="s">
        <v>0</v>
      </c>
      <c r="D25" s="158" t="s">
        <v>177</v>
      </c>
      <c r="E25" s="158" t="s">
        <v>4</v>
      </c>
      <c r="F25" s="158" t="s">
        <v>10</v>
      </c>
      <c r="G25" s="158" t="s">
        <v>156</v>
      </c>
      <c r="H25" s="158" t="s">
        <v>17</v>
      </c>
      <c r="I25" s="157" t="s">
        <v>130</v>
      </c>
      <c r="J25" s="157"/>
      <c r="K25" s="157"/>
    </row>
    <row r="26" spans="1:11" x14ac:dyDescent="0.2">
      <c r="A26" s="156"/>
      <c r="B26" s="158" t="s">
        <v>113</v>
      </c>
      <c r="C26" s="158" t="s">
        <v>1</v>
      </c>
      <c r="D26" s="158" t="s">
        <v>177</v>
      </c>
      <c r="E26" s="158" t="s">
        <v>4</v>
      </c>
      <c r="F26" s="158" t="s">
        <v>10</v>
      </c>
      <c r="G26" s="158" t="s">
        <v>156</v>
      </c>
      <c r="H26" s="158" t="s">
        <v>159</v>
      </c>
      <c r="I26" s="157"/>
      <c r="J26" s="157"/>
      <c r="K26" s="157"/>
    </row>
    <row r="27" spans="1:11" x14ac:dyDescent="0.2">
      <c r="A27" s="156"/>
      <c r="B27" s="158" t="s">
        <v>113</v>
      </c>
      <c r="C27" s="158" t="s">
        <v>0</v>
      </c>
      <c r="D27" s="158" t="s">
        <v>177</v>
      </c>
      <c r="E27" s="158" t="s">
        <v>4</v>
      </c>
      <c r="F27" s="157" t="s">
        <v>153</v>
      </c>
      <c r="G27" s="158" t="s">
        <v>156</v>
      </c>
      <c r="H27" s="158" t="s">
        <v>17</v>
      </c>
      <c r="I27" s="157" t="s">
        <v>130</v>
      </c>
      <c r="J27" s="157"/>
      <c r="K27" s="157"/>
    </row>
    <row r="28" spans="1:11" x14ac:dyDescent="0.2">
      <c r="A28" s="156"/>
      <c r="B28" s="158" t="s">
        <v>113</v>
      </c>
      <c r="C28" s="158" t="s">
        <v>0</v>
      </c>
      <c r="D28" s="158" t="s">
        <v>177</v>
      </c>
      <c r="E28" s="158" t="s">
        <v>4</v>
      </c>
      <c r="F28" s="158" t="s">
        <v>10</v>
      </c>
      <c r="G28" s="158" t="s">
        <v>156</v>
      </c>
      <c r="H28" s="158" t="s">
        <v>17</v>
      </c>
      <c r="I28" s="157" t="s">
        <v>132</v>
      </c>
      <c r="J28" s="157"/>
      <c r="K28" s="157"/>
    </row>
    <row r="29" spans="1:11" x14ac:dyDescent="0.2">
      <c r="A29" s="156"/>
      <c r="B29" s="158" t="s">
        <v>113</v>
      </c>
      <c r="C29" s="158" t="s">
        <v>1</v>
      </c>
      <c r="D29" s="158" t="s">
        <v>177</v>
      </c>
      <c r="E29" s="158" t="s">
        <v>4</v>
      </c>
      <c r="F29" s="158" t="s">
        <v>10</v>
      </c>
      <c r="G29" s="158" t="s">
        <v>156</v>
      </c>
      <c r="H29" s="158" t="s">
        <v>17</v>
      </c>
      <c r="I29" s="157" t="s">
        <v>132</v>
      </c>
      <c r="J29" s="157"/>
      <c r="K29" s="157"/>
    </row>
    <row r="30" spans="1:11" x14ac:dyDescent="0.2">
      <c r="A30" s="156"/>
      <c r="B30" s="158" t="s">
        <v>112</v>
      </c>
      <c r="C30" s="158" t="s">
        <v>1</v>
      </c>
      <c r="D30" s="158" t="s">
        <v>2</v>
      </c>
      <c r="E30" s="158" t="s">
        <v>3</v>
      </c>
      <c r="F30" s="158" t="s">
        <v>10</v>
      </c>
      <c r="G30" s="157" t="s">
        <v>158</v>
      </c>
      <c r="H30" s="158" t="s">
        <v>159</v>
      </c>
      <c r="I30" s="157"/>
      <c r="J30" s="157"/>
      <c r="K30" s="157"/>
    </row>
    <row r="31" spans="1:11" x14ac:dyDescent="0.2">
      <c r="A31" s="156"/>
      <c r="B31" s="158" t="s">
        <v>112</v>
      </c>
      <c r="C31" s="158" t="s">
        <v>1</v>
      </c>
      <c r="D31" s="158" t="s">
        <v>2</v>
      </c>
      <c r="E31" s="158" t="s">
        <v>3</v>
      </c>
      <c r="F31" s="158" t="s">
        <v>10</v>
      </c>
      <c r="G31" s="158" t="s">
        <v>158</v>
      </c>
      <c r="H31" s="158" t="s">
        <v>159</v>
      </c>
      <c r="I31" s="157"/>
      <c r="J31" s="157"/>
      <c r="K31" s="157"/>
    </row>
    <row r="32" spans="1:11" x14ac:dyDescent="0.2">
      <c r="A32" s="156"/>
      <c r="B32" s="158" t="s">
        <v>112</v>
      </c>
      <c r="C32" s="158" t="s">
        <v>0</v>
      </c>
      <c r="D32" s="158" t="s">
        <v>2</v>
      </c>
      <c r="E32" s="158" t="s">
        <v>3</v>
      </c>
      <c r="F32" s="158" t="s">
        <v>12</v>
      </c>
      <c r="G32" s="158" t="s">
        <v>155</v>
      </c>
      <c r="H32" s="158" t="s">
        <v>159</v>
      </c>
      <c r="I32" s="157"/>
      <c r="J32" s="157"/>
      <c r="K32" s="157"/>
    </row>
    <row r="33" spans="1:11" x14ac:dyDescent="0.2">
      <c r="A33" s="156"/>
      <c r="B33" s="158" t="s">
        <v>112</v>
      </c>
      <c r="C33" s="158" t="s">
        <v>1</v>
      </c>
      <c r="D33" s="158" t="s">
        <v>177</v>
      </c>
      <c r="E33" s="158" t="s">
        <v>3</v>
      </c>
      <c r="F33" s="158" t="s">
        <v>9</v>
      </c>
      <c r="G33" s="158" t="s">
        <v>158</v>
      </c>
      <c r="H33" s="158" t="s">
        <v>17</v>
      </c>
      <c r="I33" s="157" t="s">
        <v>130</v>
      </c>
      <c r="J33" s="157"/>
      <c r="K33" s="157"/>
    </row>
    <row r="34" spans="1:11" x14ac:dyDescent="0.2">
      <c r="A34" s="156"/>
      <c r="B34" s="158" t="s">
        <v>112</v>
      </c>
      <c r="C34" s="158" t="s">
        <v>0</v>
      </c>
      <c r="D34" s="158" t="s">
        <v>177</v>
      </c>
      <c r="E34" s="158" t="s">
        <v>4</v>
      </c>
      <c r="F34" s="158" t="s">
        <v>10</v>
      </c>
      <c r="G34" s="158" t="s">
        <v>155</v>
      </c>
      <c r="H34" s="158" t="s">
        <v>159</v>
      </c>
      <c r="I34" s="157"/>
      <c r="J34" s="157"/>
      <c r="K34" s="157"/>
    </row>
    <row r="35" spans="1:11" x14ac:dyDescent="0.2">
      <c r="A35" s="156"/>
      <c r="B35" s="158" t="s">
        <v>112</v>
      </c>
      <c r="C35" s="158" t="s">
        <v>0</v>
      </c>
      <c r="D35" s="158" t="s">
        <v>177</v>
      </c>
      <c r="E35" s="158" t="s">
        <v>3</v>
      </c>
      <c r="F35" s="158" t="s">
        <v>56</v>
      </c>
      <c r="G35" s="158" t="s">
        <v>155</v>
      </c>
      <c r="H35" s="158" t="s">
        <v>159</v>
      </c>
      <c r="I35" s="157"/>
      <c r="J35" s="157"/>
      <c r="K35" s="157"/>
    </row>
    <row r="36" spans="1:11" x14ac:dyDescent="0.2">
      <c r="A36" s="156"/>
      <c r="B36" s="158" t="s">
        <v>112</v>
      </c>
      <c r="C36" s="158" t="s">
        <v>1</v>
      </c>
      <c r="D36" s="158" t="s">
        <v>2</v>
      </c>
      <c r="E36" s="158" t="s">
        <v>3</v>
      </c>
      <c r="F36" s="158" t="s">
        <v>56</v>
      </c>
      <c r="G36" s="158" t="s">
        <v>155</v>
      </c>
      <c r="H36" s="158" t="s">
        <v>159</v>
      </c>
      <c r="I36" s="157"/>
      <c r="J36" s="157"/>
      <c r="K36" s="157"/>
    </row>
    <row r="37" spans="1:11" x14ac:dyDescent="0.2">
      <c r="A37" s="156"/>
      <c r="B37" s="158" t="s">
        <v>112</v>
      </c>
      <c r="C37" s="158" t="s">
        <v>0</v>
      </c>
      <c r="D37" s="158" t="s">
        <v>2</v>
      </c>
      <c r="E37" s="158" t="s">
        <v>3</v>
      </c>
      <c r="F37" s="158" t="s">
        <v>56</v>
      </c>
      <c r="G37" s="158" t="s">
        <v>155</v>
      </c>
      <c r="H37" s="158" t="s">
        <v>159</v>
      </c>
      <c r="I37" s="157"/>
      <c r="J37" s="157"/>
      <c r="K37" s="157"/>
    </row>
    <row r="38" spans="1:11" x14ac:dyDescent="0.2">
      <c r="A38" s="156"/>
      <c r="B38" s="158" t="s">
        <v>112</v>
      </c>
      <c r="C38" s="158" t="s">
        <v>1</v>
      </c>
      <c r="D38" s="158" t="s">
        <v>177</v>
      </c>
      <c r="E38" s="158" t="s">
        <v>4</v>
      </c>
      <c r="F38" s="158" t="s">
        <v>23</v>
      </c>
      <c r="G38" s="158" t="s">
        <v>156</v>
      </c>
      <c r="H38" s="158" t="s">
        <v>159</v>
      </c>
      <c r="I38" s="157"/>
      <c r="J38" s="157"/>
      <c r="K38" s="157"/>
    </row>
    <row r="39" spans="1:11" x14ac:dyDescent="0.2">
      <c r="A39" s="156"/>
      <c r="B39" s="158" t="s">
        <v>112</v>
      </c>
      <c r="C39" s="158" t="s">
        <v>1</v>
      </c>
      <c r="D39" s="158" t="s">
        <v>177</v>
      </c>
      <c r="E39" s="158" t="s">
        <v>3</v>
      </c>
      <c r="F39" s="158" t="s">
        <v>10</v>
      </c>
      <c r="G39" s="158" t="s">
        <v>228</v>
      </c>
      <c r="H39" s="158" t="s">
        <v>159</v>
      </c>
      <c r="I39" s="157"/>
      <c r="J39" s="157"/>
      <c r="K39" s="157"/>
    </row>
    <row r="40" spans="1:11" x14ac:dyDescent="0.2">
      <c r="A40" s="156"/>
      <c r="B40" s="158" t="s">
        <v>112</v>
      </c>
      <c r="C40" s="158" t="s">
        <v>0</v>
      </c>
      <c r="D40" s="158" t="s">
        <v>177</v>
      </c>
      <c r="E40" s="158" t="s">
        <v>4</v>
      </c>
      <c r="F40" s="158" t="s">
        <v>10</v>
      </c>
      <c r="G40" s="158" t="s">
        <v>155</v>
      </c>
      <c r="H40" s="158" t="s">
        <v>17</v>
      </c>
      <c r="I40" s="157" t="s">
        <v>130</v>
      </c>
      <c r="J40" s="157"/>
      <c r="K40" s="157"/>
    </row>
    <row r="41" spans="1:11" x14ac:dyDescent="0.2">
      <c r="A41" s="156"/>
      <c r="B41" s="158" t="s">
        <v>112</v>
      </c>
      <c r="C41" s="158" t="s">
        <v>1</v>
      </c>
      <c r="D41" s="158" t="s">
        <v>177</v>
      </c>
      <c r="E41" s="158" t="s">
        <v>3</v>
      </c>
      <c r="F41" s="158" t="s">
        <v>10</v>
      </c>
      <c r="G41" s="158" t="s">
        <v>155</v>
      </c>
      <c r="H41" s="158" t="s">
        <v>159</v>
      </c>
      <c r="I41" s="157"/>
      <c r="J41" s="157"/>
      <c r="K41" s="157"/>
    </row>
    <row r="42" spans="1:11" x14ac:dyDescent="0.2">
      <c r="A42" s="156"/>
      <c r="B42" s="158" t="s">
        <v>112</v>
      </c>
      <c r="C42" s="158" t="s">
        <v>0</v>
      </c>
      <c r="D42" s="158" t="s">
        <v>177</v>
      </c>
      <c r="E42" s="158" t="s">
        <v>3</v>
      </c>
      <c r="F42" s="158" t="s">
        <v>9</v>
      </c>
      <c r="G42" s="158" t="s">
        <v>155</v>
      </c>
      <c r="H42" s="158" t="s">
        <v>159</v>
      </c>
      <c r="I42" s="157"/>
      <c r="J42" s="157"/>
      <c r="K42" s="157"/>
    </row>
    <row r="43" spans="1:11" x14ac:dyDescent="0.2">
      <c r="A43" s="156"/>
      <c r="B43" s="158" t="s">
        <v>112</v>
      </c>
      <c r="C43" s="158" t="s">
        <v>0</v>
      </c>
      <c r="D43" s="158" t="s">
        <v>2</v>
      </c>
      <c r="E43" s="158" t="s">
        <v>3</v>
      </c>
      <c r="F43" s="157" t="s">
        <v>234</v>
      </c>
      <c r="G43" s="158" t="s">
        <v>156</v>
      </c>
      <c r="H43" s="158" t="s">
        <v>159</v>
      </c>
      <c r="I43" s="157"/>
      <c r="J43" s="157"/>
      <c r="K43" s="157"/>
    </row>
    <row r="44" spans="1:11" x14ac:dyDescent="0.2">
      <c r="A44" s="156"/>
      <c r="B44" s="157" t="s">
        <v>115</v>
      </c>
      <c r="C44" s="158" t="s">
        <v>1</v>
      </c>
      <c r="D44" s="158" t="s">
        <v>2</v>
      </c>
      <c r="E44" s="158" t="s">
        <v>4</v>
      </c>
      <c r="F44" s="158" t="s">
        <v>23</v>
      </c>
      <c r="G44" s="158" t="s">
        <v>156</v>
      </c>
      <c r="H44" s="158" t="s">
        <v>159</v>
      </c>
      <c r="I44" s="157" t="s">
        <v>150</v>
      </c>
      <c r="J44" s="157"/>
      <c r="K44" s="157"/>
    </row>
    <row r="45" spans="1:11" x14ac:dyDescent="0.2">
      <c r="A45" s="156"/>
      <c r="B45" s="158" t="s">
        <v>115</v>
      </c>
      <c r="C45" s="158" t="s">
        <v>1</v>
      </c>
      <c r="D45" s="158" t="s">
        <v>2</v>
      </c>
      <c r="E45" s="158" t="s">
        <v>3</v>
      </c>
      <c r="F45" s="158" t="s">
        <v>23</v>
      </c>
      <c r="G45" s="158" t="s">
        <v>156</v>
      </c>
      <c r="H45" s="158" t="s">
        <v>159</v>
      </c>
      <c r="I45" s="157" t="s">
        <v>150</v>
      </c>
      <c r="J45" s="157"/>
      <c r="K45" s="157"/>
    </row>
    <row r="46" spans="1:11" x14ac:dyDescent="0.2">
      <c r="A46" s="156"/>
      <c r="B46" s="158" t="s">
        <v>115</v>
      </c>
      <c r="C46" s="158" t="s">
        <v>0</v>
      </c>
      <c r="D46" s="158" t="s">
        <v>2</v>
      </c>
      <c r="E46" s="158" t="s">
        <v>3</v>
      </c>
      <c r="F46" s="157" t="s">
        <v>236</v>
      </c>
      <c r="G46" s="158" t="s">
        <v>156</v>
      </c>
      <c r="H46" s="158" t="s">
        <v>159</v>
      </c>
      <c r="I46" s="157" t="s">
        <v>137</v>
      </c>
      <c r="J46" s="157"/>
      <c r="K46" s="157"/>
    </row>
    <row r="47" spans="1:11" x14ac:dyDescent="0.2">
      <c r="A47" s="156"/>
      <c r="B47" s="158" t="s">
        <v>113</v>
      </c>
      <c r="C47" s="158" t="s">
        <v>0</v>
      </c>
      <c r="D47" s="158" t="s">
        <v>177</v>
      </c>
      <c r="E47" s="158" t="s">
        <v>4</v>
      </c>
      <c r="F47" s="157" t="s">
        <v>11</v>
      </c>
      <c r="G47" s="158" t="s">
        <v>156</v>
      </c>
      <c r="H47" s="158" t="s">
        <v>17</v>
      </c>
      <c r="I47" s="157" t="s">
        <v>130</v>
      </c>
      <c r="J47" s="157"/>
      <c r="K47" s="157"/>
    </row>
    <row r="48" spans="1:11" x14ac:dyDescent="0.2">
      <c r="A48" s="156"/>
      <c r="B48" s="158" t="s">
        <v>113</v>
      </c>
      <c r="C48" s="158" t="s">
        <v>0</v>
      </c>
      <c r="D48" s="158" t="s">
        <v>177</v>
      </c>
      <c r="E48" s="158" t="s">
        <v>4</v>
      </c>
      <c r="F48" s="158" t="s">
        <v>10</v>
      </c>
      <c r="G48" s="158" t="s">
        <v>155</v>
      </c>
      <c r="H48" s="158" t="s">
        <v>17</v>
      </c>
      <c r="I48" s="157" t="s">
        <v>130</v>
      </c>
      <c r="J48" s="157"/>
      <c r="K48" s="157"/>
    </row>
    <row r="49" spans="1:11" x14ac:dyDescent="0.2">
      <c r="A49" s="156"/>
      <c r="B49" s="158" t="s">
        <v>113</v>
      </c>
      <c r="C49" s="158" t="s">
        <v>1</v>
      </c>
      <c r="D49" s="158" t="s">
        <v>177</v>
      </c>
      <c r="E49" s="158" t="s">
        <v>3</v>
      </c>
      <c r="F49" s="158" t="s">
        <v>10</v>
      </c>
      <c r="G49" s="158" t="s">
        <v>155</v>
      </c>
      <c r="H49" s="158" t="s">
        <v>159</v>
      </c>
      <c r="I49" s="157"/>
      <c r="J49" s="157"/>
      <c r="K49" s="157"/>
    </row>
    <row r="50" spans="1:11" x14ac:dyDescent="0.2">
      <c r="A50" s="156"/>
      <c r="B50" s="158" t="s">
        <v>113</v>
      </c>
      <c r="C50" s="158" t="s">
        <v>0</v>
      </c>
      <c r="D50" s="158" t="s">
        <v>177</v>
      </c>
      <c r="E50" s="158" t="s">
        <v>3</v>
      </c>
      <c r="F50" s="158" t="s">
        <v>13</v>
      </c>
      <c r="G50" s="158" t="s">
        <v>228</v>
      </c>
      <c r="H50" s="158" t="s">
        <v>159</v>
      </c>
      <c r="I50" s="157"/>
      <c r="J50" s="157"/>
      <c r="K50" s="157"/>
    </row>
    <row r="51" spans="1:11" x14ac:dyDescent="0.2">
      <c r="A51" s="156"/>
      <c r="B51" s="158" t="s">
        <v>113</v>
      </c>
      <c r="C51" s="158" t="s">
        <v>0</v>
      </c>
      <c r="D51" s="158" t="s">
        <v>177</v>
      </c>
      <c r="E51" s="158" t="s">
        <v>4</v>
      </c>
      <c r="F51" s="158" t="s">
        <v>11</v>
      </c>
      <c r="G51" s="158" t="s">
        <v>155</v>
      </c>
      <c r="H51" s="158" t="s">
        <v>7</v>
      </c>
      <c r="I51" s="157" t="s">
        <v>133</v>
      </c>
      <c r="J51" s="157" t="s">
        <v>258</v>
      </c>
      <c r="K51" s="157"/>
    </row>
    <row r="52" spans="1:11" x14ac:dyDescent="0.2">
      <c r="A52" s="156"/>
      <c r="B52" s="158" t="s">
        <v>113</v>
      </c>
      <c r="C52" s="158" t="s">
        <v>0</v>
      </c>
      <c r="D52" s="158" t="s">
        <v>177</v>
      </c>
      <c r="E52" s="158" t="s">
        <v>4</v>
      </c>
      <c r="F52" s="158" t="s">
        <v>316</v>
      </c>
      <c r="G52" s="158" t="s">
        <v>156</v>
      </c>
      <c r="H52" s="158" t="s">
        <v>7</v>
      </c>
      <c r="I52" s="158" t="s">
        <v>133</v>
      </c>
      <c r="J52" s="157" t="s">
        <v>258</v>
      </c>
      <c r="K52" s="157"/>
    </row>
    <row r="53" spans="1:11" x14ac:dyDescent="0.2">
      <c r="A53" s="156"/>
      <c r="B53" s="158" t="s">
        <v>113</v>
      </c>
      <c r="C53" s="158" t="s">
        <v>1</v>
      </c>
      <c r="D53" s="158" t="s">
        <v>177</v>
      </c>
      <c r="E53" s="158" t="s">
        <v>4</v>
      </c>
      <c r="F53" s="158" t="s">
        <v>23</v>
      </c>
      <c r="G53" s="158" t="s">
        <v>158</v>
      </c>
      <c r="H53" s="158" t="s">
        <v>7</v>
      </c>
      <c r="I53" s="158" t="s">
        <v>133</v>
      </c>
      <c r="J53" s="157" t="s">
        <v>258</v>
      </c>
      <c r="K53" s="157"/>
    </row>
    <row r="54" spans="1:11" x14ac:dyDescent="0.2">
      <c r="A54" s="156"/>
      <c r="B54" s="158" t="s">
        <v>113</v>
      </c>
      <c r="C54" s="158" t="s">
        <v>0</v>
      </c>
      <c r="D54" s="158" t="s">
        <v>177</v>
      </c>
      <c r="E54" s="158" t="s">
        <v>4</v>
      </c>
      <c r="F54" s="158" t="s">
        <v>10</v>
      </c>
      <c r="G54" s="158" t="s">
        <v>228</v>
      </c>
      <c r="H54" s="158" t="s">
        <v>7</v>
      </c>
      <c r="I54" s="158" t="s">
        <v>133</v>
      </c>
      <c r="J54" s="157" t="s">
        <v>258</v>
      </c>
      <c r="K54" s="157"/>
    </row>
    <row r="55" spans="1:11" x14ac:dyDescent="0.2">
      <c r="A55" s="156"/>
      <c r="B55" s="158" t="s">
        <v>113</v>
      </c>
      <c r="C55" s="158" t="s">
        <v>0</v>
      </c>
      <c r="D55" s="158" t="s">
        <v>177</v>
      </c>
      <c r="E55" s="158" t="s">
        <v>4</v>
      </c>
      <c r="F55" s="158" t="s">
        <v>10</v>
      </c>
      <c r="G55" s="158" t="s">
        <v>228</v>
      </c>
      <c r="H55" s="158" t="s">
        <v>7</v>
      </c>
      <c r="I55" s="158" t="s">
        <v>133</v>
      </c>
      <c r="J55" s="157" t="s">
        <v>258</v>
      </c>
      <c r="K55" s="157"/>
    </row>
    <row r="56" spans="1:11" x14ac:dyDescent="0.2">
      <c r="A56" s="156"/>
      <c r="B56" s="158" t="s">
        <v>113</v>
      </c>
      <c r="C56" s="158" t="s">
        <v>0</v>
      </c>
      <c r="D56" s="158" t="s">
        <v>177</v>
      </c>
      <c r="E56" s="158" t="s">
        <v>4</v>
      </c>
      <c r="F56" s="158" t="s">
        <v>106</v>
      </c>
      <c r="G56" s="158" t="s">
        <v>228</v>
      </c>
      <c r="H56" s="158" t="s">
        <v>7</v>
      </c>
      <c r="I56" s="158" t="s">
        <v>133</v>
      </c>
      <c r="J56" s="157" t="s">
        <v>258</v>
      </c>
      <c r="K56" s="157"/>
    </row>
    <row r="57" spans="1:11" x14ac:dyDescent="0.2">
      <c r="A57" s="156"/>
      <c r="B57" s="158" t="s">
        <v>113</v>
      </c>
      <c r="C57" s="158" t="s">
        <v>0</v>
      </c>
      <c r="D57" s="158" t="s">
        <v>177</v>
      </c>
      <c r="E57" s="158" t="s">
        <v>4</v>
      </c>
      <c r="F57" s="158" t="s">
        <v>106</v>
      </c>
      <c r="G57" s="158" t="s">
        <v>155</v>
      </c>
      <c r="H57" s="158" t="s">
        <v>7</v>
      </c>
      <c r="I57" s="158" t="s">
        <v>133</v>
      </c>
      <c r="J57" s="157" t="s">
        <v>258</v>
      </c>
      <c r="K57" s="157"/>
    </row>
    <row r="58" spans="1:11" x14ac:dyDescent="0.2">
      <c r="A58" s="156"/>
      <c r="B58" s="158" t="s">
        <v>113</v>
      </c>
      <c r="C58" s="158" t="s">
        <v>0</v>
      </c>
      <c r="D58" s="158" t="s">
        <v>177</v>
      </c>
      <c r="E58" s="158" t="s">
        <v>4</v>
      </c>
      <c r="F58" s="158" t="s">
        <v>11</v>
      </c>
      <c r="G58" s="158" t="s">
        <v>156</v>
      </c>
      <c r="H58" s="158" t="s">
        <v>7</v>
      </c>
      <c r="I58" s="158" t="s">
        <v>133</v>
      </c>
      <c r="J58" s="157" t="s">
        <v>258</v>
      </c>
      <c r="K58" s="157"/>
    </row>
    <row r="59" spans="1:11" x14ac:dyDescent="0.2">
      <c r="A59" s="156"/>
      <c r="B59" s="158" t="s">
        <v>113</v>
      </c>
      <c r="C59" s="158" t="s">
        <v>0</v>
      </c>
      <c r="D59" s="158" t="s">
        <v>177</v>
      </c>
      <c r="E59" s="158" t="s">
        <v>4</v>
      </c>
      <c r="F59" s="158" t="s">
        <v>11</v>
      </c>
      <c r="G59" s="158" t="s">
        <v>155</v>
      </c>
      <c r="H59" s="158" t="s">
        <v>7</v>
      </c>
      <c r="I59" s="158" t="s">
        <v>133</v>
      </c>
      <c r="J59" s="157" t="s">
        <v>258</v>
      </c>
      <c r="K59" s="157"/>
    </row>
    <row r="60" spans="1:11" x14ac:dyDescent="0.2">
      <c r="A60" s="156"/>
      <c r="B60" s="158" t="s">
        <v>113</v>
      </c>
      <c r="C60" s="158" t="s">
        <v>0</v>
      </c>
      <c r="D60" s="158" t="s">
        <v>177</v>
      </c>
      <c r="E60" s="158" t="s">
        <v>3</v>
      </c>
      <c r="F60" s="158" t="s">
        <v>56</v>
      </c>
      <c r="G60" s="158" t="s">
        <v>156</v>
      </c>
      <c r="H60" s="158" t="s">
        <v>7</v>
      </c>
      <c r="I60" s="158" t="s">
        <v>133</v>
      </c>
      <c r="J60" s="157" t="s">
        <v>258</v>
      </c>
      <c r="K60" s="157"/>
    </row>
    <row r="61" spans="1:11" x14ac:dyDescent="0.2">
      <c r="A61" s="156"/>
      <c r="B61" s="158" t="s">
        <v>113</v>
      </c>
      <c r="C61" s="158" t="s">
        <v>0</v>
      </c>
      <c r="D61" s="158" t="s">
        <v>177</v>
      </c>
      <c r="E61" s="158" t="s">
        <v>3</v>
      </c>
      <c r="F61" s="158" t="s">
        <v>56</v>
      </c>
      <c r="G61" s="158" t="s">
        <v>156</v>
      </c>
      <c r="H61" s="158" t="s">
        <v>7</v>
      </c>
      <c r="I61" s="158" t="s">
        <v>133</v>
      </c>
      <c r="J61" s="157" t="s">
        <v>258</v>
      </c>
      <c r="K61" s="157"/>
    </row>
    <row r="62" spans="1:11" x14ac:dyDescent="0.2">
      <c r="A62" s="156"/>
      <c r="B62" s="158" t="s">
        <v>113</v>
      </c>
      <c r="C62" s="158" t="s">
        <v>0</v>
      </c>
      <c r="D62" s="158" t="s">
        <v>177</v>
      </c>
      <c r="E62" s="158" t="s">
        <v>4</v>
      </c>
      <c r="F62" s="158" t="s">
        <v>23</v>
      </c>
      <c r="G62" s="158" t="s">
        <v>228</v>
      </c>
      <c r="H62" s="158" t="s">
        <v>7</v>
      </c>
      <c r="I62" s="158" t="s">
        <v>133</v>
      </c>
      <c r="J62" s="157" t="s">
        <v>258</v>
      </c>
      <c r="K62" s="157"/>
    </row>
    <row r="63" spans="1:11" x14ac:dyDescent="0.2">
      <c r="A63" s="156"/>
      <c r="B63" s="158" t="s">
        <v>113</v>
      </c>
      <c r="C63" s="158" t="s">
        <v>0</v>
      </c>
      <c r="D63" s="158" t="s">
        <v>177</v>
      </c>
      <c r="E63" s="158" t="s">
        <v>4</v>
      </c>
      <c r="F63" s="158" t="s">
        <v>10</v>
      </c>
      <c r="G63" s="158" t="s">
        <v>228</v>
      </c>
      <c r="H63" s="158" t="s">
        <v>7</v>
      </c>
      <c r="I63" s="158" t="s">
        <v>133</v>
      </c>
      <c r="J63" s="157" t="s">
        <v>258</v>
      </c>
      <c r="K63" s="157"/>
    </row>
    <row r="64" spans="1:11" x14ac:dyDescent="0.2">
      <c r="A64" s="156"/>
      <c r="B64" s="158" t="s">
        <v>113</v>
      </c>
      <c r="C64" s="158" t="s">
        <v>0</v>
      </c>
      <c r="D64" s="158" t="s">
        <v>177</v>
      </c>
      <c r="E64" s="158" t="s">
        <v>4</v>
      </c>
      <c r="F64" s="158" t="s">
        <v>10</v>
      </c>
      <c r="G64" s="158" t="s">
        <v>228</v>
      </c>
      <c r="H64" s="158" t="s">
        <v>7</v>
      </c>
      <c r="I64" s="158" t="s">
        <v>133</v>
      </c>
      <c r="J64" s="157" t="s">
        <v>258</v>
      </c>
      <c r="K64" s="157"/>
    </row>
    <row r="65" spans="1:11" x14ac:dyDescent="0.2">
      <c r="A65" s="156"/>
      <c r="B65" s="158" t="s">
        <v>113</v>
      </c>
      <c r="C65" s="158" t="s">
        <v>0</v>
      </c>
      <c r="D65" s="158" t="s">
        <v>177</v>
      </c>
      <c r="E65" s="158" t="s">
        <v>3</v>
      </c>
      <c r="F65" s="158" t="s">
        <v>56</v>
      </c>
      <c r="G65" s="158" t="s">
        <v>156</v>
      </c>
      <c r="H65" s="158" t="s">
        <v>7</v>
      </c>
      <c r="I65" s="158" t="s">
        <v>133</v>
      </c>
      <c r="J65" s="157" t="s">
        <v>258</v>
      </c>
      <c r="K65" s="157"/>
    </row>
    <row r="66" spans="1:11" x14ac:dyDescent="0.2">
      <c r="A66" s="156"/>
      <c r="B66" s="158" t="s">
        <v>113</v>
      </c>
      <c r="C66" s="158" t="s">
        <v>0</v>
      </c>
      <c r="D66" s="158" t="s">
        <v>177</v>
      </c>
      <c r="E66" s="158" t="s">
        <v>4</v>
      </c>
      <c r="F66" s="158" t="s">
        <v>13</v>
      </c>
      <c r="G66" s="158" t="s">
        <v>156</v>
      </c>
      <c r="H66" s="158" t="s">
        <v>159</v>
      </c>
      <c r="I66" s="157"/>
      <c r="J66" s="157"/>
      <c r="K66" s="157"/>
    </row>
    <row r="67" spans="1:11" x14ac:dyDescent="0.2">
      <c r="A67" s="156"/>
      <c r="B67" s="157" t="s">
        <v>114</v>
      </c>
      <c r="C67" s="158" t="s">
        <v>0</v>
      </c>
      <c r="D67" s="158" t="s">
        <v>177</v>
      </c>
      <c r="E67" s="158" t="s">
        <v>4</v>
      </c>
      <c r="F67" s="158" t="s">
        <v>10</v>
      </c>
      <c r="G67" s="158" t="s">
        <v>228</v>
      </c>
      <c r="H67" s="158" t="s">
        <v>17</v>
      </c>
      <c r="I67" s="157" t="s">
        <v>130</v>
      </c>
      <c r="J67" s="157"/>
      <c r="K67" s="157"/>
    </row>
    <row r="68" spans="1:11" x14ac:dyDescent="0.2">
      <c r="A68" s="156"/>
      <c r="B68" s="158" t="s">
        <v>114</v>
      </c>
      <c r="C68" s="158" t="s">
        <v>0</v>
      </c>
      <c r="D68" s="158" t="s">
        <v>177</v>
      </c>
      <c r="E68" s="158" t="s">
        <v>4</v>
      </c>
      <c r="F68" s="158" t="s">
        <v>14</v>
      </c>
      <c r="G68" s="158" t="s">
        <v>228</v>
      </c>
      <c r="H68" s="158" t="s">
        <v>17</v>
      </c>
      <c r="I68" s="157" t="s">
        <v>130</v>
      </c>
      <c r="J68" s="157"/>
      <c r="K68" s="157"/>
    </row>
    <row r="69" spans="1:11" x14ac:dyDescent="0.2">
      <c r="A69" s="156"/>
      <c r="B69" s="158" t="s">
        <v>114</v>
      </c>
      <c r="C69" s="158" t="s">
        <v>0</v>
      </c>
      <c r="D69" s="158" t="s">
        <v>177</v>
      </c>
      <c r="E69" s="158" t="s">
        <v>4</v>
      </c>
      <c r="F69" s="158" t="s">
        <v>10</v>
      </c>
      <c r="G69" s="158" t="s">
        <v>228</v>
      </c>
      <c r="H69" s="158" t="s">
        <v>17</v>
      </c>
      <c r="I69" s="157" t="s">
        <v>130</v>
      </c>
      <c r="J69" s="157"/>
      <c r="K69" s="157"/>
    </row>
    <row r="70" spans="1:11" x14ac:dyDescent="0.2">
      <c r="A70" s="156"/>
      <c r="B70" s="158" t="s">
        <v>113</v>
      </c>
      <c r="C70" s="158" t="s">
        <v>0</v>
      </c>
      <c r="D70" s="158" t="s">
        <v>177</v>
      </c>
      <c r="E70" s="158" t="s">
        <v>4</v>
      </c>
      <c r="F70" s="158" t="s">
        <v>13</v>
      </c>
      <c r="G70" s="158" t="s">
        <v>156</v>
      </c>
      <c r="H70" s="158" t="s">
        <v>159</v>
      </c>
      <c r="I70" s="157"/>
      <c r="J70" s="157"/>
      <c r="K70" s="157"/>
    </row>
    <row r="71" spans="1:11" x14ac:dyDescent="0.2">
      <c r="A71" s="156"/>
      <c r="B71" s="158" t="s">
        <v>113</v>
      </c>
      <c r="C71" s="158" t="s">
        <v>1</v>
      </c>
      <c r="D71" s="158" t="s">
        <v>177</v>
      </c>
      <c r="E71" s="158" t="s">
        <v>3</v>
      </c>
      <c r="F71" s="158" t="s">
        <v>13</v>
      </c>
      <c r="G71" s="158" t="s">
        <v>156</v>
      </c>
      <c r="H71" s="158" t="s">
        <v>159</v>
      </c>
      <c r="I71" s="157"/>
      <c r="J71" s="157"/>
      <c r="K71" s="157"/>
    </row>
    <row r="72" spans="1:11" x14ac:dyDescent="0.2">
      <c r="A72" s="156"/>
      <c r="B72" s="158" t="s">
        <v>113</v>
      </c>
      <c r="C72" s="158" t="s">
        <v>1</v>
      </c>
      <c r="D72" s="158" t="s">
        <v>177</v>
      </c>
      <c r="E72" s="158" t="s">
        <v>4</v>
      </c>
      <c r="F72" s="158" t="s">
        <v>10</v>
      </c>
      <c r="G72" s="158" t="s">
        <v>156</v>
      </c>
      <c r="H72" s="158" t="s">
        <v>159</v>
      </c>
      <c r="I72" s="157"/>
      <c r="J72" s="157"/>
      <c r="K72" s="157"/>
    </row>
    <row r="73" spans="1:11" x14ac:dyDescent="0.2">
      <c r="A73" s="156"/>
      <c r="B73" s="158" t="s">
        <v>112</v>
      </c>
      <c r="C73" s="158" t="s">
        <v>0</v>
      </c>
      <c r="D73" s="158" t="s">
        <v>177</v>
      </c>
      <c r="E73" s="158" t="s">
        <v>4</v>
      </c>
      <c r="F73" s="158" t="s">
        <v>13</v>
      </c>
      <c r="G73" s="158" t="s">
        <v>156</v>
      </c>
      <c r="H73" s="158" t="s">
        <v>159</v>
      </c>
      <c r="I73" s="157"/>
      <c r="J73" s="157"/>
      <c r="K73" s="157"/>
    </row>
    <row r="74" spans="1:11" x14ac:dyDescent="0.2">
      <c r="A74" s="156"/>
      <c r="B74" s="158" t="s">
        <v>112</v>
      </c>
      <c r="C74" s="158" t="s">
        <v>1</v>
      </c>
      <c r="D74" s="158" t="s">
        <v>177</v>
      </c>
      <c r="E74" s="158" t="s">
        <v>4</v>
      </c>
      <c r="F74" s="158" t="s">
        <v>13</v>
      </c>
      <c r="G74" s="158" t="s">
        <v>156</v>
      </c>
      <c r="H74" s="158" t="s">
        <v>159</v>
      </c>
      <c r="I74" s="157"/>
      <c r="J74" s="157"/>
      <c r="K74" s="157"/>
    </row>
    <row r="75" spans="1:11" x14ac:dyDescent="0.2">
      <c r="A75" s="156"/>
      <c r="B75" s="158" t="s">
        <v>112</v>
      </c>
      <c r="C75" s="158" t="s">
        <v>0</v>
      </c>
      <c r="D75" s="158" t="s">
        <v>177</v>
      </c>
      <c r="E75" s="158" t="s">
        <v>3</v>
      </c>
      <c r="F75" s="158" t="s">
        <v>106</v>
      </c>
      <c r="G75" s="158" t="s">
        <v>156</v>
      </c>
      <c r="H75" s="158" t="s">
        <v>159</v>
      </c>
      <c r="I75" s="157"/>
      <c r="J75" s="157"/>
      <c r="K75" s="157"/>
    </row>
    <row r="76" spans="1:11" x14ac:dyDescent="0.2">
      <c r="A76" s="156"/>
      <c r="B76" s="158" t="s">
        <v>114</v>
      </c>
      <c r="C76" s="158" t="s">
        <v>1</v>
      </c>
      <c r="D76" s="158" t="s">
        <v>177</v>
      </c>
      <c r="E76" s="158" t="s">
        <v>4</v>
      </c>
      <c r="F76" s="158" t="s">
        <v>23</v>
      </c>
      <c r="G76" s="158" t="s">
        <v>158</v>
      </c>
      <c r="H76" s="158" t="s">
        <v>17</v>
      </c>
      <c r="I76" s="157" t="s">
        <v>130</v>
      </c>
      <c r="J76" s="157"/>
      <c r="K76" s="157"/>
    </row>
    <row r="77" spans="1:11" x14ac:dyDescent="0.2">
      <c r="A77" s="156"/>
      <c r="B77" s="158" t="s">
        <v>114</v>
      </c>
      <c r="C77" s="158" t="s">
        <v>0</v>
      </c>
      <c r="D77" s="158" t="s">
        <v>177</v>
      </c>
      <c r="E77" s="158" t="s">
        <v>3</v>
      </c>
      <c r="F77" s="158" t="s">
        <v>15</v>
      </c>
      <c r="G77" s="158" t="s">
        <v>156</v>
      </c>
      <c r="H77" s="158" t="s">
        <v>17</v>
      </c>
      <c r="I77" s="157" t="s">
        <v>130</v>
      </c>
      <c r="J77" s="157"/>
      <c r="K77" s="157"/>
    </row>
    <row r="78" spans="1:11" x14ac:dyDescent="0.2">
      <c r="A78" s="156"/>
      <c r="B78" s="158" t="s">
        <v>114</v>
      </c>
      <c r="C78" s="158" t="s">
        <v>1</v>
      </c>
      <c r="D78" s="158" t="s">
        <v>177</v>
      </c>
      <c r="E78" s="158" t="s">
        <v>4</v>
      </c>
      <c r="F78" s="158" t="s">
        <v>15</v>
      </c>
      <c r="G78" s="158" t="s">
        <v>156</v>
      </c>
      <c r="H78" s="158" t="s">
        <v>17</v>
      </c>
      <c r="I78" s="157" t="s">
        <v>130</v>
      </c>
      <c r="J78" s="157"/>
      <c r="K78" s="157"/>
    </row>
    <row r="79" spans="1:11" x14ac:dyDescent="0.2">
      <c r="A79" s="156"/>
      <c r="B79" s="158" t="s">
        <v>114</v>
      </c>
      <c r="C79" s="158" t="s">
        <v>0</v>
      </c>
      <c r="D79" s="158" t="s">
        <v>177</v>
      </c>
      <c r="E79" s="158" t="s">
        <v>3</v>
      </c>
      <c r="F79" s="157" t="s">
        <v>9</v>
      </c>
      <c r="G79" s="158" t="s">
        <v>156</v>
      </c>
      <c r="H79" s="158" t="s">
        <v>7</v>
      </c>
      <c r="I79" s="157" t="s">
        <v>119</v>
      </c>
      <c r="J79" s="157"/>
      <c r="K79" s="157"/>
    </row>
    <row r="80" spans="1:11" x14ac:dyDescent="0.2">
      <c r="A80" s="156"/>
      <c r="B80" s="158" t="s">
        <v>114</v>
      </c>
      <c r="C80" s="158" t="s">
        <v>0</v>
      </c>
      <c r="D80" s="158" t="s">
        <v>177</v>
      </c>
      <c r="E80" s="158" t="s">
        <v>3</v>
      </c>
      <c r="F80" s="158" t="s">
        <v>23</v>
      </c>
      <c r="G80" s="158" t="s">
        <v>156</v>
      </c>
      <c r="H80" s="158" t="s">
        <v>7</v>
      </c>
      <c r="I80" s="158" t="s">
        <v>119</v>
      </c>
      <c r="J80" s="157"/>
      <c r="K80" s="157"/>
    </row>
    <row r="81" spans="1:11" x14ac:dyDescent="0.2">
      <c r="A81" s="156"/>
      <c r="B81" s="158" t="s">
        <v>114</v>
      </c>
      <c r="C81" s="158" t="s">
        <v>0</v>
      </c>
      <c r="D81" s="158" t="s">
        <v>177</v>
      </c>
      <c r="E81" s="158" t="s">
        <v>3</v>
      </c>
      <c r="F81" s="158" t="s">
        <v>16</v>
      </c>
      <c r="G81" s="158" t="s">
        <v>156</v>
      </c>
      <c r="H81" s="158" t="s">
        <v>7</v>
      </c>
      <c r="I81" s="158" t="s">
        <v>119</v>
      </c>
      <c r="J81" s="157"/>
      <c r="K81" s="157"/>
    </row>
    <row r="82" spans="1:11" x14ac:dyDescent="0.2">
      <c r="A82" s="156"/>
      <c r="B82" s="158" t="s">
        <v>114</v>
      </c>
      <c r="C82" s="158" t="s">
        <v>0</v>
      </c>
      <c r="D82" s="158" t="s">
        <v>177</v>
      </c>
      <c r="E82" s="158" t="s">
        <v>3</v>
      </c>
      <c r="F82" s="158" t="s">
        <v>12</v>
      </c>
      <c r="G82" s="158" t="s">
        <v>156</v>
      </c>
      <c r="H82" s="158" t="s">
        <v>7</v>
      </c>
      <c r="I82" s="158" t="s">
        <v>119</v>
      </c>
      <c r="J82" s="157"/>
      <c r="K82" s="157"/>
    </row>
    <row r="83" spans="1:11" x14ac:dyDescent="0.2">
      <c r="A83" s="156"/>
      <c r="B83" s="158" t="s">
        <v>114</v>
      </c>
      <c r="C83" s="158" t="s">
        <v>0</v>
      </c>
      <c r="D83" s="158" t="s">
        <v>177</v>
      </c>
      <c r="E83" s="158" t="s">
        <v>3</v>
      </c>
      <c r="F83" s="158" t="s">
        <v>13</v>
      </c>
      <c r="G83" s="158" t="s">
        <v>156</v>
      </c>
      <c r="H83" s="158" t="s">
        <v>7</v>
      </c>
      <c r="I83" s="158" t="s">
        <v>119</v>
      </c>
      <c r="J83" s="157"/>
      <c r="K83" s="157"/>
    </row>
    <row r="84" spans="1:11" x14ac:dyDescent="0.2">
      <c r="A84" s="156"/>
      <c r="B84" s="158" t="s">
        <v>114</v>
      </c>
      <c r="C84" s="158" t="s">
        <v>1</v>
      </c>
      <c r="D84" s="158" t="s">
        <v>177</v>
      </c>
      <c r="E84" s="158" t="s">
        <v>4</v>
      </c>
      <c r="F84" s="158" t="s">
        <v>13</v>
      </c>
      <c r="G84" s="158" t="s">
        <v>158</v>
      </c>
      <c r="H84" s="158" t="s">
        <v>17</v>
      </c>
      <c r="I84" s="157" t="s">
        <v>130</v>
      </c>
      <c r="J84" s="157"/>
      <c r="K84" s="157"/>
    </row>
    <row r="85" spans="1:11" x14ac:dyDescent="0.2">
      <c r="A85" s="156"/>
      <c r="B85" s="158" t="s">
        <v>114</v>
      </c>
      <c r="C85" s="158" t="s">
        <v>0</v>
      </c>
      <c r="D85" s="158" t="s">
        <v>177</v>
      </c>
      <c r="E85" s="158" t="s">
        <v>3</v>
      </c>
      <c r="F85" s="158" t="s">
        <v>106</v>
      </c>
      <c r="G85" s="158" t="s">
        <v>155</v>
      </c>
      <c r="H85" s="158" t="s">
        <v>17</v>
      </c>
      <c r="I85" s="157" t="s">
        <v>130</v>
      </c>
      <c r="J85" s="157"/>
      <c r="K85" s="157"/>
    </row>
    <row r="86" spans="1:11" x14ac:dyDescent="0.2">
      <c r="A86" s="156"/>
      <c r="B86" s="158" t="s">
        <v>114</v>
      </c>
      <c r="C86" s="158" t="s">
        <v>1</v>
      </c>
      <c r="D86" s="158" t="s">
        <v>177</v>
      </c>
      <c r="E86" s="158" t="s">
        <v>4</v>
      </c>
      <c r="F86" s="158" t="s">
        <v>106</v>
      </c>
      <c r="G86" s="158" t="s">
        <v>155</v>
      </c>
      <c r="H86" s="158" t="s">
        <v>17</v>
      </c>
      <c r="I86" s="157" t="s">
        <v>130</v>
      </c>
      <c r="J86" s="157"/>
      <c r="K86" s="157"/>
    </row>
    <row r="87" spans="1:11" x14ac:dyDescent="0.2">
      <c r="A87" s="156"/>
      <c r="B87" s="158" t="s">
        <v>114</v>
      </c>
      <c r="C87" s="158" t="s">
        <v>1</v>
      </c>
      <c r="D87" s="158" t="s">
        <v>177</v>
      </c>
      <c r="E87" s="158" t="s">
        <v>3</v>
      </c>
      <c r="F87" s="158" t="s">
        <v>153</v>
      </c>
      <c r="G87" s="158" t="s">
        <v>156</v>
      </c>
      <c r="H87" s="158" t="s">
        <v>7</v>
      </c>
      <c r="I87" s="157" t="s">
        <v>120</v>
      </c>
      <c r="J87" s="157"/>
      <c r="K87" s="157"/>
    </row>
    <row r="88" spans="1:11" x14ac:dyDescent="0.2">
      <c r="A88" s="156"/>
      <c r="B88" s="158" t="s">
        <v>114</v>
      </c>
      <c r="C88" s="158" t="s">
        <v>1</v>
      </c>
      <c r="D88" s="158" t="s">
        <v>177</v>
      </c>
      <c r="E88" s="158" t="s">
        <v>4</v>
      </c>
      <c r="F88" s="158" t="s">
        <v>13</v>
      </c>
      <c r="G88" s="158" t="s">
        <v>156</v>
      </c>
      <c r="H88" s="158" t="s">
        <v>7</v>
      </c>
      <c r="I88" s="158" t="s">
        <v>120</v>
      </c>
      <c r="J88" s="157"/>
      <c r="K88" s="157"/>
    </row>
    <row r="89" spans="1:11" x14ac:dyDescent="0.2">
      <c r="A89" s="156"/>
      <c r="B89" s="158" t="s">
        <v>114</v>
      </c>
      <c r="C89" s="158" t="s">
        <v>1</v>
      </c>
      <c r="D89" s="158" t="s">
        <v>177</v>
      </c>
      <c r="E89" s="158" t="s">
        <v>4</v>
      </c>
      <c r="F89" s="158" t="s">
        <v>13</v>
      </c>
      <c r="G89" s="158" t="s">
        <v>156</v>
      </c>
      <c r="H89" s="158" t="s">
        <v>7</v>
      </c>
      <c r="I89" s="158" t="s">
        <v>120</v>
      </c>
      <c r="J89" s="157"/>
      <c r="K89" s="157"/>
    </row>
    <row r="90" spans="1:11" x14ac:dyDescent="0.2">
      <c r="A90" s="156"/>
      <c r="B90" s="158" t="s">
        <v>114</v>
      </c>
      <c r="C90" s="158" t="s">
        <v>1</v>
      </c>
      <c r="D90" s="158" t="s">
        <v>177</v>
      </c>
      <c r="E90" s="158" t="s">
        <v>4</v>
      </c>
      <c r="F90" s="158" t="s">
        <v>106</v>
      </c>
      <c r="G90" s="158" t="s">
        <v>156</v>
      </c>
      <c r="H90" s="158" t="s">
        <v>7</v>
      </c>
      <c r="I90" s="158" t="s">
        <v>120</v>
      </c>
      <c r="J90" s="157"/>
      <c r="K90" s="157"/>
    </row>
    <row r="91" spans="1:11" x14ac:dyDescent="0.2">
      <c r="A91" s="156"/>
      <c r="B91" s="157" t="s">
        <v>116</v>
      </c>
      <c r="C91" s="158" t="s">
        <v>0</v>
      </c>
      <c r="D91" s="158" t="s">
        <v>177</v>
      </c>
      <c r="E91" s="158" t="s">
        <v>3</v>
      </c>
      <c r="F91" s="158" t="s">
        <v>110</v>
      </c>
      <c r="G91" s="158" t="s">
        <v>110</v>
      </c>
      <c r="H91" s="158" t="s">
        <v>7</v>
      </c>
      <c r="I91" s="157" t="s">
        <v>134</v>
      </c>
      <c r="J91" s="157" t="s">
        <v>124</v>
      </c>
      <c r="K91" s="157"/>
    </row>
    <row r="92" spans="1:11" x14ac:dyDescent="0.2">
      <c r="A92" s="156"/>
      <c r="B92" s="157" t="s">
        <v>116</v>
      </c>
      <c r="C92" s="158" t="s">
        <v>0</v>
      </c>
      <c r="D92" s="158" t="s">
        <v>177</v>
      </c>
      <c r="E92" s="158" t="s">
        <v>3</v>
      </c>
      <c r="F92" s="158" t="s">
        <v>110</v>
      </c>
      <c r="G92" s="158" t="s">
        <v>110</v>
      </c>
      <c r="H92" s="158" t="s">
        <v>7</v>
      </c>
      <c r="I92" s="157" t="s">
        <v>134</v>
      </c>
      <c r="J92" s="157" t="s">
        <v>124</v>
      </c>
      <c r="K92" s="157"/>
    </row>
    <row r="93" spans="1:11" x14ac:dyDescent="0.2">
      <c r="A93" s="156"/>
      <c r="B93" s="157" t="s">
        <v>116</v>
      </c>
      <c r="C93" s="158" t="s">
        <v>0</v>
      </c>
      <c r="D93" s="158" t="s">
        <v>177</v>
      </c>
      <c r="E93" s="158" t="s">
        <v>3</v>
      </c>
      <c r="F93" s="158" t="s">
        <v>110</v>
      </c>
      <c r="G93" s="158" t="s">
        <v>110</v>
      </c>
      <c r="H93" s="158" t="s">
        <v>7</v>
      </c>
      <c r="I93" s="157" t="s">
        <v>134</v>
      </c>
      <c r="J93" s="157" t="s">
        <v>124</v>
      </c>
      <c r="K93" s="157" t="s">
        <v>128</v>
      </c>
    </row>
    <row r="94" spans="1:11" x14ac:dyDescent="0.2">
      <c r="A94" s="156"/>
      <c r="B94" s="157" t="s">
        <v>116</v>
      </c>
      <c r="C94" s="158" t="s">
        <v>0</v>
      </c>
      <c r="D94" s="158" t="s">
        <v>177</v>
      </c>
      <c r="E94" s="158" t="s">
        <v>3</v>
      </c>
      <c r="F94" s="158" t="s">
        <v>110</v>
      </c>
      <c r="G94" s="158" t="s">
        <v>110</v>
      </c>
      <c r="H94" s="158" t="s">
        <v>7</v>
      </c>
      <c r="I94" s="157" t="s">
        <v>134</v>
      </c>
      <c r="J94" s="157" t="s">
        <v>124</v>
      </c>
      <c r="K94" s="157"/>
    </row>
    <row r="95" spans="1:11" x14ac:dyDescent="0.2">
      <c r="A95" s="156"/>
      <c r="B95" s="157" t="s">
        <v>116</v>
      </c>
      <c r="C95" s="158" t="s">
        <v>0</v>
      </c>
      <c r="D95" s="158" t="s">
        <v>177</v>
      </c>
      <c r="E95" s="158" t="s">
        <v>4</v>
      </c>
      <c r="F95" s="158" t="s">
        <v>110</v>
      </c>
      <c r="G95" s="158" t="s">
        <v>110</v>
      </c>
      <c r="H95" s="158" t="s">
        <v>7</v>
      </c>
      <c r="I95" s="157" t="s">
        <v>134</v>
      </c>
      <c r="J95" s="157" t="s">
        <v>124</v>
      </c>
      <c r="K95" s="157"/>
    </row>
    <row r="96" spans="1:11" x14ac:dyDescent="0.2">
      <c r="A96" s="156"/>
      <c r="B96" s="157" t="s">
        <v>116</v>
      </c>
      <c r="C96" s="158" t="s">
        <v>0</v>
      </c>
      <c r="D96" s="158" t="s">
        <v>177</v>
      </c>
      <c r="E96" s="158" t="s">
        <v>4</v>
      </c>
      <c r="F96" s="158" t="s">
        <v>110</v>
      </c>
      <c r="G96" s="158" t="s">
        <v>110</v>
      </c>
      <c r="H96" s="158" t="s">
        <v>7</v>
      </c>
      <c r="I96" s="157" t="s">
        <v>134</v>
      </c>
      <c r="J96" s="157" t="s">
        <v>124</v>
      </c>
      <c r="K96" s="157"/>
    </row>
    <row r="97" spans="1:11" x14ac:dyDescent="0.2">
      <c r="A97" s="156"/>
      <c r="B97" s="157" t="s">
        <v>116</v>
      </c>
      <c r="C97" s="158" t="s">
        <v>0</v>
      </c>
      <c r="D97" s="158" t="s">
        <v>177</v>
      </c>
      <c r="E97" s="158" t="s">
        <v>4</v>
      </c>
      <c r="F97" s="158" t="s">
        <v>110</v>
      </c>
      <c r="G97" s="158" t="s">
        <v>110</v>
      </c>
      <c r="H97" s="158" t="s">
        <v>7</v>
      </c>
      <c r="I97" s="157" t="s">
        <v>134</v>
      </c>
      <c r="J97" s="157" t="s">
        <v>124</v>
      </c>
      <c r="K97" s="157" t="s">
        <v>128</v>
      </c>
    </row>
    <row r="98" spans="1:11" x14ac:dyDescent="0.2">
      <c r="A98" s="156"/>
      <c r="B98" s="157" t="s">
        <v>116</v>
      </c>
      <c r="C98" s="158" t="s">
        <v>0</v>
      </c>
      <c r="D98" s="158" t="s">
        <v>177</v>
      </c>
      <c r="E98" s="158" t="s">
        <v>4</v>
      </c>
      <c r="F98" s="158" t="s">
        <v>110</v>
      </c>
      <c r="G98" s="158" t="s">
        <v>110</v>
      </c>
      <c r="H98" s="158" t="s">
        <v>7</v>
      </c>
      <c r="I98" s="157" t="s">
        <v>134</v>
      </c>
      <c r="J98" s="157" t="s">
        <v>124</v>
      </c>
      <c r="K98" s="157"/>
    </row>
    <row r="99" spans="1:11" x14ac:dyDescent="0.2">
      <c r="A99" s="156"/>
      <c r="B99" s="157" t="s">
        <v>116</v>
      </c>
      <c r="C99" s="158" t="s">
        <v>0</v>
      </c>
      <c r="D99" s="158" t="s">
        <v>177</v>
      </c>
      <c r="E99" s="158" t="s">
        <v>4</v>
      </c>
      <c r="F99" s="158" t="s">
        <v>110</v>
      </c>
      <c r="G99" s="158" t="s">
        <v>110</v>
      </c>
      <c r="H99" s="158" t="s">
        <v>7</v>
      </c>
      <c r="I99" s="157" t="s">
        <v>134</v>
      </c>
      <c r="J99" s="157" t="s">
        <v>124</v>
      </c>
      <c r="K99" s="157"/>
    </row>
    <row r="100" spans="1:11" x14ac:dyDescent="0.2">
      <c r="A100" s="156"/>
      <c r="B100" s="157" t="s">
        <v>116</v>
      </c>
      <c r="C100" s="158" t="s">
        <v>0</v>
      </c>
      <c r="D100" s="158" t="s">
        <v>177</v>
      </c>
      <c r="E100" s="158" t="s">
        <v>4</v>
      </c>
      <c r="F100" s="158" t="s">
        <v>110</v>
      </c>
      <c r="G100" s="158" t="s">
        <v>110</v>
      </c>
      <c r="H100" s="158" t="s">
        <v>7</v>
      </c>
      <c r="I100" s="157" t="s">
        <v>134</v>
      </c>
      <c r="J100" s="157" t="s">
        <v>124</v>
      </c>
      <c r="K100" s="157" t="s">
        <v>128</v>
      </c>
    </row>
    <row r="101" spans="1:11" x14ac:dyDescent="0.2">
      <c r="A101" s="156"/>
      <c r="B101" s="157" t="s">
        <v>116</v>
      </c>
      <c r="C101" s="158" t="s">
        <v>0</v>
      </c>
      <c r="D101" s="158" t="s">
        <v>177</v>
      </c>
      <c r="E101" s="158" t="s">
        <v>4</v>
      </c>
      <c r="F101" s="158" t="s">
        <v>110</v>
      </c>
      <c r="G101" s="158" t="s">
        <v>110</v>
      </c>
      <c r="H101" s="158" t="s">
        <v>7</v>
      </c>
      <c r="I101" s="157" t="s">
        <v>134</v>
      </c>
      <c r="J101" s="157" t="s">
        <v>124</v>
      </c>
      <c r="K101" s="157"/>
    </row>
    <row r="102" spans="1:11" x14ac:dyDescent="0.2">
      <c r="A102" s="156"/>
      <c r="B102" s="157" t="s">
        <v>116</v>
      </c>
      <c r="C102" s="158" t="s">
        <v>0</v>
      </c>
      <c r="D102" s="158" t="s">
        <v>177</v>
      </c>
      <c r="E102" s="158" t="s">
        <v>4</v>
      </c>
      <c r="F102" s="158" t="s">
        <v>110</v>
      </c>
      <c r="G102" s="158" t="s">
        <v>110</v>
      </c>
      <c r="H102" s="158" t="s">
        <v>7</v>
      </c>
      <c r="I102" s="157" t="s">
        <v>134</v>
      </c>
      <c r="J102" s="157" t="s">
        <v>124</v>
      </c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opLeftCell="A34" workbookViewId="0">
      <selection activeCell="G124" sqref="G124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112</v>
      </c>
      <c r="C5" s="157" t="s">
        <v>0</v>
      </c>
      <c r="D5" s="157" t="s">
        <v>2</v>
      </c>
      <c r="E5" s="157" t="s">
        <v>4</v>
      </c>
      <c r="F5" s="157" t="s">
        <v>12</v>
      </c>
      <c r="G5" s="157" t="s">
        <v>156</v>
      </c>
      <c r="H5" s="157" t="s">
        <v>159</v>
      </c>
      <c r="I5" s="157"/>
      <c r="J5" s="157"/>
      <c r="K5" s="157"/>
    </row>
    <row r="6" spans="1:11" x14ac:dyDescent="0.2">
      <c r="A6" s="156"/>
      <c r="B6" s="158" t="s">
        <v>112</v>
      </c>
      <c r="C6" s="158" t="s">
        <v>0</v>
      </c>
      <c r="D6" s="157" t="s">
        <v>177</v>
      </c>
      <c r="E6" s="157" t="s">
        <v>3</v>
      </c>
      <c r="F6" s="157" t="s">
        <v>56</v>
      </c>
      <c r="G6" s="157" t="s">
        <v>228</v>
      </c>
      <c r="H6" s="158" t="s">
        <v>159</v>
      </c>
      <c r="I6" s="157"/>
      <c r="J6" s="157"/>
      <c r="K6" s="157"/>
    </row>
    <row r="7" spans="1:11" x14ac:dyDescent="0.2">
      <c r="A7" s="156"/>
      <c r="B7" s="157" t="s">
        <v>113</v>
      </c>
      <c r="C7" s="157" t="s">
        <v>1</v>
      </c>
      <c r="D7" s="158" t="s">
        <v>177</v>
      </c>
      <c r="E7" s="158" t="s">
        <v>3</v>
      </c>
      <c r="F7" s="157" t="s">
        <v>10</v>
      </c>
      <c r="G7" s="158" t="s">
        <v>156</v>
      </c>
      <c r="H7" s="158" t="s">
        <v>18</v>
      </c>
      <c r="I7" s="157"/>
      <c r="J7" s="157"/>
      <c r="K7" s="157"/>
    </row>
    <row r="8" spans="1:11" x14ac:dyDescent="0.2">
      <c r="A8" s="156"/>
      <c r="B8" s="158" t="s">
        <v>113</v>
      </c>
      <c r="C8" s="158" t="s">
        <v>0</v>
      </c>
      <c r="D8" s="158" t="s">
        <v>177</v>
      </c>
      <c r="E8" s="158" t="s">
        <v>4</v>
      </c>
      <c r="F8" s="158" t="s">
        <v>11</v>
      </c>
      <c r="G8" s="158" t="s">
        <v>156</v>
      </c>
      <c r="H8" s="158" t="s">
        <v>18</v>
      </c>
      <c r="I8" s="157"/>
      <c r="J8" s="157"/>
      <c r="K8" s="157"/>
    </row>
    <row r="9" spans="1:11" x14ac:dyDescent="0.2">
      <c r="A9" s="156"/>
      <c r="B9" s="158" t="s">
        <v>113</v>
      </c>
      <c r="C9" s="158" t="s">
        <v>0</v>
      </c>
      <c r="D9" s="158" t="s">
        <v>2</v>
      </c>
      <c r="E9" s="158" t="s">
        <v>4</v>
      </c>
      <c r="F9" s="158" t="s">
        <v>11</v>
      </c>
      <c r="G9" s="158" t="s">
        <v>156</v>
      </c>
      <c r="H9" s="158" t="s">
        <v>17</v>
      </c>
      <c r="I9" s="157" t="s">
        <v>130</v>
      </c>
      <c r="J9" s="157"/>
      <c r="K9" s="157"/>
    </row>
    <row r="10" spans="1:11" x14ac:dyDescent="0.2">
      <c r="A10" s="156"/>
      <c r="B10" s="158" t="s">
        <v>115</v>
      </c>
      <c r="C10" s="158" t="s">
        <v>0</v>
      </c>
      <c r="D10" s="158" t="s">
        <v>177</v>
      </c>
      <c r="E10" s="158" t="s">
        <v>3</v>
      </c>
      <c r="F10" s="158" t="s">
        <v>16</v>
      </c>
      <c r="G10" s="158" t="s">
        <v>156</v>
      </c>
      <c r="H10" s="158" t="s">
        <v>159</v>
      </c>
      <c r="I10" s="157"/>
      <c r="J10" s="157"/>
      <c r="K10" s="157"/>
    </row>
    <row r="11" spans="1:11" x14ac:dyDescent="0.2">
      <c r="A11" s="156"/>
      <c r="B11" s="158" t="s">
        <v>115</v>
      </c>
      <c r="C11" s="158" t="s">
        <v>0</v>
      </c>
      <c r="D11" s="158" t="s">
        <v>2</v>
      </c>
      <c r="E11" s="158" t="s">
        <v>3</v>
      </c>
      <c r="F11" s="158" t="s">
        <v>13</v>
      </c>
      <c r="G11" s="158" t="s">
        <v>156</v>
      </c>
      <c r="H11" s="158" t="s">
        <v>17</v>
      </c>
      <c r="I11" s="157" t="s">
        <v>151</v>
      </c>
      <c r="J11" s="157"/>
      <c r="K11" s="157"/>
    </row>
    <row r="12" spans="1:11" x14ac:dyDescent="0.2">
      <c r="A12" s="156"/>
      <c r="B12" s="158" t="s">
        <v>115</v>
      </c>
      <c r="C12" s="158" t="s">
        <v>1</v>
      </c>
      <c r="D12" s="158" t="s">
        <v>2</v>
      </c>
      <c r="E12" s="158" t="s">
        <v>4</v>
      </c>
      <c r="F12" s="158" t="s">
        <v>13</v>
      </c>
      <c r="G12" s="158" t="s">
        <v>156</v>
      </c>
      <c r="H12" s="158" t="s">
        <v>17</v>
      </c>
      <c r="I12" s="158" t="s">
        <v>151</v>
      </c>
      <c r="J12" s="157"/>
      <c r="K12" s="157"/>
    </row>
    <row r="13" spans="1:11" x14ac:dyDescent="0.2">
      <c r="A13" s="156"/>
      <c r="B13" s="158" t="s">
        <v>115</v>
      </c>
      <c r="C13" s="158" t="s">
        <v>1</v>
      </c>
      <c r="D13" s="158" t="s">
        <v>2</v>
      </c>
      <c r="E13" s="158" t="s">
        <v>4</v>
      </c>
      <c r="F13" s="158" t="s">
        <v>13</v>
      </c>
      <c r="G13" s="158" t="s">
        <v>156</v>
      </c>
      <c r="H13" s="158" t="s">
        <v>17</v>
      </c>
      <c r="I13" s="158" t="s">
        <v>151</v>
      </c>
      <c r="J13" s="157"/>
      <c r="K13" s="157"/>
    </row>
    <row r="14" spans="1:11" x14ac:dyDescent="0.2">
      <c r="A14" s="156"/>
      <c r="B14" s="158" t="s">
        <v>115</v>
      </c>
      <c r="C14" s="158" t="s">
        <v>1</v>
      </c>
      <c r="D14" s="158" t="s">
        <v>2</v>
      </c>
      <c r="E14" s="158" t="s">
        <v>4</v>
      </c>
      <c r="F14" s="158" t="s">
        <v>13</v>
      </c>
      <c r="G14" s="158" t="s">
        <v>156</v>
      </c>
      <c r="H14" s="158" t="s">
        <v>17</v>
      </c>
      <c r="I14" s="158" t="s">
        <v>151</v>
      </c>
      <c r="J14" s="158"/>
      <c r="K14" s="158"/>
    </row>
    <row r="15" spans="1:11" x14ac:dyDescent="0.2">
      <c r="A15" s="156"/>
      <c r="B15" s="158" t="s">
        <v>113</v>
      </c>
      <c r="C15" s="158" t="s">
        <v>0</v>
      </c>
      <c r="D15" s="158" t="s">
        <v>177</v>
      </c>
      <c r="E15" s="158" t="s">
        <v>3</v>
      </c>
      <c r="F15" s="158" t="s">
        <v>56</v>
      </c>
      <c r="G15" s="158" t="s">
        <v>156</v>
      </c>
      <c r="H15" s="158" t="s">
        <v>159</v>
      </c>
      <c r="I15" s="158"/>
      <c r="J15" s="158"/>
      <c r="K15" s="158"/>
    </row>
    <row r="16" spans="1:11" x14ac:dyDescent="0.2">
      <c r="A16" s="156"/>
      <c r="B16" s="158" t="s">
        <v>113</v>
      </c>
      <c r="C16" s="158" t="s">
        <v>0</v>
      </c>
      <c r="D16" s="158" t="s">
        <v>177</v>
      </c>
      <c r="E16" s="158" t="s">
        <v>3</v>
      </c>
      <c r="F16" s="158" t="s">
        <v>56</v>
      </c>
      <c r="G16" s="158" t="s">
        <v>156</v>
      </c>
      <c r="H16" s="158" t="s">
        <v>7</v>
      </c>
      <c r="I16" s="158" t="s">
        <v>103</v>
      </c>
      <c r="J16" s="158"/>
      <c r="K16" s="158"/>
    </row>
    <row r="17" spans="1:11" x14ac:dyDescent="0.2">
      <c r="A17" s="156"/>
      <c r="B17" s="158" t="s">
        <v>113</v>
      </c>
      <c r="C17" s="158" t="s">
        <v>0</v>
      </c>
      <c r="D17" s="158" t="s">
        <v>177</v>
      </c>
      <c r="E17" s="158" t="s">
        <v>3</v>
      </c>
      <c r="F17" s="157" t="s">
        <v>153</v>
      </c>
      <c r="G17" s="158" t="s">
        <v>156</v>
      </c>
      <c r="H17" s="158" t="s">
        <v>7</v>
      </c>
      <c r="I17" s="158" t="s">
        <v>103</v>
      </c>
      <c r="J17" s="157"/>
      <c r="K17" s="157"/>
    </row>
    <row r="18" spans="1:11" x14ac:dyDescent="0.2">
      <c r="A18" s="156"/>
      <c r="B18" s="158" t="s">
        <v>113</v>
      </c>
      <c r="C18" s="158" t="s">
        <v>1</v>
      </c>
      <c r="D18" s="158" t="s">
        <v>177</v>
      </c>
      <c r="E18" s="158" t="s">
        <v>4</v>
      </c>
      <c r="F18" s="158" t="s">
        <v>153</v>
      </c>
      <c r="G18" s="158" t="s">
        <v>156</v>
      </c>
      <c r="H18" s="158" t="s">
        <v>7</v>
      </c>
      <c r="I18" s="158" t="s">
        <v>103</v>
      </c>
      <c r="J18" s="158"/>
      <c r="K18" s="158"/>
    </row>
    <row r="19" spans="1:11" x14ac:dyDescent="0.2">
      <c r="A19" s="156"/>
      <c r="B19" s="158" t="s">
        <v>113</v>
      </c>
      <c r="C19" s="158" t="s">
        <v>0</v>
      </c>
      <c r="D19" s="158" t="s">
        <v>177</v>
      </c>
      <c r="E19" s="158" t="s">
        <v>4</v>
      </c>
      <c r="F19" s="157" t="s">
        <v>234</v>
      </c>
      <c r="G19" s="158" t="s">
        <v>156</v>
      </c>
      <c r="H19" s="158" t="s">
        <v>17</v>
      </c>
      <c r="I19" s="158" t="s">
        <v>130</v>
      </c>
      <c r="J19" s="157"/>
      <c r="K19" s="157"/>
    </row>
    <row r="20" spans="1:11" x14ac:dyDescent="0.2">
      <c r="A20" s="156"/>
      <c r="B20" s="157" t="s">
        <v>116</v>
      </c>
      <c r="C20" s="158" t="s">
        <v>0</v>
      </c>
      <c r="D20" s="158" t="s">
        <v>177</v>
      </c>
      <c r="E20" s="158" t="s">
        <v>4</v>
      </c>
      <c r="F20" s="158" t="s">
        <v>11</v>
      </c>
      <c r="G20" s="158" t="s">
        <v>155</v>
      </c>
      <c r="H20" s="158" t="s">
        <v>7</v>
      </c>
      <c r="I20" s="158" t="s">
        <v>143</v>
      </c>
      <c r="J20" s="158"/>
      <c r="K20" s="158"/>
    </row>
    <row r="21" spans="1:11" x14ac:dyDescent="0.2">
      <c r="A21" s="156"/>
      <c r="B21" s="158" t="s">
        <v>112</v>
      </c>
      <c r="C21" s="158" t="s">
        <v>0</v>
      </c>
      <c r="D21" s="158" t="s">
        <v>177</v>
      </c>
      <c r="E21" s="158" t="s">
        <v>4</v>
      </c>
      <c r="F21" s="158" t="s">
        <v>153</v>
      </c>
      <c r="G21" s="158" t="s">
        <v>228</v>
      </c>
      <c r="H21" s="158" t="s">
        <v>17</v>
      </c>
      <c r="I21" s="158" t="s">
        <v>130</v>
      </c>
      <c r="J21" s="158"/>
      <c r="K21" s="158"/>
    </row>
    <row r="22" spans="1:11" x14ac:dyDescent="0.2">
      <c r="A22" s="156"/>
      <c r="B22" s="158" t="s">
        <v>112</v>
      </c>
      <c r="C22" s="158" t="s">
        <v>0</v>
      </c>
      <c r="D22" s="158" t="s">
        <v>177</v>
      </c>
      <c r="E22" s="158" t="s">
        <v>4</v>
      </c>
      <c r="F22" s="158" t="s">
        <v>10</v>
      </c>
      <c r="G22" s="158" t="s">
        <v>156</v>
      </c>
      <c r="H22" s="158" t="s">
        <v>159</v>
      </c>
      <c r="I22" s="158"/>
      <c r="J22" s="158"/>
      <c r="K22" s="158"/>
    </row>
    <row r="23" spans="1:11" x14ac:dyDescent="0.2">
      <c r="A23" s="156"/>
      <c r="B23" s="158" t="s">
        <v>112</v>
      </c>
      <c r="C23" s="158" t="s">
        <v>1</v>
      </c>
      <c r="D23" s="158" t="s">
        <v>177</v>
      </c>
      <c r="E23" s="158" t="s">
        <v>3</v>
      </c>
      <c r="F23" s="158" t="s">
        <v>10</v>
      </c>
      <c r="G23" s="158" t="s">
        <v>156</v>
      </c>
      <c r="H23" s="158" t="s">
        <v>159</v>
      </c>
      <c r="I23" s="157"/>
      <c r="J23" s="157"/>
      <c r="K23" s="157"/>
    </row>
    <row r="24" spans="1:11" x14ac:dyDescent="0.2">
      <c r="A24" s="156"/>
      <c r="B24" s="158" t="s">
        <v>112</v>
      </c>
      <c r="C24" s="158" t="s">
        <v>0</v>
      </c>
      <c r="D24" s="158" t="s">
        <v>177</v>
      </c>
      <c r="E24" s="158" t="s">
        <v>3</v>
      </c>
      <c r="F24" s="158" t="s">
        <v>56</v>
      </c>
      <c r="G24" s="158" t="s">
        <v>228</v>
      </c>
      <c r="H24" s="158" t="s">
        <v>159</v>
      </c>
      <c r="I24" s="158"/>
      <c r="J24" s="158"/>
      <c r="K24" s="158"/>
    </row>
    <row r="25" spans="1:11" x14ac:dyDescent="0.2">
      <c r="A25" s="156"/>
      <c r="B25" s="158" t="s">
        <v>112</v>
      </c>
      <c r="C25" s="158" t="s">
        <v>1</v>
      </c>
      <c r="D25" s="158" t="s">
        <v>177</v>
      </c>
      <c r="E25" s="158" t="s">
        <v>3</v>
      </c>
      <c r="F25" s="158" t="s">
        <v>10</v>
      </c>
      <c r="G25" s="157" t="s">
        <v>158</v>
      </c>
      <c r="H25" s="158" t="s">
        <v>159</v>
      </c>
      <c r="I25" s="157"/>
      <c r="J25" s="157"/>
      <c r="K25" s="157"/>
    </row>
    <row r="26" spans="1:11" x14ac:dyDescent="0.2">
      <c r="A26" s="156"/>
      <c r="B26" s="158" t="s">
        <v>112</v>
      </c>
      <c r="C26" s="158" t="s">
        <v>1</v>
      </c>
      <c r="D26" s="158" t="s">
        <v>177</v>
      </c>
      <c r="E26" s="158" t="s">
        <v>4</v>
      </c>
      <c r="F26" s="158" t="s">
        <v>56</v>
      </c>
      <c r="G26" s="158" t="s">
        <v>156</v>
      </c>
      <c r="H26" s="158" t="s">
        <v>7</v>
      </c>
      <c r="I26" s="157" t="s">
        <v>120</v>
      </c>
      <c r="J26" s="157"/>
      <c r="K26" s="157"/>
    </row>
    <row r="27" spans="1:11" x14ac:dyDescent="0.2">
      <c r="A27" s="156"/>
      <c r="B27" s="158" t="s">
        <v>112</v>
      </c>
      <c r="C27" s="158" t="s">
        <v>1</v>
      </c>
      <c r="D27" s="158" t="s">
        <v>177</v>
      </c>
      <c r="E27" s="158" t="s">
        <v>4</v>
      </c>
      <c r="F27" s="157" t="s">
        <v>106</v>
      </c>
      <c r="G27" s="158" t="s">
        <v>156</v>
      </c>
      <c r="H27" s="158" t="s">
        <v>7</v>
      </c>
      <c r="I27" s="158" t="s">
        <v>120</v>
      </c>
      <c r="J27" s="157"/>
      <c r="K27" s="157"/>
    </row>
    <row r="28" spans="1:11" x14ac:dyDescent="0.2">
      <c r="A28" s="156"/>
      <c r="B28" s="158" t="s">
        <v>112</v>
      </c>
      <c r="C28" s="158" t="s">
        <v>1</v>
      </c>
      <c r="D28" s="158" t="s">
        <v>177</v>
      </c>
      <c r="E28" s="158" t="s">
        <v>4</v>
      </c>
      <c r="F28" s="157" t="s">
        <v>23</v>
      </c>
      <c r="G28" s="158" t="s">
        <v>156</v>
      </c>
      <c r="H28" s="158" t="s">
        <v>7</v>
      </c>
      <c r="I28" s="158" t="s">
        <v>120</v>
      </c>
      <c r="J28" s="157"/>
      <c r="K28" s="157"/>
    </row>
    <row r="29" spans="1:11" x14ac:dyDescent="0.2">
      <c r="A29" s="156"/>
      <c r="B29" s="158" t="s">
        <v>112</v>
      </c>
      <c r="C29" s="158" t="s">
        <v>1</v>
      </c>
      <c r="D29" s="158" t="s">
        <v>177</v>
      </c>
      <c r="E29" s="158" t="s">
        <v>4</v>
      </c>
      <c r="F29" s="158" t="s">
        <v>23</v>
      </c>
      <c r="G29" s="158" t="s">
        <v>156</v>
      </c>
      <c r="H29" s="158" t="s">
        <v>7</v>
      </c>
      <c r="I29" s="158" t="s">
        <v>120</v>
      </c>
      <c r="J29" s="157"/>
      <c r="K29" s="157"/>
    </row>
    <row r="30" spans="1:11" x14ac:dyDescent="0.2">
      <c r="A30" s="156"/>
      <c r="B30" s="158" t="s">
        <v>112</v>
      </c>
      <c r="C30" s="158" t="s">
        <v>1</v>
      </c>
      <c r="D30" s="158" t="s">
        <v>177</v>
      </c>
      <c r="E30" s="158" t="s">
        <v>4</v>
      </c>
      <c r="F30" s="158" t="s">
        <v>13</v>
      </c>
      <c r="G30" s="158" t="s">
        <v>156</v>
      </c>
      <c r="H30" s="158" t="s">
        <v>7</v>
      </c>
      <c r="I30" s="158" t="s">
        <v>120</v>
      </c>
      <c r="J30" s="157"/>
      <c r="K30" s="157"/>
    </row>
    <row r="31" spans="1:11" x14ac:dyDescent="0.2">
      <c r="A31" s="156"/>
      <c r="B31" s="157" t="s">
        <v>116</v>
      </c>
      <c r="C31" s="158" t="s">
        <v>0</v>
      </c>
      <c r="D31" s="158" t="s">
        <v>2</v>
      </c>
      <c r="E31" s="158" t="s">
        <v>4</v>
      </c>
      <c r="F31" s="157" t="s">
        <v>110</v>
      </c>
      <c r="G31" s="158" t="s">
        <v>110</v>
      </c>
      <c r="H31" s="158" t="s">
        <v>7</v>
      </c>
      <c r="I31" s="157" t="s">
        <v>20</v>
      </c>
      <c r="J31" s="157"/>
      <c r="K31" s="157"/>
    </row>
    <row r="32" spans="1:11" x14ac:dyDescent="0.2">
      <c r="A32" s="156"/>
      <c r="B32" s="158" t="s">
        <v>116</v>
      </c>
      <c r="C32" s="158" t="s">
        <v>0</v>
      </c>
      <c r="D32" s="158" t="s">
        <v>2</v>
      </c>
      <c r="E32" s="158" t="s">
        <v>4</v>
      </c>
      <c r="F32" s="158" t="s">
        <v>110</v>
      </c>
      <c r="G32" s="158" t="s">
        <v>110</v>
      </c>
      <c r="H32" s="158" t="s">
        <v>7</v>
      </c>
      <c r="I32" s="158" t="s">
        <v>20</v>
      </c>
      <c r="J32" s="157"/>
      <c r="K32" s="157"/>
    </row>
    <row r="33" spans="1:11" x14ac:dyDescent="0.2">
      <c r="A33" s="156"/>
      <c r="B33" s="158" t="s">
        <v>116</v>
      </c>
      <c r="C33" s="158" t="s">
        <v>0</v>
      </c>
      <c r="D33" s="158" t="s">
        <v>2</v>
      </c>
      <c r="E33" s="158" t="s">
        <v>4</v>
      </c>
      <c r="F33" s="158" t="s">
        <v>110</v>
      </c>
      <c r="G33" s="158" t="s">
        <v>110</v>
      </c>
      <c r="H33" s="158" t="s">
        <v>7</v>
      </c>
      <c r="I33" s="158" t="s">
        <v>20</v>
      </c>
      <c r="J33" s="157"/>
      <c r="K33" s="157"/>
    </row>
    <row r="34" spans="1:11" x14ac:dyDescent="0.2">
      <c r="A34" s="156"/>
      <c r="B34" s="158" t="s">
        <v>116</v>
      </c>
      <c r="C34" s="158" t="s">
        <v>0</v>
      </c>
      <c r="D34" s="158" t="s">
        <v>2</v>
      </c>
      <c r="E34" s="158" t="s">
        <v>4</v>
      </c>
      <c r="F34" s="158" t="s">
        <v>110</v>
      </c>
      <c r="G34" s="158" t="s">
        <v>110</v>
      </c>
      <c r="H34" s="158" t="s">
        <v>7</v>
      </c>
      <c r="I34" s="158" t="s">
        <v>20</v>
      </c>
      <c r="J34" s="157"/>
      <c r="K34" s="157"/>
    </row>
    <row r="35" spans="1:11" x14ac:dyDescent="0.2">
      <c r="A35" s="156"/>
      <c r="B35" s="158" t="s">
        <v>116</v>
      </c>
      <c r="C35" s="158" t="s">
        <v>0</v>
      </c>
      <c r="D35" s="158" t="s">
        <v>2</v>
      </c>
      <c r="E35" s="158" t="s">
        <v>4</v>
      </c>
      <c r="F35" s="158" t="s">
        <v>110</v>
      </c>
      <c r="G35" s="158" t="s">
        <v>110</v>
      </c>
      <c r="H35" s="158" t="s">
        <v>7</v>
      </c>
      <c r="I35" s="158" t="s">
        <v>20</v>
      </c>
      <c r="J35" s="157"/>
      <c r="K35" s="157"/>
    </row>
    <row r="36" spans="1:11" x14ac:dyDescent="0.2">
      <c r="A36" s="156"/>
      <c r="B36" s="158" t="s">
        <v>116</v>
      </c>
      <c r="C36" s="158" t="s">
        <v>0</v>
      </c>
      <c r="D36" s="158" t="s">
        <v>2</v>
      </c>
      <c r="E36" s="158" t="s">
        <v>4</v>
      </c>
      <c r="F36" s="158" t="s">
        <v>110</v>
      </c>
      <c r="G36" s="158" t="s">
        <v>110</v>
      </c>
      <c r="H36" s="158" t="s">
        <v>7</v>
      </c>
      <c r="I36" s="158" t="s">
        <v>20</v>
      </c>
      <c r="J36" s="157"/>
      <c r="K36" s="157"/>
    </row>
    <row r="37" spans="1:11" x14ac:dyDescent="0.2">
      <c r="A37" s="156"/>
      <c r="B37" s="158" t="s">
        <v>116</v>
      </c>
      <c r="C37" s="158" t="s">
        <v>0</v>
      </c>
      <c r="D37" s="158" t="s">
        <v>2</v>
      </c>
      <c r="E37" s="158" t="s">
        <v>4</v>
      </c>
      <c r="F37" s="158" t="s">
        <v>110</v>
      </c>
      <c r="G37" s="158" t="s">
        <v>110</v>
      </c>
      <c r="H37" s="158" t="s">
        <v>7</v>
      </c>
      <c r="I37" s="158" t="s">
        <v>20</v>
      </c>
      <c r="J37" s="157"/>
      <c r="K37" s="157"/>
    </row>
    <row r="38" spans="1:11" x14ac:dyDescent="0.2">
      <c r="A38" s="156"/>
      <c r="B38" s="158" t="s">
        <v>116</v>
      </c>
      <c r="C38" s="158" t="s">
        <v>0</v>
      </c>
      <c r="D38" s="158" t="s">
        <v>2</v>
      </c>
      <c r="E38" s="158" t="s">
        <v>4</v>
      </c>
      <c r="F38" s="158" t="s">
        <v>110</v>
      </c>
      <c r="G38" s="158" t="s">
        <v>110</v>
      </c>
      <c r="H38" s="158" t="s">
        <v>7</v>
      </c>
      <c r="I38" s="158" t="s">
        <v>20</v>
      </c>
      <c r="J38" s="157"/>
      <c r="K38" s="157"/>
    </row>
    <row r="39" spans="1:11" x14ac:dyDescent="0.2">
      <c r="A39" s="156"/>
      <c r="B39" s="158" t="s">
        <v>116</v>
      </c>
      <c r="C39" s="158" t="s">
        <v>0</v>
      </c>
      <c r="D39" s="158" t="s">
        <v>2</v>
      </c>
      <c r="E39" s="158" t="s">
        <v>4</v>
      </c>
      <c r="F39" s="158" t="s">
        <v>110</v>
      </c>
      <c r="G39" s="158" t="s">
        <v>110</v>
      </c>
      <c r="H39" s="158" t="s">
        <v>7</v>
      </c>
      <c r="I39" s="158" t="s">
        <v>20</v>
      </c>
      <c r="J39" s="157"/>
      <c r="K39" s="157"/>
    </row>
    <row r="40" spans="1:11" x14ac:dyDescent="0.2">
      <c r="A40" s="156"/>
      <c r="B40" s="158" t="s">
        <v>116</v>
      </c>
      <c r="C40" s="158" t="s">
        <v>0</v>
      </c>
      <c r="D40" s="158" t="s">
        <v>2</v>
      </c>
      <c r="E40" s="158" t="s">
        <v>4</v>
      </c>
      <c r="F40" s="158" t="s">
        <v>110</v>
      </c>
      <c r="G40" s="158" t="s">
        <v>110</v>
      </c>
      <c r="H40" s="158" t="s">
        <v>7</v>
      </c>
      <c r="I40" s="158" t="s">
        <v>20</v>
      </c>
      <c r="J40" s="157"/>
      <c r="K40" s="157"/>
    </row>
    <row r="41" spans="1:11" x14ac:dyDescent="0.2">
      <c r="A41" s="156"/>
      <c r="B41" s="158" t="s">
        <v>116</v>
      </c>
      <c r="C41" s="158" t="s">
        <v>0</v>
      </c>
      <c r="D41" s="158" t="s">
        <v>2</v>
      </c>
      <c r="E41" s="158" t="s">
        <v>4</v>
      </c>
      <c r="F41" s="158" t="s">
        <v>110</v>
      </c>
      <c r="G41" s="158" t="s">
        <v>110</v>
      </c>
      <c r="H41" s="158" t="s">
        <v>7</v>
      </c>
      <c r="I41" s="158" t="s">
        <v>20</v>
      </c>
      <c r="J41" s="157"/>
      <c r="K41" s="157"/>
    </row>
    <row r="42" spans="1:11" x14ac:dyDescent="0.2">
      <c r="A42" s="156"/>
      <c r="B42" s="158" t="s">
        <v>116</v>
      </c>
      <c r="C42" s="158" t="s">
        <v>0</v>
      </c>
      <c r="D42" s="158" t="s">
        <v>2</v>
      </c>
      <c r="E42" s="158" t="s">
        <v>4</v>
      </c>
      <c r="F42" s="158" t="s">
        <v>110</v>
      </c>
      <c r="G42" s="158" t="s">
        <v>110</v>
      </c>
      <c r="H42" s="158" t="s">
        <v>7</v>
      </c>
      <c r="I42" s="158" t="s">
        <v>20</v>
      </c>
      <c r="J42" s="157"/>
      <c r="K42" s="157"/>
    </row>
    <row r="43" spans="1:11" x14ac:dyDescent="0.2">
      <c r="A43" s="156"/>
      <c r="B43" s="158" t="s">
        <v>113</v>
      </c>
      <c r="C43" s="158" t="s">
        <v>1</v>
      </c>
      <c r="D43" s="158" t="s">
        <v>177</v>
      </c>
      <c r="E43" s="158" t="s">
        <v>3</v>
      </c>
      <c r="F43" s="158" t="s">
        <v>10</v>
      </c>
      <c r="G43" s="158" t="s">
        <v>156</v>
      </c>
      <c r="H43" s="158" t="s">
        <v>159</v>
      </c>
      <c r="I43" s="157"/>
      <c r="J43" s="157"/>
      <c r="K43" s="157"/>
    </row>
    <row r="44" spans="1:11" x14ac:dyDescent="0.2">
      <c r="A44" s="156"/>
      <c r="B44" s="158" t="s">
        <v>113</v>
      </c>
      <c r="C44" s="158" t="s">
        <v>0</v>
      </c>
      <c r="D44" s="158" t="s">
        <v>177</v>
      </c>
      <c r="E44" s="158" t="s">
        <v>4</v>
      </c>
      <c r="F44" s="157" t="s">
        <v>9</v>
      </c>
      <c r="G44" s="158" t="s">
        <v>156</v>
      </c>
      <c r="H44" s="158" t="s">
        <v>17</v>
      </c>
      <c r="I44" s="158" t="s">
        <v>130</v>
      </c>
      <c r="J44" s="157"/>
      <c r="K44" s="157"/>
    </row>
    <row r="45" spans="1:11" x14ac:dyDescent="0.2">
      <c r="A45" s="156"/>
      <c r="B45" s="158" t="s">
        <v>113</v>
      </c>
      <c r="C45" s="158" t="s">
        <v>0</v>
      </c>
      <c r="D45" s="158" t="s">
        <v>177</v>
      </c>
      <c r="E45" s="158" t="s">
        <v>4</v>
      </c>
      <c r="F45" s="158" t="s">
        <v>10</v>
      </c>
      <c r="G45" s="158" t="s">
        <v>228</v>
      </c>
      <c r="H45" s="158" t="s">
        <v>17</v>
      </c>
      <c r="I45" s="158" t="s">
        <v>130</v>
      </c>
      <c r="J45" s="157"/>
      <c r="K45" s="157"/>
    </row>
    <row r="46" spans="1:11" x14ac:dyDescent="0.2">
      <c r="A46" s="156"/>
      <c r="B46" s="158" t="s">
        <v>113</v>
      </c>
      <c r="C46" s="158" t="s">
        <v>0</v>
      </c>
      <c r="D46" s="158" t="s">
        <v>177</v>
      </c>
      <c r="E46" s="158" t="s">
        <v>4</v>
      </c>
      <c r="F46" s="158" t="s">
        <v>10</v>
      </c>
      <c r="G46" s="158" t="s">
        <v>228</v>
      </c>
      <c r="H46" s="158" t="s">
        <v>17</v>
      </c>
      <c r="I46" s="158" t="s">
        <v>130</v>
      </c>
      <c r="J46" s="157"/>
      <c r="K46" s="157"/>
    </row>
    <row r="47" spans="1:11" x14ac:dyDescent="0.2">
      <c r="A47" s="156"/>
      <c r="B47" s="158" t="s">
        <v>113</v>
      </c>
      <c r="C47" s="158" t="s">
        <v>1</v>
      </c>
      <c r="D47" s="158" t="s">
        <v>177</v>
      </c>
      <c r="E47" s="158" t="s">
        <v>4</v>
      </c>
      <c r="F47" s="158" t="s">
        <v>16</v>
      </c>
      <c r="G47" s="158" t="s">
        <v>158</v>
      </c>
      <c r="H47" s="158" t="s">
        <v>17</v>
      </c>
      <c r="I47" s="158" t="s">
        <v>130</v>
      </c>
      <c r="J47" s="157"/>
      <c r="K47" s="157"/>
    </row>
    <row r="48" spans="1:11" x14ac:dyDescent="0.2">
      <c r="A48" s="156"/>
      <c r="B48" s="158" t="s">
        <v>113</v>
      </c>
      <c r="C48" s="158" t="s">
        <v>1</v>
      </c>
      <c r="D48" s="158" t="s">
        <v>177</v>
      </c>
      <c r="E48" s="158" t="s">
        <v>3</v>
      </c>
      <c r="F48" s="158" t="s">
        <v>10</v>
      </c>
      <c r="G48" s="158" t="s">
        <v>155</v>
      </c>
      <c r="H48" s="158" t="s">
        <v>159</v>
      </c>
      <c r="I48" s="157"/>
      <c r="J48" s="157"/>
      <c r="K48" s="157"/>
    </row>
    <row r="49" spans="1:11" x14ac:dyDescent="0.2">
      <c r="A49" s="156"/>
      <c r="B49" s="158" t="s">
        <v>113</v>
      </c>
      <c r="C49" s="158" t="s">
        <v>0</v>
      </c>
      <c r="D49" s="158" t="s">
        <v>177</v>
      </c>
      <c r="E49" s="158" t="s">
        <v>4</v>
      </c>
      <c r="F49" s="158" t="s">
        <v>10</v>
      </c>
      <c r="G49" s="158" t="s">
        <v>228</v>
      </c>
      <c r="H49" s="158" t="s">
        <v>159</v>
      </c>
      <c r="I49" s="157"/>
      <c r="J49" s="157"/>
      <c r="K49" s="157"/>
    </row>
    <row r="50" spans="1:11" x14ac:dyDescent="0.2">
      <c r="A50" s="156"/>
      <c r="B50" s="158" t="s">
        <v>113</v>
      </c>
      <c r="C50" s="158" t="s">
        <v>0</v>
      </c>
      <c r="D50" s="158" t="s">
        <v>2</v>
      </c>
      <c r="E50" s="158" t="s">
        <v>4</v>
      </c>
      <c r="F50" s="158" t="s">
        <v>10</v>
      </c>
      <c r="G50" s="158" t="s">
        <v>155</v>
      </c>
      <c r="H50" s="158" t="s">
        <v>159</v>
      </c>
      <c r="I50" s="157"/>
      <c r="J50" s="157"/>
      <c r="K50" s="157"/>
    </row>
    <row r="51" spans="1:11" x14ac:dyDescent="0.2">
      <c r="A51" s="156"/>
      <c r="B51" s="158" t="s">
        <v>113</v>
      </c>
      <c r="C51" s="158" t="s">
        <v>1</v>
      </c>
      <c r="D51" s="158" t="s">
        <v>2</v>
      </c>
      <c r="E51" s="158" t="s">
        <v>3</v>
      </c>
      <c r="F51" s="158" t="s">
        <v>10</v>
      </c>
      <c r="G51" s="158" t="s">
        <v>155</v>
      </c>
      <c r="H51" s="158" t="s">
        <v>159</v>
      </c>
      <c r="I51" s="157"/>
      <c r="J51" s="157"/>
      <c r="K51" s="157"/>
    </row>
    <row r="52" spans="1:11" x14ac:dyDescent="0.2">
      <c r="A52" s="156"/>
      <c r="B52" s="158" t="s">
        <v>113</v>
      </c>
      <c r="C52" s="158" t="s">
        <v>0</v>
      </c>
      <c r="D52" s="158" t="s">
        <v>177</v>
      </c>
      <c r="E52" s="158" t="s">
        <v>3</v>
      </c>
      <c r="F52" s="158" t="s">
        <v>16</v>
      </c>
      <c r="G52" s="158" t="s">
        <v>155</v>
      </c>
      <c r="H52" s="158" t="s">
        <v>159</v>
      </c>
      <c r="I52" s="157"/>
      <c r="J52" s="157"/>
      <c r="K52" s="157"/>
    </row>
    <row r="53" spans="1:11" x14ac:dyDescent="0.2">
      <c r="A53" s="156"/>
      <c r="B53" s="158" t="s">
        <v>115</v>
      </c>
      <c r="C53" s="158" t="s">
        <v>1</v>
      </c>
      <c r="D53" s="158" t="s">
        <v>177</v>
      </c>
      <c r="E53" s="158" t="s">
        <v>4</v>
      </c>
      <c r="F53" s="158" t="s">
        <v>56</v>
      </c>
      <c r="G53" s="158" t="s">
        <v>156</v>
      </c>
      <c r="H53" s="158" t="s">
        <v>18</v>
      </c>
      <c r="I53" s="157" t="s">
        <v>137</v>
      </c>
      <c r="J53" s="157"/>
      <c r="K53" s="157"/>
    </row>
    <row r="54" spans="1:11" x14ac:dyDescent="0.2">
      <c r="A54" s="156"/>
      <c r="B54" s="158" t="s">
        <v>112</v>
      </c>
      <c r="C54" s="158" t="s">
        <v>0</v>
      </c>
      <c r="D54" s="158" t="s">
        <v>177</v>
      </c>
      <c r="E54" s="158" t="s">
        <v>4</v>
      </c>
      <c r="F54" s="158" t="s">
        <v>10</v>
      </c>
      <c r="G54" s="158" t="s">
        <v>155</v>
      </c>
      <c r="H54" s="158" t="s">
        <v>159</v>
      </c>
      <c r="I54" s="157"/>
      <c r="J54" s="157"/>
      <c r="K54" s="157"/>
    </row>
    <row r="55" spans="1:11" x14ac:dyDescent="0.2">
      <c r="A55" s="156"/>
      <c r="B55" s="158" t="s">
        <v>112</v>
      </c>
      <c r="C55" s="158" t="s">
        <v>1</v>
      </c>
      <c r="D55" s="158" t="s">
        <v>177</v>
      </c>
      <c r="E55" s="158" t="s">
        <v>3</v>
      </c>
      <c r="F55" s="158" t="s">
        <v>10</v>
      </c>
      <c r="G55" s="158" t="s">
        <v>155</v>
      </c>
      <c r="H55" s="158" t="s">
        <v>159</v>
      </c>
      <c r="I55" s="157"/>
      <c r="J55" s="157"/>
      <c r="K55" s="157"/>
    </row>
    <row r="56" spans="1:11" x14ac:dyDescent="0.2">
      <c r="A56" s="156"/>
      <c r="B56" s="158" t="s">
        <v>116</v>
      </c>
      <c r="C56" s="158" t="s">
        <v>0</v>
      </c>
      <c r="D56" s="158" t="s">
        <v>177</v>
      </c>
      <c r="E56" s="158" t="s">
        <v>3</v>
      </c>
      <c r="F56" s="158" t="s">
        <v>110</v>
      </c>
      <c r="G56" s="158" t="s">
        <v>110</v>
      </c>
      <c r="H56" s="158" t="s">
        <v>7</v>
      </c>
      <c r="I56" s="157" t="s">
        <v>263</v>
      </c>
      <c r="J56" s="157"/>
      <c r="K56" s="157"/>
    </row>
    <row r="57" spans="1:11" x14ac:dyDescent="0.2">
      <c r="A57" s="156"/>
      <c r="B57" s="158" t="s">
        <v>116</v>
      </c>
      <c r="C57" s="158" t="s">
        <v>0</v>
      </c>
      <c r="D57" s="158" t="s">
        <v>177</v>
      </c>
      <c r="E57" s="158" t="s">
        <v>3</v>
      </c>
      <c r="F57" s="158" t="s">
        <v>110</v>
      </c>
      <c r="G57" s="158" t="s">
        <v>110</v>
      </c>
      <c r="H57" s="158" t="s">
        <v>7</v>
      </c>
      <c r="I57" s="158" t="s">
        <v>263</v>
      </c>
      <c r="J57" s="157"/>
      <c r="K57" s="157"/>
    </row>
    <row r="58" spans="1:11" x14ac:dyDescent="0.2">
      <c r="A58" s="156"/>
      <c r="B58" s="158" t="s">
        <v>116</v>
      </c>
      <c r="C58" s="158" t="s">
        <v>0</v>
      </c>
      <c r="D58" s="158" t="s">
        <v>177</v>
      </c>
      <c r="E58" s="158" t="s">
        <v>3</v>
      </c>
      <c r="F58" s="158" t="s">
        <v>110</v>
      </c>
      <c r="G58" s="158" t="s">
        <v>110</v>
      </c>
      <c r="H58" s="158" t="s">
        <v>7</v>
      </c>
      <c r="I58" s="158" t="s">
        <v>263</v>
      </c>
      <c r="J58" s="157"/>
      <c r="K58" s="157"/>
    </row>
    <row r="59" spans="1:11" x14ac:dyDescent="0.2">
      <c r="A59" s="156"/>
      <c r="B59" s="158" t="s">
        <v>116</v>
      </c>
      <c r="C59" s="158" t="s">
        <v>0</v>
      </c>
      <c r="D59" s="158" t="s">
        <v>177</v>
      </c>
      <c r="E59" s="158" t="s">
        <v>4</v>
      </c>
      <c r="F59" s="158" t="s">
        <v>110</v>
      </c>
      <c r="G59" s="158" t="s">
        <v>110</v>
      </c>
      <c r="H59" s="158" t="s">
        <v>7</v>
      </c>
      <c r="I59" s="158" t="s">
        <v>263</v>
      </c>
      <c r="J59" s="157"/>
      <c r="K59" s="157"/>
    </row>
    <row r="60" spans="1:11" x14ac:dyDescent="0.2">
      <c r="A60" s="156"/>
      <c r="B60" s="158" t="s">
        <v>116</v>
      </c>
      <c r="C60" s="158" t="s">
        <v>0</v>
      </c>
      <c r="D60" s="158" t="s">
        <v>177</v>
      </c>
      <c r="E60" s="158" t="s">
        <v>4</v>
      </c>
      <c r="F60" s="158" t="s">
        <v>110</v>
      </c>
      <c r="G60" s="158" t="s">
        <v>110</v>
      </c>
      <c r="H60" s="158" t="s">
        <v>7</v>
      </c>
      <c r="I60" s="158" t="s">
        <v>263</v>
      </c>
      <c r="J60" s="157"/>
      <c r="K60" s="157"/>
    </row>
    <row r="61" spans="1:11" x14ac:dyDescent="0.2">
      <c r="A61" s="156"/>
      <c r="B61" s="158" t="s">
        <v>116</v>
      </c>
      <c r="C61" s="158" t="s">
        <v>0</v>
      </c>
      <c r="D61" s="158" t="s">
        <v>177</v>
      </c>
      <c r="E61" s="158" t="s">
        <v>4</v>
      </c>
      <c r="F61" s="158" t="s">
        <v>110</v>
      </c>
      <c r="G61" s="158" t="s">
        <v>110</v>
      </c>
      <c r="H61" s="158" t="s">
        <v>7</v>
      </c>
      <c r="I61" s="158" t="s">
        <v>263</v>
      </c>
      <c r="J61" s="157"/>
      <c r="K61" s="157"/>
    </row>
    <row r="62" spans="1:11" x14ac:dyDescent="0.2">
      <c r="A62" s="156"/>
      <c r="B62" s="158" t="s">
        <v>116</v>
      </c>
      <c r="C62" s="158" t="s">
        <v>0</v>
      </c>
      <c r="D62" s="158" t="s">
        <v>177</v>
      </c>
      <c r="E62" s="158" t="s">
        <v>4</v>
      </c>
      <c r="F62" s="158" t="s">
        <v>110</v>
      </c>
      <c r="G62" s="158" t="s">
        <v>110</v>
      </c>
      <c r="H62" s="158" t="s">
        <v>7</v>
      </c>
      <c r="I62" s="158" t="s">
        <v>263</v>
      </c>
      <c r="J62" s="157"/>
      <c r="K62" s="157"/>
    </row>
    <row r="63" spans="1:11" x14ac:dyDescent="0.2">
      <c r="A63" s="156"/>
      <c r="B63" s="158" t="s">
        <v>116</v>
      </c>
      <c r="C63" s="158" t="s">
        <v>0</v>
      </c>
      <c r="D63" s="158" t="s">
        <v>177</v>
      </c>
      <c r="E63" s="158" t="s">
        <v>4</v>
      </c>
      <c r="F63" s="158" t="s">
        <v>110</v>
      </c>
      <c r="G63" s="158" t="s">
        <v>110</v>
      </c>
      <c r="H63" s="158" t="s">
        <v>7</v>
      </c>
      <c r="I63" s="158" t="s">
        <v>263</v>
      </c>
      <c r="J63" s="157"/>
      <c r="K63" s="157"/>
    </row>
    <row r="64" spans="1:11" x14ac:dyDescent="0.2">
      <c r="A64" s="156"/>
      <c r="B64" s="158" t="s">
        <v>116</v>
      </c>
      <c r="C64" s="158" t="s">
        <v>0</v>
      </c>
      <c r="D64" s="158" t="s">
        <v>177</v>
      </c>
      <c r="E64" s="158" t="s">
        <v>4</v>
      </c>
      <c r="F64" s="158" t="s">
        <v>110</v>
      </c>
      <c r="G64" s="158" t="s">
        <v>110</v>
      </c>
      <c r="H64" s="158" t="s">
        <v>7</v>
      </c>
      <c r="I64" s="158" t="s">
        <v>263</v>
      </c>
      <c r="J64" s="157"/>
      <c r="K64" s="157"/>
    </row>
    <row r="65" spans="1:11" x14ac:dyDescent="0.2">
      <c r="A65" s="156"/>
      <c r="B65" s="158" t="s">
        <v>116</v>
      </c>
      <c r="C65" s="158" t="s">
        <v>0</v>
      </c>
      <c r="D65" s="158" t="s">
        <v>177</v>
      </c>
      <c r="E65" s="158" t="s">
        <v>4</v>
      </c>
      <c r="F65" s="158" t="s">
        <v>110</v>
      </c>
      <c r="G65" s="158" t="s">
        <v>110</v>
      </c>
      <c r="H65" s="158" t="s">
        <v>7</v>
      </c>
      <c r="I65" s="158" t="s">
        <v>263</v>
      </c>
      <c r="J65" s="157"/>
      <c r="K65" s="157"/>
    </row>
    <row r="66" spans="1:11" x14ac:dyDescent="0.2">
      <c r="A66" s="156"/>
      <c r="B66" s="158" t="s">
        <v>116</v>
      </c>
      <c r="C66" s="158" t="s">
        <v>0</v>
      </c>
      <c r="D66" s="158" t="s">
        <v>177</v>
      </c>
      <c r="E66" s="158" t="s">
        <v>4</v>
      </c>
      <c r="F66" s="158" t="s">
        <v>110</v>
      </c>
      <c r="G66" s="158" t="s">
        <v>110</v>
      </c>
      <c r="H66" s="158" t="s">
        <v>7</v>
      </c>
      <c r="I66" s="158" t="s">
        <v>263</v>
      </c>
      <c r="J66" s="157"/>
      <c r="K66" s="157"/>
    </row>
    <row r="67" spans="1:11" x14ac:dyDescent="0.2">
      <c r="A67" s="156"/>
      <c r="B67" s="158" t="s">
        <v>112</v>
      </c>
      <c r="C67" s="158" t="s">
        <v>0</v>
      </c>
      <c r="D67" s="158" t="s">
        <v>2</v>
      </c>
      <c r="E67" s="158" t="s">
        <v>4</v>
      </c>
      <c r="F67" s="158" t="s">
        <v>10</v>
      </c>
      <c r="G67" s="158" t="s">
        <v>155</v>
      </c>
      <c r="H67" s="158" t="s">
        <v>159</v>
      </c>
      <c r="I67" s="158"/>
      <c r="J67" s="157"/>
      <c r="K67" s="157"/>
    </row>
    <row r="68" spans="1:11" x14ac:dyDescent="0.2">
      <c r="A68" s="156"/>
      <c r="B68" s="158" t="s">
        <v>112</v>
      </c>
      <c r="C68" s="158" t="s">
        <v>1</v>
      </c>
      <c r="D68" s="158" t="s">
        <v>2</v>
      </c>
      <c r="E68" s="158" t="s">
        <v>3</v>
      </c>
      <c r="F68" s="158" t="s">
        <v>10</v>
      </c>
      <c r="G68" s="158" t="s">
        <v>155</v>
      </c>
      <c r="H68" s="158" t="s">
        <v>159</v>
      </c>
      <c r="I68" s="157"/>
      <c r="J68" s="157"/>
      <c r="K68" s="157"/>
    </row>
    <row r="69" spans="1:11" x14ac:dyDescent="0.2">
      <c r="A69" s="156"/>
      <c r="B69" s="158" t="s">
        <v>112</v>
      </c>
      <c r="C69" s="158" t="s">
        <v>1</v>
      </c>
      <c r="D69" s="158" t="s">
        <v>2</v>
      </c>
      <c r="E69" s="158" t="s">
        <v>3</v>
      </c>
      <c r="F69" s="158" t="s">
        <v>10</v>
      </c>
      <c r="G69" s="158" t="s">
        <v>155</v>
      </c>
      <c r="H69" s="158" t="s">
        <v>159</v>
      </c>
      <c r="I69" s="157"/>
      <c r="J69" s="157"/>
      <c r="K69" s="157"/>
    </row>
    <row r="70" spans="1:11" x14ac:dyDescent="0.2">
      <c r="A70" s="156"/>
      <c r="B70" s="158" t="s">
        <v>112</v>
      </c>
      <c r="C70" s="158" t="s">
        <v>0</v>
      </c>
      <c r="D70" s="158" t="s">
        <v>2</v>
      </c>
      <c r="E70" s="158" t="s">
        <v>3</v>
      </c>
      <c r="F70" s="158" t="s">
        <v>13</v>
      </c>
      <c r="G70" s="158" t="s">
        <v>228</v>
      </c>
      <c r="H70" s="158" t="s">
        <v>159</v>
      </c>
      <c r="I70" s="157"/>
      <c r="J70" s="157"/>
      <c r="K70" s="157"/>
    </row>
    <row r="71" spans="1:11" x14ac:dyDescent="0.2">
      <c r="A71" s="156"/>
      <c r="B71" s="158" t="s">
        <v>112</v>
      </c>
      <c r="C71" s="158" t="s">
        <v>1</v>
      </c>
      <c r="D71" s="158" t="s">
        <v>2</v>
      </c>
      <c r="E71" s="158" t="s">
        <v>4</v>
      </c>
      <c r="F71" s="158" t="s">
        <v>23</v>
      </c>
      <c r="G71" s="158" t="s">
        <v>156</v>
      </c>
      <c r="H71" s="158" t="s">
        <v>159</v>
      </c>
      <c r="I71" s="157"/>
      <c r="J71" s="157"/>
      <c r="K71" s="157"/>
    </row>
    <row r="72" spans="1:11" x14ac:dyDescent="0.2">
      <c r="A72" s="156"/>
      <c r="B72" s="158" t="s">
        <v>112</v>
      </c>
      <c r="C72" s="158" t="s">
        <v>0</v>
      </c>
      <c r="D72" s="158" t="s">
        <v>2</v>
      </c>
      <c r="E72" s="158" t="s">
        <v>4</v>
      </c>
      <c r="F72" s="158" t="s">
        <v>13</v>
      </c>
      <c r="G72" s="158" t="s">
        <v>156</v>
      </c>
      <c r="H72" s="158" t="s">
        <v>159</v>
      </c>
      <c r="I72" s="157"/>
      <c r="J72" s="157"/>
      <c r="K72" s="157"/>
    </row>
    <row r="73" spans="1:11" x14ac:dyDescent="0.2">
      <c r="A73" s="156"/>
      <c r="B73" s="157" t="s">
        <v>114</v>
      </c>
      <c r="C73" s="158" t="s">
        <v>0</v>
      </c>
      <c r="D73" s="158" t="s">
        <v>177</v>
      </c>
      <c r="E73" s="158" t="s">
        <v>4</v>
      </c>
      <c r="F73" s="158" t="s">
        <v>10</v>
      </c>
      <c r="G73" s="158" t="s">
        <v>156</v>
      </c>
      <c r="H73" s="158" t="s">
        <v>17</v>
      </c>
      <c r="I73" s="157" t="s">
        <v>130</v>
      </c>
      <c r="J73" s="157"/>
      <c r="K73" s="157"/>
    </row>
    <row r="74" spans="1:11" x14ac:dyDescent="0.2">
      <c r="A74" s="156"/>
      <c r="B74" s="158" t="s">
        <v>114</v>
      </c>
      <c r="C74" s="158" t="s">
        <v>0</v>
      </c>
      <c r="D74" s="158" t="s">
        <v>177</v>
      </c>
      <c r="E74" s="158" t="s">
        <v>4</v>
      </c>
      <c r="F74" s="158" t="s">
        <v>10</v>
      </c>
      <c r="G74" s="158" t="s">
        <v>228</v>
      </c>
      <c r="H74" s="158" t="s">
        <v>17</v>
      </c>
      <c r="I74" s="158" t="s">
        <v>130</v>
      </c>
      <c r="J74" s="157"/>
      <c r="K74" s="157"/>
    </row>
    <row r="75" spans="1:11" x14ac:dyDescent="0.2">
      <c r="A75" s="156"/>
      <c r="B75" s="158" t="s">
        <v>114</v>
      </c>
      <c r="C75" s="158" t="s">
        <v>1</v>
      </c>
      <c r="D75" s="158" t="s">
        <v>177</v>
      </c>
      <c r="E75" s="158" t="s">
        <v>3</v>
      </c>
      <c r="F75" s="158" t="s">
        <v>10</v>
      </c>
      <c r="G75" s="158" t="s">
        <v>228</v>
      </c>
      <c r="H75" s="158" t="s">
        <v>17</v>
      </c>
      <c r="I75" s="158" t="s">
        <v>130</v>
      </c>
      <c r="J75" s="157"/>
      <c r="K75" s="157"/>
    </row>
    <row r="76" spans="1:11" x14ac:dyDescent="0.2">
      <c r="A76" s="156"/>
      <c r="B76" s="158" t="s">
        <v>114</v>
      </c>
      <c r="C76" s="158" t="s">
        <v>1</v>
      </c>
      <c r="D76" s="158" t="s">
        <v>177</v>
      </c>
      <c r="E76" s="158" t="s">
        <v>3</v>
      </c>
      <c r="F76" s="158" t="s">
        <v>10</v>
      </c>
      <c r="G76" s="158" t="s">
        <v>228</v>
      </c>
      <c r="H76" s="158" t="s">
        <v>17</v>
      </c>
      <c r="I76" s="158" t="s">
        <v>130</v>
      </c>
      <c r="J76" s="157"/>
      <c r="K76" s="157"/>
    </row>
    <row r="77" spans="1:11" x14ac:dyDescent="0.2">
      <c r="A77" s="156"/>
      <c r="B77" s="158" t="s">
        <v>114</v>
      </c>
      <c r="C77" s="158" t="s">
        <v>1</v>
      </c>
      <c r="D77" s="158" t="s">
        <v>177</v>
      </c>
      <c r="E77" s="158" t="s">
        <v>3</v>
      </c>
      <c r="F77" s="158" t="s">
        <v>10</v>
      </c>
      <c r="G77" s="158" t="s">
        <v>158</v>
      </c>
      <c r="H77" s="158" t="s">
        <v>7</v>
      </c>
      <c r="I77" s="157" t="s">
        <v>239</v>
      </c>
      <c r="J77" s="157"/>
      <c r="K77" s="157"/>
    </row>
    <row r="78" spans="1:11" x14ac:dyDescent="0.2">
      <c r="A78" s="156"/>
      <c r="B78" s="158" t="s">
        <v>114</v>
      </c>
      <c r="C78" s="158" t="s">
        <v>1</v>
      </c>
      <c r="D78" s="158" t="s">
        <v>177</v>
      </c>
      <c r="E78" s="158" t="s">
        <v>4</v>
      </c>
      <c r="F78" s="158" t="s">
        <v>23</v>
      </c>
      <c r="G78" s="158" t="s">
        <v>158</v>
      </c>
      <c r="H78" s="158" t="s">
        <v>7</v>
      </c>
      <c r="I78" s="158" t="s">
        <v>239</v>
      </c>
      <c r="J78" s="157"/>
      <c r="K78" s="157"/>
    </row>
    <row r="79" spans="1:11" x14ac:dyDescent="0.2">
      <c r="A79" s="156"/>
      <c r="B79" s="158" t="s">
        <v>114</v>
      </c>
      <c r="C79" s="158" t="s">
        <v>1</v>
      </c>
      <c r="D79" s="158" t="s">
        <v>177</v>
      </c>
      <c r="E79" s="158" t="s">
        <v>4</v>
      </c>
      <c r="F79" s="158" t="s">
        <v>10</v>
      </c>
      <c r="G79" s="158" t="s">
        <v>158</v>
      </c>
      <c r="H79" s="158" t="s">
        <v>7</v>
      </c>
      <c r="I79" s="158" t="s">
        <v>239</v>
      </c>
      <c r="J79" s="157"/>
      <c r="K79" s="157"/>
    </row>
    <row r="80" spans="1:11" x14ac:dyDescent="0.2">
      <c r="A80" s="156"/>
      <c r="B80" s="158" t="s">
        <v>114</v>
      </c>
      <c r="C80" s="158" t="s">
        <v>0</v>
      </c>
      <c r="D80" s="158" t="s">
        <v>2</v>
      </c>
      <c r="E80" s="158" t="s">
        <v>4</v>
      </c>
      <c r="F80" s="158" t="s">
        <v>10</v>
      </c>
      <c r="G80" s="158" t="s">
        <v>155</v>
      </c>
      <c r="H80" s="158" t="s">
        <v>17</v>
      </c>
      <c r="I80" s="158" t="s">
        <v>130</v>
      </c>
      <c r="J80" s="157"/>
      <c r="K80" s="157"/>
    </row>
    <row r="81" spans="1:11" x14ac:dyDescent="0.2">
      <c r="A81" s="156"/>
      <c r="B81" s="158" t="s">
        <v>114</v>
      </c>
      <c r="C81" s="158" t="s">
        <v>0</v>
      </c>
      <c r="D81" s="158" t="s">
        <v>177</v>
      </c>
      <c r="E81" s="158" t="s">
        <v>4</v>
      </c>
      <c r="F81" s="158" t="s">
        <v>13</v>
      </c>
      <c r="G81" s="158" t="s">
        <v>156</v>
      </c>
      <c r="H81" s="158" t="s">
        <v>17</v>
      </c>
      <c r="I81" s="158" t="s">
        <v>130</v>
      </c>
      <c r="J81" s="157"/>
      <c r="K81" s="157"/>
    </row>
    <row r="82" spans="1:11" x14ac:dyDescent="0.2">
      <c r="A82" s="156"/>
      <c r="B82" s="158" t="s">
        <v>114</v>
      </c>
      <c r="C82" s="158" t="s">
        <v>1</v>
      </c>
      <c r="D82" s="158" t="s">
        <v>177</v>
      </c>
      <c r="E82" s="158" t="s">
        <v>3</v>
      </c>
      <c r="F82" s="158" t="s">
        <v>13</v>
      </c>
      <c r="G82" s="158" t="s">
        <v>158</v>
      </c>
      <c r="H82" s="158" t="s">
        <v>17</v>
      </c>
      <c r="I82" s="158" t="s">
        <v>130</v>
      </c>
      <c r="J82" s="157"/>
      <c r="K82" s="157"/>
    </row>
    <row r="83" spans="1:11" x14ac:dyDescent="0.2">
      <c r="A83" s="156"/>
      <c r="B83" s="158" t="s">
        <v>114</v>
      </c>
      <c r="C83" s="158" t="s">
        <v>1</v>
      </c>
      <c r="D83" s="158" t="s">
        <v>177</v>
      </c>
      <c r="E83" s="158" t="s">
        <v>4</v>
      </c>
      <c r="F83" s="158" t="s">
        <v>13</v>
      </c>
      <c r="G83" s="158" t="s">
        <v>158</v>
      </c>
      <c r="H83" s="158" t="s">
        <v>17</v>
      </c>
      <c r="I83" s="158" t="s">
        <v>130</v>
      </c>
      <c r="J83" s="157"/>
      <c r="K83" s="157"/>
    </row>
    <row r="84" spans="1:11" x14ac:dyDescent="0.2">
      <c r="A84" s="156"/>
      <c r="B84" s="158" t="s">
        <v>112</v>
      </c>
      <c r="C84" s="158" t="s">
        <v>0</v>
      </c>
      <c r="D84" s="158" t="s">
        <v>177</v>
      </c>
      <c r="E84" s="158" t="s">
        <v>3</v>
      </c>
      <c r="F84" s="158" t="s">
        <v>9</v>
      </c>
      <c r="G84" s="158" t="s">
        <v>156</v>
      </c>
      <c r="H84" s="158" t="s">
        <v>17</v>
      </c>
      <c r="I84" s="158" t="s">
        <v>130</v>
      </c>
      <c r="J84" s="157"/>
      <c r="K84" s="157"/>
    </row>
    <row r="85" spans="1:11" x14ac:dyDescent="0.2">
      <c r="A85" s="156"/>
      <c r="B85" s="158" t="s">
        <v>112</v>
      </c>
      <c r="C85" s="158" t="s">
        <v>1</v>
      </c>
      <c r="D85" s="158" t="s">
        <v>177</v>
      </c>
      <c r="E85" s="158" t="s">
        <v>4</v>
      </c>
      <c r="F85" s="158" t="s">
        <v>9</v>
      </c>
      <c r="G85" s="158" t="s">
        <v>156</v>
      </c>
      <c r="H85" s="158" t="s">
        <v>17</v>
      </c>
      <c r="I85" s="158" t="s">
        <v>130</v>
      </c>
      <c r="J85" s="157"/>
      <c r="K85" s="157"/>
    </row>
    <row r="86" spans="1:11" x14ac:dyDescent="0.2">
      <c r="A86" s="156"/>
      <c r="B86" s="158" t="s">
        <v>112</v>
      </c>
      <c r="C86" s="158" t="s">
        <v>1</v>
      </c>
      <c r="D86" s="158" t="s">
        <v>177</v>
      </c>
      <c r="E86" s="158" t="s">
        <v>233</v>
      </c>
      <c r="F86" s="158" t="s">
        <v>9</v>
      </c>
      <c r="G86" s="158" t="s">
        <v>156</v>
      </c>
      <c r="H86" s="158" t="s">
        <v>159</v>
      </c>
      <c r="I86" s="157"/>
      <c r="J86" s="157"/>
      <c r="K86" s="157"/>
    </row>
    <row r="87" spans="1:11" x14ac:dyDescent="0.2">
      <c r="A87" s="156"/>
      <c r="B87" s="158" t="s">
        <v>112</v>
      </c>
      <c r="C87" s="158" t="s">
        <v>1</v>
      </c>
      <c r="D87" s="158" t="s">
        <v>177</v>
      </c>
      <c r="E87" s="158" t="s">
        <v>233</v>
      </c>
      <c r="F87" s="158" t="s">
        <v>9</v>
      </c>
      <c r="G87" s="158" t="s">
        <v>156</v>
      </c>
      <c r="H87" s="158" t="s">
        <v>159</v>
      </c>
      <c r="I87" s="157"/>
      <c r="J87" s="157"/>
      <c r="K87" s="157"/>
    </row>
    <row r="88" spans="1:11" x14ac:dyDescent="0.2">
      <c r="A88" s="156"/>
      <c r="B88" s="158" t="s">
        <v>112</v>
      </c>
      <c r="C88" s="158" t="s">
        <v>0</v>
      </c>
      <c r="D88" s="158" t="s">
        <v>177</v>
      </c>
      <c r="E88" s="158" t="s">
        <v>3</v>
      </c>
      <c r="F88" s="158" t="s">
        <v>12</v>
      </c>
      <c r="G88" s="158" t="s">
        <v>155</v>
      </c>
      <c r="H88" s="158" t="s">
        <v>159</v>
      </c>
      <c r="I88" s="157"/>
      <c r="J88" s="157"/>
      <c r="K88" s="157"/>
    </row>
    <row r="89" spans="1:11" x14ac:dyDescent="0.2">
      <c r="A89" s="156"/>
      <c r="B89" s="158" t="s">
        <v>115</v>
      </c>
      <c r="C89" s="158" t="s">
        <v>0</v>
      </c>
      <c r="D89" s="158" t="s">
        <v>177</v>
      </c>
      <c r="E89" s="158" t="s">
        <v>3</v>
      </c>
      <c r="F89" s="157" t="s">
        <v>14</v>
      </c>
      <c r="G89" s="158" t="s">
        <v>156</v>
      </c>
      <c r="H89" s="158" t="s">
        <v>18</v>
      </c>
      <c r="I89" s="157" t="s">
        <v>137</v>
      </c>
      <c r="J89" s="157"/>
      <c r="K89" s="157"/>
    </row>
    <row r="90" spans="1:11" x14ac:dyDescent="0.2">
      <c r="A90" s="156"/>
      <c r="B90" s="158" t="s">
        <v>114</v>
      </c>
      <c r="C90" s="158" t="s">
        <v>0</v>
      </c>
      <c r="D90" s="158" t="s">
        <v>177</v>
      </c>
      <c r="E90" s="158" t="s">
        <v>3</v>
      </c>
      <c r="F90" s="158" t="s">
        <v>9</v>
      </c>
      <c r="G90" s="158" t="s">
        <v>156</v>
      </c>
      <c r="H90" s="158" t="s">
        <v>17</v>
      </c>
      <c r="I90" s="158" t="s">
        <v>130</v>
      </c>
      <c r="J90" s="157"/>
      <c r="K90" s="157"/>
    </row>
    <row r="91" spans="1:11" x14ac:dyDescent="0.2">
      <c r="A91" s="156"/>
      <c r="B91" s="158" t="s">
        <v>114</v>
      </c>
      <c r="C91" s="158" t="s">
        <v>1</v>
      </c>
      <c r="D91" s="158" t="s">
        <v>177</v>
      </c>
      <c r="E91" s="158" t="s">
        <v>4</v>
      </c>
      <c r="F91" s="158" t="s">
        <v>9</v>
      </c>
      <c r="G91" s="158" t="s">
        <v>156</v>
      </c>
      <c r="H91" s="158" t="s">
        <v>17</v>
      </c>
      <c r="I91" s="158" t="s">
        <v>130</v>
      </c>
      <c r="J91" s="157"/>
      <c r="K91" s="157"/>
    </row>
    <row r="92" spans="1:11" x14ac:dyDescent="0.2">
      <c r="A92" s="156"/>
      <c r="B92" s="158" t="s">
        <v>114</v>
      </c>
      <c r="C92" s="158" t="s">
        <v>0</v>
      </c>
      <c r="D92" s="158" t="s">
        <v>177</v>
      </c>
      <c r="E92" s="158" t="s">
        <v>3</v>
      </c>
      <c r="F92" s="157" t="s">
        <v>277</v>
      </c>
      <c r="G92" s="158" t="s">
        <v>155</v>
      </c>
      <c r="H92" s="158" t="s">
        <v>17</v>
      </c>
      <c r="I92" s="158" t="s">
        <v>130</v>
      </c>
      <c r="J92" s="157"/>
      <c r="K92" s="157"/>
    </row>
    <row r="93" spans="1:11" x14ac:dyDescent="0.2">
      <c r="A93" s="156"/>
      <c r="B93" s="158" t="s">
        <v>114</v>
      </c>
      <c r="C93" s="158" t="s">
        <v>1</v>
      </c>
      <c r="D93" s="158" t="s">
        <v>177</v>
      </c>
      <c r="E93" s="158" t="s">
        <v>4</v>
      </c>
      <c r="F93" s="158" t="s">
        <v>9</v>
      </c>
      <c r="G93" s="158" t="s">
        <v>158</v>
      </c>
      <c r="H93" s="158" t="s">
        <v>17</v>
      </c>
      <c r="I93" s="158" t="s">
        <v>130</v>
      </c>
      <c r="J93" s="157"/>
      <c r="K93" s="157"/>
    </row>
    <row r="94" spans="1:11" x14ac:dyDescent="0.2">
      <c r="A94" s="156"/>
      <c r="B94" s="158" t="s">
        <v>114</v>
      </c>
      <c r="C94" s="158" t="s">
        <v>0</v>
      </c>
      <c r="D94" s="158" t="s">
        <v>177</v>
      </c>
      <c r="E94" s="158" t="s">
        <v>3</v>
      </c>
      <c r="F94" s="158" t="s">
        <v>13</v>
      </c>
      <c r="G94" s="158" t="s">
        <v>156</v>
      </c>
      <c r="H94" s="158" t="s">
        <v>17</v>
      </c>
      <c r="I94" s="158" t="s">
        <v>130</v>
      </c>
      <c r="J94" s="157"/>
      <c r="K94" s="157"/>
    </row>
    <row r="95" spans="1:11" x14ac:dyDescent="0.2">
      <c r="A95" s="156"/>
      <c r="B95" s="158" t="s">
        <v>114</v>
      </c>
      <c r="C95" s="158" t="s">
        <v>0</v>
      </c>
      <c r="D95" s="158" t="s">
        <v>177</v>
      </c>
      <c r="E95" s="158" t="s">
        <v>4</v>
      </c>
      <c r="F95" s="158" t="s">
        <v>10</v>
      </c>
      <c r="G95" s="158" t="s">
        <v>155</v>
      </c>
      <c r="H95" s="158" t="s">
        <v>17</v>
      </c>
      <c r="I95" s="158" t="s">
        <v>130</v>
      </c>
      <c r="J95" s="157"/>
      <c r="K95" s="157"/>
    </row>
    <row r="96" spans="1:11" x14ac:dyDescent="0.2">
      <c r="A96" s="156"/>
      <c r="B96" s="158" t="s">
        <v>113</v>
      </c>
      <c r="C96" s="158" t="s">
        <v>0</v>
      </c>
      <c r="D96" s="158" t="s">
        <v>177</v>
      </c>
      <c r="E96" s="158" t="s">
        <v>3</v>
      </c>
      <c r="F96" s="157" t="s">
        <v>16</v>
      </c>
      <c r="G96" s="158" t="s">
        <v>228</v>
      </c>
      <c r="H96" s="158" t="s">
        <v>7</v>
      </c>
      <c r="I96" s="157" t="s">
        <v>240</v>
      </c>
      <c r="J96" s="157"/>
      <c r="K96" s="157"/>
    </row>
    <row r="97" spans="1:11" x14ac:dyDescent="0.2">
      <c r="A97" s="156"/>
      <c r="B97" s="158" t="s">
        <v>113</v>
      </c>
      <c r="C97" s="158" t="s">
        <v>0</v>
      </c>
      <c r="D97" s="158" t="s">
        <v>177</v>
      </c>
      <c r="E97" s="158" t="s">
        <v>3</v>
      </c>
      <c r="F97" s="158" t="s">
        <v>16</v>
      </c>
      <c r="G97" s="158" t="s">
        <v>228</v>
      </c>
      <c r="H97" s="158" t="s">
        <v>7</v>
      </c>
      <c r="I97" s="158" t="s">
        <v>240</v>
      </c>
      <c r="J97" s="157"/>
      <c r="K97" s="157"/>
    </row>
    <row r="98" spans="1:11" x14ac:dyDescent="0.2">
      <c r="A98" s="156"/>
      <c r="B98" s="158" t="s">
        <v>113</v>
      </c>
      <c r="C98" s="158" t="s">
        <v>0</v>
      </c>
      <c r="D98" s="158" t="s">
        <v>177</v>
      </c>
      <c r="E98" s="158" t="s">
        <v>3</v>
      </c>
      <c r="F98" s="158" t="s">
        <v>16</v>
      </c>
      <c r="G98" s="158" t="s">
        <v>228</v>
      </c>
      <c r="H98" s="158" t="s">
        <v>7</v>
      </c>
      <c r="I98" s="158" t="s">
        <v>240</v>
      </c>
      <c r="J98" s="157"/>
      <c r="K98" s="157"/>
    </row>
    <row r="99" spans="1:11" x14ac:dyDescent="0.2">
      <c r="A99" s="156"/>
      <c r="B99" s="158" t="s">
        <v>113</v>
      </c>
      <c r="C99" s="158" t="s">
        <v>0</v>
      </c>
      <c r="D99" s="158" t="s">
        <v>177</v>
      </c>
      <c r="E99" s="158" t="s">
        <v>3</v>
      </c>
      <c r="F99" s="158" t="s">
        <v>16</v>
      </c>
      <c r="G99" s="158" t="s">
        <v>228</v>
      </c>
      <c r="H99" s="158" t="s">
        <v>7</v>
      </c>
      <c r="I99" s="158" t="s">
        <v>240</v>
      </c>
      <c r="J99" s="157"/>
      <c r="K99" s="157"/>
    </row>
    <row r="100" spans="1:11" x14ac:dyDescent="0.2">
      <c r="A100" s="156"/>
      <c r="B100" s="158" t="s">
        <v>113</v>
      </c>
      <c r="C100" s="158" t="s">
        <v>0</v>
      </c>
      <c r="D100" s="158" t="s">
        <v>177</v>
      </c>
      <c r="E100" s="158" t="s">
        <v>3</v>
      </c>
      <c r="F100" s="158" t="s">
        <v>16</v>
      </c>
      <c r="G100" s="158" t="s">
        <v>228</v>
      </c>
      <c r="H100" s="158" t="s">
        <v>7</v>
      </c>
      <c r="I100" s="158" t="s">
        <v>240</v>
      </c>
      <c r="J100" s="157"/>
      <c r="K100" s="157"/>
    </row>
    <row r="101" spans="1:11" x14ac:dyDescent="0.2">
      <c r="A101" s="156"/>
      <c r="B101" s="158" t="s">
        <v>113</v>
      </c>
      <c r="C101" s="158" t="s">
        <v>1</v>
      </c>
      <c r="D101" s="158" t="s">
        <v>177</v>
      </c>
      <c r="E101" s="158" t="s">
        <v>4</v>
      </c>
      <c r="F101" s="158" t="s">
        <v>16</v>
      </c>
      <c r="G101" s="158" t="s">
        <v>228</v>
      </c>
      <c r="H101" s="158" t="s">
        <v>7</v>
      </c>
      <c r="I101" s="158" t="s">
        <v>240</v>
      </c>
      <c r="J101" s="157"/>
      <c r="K101" s="157"/>
    </row>
    <row r="102" spans="1:11" x14ac:dyDescent="0.2">
      <c r="A102" s="156"/>
      <c r="B102" s="158" t="s">
        <v>113</v>
      </c>
      <c r="C102" s="158" t="s">
        <v>1</v>
      </c>
      <c r="D102" s="158" t="s">
        <v>2</v>
      </c>
      <c r="E102" s="158" t="s">
        <v>4</v>
      </c>
      <c r="F102" s="158" t="s">
        <v>16</v>
      </c>
      <c r="G102" s="158" t="s">
        <v>228</v>
      </c>
      <c r="H102" s="158" t="s">
        <v>7</v>
      </c>
      <c r="I102" s="158" t="s">
        <v>240</v>
      </c>
      <c r="J102" s="157"/>
      <c r="K102" s="157"/>
    </row>
    <row r="103" spans="1:11" x14ac:dyDescent="0.2">
      <c r="A103" s="156"/>
      <c r="B103" s="158" t="s">
        <v>113</v>
      </c>
      <c r="C103" s="158" t="s">
        <v>0</v>
      </c>
      <c r="D103" s="158" t="s">
        <v>2</v>
      </c>
      <c r="E103" s="158" t="s">
        <v>4</v>
      </c>
      <c r="F103" s="158" t="s">
        <v>16</v>
      </c>
      <c r="G103" s="158" t="s">
        <v>155</v>
      </c>
      <c r="H103" s="158" t="s">
        <v>7</v>
      </c>
      <c r="I103" s="158" t="s">
        <v>240</v>
      </c>
      <c r="J103" s="157"/>
      <c r="K103" s="157"/>
    </row>
    <row r="104" spans="1:11" x14ac:dyDescent="0.2">
      <c r="A104" s="156"/>
      <c r="B104" s="158" t="s">
        <v>112</v>
      </c>
      <c r="C104" s="158" t="s">
        <v>0</v>
      </c>
      <c r="D104" s="158" t="s">
        <v>177</v>
      </c>
      <c r="E104" s="158" t="s">
        <v>3</v>
      </c>
      <c r="F104" s="158" t="s">
        <v>106</v>
      </c>
      <c r="G104" s="158" t="s">
        <v>228</v>
      </c>
      <c r="H104" s="158" t="s">
        <v>7</v>
      </c>
      <c r="I104" s="158" t="s">
        <v>265</v>
      </c>
      <c r="J104" s="157"/>
      <c r="K104" s="157"/>
    </row>
    <row r="105" spans="1:11" x14ac:dyDescent="0.2">
      <c r="A105" s="156"/>
      <c r="B105" s="158" t="s">
        <v>112</v>
      </c>
      <c r="C105" s="158" t="s">
        <v>0</v>
      </c>
      <c r="D105" s="158" t="s">
        <v>177</v>
      </c>
      <c r="E105" s="158" t="s">
        <v>3</v>
      </c>
      <c r="F105" s="158" t="s">
        <v>106</v>
      </c>
      <c r="G105" s="158" t="s">
        <v>228</v>
      </c>
      <c r="H105" s="158" t="s">
        <v>7</v>
      </c>
      <c r="I105" s="158" t="s">
        <v>265</v>
      </c>
      <c r="J105" s="157"/>
      <c r="K105" s="157"/>
    </row>
    <row r="106" spans="1:11" x14ac:dyDescent="0.2">
      <c r="A106" s="156"/>
      <c r="B106" s="158" t="s">
        <v>112</v>
      </c>
      <c r="C106" s="158" t="s">
        <v>0</v>
      </c>
      <c r="D106" s="158" t="s">
        <v>177</v>
      </c>
      <c r="E106" s="158" t="s">
        <v>3</v>
      </c>
      <c r="F106" s="158" t="s">
        <v>106</v>
      </c>
      <c r="G106" s="158" t="s">
        <v>228</v>
      </c>
      <c r="H106" s="158" t="s">
        <v>7</v>
      </c>
      <c r="I106" s="158" t="s">
        <v>265</v>
      </c>
      <c r="J106" s="157"/>
      <c r="K106" s="157"/>
    </row>
    <row r="107" spans="1:11" x14ac:dyDescent="0.2">
      <c r="A107" s="156"/>
      <c r="B107" s="158" t="s">
        <v>112</v>
      </c>
      <c r="C107" s="158" t="s">
        <v>0</v>
      </c>
      <c r="D107" s="158" t="s">
        <v>177</v>
      </c>
      <c r="E107" s="158" t="s">
        <v>3</v>
      </c>
      <c r="F107" s="158" t="s">
        <v>106</v>
      </c>
      <c r="G107" s="158" t="s">
        <v>228</v>
      </c>
      <c r="H107" s="158" t="s">
        <v>7</v>
      </c>
      <c r="I107" s="158" t="s">
        <v>265</v>
      </c>
      <c r="J107" s="157"/>
      <c r="K107" s="157"/>
    </row>
    <row r="108" spans="1:11" x14ac:dyDescent="0.2">
      <c r="A108" s="156"/>
      <c r="B108" s="158" t="s">
        <v>112</v>
      </c>
      <c r="C108" s="158" t="s">
        <v>0</v>
      </c>
      <c r="D108" s="158" t="s">
        <v>177</v>
      </c>
      <c r="E108" s="158" t="s">
        <v>3</v>
      </c>
      <c r="F108" s="158" t="s">
        <v>153</v>
      </c>
      <c r="G108" s="158" t="s">
        <v>228</v>
      </c>
      <c r="H108" s="158" t="s">
        <v>7</v>
      </c>
      <c r="I108" s="158" t="s">
        <v>265</v>
      </c>
      <c r="J108" s="157"/>
      <c r="K108" s="157"/>
    </row>
    <row r="109" spans="1:11" x14ac:dyDescent="0.2">
      <c r="A109" s="156"/>
      <c r="B109" s="158" t="s">
        <v>112</v>
      </c>
      <c r="C109" s="158" t="s">
        <v>0</v>
      </c>
      <c r="D109" s="158" t="s">
        <v>177</v>
      </c>
      <c r="E109" s="158" t="s">
        <v>3</v>
      </c>
      <c r="F109" s="158" t="s">
        <v>153</v>
      </c>
      <c r="G109" s="158" t="s">
        <v>156</v>
      </c>
      <c r="H109" s="158" t="s">
        <v>7</v>
      </c>
      <c r="I109" s="158" t="s">
        <v>265</v>
      </c>
      <c r="J109" s="157"/>
      <c r="K109" s="157"/>
    </row>
    <row r="110" spans="1:11" x14ac:dyDescent="0.2">
      <c r="A110" s="156"/>
      <c r="B110" s="158" t="s">
        <v>112</v>
      </c>
      <c r="C110" s="158" t="s">
        <v>0</v>
      </c>
      <c r="D110" s="158" t="s">
        <v>177</v>
      </c>
      <c r="E110" s="158" t="s">
        <v>3</v>
      </c>
      <c r="F110" s="158" t="s">
        <v>153</v>
      </c>
      <c r="G110" s="158" t="s">
        <v>156</v>
      </c>
      <c r="H110" s="158" t="s">
        <v>7</v>
      </c>
      <c r="I110" s="158" t="s">
        <v>265</v>
      </c>
      <c r="J110" s="157"/>
      <c r="K110" s="157"/>
    </row>
    <row r="111" spans="1:11" x14ac:dyDescent="0.2">
      <c r="A111" s="156"/>
      <c r="B111" s="158" t="s">
        <v>112</v>
      </c>
      <c r="C111" s="158" t="s">
        <v>0</v>
      </c>
      <c r="D111" s="158" t="s">
        <v>177</v>
      </c>
      <c r="E111" s="158" t="s">
        <v>3</v>
      </c>
      <c r="F111" s="158" t="s">
        <v>234</v>
      </c>
      <c r="G111" s="158" t="s">
        <v>156</v>
      </c>
      <c r="H111" s="158" t="s">
        <v>7</v>
      </c>
      <c r="I111" s="158" t="s">
        <v>265</v>
      </c>
      <c r="J111" s="157"/>
      <c r="K111" s="157"/>
    </row>
    <row r="112" spans="1:11" x14ac:dyDescent="0.2">
      <c r="A112" s="156"/>
      <c r="B112" s="158" t="s">
        <v>112</v>
      </c>
      <c r="C112" s="158" t="s">
        <v>0</v>
      </c>
      <c r="D112" s="158" t="s">
        <v>177</v>
      </c>
      <c r="E112" s="158" t="s">
        <v>3</v>
      </c>
      <c r="F112" s="158" t="s">
        <v>14</v>
      </c>
      <c r="G112" s="158" t="s">
        <v>228</v>
      </c>
      <c r="H112" s="158" t="s">
        <v>7</v>
      </c>
      <c r="I112" s="158" t="s">
        <v>265</v>
      </c>
      <c r="J112" s="157"/>
      <c r="K112" s="157"/>
    </row>
    <row r="113" spans="1:11" x14ac:dyDescent="0.2">
      <c r="A113" s="156"/>
      <c r="B113" s="158" t="s">
        <v>112</v>
      </c>
      <c r="C113" s="158" t="s">
        <v>0</v>
      </c>
      <c r="D113" s="158" t="s">
        <v>177</v>
      </c>
      <c r="E113" s="158" t="s">
        <v>3</v>
      </c>
      <c r="F113" s="158" t="s">
        <v>9</v>
      </c>
      <c r="G113" s="158" t="s">
        <v>156</v>
      </c>
      <c r="H113" s="158" t="s">
        <v>7</v>
      </c>
      <c r="I113" s="158" t="s">
        <v>265</v>
      </c>
      <c r="J113" s="157"/>
      <c r="K113" s="157"/>
    </row>
    <row r="114" spans="1:11" x14ac:dyDescent="0.2">
      <c r="A114" s="156"/>
      <c r="B114" s="158" t="s">
        <v>112</v>
      </c>
      <c r="C114" s="158" t="s">
        <v>0</v>
      </c>
      <c r="D114" s="158" t="s">
        <v>177</v>
      </c>
      <c r="E114" s="158" t="s">
        <v>3</v>
      </c>
      <c r="F114" s="158" t="s">
        <v>9</v>
      </c>
      <c r="G114" s="158" t="s">
        <v>156</v>
      </c>
      <c r="H114" s="158" t="s">
        <v>7</v>
      </c>
      <c r="I114" s="158" t="s">
        <v>265</v>
      </c>
      <c r="J114" s="157"/>
      <c r="K114" s="157"/>
    </row>
    <row r="115" spans="1:11" x14ac:dyDescent="0.2">
      <c r="A115" s="156"/>
      <c r="B115" s="158" t="s">
        <v>112</v>
      </c>
      <c r="C115" s="158" t="s">
        <v>0</v>
      </c>
      <c r="D115" s="158" t="s">
        <v>177</v>
      </c>
      <c r="E115" s="158" t="s">
        <v>3</v>
      </c>
      <c r="F115" s="158" t="s">
        <v>9</v>
      </c>
      <c r="G115" s="158" t="s">
        <v>156</v>
      </c>
      <c r="H115" s="158" t="s">
        <v>7</v>
      </c>
      <c r="I115" s="158" t="s">
        <v>265</v>
      </c>
      <c r="J115" s="157"/>
      <c r="K115" s="157"/>
    </row>
    <row r="116" spans="1:11" x14ac:dyDescent="0.2">
      <c r="A116" s="156"/>
      <c r="B116" s="158" t="s">
        <v>112</v>
      </c>
      <c r="C116" s="158" t="s">
        <v>0</v>
      </c>
      <c r="D116" s="158" t="s">
        <v>177</v>
      </c>
      <c r="E116" s="158" t="s">
        <v>4</v>
      </c>
      <c r="F116" s="158" t="s">
        <v>9</v>
      </c>
      <c r="G116" s="158" t="s">
        <v>156</v>
      </c>
      <c r="H116" s="158" t="s">
        <v>7</v>
      </c>
      <c r="I116" s="158" t="s">
        <v>265</v>
      </c>
      <c r="J116" s="157"/>
      <c r="K116" s="157"/>
    </row>
    <row r="117" spans="1:11" x14ac:dyDescent="0.2">
      <c r="A117" s="156"/>
      <c r="B117" s="158" t="s">
        <v>112</v>
      </c>
      <c r="C117" s="158" t="s">
        <v>0</v>
      </c>
      <c r="D117" s="158" t="s">
        <v>177</v>
      </c>
      <c r="E117" s="158" t="s">
        <v>4</v>
      </c>
      <c r="F117" s="158" t="s">
        <v>9</v>
      </c>
      <c r="G117" s="158" t="s">
        <v>156</v>
      </c>
      <c r="H117" s="158" t="s">
        <v>7</v>
      </c>
      <c r="I117" s="158" t="s">
        <v>265</v>
      </c>
      <c r="J117" s="157"/>
      <c r="K117" s="157"/>
    </row>
    <row r="118" spans="1:11" x14ac:dyDescent="0.2">
      <c r="A118" s="156"/>
      <c r="B118" s="158" t="s">
        <v>112</v>
      </c>
      <c r="C118" s="158" t="s">
        <v>0</v>
      </c>
      <c r="D118" s="158" t="s">
        <v>177</v>
      </c>
      <c r="E118" s="158" t="s">
        <v>4</v>
      </c>
      <c r="F118" s="158" t="s">
        <v>9</v>
      </c>
      <c r="G118" s="158" t="s">
        <v>156</v>
      </c>
      <c r="H118" s="158" t="s">
        <v>7</v>
      </c>
      <c r="I118" s="158" t="s">
        <v>265</v>
      </c>
      <c r="J118" s="157"/>
      <c r="K118" s="157"/>
    </row>
    <row r="119" spans="1:11" x14ac:dyDescent="0.2">
      <c r="A119" s="156"/>
      <c r="B119" s="158" t="s">
        <v>112</v>
      </c>
      <c r="C119" s="158" t="s">
        <v>0</v>
      </c>
      <c r="D119" s="158" t="s">
        <v>177</v>
      </c>
      <c r="E119" s="158" t="s">
        <v>4</v>
      </c>
      <c r="F119" s="158" t="s">
        <v>9</v>
      </c>
      <c r="G119" s="158" t="s">
        <v>156</v>
      </c>
      <c r="H119" s="158" t="s">
        <v>7</v>
      </c>
      <c r="I119" s="158" t="s">
        <v>265</v>
      </c>
      <c r="J119" s="157"/>
      <c r="K119" s="157"/>
    </row>
    <row r="120" spans="1:11" x14ac:dyDescent="0.2">
      <c r="A120" s="156"/>
      <c r="B120" s="158" t="s">
        <v>112</v>
      </c>
      <c r="C120" s="158" t="s">
        <v>0</v>
      </c>
      <c r="D120" s="158" t="s">
        <v>177</v>
      </c>
      <c r="E120" s="158" t="s">
        <v>4</v>
      </c>
      <c r="F120" s="158" t="s">
        <v>106</v>
      </c>
      <c r="G120" s="158" t="s">
        <v>156</v>
      </c>
      <c r="H120" s="158" t="s">
        <v>7</v>
      </c>
      <c r="I120" s="158" t="s">
        <v>265</v>
      </c>
      <c r="J120" s="157"/>
      <c r="K120" s="157"/>
    </row>
    <row r="121" spans="1:11" x14ac:dyDescent="0.2">
      <c r="A121" s="156"/>
      <c r="B121" s="158" t="s">
        <v>112</v>
      </c>
      <c r="C121" s="158" t="s">
        <v>0</v>
      </c>
      <c r="D121" s="158" t="s">
        <v>177</v>
      </c>
      <c r="E121" s="158" t="s">
        <v>4</v>
      </c>
      <c r="F121" s="158" t="s">
        <v>106</v>
      </c>
      <c r="G121" s="158" t="s">
        <v>228</v>
      </c>
      <c r="H121" s="158" t="s">
        <v>7</v>
      </c>
      <c r="I121" s="158" t="s">
        <v>265</v>
      </c>
      <c r="J121" s="157"/>
      <c r="K121" s="157"/>
    </row>
    <row r="122" spans="1:11" x14ac:dyDescent="0.2">
      <c r="A122" s="156"/>
      <c r="B122" s="158" t="s">
        <v>112</v>
      </c>
      <c r="C122" s="158" t="s">
        <v>0</v>
      </c>
      <c r="D122" s="158" t="s">
        <v>177</v>
      </c>
      <c r="E122" s="158" t="s">
        <v>4</v>
      </c>
      <c r="F122" s="158" t="s">
        <v>106</v>
      </c>
      <c r="G122" s="158" t="s">
        <v>228</v>
      </c>
      <c r="H122" s="158" t="s">
        <v>7</v>
      </c>
      <c r="I122" s="158" t="s">
        <v>265</v>
      </c>
      <c r="J122" s="157"/>
      <c r="K122" s="157"/>
    </row>
    <row r="123" spans="1:11" x14ac:dyDescent="0.2">
      <c r="A123" s="156"/>
      <c r="B123" s="158" t="s">
        <v>112</v>
      </c>
      <c r="C123" s="158" t="s">
        <v>0</v>
      </c>
      <c r="D123" s="158" t="s">
        <v>177</v>
      </c>
      <c r="E123" s="158" t="s">
        <v>4</v>
      </c>
      <c r="F123" s="158" t="s">
        <v>14</v>
      </c>
      <c r="G123" s="158" t="s">
        <v>228</v>
      </c>
      <c r="H123" s="158" t="s">
        <v>7</v>
      </c>
      <c r="I123" s="158" t="s">
        <v>265</v>
      </c>
      <c r="J123" s="157"/>
      <c r="K123" s="157"/>
    </row>
    <row r="124" spans="1:11" x14ac:dyDescent="0.2">
      <c r="A124" s="156"/>
      <c r="B124" s="158" t="s">
        <v>112</v>
      </c>
      <c r="C124" s="158" t="s">
        <v>0</v>
      </c>
      <c r="D124" s="158" t="s">
        <v>177</v>
      </c>
      <c r="E124" s="158" t="s">
        <v>4</v>
      </c>
      <c r="F124" s="158" t="s">
        <v>234</v>
      </c>
      <c r="G124" s="158" t="s">
        <v>156</v>
      </c>
      <c r="H124" s="158" t="s">
        <v>7</v>
      </c>
      <c r="I124" s="158" t="s">
        <v>265</v>
      </c>
      <c r="J124" s="157"/>
      <c r="K124" s="157"/>
    </row>
    <row r="125" spans="1:11" x14ac:dyDescent="0.2">
      <c r="A125" s="156"/>
      <c r="B125" s="158" t="s">
        <v>112</v>
      </c>
      <c r="C125" s="158" t="s">
        <v>0</v>
      </c>
      <c r="D125" s="158" t="s">
        <v>177</v>
      </c>
      <c r="E125" s="158" t="s">
        <v>4</v>
      </c>
      <c r="F125" s="158" t="s">
        <v>234</v>
      </c>
      <c r="G125" s="158" t="s">
        <v>156</v>
      </c>
      <c r="H125" s="158" t="s">
        <v>7</v>
      </c>
      <c r="I125" s="158" t="s">
        <v>265</v>
      </c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opLeftCell="A65" workbookViewId="0">
      <selection activeCell="K107" sqref="K107:K125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113</v>
      </c>
      <c r="C5" s="157" t="s">
        <v>0</v>
      </c>
      <c r="D5" s="157" t="s">
        <v>177</v>
      </c>
      <c r="E5" s="157" t="s">
        <v>4</v>
      </c>
      <c r="F5" s="157" t="s">
        <v>13</v>
      </c>
      <c r="G5" s="157" t="s">
        <v>156</v>
      </c>
      <c r="H5" s="157" t="s">
        <v>159</v>
      </c>
      <c r="I5" s="157"/>
      <c r="J5" s="157"/>
      <c r="K5" s="157"/>
    </row>
    <row r="6" spans="1:11" x14ac:dyDescent="0.2">
      <c r="A6" s="156"/>
      <c r="B6" s="158" t="s">
        <v>113</v>
      </c>
      <c r="C6" s="157" t="s">
        <v>202</v>
      </c>
      <c r="D6" s="158" t="s">
        <v>177</v>
      </c>
      <c r="E6" s="158" t="s">
        <v>4</v>
      </c>
      <c r="F6" s="158" t="s">
        <v>13</v>
      </c>
      <c r="G6" s="157" t="s">
        <v>158</v>
      </c>
      <c r="H6" s="158" t="s">
        <v>17</v>
      </c>
      <c r="I6" s="157" t="s">
        <v>130</v>
      </c>
      <c r="J6" s="157"/>
      <c r="K6" s="157"/>
    </row>
    <row r="7" spans="1:11" x14ac:dyDescent="0.2">
      <c r="A7" s="156"/>
      <c r="B7" s="158" t="s">
        <v>113</v>
      </c>
      <c r="C7" s="158" t="s">
        <v>0</v>
      </c>
      <c r="D7" s="158" t="s">
        <v>177</v>
      </c>
      <c r="E7" s="158" t="s">
        <v>4</v>
      </c>
      <c r="F7" s="157" t="s">
        <v>11</v>
      </c>
      <c r="G7" s="158" t="s">
        <v>156</v>
      </c>
      <c r="H7" s="158" t="s">
        <v>159</v>
      </c>
      <c r="I7" s="157"/>
      <c r="J7" s="157"/>
      <c r="K7" s="157"/>
    </row>
    <row r="8" spans="1:11" x14ac:dyDescent="0.2">
      <c r="A8" s="156"/>
      <c r="B8" s="158" t="s">
        <v>113</v>
      </c>
      <c r="C8" s="157" t="s">
        <v>1</v>
      </c>
      <c r="D8" s="158" t="s">
        <v>177</v>
      </c>
      <c r="E8" s="158" t="s">
        <v>4</v>
      </c>
      <c r="F8" s="158" t="s">
        <v>11</v>
      </c>
      <c r="G8" s="158" t="s">
        <v>156</v>
      </c>
      <c r="H8" s="158" t="s">
        <v>159</v>
      </c>
      <c r="I8" s="157"/>
      <c r="J8" s="157"/>
      <c r="K8" s="157"/>
    </row>
    <row r="9" spans="1:11" x14ac:dyDescent="0.2">
      <c r="A9" s="156"/>
      <c r="B9" s="158" t="s">
        <v>113</v>
      </c>
      <c r="C9" s="158" t="s">
        <v>0</v>
      </c>
      <c r="D9" s="158" t="s">
        <v>177</v>
      </c>
      <c r="E9" s="158" t="s">
        <v>4</v>
      </c>
      <c r="F9" s="158" t="s">
        <v>11</v>
      </c>
      <c r="G9" s="158" t="s">
        <v>156</v>
      </c>
      <c r="H9" s="158" t="s">
        <v>17</v>
      </c>
      <c r="I9" s="158" t="s">
        <v>130</v>
      </c>
      <c r="J9" s="157"/>
      <c r="K9" s="157"/>
    </row>
    <row r="10" spans="1:11" x14ac:dyDescent="0.2">
      <c r="A10" s="156"/>
      <c r="B10" s="158" t="s">
        <v>113</v>
      </c>
      <c r="C10" s="158" t="s">
        <v>0</v>
      </c>
      <c r="D10" s="158" t="s">
        <v>177</v>
      </c>
      <c r="E10" s="157" t="s">
        <v>3</v>
      </c>
      <c r="F10" s="158" t="s">
        <v>9</v>
      </c>
      <c r="G10" s="157" t="s">
        <v>228</v>
      </c>
      <c r="H10" s="158" t="s">
        <v>17</v>
      </c>
      <c r="I10" s="158" t="s">
        <v>130</v>
      </c>
      <c r="J10" s="157"/>
      <c r="K10" s="157"/>
    </row>
    <row r="11" spans="1:11" x14ac:dyDescent="0.2">
      <c r="A11" s="156"/>
      <c r="B11" s="158" t="s">
        <v>113</v>
      </c>
      <c r="C11" s="158" t="s">
        <v>1</v>
      </c>
      <c r="D11" s="158" t="s">
        <v>177</v>
      </c>
      <c r="E11" s="158" t="s">
        <v>4</v>
      </c>
      <c r="F11" s="158" t="s">
        <v>9</v>
      </c>
      <c r="G11" s="158" t="s">
        <v>228</v>
      </c>
      <c r="H11" s="158" t="s">
        <v>159</v>
      </c>
      <c r="I11" s="157"/>
      <c r="J11" s="157"/>
      <c r="K11" s="157"/>
    </row>
    <row r="12" spans="1:11" x14ac:dyDescent="0.2">
      <c r="A12" s="156"/>
      <c r="B12" s="158" t="s">
        <v>113</v>
      </c>
      <c r="C12" s="158" t="s">
        <v>0</v>
      </c>
      <c r="D12" s="158" t="s">
        <v>177</v>
      </c>
      <c r="E12" s="158" t="s">
        <v>3</v>
      </c>
      <c r="F12" s="157" t="s">
        <v>15</v>
      </c>
      <c r="G12" s="158" t="s">
        <v>156</v>
      </c>
      <c r="H12" s="158" t="s">
        <v>17</v>
      </c>
      <c r="I12" s="157" t="s">
        <v>132</v>
      </c>
      <c r="J12" s="157"/>
      <c r="K12" s="157"/>
    </row>
    <row r="13" spans="1:11" x14ac:dyDescent="0.2">
      <c r="A13" s="156"/>
      <c r="B13" s="158" t="s">
        <v>113</v>
      </c>
      <c r="C13" s="158" t="s">
        <v>1</v>
      </c>
      <c r="D13" s="158" t="s">
        <v>177</v>
      </c>
      <c r="E13" s="158" t="s">
        <v>4</v>
      </c>
      <c r="F13" s="158" t="s">
        <v>15</v>
      </c>
      <c r="G13" s="158" t="s">
        <v>156</v>
      </c>
      <c r="H13" s="158" t="s">
        <v>17</v>
      </c>
      <c r="I13" s="157" t="s">
        <v>132</v>
      </c>
      <c r="J13" s="157"/>
      <c r="K13" s="157"/>
    </row>
    <row r="14" spans="1:11" x14ac:dyDescent="0.2">
      <c r="A14" s="156"/>
      <c r="B14" s="158" t="s">
        <v>113</v>
      </c>
      <c r="C14" s="158" t="s">
        <v>1</v>
      </c>
      <c r="D14" s="158" t="s">
        <v>177</v>
      </c>
      <c r="E14" s="158" t="s">
        <v>4</v>
      </c>
      <c r="F14" s="157" t="s">
        <v>10</v>
      </c>
      <c r="G14" s="157" t="s">
        <v>155</v>
      </c>
      <c r="H14" s="158" t="s">
        <v>17</v>
      </c>
      <c r="I14" s="158" t="s">
        <v>130</v>
      </c>
      <c r="J14" s="158"/>
      <c r="K14" s="158"/>
    </row>
    <row r="15" spans="1:11" x14ac:dyDescent="0.2">
      <c r="A15" s="156"/>
      <c r="B15" s="158" t="s">
        <v>113</v>
      </c>
      <c r="C15" s="158" t="s">
        <v>0</v>
      </c>
      <c r="D15" s="158" t="s">
        <v>177</v>
      </c>
      <c r="E15" s="158" t="s">
        <v>4</v>
      </c>
      <c r="F15" s="158" t="s">
        <v>10</v>
      </c>
      <c r="G15" s="158" t="s">
        <v>155</v>
      </c>
      <c r="H15" s="158" t="s">
        <v>159</v>
      </c>
      <c r="I15" s="158"/>
      <c r="J15" s="158"/>
      <c r="K15" s="158"/>
    </row>
    <row r="16" spans="1:11" x14ac:dyDescent="0.2">
      <c r="A16" s="156"/>
      <c r="B16" s="158" t="s">
        <v>113</v>
      </c>
      <c r="C16" s="158" t="s">
        <v>0</v>
      </c>
      <c r="D16" s="158" t="s">
        <v>177</v>
      </c>
      <c r="E16" s="158" t="s">
        <v>4</v>
      </c>
      <c r="F16" s="158" t="s">
        <v>10</v>
      </c>
      <c r="G16" s="158" t="s">
        <v>155</v>
      </c>
      <c r="H16" s="158" t="s">
        <v>159</v>
      </c>
      <c r="I16" s="158"/>
      <c r="J16" s="158"/>
      <c r="K16" s="158"/>
    </row>
    <row r="17" spans="1:11" x14ac:dyDescent="0.2">
      <c r="A17" s="156"/>
      <c r="B17" s="158" t="s">
        <v>113</v>
      </c>
      <c r="C17" s="158" t="s">
        <v>319</v>
      </c>
      <c r="D17" s="158" t="s">
        <v>177</v>
      </c>
      <c r="E17" s="158" t="s">
        <v>4</v>
      </c>
      <c r="F17" s="157" t="s">
        <v>12</v>
      </c>
      <c r="G17" s="158" t="s">
        <v>156</v>
      </c>
      <c r="H17" s="158" t="s">
        <v>159</v>
      </c>
      <c r="I17" s="157"/>
      <c r="J17" s="157"/>
      <c r="K17" s="157"/>
    </row>
    <row r="18" spans="1:11" x14ac:dyDescent="0.2">
      <c r="A18" s="156"/>
      <c r="B18" s="158" t="s">
        <v>114</v>
      </c>
      <c r="C18" s="158" t="s">
        <v>1</v>
      </c>
      <c r="D18" s="158" t="s">
        <v>177</v>
      </c>
      <c r="E18" s="158" t="s">
        <v>4</v>
      </c>
      <c r="F18" s="158" t="s">
        <v>10</v>
      </c>
      <c r="G18" s="158" t="s">
        <v>158</v>
      </c>
      <c r="H18" s="158" t="s">
        <v>17</v>
      </c>
      <c r="I18" s="158" t="s">
        <v>130</v>
      </c>
      <c r="J18" s="158"/>
      <c r="K18" s="158"/>
    </row>
    <row r="19" spans="1:11" x14ac:dyDescent="0.2">
      <c r="A19" s="156"/>
      <c r="B19" s="158" t="s">
        <v>114</v>
      </c>
      <c r="C19" s="158" t="s">
        <v>1</v>
      </c>
      <c r="D19" s="158" t="s">
        <v>177</v>
      </c>
      <c r="E19" s="158" t="s">
        <v>4</v>
      </c>
      <c r="F19" s="157" t="s">
        <v>153</v>
      </c>
      <c r="G19" s="158" t="s">
        <v>158</v>
      </c>
      <c r="H19" s="158" t="s">
        <v>17</v>
      </c>
      <c r="I19" s="157" t="s">
        <v>130</v>
      </c>
      <c r="J19" s="157"/>
      <c r="K19" s="157"/>
    </row>
    <row r="20" spans="1:11" x14ac:dyDescent="0.2">
      <c r="A20" s="156"/>
      <c r="B20" s="158" t="s">
        <v>114</v>
      </c>
      <c r="C20" s="158" t="s">
        <v>0</v>
      </c>
      <c r="D20" s="158" t="s">
        <v>177</v>
      </c>
      <c r="E20" s="158" t="s">
        <v>4</v>
      </c>
      <c r="F20" s="158" t="s">
        <v>10</v>
      </c>
      <c r="G20" s="158" t="s">
        <v>228</v>
      </c>
      <c r="H20" s="158" t="s">
        <v>7</v>
      </c>
      <c r="I20" s="158" t="s">
        <v>105</v>
      </c>
      <c r="J20" s="158"/>
      <c r="K20" s="158"/>
    </row>
    <row r="21" spans="1:11" x14ac:dyDescent="0.2">
      <c r="A21" s="156"/>
      <c r="B21" s="158" t="s">
        <v>114</v>
      </c>
      <c r="C21" s="158" t="s">
        <v>0</v>
      </c>
      <c r="D21" s="158" t="s">
        <v>177</v>
      </c>
      <c r="E21" s="158" t="s">
        <v>4</v>
      </c>
      <c r="F21" s="158" t="s">
        <v>10</v>
      </c>
      <c r="G21" s="158" t="s">
        <v>228</v>
      </c>
      <c r="H21" s="158" t="s">
        <v>7</v>
      </c>
      <c r="I21" s="158" t="s">
        <v>105</v>
      </c>
      <c r="J21" s="158"/>
      <c r="K21" s="158"/>
    </row>
    <row r="22" spans="1:11" x14ac:dyDescent="0.2">
      <c r="A22" s="156"/>
      <c r="B22" s="158" t="s">
        <v>114</v>
      </c>
      <c r="C22" s="158" t="s">
        <v>0</v>
      </c>
      <c r="D22" s="158" t="s">
        <v>177</v>
      </c>
      <c r="E22" s="158" t="s">
        <v>4</v>
      </c>
      <c r="F22" s="158" t="s">
        <v>10</v>
      </c>
      <c r="G22" s="158" t="s">
        <v>228</v>
      </c>
      <c r="H22" s="158" t="s">
        <v>7</v>
      </c>
      <c r="I22" s="158" t="s">
        <v>105</v>
      </c>
      <c r="J22" s="158"/>
      <c r="K22" s="158"/>
    </row>
    <row r="23" spans="1:11" x14ac:dyDescent="0.2">
      <c r="A23" s="156"/>
      <c r="B23" s="158" t="s">
        <v>114</v>
      </c>
      <c r="C23" s="158" t="s">
        <v>0</v>
      </c>
      <c r="D23" s="158" t="s">
        <v>177</v>
      </c>
      <c r="E23" s="158" t="s">
        <v>4</v>
      </c>
      <c r="F23" s="158" t="s">
        <v>10</v>
      </c>
      <c r="G23" s="158" t="s">
        <v>228</v>
      </c>
      <c r="H23" s="158" t="s">
        <v>7</v>
      </c>
      <c r="I23" s="158" t="s">
        <v>105</v>
      </c>
      <c r="J23" s="157"/>
      <c r="K23" s="157"/>
    </row>
    <row r="24" spans="1:11" x14ac:dyDescent="0.2">
      <c r="A24" s="156"/>
      <c r="B24" s="158" t="s">
        <v>114</v>
      </c>
      <c r="C24" s="158" t="s">
        <v>0</v>
      </c>
      <c r="D24" s="158" t="s">
        <v>177</v>
      </c>
      <c r="E24" s="158" t="s">
        <v>4</v>
      </c>
      <c r="F24" s="157" t="s">
        <v>14</v>
      </c>
      <c r="G24" s="158" t="s">
        <v>228</v>
      </c>
      <c r="H24" s="158" t="s">
        <v>7</v>
      </c>
      <c r="I24" s="158" t="s">
        <v>105</v>
      </c>
      <c r="J24" s="158"/>
      <c r="K24" s="158"/>
    </row>
    <row r="25" spans="1:11" x14ac:dyDescent="0.2">
      <c r="A25" s="156"/>
      <c r="B25" s="158" t="s">
        <v>114</v>
      </c>
      <c r="C25" s="158" t="s">
        <v>0</v>
      </c>
      <c r="D25" s="158" t="s">
        <v>177</v>
      </c>
      <c r="E25" s="158" t="s">
        <v>4</v>
      </c>
      <c r="F25" s="158" t="s">
        <v>10</v>
      </c>
      <c r="G25" s="158" t="s">
        <v>228</v>
      </c>
      <c r="H25" s="158" t="s">
        <v>7</v>
      </c>
      <c r="I25" s="158" t="s">
        <v>105</v>
      </c>
      <c r="J25" s="157"/>
      <c r="K25" s="157"/>
    </row>
    <row r="26" spans="1:11" x14ac:dyDescent="0.2">
      <c r="A26" s="156"/>
      <c r="B26" s="158" t="s">
        <v>113</v>
      </c>
      <c r="C26" s="158" t="s">
        <v>0</v>
      </c>
      <c r="D26" s="158" t="s">
        <v>177</v>
      </c>
      <c r="E26" s="158" t="s">
        <v>3</v>
      </c>
      <c r="F26" s="158" t="s">
        <v>15</v>
      </c>
      <c r="G26" s="158" t="s">
        <v>155</v>
      </c>
      <c r="H26" s="158" t="s">
        <v>17</v>
      </c>
      <c r="I26" s="157" t="s">
        <v>130</v>
      </c>
      <c r="J26" s="157"/>
      <c r="K26" s="157"/>
    </row>
    <row r="27" spans="1:11" x14ac:dyDescent="0.2">
      <c r="A27" s="156"/>
      <c r="B27" s="158" t="s">
        <v>113</v>
      </c>
      <c r="C27" s="158" t="s">
        <v>1</v>
      </c>
      <c r="D27" s="158" t="s">
        <v>177</v>
      </c>
      <c r="E27" s="158" t="s">
        <v>4</v>
      </c>
      <c r="F27" s="158" t="s">
        <v>15</v>
      </c>
      <c r="G27" s="158" t="s">
        <v>155</v>
      </c>
      <c r="H27" s="158" t="s">
        <v>17</v>
      </c>
      <c r="I27" s="157"/>
      <c r="J27" s="157"/>
      <c r="K27" s="157"/>
    </row>
    <row r="28" spans="1:11" x14ac:dyDescent="0.2">
      <c r="A28" s="156"/>
      <c r="B28" s="158" t="s">
        <v>113</v>
      </c>
      <c r="C28" s="158" t="s">
        <v>0</v>
      </c>
      <c r="D28" s="158" t="s">
        <v>177</v>
      </c>
      <c r="E28" s="158" t="s">
        <v>3</v>
      </c>
      <c r="F28" s="158" t="s">
        <v>14</v>
      </c>
      <c r="G28" s="158" t="s">
        <v>156</v>
      </c>
      <c r="H28" s="158" t="s">
        <v>18</v>
      </c>
      <c r="I28" s="157"/>
      <c r="J28" s="157"/>
      <c r="K28" s="157"/>
    </row>
    <row r="29" spans="1:11" x14ac:dyDescent="0.2">
      <c r="A29" s="156"/>
      <c r="B29" s="158" t="s">
        <v>113</v>
      </c>
      <c r="C29" s="158" t="s">
        <v>1</v>
      </c>
      <c r="D29" s="158" t="s">
        <v>177</v>
      </c>
      <c r="E29" s="158" t="s">
        <v>4</v>
      </c>
      <c r="F29" s="158" t="s">
        <v>10</v>
      </c>
      <c r="G29" s="158" t="s">
        <v>158</v>
      </c>
      <c r="H29" s="158" t="s">
        <v>18</v>
      </c>
      <c r="I29" s="157"/>
      <c r="J29" s="157"/>
      <c r="K29" s="157"/>
    </row>
    <row r="30" spans="1:11" x14ac:dyDescent="0.2">
      <c r="A30" s="156"/>
      <c r="B30" s="158" t="s">
        <v>113</v>
      </c>
      <c r="C30" s="158" t="s">
        <v>0</v>
      </c>
      <c r="D30" s="158" t="s">
        <v>177</v>
      </c>
      <c r="E30" s="158" t="s">
        <v>4</v>
      </c>
      <c r="F30" s="158" t="s">
        <v>10</v>
      </c>
      <c r="G30" s="158" t="s">
        <v>156</v>
      </c>
      <c r="H30" s="158" t="s">
        <v>17</v>
      </c>
      <c r="I30" s="157" t="s">
        <v>130</v>
      </c>
      <c r="J30" s="157"/>
      <c r="K30" s="157"/>
    </row>
    <row r="31" spans="1:11" x14ac:dyDescent="0.2">
      <c r="A31" s="156"/>
      <c r="B31" s="158" t="s">
        <v>113</v>
      </c>
      <c r="C31" s="158" t="s">
        <v>0</v>
      </c>
      <c r="D31" s="157" t="s">
        <v>2</v>
      </c>
      <c r="E31" s="158" t="s">
        <v>4</v>
      </c>
      <c r="F31" s="158" t="s">
        <v>11</v>
      </c>
      <c r="G31" s="158" t="s">
        <v>156</v>
      </c>
      <c r="H31" s="158" t="s">
        <v>159</v>
      </c>
      <c r="I31" s="157"/>
      <c r="J31" s="157"/>
      <c r="K31" s="157"/>
    </row>
    <row r="32" spans="1:11" x14ac:dyDescent="0.2">
      <c r="A32" s="156"/>
      <c r="B32" s="158" t="s">
        <v>113</v>
      </c>
      <c r="C32" s="158" t="s">
        <v>0</v>
      </c>
      <c r="D32" s="158" t="s">
        <v>177</v>
      </c>
      <c r="E32" s="158" t="s">
        <v>4</v>
      </c>
      <c r="F32" s="158" t="s">
        <v>10</v>
      </c>
      <c r="G32" s="158" t="s">
        <v>228</v>
      </c>
      <c r="H32" s="158" t="s">
        <v>159</v>
      </c>
      <c r="I32" s="157"/>
      <c r="J32" s="157"/>
      <c r="K32" s="157"/>
    </row>
    <row r="33" spans="1:11" x14ac:dyDescent="0.2">
      <c r="A33" s="156"/>
      <c r="B33" s="158" t="s">
        <v>113</v>
      </c>
      <c r="C33" s="158" t="s">
        <v>0</v>
      </c>
      <c r="D33" s="158" t="s">
        <v>177</v>
      </c>
      <c r="E33" s="157" t="s">
        <v>4</v>
      </c>
      <c r="F33" s="158" t="s">
        <v>10</v>
      </c>
      <c r="G33" s="158" t="s">
        <v>155</v>
      </c>
      <c r="H33" s="158" t="s">
        <v>159</v>
      </c>
      <c r="I33" s="157"/>
      <c r="J33" s="157"/>
      <c r="K33" s="157"/>
    </row>
    <row r="34" spans="1:11" x14ac:dyDescent="0.2">
      <c r="A34" s="156"/>
      <c r="B34" s="158" t="s">
        <v>112</v>
      </c>
      <c r="C34" s="158" t="s">
        <v>0</v>
      </c>
      <c r="D34" s="158" t="s">
        <v>177</v>
      </c>
      <c r="E34" s="158" t="s">
        <v>4</v>
      </c>
      <c r="F34" s="158" t="s">
        <v>10</v>
      </c>
      <c r="G34" s="158" t="s">
        <v>156</v>
      </c>
      <c r="H34" s="158" t="s">
        <v>17</v>
      </c>
      <c r="I34" s="157" t="s">
        <v>130</v>
      </c>
      <c r="J34" s="157"/>
      <c r="K34" s="157"/>
    </row>
    <row r="35" spans="1:11" x14ac:dyDescent="0.2">
      <c r="A35" s="156"/>
      <c r="B35" s="158" t="s">
        <v>112</v>
      </c>
      <c r="C35" s="158" t="s">
        <v>1</v>
      </c>
      <c r="D35" s="158" t="s">
        <v>177</v>
      </c>
      <c r="E35" s="157" t="s">
        <v>233</v>
      </c>
      <c r="F35" s="158" t="s">
        <v>10</v>
      </c>
      <c r="G35" s="158" t="s">
        <v>156</v>
      </c>
      <c r="H35" s="158" t="s">
        <v>17</v>
      </c>
      <c r="I35" s="157" t="s">
        <v>130</v>
      </c>
      <c r="J35" s="157"/>
      <c r="K35" s="157"/>
    </row>
    <row r="36" spans="1:11" x14ac:dyDescent="0.2">
      <c r="A36" s="156"/>
      <c r="B36" s="158" t="s">
        <v>112</v>
      </c>
      <c r="C36" s="158" t="s">
        <v>1</v>
      </c>
      <c r="D36" s="158" t="s">
        <v>177</v>
      </c>
      <c r="E36" s="157" t="s">
        <v>232</v>
      </c>
      <c r="F36" s="158" t="s">
        <v>10</v>
      </c>
      <c r="G36" s="158" t="s">
        <v>156</v>
      </c>
      <c r="H36" s="158" t="s">
        <v>17</v>
      </c>
      <c r="I36" s="157" t="s">
        <v>130</v>
      </c>
      <c r="J36" s="157"/>
      <c r="K36" s="157"/>
    </row>
    <row r="37" spans="1:11" x14ac:dyDescent="0.2">
      <c r="A37" s="156"/>
      <c r="B37" s="158" t="s">
        <v>112</v>
      </c>
      <c r="C37" s="158" t="s">
        <v>0</v>
      </c>
      <c r="D37" s="158" t="s">
        <v>177</v>
      </c>
      <c r="E37" s="158" t="s">
        <v>3</v>
      </c>
      <c r="F37" s="157" t="s">
        <v>56</v>
      </c>
      <c r="G37" s="158" t="s">
        <v>228</v>
      </c>
      <c r="H37" s="158" t="s">
        <v>159</v>
      </c>
      <c r="I37" s="157" t="s">
        <v>130</v>
      </c>
      <c r="J37" s="157"/>
      <c r="K37" s="157"/>
    </row>
    <row r="38" spans="1:11" x14ac:dyDescent="0.2">
      <c r="A38" s="156"/>
      <c r="B38" s="158" t="s">
        <v>112</v>
      </c>
      <c r="C38" s="158" t="s">
        <v>1</v>
      </c>
      <c r="D38" s="158" t="s">
        <v>2</v>
      </c>
      <c r="E38" s="158" t="s">
        <v>4</v>
      </c>
      <c r="F38" s="158" t="s">
        <v>23</v>
      </c>
      <c r="G38" s="158" t="s">
        <v>156</v>
      </c>
      <c r="H38" s="158" t="s">
        <v>159</v>
      </c>
      <c r="I38" s="157" t="s">
        <v>130</v>
      </c>
      <c r="J38" s="157"/>
      <c r="K38" s="157"/>
    </row>
    <row r="39" spans="1:11" x14ac:dyDescent="0.2">
      <c r="A39" s="156"/>
      <c r="B39" s="158" t="s">
        <v>112</v>
      </c>
      <c r="C39" s="158" t="s">
        <v>1</v>
      </c>
      <c r="D39" s="158" t="s">
        <v>2</v>
      </c>
      <c r="E39" s="158" t="s">
        <v>4</v>
      </c>
      <c r="F39" s="157" t="s">
        <v>23</v>
      </c>
      <c r="G39" s="158" t="s">
        <v>156</v>
      </c>
      <c r="H39" s="158" t="s">
        <v>159</v>
      </c>
      <c r="I39" s="157" t="s">
        <v>130</v>
      </c>
      <c r="J39" s="157"/>
      <c r="K39" s="157"/>
    </row>
    <row r="40" spans="1:11" x14ac:dyDescent="0.2">
      <c r="A40" s="156"/>
      <c r="B40" s="158" t="s">
        <v>112</v>
      </c>
      <c r="C40" s="158" t="s">
        <v>0</v>
      </c>
      <c r="D40" s="158" t="s">
        <v>2</v>
      </c>
      <c r="E40" s="158" t="s">
        <v>3</v>
      </c>
      <c r="F40" s="158" t="s">
        <v>13</v>
      </c>
      <c r="G40" s="158" t="s">
        <v>156</v>
      </c>
      <c r="H40" s="158" t="s">
        <v>17</v>
      </c>
      <c r="I40" s="157" t="s">
        <v>130</v>
      </c>
      <c r="J40" s="157"/>
      <c r="K40" s="157"/>
    </row>
    <row r="41" spans="1:11" x14ac:dyDescent="0.2">
      <c r="A41" s="156"/>
      <c r="B41" s="158" t="s">
        <v>112</v>
      </c>
      <c r="C41" s="158" t="s">
        <v>1</v>
      </c>
      <c r="D41" s="158" t="s">
        <v>2</v>
      </c>
      <c r="E41" s="158" t="s">
        <v>4</v>
      </c>
      <c r="F41" s="158" t="s">
        <v>13</v>
      </c>
      <c r="G41" s="158" t="s">
        <v>156</v>
      </c>
      <c r="H41" s="158" t="s">
        <v>17</v>
      </c>
      <c r="I41" s="157" t="s">
        <v>130</v>
      </c>
      <c r="J41" s="157"/>
      <c r="K41" s="157"/>
    </row>
    <row r="42" spans="1:11" x14ac:dyDescent="0.2">
      <c r="A42" s="156"/>
      <c r="B42" s="158" t="s">
        <v>112</v>
      </c>
      <c r="C42" s="158" t="s">
        <v>1</v>
      </c>
      <c r="D42" s="158" t="s">
        <v>2</v>
      </c>
      <c r="E42" s="158" t="s">
        <v>4</v>
      </c>
      <c r="F42" s="158" t="s">
        <v>106</v>
      </c>
      <c r="G42" s="158" t="s">
        <v>156</v>
      </c>
      <c r="H42" s="158" t="s">
        <v>17</v>
      </c>
      <c r="I42" s="157"/>
      <c r="J42" s="157"/>
      <c r="K42" s="157"/>
    </row>
    <row r="43" spans="1:11" x14ac:dyDescent="0.2">
      <c r="A43" s="156"/>
      <c r="B43" s="158" t="s">
        <v>112</v>
      </c>
      <c r="C43" s="158" t="s">
        <v>1</v>
      </c>
      <c r="D43" s="158" t="s">
        <v>2</v>
      </c>
      <c r="E43" s="158" t="s">
        <v>4</v>
      </c>
      <c r="F43" s="158" t="s">
        <v>106</v>
      </c>
      <c r="G43" s="158" t="s">
        <v>156</v>
      </c>
      <c r="H43" s="158" t="s">
        <v>17</v>
      </c>
      <c r="I43" s="157"/>
      <c r="J43" s="157"/>
      <c r="K43" s="157"/>
    </row>
    <row r="44" spans="1:11" x14ac:dyDescent="0.2">
      <c r="A44" s="156"/>
      <c r="B44" s="158" t="s">
        <v>112</v>
      </c>
      <c r="C44" s="158" t="s">
        <v>1</v>
      </c>
      <c r="D44" s="158" t="s">
        <v>2</v>
      </c>
      <c r="E44" s="158" t="s">
        <v>4</v>
      </c>
      <c r="F44" s="158" t="s">
        <v>106</v>
      </c>
      <c r="G44" s="158" t="s">
        <v>156</v>
      </c>
      <c r="H44" s="158" t="s">
        <v>17</v>
      </c>
      <c r="I44" s="157"/>
      <c r="J44" s="157"/>
      <c r="K44" s="157"/>
    </row>
    <row r="45" spans="1:11" x14ac:dyDescent="0.2">
      <c r="A45" s="156"/>
      <c r="B45" s="158" t="s">
        <v>112</v>
      </c>
      <c r="C45" s="158" t="s">
        <v>1</v>
      </c>
      <c r="D45" s="158" t="s">
        <v>2</v>
      </c>
      <c r="E45" s="158" t="s">
        <v>3</v>
      </c>
      <c r="F45" s="157" t="s">
        <v>106</v>
      </c>
      <c r="G45" s="158" t="s">
        <v>156</v>
      </c>
      <c r="H45" s="158" t="s">
        <v>17</v>
      </c>
      <c r="I45" s="157" t="s">
        <v>130</v>
      </c>
      <c r="J45" s="157"/>
      <c r="K45" s="157"/>
    </row>
    <row r="46" spans="1:11" x14ac:dyDescent="0.2">
      <c r="A46" s="156"/>
      <c r="B46" s="158" t="s">
        <v>112</v>
      </c>
      <c r="C46" s="158" t="s">
        <v>1</v>
      </c>
      <c r="D46" s="158" t="s">
        <v>177</v>
      </c>
      <c r="E46" s="158" t="s">
        <v>4</v>
      </c>
      <c r="F46" s="158" t="s">
        <v>11</v>
      </c>
      <c r="G46" s="158" t="s">
        <v>158</v>
      </c>
      <c r="H46" s="158" t="s">
        <v>17</v>
      </c>
      <c r="I46" s="157" t="s">
        <v>130</v>
      </c>
      <c r="J46" s="157"/>
      <c r="K46" s="157"/>
    </row>
    <row r="47" spans="1:11" x14ac:dyDescent="0.2">
      <c r="A47" s="156"/>
      <c r="B47" s="158" t="s">
        <v>112</v>
      </c>
      <c r="C47" s="158" t="s">
        <v>0</v>
      </c>
      <c r="D47" s="158" t="s">
        <v>2</v>
      </c>
      <c r="E47" s="158" t="s">
        <v>3</v>
      </c>
      <c r="F47" s="158" t="s">
        <v>14</v>
      </c>
      <c r="G47" s="158" t="s">
        <v>155</v>
      </c>
      <c r="H47" s="158" t="s">
        <v>159</v>
      </c>
      <c r="I47" s="157"/>
      <c r="J47" s="157"/>
      <c r="K47" s="157"/>
    </row>
    <row r="48" spans="1:11" x14ac:dyDescent="0.2">
      <c r="A48" s="156"/>
      <c r="B48" s="158" t="s">
        <v>112</v>
      </c>
      <c r="C48" s="158" t="s">
        <v>0</v>
      </c>
      <c r="D48" s="158" t="s">
        <v>177</v>
      </c>
      <c r="E48" s="158" t="s">
        <v>3</v>
      </c>
      <c r="F48" s="158" t="s">
        <v>56</v>
      </c>
      <c r="G48" s="158" t="s">
        <v>228</v>
      </c>
      <c r="H48" s="158"/>
      <c r="I48" s="157" t="s">
        <v>250</v>
      </c>
      <c r="J48" s="157" t="s">
        <v>282</v>
      </c>
      <c r="K48" s="157" t="s">
        <v>137</v>
      </c>
    </row>
    <row r="49" spans="1:11" x14ac:dyDescent="0.2">
      <c r="A49" s="156"/>
      <c r="B49" s="158" t="s">
        <v>112</v>
      </c>
      <c r="C49" s="158" t="s">
        <v>0</v>
      </c>
      <c r="D49" s="158" t="s">
        <v>177</v>
      </c>
      <c r="E49" s="158" t="s">
        <v>3</v>
      </c>
      <c r="F49" s="158" t="s">
        <v>56</v>
      </c>
      <c r="G49" s="158" t="s">
        <v>228</v>
      </c>
      <c r="H49" s="158"/>
      <c r="I49" s="157" t="s">
        <v>250</v>
      </c>
      <c r="J49" s="157" t="s">
        <v>282</v>
      </c>
      <c r="K49" s="157"/>
    </row>
    <row r="50" spans="1:11" x14ac:dyDescent="0.2">
      <c r="A50" s="156"/>
      <c r="B50" s="158" t="s">
        <v>112</v>
      </c>
      <c r="C50" s="158" t="s">
        <v>0</v>
      </c>
      <c r="D50" s="158" t="s">
        <v>177</v>
      </c>
      <c r="E50" s="158" t="s">
        <v>3</v>
      </c>
      <c r="F50" s="158" t="s">
        <v>56</v>
      </c>
      <c r="G50" s="158" t="s">
        <v>228</v>
      </c>
      <c r="H50" s="158"/>
      <c r="I50" s="157" t="s">
        <v>250</v>
      </c>
      <c r="J50" s="157" t="s">
        <v>282</v>
      </c>
      <c r="K50" s="157"/>
    </row>
    <row r="51" spans="1:11" x14ac:dyDescent="0.2">
      <c r="A51" s="156"/>
      <c r="B51" s="158" t="s">
        <v>112</v>
      </c>
      <c r="C51" s="158" t="s">
        <v>0</v>
      </c>
      <c r="D51" s="158" t="s">
        <v>177</v>
      </c>
      <c r="E51" s="158" t="s">
        <v>3</v>
      </c>
      <c r="F51" s="158" t="s">
        <v>56</v>
      </c>
      <c r="G51" s="158" t="s">
        <v>228</v>
      </c>
      <c r="H51" s="158"/>
      <c r="I51" s="157" t="s">
        <v>250</v>
      </c>
      <c r="J51" s="157" t="s">
        <v>282</v>
      </c>
      <c r="K51" s="157"/>
    </row>
    <row r="52" spans="1:11" x14ac:dyDescent="0.2">
      <c r="A52" s="156"/>
      <c r="B52" s="158" t="s">
        <v>112</v>
      </c>
      <c r="C52" s="158" t="s">
        <v>0</v>
      </c>
      <c r="D52" s="158" t="s">
        <v>177</v>
      </c>
      <c r="E52" s="158" t="s">
        <v>3</v>
      </c>
      <c r="F52" s="158" t="s">
        <v>56</v>
      </c>
      <c r="G52" s="158" t="s">
        <v>228</v>
      </c>
      <c r="H52" s="158"/>
      <c r="I52" s="157" t="s">
        <v>250</v>
      </c>
      <c r="J52" s="157" t="s">
        <v>282</v>
      </c>
      <c r="K52" s="157"/>
    </row>
    <row r="53" spans="1:11" x14ac:dyDescent="0.2">
      <c r="A53" s="156"/>
      <c r="B53" s="158" t="s">
        <v>112</v>
      </c>
      <c r="C53" s="158" t="s">
        <v>0</v>
      </c>
      <c r="D53" s="158" t="s">
        <v>177</v>
      </c>
      <c r="E53" s="158" t="s">
        <v>3</v>
      </c>
      <c r="F53" s="158" t="s">
        <v>56</v>
      </c>
      <c r="G53" s="158" t="s">
        <v>228</v>
      </c>
      <c r="H53" s="158"/>
      <c r="I53" s="157" t="s">
        <v>250</v>
      </c>
      <c r="J53" s="157" t="s">
        <v>282</v>
      </c>
      <c r="K53" s="157" t="s">
        <v>137</v>
      </c>
    </row>
    <row r="54" spans="1:11" x14ac:dyDescent="0.2">
      <c r="A54" s="156"/>
      <c r="B54" s="158" t="s">
        <v>112</v>
      </c>
      <c r="C54" s="158" t="s">
        <v>0</v>
      </c>
      <c r="D54" s="158" t="s">
        <v>177</v>
      </c>
      <c r="E54" s="158" t="s">
        <v>3</v>
      </c>
      <c r="F54" s="158" t="s">
        <v>56</v>
      </c>
      <c r="G54" s="158" t="s">
        <v>228</v>
      </c>
      <c r="H54" s="158"/>
      <c r="I54" s="157" t="s">
        <v>250</v>
      </c>
      <c r="J54" s="157" t="s">
        <v>282</v>
      </c>
      <c r="K54" s="157" t="s">
        <v>137</v>
      </c>
    </row>
    <row r="55" spans="1:11" x14ac:dyDescent="0.2">
      <c r="A55" s="156"/>
      <c r="B55" s="158" t="s">
        <v>112</v>
      </c>
      <c r="C55" s="158" t="s">
        <v>0</v>
      </c>
      <c r="D55" s="158" t="s">
        <v>177</v>
      </c>
      <c r="E55" s="158" t="s">
        <v>3</v>
      </c>
      <c r="F55" s="158" t="s">
        <v>56</v>
      </c>
      <c r="G55" s="158" t="s">
        <v>228</v>
      </c>
      <c r="H55" s="158"/>
      <c r="I55" s="157" t="s">
        <v>250</v>
      </c>
      <c r="J55" s="157" t="s">
        <v>282</v>
      </c>
      <c r="K55" s="157" t="s">
        <v>137</v>
      </c>
    </row>
    <row r="56" spans="1:11" x14ac:dyDescent="0.2">
      <c r="A56" s="156"/>
      <c r="B56" s="158" t="s">
        <v>112</v>
      </c>
      <c r="C56" s="158" t="s">
        <v>0</v>
      </c>
      <c r="D56" s="158" t="s">
        <v>177</v>
      </c>
      <c r="E56" s="158" t="s">
        <v>3</v>
      </c>
      <c r="F56" s="158" t="s">
        <v>56</v>
      </c>
      <c r="G56" s="158" t="s">
        <v>228</v>
      </c>
      <c r="H56" s="158"/>
      <c r="I56" s="157" t="s">
        <v>250</v>
      </c>
      <c r="J56" s="157" t="s">
        <v>282</v>
      </c>
      <c r="K56" s="157" t="s">
        <v>137</v>
      </c>
    </row>
    <row r="57" spans="1:11" x14ac:dyDescent="0.2">
      <c r="A57" s="156"/>
      <c r="B57" s="158" t="s">
        <v>112</v>
      </c>
      <c r="C57" s="158" t="s">
        <v>0</v>
      </c>
      <c r="D57" s="158" t="s">
        <v>177</v>
      </c>
      <c r="E57" s="158" t="s">
        <v>3</v>
      </c>
      <c r="F57" s="158" t="s">
        <v>56</v>
      </c>
      <c r="G57" s="158" t="s">
        <v>228</v>
      </c>
      <c r="H57" s="158"/>
      <c r="I57" s="157" t="s">
        <v>250</v>
      </c>
      <c r="J57" s="157" t="s">
        <v>282</v>
      </c>
      <c r="K57" s="157" t="s">
        <v>137</v>
      </c>
    </row>
    <row r="58" spans="1:11" x14ac:dyDescent="0.2">
      <c r="A58" s="156"/>
      <c r="B58" s="158" t="s">
        <v>112</v>
      </c>
      <c r="C58" s="158" t="s">
        <v>0</v>
      </c>
      <c r="D58" s="158" t="s">
        <v>177</v>
      </c>
      <c r="E58" s="158" t="s">
        <v>3</v>
      </c>
      <c r="F58" s="158" t="s">
        <v>56</v>
      </c>
      <c r="G58" s="158" t="s">
        <v>228</v>
      </c>
      <c r="H58" s="158"/>
      <c r="I58" s="157" t="s">
        <v>250</v>
      </c>
      <c r="J58" s="157" t="s">
        <v>282</v>
      </c>
      <c r="K58" s="157" t="s">
        <v>137</v>
      </c>
    </row>
    <row r="59" spans="1:11" x14ac:dyDescent="0.2">
      <c r="A59" s="156"/>
      <c r="B59" s="158" t="s">
        <v>112</v>
      </c>
      <c r="C59" s="158" t="s">
        <v>0</v>
      </c>
      <c r="D59" s="158" t="s">
        <v>177</v>
      </c>
      <c r="E59" s="158" t="s">
        <v>3</v>
      </c>
      <c r="F59" s="158" t="s">
        <v>56</v>
      </c>
      <c r="G59" s="158" t="s">
        <v>228</v>
      </c>
      <c r="H59" s="158"/>
      <c r="I59" s="157" t="s">
        <v>250</v>
      </c>
      <c r="J59" s="157" t="s">
        <v>282</v>
      </c>
      <c r="K59" s="157" t="s">
        <v>137</v>
      </c>
    </row>
    <row r="60" spans="1:11" x14ac:dyDescent="0.2">
      <c r="A60" s="156"/>
      <c r="B60" s="158" t="s">
        <v>112</v>
      </c>
      <c r="C60" s="158" t="s">
        <v>0</v>
      </c>
      <c r="D60" s="158" t="s">
        <v>177</v>
      </c>
      <c r="E60" s="158" t="s">
        <v>3</v>
      </c>
      <c r="F60" s="158" t="s">
        <v>56</v>
      </c>
      <c r="G60" s="158" t="s">
        <v>228</v>
      </c>
      <c r="H60" s="158"/>
      <c r="I60" s="157" t="s">
        <v>250</v>
      </c>
      <c r="J60" s="157" t="s">
        <v>282</v>
      </c>
      <c r="K60" s="157" t="s">
        <v>137</v>
      </c>
    </row>
    <row r="61" spans="1:11" x14ac:dyDescent="0.2">
      <c r="A61" s="156"/>
      <c r="B61" s="158" t="s">
        <v>112</v>
      </c>
      <c r="C61" s="158" t="s">
        <v>0</v>
      </c>
      <c r="D61" s="158" t="s">
        <v>177</v>
      </c>
      <c r="E61" s="158" t="s">
        <v>3</v>
      </c>
      <c r="F61" s="158" t="s">
        <v>56</v>
      </c>
      <c r="G61" s="158" t="s">
        <v>228</v>
      </c>
      <c r="H61" s="158"/>
      <c r="I61" s="157" t="s">
        <v>250</v>
      </c>
      <c r="J61" s="157" t="s">
        <v>282</v>
      </c>
      <c r="K61" s="157"/>
    </row>
    <row r="62" spans="1:11" x14ac:dyDescent="0.2">
      <c r="A62" s="156"/>
      <c r="B62" s="158" t="s">
        <v>112</v>
      </c>
      <c r="C62" s="158" t="s">
        <v>0</v>
      </c>
      <c r="D62" s="158" t="s">
        <v>177</v>
      </c>
      <c r="E62" s="158" t="s">
        <v>3</v>
      </c>
      <c r="F62" s="158" t="s">
        <v>56</v>
      </c>
      <c r="G62" s="158" t="s">
        <v>228</v>
      </c>
      <c r="H62" s="158"/>
      <c r="I62" s="157" t="s">
        <v>250</v>
      </c>
      <c r="J62" s="157" t="s">
        <v>282</v>
      </c>
      <c r="K62" s="157"/>
    </row>
    <row r="63" spans="1:11" x14ac:dyDescent="0.2">
      <c r="A63" s="156"/>
      <c r="B63" s="158" t="s">
        <v>112</v>
      </c>
      <c r="C63" s="158" t="s">
        <v>0</v>
      </c>
      <c r="D63" s="158" t="s">
        <v>177</v>
      </c>
      <c r="E63" s="158" t="s">
        <v>3</v>
      </c>
      <c r="F63" s="158" t="s">
        <v>56</v>
      </c>
      <c r="G63" s="158" t="s">
        <v>228</v>
      </c>
      <c r="H63" s="158"/>
      <c r="I63" s="157" t="s">
        <v>250</v>
      </c>
      <c r="J63" s="157" t="s">
        <v>282</v>
      </c>
      <c r="K63" s="157"/>
    </row>
    <row r="64" spans="1:11" x14ac:dyDescent="0.2">
      <c r="A64" s="156"/>
      <c r="B64" s="158" t="s">
        <v>112</v>
      </c>
      <c r="C64" s="158" t="s">
        <v>0</v>
      </c>
      <c r="D64" s="158" t="s">
        <v>177</v>
      </c>
      <c r="E64" s="158" t="s">
        <v>3</v>
      </c>
      <c r="F64" s="158" t="s">
        <v>56</v>
      </c>
      <c r="G64" s="158" t="s">
        <v>228</v>
      </c>
      <c r="H64" s="158"/>
      <c r="I64" s="157" t="s">
        <v>250</v>
      </c>
      <c r="J64" s="157" t="s">
        <v>282</v>
      </c>
      <c r="K64" s="157"/>
    </row>
    <row r="65" spans="1:11" x14ac:dyDescent="0.2">
      <c r="A65" s="156"/>
      <c r="B65" s="158" t="s">
        <v>112</v>
      </c>
      <c r="C65" s="158" t="s">
        <v>0</v>
      </c>
      <c r="D65" s="158" t="s">
        <v>177</v>
      </c>
      <c r="E65" s="158" t="s">
        <v>3</v>
      </c>
      <c r="F65" s="158" t="s">
        <v>56</v>
      </c>
      <c r="G65" s="158" t="s">
        <v>228</v>
      </c>
      <c r="H65" s="158"/>
      <c r="I65" s="157" t="s">
        <v>250</v>
      </c>
      <c r="J65" s="157" t="s">
        <v>282</v>
      </c>
      <c r="K65" s="157"/>
    </row>
    <row r="66" spans="1:11" x14ac:dyDescent="0.2">
      <c r="A66" s="156"/>
      <c r="B66" s="158" t="s">
        <v>112</v>
      </c>
      <c r="C66" s="158" t="s">
        <v>0</v>
      </c>
      <c r="D66" s="158" t="s">
        <v>177</v>
      </c>
      <c r="E66" s="158" t="s">
        <v>3</v>
      </c>
      <c r="F66" s="158" t="s">
        <v>56</v>
      </c>
      <c r="G66" s="158" t="s">
        <v>228</v>
      </c>
      <c r="H66" s="158"/>
      <c r="I66" s="157" t="s">
        <v>250</v>
      </c>
      <c r="J66" s="157" t="s">
        <v>282</v>
      </c>
      <c r="K66" s="157"/>
    </row>
    <row r="67" spans="1:11" x14ac:dyDescent="0.2">
      <c r="A67" s="156"/>
      <c r="B67" s="158" t="s">
        <v>112</v>
      </c>
      <c r="C67" s="158" t="s">
        <v>0</v>
      </c>
      <c r="D67" s="158" t="s">
        <v>177</v>
      </c>
      <c r="E67" s="158" t="s">
        <v>3</v>
      </c>
      <c r="F67" s="158" t="s">
        <v>56</v>
      </c>
      <c r="G67" s="158" t="s">
        <v>228</v>
      </c>
      <c r="H67" s="158"/>
      <c r="I67" s="157" t="s">
        <v>250</v>
      </c>
      <c r="J67" s="157" t="s">
        <v>282</v>
      </c>
      <c r="K67" s="157"/>
    </row>
    <row r="68" spans="1:11" x14ac:dyDescent="0.2">
      <c r="A68" s="156"/>
      <c r="B68" s="158" t="s">
        <v>112</v>
      </c>
      <c r="C68" s="158" t="s">
        <v>0</v>
      </c>
      <c r="D68" s="158" t="s">
        <v>177</v>
      </c>
      <c r="E68" s="158" t="s">
        <v>3</v>
      </c>
      <c r="F68" s="158" t="s">
        <v>56</v>
      </c>
      <c r="G68" s="158" t="s">
        <v>228</v>
      </c>
      <c r="H68" s="158"/>
      <c r="I68" s="157" t="s">
        <v>250</v>
      </c>
      <c r="J68" s="157" t="s">
        <v>282</v>
      </c>
      <c r="K68" s="157"/>
    </row>
    <row r="69" spans="1:11" x14ac:dyDescent="0.2">
      <c r="A69" s="156"/>
      <c r="B69" s="158" t="s">
        <v>112</v>
      </c>
      <c r="C69" s="158" t="s">
        <v>0</v>
      </c>
      <c r="D69" s="158" t="s">
        <v>177</v>
      </c>
      <c r="E69" s="158" t="s">
        <v>3</v>
      </c>
      <c r="F69" s="158" t="s">
        <v>56</v>
      </c>
      <c r="G69" s="158" t="s">
        <v>228</v>
      </c>
      <c r="H69" s="158"/>
      <c r="I69" s="157" t="s">
        <v>250</v>
      </c>
      <c r="J69" s="157" t="s">
        <v>282</v>
      </c>
      <c r="K69" s="157"/>
    </row>
    <row r="70" spans="1:11" x14ac:dyDescent="0.2">
      <c r="A70" s="156"/>
      <c r="B70" s="158" t="s">
        <v>112</v>
      </c>
      <c r="C70" s="158" t="s">
        <v>0</v>
      </c>
      <c r="D70" s="158" t="s">
        <v>177</v>
      </c>
      <c r="E70" s="158" t="s">
        <v>3</v>
      </c>
      <c r="F70" s="158" t="s">
        <v>56</v>
      </c>
      <c r="G70" s="158" t="s">
        <v>228</v>
      </c>
      <c r="H70" s="158"/>
      <c r="I70" s="157" t="s">
        <v>250</v>
      </c>
      <c r="J70" s="157" t="s">
        <v>282</v>
      </c>
      <c r="K70" s="157"/>
    </row>
    <row r="71" spans="1:11" x14ac:dyDescent="0.2">
      <c r="A71" s="156"/>
      <c r="B71" s="158" t="s">
        <v>112</v>
      </c>
      <c r="C71" s="158" t="s">
        <v>0</v>
      </c>
      <c r="D71" s="158" t="s">
        <v>177</v>
      </c>
      <c r="E71" s="158" t="s">
        <v>3</v>
      </c>
      <c r="F71" s="158" t="s">
        <v>56</v>
      </c>
      <c r="G71" s="158" t="s">
        <v>228</v>
      </c>
      <c r="H71" s="158"/>
      <c r="I71" s="157" t="s">
        <v>250</v>
      </c>
      <c r="J71" s="157" t="s">
        <v>282</v>
      </c>
      <c r="K71" s="157"/>
    </row>
    <row r="72" spans="1:11" x14ac:dyDescent="0.2">
      <c r="A72" s="156"/>
      <c r="B72" s="158" t="s">
        <v>112</v>
      </c>
      <c r="C72" s="158" t="s">
        <v>0</v>
      </c>
      <c r="D72" s="158" t="s">
        <v>177</v>
      </c>
      <c r="E72" s="158" t="s">
        <v>3</v>
      </c>
      <c r="F72" s="158" t="s">
        <v>56</v>
      </c>
      <c r="G72" s="158" t="s">
        <v>228</v>
      </c>
      <c r="H72" s="158"/>
      <c r="I72" s="157" t="s">
        <v>250</v>
      </c>
      <c r="J72" s="157" t="s">
        <v>282</v>
      </c>
      <c r="K72" s="157"/>
    </row>
    <row r="73" spans="1:11" x14ac:dyDescent="0.2">
      <c r="A73" s="156"/>
      <c r="B73" s="158" t="s">
        <v>112</v>
      </c>
      <c r="C73" s="158" t="s">
        <v>0</v>
      </c>
      <c r="D73" s="158" t="s">
        <v>177</v>
      </c>
      <c r="E73" s="158" t="s">
        <v>3</v>
      </c>
      <c r="F73" s="158" t="s">
        <v>56</v>
      </c>
      <c r="G73" s="158" t="s">
        <v>228</v>
      </c>
      <c r="H73" s="158"/>
      <c r="I73" s="157" t="s">
        <v>250</v>
      </c>
      <c r="J73" s="157" t="s">
        <v>282</v>
      </c>
      <c r="K73" s="157"/>
    </row>
    <row r="74" spans="1:11" x14ac:dyDescent="0.2">
      <c r="A74" s="156"/>
      <c r="B74" s="158" t="s">
        <v>112</v>
      </c>
      <c r="C74" s="158" t="s">
        <v>0</v>
      </c>
      <c r="D74" s="158" t="s">
        <v>177</v>
      </c>
      <c r="E74" s="158" t="s">
        <v>3</v>
      </c>
      <c r="F74" s="158" t="s">
        <v>56</v>
      </c>
      <c r="G74" s="158" t="s">
        <v>228</v>
      </c>
      <c r="H74" s="158"/>
      <c r="I74" s="157" t="s">
        <v>250</v>
      </c>
      <c r="J74" s="157" t="s">
        <v>282</v>
      </c>
      <c r="K74" s="157"/>
    </row>
    <row r="75" spans="1:11" x14ac:dyDescent="0.2">
      <c r="A75" s="156"/>
      <c r="B75" s="158" t="s">
        <v>112</v>
      </c>
      <c r="C75" s="158" t="s">
        <v>0</v>
      </c>
      <c r="D75" s="158" t="s">
        <v>177</v>
      </c>
      <c r="E75" s="158" t="s">
        <v>3</v>
      </c>
      <c r="F75" s="158" t="s">
        <v>56</v>
      </c>
      <c r="G75" s="158" t="s">
        <v>228</v>
      </c>
      <c r="H75" s="158"/>
      <c r="I75" s="157" t="s">
        <v>250</v>
      </c>
      <c r="J75" s="157" t="s">
        <v>282</v>
      </c>
      <c r="K75" s="157" t="s">
        <v>137</v>
      </c>
    </row>
    <row r="76" spans="1:11" x14ac:dyDescent="0.2">
      <c r="A76" s="156"/>
      <c r="B76" s="158" t="s">
        <v>112</v>
      </c>
      <c r="C76" s="158" t="s">
        <v>0</v>
      </c>
      <c r="D76" s="158" t="s">
        <v>177</v>
      </c>
      <c r="E76" s="158" t="s">
        <v>3</v>
      </c>
      <c r="F76" s="158" t="s">
        <v>56</v>
      </c>
      <c r="G76" s="158" t="s">
        <v>228</v>
      </c>
      <c r="H76" s="158"/>
      <c r="I76" s="157" t="s">
        <v>250</v>
      </c>
      <c r="J76" s="157" t="s">
        <v>282</v>
      </c>
      <c r="K76" s="157" t="s">
        <v>137</v>
      </c>
    </row>
    <row r="77" spans="1:11" x14ac:dyDescent="0.2">
      <c r="A77" s="156"/>
      <c r="B77" s="158" t="s">
        <v>112</v>
      </c>
      <c r="C77" s="158" t="s">
        <v>0</v>
      </c>
      <c r="D77" s="158" t="s">
        <v>177</v>
      </c>
      <c r="E77" s="158" t="s">
        <v>3</v>
      </c>
      <c r="F77" s="158" t="s">
        <v>56</v>
      </c>
      <c r="G77" s="158" t="s">
        <v>228</v>
      </c>
      <c r="H77" s="158"/>
      <c r="I77" s="157" t="s">
        <v>250</v>
      </c>
      <c r="J77" s="157" t="s">
        <v>282</v>
      </c>
      <c r="K77" s="157" t="s">
        <v>137</v>
      </c>
    </row>
    <row r="78" spans="1:11" x14ac:dyDescent="0.2">
      <c r="A78" s="156"/>
      <c r="B78" s="158" t="s">
        <v>112</v>
      </c>
      <c r="C78" s="158" t="s">
        <v>0</v>
      </c>
      <c r="D78" s="158" t="s">
        <v>177</v>
      </c>
      <c r="E78" s="158" t="s">
        <v>3</v>
      </c>
      <c r="F78" s="158" t="s">
        <v>56</v>
      </c>
      <c r="G78" s="158" t="s">
        <v>228</v>
      </c>
      <c r="H78" s="158"/>
      <c r="I78" s="157" t="s">
        <v>250</v>
      </c>
      <c r="J78" s="157" t="s">
        <v>282</v>
      </c>
      <c r="K78" s="157" t="s">
        <v>137</v>
      </c>
    </row>
    <row r="79" spans="1:11" x14ac:dyDescent="0.2">
      <c r="A79" s="156"/>
      <c r="B79" s="158" t="s">
        <v>112</v>
      </c>
      <c r="C79" s="158" t="s">
        <v>0</v>
      </c>
      <c r="D79" s="158" t="s">
        <v>177</v>
      </c>
      <c r="E79" s="158" t="s">
        <v>3</v>
      </c>
      <c r="F79" s="158" t="s">
        <v>56</v>
      </c>
      <c r="G79" s="158" t="s">
        <v>228</v>
      </c>
      <c r="H79" s="158"/>
      <c r="I79" s="157" t="s">
        <v>250</v>
      </c>
      <c r="J79" s="157" t="s">
        <v>282</v>
      </c>
      <c r="K79" s="157"/>
    </row>
    <row r="80" spans="1:11" x14ac:dyDescent="0.2">
      <c r="A80" s="156"/>
      <c r="B80" s="158" t="s">
        <v>112</v>
      </c>
      <c r="C80" s="158" t="s">
        <v>0</v>
      </c>
      <c r="D80" s="158" t="s">
        <v>177</v>
      </c>
      <c r="E80" s="158" t="s">
        <v>3</v>
      </c>
      <c r="F80" s="158" t="s">
        <v>56</v>
      </c>
      <c r="G80" s="158" t="s">
        <v>228</v>
      </c>
      <c r="H80" s="158"/>
      <c r="I80" s="157" t="s">
        <v>250</v>
      </c>
      <c r="J80" s="157" t="s">
        <v>282</v>
      </c>
      <c r="K80" s="157"/>
    </row>
    <row r="81" spans="1:11" x14ac:dyDescent="0.2">
      <c r="A81" s="156"/>
      <c r="B81" s="158" t="s">
        <v>112</v>
      </c>
      <c r="C81" s="158" t="s">
        <v>0</v>
      </c>
      <c r="D81" s="158" t="s">
        <v>177</v>
      </c>
      <c r="E81" s="158" t="s">
        <v>3</v>
      </c>
      <c r="F81" s="158" t="s">
        <v>56</v>
      </c>
      <c r="G81" s="158" t="s">
        <v>228</v>
      </c>
      <c r="H81" s="158"/>
      <c r="I81" s="157" t="s">
        <v>250</v>
      </c>
      <c r="J81" s="157" t="s">
        <v>282</v>
      </c>
      <c r="K81" s="157"/>
    </row>
    <row r="82" spans="1:11" x14ac:dyDescent="0.2">
      <c r="A82" s="156"/>
      <c r="B82" s="158" t="s">
        <v>112</v>
      </c>
      <c r="C82" s="158" t="s">
        <v>0</v>
      </c>
      <c r="D82" s="158" t="s">
        <v>177</v>
      </c>
      <c r="E82" s="158" t="s">
        <v>3</v>
      </c>
      <c r="F82" s="158" t="s">
        <v>56</v>
      </c>
      <c r="G82" s="158" t="s">
        <v>228</v>
      </c>
      <c r="H82" s="158"/>
      <c r="I82" s="157" t="s">
        <v>250</v>
      </c>
      <c r="J82" s="157" t="s">
        <v>282</v>
      </c>
      <c r="K82" s="157"/>
    </row>
    <row r="83" spans="1:11" x14ac:dyDescent="0.2">
      <c r="A83" s="156"/>
      <c r="B83" s="158" t="s">
        <v>112</v>
      </c>
      <c r="C83" s="158" t="s">
        <v>0</v>
      </c>
      <c r="D83" s="158" t="s">
        <v>177</v>
      </c>
      <c r="E83" s="158" t="s">
        <v>3</v>
      </c>
      <c r="F83" s="158" t="s">
        <v>56</v>
      </c>
      <c r="G83" s="158" t="s">
        <v>228</v>
      </c>
      <c r="H83" s="158"/>
      <c r="I83" s="157" t="s">
        <v>250</v>
      </c>
      <c r="J83" s="157" t="s">
        <v>282</v>
      </c>
      <c r="K83" s="157"/>
    </row>
    <row r="84" spans="1:11" x14ac:dyDescent="0.2">
      <c r="A84" s="156"/>
      <c r="B84" s="158" t="s">
        <v>112</v>
      </c>
      <c r="C84" s="158" t="s">
        <v>0</v>
      </c>
      <c r="D84" s="158" t="s">
        <v>177</v>
      </c>
      <c r="E84" s="158" t="s">
        <v>3</v>
      </c>
      <c r="F84" s="158" t="s">
        <v>56</v>
      </c>
      <c r="G84" s="158" t="s">
        <v>228</v>
      </c>
      <c r="H84" s="158"/>
      <c r="I84" s="157" t="s">
        <v>250</v>
      </c>
      <c r="J84" s="157" t="s">
        <v>282</v>
      </c>
      <c r="K84" s="157"/>
    </row>
    <row r="85" spans="1:11" x14ac:dyDescent="0.2">
      <c r="A85" s="156"/>
      <c r="B85" s="158" t="s">
        <v>112</v>
      </c>
      <c r="C85" s="158" t="s">
        <v>0</v>
      </c>
      <c r="D85" s="158" t="s">
        <v>177</v>
      </c>
      <c r="E85" s="158" t="s">
        <v>3</v>
      </c>
      <c r="F85" s="158" t="s">
        <v>56</v>
      </c>
      <c r="G85" s="158" t="s">
        <v>228</v>
      </c>
      <c r="H85" s="158"/>
      <c r="I85" s="157" t="s">
        <v>250</v>
      </c>
      <c r="J85" s="157" t="s">
        <v>282</v>
      </c>
      <c r="K85" s="157"/>
    </row>
    <row r="86" spans="1:11" x14ac:dyDescent="0.2">
      <c r="A86" s="156"/>
      <c r="B86" s="158" t="s">
        <v>112</v>
      </c>
      <c r="C86" s="158" t="s">
        <v>0</v>
      </c>
      <c r="D86" s="158" t="s">
        <v>177</v>
      </c>
      <c r="E86" s="158" t="s">
        <v>3</v>
      </c>
      <c r="F86" s="158" t="s">
        <v>56</v>
      </c>
      <c r="G86" s="158" t="s">
        <v>228</v>
      </c>
      <c r="H86" s="158"/>
      <c r="I86" s="157" t="s">
        <v>250</v>
      </c>
      <c r="J86" s="157" t="s">
        <v>282</v>
      </c>
      <c r="K86" s="157"/>
    </row>
    <row r="87" spans="1:11" x14ac:dyDescent="0.2">
      <c r="A87" s="156"/>
      <c r="B87" s="158" t="s">
        <v>112</v>
      </c>
      <c r="C87" s="158" t="s">
        <v>0</v>
      </c>
      <c r="D87" s="158" t="s">
        <v>177</v>
      </c>
      <c r="E87" s="158" t="s">
        <v>3</v>
      </c>
      <c r="F87" s="158" t="s">
        <v>56</v>
      </c>
      <c r="G87" s="158" t="s">
        <v>228</v>
      </c>
      <c r="H87" s="158"/>
      <c r="I87" s="157" t="s">
        <v>250</v>
      </c>
      <c r="J87" s="157" t="s">
        <v>282</v>
      </c>
      <c r="K87" s="157"/>
    </row>
    <row r="88" spans="1:11" x14ac:dyDescent="0.2">
      <c r="A88" s="156"/>
      <c r="B88" s="158" t="s">
        <v>112</v>
      </c>
      <c r="C88" s="158" t="s">
        <v>0</v>
      </c>
      <c r="D88" s="158" t="s">
        <v>177</v>
      </c>
      <c r="E88" s="158" t="s">
        <v>3</v>
      </c>
      <c r="F88" s="158" t="s">
        <v>56</v>
      </c>
      <c r="G88" s="158" t="s">
        <v>228</v>
      </c>
      <c r="H88" s="158"/>
      <c r="I88" s="157" t="s">
        <v>250</v>
      </c>
      <c r="J88" s="157" t="s">
        <v>282</v>
      </c>
      <c r="K88" s="157"/>
    </row>
    <row r="89" spans="1:11" x14ac:dyDescent="0.2">
      <c r="A89" s="156"/>
      <c r="B89" s="158" t="s">
        <v>112</v>
      </c>
      <c r="C89" s="158" t="s">
        <v>0</v>
      </c>
      <c r="D89" s="158" t="s">
        <v>177</v>
      </c>
      <c r="E89" s="158" t="s">
        <v>3</v>
      </c>
      <c r="F89" s="158" t="s">
        <v>56</v>
      </c>
      <c r="G89" s="158" t="s">
        <v>228</v>
      </c>
      <c r="H89" s="158"/>
      <c r="I89" s="157" t="s">
        <v>250</v>
      </c>
      <c r="J89" s="157" t="s">
        <v>282</v>
      </c>
      <c r="K89" s="157"/>
    </row>
    <row r="90" spans="1:11" x14ac:dyDescent="0.2">
      <c r="A90" s="156"/>
      <c r="B90" s="158" t="s">
        <v>112</v>
      </c>
      <c r="C90" s="158" t="s">
        <v>0</v>
      </c>
      <c r="D90" s="158" t="s">
        <v>177</v>
      </c>
      <c r="E90" s="158" t="s">
        <v>3</v>
      </c>
      <c r="F90" s="158" t="s">
        <v>56</v>
      </c>
      <c r="G90" s="158" t="s">
        <v>228</v>
      </c>
      <c r="H90" s="158"/>
      <c r="I90" s="157" t="s">
        <v>250</v>
      </c>
      <c r="J90" s="157" t="s">
        <v>282</v>
      </c>
      <c r="K90" s="157"/>
    </row>
    <row r="91" spans="1:11" x14ac:dyDescent="0.2">
      <c r="A91" s="156"/>
      <c r="B91" s="158" t="s">
        <v>112</v>
      </c>
      <c r="C91" s="158" t="s">
        <v>0</v>
      </c>
      <c r="D91" s="158" t="s">
        <v>177</v>
      </c>
      <c r="E91" s="158" t="s">
        <v>3</v>
      </c>
      <c r="F91" s="158" t="s">
        <v>56</v>
      </c>
      <c r="G91" s="158" t="s">
        <v>228</v>
      </c>
      <c r="H91" s="158"/>
      <c r="I91" s="157" t="s">
        <v>250</v>
      </c>
      <c r="J91" s="157" t="s">
        <v>282</v>
      </c>
      <c r="K91" s="157"/>
    </row>
    <row r="92" spans="1:11" x14ac:dyDescent="0.2">
      <c r="A92" s="156"/>
      <c r="B92" s="158" t="s">
        <v>112</v>
      </c>
      <c r="C92" s="158" t="s">
        <v>0</v>
      </c>
      <c r="D92" s="158" t="s">
        <v>177</v>
      </c>
      <c r="E92" s="158" t="s">
        <v>3</v>
      </c>
      <c r="F92" s="158" t="s">
        <v>56</v>
      </c>
      <c r="G92" s="158" t="s">
        <v>228</v>
      </c>
      <c r="H92" s="158"/>
      <c r="I92" s="157" t="s">
        <v>250</v>
      </c>
      <c r="J92" s="157" t="s">
        <v>282</v>
      </c>
      <c r="K92" s="157"/>
    </row>
    <row r="93" spans="1:11" x14ac:dyDescent="0.2">
      <c r="A93" s="156"/>
      <c r="B93" s="158" t="s">
        <v>112</v>
      </c>
      <c r="C93" s="158" t="s">
        <v>0</v>
      </c>
      <c r="D93" s="158" t="s">
        <v>177</v>
      </c>
      <c r="E93" s="158" t="s">
        <v>3</v>
      </c>
      <c r="F93" s="158" t="s">
        <v>56</v>
      </c>
      <c r="G93" s="158" t="s">
        <v>228</v>
      </c>
      <c r="H93" s="158"/>
      <c r="I93" s="157" t="s">
        <v>250</v>
      </c>
      <c r="J93" s="157" t="s">
        <v>282</v>
      </c>
      <c r="K93" s="157"/>
    </row>
    <row r="94" spans="1:11" x14ac:dyDescent="0.2">
      <c r="A94" s="156"/>
      <c r="B94" s="158" t="s">
        <v>112</v>
      </c>
      <c r="C94" s="158" t="s">
        <v>0</v>
      </c>
      <c r="D94" s="158" t="s">
        <v>177</v>
      </c>
      <c r="E94" s="158" t="s">
        <v>3</v>
      </c>
      <c r="F94" s="158" t="s">
        <v>56</v>
      </c>
      <c r="G94" s="158" t="s">
        <v>228</v>
      </c>
      <c r="H94" s="158"/>
      <c r="I94" s="157" t="s">
        <v>250</v>
      </c>
      <c r="J94" s="157" t="s">
        <v>282</v>
      </c>
      <c r="K94" s="157" t="s">
        <v>137</v>
      </c>
    </row>
    <row r="95" spans="1:11" x14ac:dyDescent="0.2">
      <c r="A95" s="156"/>
      <c r="B95" s="158" t="s">
        <v>112</v>
      </c>
      <c r="C95" s="158" t="s">
        <v>0</v>
      </c>
      <c r="D95" s="158" t="s">
        <v>177</v>
      </c>
      <c r="E95" s="158" t="s">
        <v>3</v>
      </c>
      <c r="F95" s="158" t="s">
        <v>56</v>
      </c>
      <c r="G95" s="158" t="s">
        <v>228</v>
      </c>
      <c r="H95" s="158"/>
      <c r="I95" s="157" t="s">
        <v>250</v>
      </c>
      <c r="J95" s="157" t="s">
        <v>282</v>
      </c>
      <c r="K95" s="157" t="s">
        <v>137</v>
      </c>
    </row>
    <row r="96" spans="1:11" x14ac:dyDescent="0.2">
      <c r="A96" s="156"/>
      <c r="B96" s="158" t="s">
        <v>112</v>
      </c>
      <c r="C96" s="158" t="s">
        <v>0</v>
      </c>
      <c r="D96" s="158" t="s">
        <v>177</v>
      </c>
      <c r="E96" s="158" t="s">
        <v>3</v>
      </c>
      <c r="F96" s="158" t="s">
        <v>56</v>
      </c>
      <c r="G96" s="158" t="s">
        <v>228</v>
      </c>
      <c r="H96" s="158"/>
      <c r="I96" s="157" t="s">
        <v>250</v>
      </c>
      <c r="J96" s="157" t="s">
        <v>282</v>
      </c>
      <c r="K96" s="157" t="s">
        <v>137</v>
      </c>
    </row>
    <row r="97" spans="1:11" x14ac:dyDescent="0.2">
      <c r="A97" s="156"/>
      <c r="B97" s="158" t="s">
        <v>112</v>
      </c>
      <c r="C97" s="158" t="s">
        <v>0</v>
      </c>
      <c r="D97" s="158" t="s">
        <v>177</v>
      </c>
      <c r="E97" s="158" t="s">
        <v>3</v>
      </c>
      <c r="F97" s="158" t="s">
        <v>56</v>
      </c>
      <c r="G97" s="158" t="s">
        <v>228</v>
      </c>
      <c r="H97" s="158"/>
      <c r="I97" s="157" t="s">
        <v>250</v>
      </c>
      <c r="J97" s="157" t="s">
        <v>282</v>
      </c>
      <c r="K97" s="157" t="s">
        <v>137</v>
      </c>
    </row>
    <row r="98" spans="1:11" x14ac:dyDescent="0.2">
      <c r="A98" s="156"/>
      <c r="B98" s="158" t="s">
        <v>112</v>
      </c>
      <c r="C98" s="158" t="s">
        <v>0</v>
      </c>
      <c r="D98" s="158" t="s">
        <v>177</v>
      </c>
      <c r="E98" s="158" t="s">
        <v>3</v>
      </c>
      <c r="F98" s="158" t="s">
        <v>56</v>
      </c>
      <c r="G98" s="158" t="s">
        <v>228</v>
      </c>
      <c r="H98" s="158"/>
      <c r="I98" s="157" t="s">
        <v>250</v>
      </c>
      <c r="J98" s="157" t="s">
        <v>282</v>
      </c>
      <c r="K98" s="157"/>
    </row>
    <row r="99" spans="1:11" x14ac:dyDescent="0.2">
      <c r="A99" s="156"/>
      <c r="B99" s="158" t="s">
        <v>112</v>
      </c>
      <c r="C99" s="158" t="s">
        <v>0</v>
      </c>
      <c r="D99" s="158" t="s">
        <v>177</v>
      </c>
      <c r="E99" s="158" t="s">
        <v>3</v>
      </c>
      <c r="F99" s="158" t="s">
        <v>56</v>
      </c>
      <c r="G99" s="158" t="s">
        <v>228</v>
      </c>
      <c r="H99" s="158"/>
      <c r="I99" s="157" t="s">
        <v>250</v>
      </c>
      <c r="J99" s="157" t="s">
        <v>282</v>
      </c>
      <c r="K99" s="157"/>
    </row>
    <row r="100" spans="1:11" x14ac:dyDescent="0.2">
      <c r="A100" s="156"/>
      <c r="B100" s="158" t="s">
        <v>112</v>
      </c>
      <c r="C100" s="158" t="s">
        <v>0</v>
      </c>
      <c r="D100" s="158" t="s">
        <v>177</v>
      </c>
      <c r="E100" s="158" t="s">
        <v>3</v>
      </c>
      <c r="F100" s="158" t="s">
        <v>56</v>
      </c>
      <c r="G100" s="158" t="s">
        <v>228</v>
      </c>
      <c r="H100" s="158"/>
      <c r="I100" s="157" t="s">
        <v>250</v>
      </c>
      <c r="J100" s="157" t="s">
        <v>282</v>
      </c>
      <c r="K100" s="157"/>
    </row>
    <row r="101" spans="1:11" x14ac:dyDescent="0.2">
      <c r="A101" s="156"/>
      <c r="B101" s="158" t="s">
        <v>112</v>
      </c>
      <c r="C101" s="158" t="s">
        <v>0</v>
      </c>
      <c r="D101" s="158" t="s">
        <v>177</v>
      </c>
      <c r="E101" s="158" t="s">
        <v>3</v>
      </c>
      <c r="F101" s="158" t="s">
        <v>56</v>
      </c>
      <c r="G101" s="158" t="s">
        <v>228</v>
      </c>
      <c r="H101" s="158"/>
      <c r="I101" s="157" t="s">
        <v>250</v>
      </c>
      <c r="J101" s="157" t="s">
        <v>282</v>
      </c>
      <c r="K101" s="157"/>
    </row>
    <row r="102" spans="1:11" x14ac:dyDescent="0.2">
      <c r="A102" s="156"/>
      <c r="B102" s="158" t="s">
        <v>112</v>
      </c>
      <c r="C102" s="158" t="s">
        <v>0</v>
      </c>
      <c r="D102" s="158" t="s">
        <v>177</v>
      </c>
      <c r="E102" s="158" t="s">
        <v>3</v>
      </c>
      <c r="F102" s="158" t="s">
        <v>56</v>
      </c>
      <c r="G102" s="158" t="s">
        <v>228</v>
      </c>
      <c r="H102" s="158"/>
      <c r="I102" s="157" t="s">
        <v>250</v>
      </c>
      <c r="J102" s="157" t="s">
        <v>282</v>
      </c>
      <c r="K102" s="157"/>
    </row>
    <row r="103" spans="1:11" x14ac:dyDescent="0.2">
      <c r="A103" s="156"/>
      <c r="B103" s="158" t="s">
        <v>112</v>
      </c>
      <c r="C103" s="158" t="s">
        <v>0</v>
      </c>
      <c r="D103" s="158" t="s">
        <v>177</v>
      </c>
      <c r="E103" s="158" t="s">
        <v>3</v>
      </c>
      <c r="F103" s="158" t="s">
        <v>56</v>
      </c>
      <c r="G103" s="158" t="s">
        <v>228</v>
      </c>
      <c r="H103" s="158"/>
      <c r="I103" s="157" t="s">
        <v>250</v>
      </c>
      <c r="J103" s="157" t="s">
        <v>282</v>
      </c>
      <c r="K103" s="157"/>
    </row>
    <row r="104" spans="1:11" x14ac:dyDescent="0.2">
      <c r="A104" s="156"/>
      <c r="B104" s="158" t="s">
        <v>112</v>
      </c>
      <c r="C104" s="158" t="s">
        <v>0</v>
      </c>
      <c r="D104" s="158" t="s">
        <v>177</v>
      </c>
      <c r="E104" s="158" t="s">
        <v>3</v>
      </c>
      <c r="F104" s="158" t="s">
        <v>56</v>
      </c>
      <c r="G104" s="158" t="s">
        <v>228</v>
      </c>
      <c r="H104" s="158"/>
      <c r="I104" s="157" t="s">
        <v>250</v>
      </c>
      <c r="J104" s="157" t="s">
        <v>282</v>
      </c>
      <c r="K104" s="157"/>
    </row>
    <row r="105" spans="1:11" x14ac:dyDescent="0.2">
      <c r="A105" s="156"/>
      <c r="B105" s="158" t="s">
        <v>112</v>
      </c>
      <c r="C105" s="158" t="s">
        <v>0</v>
      </c>
      <c r="D105" s="158" t="s">
        <v>177</v>
      </c>
      <c r="E105" s="158" t="s">
        <v>3</v>
      </c>
      <c r="F105" s="158" t="s">
        <v>56</v>
      </c>
      <c r="G105" s="158" t="s">
        <v>228</v>
      </c>
      <c r="H105" s="158"/>
      <c r="I105" s="157" t="s">
        <v>250</v>
      </c>
      <c r="J105" s="157" t="s">
        <v>282</v>
      </c>
      <c r="K105" s="157" t="s">
        <v>133</v>
      </c>
    </row>
    <row r="106" spans="1:11" x14ac:dyDescent="0.2">
      <c r="A106" s="156"/>
      <c r="B106" s="158" t="s">
        <v>112</v>
      </c>
      <c r="C106" s="158" t="s">
        <v>0</v>
      </c>
      <c r="D106" s="158" t="s">
        <v>177</v>
      </c>
      <c r="E106" s="158" t="s">
        <v>3</v>
      </c>
      <c r="F106" s="158" t="s">
        <v>56</v>
      </c>
      <c r="G106" s="158" t="s">
        <v>228</v>
      </c>
      <c r="H106" s="158"/>
      <c r="I106" s="157" t="s">
        <v>250</v>
      </c>
      <c r="J106" s="157" t="s">
        <v>282</v>
      </c>
      <c r="K106" s="157"/>
    </row>
    <row r="107" spans="1:11" x14ac:dyDescent="0.2">
      <c r="A107" s="156"/>
      <c r="B107" s="158" t="s">
        <v>112</v>
      </c>
      <c r="C107" s="158" t="s">
        <v>0</v>
      </c>
      <c r="D107" s="158" t="s">
        <v>177</v>
      </c>
      <c r="E107" s="158" t="s">
        <v>3</v>
      </c>
      <c r="F107" s="158" t="s">
        <v>56</v>
      </c>
      <c r="G107" s="158" t="s">
        <v>228</v>
      </c>
      <c r="H107" s="158"/>
      <c r="I107" s="157" t="s">
        <v>250</v>
      </c>
      <c r="J107" s="157" t="s">
        <v>282</v>
      </c>
      <c r="K107" s="157" t="s">
        <v>133</v>
      </c>
    </row>
    <row r="108" spans="1:11" x14ac:dyDescent="0.2">
      <c r="A108" s="156"/>
      <c r="B108" s="158" t="s">
        <v>112</v>
      </c>
      <c r="C108" s="158" t="s">
        <v>0</v>
      </c>
      <c r="D108" s="158" t="s">
        <v>177</v>
      </c>
      <c r="E108" s="158" t="s">
        <v>3</v>
      </c>
      <c r="F108" s="158" t="s">
        <v>56</v>
      </c>
      <c r="G108" s="158" t="s">
        <v>228</v>
      </c>
      <c r="H108" s="158"/>
      <c r="I108" s="157" t="s">
        <v>250</v>
      </c>
      <c r="J108" s="157" t="s">
        <v>282</v>
      </c>
      <c r="K108" s="157" t="s">
        <v>133</v>
      </c>
    </row>
    <row r="109" spans="1:11" x14ac:dyDescent="0.2">
      <c r="A109" s="156"/>
      <c r="B109" s="158" t="s">
        <v>112</v>
      </c>
      <c r="C109" s="158" t="s">
        <v>0</v>
      </c>
      <c r="D109" s="158" t="s">
        <v>177</v>
      </c>
      <c r="E109" s="158" t="s">
        <v>3</v>
      </c>
      <c r="F109" s="158" t="s">
        <v>56</v>
      </c>
      <c r="G109" s="158" t="s">
        <v>228</v>
      </c>
      <c r="H109" s="158"/>
      <c r="I109" s="157" t="s">
        <v>250</v>
      </c>
      <c r="J109" s="157" t="s">
        <v>282</v>
      </c>
      <c r="K109" s="157" t="s">
        <v>133</v>
      </c>
    </row>
    <row r="110" spans="1:11" x14ac:dyDescent="0.2">
      <c r="A110" s="156"/>
      <c r="B110" s="158" t="s">
        <v>112</v>
      </c>
      <c r="C110" s="158" t="s">
        <v>0</v>
      </c>
      <c r="D110" s="158" t="s">
        <v>177</v>
      </c>
      <c r="E110" s="158" t="s">
        <v>3</v>
      </c>
      <c r="F110" s="158" t="s">
        <v>56</v>
      </c>
      <c r="G110" s="158" t="s">
        <v>228</v>
      </c>
      <c r="H110" s="158"/>
      <c r="I110" s="157" t="s">
        <v>250</v>
      </c>
      <c r="J110" s="157" t="s">
        <v>282</v>
      </c>
      <c r="K110" s="157" t="s">
        <v>133</v>
      </c>
    </row>
    <row r="111" spans="1:11" x14ac:dyDescent="0.2">
      <c r="A111" s="156"/>
      <c r="B111" s="158" t="s">
        <v>112</v>
      </c>
      <c r="C111" s="158" t="s">
        <v>0</v>
      </c>
      <c r="D111" s="158" t="s">
        <v>177</v>
      </c>
      <c r="E111" s="158" t="s">
        <v>3</v>
      </c>
      <c r="F111" s="158" t="s">
        <v>56</v>
      </c>
      <c r="G111" s="158" t="s">
        <v>228</v>
      </c>
      <c r="H111" s="158"/>
      <c r="I111" s="157" t="s">
        <v>250</v>
      </c>
      <c r="J111" s="157" t="s">
        <v>282</v>
      </c>
      <c r="K111" s="157" t="s">
        <v>133</v>
      </c>
    </row>
    <row r="112" spans="1:11" x14ac:dyDescent="0.2">
      <c r="A112" s="156"/>
      <c r="B112" s="158" t="s">
        <v>112</v>
      </c>
      <c r="C112" s="158" t="s">
        <v>0</v>
      </c>
      <c r="D112" s="158" t="s">
        <v>177</v>
      </c>
      <c r="E112" s="158" t="s">
        <v>3</v>
      </c>
      <c r="F112" s="158" t="s">
        <v>56</v>
      </c>
      <c r="G112" s="158" t="s">
        <v>228</v>
      </c>
      <c r="H112" s="158"/>
      <c r="I112" s="157" t="s">
        <v>250</v>
      </c>
      <c r="J112" s="157" t="s">
        <v>282</v>
      </c>
      <c r="K112" s="157" t="s">
        <v>133</v>
      </c>
    </row>
    <row r="113" spans="1:11" x14ac:dyDescent="0.2">
      <c r="A113" s="156"/>
      <c r="B113" s="158" t="s">
        <v>112</v>
      </c>
      <c r="C113" s="158" t="s">
        <v>0</v>
      </c>
      <c r="D113" s="158" t="s">
        <v>177</v>
      </c>
      <c r="E113" s="158" t="s">
        <v>3</v>
      </c>
      <c r="F113" s="158" t="s">
        <v>56</v>
      </c>
      <c r="G113" s="158" t="s">
        <v>228</v>
      </c>
      <c r="H113" s="158"/>
      <c r="I113" s="157" t="s">
        <v>250</v>
      </c>
      <c r="J113" s="157" t="s">
        <v>282</v>
      </c>
      <c r="K113" s="157" t="s">
        <v>133</v>
      </c>
    </row>
    <row r="114" spans="1:11" x14ac:dyDescent="0.2">
      <c r="A114" s="156"/>
      <c r="B114" s="158" t="s">
        <v>112</v>
      </c>
      <c r="C114" s="158" t="s">
        <v>0</v>
      </c>
      <c r="D114" s="158" t="s">
        <v>177</v>
      </c>
      <c r="E114" s="158" t="s">
        <v>3</v>
      </c>
      <c r="F114" s="158" t="s">
        <v>56</v>
      </c>
      <c r="G114" s="158" t="s">
        <v>228</v>
      </c>
      <c r="H114" s="158"/>
      <c r="I114" s="157" t="s">
        <v>250</v>
      </c>
      <c r="J114" s="157" t="s">
        <v>282</v>
      </c>
      <c r="K114" s="157" t="s">
        <v>133</v>
      </c>
    </row>
    <row r="115" spans="1:11" x14ac:dyDescent="0.2">
      <c r="A115" s="156"/>
      <c r="B115" s="158" t="s">
        <v>112</v>
      </c>
      <c r="C115" s="158" t="s">
        <v>0</v>
      </c>
      <c r="D115" s="158" t="s">
        <v>177</v>
      </c>
      <c r="E115" s="158" t="s">
        <v>3</v>
      </c>
      <c r="F115" s="158" t="s">
        <v>56</v>
      </c>
      <c r="G115" s="158" t="s">
        <v>228</v>
      </c>
      <c r="H115" s="158"/>
      <c r="I115" s="157" t="s">
        <v>250</v>
      </c>
      <c r="J115" s="157" t="s">
        <v>282</v>
      </c>
      <c r="K115" s="157" t="s">
        <v>133</v>
      </c>
    </row>
    <row r="116" spans="1:11" x14ac:dyDescent="0.2">
      <c r="A116" s="156"/>
      <c r="B116" s="158" t="s">
        <v>112</v>
      </c>
      <c r="C116" s="158" t="s">
        <v>0</v>
      </c>
      <c r="D116" s="158" t="s">
        <v>177</v>
      </c>
      <c r="E116" s="158" t="s">
        <v>3</v>
      </c>
      <c r="F116" s="158" t="s">
        <v>56</v>
      </c>
      <c r="G116" s="158" t="s">
        <v>228</v>
      </c>
      <c r="H116" s="158"/>
      <c r="I116" s="157" t="s">
        <v>250</v>
      </c>
      <c r="J116" s="157" t="s">
        <v>282</v>
      </c>
      <c r="K116" s="157" t="s">
        <v>133</v>
      </c>
    </row>
    <row r="117" spans="1:11" x14ac:dyDescent="0.2">
      <c r="A117" s="156"/>
      <c r="B117" s="158" t="s">
        <v>112</v>
      </c>
      <c r="C117" s="158" t="s">
        <v>0</v>
      </c>
      <c r="D117" s="158" t="s">
        <v>177</v>
      </c>
      <c r="E117" s="158" t="s">
        <v>3</v>
      </c>
      <c r="F117" s="158" t="s">
        <v>56</v>
      </c>
      <c r="G117" s="158" t="s">
        <v>228</v>
      </c>
      <c r="H117" s="158"/>
      <c r="I117" s="157" t="s">
        <v>250</v>
      </c>
      <c r="J117" s="157" t="s">
        <v>282</v>
      </c>
      <c r="K117" s="157" t="s">
        <v>133</v>
      </c>
    </row>
    <row r="118" spans="1:11" x14ac:dyDescent="0.2">
      <c r="A118" s="156"/>
      <c r="B118" s="158" t="s">
        <v>112</v>
      </c>
      <c r="C118" s="158" t="s">
        <v>0</v>
      </c>
      <c r="D118" s="158" t="s">
        <v>177</v>
      </c>
      <c r="E118" s="158" t="s">
        <v>3</v>
      </c>
      <c r="F118" s="158" t="s">
        <v>56</v>
      </c>
      <c r="G118" s="158" t="s">
        <v>228</v>
      </c>
      <c r="H118" s="158"/>
      <c r="I118" s="157" t="s">
        <v>250</v>
      </c>
      <c r="J118" s="157" t="s">
        <v>282</v>
      </c>
      <c r="K118" s="157" t="s">
        <v>133</v>
      </c>
    </row>
    <row r="119" spans="1:11" x14ac:dyDescent="0.2">
      <c r="A119" s="156"/>
      <c r="B119" s="158" t="s">
        <v>112</v>
      </c>
      <c r="C119" s="158" t="s">
        <v>0</v>
      </c>
      <c r="D119" s="158" t="s">
        <v>177</v>
      </c>
      <c r="E119" s="158" t="s">
        <v>3</v>
      </c>
      <c r="F119" s="158" t="s">
        <v>56</v>
      </c>
      <c r="G119" s="158" t="s">
        <v>228</v>
      </c>
      <c r="H119" s="158"/>
      <c r="I119" s="157" t="s">
        <v>250</v>
      </c>
      <c r="J119" s="157" t="s">
        <v>282</v>
      </c>
      <c r="K119" s="157" t="s">
        <v>133</v>
      </c>
    </row>
    <row r="120" spans="1:11" x14ac:dyDescent="0.2">
      <c r="A120" s="156"/>
      <c r="B120" s="158" t="s">
        <v>112</v>
      </c>
      <c r="C120" s="158" t="s">
        <v>0</v>
      </c>
      <c r="D120" s="158" t="s">
        <v>177</v>
      </c>
      <c r="E120" s="158" t="s">
        <v>3</v>
      </c>
      <c r="F120" s="158" t="s">
        <v>56</v>
      </c>
      <c r="G120" s="158" t="s">
        <v>228</v>
      </c>
      <c r="H120" s="158"/>
      <c r="I120" s="157" t="s">
        <v>250</v>
      </c>
      <c r="J120" s="157" t="s">
        <v>282</v>
      </c>
      <c r="K120" s="157" t="s">
        <v>133</v>
      </c>
    </row>
    <row r="121" spans="1:11" x14ac:dyDescent="0.2">
      <c r="A121" s="156"/>
      <c r="B121" s="158" t="s">
        <v>112</v>
      </c>
      <c r="C121" s="158" t="s">
        <v>0</v>
      </c>
      <c r="D121" s="158" t="s">
        <v>177</v>
      </c>
      <c r="E121" s="158" t="s">
        <v>3</v>
      </c>
      <c r="F121" s="158" t="s">
        <v>56</v>
      </c>
      <c r="G121" s="158" t="s">
        <v>228</v>
      </c>
      <c r="H121" s="158"/>
      <c r="I121" s="157" t="s">
        <v>250</v>
      </c>
      <c r="J121" s="157" t="s">
        <v>282</v>
      </c>
      <c r="K121" s="157" t="s">
        <v>133</v>
      </c>
    </row>
    <row r="122" spans="1:11" x14ac:dyDescent="0.2">
      <c r="A122" s="156"/>
      <c r="B122" s="158" t="s">
        <v>112</v>
      </c>
      <c r="C122" s="158" t="s">
        <v>0</v>
      </c>
      <c r="D122" s="158" t="s">
        <v>177</v>
      </c>
      <c r="E122" s="158" t="s">
        <v>3</v>
      </c>
      <c r="F122" s="158" t="s">
        <v>56</v>
      </c>
      <c r="G122" s="158" t="s">
        <v>228</v>
      </c>
      <c r="H122" s="158"/>
      <c r="I122" s="157" t="s">
        <v>250</v>
      </c>
      <c r="J122" s="157" t="s">
        <v>282</v>
      </c>
      <c r="K122" s="157" t="s">
        <v>133</v>
      </c>
    </row>
    <row r="123" spans="1:11" x14ac:dyDescent="0.2">
      <c r="A123" s="156"/>
      <c r="B123" s="158" t="s">
        <v>112</v>
      </c>
      <c r="C123" s="158" t="s">
        <v>0</v>
      </c>
      <c r="D123" s="158" t="s">
        <v>177</v>
      </c>
      <c r="E123" s="158" t="s">
        <v>3</v>
      </c>
      <c r="F123" s="158" t="s">
        <v>56</v>
      </c>
      <c r="G123" s="158" t="s">
        <v>228</v>
      </c>
      <c r="H123" s="158"/>
      <c r="I123" s="157" t="s">
        <v>250</v>
      </c>
      <c r="J123" s="157" t="s">
        <v>282</v>
      </c>
      <c r="K123" s="157" t="s">
        <v>133</v>
      </c>
    </row>
    <row r="124" spans="1:11" x14ac:dyDescent="0.2">
      <c r="A124" s="156"/>
      <c r="B124" s="158" t="s">
        <v>112</v>
      </c>
      <c r="C124" s="158" t="s">
        <v>0</v>
      </c>
      <c r="D124" s="158" t="s">
        <v>177</v>
      </c>
      <c r="E124" s="158" t="s">
        <v>3</v>
      </c>
      <c r="F124" s="158" t="s">
        <v>56</v>
      </c>
      <c r="G124" s="158" t="s">
        <v>228</v>
      </c>
      <c r="H124" s="158"/>
      <c r="I124" s="157" t="s">
        <v>250</v>
      </c>
      <c r="J124" s="157" t="s">
        <v>282</v>
      </c>
      <c r="K124" s="157" t="s">
        <v>133</v>
      </c>
    </row>
    <row r="125" spans="1:11" x14ac:dyDescent="0.2">
      <c r="A125" s="156"/>
      <c r="B125" s="158" t="s">
        <v>112</v>
      </c>
      <c r="C125" s="158" t="s">
        <v>0</v>
      </c>
      <c r="D125" s="158" t="s">
        <v>177</v>
      </c>
      <c r="E125" s="158" t="s">
        <v>3</v>
      </c>
      <c r="F125" s="158" t="s">
        <v>56</v>
      </c>
      <c r="G125" s="158" t="s">
        <v>228</v>
      </c>
      <c r="H125" s="158"/>
      <c r="I125" s="157" t="s">
        <v>250</v>
      </c>
      <c r="J125" s="157" t="s">
        <v>282</v>
      </c>
      <c r="K125" s="157" t="s">
        <v>133</v>
      </c>
    </row>
    <row r="126" spans="1:11" x14ac:dyDescent="0.2">
      <c r="A126" s="156"/>
      <c r="B126" s="158" t="s">
        <v>112</v>
      </c>
      <c r="C126" s="158" t="s">
        <v>0</v>
      </c>
      <c r="D126" s="158" t="s">
        <v>177</v>
      </c>
      <c r="E126" s="158" t="s">
        <v>3</v>
      </c>
      <c r="F126" s="158" t="s">
        <v>56</v>
      </c>
      <c r="G126" s="158" t="s">
        <v>228</v>
      </c>
      <c r="H126" s="158"/>
      <c r="I126" s="157" t="s">
        <v>250</v>
      </c>
      <c r="J126" s="157" t="s">
        <v>282</v>
      </c>
      <c r="K126" s="157"/>
    </row>
    <row r="127" spans="1:11" x14ac:dyDescent="0.2">
      <c r="A127" s="156"/>
      <c r="B127" s="158" t="s">
        <v>112</v>
      </c>
      <c r="C127" s="158" t="s">
        <v>0</v>
      </c>
      <c r="D127" s="158" t="s">
        <v>177</v>
      </c>
      <c r="E127" s="158" t="s">
        <v>3</v>
      </c>
      <c r="F127" s="158" t="s">
        <v>56</v>
      </c>
      <c r="G127" s="158" t="s">
        <v>228</v>
      </c>
      <c r="H127" s="158"/>
      <c r="I127" s="157" t="s">
        <v>250</v>
      </c>
      <c r="J127" s="157" t="s">
        <v>282</v>
      </c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G3:G4"/>
    <mergeCell ref="B3:B4"/>
    <mergeCell ref="C3:C4"/>
    <mergeCell ref="D3:D4"/>
    <mergeCell ref="E3:E4"/>
    <mergeCell ref="F3:F4"/>
  </mergeCells>
  <dataValidations count="8">
    <dataValidation type="list" allowBlank="1" showInputMessage="1" showErrorMessage="1" sqref="I5:K254">
      <formula1>ValidProgramme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topLeftCell="A7" workbookViewId="0">
      <selection activeCell="J35" sqref="J35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113</v>
      </c>
      <c r="C5" s="157" t="s">
        <v>0</v>
      </c>
      <c r="D5" s="157" t="s">
        <v>177</v>
      </c>
      <c r="E5" s="157" t="s">
        <v>4</v>
      </c>
      <c r="F5" s="157" t="s">
        <v>10</v>
      </c>
      <c r="G5" s="157" t="s">
        <v>228</v>
      </c>
      <c r="H5" s="157" t="s">
        <v>159</v>
      </c>
      <c r="I5" s="157"/>
      <c r="J5" s="157"/>
      <c r="K5" s="157"/>
    </row>
    <row r="6" spans="1:11" x14ac:dyDescent="0.2">
      <c r="A6" s="156"/>
      <c r="B6" s="158" t="s">
        <v>114</v>
      </c>
      <c r="C6" s="158" t="s">
        <v>0</v>
      </c>
      <c r="D6" s="158" t="s">
        <v>177</v>
      </c>
      <c r="E6" s="157" t="s">
        <v>3</v>
      </c>
      <c r="F6" s="157" t="s">
        <v>13</v>
      </c>
      <c r="G6" s="157" t="s">
        <v>155</v>
      </c>
      <c r="H6" s="158" t="s">
        <v>7</v>
      </c>
      <c r="I6" s="157" t="s">
        <v>251</v>
      </c>
      <c r="J6" s="157"/>
      <c r="K6" s="157"/>
    </row>
    <row r="7" spans="1:11" x14ac:dyDescent="0.2">
      <c r="A7" s="156"/>
      <c r="B7" s="158" t="s">
        <v>114</v>
      </c>
      <c r="C7" s="158" t="s">
        <v>0</v>
      </c>
      <c r="D7" s="158" t="s">
        <v>177</v>
      </c>
      <c r="E7" s="158" t="s">
        <v>4</v>
      </c>
      <c r="F7" s="158" t="s">
        <v>10</v>
      </c>
      <c r="G7" s="158" t="s">
        <v>228</v>
      </c>
      <c r="H7" s="158" t="s">
        <v>7</v>
      </c>
      <c r="I7" s="158" t="s">
        <v>251</v>
      </c>
      <c r="J7" s="157"/>
      <c r="K7" s="157"/>
    </row>
    <row r="8" spans="1:11" x14ac:dyDescent="0.2">
      <c r="A8" s="156"/>
      <c r="B8" s="158" t="s">
        <v>114</v>
      </c>
      <c r="C8" s="158" t="s">
        <v>0</v>
      </c>
      <c r="D8" s="158" t="s">
        <v>177</v>
      </c>
      <c r="E8" s="158" t="s">
        <v>4</v>
      </c>
      <c r="F8" s="158" t="s">
        <v>10</v>
      </c>
      <c r="G8" s="158" t="s">
        <v>228</v>
      </c>
      <c r="H8" s="158" t="s">
        <v>7</v>
      </c>
      <c r="I8" s="158" t="s">
        <v>251</v>
      </c>
      <c r="J8" s="157" t="s">
        <v>123</v>
      </c>
      <c r="K8" s="157" t="s">
        <v>136</v>
      </c>
    </row>
    <row r="9" spans="1:11" x14ac:dyDescent="0.2">
      <c r="A9" s="156"/>
      <c r="B9" s="158" t="s">
        <v>114</v>
      </c>
      <c r="C9" s="158" t="s">
        <v>0</v>
      </c>
      <c r="D9" s="158" t="s">
        <v>177</v>
      </c>
      <c r="E9" s="158" t="s">
        <v>4</v>
      </c>
      <c r="F9" s="157" t="s">
        <v>106</v>
      </c>
      <c r="G9" s="157" t="s">
        <v>156</v>
      </c>
      <c r="H9" s="158" t="s">
        <v>7</v>
      </c>
      <c r="I9" s="158" t="s">
        <v>251</v>
      </c>
      <c r="J9" s="157" t="s">
        <v>123</v>
      </c>
      <c r="K9" s="157"/>
    </row>
    <row r="10" spans="1:11" x14ac:dyDescent="0.2">
      <c r="A10" s="156"/>
      <c r="B10" s="158" t="s">
        <v>114</v>
      </c>
      <c r="C10" s="158" t="s">
        <v>0</v>
      </c>
      <c r="D10" s="158" t="s">
        <v>177</v>
      </c>
      <c r="E10" s="158" t="s">
        <v>4</v>
      </c>
      <c r="F10" s="158" t="s">
        <v>10</v>
      </c>
      <c r="G10" s="158" t="s">
        <v>155</v>
      </c>
      <c r="H10" s="158" t="s">
        <v>7</v>
      </c>
      <c r="I10" s="158" t="s">
        <v>251</v>
      </c>
      <c r="J10" s="157" t="s">
        <v>123</v>
      </c>
      <c r="K10" s="157" t="s">
        <v>136</v>
      </c>
    </row>
    <row r="11" spans="1:11" x14ac:dyDescent="0.2">
      <c r="A11" s="156"/>
      <c r="B11" s="158" t="s">
        <v>114</v>
      </c>
      <c r="C11" s="158" t="s">
        <v>0</v>
      </c>
      <c r="D11" s="158" t="s">
        <v>177</v>
      </c>
      <c r="E11" s="158" t="s">
        <v>3</v>
      </c>
      <c r="F11" s="158" t="s">
        <v>12</v>
      </c>
      <c r="G11" s="158" t="s">
        <v>228</v>
      </c>
      <c r="H11" s="158" t="s">
        <v>7</v>
      </c>
      <c r="I11" s="158" t="s">
        <v>251</v>
      </c>
      <c r="J11" s="157" t="s">
        <v>123</v>
      </c>
      <c r="K11" s="157"/>
    </row>
    <row r="12" spans="1:11" x14ac:dyDescent="0.2">
      <c r="A12" s="156"/>
      <c r="B12" s="158" t="s">
        <v>113</v>
      </c>
      <c r="C12" s="158" t="s">
        <v>0</v>
      </c>
      <c r="D12" s="158" t="s">
        <v>177</v>
      </c>
      <c r="E12" s="158" t="s">
        <v>3</v>
      </c>
      <c r="F12" s="157" t="s">
        <v>14</v>
      </c>
      <c r="G12" s="158" t="s">
        <v>228</v>
      </c>
      <c r="H12" s="158" t="s">
        <v>17</v>
      </c>
      <c r="I12" s="157" t="s">
        <v>130</v>
      </c>
      <c r="J12" s="157" t="s">
        <v>123</v>
      </c>
      <c r="K12" s="157" t="s">
        <v>136</v>
      </c>
    </row>
    <row r="13" spans="1:11" x14ac:dyDescent="0.2">
      <c r="A13" s="156"/>
      <c r="B13" s="158" t="s">
        <v>113</v>
      </c>
      <c r="C13" s="157" t="s">
        <v>1</v>
      </c>
      <c r="D13" s="158" t="s">
        <v>177</v>
      </c>
      <c r="E13" s="158" t="s">
        <v>4</v>
      </c>
      <c r="F13" s="158" t="s">
        <v>13</v>
      </c>
      <c r="G13" s="157" t="s">
        <v>158</v>
      </c>
      <c r="H13" s="158" t="s">
        <v>17</v>
      </c>
      <c r="I13" s="157" t="s">
        <v>132</v>
      </c>
      <c r="J13" s="157" t="s">
        <v>123</v>
      </c>
      <c r="K13" s="157"/>
    </row>
    <row r="14" spans="1:11" x14ac:dyDescent="0.2">
      <c r="A14" s="156"/>
      <c r="B14" s="158" t="s">
        <v>113</v>
      </c>
      <c r="C14" s="158" t="s">
        <v>1</v>
      </c>
      <c r="D14" s="158" t="s">
        <v>177</v>
      </c>
      <c r="E14" s="158" t="s">
        <v>4</v>
      </c>
      <c r="F14" s="158" t="s">
        <v>13</v>
      </c>
      <c r="G14" s="158" t="s">
        <v>158</v>
      </c>
      <c r="H14" s="158" t="s">
        <v>17</v>
      </c>
      <c r="I14" s="158" t="s">
        <v>132</v>
      </c>
      <c r="J14" s="158"/>
      <c r="K14" s="158"/>
    </row>
    <row r="15" spans="1:11" x14ac:dyDescent="0.2">
      <c r="A15" s="156"/>
      <c r="B15" s="158" t="s">
        <v>113</v>
      </c>
      <c r="C15" s="158" t="s">
        <v>0</v>
      </c>
      <c r="D15" s="158" t="s">
        <v>177</v>
      </c>
      <c r="E15" s="158" t="s">
        <v>3</v>
      </c>
      <c r="F15" s="157" t="s">
        <v>56</v>
      </c>
      <c r="G15" s="158" t="s">
        <v>156</v>
      </c>
      <c r="H15" s="158" t="s">
        <v>159</v>
      </c>
      <c r="I15" s="158"/>
      <c r="J15" s="158"/>
      <c r="K15" s="158"/>
    </row>
    <row r="16" spans="1:11" x14ac:dyDescent="0.2">
      <c r="A16" s="156"/>
      <c r="B16" s="158" t="s">
        <v>113</v>
      </c>
      <c r="C16" s="157" t="s">
        <v>202</v>
      </c>
      <c r="D16" s="157"/>
      <c r="E16" s="157"/>
      <c r="F16" s="157"/>
      <c r="G16" s="158"/>
      <c r="H16" s="158"/>
      <c r="I16" s="158"/>
      <c r="J16" s="158"/>
      <c r="K16" s="158"/>
    </row>
    <row r="17" spans="1:11" x14ac:dyDescent="0.2">
      <c r="A17" s="156"/>
      <c r="B17" s="158" t="s">
        <v>113</v>
      </c>
      <c r="C17" s="158" t="s">
        <v>0</v>
      </c>
      <c r="D17" s="158" t="s">
        <v>177</v>
      </c>
      <c r="E17" s="158" t="s">
        <v>3</v>
      </c>
      <c r="F17" s="158" t="s">
        <v>56</v>
      </c>
      <c r="G17" s="158" t="s">
        <v>156</v>
      </c>
      <c r="H17" s="158" t="s">
        <v>7</v>
      </c>
      <c r="I17" s="157" t="s">
        <v>240</v>
      </c>
      <c r="J17" s="157"/>
      <c r="K17" s="157"/>
    </row>
    <row r="18" spans="1:11" x14ac:dyDescent="0.2">
      <c r="A18" s="156"/>
      <c r="B18" s="158" t="s">
        <v>113</v>
      </c>
      <c r="C18" s="158" t="s">
        <v>0</v>
      </c>
      <c r="D18" s="158" t="s">
        <v>177</v>
      </c>
      <c r="E18" s="158" t="s">
        <v>3</v>
      </c>
      <c r="F18" s="157" t="s">
        <v>153</v>
      </c>
      <c r="G18" s="158" t="s">
        <v>156</v>
      </c>
      <c r="H18" s="158" t="s">
        <v>7</v>
      </c>
      <c r="I18" s="158" t="s">
        <v>240</v>
      </c>
      <c r="J18" s="158"/>
      <c r="K18" s="158"/>
    </row>
    <row r="19" spans="1:11" x14ac:dyDescent="0.2">
      <c r="A19" s="156"/>
      <c r="B19" s="158" t="s">
        <v>113</v>
      </c>
      <c r="C19" s="158" t="s">
        <v>0</v>
      </c>
      <c r="D19" s="158" t="s">
        <v>177</v>
      </c>
      <c r="E19" s="158" t="s">
        <v>4</v>
      </c>
      <c r="F19" s="158" t="s">
        <v>153</v>
      </c>
      <c r="G19" s="158" t="s">
        <v>156</v>
      </c>
      <c r="H19" s="158" t="s">
        <v>7</v>
      </c>
      <c r="I19" s="158" t="s">
        <v>240</v>
      </c>
      <c r="J19" s="157"/>
      <c r="K19" s="157"/>
    </row>
    <row r="20" spans="1:11" x14ac:dyDescent="0.2">
      <c r="A20" s="156"/>
      <c r="B20" s="158" t="s">
        <v>113</v>
      </c>
      <c r="C20" s="158" t="s">
        <v>0</v>
      </c>
      <c r="D20" s="158" t="s">
        <v>177</v>
      </c>
      <c r="E20" s="158" t="s">
        <v>4</v>
      </c>
      <c r="F20" s="158" t="s">
        <v>10</v>
      </c>
      <c r="G20" s="158" t="s">
        <v>156</v>
      </c>
      <c r="H20" s="158" t="s">
        <v>7</v>
      </c>
      <c r="I20" s="158" t="s">
        <v>240</v>
      </c>
      <c r="J20" s="158"/>
      <c r="K20" s="158"/>
    </row>
    <row r="21" spans="1:11" x14ac:dyDescent="0.2">
      <c r="A21" s="156"/>
      <c r="B21" s="158" t="s">
        <v>113</v>
      </c>
      <c r="C21" s="158" t="s">
        <v>0</v>
      </c>
      <c r="D21" s="158" t="s">
        <v>177</v>
      </c>
      <c r="E21" s="158" t="s">
        <v>4</v>
      </c>
      <c r="F21" s="158" t="s">
        <v>13</v>
      </c>
      <c r="G21" s="158" t="s">
        <v>156</v>
      </c>
      <c r="H21" s="158" t="s">
        <v>7</v>
      </c>
      <c r="I21" s="158" t="s">
        <v>240</v>
      </c>
      <c r="J21" s="158"/>
      <c r="K21" s="158"/>
    </row>
    <row r="22" spans="1:11" x14ac:dyDescent="0.2">
      <c r="A22" s="156"/>
      <c r="B22" s="158" t="s">
        <v>113</v>
      </c>
      <c r="C22" s="158" t="s">
        <v>1</v>
      </c>
      <c r="D22" s="158" t="s">
        <v>177</v>
      </c>
      <c r="E22" s="158" t="s">
        <v>4</v>
      </c>
      <c r="F22" s="158" t="s">
        <v>10</v>
      </c>
      <c r="G22" s="158" t="s">
        <v>156</v>
      </c>
      <c r="H22" s="158" t="s">
        <v>17</v>
      </c>
      <c r="I22" s="158" t="s">
        <v>137</v>
      </c>
      <c r="J22" s="158"/>
      <c r="K22" s="158"/>
    </row>
    <row r="23" spans="1:11" x14ac:dyDescent="0.2">
      <c r="A23" s="156"/>
      <c r="B23" s="158" t="s">
        <v>113</v>
      </c>
      <c r="C23" s="158" t="s">
        <v>0</v>
      </c>
      <c r="D23" s="158" t="s">
        <v>177</v>
      </c>
      <c r="E23" s="158" t="s">
        <v>4</v>
      </c>
      <c r="F23" s="158" t="s">
        <v>10</v>
      </c>
      <c r="G23" s="158" t="s">
        <v>228</v>
      </c>
      <c r="H23" s="158" t="s">
        <v>159</v>
      </c>
      <c r="I23" s="157"/>
      <c r="J23" s="157"/>
      <c r="K23" s="157"/>
    </row>
    <row r="24" spans="1:11" x14ac:dyDescent="0.2">
      <c r="A24" s="156"/>
      <c r="B24" s="158" t="s">
        <v>113</v>
      </c>
      <c r="C24" s="158" t="s">
        <v>0</v>
      </c>
      <c r="D24" s="157" t="s">
        <v>2</v>
      </c>
      <c r="E24" s="158" t="s">
        <v>4</v>
      </c>
      <c r="F24" s="158" t="s">
        <v>13</v>
      </c>
      <c r="G24" s="158" t="s">
        <v>155</v>
      </c>
      <c r="H24" s="158" t="s">
        <v>159</v>
      </c>
      <c r="I24" s="158"/>
      <c r="J24" s="158"/>
      <c r="K24" s="158"/>
    </row>
    <row r="25" spans="1:11" x14ac:dyDescent="0.2">
      <c r="A25" s="156"/>
      <c r="B25" s="158" t="s">
        <v>113</v>
      </c>
      <c r="C25" s="158" t="s">
        <v>1</v>
      </c>
      <c r="D25" s="158" t="s">
        <v>2</v>
      </c>
      <c r="E25" s="158" t="s">
        <v>4</v>
      </c>
      <c r="F25" s="158" t="s">
        <v>13</v>
      </c>
      <c r="G25" s="158" t="s">
        <v>155</v>
      </c>
      <c r="H25" s="158" t="s">
        <v>159</v>
      </c>
      <c r="I25" s="157"/>
      <c r="J25" s="157"/>
      <c r="K25" s="157"/>
    </row>
    <row r="26" spans="1:11" x14ac:dyDescent="0.2">
      <c r="A26" s="156"/>
      <c r="B26" s="158" t="s">
        <v>113</v>
      </c>
      <c r="C26" s="158" t="s">
        <v>1</v>
      </c>
      <c r="D26" s="158" t="s">
        <v>2</v>
      </c>
      <c r="E26" s="158" t="s">
        <v>3</v>
      </c>
      <c r="F26" s="158" t="s">
        <v>13</v>
      </c>
      <c r="G26" s="158" t="s">
        <v>155</v>
      </c>
      <c r="H26" s="158" t="s">
        <v>159</v>
      </c>
      <c r="I26" s="157"/>
      <c r="J26" s="157"/>
      <c r="K26" s="157"/>
    </row>
    <row r="27" spans="1:11" x14ac:dyDescent="0.2">
      <c r="A27" s="156"/>
      <c r="B27" s="158" t="s">
        <v>113</v>
      </c>
      <c r="C27" s="158" t="s">
        <v>0</v>
      </c>
      <c r="D27" s="158" t="s">
        <v>177</v>
      </c>
      <c r="E27" s="158" t="s">
        <v>4</v>
      </c>
      <c r="F27" s="158" t="s">
        <v>10</v>
      </c>
      <c r="G27" s="158" t="s">
        <v>155</v>
      </c>
      <c r="H27" s="158" t="s">
        <v>159</v>
      </c>
      <c r="I27" s="157"/>
      <c r="J27" s="157"/>
      <c r="K27" s="157"/>
    </row>
    <row r="28" spans="1:11" x14ac:dyDescent="0.2">
      <c r="A28" s="156"/>
      <c r="B28" s="158" t="s">
        <v>113</v>
      </c>
      <c r="C28" s="158" t="s">
        <v>0</v>
      </c>
      <c r="D28" s="158" t="s">
        <v>177</v>
      </c>
      <c r="E28" s="158" t="s">
        <v>3</v>
      </c>
      <c r="F28" s="157" t="s">
        <v>11</v>
      </c>
      <c r="G28" s="158" t="s">
        <v>158</v>
      </c>
      <c r="H28" s="158" t="s">
        <v>159</v>
      </c>
      <c r="I28" s="157"/>
      <c r="J28" s="157"/>
      <c r="K28" s="157"/>
    </row>
    <row r="29" spans="1:11" x14ac:dyDescent="0.2">
      <c r="A29" s="156"/>
      <c r="B29" s="158" t="s">
        <v>113</v>
      </c>
      <c r="C29" s="158" t="s">
        <v>0</v>
      </c>
      <c r="D29" s="158" t="s">
        <v>177</v>
      </c>
      <c r="E29" s="158" t="s">
        <v>4</v>
      </c>
      <c r="F29" s="158" t="s">
        <v>106</v>
      </c>
      <c r="G29" s="158" t="s">
        <v>156</v>
      </c>
      <c r="H29" s="158" t="s">
        <v>17</v>
      </c>
      <c r="I29" s="157" t="s">
        <v>130</v>
      </c>
      <c r="J29" s="157"/>
      <c r="K29" s="157"/>
    </row>
    <row r="30" spans="1:11" x14ac:dyDescent="0.2">
      <c r="A30" s="156"/>
      <c r="B30" s="158" t="s">
        <v>113</v>
      </c>
      <c r="C30" s="158" t="s">
        <v>0</v>
      </c>
      <c r="D30" s="158" t="s">
        <v>2</v>
      </c>
      <c r="E30" s="158" t="s">
        <v>4</v>
      </c>
      <c r="F30" s="157" t="s">
        <v>9</v>
      </c>
      <c r="G30" s="158" t="s">
        <v>155</v>
      </c>
      <c r="H30" s="158" t="s">
        <v>159</v>
      </c>
      <c r="I30" s="157"/>
      <c r="J30" s="157"/>
      <c r="K30" s="157"/>
    </row>
    <row r="31" spans="1:11" x14ac:dyDescent="0.2">
      <c r="A31" s="156"/>
      <c r="B31" s="158" t="s">
        <v>113</v>
      </c>
      <c r="C31" s="158" t="s">
        <v>1</v>
      </c>
      <c r="D31" s="158" t="s">
        <v>2</v>
      </c>
      <c r="E31" s="158" t="s">
        <v>3</v>
      </c>
      <c r="F31" s="158" t="s">
        <v>9</v>
      </c>
      <c r="G31" s="158" t="s">
        <v>155</v>
      </c>
      <c r="H31" s="158" t="s">
        <v>159</v>
      </c>
      <c r="I31" s="157"/>
      <c r="J31" s="157"/>
      <c r="K31" s="157"/>
    </row>
    <row r="32" spans="1:11" x14ac:dyDescent="0.2">
      <c r="A32" s="156"/>
      <c r="B32" s="158" t="s">
        <v>113</v>
      </c>
      <c r="C32" s="158" t="s">
        <v>0</v>
      </c>
      <c r="D32" s="158" t="s">
        <v>177</v>
      </c>
      <c r="E32" s="158" t="s">
        <v>3</v>
      </c>
      <c r="F32" s="158" t="s">
        <v>13</v>
      </c>
      <c r="G32" s="158" t="s">
        <v>155</v>
      </c>
      <c r="H32" s="158" t="s">
        <v>159</v>
      </c>
      <c r="I32" s="157"/>
      <c r="J32" s="157"/>
      <c r="K32" s="157"/>
    </row>
    <row r="33" spans="1:11" x14ac:dyDescent="0.2">
      <c r="A33" s="156"/>
      <c r="B33" s="158" t="s">
        <v>114</v>
      </c>
      <c r="C33" s="158" t="s">
        <v>1</v>
      </c>
      <c r="D33" s="158" t="s">
        <v>177</v>
      </c>
      <c r="E33" s="158" t="s">
        <v>4</v>
      </c>
      <c r="F33" s="158" t="s">
        <v>13</v>
      </c>
      <c r="G33" s="158" t="s">
        <v>158</v>
      </c>
      <c r="H33" s="158" t="s">
        <v>17</v>
      </c>
      <c r="I33" s="157" t="s">
        <v>130</v>
      </c>
      <c r="J33" s="157" t="s">
        <v>128</v>
      </c>
      <c r="K33" s="157"/>
    </row>
    <row r="34" spans="1:11" x14ac:dyDescent="0.2">
      <c r="A34" s="156"/>
      <c r="B34" s="158" t="s">
        <v>114</v>
      </c>
      <c r="C34" s="158" t="s">
        <v>1</v>
      </c>
      <c r="D34" s="158" t="s">
        <v>177</v>
      </c>
      <c r="E34" s="158" t="s">
        <v>4</v>
      </c>
      <c r="F34" s="158" t="s">
        <v>13</v>
      </c>
      <c r="G34" s="158" t="s">
        <v>158</v>
      </c>
      <c r="H34" s="158" t="s">
        <v>17</v>
      </c>
      <c r="I34" s="157" t="s">
        <v>130</v>
      </c>
      <c r="J34" s="157" t="s">
        <v>128</v>
      </c>
      <c r="K34" s="157"/>
    </row>
    <row r="35" spans="1:11" x14ac:dyDescent="0.2">
      <c r="A35" s="156"/>
      <c r="B35" s="158" t="s">
        <v>114</v>
      </c>
      <c r="C35" s="158" t="s">
        <v>0</v>
      </c>
      <c r="D35" s="158" t="s">
        <v>177</v>
      </c>
      <c r="E35" s="158" t="s">
        <v>4</v>
      </c>
      <c r="F35" s="158" t="s">
        <v>10</v>
      </c>
      <c r="G35" s="158" t="s">
        <v>228</v>
      </c>
      <c r="H35" s="158" t="s">
        <v>17</v>
      </c>
      <c r="I35" s="157" t="s">
        <v>130</v>
      </c>
      <c r="J35" s="157" t="s">
        <v>128</v>
      </c>
      <c r="K35" s="157"/>
    </row>
    <row r="36" spans="1:11" x14ac:dyDescent="0.2">
      <c r="A36" s="156"/>
      <c r="B36" s="158" t="s">
        <v>114</v>
      </c>
      <c r="C36" s="158" t="s">
        <v>0</v>
      </c>
      <c r="D36" s="158" t="s">
        <v>177</v>
      </c>
      <c r="E36" s="158" t="s">
        <v>4</v>
      </c>
      <c r="F36" s="158" t="s">
        <v>10</v>
      </c>
      <c r="G36" s="158" t="s">
        <v>228</v>
      </c>
      <c r="H36" s="158" t="s">
        <v>17</v>
      </c>
      <c r="I36" s="157" t="s">
        <v>130</v>
      </c>
      <c r="J36" s="157" t="s">
        <v>128</v>
      </c>
      <c r="K36" s="157"/>
    </row>
    <row r="37" spans="1:11" x14ac:dyDescent="0.2">
      <c r="A37" s="156"/>
      <c r="B37" s="158" t="s">
        <v>114</v>
      </c>
      <c r="C37" s="158" t="s">
        <v>1</v>
      </c>
      <c r="D37" s="158" t="s">
        <v>177</v>
      </c>
      <c r="E37" s="158" t="s">
        <v>3</v>
      </c>
      <c r="F37" s="158" t="s">
        <v>10</v>
      </c>
      <c r="G37" s="158" t="s">
        <v>158</v>
      </c>
      <c r="H37" s="158" t="s">
        <v>17</v>
      </c>
      <c r="I37" s="157" t="s">
        <v>130</v>
      </c>
      <c r="J37" s="157" t="s">
        <v>128</v>
      </c>
      <c r="K37" s="157"/>
    </row>
    <row r="38" spans="1:11" x14ac:dyDescent="0.2">
      <c r="A38" s="156"/>
      <c r="B38" s="158" t="s">
        <v>112</v>
      </c>
      <c r="C38" s="158" t="s">
        <v>0</v>
      </c>
      <c r="D38" s="158" t="s">
        <v>177</v>
      </c>
      <c r="E38" s="158" t="s">
        <v>4</v>
      </c>
      <c r="F38" s="158" t="s">
        <v>10</v>
      </c>
      <c r="G38" s="158" t="s">
        <v>156</v>
      </c>
      <c r="H38" s="158" t="s">
        <v>7</v>
      </c>
      <c r="I38" s="157" t="s">
        <v>133</v>
      </c>
      <c r="J38" s="157"/>
      <c r="K38" s="157"/>
    </row>
    <row r="39" spans="1:11" x14ac:dyDescent="0.2">
      <c r="A39" s="156"/>
      <c r="B39" s="158" t="s">
        <v>112</v>
      </c>
      <c r="C39" s="158" t="s">
        <v>1</v>
      </c>
      <c r="D39" s="158" t="s">
        <v>177</v>
      </c>
      <c r="E39" s="158" t="s">
        <v>3</v>
      </c>
      <c r="F39" s="158" t="s">
        <v>10</v>
      </c>
      <c r="G39" s="158" t="s">
        <v>156</v>
      </c>
      <c r="H39" s="158" t="s">
        <v>7</v>
      </c>
      <c r="I39" s="158" t="s">
        <v>133</v>
      </c>
      <c r="J39" s="157"/>
      <c r="K39" s="157"/>
    </row>
    <row r="40" spans="1:11" x14ac:dyDescent="0.2">
      <c r="A40" s="156"/>
      <c r="B40" s="158" t="s">
        <v>112</v>
      </c>
      <c r="C40" s="158" t="s">
        <v>0</v>
      </c>
      <c r="D40" s="158" t="s">
        <v>177</v>
      </c>
      <c r="E40" s="158" t="s">
        <v>4</v>
      </c>
      <c r="F40" s="158" t="s">
        <v>10</v>
      </c>
      <c r="G40" s="158" t="s">
        <v>155</v>
      </c>
      <c r="H40" s="158" t="s">
        <v>7</v>
      </c>
      <c r="I40" s="158" t="s">
        <v>133</v>
      </c>
      <c r="J40" s="157" t="s">
        <v>128</v>
      </c>
      <c r="K40" s="157"/>
    </row>
    <row r="41" spans="1:11" x14ac:dyDescent="0.2">
      <c r="A41" s="156"/>
      <c r="B41" s="158" t="s">
        <v>112</v>
      </c>
      <c r="C41" s="158" t="s">
        <v>0</v>
      </c>
      <c r="D41" s="158" t="s">
        <v>177</v>
      </c>
      <c r="E41" s="158" t="s">
        <v>4</v>
      </c>
      <c r="F41" s="158" t="s">
        <v>11</v>
      </c>
      <c r="G41" s="158" t="s">
        <v>155</v>
      </c>
      <c r="H41" s="158" t="s">
        <v>7</v>
      </c>
      <c r="I41" s="158" t="s">
        <v>133</v>
      </c>
      <c r="J41" s="157" t="s">
        <v>128</v>
      </c>
      <c r="K41" s="157"/>
    </row>
    <row r="42" spans="1:11" x14ac:dyDescent="0.2">
      <c r="A42" s="156"/>
      <c r="B42" s="158" t="s">
        <v>112</v>
      </c>
      <c r="C42" s="158" t="s">
        <v>0</v>
      </c>
      <c r="D42" s="158" t="s">
        <v>177</v>
      </c>
      <c r="E42" s="158" t="s">
        <v>4</v>
      </c>
      <c r="F42" s="158" t="s">
        <v>106</v>
      </c>
      <c r="G42" s="158" t="s">
        <v>156</v>
      </c>
      <c r="H42" s="158" t="s">
        <v>7</v>
      </c>
      <c r="I42" s="158" t="s">
        <v>133</v>
      </c>
      <c r="J42" s="157"/>
      <c r="K42" s="157"/>
    </row>
    <row r="43" spans="1:11" x14ac:dyDescent="0.2">
      <c r="A43" s="156"/>
      <c r="B43" s="158" t="s">
        <v>112</v>
      </c>
      <c r="C43" s="158" t="s">
        <v>0</v>
      </c>
      <c r="D43" s="158" t="s">
        <v>177</v>
      </c>
      <c r="E43" s="158" t="s">
        <v>4</v>
      </c>
      <c r="F43" s="158" t="s">
        <v>11</v>
      </c>
      <c r="G43" s="158" t="s">
        <v>156</v>
      </c>
      <c r="H43" s="158" t="s">
        <v>7</v>
      </c>
      <c r="I43" s="158" t="s">
        <v>133</v>
      </c>
      <c r="J43" s="157"/>
      <c r="K43" s="157"/>
    </row>
    <row r="44" spans="1:11" x14ac:dyDescent="0.2">
      <c r="A44" s="156"/>
      <c r="B44" s="158" t="s">
        <v>112</v>
      </c>
      <c r="C44" s="158" t="s">
        <v>1</v>
      </c>
      <c r="D44" s="158" t="s">
        <v>177</v>
      </c>
      <c r="E44" s="158" t="s">
        <v>3</v>
      </c>
      <c r="F44" s="158" t="s">
        <v>23</v>
      </c>
      <c r="G44" s="158" t="s">
        <v>156</v>
      </c>
      <c r="H44" s="158" t="s">
        <v>7</v>
      </c>
      <c r="I44" s="158" t="s">
        <v>133</v>
      </c>
      <c r="J44" s="157"/>
      <c r="K44" s="157"/>
    </row>
    <row r="45" spans="1:11" x14ac:dyDescent="0.2">
      <c r="A45" s="156"/>
      <c r="B45" s="158" t="s">
        <v>112</v>
      </c>
      <c r="C45" s="158" t="s">
        <v>0</v>
      </c>
      <c r="D45" s="158" t="s">
        <v>177</v>
      </c>
      <c r="E45" s="158" t="s">
        <v>4</v>
      </c>
      <c r="F45" s="158" t="s">
        <v>10</v>
      </c>
      <c r="G45" s="158" t="s">
        <v>155</v>
      </c>
      <c r="H45" s="158" t="s">
        <v>7</v>
      </c>
      <c r="I45" s="158" t="s">
        <v>133</v>
      </c>
      <c r="J45" s="157" t="s">
        <v>128</v>
      </c>
      <c r="K45" s="157"/>
    </row>
    <row r="46" spans="1:11" x14ac:dyDescent="0.2">
      <c r="A46" s="156"/>
      <c r="B46" s="158" t="s">
        <v>112</v>
      </c>
      <c r="C46" s="158" t="s">
        <v>0</v>
      </c>
      <c r="D46" s="158" t="s">
        <v>177</v>
      </c>
      <c r="E46" s="158" t="s">
        <v>3</v>
      </c>
      <c r="F46" s="158" t="s">
        <v>9</v>
      </c>
      <c r="G46" s="158" t="s">
        <v>155</v>
      </c>
      <c r="H46" s="158" t="s">
        <v>7</v>
      </c>
      <c r="I46" s="158" t="s">
        <v>133</v>
      </c>
      <c r="J46" s="157" t="s">
        <v>128</v>
      </c>
      <c r="K46" s="157"/>
    </row>
    <row r="47" spans="1:11" x14ac:dyDescent="0.2">
      <c r="A47" s="156"/>
      <c r="B47" s="158" t="s">
        <v>112</v>
      </c>
      <c r="C47" s="158" t="s">
        <v>0</v>
      </c>
      <c r="D47" s="158" t="s">
        <v>2</v>
      </c>
      <c r="E47" s="158" t="s">
        <v>3</v>
      </c>
      <c r="F47" s="158" t="s">
        <v>9</v>
      </c>
      <c r="G47" s="158" t="s">
        <v>155</v>
      </c>
      <c r="H47" s="158" t="s">
        <v>17</v>
      </c>
      <c r="I47" s="158" t="s">
        <v>131</v>
      </c>
      <c r="J47" s="157" t="s">
        <v>128</v>
      </c>
      <c r="K47" s="157"/>
    </row>
    <row r="48" spans="1:11" x14ac:dyDescent="0.2">
      <c r="A48" s="156"/>
      <c r="B48" s="158" t="s">
        <v>112</v>
      </c>
      <c r="C48" s="158" t="s">
        <v>1</v>
      </c>
      <c r="D48" s="158" t="s">
        <v>2</v>
      </c>
      <c r="E48" s="158" t="s">
        <v>3</v>
      </c>
      <c r="F48" s="158" t="s">
        <v>9</v>
      </c>
      <c r="G48" s="158" t="s">
        <v>155</v>
      </c>
      <c r="H48" s="158" t="s">
        <v>17</v>
      </c>
      <c r="I48" s="157" t="s">
        <v>131</v>
      </c>
      <c r="J48" s="157"/>
      <c r="K48" s="157"/>
    </row>
    <row r="49" spans="1:11" x14ac:dyDescent="0.2">
      <c r="A49" s="156"/>
      <c r="B49" s="158" t="s">
        <v>112</v>
      </c>
      <c r="C49" s="158" t="s">
        <v>1</v>
      </c>
      <c r="D49" s="158" t="s">
        <v>2</v>
      </c>
      <c r="E49" s="158" t="s">
        <v>4</v>
      </c>
      <c r="F49" s="158" t="s">
        <v>9</v>
      </c>
      <c r="G49" s="158" t="s">
        <v>155</v>
      </c>
      <c r="H49" s="158" t="s">
        <v>17</v>
      </c>
      <c r="I49" s="157" t="s">
        <v>131</v>
      </c>
      <c r="J49" s="157"/>
      <c r="K49" s="157"/>
    </row>
    <row r="50" spans="1:11" x14ac:dyDescent="0.2">
      <c r="A50" s="156"/>
      <c r="B50" s="158" t="s">
        <v>112</v>
      </c>
      <c r="C50" s="158" t="s">
        <v>1</v>
      </c>
      <c r="D50" s="158" t="s">
        <v>2</v>
      </c>
      <c r="E50" s="158" t="s">
        <v>4</v>
      </c>
      <c r="F50" s="158" t="s">
        <v>106</v>
      </c>
      <c r="G50" s="158" t="s">
        <v>158</v>
      </c>
      <c r="H50" s="158" t="s">
        <v>17</v>
      </c>
      <c r="I50" s="157" t="s">
        <v>130</v>
      </c>
      <c r="J50" s="157"/>
      <c r="K50" s="157"/>
    </row>
    <row r="51" spans="1:11" x14ac:dyDescent="0.2">
      <c r="A51" s="156"/>
      <c r="B51" s="158" t="s">
        <v>112</v>
      </c>
      <c r="C51" s="158" t="s">
        <v>1</v>
      </c>
      <c r="D51" s="158" t="s">
        <v>177</v>
      </c>
      <c r="E51" s="158" t="s">
        <v>4</v>
      </c>
      <c r="F51" s="158" t="s">
        <v>106</v>
      </c>
      <c r="G51" s="158" t="s">
        <v>158</v>
      </c>
      <c r="H51" s="158" t="s">
        <v>17</v>
      </c>
      <c r="I51" s="157" t="s">
        <v>130</v>
      </c>
      <c r="J51" s="157"/>
      <c r="K51" s="157"/>
    </row>
    <row r="52" spans="1:11" x14ac:dyDescent="0.2">
      <c r="A52" s="156"/>
      <c r="B52" s="158"/>
      <c r="C52" s="158"/>
      <c r="D52" s="158"/>
      <c r="E52" s="158"/>
      <c r="F52" s="158"/>
      <c r="G52" s="158"/>
      <c r="H52" s="158"/>
      <c r="I52" s="157"/>
      <c r="J52" s="157"/>
      <c r="K52" s="157"/>
    </row>
    <row r="53" spans="1:11" x14ac:dyDescent="0.2">
      <c r="A53" s="156"/>
      <c r="B53" s="158"/>
      <c r="C53" s="158"/>
      <c r="D53" s="158"/>
      <c r="E53" s="158"/>
      <c r="F53" s="158"/>
      <c r="G53" s="158"/>
      <c r="H53" s="158"/>
      <c r="I53" s="157"/>
      <c r="J53" s="157"/>
      <c r="K53" s="157"/>
    </row>
    <row r="54" spans="1:11" x14ac:dyDescent="0.2">
      <c r="A54" s="156"/>
      <c r="B54" s="158"/>
      <c r="C54" s="158"/>
      <c r="D54" s="158"/>
      <c r="E54" s="158"/>
      <c r="F54" s="158"/>
      <c r="G54" s="158"/>
      <c r="H54" s="158"/>
      <c r="I54" s="157"/>
      <c r="J54" s="157"/>
      <c r="K54" s="157"/>
    </row>
    <row r="55" spans="1:11" x14ac:dyDescent="0.2">
      <c r="A55" s="156"/>
      <c r="B55" s="158"/>
      <c r="C55" s="158"/>
      <c r="D55" s="158"/>
      <c r="E55" s="158"/>
      <c r="F55" s="158"/>
      <c r="G55" s="158"/>
      <c r="H55" s="158"/>
      <c r="I55" s="157"/>
      <c r="J55" s="157"/>
      <c r="K55" s="157"/>
    </row>
    <row r="56" spans="1:11" x14ac:dyDescent="0.2">
      <c r="A56" s="156"/>
      <c r="B56" s="158"/>
      <c r="C56" s="158"/>
      <c r="D56" s="158"/>
      <c r="E56" s="158"/>
      <c r="F56" s="158"/>
      <c r="G56" s="158"/>
      <c r="H56" s="158"/>
      <c r="I56" s="157"/>
      <c r="J56" s="157"/>
      <c r="K56" s="157"/>
    </row>
    <row r="57" spans="1:11" x14ac:dyDescent="0.2">
      <c r="A57" s="156"/>
      <c r="B57" s="158"/>
      <c r="C57" s="158"/>
      <c r="D57" s="158"/>
      <c r="E57" s="158"/>
      <c r="F57" s="158"/>
      <c r="G57" s="158"/>
      <c r="H57" s="158"/>
      <c r="I57" s="157"/>
      <c r="J57" s="157"/>
      <c r="K57" s="157"/>
    </row>
    <row r="58" spans="1:11" x14ac:dyDescent="0.2">
      <c r="A58" s="156"/>
      <c r="B58" s="158"/>
      <c r="C58" s="158"/>
      <c r="D58" s="158"/>
      <c r="E58" s="158"/>
      <c r="F58" s="158"/>
      <c r="G58" s="158"/>
      <c r="H58" s="158"/>
      <c r="I58" s="157"/>
      <c r="J58" s="157"/>
      <c r="K58" s="157"/>
    </row>
    <row r="59" spans="1:11" x14ac:dyDescent="0.2">
      <c r="A59" s="156"/>
      <c r="B59" s="158"/>
      <c r="C59" s="158"/>
      <c r="D59" s="158"/>
      <c r="E59" s="158"/>
      <c r="F59" s="158"/>
      <c r="G59" s="158"/>
      <c r="H59" s="158"/>
      <c r="I59" s="157"/>
      <c r="J59" s="157"/>
      <c r="K59" s="157"/>
    </row>
    <row r="60" spans="1:11" x14ac:dyDescent="0.2">
      <c r="A60" s="156"/>
      <c r="B60" s="158"/>
      <c r="C60" s="158"/>
      <c r="D60" s="158"/>
      <c r="E60" s="158"/>
      <c r="F60" s="158"/>
      <c r="G60" s="158"/>
      <c r="H60" s="158"/>
      <c r="I60" s="157"/>
      <c r="J60" s="157"/>
      <c r="K60" s="157"/>
    </row>
    <row r="61" spans="1:11" x14ac:dyDescent="0.2">
      <c r="A61" s="156"/>
      <c r="B61" s="158"/>
      <c r="C61" s="158"/>
      <c r="D61" s="158"/>
      <c r="E61" s="158"/>
      <c r="F61" s="158"/>
      <c r="G61" s="158"/>
      <c r="H61" s="158"/>
      <c r="I61" s="157"/>
      <c r="J61" s="157"/>
      <c r="K61" s="157"/>
    </row>
    <row r="62" spans="1:11" x14ac:dyDescent="0.2">
      <c r="A62" s="156"/>
      <c r="B62" s="158"/>
      <c r="C62" s="158"/>
      <c r="D62" s="158"/>
      <c r="E62" s="158"/>
      <c r="F62" s="158"/>
      <c r="G62" s="158"/>
      <c r="H62" s="158"/>
      <c r="I62" s="157"/>
      <c r="J62" s="157"/>
      <c r="K62" s="157"/>
    </row>
    <row r="63" spans="1:11" x14ac:dyDescent="0.2">
      <c r="A63" s="156"/>
      <c r="B63" s="158"/>
      <c r="C63" s="158"/>
      <c r="D63" s="158"/>
      <c r="E63" s="158"/>
      <c r="F63" s="158"/>
      <c r="G63" s="158"/>
      <c r="H63" s="158"/>
      <c r="I63" s="157"/>
      <c r="J63" s="157"/>
      <c r="K63" s="157"/>
    </row>
    <row r="64" spans="1:11" x14ac:dyDescent="0.2">
      <c r="A64" s="156"/>
      <c r="B64" s="158"/>
      <c r="C64" s="158"/>
      <c r="D64" s="158"/>
      <c r="E64" s="158"/>
      <c r="F64" s="158"/>
      <c r="G64" s="158"/>
      <c r="H64" s="158"/>
      <c r="I64" s="157"/>
      <c r="J64" s="157"/>
      <c r="K64" s="157"/>
    </row>
    <row r="65" spans="1:11" x14ac:dyDescent="0.2">
      <c r="A65" s="156"/>
      <c r="B65" s="158"/>
      <c r="C65" s="158"/>
      <c r="D65" s="158"/>
      <c r="E65" s="157"/>
      <c r="F65" s="157"/>
      <c r="G65" s="158"/>
      <c r="H65" s="158"/>
      <c r="I65" s="157"/>
      <c r="J65" s="157"/>
      <c r="K65" s="157"/>
    </row>
    <row r="66" spans="1:11" x14ac:dyDescent="0.2">
      <c r="A66" s="156"/>
      <c r="B66" s="158"/>
      <c r="C66" s="158"/>
      <c r="D66" s="158"/>
      <c r="E66" s="157"/>
      <c r="F66" s="157"/>
      <c r="G66" s="158"/>
      <c r="H66" s="158"/>
      <c r="I66" s="157"/>
      <c r="J66" s="157"/>
      <c r="K66" s="157"/>
    </row>
    <row r="67" spans="1:11" x14ac:dyDescent="0.2">
      <c r="A67" s="156"/>
      <c r="B67" s="158"/>
      <c r="C67" s="158"/>
      <c r="D67" s="158"/>
      <c r="E67" s="157"/>
      <c r="F67" s="157"/>
      <c r="G67" s="158"/>
      <c r="H67" s="158"/>
      <c r="I67" s="157"/>
      <c r="J67" s="157"/>
      <c r="K67" s="157"/>
    </row>
    <row r="68" spans="1:11" x14ac:dyDescent="0.2">
      <c r="A68" s="156"/>
      <c r="B68" s="158"/>
      <c r="C68" s="158"/>
      <c r="D68" s="158"/>
      <c r="E68" s="157"/>
      <c r="F68" s="157"/>
      <c r="G68" s="158"/>
      <c r="H68" s="158"/>
      <c r="I68" s="157"/>
      <c r="J68" s="157"/>
      <c r="K68" s="157"/>
    </row>
    <row r="69" spans="1:11" x14ac:dyDescent="0.2">
      <c r="A69" s="156"/>
      <c r="B69" s="158"/>
      <c r="C69" s="158"/>
      <c r="D69" s="158"/>
      <c r="E69" s="157"/>
      <c r="F69" s="157"/>
      <c r="G69" s="158"/>
      <c r="H69" s="158"/>
      <c r="I69" s="157"/>
      <c r="J69" s="157"/>
      <c r="K69" s="157"/>
    </row>
    <row r="70" spans="1:11" x14ac:dyDescent="0.2">
      <c r="A70" s="156"/>
      <c r="B70" s="158"/>
      <c r="C70" s="158"/>
      <c r="D70" s="158"/>
      <c r="E70" s="157"/>
      <c r="F70" s="157"/>
      <c r="G70" s="158"/>
      <c r="H70" s="158"/>
      <c r="I70" s="157"/>
      <c r="J70" s="157"/>
      <c r="K70" s="157"/>
    </row>
    <row r="71" spans="1:11" x14ac:dyDescent="0.2">
      <c r="A71" s="156"/>
      <c r="B71" s="158"/>
      <c r="C71" s="158"/>
      <c r="D71" s="158"/>
      <c r="E71" s="157"/>
      <c r="F71" s="157"/>
      <c r="G71" s="158"/>
      <c r="H71" s="158"/>
      <c r="I71" s="157"/>
      <c r="J71" s="157"/>
      <c r="K71" s="157"/>
    </row>
    <row r="72" spans="1:11" x14ac:dyDescent="0.2">
      <c r="A72" s="156"/>
      <c r="B72" s="158"/>
      <c r="C72" s="158"/>
      <c r="D72" s="158"/>
      <c r="E72" s="157"/>
      <c r="F72" s="157"/>
      <c r="G72" s="158"/>
      <c r="H72" s="158"/>
      <c r="I72" s="157"/>
      <c r="J72" s="157"/>
      <c r="K72" s="157"/>
    </row>
    <row r="73" spans="1:11" x14ac:dyDescent="0.2">
      <c r="A73" s="156"/>
      <c r="B73" s="158"/>
      <c r="C73" s="158"/>
      <c r="D73" s="158"/>
      <c r="E73" s="157"/>
      <c r="F73" s="157"/>
      <c r="G73" s="158"/>
      <c r="H73" s="158"/>
      <c r="I73" s="157"/>
      <c r="J73" s="157"/>
      <c r="K73" s="157"/>
    </row>
    <row r="74" spans="1:11" x14ac:dyDescent="0.2">
      <c r="A74" s="156"/>
      <c r="B74" s="158"/>
      <c r="C74" s="158"/>
      <c r="D74" s="158"/>
      <c r="E74" s="157"/>
      <c r="F74" s="157"/>
      <c r="G74" s="158"/>
      <c r="H74" s="158"/>
      <c r="I74" s="157"/>
      <c r="J74" s="157"/>
      <c r="K74" s="157"/>
    </row>
    <row r="75" spans="1:11" x14ac:dyDescent="0.2">
      <c r="A75" s="156"/>
      <c r="B75" s="158"/>
      <c r="C75" s="158"/>
      <c r="D75" s="158"/>
      <c r="E75" s="157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B3:B4"/>
    <mergeCell ref="C3:C4"/>
    <mergeCell ref="D3:D4"/>
    <mergeCell ref="E3:E4"/>
    <mergeCell ref="F3:F4"/>
    <mergeCell ref="G3:G4"/>
  </mergeCells>
  <dataValidations count="8"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I5:K254">
      <formula1>ValidProgramme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workbookViewId="0">
      <selection activeCell="K33" sqref="K33"/>
    </sheetView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 t="s">
        <v>113</v>
      </c>
      <c r="C5" s="157" t="s">
        <v>0</v>
      </c>
      <c r="D5" s="157" t="s">
        <v>2</v>
      </c>
      <c r="E5" s="157" t="s">
        <v>4</v>
      </c>
      <c r="F5" s="157" t="s">
        <v>10</v>
      </c>
      <c r="G5" s="157" t="s">
        <v>155</v>
      </c>
      <c r="H5" s="157" t="s">
        <v>159</v>
      </c>
      <c r="I5" s="157"/>
      <c r="J5" s="157"/>
      <c r="K5" s="157"/>
    </row>
    <row r="6" spans="1:11" x14ac:dyDescent="0.2">
      <c r="A6" s="156"/>
      <c r="B6" s="158" t="s">
        <v>113</v>
      </c>
      <c r="C6" s="157" t="s">
        <v>1</v>
      </c>
      <c r="D6" s="158" t="s">
        <v>2</v>
      </c>
      <c r="E6" s="158" t="s">
        <v>4</v>
      </c>
      <c r="F6" s="158" t="s">
        <v>10</v>
      </c>
      <c r="G6" s="158" t="s">
        <v>155</v>
      </c>
      <c r="H6" s="158" t="s">
        <v>159</v>
      </c>
      <c r="I6" s="157"/>
      <c r="J6" s="157"/>
      <c r="K6" s="157"/>
    </row>
    <row r="7" spans="1:11" x14ac:dyDescent="0.2">
      <c r="A7" s="156"/>
      <c r="B7" s="158" t="s">
        <v>113</v>
      </c>
      <c r="C7" s="158" t="s">
        <v>0</v>
      </c>
      <c r="D7" s="157" t="s">
        <v>177</v>
      </c>
      <c r="E7" s="158" t="s">
        <v>4</v>
      </c>
      <c r="F7" s="158" t="s">
        <v>10</v>
      </c>
      <c r="G7" s="158" t="s">
        <v>228</v>
      </c>
      <c r="H7" s="158" t="s">
        <v>159</v>
      </c>
      <c r="I7" s="157"/>
      <c r="J7" s="157"/>
      <c r="K7" s="157"/>
    </row>
    <row r="8" spans="1:11" x14ac:dyDescent="0.2">
      <c r="A8" s="156"/>
      <c r="B8" s="158" t="s">
        <v>113</v>
      </c>
      <c r="C8" s="158" t="s">
        <v>1</v>
      </c>
      <c r="D8" s="158" t="s">
        <v>177</v>
      </c>
      <c r="E8" s="157" t="s">
        <v>3</v>
      </c>
      <c r="F8" s="158" t="s">
        <v>10</v>
      </c>
      <c r="G8" s="158" t="s">
        <v>228</v>
      </c>
      <c r="H8" s="158" t="s">
        <v>159</v>
      </c>
      <c r="I8" s="157"/>
      <c r="J8" s="157"/>
      <c r="K8" s="157"/>
    </row>
    <row r="9" spans="1:11" x14ac:dyDescent="0.2">
      <c r="A9" s="156"/>
      <c r="B9" s="158" t="s">
        <v>113</v>
      </c>
      <c r="C9" s="158" t="s">
        <v>0</v>
      </c>
      <c r="D9" s="158" t="s">
        <v>177</v>
      </c>
      <c r="E9" s="158" t="s">
        <v>3</v>
      </c>
      <c r="F9" s="157" t="s">
        <v>56</v>
      </c>
      <c r="G9" s="158" t="s">
        <v>228</v>
      </c>
      <c r="H9" s="158" t="s">
        <v>159</v>
      </c>
      <c r="I9" s="157"/>
      <c r="J9" s="157"/>
      <c r="K9" s="157"/>
    </row>
    <row r="10" spans="1:11" x14ac:dyDescent="0.2">
      <c r="A10" s="156"/>
      <c r="B10" s="158" t="s">
        <v>114</v>
      </c>
      <c r="C10" s="158" t="s">
        <v>0</v>
      </c>
      <c r="D10" s="158" t="s">
        <v>177</v>
      </c>
      <c r="E10" s="158" t="s">
        <v>3</v>
      </c>
      <c r="F10" s="158" t="s">
        <v>13</v>
      </c>
      <c r="G10" s="157" t="s">
        <v>156</v>
      </c>
      <c r="H10" s="158" t="s">
        <v>17</v>
      </c>
      <c r="I10" s="157" t="s">
        <v>132</v>
      </c>
      <c r="J10" s="157"/>
      <c r="K10" s="157"/>
    </row>
    <row r="11" spans="1:11" x14ac:dyDescent="0.2">
      <c r="A11" s="156"/>
      <c r="B11" s="158" t="s">
        <v>114</v>
      </c>
      <c r="C11" s="158" t="s">
        <v>1</v>
      </c>
      <c r="D11" s="158" t="s">
        <v>177</v>
      </c>
      <c r="E11" s="158" t="s">
        <v>4</v>
      </c>
      <c r="F11" s="158" t="s">
        <v>13</v>
      </c>
      <c r="G11" s="158" t="s">
        <v>156</v>
      </c>
      <c r="H11" s="158" t="s">
        <v>17</v>
      </c>
      <c r="I11" s="158" t="s">
        <v>132</v>
      </c>
      <c r="J11" s="157"/>
      <c r="K11" s="157"/>
    </row>
    <row r="12" spans="1:11" x14ac:dyDescent="0.2">
      <c r="A12" s="156"/>
      <c r="B12" s="158" t="s">
        <v>113</v>
      </c>
      <c r="C12" s="158" t="s">
        <v>0</v>
      </c>
      <c r="D12" s="158" t="s">
        <v>2</v>
      </c>
      <c r="E12" s="158" t="s">
        <v>4</v>
      </c>
      <c r="F12" s="158" t="s">
        <v>10</v>
      </c>
      <c r="G12" s="158" t="s">
        <v>156</v>
      </c>
      <c r="H12" s="158" t="s">
        <v>159</v>
      </c>
      <c r="I12" s="157"/>
      <c r="J12" s="157"/>
      <c r="K12" s="157"/>
    </row>
    <row r="13" spans="1:11" x14ac:dyDescent="0.2">
      <c r="A13" s="156"/>
      <c r="B13" s="158" t="s">
        <v>113</v>
      </c>
      <c r="C13" s="158" t="s">
        <v>1</v>
      </c>
      <c r="D13" s="158" t="s">
        <v>2</v>
      </c>
      <c r="E13" s="158" t="s">
        <v>3</v>
      </c>
      <c r="F13" s="158" t="s">
        <v>10</v>
      </c>
      <c r="G13" s="158" t="s">
        <v>156</v>
      </c>
      <c r="H13" s="158" t="s">
        <v>159</v>
      </c>
      <c r="I13" s="157"/>
      <c r="J13" s="157"/>
      <c r="K13" s="157"/>
    </row>
    <row r="14" spans="1:11" x14ac:dyDescent="0.2">
      <c r="A14" s="156"/>
      <c r="B14" s="158" t="s">
        <v>113</v>
      </c>
      <c r="C14" s="158" t="s">
        <v>0</v>
      </c>
      <c r="D14" s="158" t="s">
        <v>177</v>
      </c>
      <c r="E14" s="158" t="s">
        <v>4</v>
      </c>
      <c r="F14" s="157" t="s">
        <v>11</v>
      </c>
      <c r="G14" s="158" t="s">
        <v>228</v>
      </c>
      <c r="H14" s="158" t="s">
        <v>17</v>
      </c>
      <c r="I14" s="158" t="s">
        <v>130</v>
      </c>
      <c r="J14" s="158"/>
      <c r="K14" s="158"/>
    </row>
    <row r="15" spans="1:11" x14ac:dyDescent="0.2">
      <c r="A15" s="156"/>
      <c r="B15" s="158" t="s">
        <v>113</v>
      </c>
      <c r="C15" s="158" t="s">
        <v>0</v>
      </c>
      <c r="D15" s="158" t="s">
        <v>177</v>
      </c>
      <c r="E15" s="158" t="s">
        <v>4</v>
      </c>
      <c r="F15" s="157" t="s">
        <v>23</v>
      </c>
      <c r="G15" s="158" t="s">
        <v>155</v>
      </c>
      <c r="H15" s="158" t="s">
        <v>17</v>
      </c>
      <c r="I15" s="158" t="s">
        <v>132</v>
      </c>
      <c r="J15" s="158"/>
      <c r="K15" s="158"/>
    </row>
    <row r="16" spans="1:11" x14ac:dyDescent="0.2">
      <c r="A16" s="156"/>
      <c r="B16" s="158" t="s">
        <v>113</v>
      </c>
      <c r="C16" s="158" t="s">
        <v>1</v>
      </c>
      <c r="D16" s="158" t="s">
        <v>177</v>
      </c>
      <c r="E16" s="158" t="s">
        <v>3</v>
      </c>
      <c r="F16" s="158" t="s">
        <v>23</v>
      </c>
      <c r="G16" s="158" t="s">
        <v>155</v>
      </c>
      <c r="H16" s="158" t="s">
        <v>17</v>
      </c>
      <c r="I16" s="158" t="s">
        <v>132</v>
      </c>
      <c r="J16" s="158"/>
      <c r="K16" s="158"/>
    </row>
    <row r="17" spans="1:11" x14ac:dyDescent="0.2">
      <c r="A17" s="156"/>
      <c r="B17" s="158" t="s">
        <v>113</v>
      </c>
      <c r="C17" s="158" t="s">
        <v>0</v>
      </c>
      <c r="D17" s="158" t="s">
        <v>2</v>
      </c>
      <c r="E17" s="158" t="s">
        <v>4</v>
      </c>
      <c r="F17" s="158" t="s">
        <v>13</v>
      </c>
      <c r="G17" s="158" t="s">
        <v>156</v>
      </c>
      <c r="H17" s="158" t="s">
        <v>159</v>
      </c>
      <c r="I17" s="157"/>
      <c r="J17" s="157"/>
      <c r="K17" s="157"/>
    </row>
    <row r="18" spans="1:11" x14ac:dyDescent="0.2">
      <c r="A18" s="156"/>
      <c r="B18" s="158" t="s">
        <v>113</v>
      </c>
      <c r="C18" s="158" t="s">
        <v>1</v>
      </c>
      <c r="D18" s="158" t="s">
        <v>2</v>
      </c>
      <c r="E18" s="158" t="s">
        <v>4</v>
      </c>
      <c r="F18" s="158" t="s">
        <v>13</v>
      </c>
      <c r="G18" s="158" t="s">
        <v>156</v>
      </c>
      <c r="H18" s="158" t="s">
        <v>159</v>
      </c>
      <c r="I18" s="158"/>
      <c r="J18" s="158"/>
      <c r="K18" s="158"/>
    </row>
    <row r="19" spans="1:11" x14ac:dyDescent="0.2">
      <c r="A19" s="156"/>
      <c r="B19" s="158" t="s">
        <v>113</v>
      </c>
      <c r="C19" s="158" t="s">
        <v>0</v>
      </c>
      <c r="D19" s="158" t="s">
        <v>177</v>
      </c>
      <c r="E19" s="158" t="s">
        <v>4</v>
      </c>
      <c r="F19" s="158" t="s">
        <v>10</v>
      </c>
      <c r="G19" s="158" t="s">
        <v>155</v>
      </c>
      <c r="H19" s="158" t="s">
        <v>18</v>
      </c>
      <c r="I19" s="157"/>
      <c r="J19" s="157"/>
      <c r="K19" s="157"/>
    </row>
    <row r="20" spans="1:11" x14ac:dyDescent="0.2">
      <c r="A20" s="156"/>
      <c r="B20" s="158" t="s">
        <v>113</v>
      </c>
      <c r="C20" s="158" t="s">
        <v>1</v>
      </c>
      <c r="D20" s="158" t="s">
        <v>177</v>
      </c>
      <c r="E20" s="158" t="s">
        <v>3</v>
      </c>
      <c r="F20" s="158" t="s">
        <v>56</v>
      </c>
      <c r="G20" s="158" t="s">
        <v>228</v>
      </c>
      <c r="H20" s="158" t="s">
        <v>159</v>
      </c>
      <c r="I20" s="158"/>
      <c r="J20" s="158"/>
      <c r="K20" s="158"/>
    </row>
    <row r="21" spans="1:11" x14ac:dyDescent="0.2">
      <c r="A21" s="156"/>
      <c r="B21" s="158" t="s">
        <v>114</v>
      </c>
      <c r="C21" s="158" t="s">
        <v>0</v>
      </c>
      <c r="D21" s="158" t="s">
        <v>177</v>
      </c>
      <c r="E21" s="158" t="s">
        <v>3</v>
      </c>
      <c r="F21" s="157" t="s">
        <v>12</v>
      </c>
      <c r="G21" s="158" t="s">
        <v>155</v>
      </c>
      <c r="H21" s="158" t="s">
        <v>7</v>
      </c>
      <c r="I21" s="158" t="s">
        <v>251</v>
      </c>
      <c r="J21" s="158"/>
      <c r="K21" s="158"/>
    </row>
    <row r="22" spans="1:11" x14ac:dyDescent="0.2">
      <c r="A22" s="156"/>
      <c r="B22" s="158" t="s">
        <v>114</v>
      </c>
      <c r="C22" s="158" t="s">
        <v>0</v>
      </c>
      <c r="D22" s="158" t="s">
        <v>177</v>
      </c>
      <c r="E22" s="158" t="s">
        <v>4</v>
      </c>
      <c r="F22" s="158" t="s">
        <v>10</v>
      </c>
      <c r="G22" s="158" t="s">
        <v>228</v>
      </c>
      <c r="H22" s="158" t="s">
        <v>7</v>
      </c>
      <c r="I22" s="158" t="s">
        <v>251</v>
      </c>
      <c r="J22" s="158"/>
      <c r="K22" s="158"/>
    </row>
    <row r="23" spans="1:11" x14ac:dyDescent="0.2">
      <c r="A23" s="156"/>
      <c r="B23" s="158" t="s">
        <v>114</v>
      </c>
      <c r="C23" s="158" t="s">
        <v>0</v>
      </c>
      <c r="D23" s="158" t="s">
        <v>177</v>
      </c>
      <c r="E23" s="158" t="s">
        <v>4</v>
      </c>
      <c r="F23" s="158" t="s">
        <v>10</v>
      </c>
      <c r="G23" s="158" t="s">
        <v>228</v>
      </c>
      <c r="H23" s="158" t="s">
        <v>7</v>
      </c>
      <c r="I23" s="158" t="s">
        <v>251</v>
      </c>
      <c r="J23" s="157"/>
      <c r="K23" s="157"/>
    </row>
    <row r="24" spans="1:11" x14ac:dyDescent="0.2">
      <c r="A24" s="156"/>
      <c r="B24" s="158" t="s">
        <v>114</v>
      </c>
      <c r="C24" s="158" t="s">
        <v>1</v>
      </c>
      <c r="D24" s="158" t="s">
        <v>177</v>
      </c>
      <c r="E24" s="158" t="s">
        <v>4</v>
      </c>
      <c r="F24" s="157" t="s">
        <v>106</v>
      </c>
      <c r="G24" s="158" t="s">
        <v>156</v>
      </c>
      <c r="H24" s="158" t="s">
        <v>7</v>
      </c>
      <c r="I24" s="158" t="s">
        <v>251</v>
      </c>
      <c r="J24" s="158"/>
      <c r="K24" s="158"/>
    </row>
    <row r="25" spans="1:11" x14ac:dyDescent="0.2">
      <c r="A25" s="156"/>
      <c r="B25" s="158" t="s">
        <v>114</v>
      </c>
      <c r="C25" s="158" t="s">
        <v>0</v>
      </c>
      <c r="D25" s="158" t="s">
        <v>177</v>
      </c>
      <c r="E25" s="158" t="s">
        <v>4</v>
      </c>
      <c r="F25" s="158" t="s">
        <v>106</v>
      </c>
      <c r="G25" s="158" t="s">
        <v>156</v>
      </c>
      <c r="H25" s="158" t="s">
        <v>7</v>
      </c>
      <c r="I25" s="158" t="s">
        <v>251</v>
      </c>
      <c r="J25" s="157"/>
      <c r="K25" s="157"/>
    </row>
    <row r="26" spans="1:11" x14ac:dyDescent="0.2">
      <c r="A26" s="156"/>
      <c r="B26" s="158" t="s">
        <v>114</v>
      </c>
      <c r="C26" s="158" t="s">
        <v>0</v>
      </c>
      <c r="D26" s="158" t="s">
        <v>177</v>
      </c>
      <c r="E26" s="158" t="s">
        <v>4</v>
      </c>
      <c r="F26" s="158" t="s">
        <v>10</v>
      </c>
      <c r="G26" s="158" t="s">
        <v>155</v>
      </c>
      <c r="H26" s="158" t="s">
        <v>7</v>
      </c>
      <c r="I26" s="158" t="s">
        <v>251</v>
      </c>
      <c r="J26" s="157"/>
      <c r="K26" s="157"/>
    </row>
    <row r="27" spans="1:11" x14ac:dyDescent="0.2">
      <c r="A27" s="156"/>
      <c r="B27" s="158" t="s">
        <v>114</v>
      </c>
      <c r="C27" s="158" t="s">
        <v>1</v>
      </c>
      <c r="D27" s="158" t="s">
        <v>2</v>
      </c>
      <c r="E27" s="158" t="s">
        <v>4</v>
      </c>
      <c r="F27" s="157" t="s">
        <v>15</v>
      </c>
      <c r="G27" s="158" t="s">
        <v>158</v>
      </c>
      <c r="H27" s="158" t="s">
        <v>17</v>
      </c>
      <c r="I27" s="157" t="s">
        <v>130</v>
      </c>
      <c r="J27" s="157"/>
      <c r="K27" s="157"/>
    </row>
    <row r="28" spans="1:11" x14ac:dyDescent="0.2">
      <c r="A28" s="156"/>
      <c r="B28" s="158" t="s">
        <v>114</v>
      </c>
      <c r="C28" s="158" t="s">
        <v>0</v>
      </c>
      <c r="D28" s="158" t="s">
        <v>177</v>
      </c>
      <c r="E28" s="158" t="s">
        <v>4</v>
      </c>
      <c r="F28" s="158" t="s">
        <v>10</v>
      </c>
      <c r="G28" s="158" t="s">
        <v>228</v>
      </c>
      <c r="H28" s="158" t="s">
        <v>17</v>
      </c>
      <c r="I28" s="157" t="s">
        <v>130</v>
      </c>
      <c r="J28" s="157"/>
      <c r="K28" s="157"/>
    </row>
    <row r="29" spans="1:11" x14ac:dyDescent="0.2">
      <c r="A29" s="156"/>
      <c r="B29" s="158" t="s">
        <v>114</v>
      </c>
      <c r="C29" s="158" t="s">
        <v>0</v>
      </c>
      <c r="D29" s="158" t="s">
        <v>177</v>
      </c>
      <c r="E29" s="158" t="s">
        <v>3</v>
      </c>
      <c r="F29" s="158" t="s">
        <v>15</v>
      </c>
      <c r="G29" s="158" t="s">
        <v>156</v>
      </c>
      <c r="H29" s="158" t="s">
        <v>17</v>
      </c>
      <c r="I29" s="157" t="s">
        <v>130</v>
      </c>
      <c r="J29" s="157"/>
      <c r="K29" s="157"/>
    </row>
    <row r="30" spans="1:11" x14ac:dyDescent="0.2">
      <c r="A30" s="156"/>
      <c r="B30" s="158" t="s">
        <v>114</v>
      </c>
      <c r="C30" s="158" t="s">
        <v>0</v>
      </c>
      <c r="D30" s="158" t="s">
        <v>177</v>
      </c>
      <c r="E30" s="158" t="s">
        <v>4</v>
      </c>
      <c r="F30" s="158" t="s">
        <v>10</v>
      </c>
      <c r="G30" s="158" t="s">
        <v>228</v>
      </c>
      <c r="H30" s="158" t="s">
        <v>17</v>
      </c>
      <c r="I30" s="157" t="s">
        <v>130</v>
      </c>
      <c r="J30" s="157"/>
      <c r="K30" s="157"/>
    </row>
    <row r="31" spans="1:11" x14ac:dyDescent="0.2">
      <c r="A31" s="156"/>
      <c r="B31" s="158" t="s">
        <v>114</v>
      </c>
      <c r="C31" s="158" t="s">
        <v>1</v>
      </c>
      <c r="D31" s="158" t="s">
        <v>177</v>
      </c>
      <c r="E31" s="158" t="s">
        <v>4</v>
      </c>
      <c r="F31" s="158" t="s">
        <v>10</v>
      </c>
      <c r="G31" s="158" t="s">
        <v>158</v>
      </c>
      <c r="H31" s="158" t="s">
        <v>17</v>
      </c>
      <c r="I31" s="157" t="s">
        <v>130</v>
      </c>
      <c r="J31" s="157"/>
      <c r="K31" s="157"/>
    </row>
    <row r="32" spans="1:11" x14ac:dyDescent="0.2">
      <c r="A32" s="156"/>
      <c r="B32" s="158" t="s">
        <v>114</v>
      </c>
      <c r="C32" s="158" t="s">
        <v>1</v>
      </c>
      <c r="D32" s="158" t="s">
        <v>177</v>
      </c>
      <c r="E32" s="158" t="s">
        <v>3</v>
      </c>
      <c r="F32" s="158" t="s">
        <v>23</v>
      </c>
      <c r="G32" s="158" t="s">
        <v>158</v>
      </c>
      <c r="H32" s="158" t="s">
        <v>17</v>
      </c>
      <c r="I32" s="157" t="s">
        <v>130</v>
      </c>
      <c r="J32" s="157"/>
      <c r="K32" s="157"/>
    </row>
    <row r="33" spans="1:11" x14ac:dyDescent="0.2">
      <c r="A33" s="156"/>
      <c r="B33" s="158" t="s">
        <v>114</v>
      </c>
      <c r="C33" s="158" t="s">
        <v>0</v>
      </c>
      <c r="D33" s="158" t="s">
        <v>2</v>
      </c>
      <c r="E33" s="158" t="s">
        <v>3</v>
      </c>
      <c r="F33" s="158" t="s">
        <v>106</v>
      </c>
      <c r="G33" s="158" t="s">
        <v>158</v>
      </c>
      <c r="H33" s="158" t="s">
        <v>17</v>
      </c>
      <c r="I33" s="157" t="s">
        <v>130</v>
      </c>
      <c r="J33" s="157"/>
      <c r="K33" s="157"/>
    </row>
    <row r="34" spans="1:11" x14ac:dyDescent="0.2">
      <c r="A34" s="156"/>
      <c r="B34" s="158" t="s">
        <v>114</v>
      </c>
      <c r="C34" s="158" t="s">
        <v>1</v>
      </c>
      <c r="D34" s="158" t="s">
        <v>2</v>
      </c>
      <c r="E34" s="158" t="s">
        <v>4</v>
      </c>
      <c r="F34" s="158" t="s">
        <v>106</v>
      </c>
      <c r="G34" s="158" t="s">
        <v>155</v>
      </c>
      <c r="H34" s="158" t="s">
        <v>17</v>
      </c>
      <c r="I34" s="157" t="s">
        <v>131</v>
      </c>
      <c r="J34" s="157"/>
      <c r="K34" s="157"/>
    </row>
    <row r="35" spans="1:11" x14ac:dyDescent="0.2">
      <c r="A35" s="156"/>
      <c r="B35" s="158" t="s">
        <v>113</v>
      </c>
      <c r="C35" s="158" t="s">
        <v>0</v>
      </c>
      <c r="D35" s="158" t="s">
        <v>2</v>
      </c>
      <c r="E35" s="158" t="s">
        <v>4</v>
      </c>
      <c r="F35" s="158" t="s">
        <v>10</v>
      </c>
      <c r="G35" s="158" t="s">
        <v>156</v>
      </c>
      <c r="H35" s="158" t="s">
        <v>159</v>
      </c>
      <c r="I35" s="157"/>
      <c r="J35" s="157"/>
      <c r="K35" s="157"/>
    </row>
    <row r="36" spans="1:11" x14ac:dyDescent="0.2">
      <c r="A36" s="156"/>
      <c r="B36" s="158" t="s">
        <v>113</v>
      </c>
      <c r="C36" s="158" t="s">
        <v>1</v>
      </c>
      <c r="D36" s="158" t="s">
        <v>2</v>
      </c>
      <c r="E36" s="158" t="s">
        <v>3</v>
      </c>
      <c r="F36" s="158" t="s">
        <v>10</v>
      </c>
      <c r="G36" s="158" t="s">
        <v>156</v>
      </c>
      <c r="H36" s="158" t="s">
        <v>159</v>
      </c>
      <c r="I36" s="157"/>
      <c r="J36" s="157"/>
      <c r="K36" s="157"/>
    </row>
    <row r="37" spans="1:11" x14ac:dyDescent="0.2">
      <c r="A37" s="156"/>
      <c r="B37" s="158" t="s">
        <v>113</v>
      </c>
      <c r="C37" s="158" t="s">
        <v>0</v>
      </c>
      <c r="D37" s="158" t="s">
        <v>177</v>
      </c>
      <c r="E37" s="158" t="s">
        <v>4</v>
      </c>
      <c r="F37" s="157" t="s">
        <v>153</v>
      </c>
      <c r="G37" s="158" t="s">
        <v>156</v>
      </c>
      <c r="H37" s="158" t="s">
        <v>159</v>
      </c>
      <c r="I37" s="157"/>
      <c r="J37" s="157"/>
      <c r="K37" s="157"/>
    </row>
    <row r="38" spans="1:11" x14ac:dyDescent="0.2">
      <c r="A38" s="156"/>
      <c r="B38" s="158" t="s">
        <v>113</v>
      </c>
      <c r="C38" s="158" t="s">
        <v>1</v>
      </c>
      <c r="D38" s="158" t="s">
        <v>2</v>
      </c>
      <c r="E38" s="158" t="s">
        <v>4</v>
      </c>
      <c r="F38" s="158" t="s">
        <v>153</v>
      </c>
      <c r="G38" s="158" t="s">
        <v>156</v>
      </c>
      <c r="H38" s="158" t="s">
        <v>159</v>
      </c>
      <c r="I38" s="157"/>
      <c r="J38" s="157"/>
      <c r="K38" s="157"/>
    </row>
    <row r="39" spans="1:11" x14ac:dyDescent="0.2">
      <c r="A39" s="156"/>
      <c r="B39" s="158" t="s">
        <v>113</v>
      </c>
      <c r="C39" s="157" t="s">
        <v>202</v>
      </c>
      <c r="D39" s="157"/>
      <c r="E39" s="158" t="s">
        <v>4</v>
      </c>
      <c r="F39" s="157"/>
      <c r="G39" s="158"/>
      <c r="H39" s="158"/>
      <c r="I39" s="157"/>
      <c r="J39" s="157"/>
      <c r="K39" s="157"/>
    </row>
    <row r="40" spans="1:11" x14ac:dyDescent="0.2">
      <c r="A40" s="156"/>
      <c r="B40" s="158" t="s">
        <v>113</v>
      </c>
      <c r="C40" s="158" t="s">
        <v>0</v>
      </c>
      <c r="D40" s="158" t="s">
        <v>177</v>
      </c>
      <c r="E40" s="158" t="s">
        <v>3</v>
      </c>
      <c r="F40" s="158" t="s">
        <v>56</v>
      </c>
      <c r="G40" s="158" t="s">
        <v>228</v>
      </c>
      <c r="H40" s="158" t="s">
        <v>159</v>
      </c>
      <c r="I40" s="157"/>
      <c r="J40" s="157"/>
      <c r="K40" s="157"/>
    </row>
    <row r="41" spans="1:11" x14ac:dyDescent="0.2">
      <c r="A41" s="156"/>
      <c r="B41" s="158" t="s">
        <v>113</v>
      </c>
      <c r="C41" s="158" t="s">
        <v>1</v>
      </c>
      <c r="D41" s="158" t="s">
        <v>2</v>
      </c>
      <c r="E41" s="158" t="s">
        <v>4</v>
      </c>
      <c r="F41" s="158" t="s">
        <v>56</v>
      </c>
      <c r="G41" s="158" t="s">
        <v>228</v>
      </c>
      <c r="H41" s="158" t="s">
        <v>17</v>
      </c>
      <c r="I41" s="157" t="s">
        <v>130</v>
      </c>
      <c r="J41" s="157"/>
      <c r="K41" s="157"/>
    </row>
    <row r="42" spans="1:11" x14ac:dyDescent="0.2">
      <c r="A42" s="156"/>
      <c r="B42" s="158" t="s">
        <v>113</v>
      </c>
      <c r="C42" s="158" t="s">
        <v>1</v>
      </c>
      <c r="D42" s="158" t="s">
        <v>177</v>
      </c>
      <c r="E42" s="158" t="s">
        <v>4</v>
      </c>
      <c r="F42" s="158" t="s">
        <v>153</v>
      </c>
      <c r="G42" s="158" t="s">
        <v>156</v>
      </c>
      <c r="H42" s="158" t="s">
        <v>17</v>
      </c>
      <c r="I42" s="157" t="s">
        <v>130</v>
      </c>
      <c r="J42" s="157"/>
      <c r="K42" s="157"/>
    </row>
    <row r="43" spans="1:11" x14ac:dyDescent="0.2">
      <c r="A43" s="156"/>
      <c r="B43" s="158" t="s">
        <v>113</v>
      </c>
      <c r="C43" s="158" t="s">
        <v>0</v>
      </c>
      <c r="D43" s="158" t="s">
        <v>177</v>
      </c>
      <c r="E43" s="158" t="s">
        <v>4</v>
      </c>
      <c r="F43" s="158" t="s">
        <v>11</v>
      </c>
      <c r="G43" s="158" t="s">
        <v>228</v>
      </c>
      <c r="H43" s="158" t="s">
        <v>17</v>
      </c>
      <c r="I43" s="157" t="s">
        <v>130</v>
      </c>
      <c r="J43" s="157"/>
      <c r="K43" s="157"/>
    </row>
    <row r="44" spans="1:11" x14ac:dyDescent="0.2">
      <c r="A44" s="156"/>
      <c r="B44" s="158" t="s">
        <v>113</v>
      </c>
      <c r="C44" s="158" t="s">
        <v>0</v>
      </c>
      <c r="D44" s="158" t="s">
        <v>2</v>
      </c>
      <c r="E44" s="158" t="s">
        <v>3</v>
      </c>
      <c r="F44" s="158" t="s">
        <v>13</v>
      </c>
      <c r="G44" s="158" t="s">
        <v>155</v>
      </c>
      <c r="H44" s="158" t="s">
        <v>159</v>
      </c>
      <c r="I44" s="157"/>
      <c r="J44" s="157"/>
      <c r="K44" s="157"/>
    </row>
    <row r="45" spans="1:11" x14ac:dyDescent="0.2">
      <c r="A45" s="156"/>
      <c r="B45" s="158" t="s">
        <v>113</v>
      </c>
      <c r="C45" s="158" t="s">
        <v>1</v>
      </c>
      <c r="D45" s="158" t="s">
        <v>2</v>
      </c>
      <c r="E45" s="158" t="s">
        <v>4</v>
      </c>
      <c r="F45" s="158" t="s">
        <v>13</v>
      </c>
      <c r="G45" s="158" t="s">
        <v>155</v>
      </c>
      <c r="H45" s="158" t="s">
        <v>159</v>
      </c>
      <c r="I45" s="157"/>
      <c r="J45" s="157"/>
      <c r="K45" s="157"/>
    </row>
    <row r="46" spans="1:11" x14ac:dyDescent="0.2">
      <c r="A46" s="156"/>
      <c r="B46" s="158" t="s">
        <v>113</v>
      </c>
      <c r="C46" s="158" t="s">
        <v>0</v>
      </c>
      <c r="D46" s="158" t="s">
        <v>177</v>
      </c>
      <c r="E46" s="158" t="s">
        <v>4</v>
      </c>
      <c r="F46" s="158" t="s">
        <v>10</v>
      </c>
      <c r="G46" s="158" t="s">
        <v>156</v>
      </c>
      <c r="H46" s="158" t="s">
        <v>159</v>
      </c>
      <c r="I46" s="157"/>
      <c r="J46" s="157"/>
      <c r="K46" s="157"/>
    </row>
    <row r="47" spans="1:11" x14ac:dyDescent="0.2">
      <c r="A47" s="156"/>
      <c r="B47" s="158" t="s">
        <v>113</v>
      </c>
      <c r="C47" s="158" t="s">
        <v>0</v>
      </c>
      <c r="D47" s="158" t="s">
        <v>2</v>
      </c>
      <c r="E47" s="158" t="s">
        <v>3</v>
      </c>
      <c r="F47" s="158" t="s">
        <v>153</v>
      </c>
      <c r="G47" s="158" t="s">
        <v>155</v>
      </c>
      <c r="H47" s="158" t="s">
        <v>159</v>
      </c>
      <c r="I47" s="157"/>
      <c r="J47" s="157"/>
      <c r="K47" s="157"/>
    </row>
    <row r="48" spans="1:11" x14ac:dyDescent="0.2">
      <c r="A48" s="156"/>
      <c r="B48" s="158"/>
      <c r="C48" s="157"/>
      <c r="D48" s="157"/>
      <c r="E48" s="157"/>
      <c r="F48" s="157"/>
      <c r="G48" s="158"/>
      <c r="H48" s="158"/>
      <c r="I48" s="157"/>
      <c r="J48" s="157"/>
      <c r="K48" s="157"/>
    </row>
    <row r="49" spans="1:11" x14ac:dyDescent="0.2">
      <c r="A49" s="156"/>
      <c r="B49" s="157"/>
      <c r="C49" s="157"/>
      <c r="D49" s="157"/>
      <c r="E49" s="157"/>
      <c r="F49" s="157"/>
      <c r="G49" s="157"/>
      <c r="H49" s="158"/>
      <c r="I49" s="157"/>
      <c r="J49" s="157"/>
      <c r="K49" s="157"/>
    </row>
    <row r="50" spans="1:11" x14ac:dyDescent="0.2">
      <c r="A50" s="156"/>
      <c r="B50" s="157"/>
      <c r="C50" s="157"/>
      <c r="D50" s="157"/>
      <c r="E50" s="157"/>
      <c r="F50" s="157"/>
      <c r="G50" s="157"/>
      <c r="H50" s="158"/>
      <c r="I50" s="157"/>
      <c r="J50" s="157"/>
      <c r="K50" s="157"/>
    </row>
    <row r="51" spans="1:11" x14ac:dyDescent="0.2">
      <c r="A51" s="156"/>
      <c r="B51" s="158"/>
      <c r="C51" s="157"/>
      <c r="D51" s="157"/>
      <c r="E51" s="157"/>
      <c r="F51" s="157"/>
      <c r="G51" s="158"/>
      <c r="H51" s="158"/>
      <c r="I51" s="157"/>
      <c r="J51" s="157"/>
      <c r="K51" s="157"/>
    </row>
    <row r="52" spans="1:11" x14ac:dyDescent="0.2">
      <c r="A52" s="156"/>
      <c r="B52" s="158"/>
      <c r="C52" s="157"/>
      <c r="D52" s="157"/>
      <c r="E52" s="157"/>
      <c r="F52" s="157"/>
      <c r="G52" s="158"/>
      <c r="H52" s="158"/>
      <c r="I52" s="157"/>
      <c r="J52" s="157"/>
      <c r="K52" s="157"/>
    </row>
    <row r="53" spans="1:11" x14ac:dyDescent="0.2">
      <c r="A53" s="156"/>
      <c r="B53" s="157"/>
      <c r="C53" s="157"/>
      <c r="D53" s="157"/>
      <c r="E53" s="157"/>
      <c r="F53" s="158"/>
      <c r="G53" s="157"/>
      <c r="H53" s="157"/>
      <c r="I53" s="157"/>
      <c r="J53" s="157"/>
      <c r="K53" s="157"/>
    </row>
    <row r="54" spans="1:11" x14ac:dyDescent="0.2">
      <c r="A54" s="156"/>
      <c r="B54" s="158"/>
      <c r="C54" s="157"/>
      <c r="D54" s="157"/>
      <c r="E54" s="157"/>
      <c r="F54" s="157"/>
      <c r="G54" s="157"/>
      <c r="H54" s="158"/>
      <c r="I54" s="157"/>
      <c r="J54" s="157"/>
      <c r="K54" s="157"/>
    </row>
    <row r="55" spans="1:11" x14ac:dyDescent="0.2">
      <c r="A55" s="156"/>
      <c r="B55" s="157"/>
      <c r="C55" s="157"/>
      <c r="D55" s="157"/>
      <c r="E55" s="157"/>
      <c r="F55" s="158"/>
      <c r="G55" s="158"/>
      <c r="H55" s="158"/>
      <c r="I55" s="157"/>
      <c r="J55" s="157"/>
      <c r="K55" s="157"/>
    </row>
    <row r="56" spans="1:11" x14ac:dyDescent="0.2">
      <c r="A56" s="156"/>
      <c r="B56" s="157"/>
      <c r="C56" s="157"/>
      <c r="D56" s="157"/>
      <c r="E56" s="157"/>
      <c r="F56" s="158"/>
      <c r="G56" s="158"/>
      <c r="H56" s="158"/>
      <c r="I56" s="157"/>
      <c r="J56" s="157"/>
      <c r="K56" s="157"/>
    </row>
    <row r="57" spans="1:11" x14ac:dyDescent="0.2">
      <c r="A57" s="156"/>
      <c r="B57" s="158"/>
      <c r="C57" s="157"/>
      <c r="D57" s="157"/>
      <c r="E57" s="157"/>
      <c r="F57" s="157"/>
      <c r="G57" s="157"/>
      <c r="H57" s="158"/>
      <c r="I57" s="157"/>
      <c r="J57" s="157"/>
      <c r="K57" s="157"/>
    </row>
    <row r="58" spans="1:11" x14ac:dyDescent="0.2">
      <c r="A58" s="156"/>
      <c r="B58" s="158"/>
      <c r="C58" s="157"/>
      <c r="D58" s="157"/>
      <c r="E58" s="157"/>
      <c r="F58" s="157"/>
      <c r="G58" s="157"/>
      <c r="H58" s="158"/>
      <c r="I58" s="157"/>
      <c r="J58" s="157"/>
      <c r="K58" s="157"/>
    </row>
    <row r="59" spans="1:11" x14ac:dyDescent="0.2">
      <c r="A59" s="156"/>
      <c r="B59" s="157"/>
      <c r="C59" s="157"/>
      <c r="D59" s="157"/>
      <c r="E59" s="157"/>
      <c r="F59" s="157"/>
      <c r="G59" s="158"/>
      <c r="H59" s="157"/>
      <c r="I59" s="157"/>
      <c r="J59" s="157"/>
      <c r="K59" s="157"/>
    </row>
    <row r="60" spans="1:11" x14ac:dyDescent="0.2">
      <c r="A60" s="156"/>
      <c r="B60" s="158"/>
      <c r="C60" s="157"/>
      <c r="D60" s="157"/>
      <c r="E60" s="157"/>
      <c r="F60" s="157"/>
      <c r="G60" s="158"/>
      <c r="H60" s="158"/>
      <c r="I60" s="157"/>
      <c r="J60" s="157"/>
      <c r="K60" s="157"/>
    </row>
    <row r="61" spans="1:11" x14ac:dyDescent="0.2">
      <c r="A61" s="156"/>
      <c r="B61" s="157"/>
      <c r="C61" s="157"/>
      <c r="D61" s="157"/>
      <c r="E61" s="157"/>
      <c r="F61" s="157"/>
      <c r="G61" s="157"/>
      <c r="H61" s="158"/>
      <c r="I61" s="157"/>
      <c r="J61" s="157"/>
      <c r="K61" s="157"/>
    </row>
    <row r="62" spans="1:11" x14ac:dyDescent="0.2">
      <c r="A62" s="156"/>
      <c r="B62" s="157"/>
      <c r="C62" s="157"/>
      <c r="D62" s="157"/>
      <c r="E62" s="157"/>
      <c r="F62" s="157"/>
      <c r="G62" s="157"/>
      <c r="H62" s="158"/>
      <c r="I62" s="157"/>
      <c r="J62" s="157"/>
      <c r="K62" s="157"/>
    </row>
    <row r="63" spans="1:11" x14ac:dyDescent="0.2">
      <c r="A63" s="156"/>
      <c r="B63" s="158"/>
      <c r="C63" s="157"/>
      <c r="D63" s="157"/>
      <c r="E63" s="157"/>
      <c r="F63" s="157"/>
      <c r="G63" s="158"/>
      <c r="H63" s="158"/>
      <c r="I63" s="157"/>
      <c r="J63" s="157"/>
      <c r="K63" s="157"/>
    </row>
    <row r="64" spans="1:11" x14ac:dyDescent="0.2">
      <c r="A64" s="156"/>
      <c r="B64" s="158"/>
      <c r="C64" s="157"/>
      <c r="D64" s="157"/>
      <c r="E64" s="157"/>
      <c r="F64" s="157"/>
      <c r="G64" s="158"/>
      <c r="H64" s="158"/>
      <c r="I64" s="157"/>
      <c r="J64" s="157"/>
      <c r="K64" s="157"/>
    </row>
    <row r="65" spans="1:11" x14ac:dyDescent="0.2">
      <c r="A65" s="156"/>
      <c r="B65" s="157"/>
      <c r="C65" s="157"/>
      <c r="D65" s="157"/>
      <c r="E65" s="157"/>
      <c r="F65" s="157"/>
      <c r="G65" s="157"/>
      <c r="H65" s="157"/>
      <c r="I65" s="157"/>
      <c r="J65" s="157"/>
      <c r="K65" s="157"/>
    </row>
    <row r="66" spans="1:11" x14ac:dyDescent="0.2">
      <c r="A66" s="156"/>
      <c r="B66" s="158"/>
      <c r="C66" s="157"/>
      <c r="D66" s="157"/>
      <c r="E66" s="157"/>
      <c r="F66" s="157"/>
      <c r="G66" s="157"/>
      <c r="H66" s="158"/>
      <c r="I66" s="157"/>
      <c r="J66" s="157"/>
      <c r="K66" s="157"/>
    </row>
    <row r="67" spans="1:11" x14ac:dyDescent="0.2">
      <c r="A67" s="156"/>
      <c r="B67" s="157"/>
      <c r="C67" s="157"/>
      <c r="D67" s="157"/>
      <c r="E67" s="157"/>
      <c r="F67" s="157"/>
      <c r="G67" s="158"/>
      <c r="H67" s="158"/>
      <c r="I67" s="157"/>
      <c r="J67" s="157"/>
      <c r="K67" s="157"/>
    </row>
    <row r="68" spans="1:11" x14ac:dyDescent="0.2">
      <c r="A68" s="156"/>
      <c r="B68" s="157"/>
      <c r="C68" s="157"/>
      <c r="D68" s="157"/>
      <c r="E68" s="158"/>
      <c r="F68" s="158"/>
      <c r="G68" s="158"/>
      <c r="H68" s="158"/>
      <c r="I68" s="157"/>
      <c r="J68" s="157"/>
      <c r="K68" s="157"/>
    </row>
    <row r="69" spans="1:11" x14ac:dyDescent="0.2">
      <c r="A69" s="156"/>
      <c r="B69" s="158"/>
      <c r="C69" s="157"/>
      <c r="D69" s="157"/>
      <c r="E69" s="158"/>
      <c r="F69" s="157"/>
      <c r="G69" s="157"/>
      <c r="H69" s="158"/>
      <c r="I69" s="157"/>
      <c r="J69" s="157"/>
      <c r="K69" s="157"/>
    </row>
    <row r="70" spans="1:11" x14ac:dyDescent="0.2">
      <c r="A70" s="156"/>
      <c r="B70" s="158"/>
      <c r="C70" s="157"/>
      <c r="D70" s="157"/>
      <c r="E70" s="158"/>
      <c r="F70" s="158"/>
      <c r="G70" s="157"/>
      <c r="H70" s="158"/>
      <c r="I70" s="157"/>
      <c r="J70" s="157"/>
      <c r="K70" s="157"/>
    </row>
    <row r="71" spans="1:11" x14ac:dyDescent="0.2">
      <c r="A71" s="156"/>
      <c r="B71" s="157"/>
      <c r="C71" s="157"/>
      <c r="D71" s="157"/>
      <c r="E71" s="158"/>
      <c r="F71" s="158"/>
      <c r="G71" s="158"/>
      <c r="H71" s="157"/>
      <c r="I71" s="157"/>
      <c r="J71" s="157"/>
      <c r="K71" s="157"/>
    </row>
    <row r="72" spans="1:11" x14ac:dyDescent="0.2">
      <c r="A72" s="156"/>
      <c r="B72" s="158"/>
      <c r="C72" s="157"/>
      <c r="D72" s="157"/>
      <c r="E72" s="158"/>
      <c r="F72" s="157"/>
      <c r="G72" s="158"/>
      <c r="H72" s="158"/>
      <c r="I72" s="157"/>
      <c r="J72" s="157"/>
      <c r="K72" s="157"/>
    </row>
    <row r="73" spans="1:11" x14ac:dyDescent="0.2">
      <c r="A73" s="156"/>
      <c r="B73" s="157"/>
      <c r="C73" s="157"/>
      <c r="D73" s="157"/>
      <c r="E73" s="158"/>
      <c r="F73" s="157"/>
      <c r="G73" s="157"/>
      <c r="H73" s="158"/>
      <c r="I73" s="157"/>
      <c r="J73" s="157"/>
      <c r="K73" s="157"/>
    </row>
    <row r="74" spans="1:11" x14ac:dyDescent="0.2">
      <c r="A74" s="156"/>
      <c r="B74" s="157"/>
      <c r="C74" s="157"/>
      <c r="D74" s="157"/>
      <c r="E74" s="158"/>
      <c r="F74" s="157"/>
      <c r="G74" s="157"/>
      <c r="H74" s="158"/>
      <c r="I74" s="157"/>
      <c r="J74" s="157"/>
      <c r="K74" s="157"/>
    </row>
    <row r="75" spans="1:11" x14ac:dyDescent="0.2">
      <c r="A75" s="156"/>
      <c r="B75" s="158"/>
      <c r="C75" s="157"/>
      <c r="D75" s="157"/>
      <c r="E75" s="158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H3:H4"/>
    <mergeCell ref="I3:K3"/>
    <mergeCell ref="B3:B4"/>
    <mergeCell ref="C3:C4"/>
    <mergeCell ref="D3:D4"/>
    <mergeCell ref="E3:E4"/>
    <mergeCell ref="F3:F4"/>
    <mergeCell ref="G3:G4"/>
  </mergeCells>
  <dataValidations count="8">
    <dataValidation type="list" allowBlank="1" showInputMessage="1" showErrorMessage="1" sqref="I5:K254">
      <formula1>ValidProgramme</formula1>
    </dataValidation>
    <dataValidation type="list" showInputMessage="1" showErrorMessage="1" sqref="C5:C254">
      <formula1>ValidPerson</formula1>
    </dataValidation>
    <dataValidation type="list" showInputMessage="1" showErrorMessage="1" sqref="D5:D254">
      <formula1>ValidType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H5:H254">
      <formula1>ValidReason</formula1>
    </dataValidation>
    <dataValidation type="list" showInputMessage="1" showErrorMessage="1" sqref="F5:F254">
      <formula1>ValidCancerSite</formula1>
    </dataValidation>
    <dataValidation type="list" allowBlank="1" showInputMessage="1" showErrorMessage="1" sqref="G5:G254">
      <formula1>ValidStage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K255"/>
  <sheetViews>
    <sheetView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/>
      <c r="C5" s="157"/>
      <c r="D5" s="157"/>
      <c r="E5" s="157"/>
      <c r="F5" s="157"/>
      <c r="G5" s="157"/>
      <c r="H5" s="157"/>
      <c r="I5" s="157"/>
      <c r="J5" s="157"/>
      <c r="K5" s="157"/>
    </row>
    <row r="6" spans="1:11" x14ac:dyDescent="0.2">
      <c r="A6" s="156"/>
      <c r="B6" s="158"/>
      <c r="C6" s="157"/>
      <c r="D6" s="157"/>
      <c r="E6" s="157"/>
      <c r="F6" s="157"/>
      <c r="G6" s="157"/>
      <c r="H6" s="158"/>
      <c r="I6" s="157"/>
      <c r="J6" s="157"/>
      <c r="K6" s="157"/>
    </row>
    <row r="7" spans="1:11" x14ac:dyDescent="0.2">
      <c r="A7" s="156"/>
      <c r="B7" s="157"/>
      <c r="C7" s="157"/>
      <c r="D7" s="157"/>
      <c r="E7" s="157"/>
      <c r="F7" s="157"/>
      <c r="G7" s="158"/>
      <c r="H7" s="158"/>
      <c r="I7" s="157"/>
      <c r="J7" s="157"/>
      <c r="K7" s="157"/>
    </row>
    <row r="8" spans="1:11" x14ac:dyDescent="0.2">
      <c r="A8" s="156"/>
      <c r="B8" s="157"/>
      <c r="C8" s="157"/>
      <c r="D8" s="157"/>
      <c r="E8" s="157"/>
      <c r="F8" s="158"/>
      <c r="G8" s="158"/>
      <c r="H8" s="158"/>
      <c r="I8" s="157"/>
      <c r="J8" s="157"/>
      <c r="K8" s="157"/>
    </row>
    <row r="9" spans="1:11" x14ac:dyDescent="0.2">
      <c r="A9" s="156"/>
      <c r="B9" s="158"/>
      <c r="C9" s="157"/>
      <c r="D9" s="157"/>
      <c r="E9" s="157"/>
      <c r="F9" s="157"/>
      <c r="G9" s="157"/>
      <c r="H9" s="158"/>
      <c r="I9" s="157"/>
      <c r="J9" s="157"/>
      <c r="K9" s="157"/>
    </row>
    <row r="10" spans="1:11" x14ac:dyDescent="0.2">
      <c r="A10" s="156"/>
      <c r="B10" s="158"/>
      <c r="C10" s="157"/>
      <c r="D10" s="157"/>
      <c r="E10" s="157"/>
      <c r="F10" s="158"/>
      <c r="G10" s="157"/>
      <c r="H10" s="158"/>
      <c r="I10" s="157"/>
      <c r="J10" s="157"/>
      <c r="K10" s="157"/>
    </row>
    <row r="11" spans="1:11" x14ac:dyDescent="0.2">
      <c r="A11" s="156"/>
      <c r="B11" s="157"/>
      <c r="C11" s="157"/>
      <c r="D11" s="157"/>
      <c r="E11" s="157"/>
      <c r="F11" s="158"/>
      <c r="G11" s="158"/>
      <c r="H11" s="157"/>
      <c r="I11" s="157"/>
      <c r="J11" s="157"/>
      <c r="K11" s="157"/>
    </row>
    <row r="12" spans="1:11" x14ac:dyDescent="0.2">
      <c r="A12" s="156"/>
      <c r="B12" s="158"/>
      <c r="C12" s="157"/>
      <c r="D12" s="157"/>
      <c r="E12" s="157"/>
      <c r="F12" s="157"/>
      <c r="G12" s="158"/>
      <c r="H12" s="158"/>
      <c r="I12" s="157"/>
      <c r="J12" s="157"/>
      <c r="K12" s="157"/>
    </row>
    <row r="13" spans="1:11" x14ac:dyDescent="0.2">
      <c r="A13" s="156"/>
      <c r="B13" s="157"/>
      <c r="C13" s="157"/>
      <c r="D13" s="157"/>
      <c r="E13" s="157"/>
      <c r="F13" s="157"/>
      <c r="G13" s="157"/>
      <c r="H13" s="158"/>
      <c r="I13" s="157"/>
      <c r="J13" s="157"/>
      <c r="K13" s="157"/>
    </row>
    <row r="14" spans="1:11" x14ac:dyDescent="0.2">
      <c r="A14" s="156"/>
      <c r="B14" s="157"/>
      <c r="C14" s="157"/>
      <c r="D14" s="157"/>
      <c r="E14" s="157"/>
      <c r="F14" s="157"/>
      <c r="G14" s="157"/>
      <c r="H14" s="158"/>
      <c r="I14" s="158"/>
      <c r="J14" s="158"/>
      <c r="K14" s="158"/>
    </row>
    <row r="15" spans="1:11" x14ac:dyDescent="0.2">
      <c r="A15" s="156"/>
      <c r="B15" s="158"/>
      <c r="C15" s="157"/>
      <c r="D15" s="157"/>
      <c r="E15" s="157"/>
      <c r="F15" s="157"/>
      <c r="G15" s="158"/>
      <c r="H15" s="158"/>
      <c r="I15" s="158"/>
      <c r="J15" s="158"/>
      <c r="K15" s="158"/>
    </row>
    <row r="16" spans="1:11" x14ac:dyDescent="0.2">
      <c r="A16" s="156"/>
      <c r="B16" s="158"/>
      <c r="C16" s="157"/>
      <c r="D16" s="157"/>
      <c r="E16" s="157"/>
      <c r="F16" s="157"/>
      <c r="G16" s="158"/>
      <c r="H16" s="158"/>
      <c r="I16" s="158"/>
      <c r="J16" s="158"/>
      <c r="K16" s="158"/>
    </row>
    <row r="17" spans="1:11" x14ac:dyDescent="0.2">
      <c r="A17" s="156"/>
      <c r="B17" s="157"/>
      <c r="C17" s="157"/>
      <c r="D17" s="157"/>
      <c r="E17" s="157"/>
      <c r="F17" s="157"/>
      <c r="G17" s="157"/>
      <c r="H17" s="157"/>
      <c r="I17" s="157"/>
      <c r="J17" s="157"/>
      <c r="K17" s="157"/>
    </row>
    <row r="18" spans="1:11" x14ac:dyDescent="0.2">
      <c r="A18" s="156"/>
      <c r="B18" s="158"/>
      <c r="C18" s="157"/>
      <c r="D18" s="157"/>
      <c r="E18" s="157"/>
      <c r="F18" s="157"/>
      <c r="G18" s="157"/>
      <c r="H18" s="158"/>
      <c r="I18" s="158"/>
      <c r="J18" s="158"/>
      <c r="K18" s="158"/>
    </row>
    <row r="19" spans="1:11" x14ac:dyDescent="0.2">
      <c r="A19" s="156"/>
      <c r="B19" s="157"/>
      <c r="C19" s="157"/>
      <c r="D19" s="157"/>
      <c r="E19" s="157"/>
      <c r="F19" s="157"/>
      <c r="G19" s="158"/>
      <c r="H19" s="158"/>
      <c r="I19" s="157"/>
      <c r="J19" s="157"/>
      <c r="K19" s="157"/>
    </row>
    <row r="20" spans="1:11" x14ac:dyDescent="0.2">
      <c r="A20" s="156"/>
      <c r="B20" s="157"/>
      <c r="C20" s="157"/>
      <c r="D20" s="157"/>
      <c r="E20" s="157"/>
      <c r="F20" s="157"/>
      <c r="G20" s="158"/>
      <c r="H20" s="158"/>
      <c r="I20" s="158"/>
      <c r="J20" s="158"/>
      <c r="K20" s="158"/>
    </row>
    <row r="21" spans="1:11" x14ac:dyDescent="0.2">
      <c r="A21" s="156"/>
      <c r="B21" s="158"/>
      <c r="C21" s="157"/>
      <c r="D21" s="157"/>
      <c r="E21" s="157"/>
      <c r="F21" s="157"/>
      <c r="G21" s="157"/>
      <c r="H21" s="158"/>
      <c r="I21" s="158"/>
      <c r="J21" s="158"/>
      <c r="K21" s="158"/>
    </row>
    <row r="22" spans="1:11" x14ac:dyDescent="0.2">
      <c r="A22" s="156"/>
      <c r="B22" s="158"/>
      <c r="C22" s="157"/>
      <c r="D22" s="157"/>
      <c r="E22" s="157"/>
      <c r="F22" s="157"/>
      <c r="G22" s="157"/>
      <c r="H22" s="158"/>
      <c r="I22" s="158"/>
      <c r="J22" s="158"/>
      <c r="K22" s="158"/>
    </row>
    <row r="23" spans="1:11" x14ac:dyDescent="0.2">
      <c r="A23" s="156"/>
      <c r="B23" s="157"/>
      <c r="C23" s="157"/>
      <c r="D23" s="157"/>
      <c r="E23" s="157"/>
      <c r="F23" s="158"/>
      <c r="G23" s="158"/>
      <c r="H23" s="157"/>
      <c r="I23" s="157"/>
      <c r="J23" s="157"/>
      <c r="K23" s="157"/>
    </row>
    <row r="24" spans="1:11" x14ac:dyDescent="0.2">
      <c r="A24" s="156"/>
      <c r="B24" s="158"/>
      <c r="C24" s="157"/>
      <c r="D24" s="157"/>
      <c r="E24" s="157"/>
      <c r="F24" s="157"/>
      <c r="G24" s="158"/>
      <c r="H24" s="158"/>
      <c r="I24" s="158"/>
      <c r="J24" s="158"/>
      <c r="K24" s="158"/>
    </row>
    <row r="25" spans="1:11" x14ac:dyDescent="0.2">
      <c r="A25" s="156"/>
      <c r="B25" s="157"/>
      <c r="C25" s="157"/>
      <c r="D25" s="157"/>
      <c r="E25" s="157"/>
      <c r="F25" s="158"/>
      <c r="G25" s="157"/>
      <c r="H25" s="158"/>
      <c r="I25" s="157"/>
      <c r="J25" s="157"/>
      <c r="K25" s="157"/>
    </row>
    <row r="26" spans="1:11" x14ac:dyDescent="0.2">
      <c r="A26" s="156"/>
      <c r="B26" s="157"/>
      <c r="C26" s="157"/>
      <c r="D26" s="157"/>
      <c r="E26" s="157"/>
      <c r="F26" s="158"/>
      <c r="G26" s="157"/>
      <c r="H26" s="158"/>
      <c r="I26" s="157"/>
      <c r="J26" s="157"/>
      <c r="K26" s="157"/>
    </row>
    <row r="27" spans="1:11" x14ac:dyDescent="0.2">
      <c r="A27" s="156"/>
      <c r="B27" s="158"/>
      <c r="C27" s="157"/>
      <c r="D27" s="157"/>
      <c r="E27" s="157"/>
      <c r="F27" s="157"/>
      <c r="G27" s="158"/>
      <c r="H27" s="158"/>
      <c r="I27" s="157"/>
      <c r="J27" s="157"/>
      <c r="K27" s="157"/>
    </row>
    <row r="28" spans="1:11" x14ac:dyDescent="0.2">
      <c r="A28" s="156"/>
      <c r="B28" s="158"/>
      <c r="C28" s="157"/>
      <c r="D28" s="157"/>
      <c r="E28" s="157"/>
      <c r="F28" s="157"/>
      <c r="G28" s="158"/>
      <c r="H28" s="158"/>
      <c r="I28" s="157"/>
      <c r="J28" s="157"/>
      <c r="K28" s="157"/>
    </row>
    <row r="29" spans="1:11" x14ac:dyDescent="0.2">
      <c r="A29" s="156"/>
      <c r="B29" s="157"/>
      <c r="C29" s="157"/>
      <c r="D29" s="157"/>
      <c r="E29" s="157"/>
      <c r="F29" s="157"/>
      <c r="G29" s="157"/>
      <c r="H29" s="157"/>
      <c r="I29" s="157"/>
      <c r="J29" s="157"/>
      <c r="K29" s="157"/>
    </row>
    <row r="30" spans="1:11" x14ac:dyDescent="0.2">
      <c r="A30" s="156"/>
      <c r="B30" s="158"/>
      <c r="C30" s="157"/>
      <c r="D30" s="157"/>
      <c r="E30" s="157"/>
      <c r="F30" s="157"/>
      <c r="G30" s="157"/>
      <c r="H30" s="158"/>
      <c r="I30" s="157"/>
      <c r="J30" s="157"/>
      <c r="K30" s="157"/>
    </row>
    <row r="31" spans="1:11" x14ac:dyDescent="0.2">
      <c r="A31" s="156"/>
      <c r="B31" s="157"/>
      <c r="C31" s="157"/>
      <c r="D31" s="157"/>
      <c r="E31" s="157"/>
      <c r="F31" s="157"/>
      <c r="G31" s="158"/>
      <c r="H31" s="158"/>
      <c r="I31" s="157"/>
      <c r="J31" s="157"/>
      <c r="K31" s="157"/>
    </row>
    <row r="32" spans="1:11" x14ac:dyDescent="0.2">
      <c r="A32" s="156"/>
      <c r="B32" s="157"/>
      <c r="C32" s="157"/>
      <c r="D32" s="157"/>
      <c r="E32" s="157"/>
      <c r="F32" s="157"/>
      <c r="G32" s="158"/>
      <c r="H32" s="158"/>
      <c r="I32" s="157"/>
      <c r="J32" s="157"/>
      <c r="K32" s="157"/>
    </row>
    <row r="33" spans="1:11" x14ac:dyDescent="0.2">
      <c r="A33" s="156"/>
      <c r="B33" s="158"/>
      <c r="C33" s="157"/>
      <c r="D33" s="157"/>
      <c r="E33" s="157"/>
      <c r="F33" s="157"/>
      <c r="G33" s="157"/>
      <c r="H33" s="158"/>
      <c r="I33" s="157"/>
      <c r="J33" s="157"/>
      <c r="K33" s="157"/>
    </row>
    <row r="34" spans="1:11" x14ac:dyDescent="0.2">
      <c r="A34" s="156"/>
      <c r="B34" s="158"/>
      <c r="C34" s="157"/>
      <c r="D34" s="157"/>
      <c r="E34" s="157"/>
      <c r="F34" s="157"/>
      <c r="G34" s="157"/>
      <c r="H34" s="158"/>
      <c r="I34" s="157"/>
      <c r="J34" s="157"/>
      <c r="K34" s="157"/>
    </row>
    <row r="35" spans="1:11" x14ac:dyDescent="0.2">
      <c r="A35" s="156"/>
      <c r="B35" s="157"/>
      <c r="C35" s="157"/>
      <c r="D35" s="157"/>
      <c r="E35" s="157"/>
      <c r="F35" s="157"/>
      <c r="G35" s="158"/>
      <c r="H35" s="157"/>
      <c r="I35" s="157"/>
      <c r="J35" s="157"/>
      <c r="K35" s="157"/>
    </row>
    <row r="36" spans="1:11" x14ac:dyDescent="0.2">
      <c r="A36" s="156"/>
      <c r="B36" s="158"/>
      <c r="C36" s="157"/>
      <c r="D36" s="157"/>
      <c r="E36" s="157"/>
      <c r="F36" s="157"/>
      <c r="G36" s="158"/>
      <c r="H36" s="158"/>
      <c r="I36" s="157"/>
      <c r="J36" s="157"/>
      <c r="K36" s="157"/>
    </row>
    <row r="37" spans="1:11" x14ac:dyDescent="0.2">
      <c r="A37" s="156"/>
      <c r="B37" s="157"/>
      <c r="C37" s="157"/>
      <c r="D37" s="157"/>
      <c r="E37" s="157"/>
      <c r="F37" s="157"/>
      <c r="G37" s="157"/>
      <c r="H37" s="158"/>
      <c r="I37" s="157"/>
      <c r="J37" s="157"/>
      <c r="K37" s="157"/>
    </row>
    <row r="38" spans="1:11" x14ac:dyDescent="0.2">
      <c r="A38" s="156"/>
      <c r="B38" s="157"/>
      <c r="C38" s="157"/>
      <c r="D38" s="157"/>
      <c r="E38" s="157"/>
      <c r="F38" s="158"/>
      <c r="G38" s="157"/>
      <c r="H38" s="158"/>
      <c r="I38" s="157"/>
      <c r="J38" s="157"/>
      <c r="K38" s="157"/>
    </row>
    <row r="39" spans="1:11" x14ac:dyDescent="0.2">
      <c r="A39" s="156"/>
      <c r="B39" s="158"/>
      <c r="C39" s="157"/>
      <c r="D39" s="157"/>
      <c r="E39" s="157"/>
      <c r="F39" s="157"/>
      <c r="G39" s="158"/>
      <c r="H39" s="158"/>
      <c r="I39" s="157"/>
      <c r="J39" s="157"/>
      <c r="K39" s="157"/>
    </row>
    <row r="40" spans="1:11" x14ac:dyDescent="0.2">
      <c r="A40" s="156"/>
      <c r="B40" s="158"/>
      <c r="C40" s="157"/>
      <c r="D40" s="157"/>
      <c r="E40" s="157"/>
      <c r="F40" s="158"/>
      <c r="G40" s="158"/>
      <c r="H40" s="158"/>
      <c r="I40" s="157"/>
      <c r="J40" s="157"/>
      <c r="K40" s="157"/>
    </row>
    <row r="41" spans="1:11" x14ac:dyDescent="0.2">
      <c r="A41" s="156"/>
      <c r="B41" s="157"/>
      <c r="C41" s="157"/>
      <c r="D41" s="157"/>
      <c r="E41" s="157"/>
      <c r="F41" s="158"/>
      <c r="G41" s="157"/>
      <c r="H41" s="157"/>
      <c r="I41" s="157"/>
      <c r="J41" s="157"/>
      <c r="K41" s="157"/>
    </row>
    <row r="42" spans="1:11" x14ac:dyDescent="0.2">
      <c r="A42" s="156"/>
      <c r="B42" s="158"/>
      <c r="C42" s="157"/>
      <c r="D42" s="157"/>
      <c r="E42" s="157"/>
      <c r="F42" s="157"/>
      <c r="G42" s="157"/>
      <c r="H42" s="158"/>
      <c r="I42" s="157"/>
      <c r="J42" s="157"/>
      <c r="K42" s="157"/>
    </row>
    <row r="43" spans="1:11" x14ac:dyDescent="0.2">
      <c r="A43" s="156"/>
      <c r="B43" s="157"/>
      <c r="C43" s="157"/>
      <c r="D43" s="157"/>
      <c r="E43" s="157"/>
      <c r="F43" s="157"/>
      <c r="G43" s="158"/>
      <c r="H43" s="158"/>
      <c r="I43" s="157"/>
      <c r="J43" s="157"/>
      <c r="K43" s="157"/>
    </row>
    <row r="44" spans="1:11" x14ac:dyDescent="0.2">
      <c r="A44" s="156"/>
      <c r="B44" s="157"/>
      <c r="C44" s="157"/>
      <c r="D44" s="157"/>
      <c r="E44" s="157"/>
      <c r="F44" s="157"/>
      <c r="G44" s="158"/>
      <c r="H44" s="158"/>
      <c r="I44" s="157"/>
      <c r="J44" s="157"/>
      <c r="K44" s="157"/>
    </row>
    <row r="45" spans="1:11" x14ac:dyDescent="0.2">
      <c r="A45" s="156"/>
      <c r="B45" s="158"/>
      <c r="C45" s="157"/>
      <c r="D45" s="157"/>
      <c r="E45" s="157"/>
      <c r="F45" s="157"/>
      <c r="G45" s="157"/>
      <c r="H45" s="158"/>
      <c r="I45" s="157"/>
      <c r="J45" s="157"/>
      <c r="K45" s="157"/>
    </row>
    <row r="46" spans="1:11" x14ac:dyDescent="0.2">
      <c r="A46" s="156"/>
      <c r="B46" s="158"/>
      <c r="C46" s="157"/>
      <c r="D46" s="157"/>
      <c r="E46" s="157"/>
      <c r="F46" s="157"/>
      <c r="G46" s="157"/>
      <c r="H46" s="158"/>
      <c r="I46" s="157"/>
      <c r="J46" s="157"/>
      <c r="K46" s="157"/>
    </row>
    <row r="47" spans="1:11" x14ac:dyDescent="0.2">
      <c r="A47" s="156"/>
      <c r="B47" s="157"/>
      <c r="C47" s="157"/>
      <c r="D47" s="157"/>
      <c r="E47" s="157"/>
      <c r="F47" s="157"/>
      <c r="G47" s="158"/>
      <c r="H47" s="157"/>
      <c r="I47" s="157"/>
      <c r="J47" s="157"/>
      <c r="K47" s="157"/>
    </row>
    <row r="48" spans="1:11" x14ac:dyDescent="0.2">
      <c r="A48" s="156"/>
      <c r="B48" s="158"/>
      <c r="C48" s="157"/>
      <c r="D48" s="157"/>
      <c r="E48" s="157"/>
      <c r="F48" s="157"/>
      <c r="G48" s="158"/>
      <c r="H48" s="158"/>
      <c r="I48" s="157"/>
      <c r="J48" s="157"/>
      <c r="K48" s="157"/>
    </row>
    <row r="49" spans="1:11" x14ac:dyDescent="0.2">
      <c r="A49" s="156"/>
      <c r="B49" s="157"/>
      <c r="C49" s="157"/>
      <c r="D49" s="157"/>
      <c r="E49" s="157"/>
      <c r="F49" s="157"/>
      <c r="G49" s="157"/>
      <c r="H49" s="158"/>
      <c r="I49" s="157"/>
      <c r="J49" s="157"/>
      <c r="K49" s="157"/>
    </row>
    <row r="50" spans="1:11" x14ac:dyDescent="0.2">
      <c r="A50" s="156"/>
      <c r="B50" s="157"/>
      <c r="C50" s="157"/>
      <c r="D50" s="157"/>
      <c r="E50" s="157"/>
      <c r="F50" s="157"/>
      <c r="G50" s="157"/>
      <c r="H50" s="158"/>
      <c r="I50" s="157"/>
      <c r="J50" s="157"/>
      <c r="K50" s="157"/>
    </row>
    <row r="51" spans="1:11" x14ac:dyDescent="0.2">
      <c r="A51" s="156"/>
      <c r="B51" s="158"/>
      <c r="C51" s="157"/>
      <c r="D51" s="157"/>
      <c r="E51" s="157"/>
      <c r="F51" s="157"/>
      <c r="G51" s="158"/>
      <c r="H51" s="158"/>
      <c r="I51" s="157"/>
      <c r="J51" s="157"/>
      <c r="K51" s="157"/>
    </row>
    <row r="52" spans="1:11" x14ac:dyDescent="0.2">
      <c r="A52" s="156"/>
      <c r="B52" s="158"/>
      <c r="C52" s="157"/>
      <c r="D52" s="157"/>
      <c r="E52" s="157"/>
      <c r="F52" s="157"/>
      <c r="G52" s="158"/>
      <c r="H52" s="158"/>
      <c r="I52" s="157"/>
      <c r="J52" s="157"/>
      <c r="K52" s="157"/>
    </row>
    <row r="53" spans="1:11" x14ac:dyDescent="0.2">
      <c r="A53" s="156"/>
      <c r="B53" s="157"/>
      <c r="C53" s="157"/>
      <c r="D53" s="157"/>
      <c r="E53" s="157"/>
      <c r="F53" s="158"/>
      <c r="G53" s="157"/>
      <c r="H53" s="157"/>
      <c r="I53" s="157"/>
      <c r="J53" s="157"/>
      <c r="K53" s="157"/>
    </row>
    <row r="54" spans="1:11" x14ac:dyDescent="0.2">
      <c r="A54" s="156"/>
      <c r="B54" s="158"/>
      <c r="C54" s="157"/>
      <c r="D54" s="157"/>
      <c r="E54" s="157"/>
      <c r="F54" s="157"/>
      <c r="G54" s="157"/>
      <c r="H54" s="158"/>
      <c r="I54" s="157"/>
      <c r="J54" s="157"/>
      <c r="K54" s="157"/>
    </row>
    <row r="55" spans="1:11" x14ac:dyDescent="0.2">
      <c r="A55" s="156"/>
      <c r="B55" s="157"/>
      <c r="C55" s="157"/>
      <c r="D55" s="157"/>
      <c r="E55" s="157"/>
      <c r="F55" s="158"/>
      <c r="G55" s="158"/>
      <c r="H55" s="158"/>
      <c r="I55" s="157"/>
      <c r="J55" s="157"/>
      <c r="K55" s="157"/>
    </row>
    <row r="56" spans="1:11" x14ac:dyDescent="0.2">
      <c r="A56" s="156"/>
      <c r="B56" s="157"/>
      <c r="C56" s="157"/>
      <c r="D56" s="157"/>
      <c r="E56" s="157"/>
      <c r="F56" s="158"/>
      <c r="G56" s="158"/>
      <c r="H56" s="158"/>
      <c r="I56" s="157"/>
      <c r="J56" s="157"/>
      <c r="K56" s="157"/>
    </row>
    <row r="57" spans="1:11" x14ac:dyDescent="0.2">
      <c r="A57" s="156"/>
      <c r="B57" s="158"/>
      <c r="C57" s="157"/>
      <c r="D57" s="157"/>
      <c r="E57" s="157"/>
      <c r="F57" s="157"/>
      <c r="G57" s="157"/>
      <c r="H57" s="158"/>
      <c r="I57" s="157"/>
      <c r="J57" s="157"/>
      <c r="K57" s="157"/>
    </row>
    <row r="58" spans="1:11" x14ac:dyDescent="0.2">
      <c r="A58" s="156"/>
      <c r="B58" s="158"/>
      <c r="C58" s="157"/>
      <c r="D58" s="157"/>
      <c r="E58" s="157"/>
      <c r="F58" s="157"/>
      <c r="G58" s="157"/>
      <c r="H58" s="158"/>
      <c r="I58" s="157"/>
      <c r="J58" s="157"/>
      <c r="K58" s="157"/>
    </row>
    <row r="59" spans="1:11" x14ac:dyDescent="0.2">
      <c r="A59" s="156"/>
      <c r="B59" s="157"/>
      <c r="C59" s="157"/>
      <c r="D59" s="157"/>
      <c r="E59" s="157"/>
      <c r="F59" s="157"/>
      <c r="G59" s="158"/>
      <c r="H59" s="157"/>
      <c r="I59" s="157"/>
      <c r="J59" s="157"/>
      <c r="K59" s="157"/>
    </row>
    <row r="60" spans="1:11" x14ac:dyDescent="0.2">
      <c r="A60" s="156"/>
      <c r="B60" s="158"/>
      <c r="C60" s="157"/>
      <c r="D60" s="157"/>
      <c r="E60" s="157"/>
      <c r="F60" s="157"/>
      <c r="G60" s="158"/>
      <c r="H60" s="158"/>
      <c r="I60" s="157"/>
      <c r="J60" s="157"/>
      <c r="K60" s="157"/>
    </row>
    <row r="61" spans="1:11" x14ac:dyDescent="0.2">
      <c r="A61" s="156"/>
      <c r="B61" s="157"/>
      <c r="C61" s="157"/>
      <c r="D61" s="157"/>
      <c r="E61" s="157"/>
      <c r="F61" s="157"/>
      <c r="G61" s="157"/>
      <c r="H61" s="158"/>
      <c r="I61" s="157"/>
      <c r="J61" s="157"/>
      <c r="K61" s="157"/>
    </row>
    <row r="62" spans="1:11" x14ac:dyDescent="0.2">
      <c r="A62" s="156"/>
      <c r="B62" s="157"/>
      <c r="C62" s="157"/>
      <c r="D62" s="157"/>
      <c r="E62" s="157"/>
      <c r="F62" s="157"/>
      <c r="G62" s="157"/>
      <c r="H62" s="158"/>
      <c r="I62" s="157"/>
      <c r="J62" s="157"/>
      <c r="K62" s="157"/>
    </row>
    <row r="63" spans="1:11" x14ac:dyDescent="0.2">
      <c r="A63" s="156"/>
      <c r="B63" s="158"/>
      <c r="C63" s="157"/>
      <c r="D63" s="157"/>
      <c r="E63" s="157"/>
      <c r="F63" s="157"/>
      <c r="G63" s="158"/>
      <c r="H63" s="158"/>
      <c r="I63" s="157"/>
      <c r="J63" s="157"/>
      <c r="K63" s="157"/>
    </row>
    <row r="64" spans="1:11" x14ac:dyDescent="0.2">
      <c r="A64" s="156"/>
      <c r="B64" s="158"/>
      <c r="C64" s="157"/>
      <c r="D64" s="157"/>
      <c r="E64" s="157"/>
      <c r="F64" s="157"/>
      <c r="G64" s="158"/>
      <c r="H64" s="158"/>
      <c r="I64" s="157"/>
      <c r="J64" s="157"/>
      <c r="K64" s="157"/>
    </row>
    <row r="65" spans="1:11" x14ac:dyDescent="0.2">
      <c r="A65" s="156"/>
      <c r="B65" s="157"/>
      <c r="C65" s="157"/>
      <c r="D65" s="157"/>
      <c r="E65" s="157"/>
      <c r="F65" s="157"/>
      <c r="G65" s="157"/>
      <c r="H65" s="157"/>
      <c r="I65" s="157"/>
      <c r="J65" s="157"/>
      <c r="K65" s="157"/>
    </row>
    <row r="66" spans="1:11" x14ac:dyDescent="0.2">
      <c r="A66" s="156"/>
      <c r="B66" s="158"/>
      <c r="C66" s="157"/>
      <c r="D66" s="157"/>
      <c r="E66" s="157"/>
      <c r="F66" s="157"/>
      <c r="G66" s="157"/>
      <c r="H66" s="158"/>
      <c r="I66" s="157"/>
      <c r="J66" s="157"/>
      <c r="K66" s="157"/>
    </row>
    <row r="67" spans="1:11" x14ac:dyDescent="0.2">
      <c r="A67" s="156"/>
      <c r="B67" s="157"/>
      <c r="C67" s="157"/>
      <c r="D67" s="157"/>
      <c r="E67" s="157"/>
      <c r="F67" s="157"/>
      <c r="G67" s="158"/>
      <c r="H67" s="158"/>
      <c r="I67" s="157"/>
      <c r="J67" s="157"/>
      <c r="K67" s="157"/>
    </row>
    <row r="68" spans="1:11" x14ac:dyDescent="0.2">
      <c r="A68" s="156"/>
      <c r="B68" s="157"/>
      <c r="C68" s="157"/>
      <c r="D68" s="157"/>
      <c r="E68" s="158"/>
      <c r="F68" s="158"/>
      <c r="G68" s="158"/>
      <c r="H68" s="158"/>
      <c r="I68" s="157"/>
      <c r="J68" s="157"/>
      <c r="K68" s="157"/>
    </row>
    <row r="69" spans="1:11" x14ac:dyDescent="0.2">
      <c r="A69" s="156"/>
      <c r="B69" s="158"/>
      <c r="C69" s="157"/>
      <c r="D69" s="157"/>
      <c r="E69" s="158"/>
      <c r="F69" s="157"/>
      <c r="G69" s="157"/>
      <c r="H69" s="158"/>
      <c r="I69" s="157"/>
      <c r="J69" s="157"/>
      <c r="K69" s="157"/>
    </row>
    <row r="70" spans="1:11" x14ac:dyDescent="0.2">
      <c r="A70" s="156"/>
      <c r="B70" s="158"/>
      <c r="C70" s="157"/>
      <c r="D70" s="157"/>
      <c r="E70" s="158"/>
      <c r="F70" s="158"/>
      <c r="G70" s="157"/>
      <c r="H70" s="158"/>
      <c r="I70" s="157"/>
      <c r="J70" s="157"/>
      <c r="K70" s="157"/>
    </row>
    <row r="71" spans="1:11" x14ac:dyDescent="0.2">
      <c r="A71" s="156"/>
      <c r="B71" s="157"/>
      <c r="C71" s="157"/>
      <c r="D71" s="157"/>
      <c r="E71" s="158"/>
      <c r="F71" s="158"/>
      <c r="G71" s="158"/>
      <c r="H71" s="157"/>
      <c r="I71" s="157"/>
      <c r="J71" s="157"/>
      <c r="K71" s="157"/>
    </row>
    <row r="72" spans="1:11" x14ac:dyDescent="0.2">
      <c r="A72" s="156"/>
      <c r="B72" s="158"/>
      <c r="C72" s="157"/>
      <c r="D72" s="157"/>
      <c r="E72" s="158"/>
      <c r="F72" s="157"/>
      <c r="G72" s="158"/>
      <c r="H72" s="158"/>
      <c r="I72" s="157"/>
      <c r="J72" s="157"/>
      <c r="K72" s="157"/>
    </row>
    <row r="73" spans="1:11" x14ac:dyDescent="0.2">
      <c r="A73" s="156"/>
      <c r="B73" s="157"/>
      <c r="C73" s="157"/>
      <c r="D73" s="157"/>
      <c r="E73" s="158"/>
      <c r="F73" s="157"/>
      <c r="G73" s="157"/>
      <c r="H73" s="158"/>
      <c r="I73" s="157"/>
      <c r="J73" s="157"/>
      <c r="K73" s="157"/>
    </row>
    <row r="74" spans="1:11" x14ac:dyDescent="0.2">
      <c r="A74" s="156"/>
      <c r="B74" s="157"/>
      <c r="C74" s="157"/>
      <c r="D74" s="157"/>
      <c r="E74" s="158"/>
      <c r="F74" s="157"/>
      <c r="G74" s="157"/>
      <c r="H74" s="158"/>
      <c r="I74" s="157"/>
      <c r="J74" s="157"/>
      <c r="K74" s="157"/>
    </row>
    <row r="75" spans="1:11" x14ac:dyDescent="0.2">
      <c r="A75" s="156"/>
      <c r="B75" s="158"/>
      <c r="C75" s="157"/>
      <c r="D75" s="157"/>
      <c r="E75" s="158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B3:B4"/>
    <mergeCell ref="C3:C4"/>
    <mergeCell ref="D3:D4"/>
    <mergeCell ref="E3:E4"/>
    <mergeCell ref="F3:F4"/>
    <mergeCell ref="G3:G4"/>
    <mergeCell ref="H3:H4"/>
    <mergeCell ref="I3:K3"/>
  </mergeCells>
  <dataValidations count="8">
    <dataValidation type="list" allowBlank="1" showInputMessage="1" showErrorMessage="1" sqref="B5:B254">
      <formula1>ValidSeenby</formula1>
    </dataValidation>
    <dataValidation type="list" allowBlank="1" showInputMessage="1" showErrorMessage="1" sqref="G5:G254">
      <formula1>ValidStage</formula1>
    </dataValidation>
    <dataValidation type="list" showInputMessage="1" showErrorMessage="1" sqref="F5:F254">
      <formula1>ValidCancerSite</formula1>
    </dataValidation>
    <dataValidation type="list" showInputMessage="1" showErrorMessage="1" sqref="H5:H254">
      <formula1>ValidReason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D5:D254">
      <formula1>ValidType</formula1>
    </dataValidation>
    <dataValidation type="list" showInputMessage="1" showErrorMessage="1" sqref="C5:C254">
      <formula1>ValidPerson</formula1>
    </dataValidation>
    <dataValidation type="list" allowBlank="1" showInputMessage="1" showErrorMessage="1" sqref="I5:K254">
      <formula1>ValidProgramme</formula1>
    </dataValidation>
  </dataValidations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K255"/>
  <sheetViews>
    <sheetView workbookViewId="0"/>
  </sheetViews>
  <sheetFormatPr defaultRowHeight="12.75" x14ac:dyDescent="0.2"/>
  <cols>
    <col min="1" max="1" width="9.140625" style="28"/>
    <col min="2" max="2" width="13.5703125" style="28" customWidth="1"/>
    <col min="3" max="3" width="11.85546875" style="28" customWidth="1"/>
    <col min="4" max="4" width="9" style="28" customWidth="1"/>
    <col min="5" max="5" width="9.85546875" style="28" customWidth="1"/>
    <col min="6" max="6" width="18.7109375" style="28" customWidth="1"/>
    <col min="7" max="7" width="15" style="28" customWidth="1"/>
    <col min="8" max="8" width="17.42578125" style="28" customWidth="1"/>
    <col min="9" max="9" width="22.140625" style="28" customWidth="1"/>
    <col min="10" max="10" width="20.42578125" style="28" customWidth="1"/>
    <col min="11" max="11" width="18.7109375" style="28" customWidth="1"/>
    <col min="12" max="12" width="9.5703125" style="28" bestFit="1" customWidth="1"/>
    <col min="13" max="13" width="2.7109375" style="28" customWidth="1"/>
    <col min="14" max="14" width="16.28515625" style="28" customWidth="1"/>
    <col min="15" max="15" width="18.28515625" style="28" customWidth="1"/>
    <col min="16" max="16" width="2.85546875" style="28" customWidth="1"/>
    <col min="17" max="18" width="18.28515625" style="28" customWidth="1"/>
    <col min="19" max="19" width="2.85546875" style="28" customWidth="1"/>
    <col min="20" max="21" width="18.28515625" style="28" customWidth="1"/>
    <col min="22" max="16384" width="9.140625" style="28"/>
  </cols>
  <sheetData>
    <row r="1" spans="1:11" s="31" customFormat="1" ht="23.25" customHeight="1" x14ac:dyDescent="0.2">
      <c r="B1" s="162" t="s">
        <v>58</v>
      </c>
      <c r="C1" s="162"/>
      <c r="D1" s="162"/>
      <c r="E1" s="162"/>
      <c r="F1" s="162"/>
      <c r="G1" s="162"/>
      <c r="H1" s="162"/>
      <c r="I1" s="162"/>
      <c r="J1" s="162"/>
      <c r="K1" s="163"/>
    </row>
    <row r="2" spans="1:11" ht="12.75" customHeight="1" x14ac:dyDescent="0.2">
      <c r="B2" s="164"/>
      <c r="C2" s="164"/>
      <c r="D2" s="164"/>
      <c r="E2" s="164"/>
      <c r="F2" s="164"/>
      <c r="G2" s="164"/>
      <c r="H2" s="164"/>
      <c r="I2" s="164"/>
      <c r="J2" s="164"/>
      <c r="K2" s="165"/>
    </row>
    <row r="3" spans="1:11" ht="21.75" customHeight="1" x14ac:dyDescent="0.2">
      <c r="B3" s="166" t="s">
        <v>111</v>
      </c>
      <c r="C3" s="166" t="s">
        <v>25</v>
      </c>
      <c r="D3" s="166" t="s">
        <v>64</v>
      </c>
      <c r="E3" s="166" t="s">
        <v>55</v>
      </c>
      <c r="F3" s="166" t="s">
        <v>8</v>
      </c>
      <c r="G3" s="166" t="s">
        <v>5</v>
      </c>
      <c r="H3" s="166" t="s">
        <v>98</v>
      </c>
      <c r="I3" s="166" t="s">
        <v>6</v>
      </c>
      <c r="J3" s="167"/>
      <c r="K3" s="167"/>
    </row>
    <row r="4" spans="1:11" s="29" customFormat="1" ht="18" customHeight="1" x14ac:dyDescent="0.2">
      <c r="B4" s="167"/>
      <c r="C4" s="167"/>
      <c r="D4" s="167"/>
      <c r="E4" s="167"/>
      <c r="F4" s="167"/>
      <c r="G4" s="167"/>
      <c r="H4" s="167"/>
      <c r="I4" s="154">
        <v>1</v>
      </c>
      <c r="J4" s="154">
        <v>2</v>
      </c>
      <c r="K4" s="154">
        <v>3</v>
      </c>
    </row>
    <row r="5" spans="1:11" x14ac:dyDescent="0.2">
      <c r="A5" s="156"/>
      <c r="B5" s="157"/>
      <c r="C5" s="157"/>
      <c r="D5" s="157"/>
      <c r="E5" s="157"/>
      <c r="F5" s="157"/>
      <c r="G5" s="157"/>
      <c r="H5" s="157"/>
      <c r="I5" s="157"/>
      <c r="J5" s="157"/>
      <c r="K5" s="157"/>
    </row>
    <row r="6" spans="1:11" x14ac:dyDescent="0.2">
      <c r="A6" s="156"/>
      <c r="B6" s="158"/>
      <c r="C6" s="157"/>
      <c r="D6" s="157"/>
      <c r="E6" s="157"/>
      <c r="F6" s="157"/>
      <c r="G6" s="157"/>
      <c r="H6" s="158"/>
      <c r="I6" s="157"/>
      <c r="J6" s="157"/>
      <c r="K6" s="157"/>
    </row>
    <row r="7" spans="1:11" x14ac:dyDescent="0.2">
      <c r="A7" s="156"/>
      <c r="B7" s="157"/>
      <c r="C7" s="157"/>
      <c r="D7" s="157"/>
      <c r="E7" s="157"/>
      <c r="F7" s="157"/>
      <c r="G7" s="158"/>
      <c r="H7" s="158"/>
      <c r="I7" s="157"/>
      <c r="J7" s="157"/>
      <c r="K7" s="157"/>
    </row>
    <row r="8" spans="1:11" x14ac:dyDescent="0.2">
      <c r="A8" s="156"/>
      <c r="B8" s="157"/>
      <c r="C8" s="157"/>
      <c r="D8" s="157"/>
      <c r="E8" s="157"/>
      <c r="F8" s="158"/>
      <c r="G8" s="158"/>
      <c r="H8" s="158"/>
      <c r="I8" s="157"/>
      <c r="J8" s="157"/>
      <c r="K8" s="157"/>
    </row>
    <row r="9" spans="1:11" x14ac:dyDescent="0.2">
      <c r="A9" s="156"/>
      <c r="B9" s="158"/>
      <c r="C9" s="157"/>
      <c r="D9" s="157"/>
      <c r="E9" s="157"/>
      <c r="F9" s="157"/>
      <c r="G9" s="157"/>
      <c r="H9" s="158"/>
      <c r="I9" s="157"/>
      <c r="J9" s="157"/>
      <c r="K9" s="157"/>
    </row>
    <row r="10" spans="1:11" x14ac:dyDescent="0.2">
      <c r="A10" s="156"/>
      <c r="B10" s="158"/>
      <c r="C10" s="157"/>
      <c r="D10" s="157"/>
      <c r="E10" s="157"/>
      <c r="F10" s="158"/>
      <c r="G10" s="157"/>
      <c r="H10" s="158"/>
      <c r="I10" s="157"/>
      <c r="J10" s="157"/>
      <c r="K10" s="157"/>
    </row>
    <row r="11" spans="1:11" x14ac:dyDescent="0.2">
      <c r="A11" s="156"/>
      <c r="B11" s="157"/>
      <c r="C11" s="157"/>
      <c r="D11" s="157"/>
      <c r="E11" s="157"/>
      <c r="F11" s="158"/>
      <c r="G11" s="158"/>
      <c r="H11" s="157"/>
      <c r="I11" s="157"/>
      <c r="J11" s="157"/>
      <c r="K11" s="157"/>
    </row>
    <row r="12" spans="1:11" x14ac:dyDescent="0.2">
      <c r="A12" s="156"/>
      <c r="B12" s="158"/>
      <c r="C12" s="157"/>
      <c r="D12" s="157"/>
      <c r="E12" s="157"/>
      <c r="F12" s="157"/>
      <c r="G12" s="158"/>
      <c r="H12" s="158"/>
      <c r="I12" s="157"/>
      <c r="J12" s="157"/>
      <c r="K12" s="157"/>
    </row>
    <row r="13" spans="1:11" x14ac:dyDescent="0.2">
      <c r="A13" s="156"/>
      <c r="B13" s="157"/>
      <c r="C13" s="157"/>
      <c r="D13" s="157"/>
      <c r="E13" s="157"/>
      <c r="F13" s="157"/>
      <c r="G13" s="157"/>
      <c r="H13" s="158"/>
      <c r="I13" s="157"/>
      <c r="J13" s="157"/>
      <c r="K13" s="157"/>
    </row>
    <row r="14" spans="1:11" x14ac:dyDescent="0.2">
      <c r="A14" s="156"/>
      <c r="B14" s="157"/>
      <c r="C14" s="157"/>
      <c r="D14" s="157"/>
      <c r="E14" s="157"/>
      <c r="F14" s="157"/>
      <c r="G14" s="157"/>
      <c r="H14" s="158"/>
      <c r="I14" s="158"/>
      <c r="J14" s="158"/>
      <c r="K14" s="158"/>
    </row>
    <row r="15" spans="1:11" x14ac:dyDescent="0.2">
      <c r="A15" s="156"/>
      <c r="B15" s="158"/>
      <c r="C15" s="157"/>
      <c r="D15" s="157"/>
      <c r="E15" s="157"/>
      <c r="F15" s="157"/>
      <c r="G15" s="158"/>
      <c r="H15" s="158"/>
      <c r="I15" s="158"/>
      <c r="J15" s="158"/>
      <c r="K15" s="158"/>
    </row>
    <row r="16" spans="1:11" x14ac:dyDescent="0.2">
      <c r="A16" s="156"/>
      <c r="B16" s="158"/>
      <c r="C16" s="157"/>
      <c r="D16" s="157"/>
      <c r="E16" s="157"/>
      <c r="F16" s="157"/>
      <c r="G16" s="158"/>
      <c r="H16" s="158"/>
      <c r="I16" s="158"/>
      <c r="J16" s="158"/>
      <c r="K16" s="158"/>
    </row>
    <row r="17" spans="1:11" x14ac:dyDescent="0.2">
      <c r="A17" s="156"/>
      <c r="B17" s="157"/>
      <c r="C17" s="157"/>
      <c r="D17" s="157"/>
      <c r="E17" s="157"/>
      <c r="F17" s="157"/>
      <c r="G17" s="157"/>
      <c r="H17" s="157"/>
      <c r="I17" s="157"/>
      <c r="J17" s="157"/>
      <c r="K17" s="157"/>
    </row>
    <row r="18" spans="1:11" x14ac:dyDescent="0.2">
      <c r="A18" s="156"/>
      <c r="B18" s="158"/>
      <c r="C18" s="157"/>
      <c r="D18" s="157"/>
      <c r="E18" s="157"/>
      <c r="F18" s="157"/>
      <c r="G18" s="157"/>
      <c r="H18" s="158"/>
      <c r="I18" s="158"/>
      <c r="J18" s="158"/>
      <c r="K18" s="158"/>
    </row>
    <row r="19" spans="1:11" x14ac:dyDescent="0.2">
      <c r="A19" s="156"/>
      <c r="B19" s="157"/>
      <c r="C19" s="157"/>
      <c r="D19" s="157"/>
      <c r="E19" s="157"/>
      <c r="F19" s="157"/>
      <c r="G19" s="158"/>
      <c r="H19" s="158"/>
      <c r="I19" s="157"/>
      <c r="J19" s="157"/>
      <c r="K19" s="157"/>
    </row>
    <row r="20" spans="1:11" x14ac:dyDescent="0.2">
      <c r="A20" s="156"/>
      <c r="B20" s="157"/>
      <c r="C20" s="157"/>
      <c r="D20" s="157"/>
      <c r="E20" s="157"/>
      <c r="F20" s="157"/>
      <c r="G20" s="158"/>
      <c r="H20" s="158"/>
      <c r="I20" s="158"/>
      <c r="J20" s="158"/>
      <c r="K20" s="158"/>
    </row>
    <row r="21" spans="1:11" x14ac:dyDescent="0.2">
      <c r="A21" s="156"/>
      <c r="B21" s="158"/>
      <c r="C21" s="157"/>
      <c r="D21" s="157"/>
      <c r="E21" s="157"/>
      <c r="F21" s="157"/>
      <c r="G21" s="157"/>
      <c r="H21" s="158"/>
      <c r="I21" s="158"/>
      <c r="J21" s="158"/>
      <c r="K21" s="158"/>
    </row>
    <row r="22" spans="1:11" x14ac:dyDescent="0.2">
      <c r="A22" s="156"/>
      <c r="B22" s="158"/>
      <c r="C22" s="157"/>
      <c r="D22" s="157"/>
      <c r="E22" s="157"/>
      <c r="F22" s="157"/>
      <c r="G22" s="157"/>
      <c r="H22" s="158"/>
      <c r="I22" s="158"/>
      <c r="J22" s="158"/>
      <c r="K22" s="158"/>
    </row>
    <row r="23" spans="1:11" x14ac:dyDescent="0.2">
      <c r="A23" s="156"/>
      <c r="B23" s="157"/>
      <c r="C23" s="157"/>
      <c r="D23" s="157"/>
      <c r="E23" s="157"/>
      <c r="F23" s="158"/>
      <c r="G23" s="158"/>
      <c r="H23" s="157"/>
      <c r="I23" s="157"/>
      <c r="J23" s="157"/>
      <c r="K23" s="157"/>
    </row>
    <row r="24" spans="1:11" x14ac:dyDescent="0.2">
      <c r="A24" s="156"/>
      <c r="B24" s="158"/>
      <c r="C24" s="157"/>
      <c r="D24" s="157"/>
      <c r="E24" s="157"/>
      <c r="F24" s="157"/>
      <c r="G24" s="158"/>
      <c r="H24" s="158"/>
      <c r="I24" s="158"/>
      <c r="J24" s="158"/>
      <c r="K24" s="158"/>
    </row>
    <row r="25" spans="1:11" x14ac:dyDescent="0.2">
      <c r="A25" s="156"/>
      <c r="B25" s="157"/>
      <c r="C25" s="157"/>
      <c r="D25" s="157"/>
      <c r="E25" s="157"/>
      <c r="F25" s="158"/>
      <c r="G25" s="157"/>
      <c r="H25" s="158"/>
      <c r="I25" s="157"/>
      <c r="J25" s="157"/>
      <c r="K25" s="157"/>
    </row>
    <row r="26" spans="1:11" x14ac:dyDescent="0.2">
      <c r="A26" s="156"/>
      <c r="B26" s="157"/>
      <c r="C26" s="157"/>
      <c r="D26" s="157"/>
      <c r="E26" s="157"/>
      <c r="F26" s="158"/>
      <c r="G26" s="157"/>
      <c r="H26" s="158"/>
      <c r="I26" s="157"/>
      <c r="J26" s="157"/>
      <c r="K26" s="157"/>
    </row>
    <row r="27" spans="1:11" x14ac:dyDescent="0.2">
      <c r="A27" s="156"/>
      <c r="B27" s="158"/>
      <c r="C27" s="157"/>
      <c r="D27" s="157"/>
      <c r="E27" s="157"/>
      <c r="F27" s="157"/>
      <c r="G27" s="158"/>
      <c r="H27" s="158"/>
      <c r="I27" s="157"/>
      <c r="J27" s="157"/>
      <c r="K27" s="157"/>
    </row>
    <row r="28" spans="1:11" x14ac:dyDescent="0.2">
      <c r="A28" s="156"/>
      <c r="B28" s="158"/>
      <c r="C28" s="157"/>
      <c r="D28" s="157"/>
      <c r="E28" s="157"/>
      <c r="F28" s="157"/>
      <c r="G28" s="158"/>
      <c r="H28" s="158"/>
      <c r="I28" s="157"/>
      <c r="J28" s="157"/>
      <c r="K28" s="157"/>
    </row>
    <row r="29" spans="1:11" x14ac:dyDescent="0.2">
      <c r="A29" s="156"/>
      <c r="B29" s="157"/>
      <c r="C29" s="157"/>
      <c r="D29" s="157"/>
      <c r="E29" s="157"/>
      <c r="F29" s="157"/>
      <c r="G29" s="157"/>
      <c r="H29" s="157"/>
      <c r="I29" s="157"/>
      <c r="J29" s="157"/>
      <c r="K29" s="157"/>
    </row>
    <row r="30" spans="1:11" x14ac:dyDescent="0.2">
      <c r="A30" s="156"/>
      <c r="B30" s="158"/>
      <c r="C30" s="157"/>
      <c r="D30" s="157"/>
      <c r="E30" s="157"/>
      <c r="F30" s="157"/>
      <c r="G30" s="157"/>
      <c r="H30" s="158"/>
      <c r="I30" s="157"/>
      <c r="J30" s="157"/>
      <c r="K30" s="157"/>
    </row>
    <row r="31" spans="1:11" x14ac:dyDescent="0.2">
      <c r="A31" s="156"/>
      <c r="B31" s="157"/>
      <c r="C31" s="157"/>
      <c r="D31" s="157"/>
      <c r="E31" s="157"/>
      <c r="F31" s="157"/>
      <c r="G31" s="158"/>
      <c r="H31" s="158"/>
      <c r="I31" s="157"/>
      <c r="J31" s="157"/>
      <c r="K31" s="157"/>
    </row>
    <row r="32" spans="1:11" x14ac:dyDescent="0.2">
      <c r="A32" s="156"/>
      <c r="B32" s="157"/>
      <c r="C32" s="157"/>
      <c r="D32" s="157"/>
      <c r="E32" s="157"/>
      <c r="F32" s="157"/>
      <c r="G32" s="158"/>
      <c r="H32" s="158"/>
      <c r="I32" s="157"/>
      <c r="J32" s="157"/>
      <c r="K32" s="157"/>
    </row>
    <row r="33" spans="1:11" x14ac:dyDescent="0.2">
      <c r="A33" s="156"/>
      <c r="B33" s="158"/>
      <c r="C33" s="157"/>
      <c r="D33" s="157"/>
      <c r="E33" s="157"/>
      <c r="F33" s="157"/>
      <c r="G33" s="157"/>
      <c r="H33" s="158"/>
      <c r="I33" s="157"/>
      <c r="J33" s="157"/>
      <c r="K33" s="157"/>
    </row>
    <row r="34" spans="1:11" x14ac:dyDescent="0.2">
      <c r="A34" s="156"/>
      <c r="B34" s="158"/>
      <c r="C34" s="157"/>
      <c r="D34" s="157"/>
      <c r="E34" s="157"/>
      <c r="F34" s="157"/>
      <c r="G34" s="157"/>
      <c r="H34" s="158"/>
      <c r="I34" s="157"/>
      <c r="J34" s="157"/>
      <c r="K34" s="157"/>
    </row>
    <row r="35" spans="1:11" x14ac:dyDescent="0.2">
      <c r="A35" s="156"/>
      <c r="B35" s="157"/>
      <c r="C35" s="157"/>
      <c r="D35" s="157"/>
      <c r="E35" s="157"/>
      <c r="F35" s="157"/>
      <c r="G35" s="158"/>
      <c r="H35" s="157"/>
      <c r="I35" s="157"/>
      <c r="J35" s="157"/>
      <c r="K35" s="157"/>
    </row>
    <row r="36" spans="1:11" x14ac:dyDescent="0.2">
      <c r="A36" s="156"/>
      <c r="B36" s="158"/>
      <c r="C36" s="157"/>
      <c r="D36" s="157"/>
      <c r="E36" s="157"/>
      <c r="F36" s="157"/>
      <c r="G36" s="158"/>
      <c r="H36" s="158"/>
      <c r="I36" s="157"/>
      <c r="J36" s="157"/>
      <c r="K36" s="157"/>
    </row>
    <row r="37" spans="1:11" x14ac:dyDescent="0.2">
      <c r="A37" s="156"/>
      <c r="B37" s="157"/>
      <c r="C37" s="157"/>
      <c r="D37" s="157"/>
      <c r="E37" s="157"/>
      <c r="F37" s="157"/>
      <c r="G37" s="157"/>
      <c r="H37" s="158"/>
      <c r="I37" s="157"/>
      <c r="J37" s="157"/>
      <c r="K37" s="157"/>
    </row>
    <row r="38" spans="1:11" x14ac:dyDescent="0.2">
      <c r="A38" s="156"/>
      <c r="B38" s="157"/>
      <c r="C38" s="157"/>
      <c r="D38" s="157"/>
      <c r="E38" s="157"/>
      <c r="F38" s="158"/>
      <c r="G38" s="157"/>
      <c r="H38" s="158"/>
      <c r="I38" s="157"/>
      <c r="J38" s="157"/>
      <c r="K38" s="157"/>
    </row>
    <row r="39" spans="1:11" x14ac:dyDescent="0.2">
      <c r="A39" s="156"/>
      <c r="B39" s="158"/>
      <c r="C39" s="157"/>
      <c r="D39" s="157"/>
      <c r="E39" s="157"/>
      <c r="F39" s="157"/>
      <c r="G39" s="158"/>
      <c r="H39" s="158"/>
      <c r="I39" s="157"/>
      <c r="J39" s="157"/>
      <c r="K39" s="157"/>
    </row>
    <row r="40" spans="1:11" x14ac:dyDescent="0.2">
      <c r="A40" s="156"/>
      <c r="B40" s="158"/>
      <c r="C40" s="157"/>
      <c r="D40" s="157"/>
      <c r="E40" s="157"/>
      <c r="F40" s="158"/>
      <c r="G40" s="158"/>
      <c r="H40" s="158"/>
      <c r="I40" s="157"/>
      <c r="J40" s="157"/>
      <c r="K40" s="157"/>
    </row>
    <row r="41" spans="1:11" x14ac:dyDescent="0.2">
      <c r="A41" s="156"/>
      <c r="B41" s="157"/>
      <c r="C41" s="157"/>
      <c r="D41" s="157"/>
      <c r="E41" s="157"/>
      <c r="F41" s="158"/>
      <c r="G41" s="157"/>
      <c r="H41" s="157"/>
      <c r="I41" s="157"/>
      <c r="J41" s="157"/>
      <c r="K41" s="157"/>
    </row>
    <row r="42" spans="1:11" x14ac:dyDescent="0.2">
      <c r="A42" s="156"/>
      <c r="B42" s="158"/>
      <c r="C42" s="157"/>
      <c r="D42" s="157"/>
      <c r="E42" s="157"/>
      <c r="F42" s="157"/>
      <c r="G42" s="157"/>
      <c r="H42" s="158"/>
      <c r="I42" s="157"/>
      <c r="J42" s="157"/>
      <c r="K42" s="157"/>
    </row>
    <row r="43" spans="1:11" x14ac:dyDescent="0.2">
      <c r="A43" s="156"/>
      <c r="B43" s="157"/>
      <c r="C43" s="157"/>
      <c r="D43" s="157"/>
      <c r="E43" s="157"/>
      <c r="F43" s="157"/>
      <c r="G43" s="158"/>
      <c r="H43" s="158"/>
      <c r="I43" s="157"/>
      <c r="J43" s="157"/>
      <c r="K43" s="157"/>
    </row>
    <row r="44" spans="1:11" x14ac:dyDescent="0.2">
      <c r="A44" s="156"/>
      <c r="B44" s="157"/>
      <c r="C44" s="157"/>
      <c r="D44" s="157"/>
      <c r="E44" s="157"/>
      <c r="F44" s="157"/>
      <c r="G44" s="158"/>
      <c r="H44" s="158"/>
      <c r="I44" s="157"/>
      <c r="J44" s="157"/>
      <c r="K44" s="157"/>
    </row>
    <row r="45" spans="1:11" x14ac:dyDescent="0.2">
      <c r="A45" s="156"/>
      <c r="B45" s="158"/>
      <c r="C45" s="157"/>
      <c r="D45" s="157"/>
      <c r="E45" s="157"/>
      <c r="F45" s="157"/>
      <c r="G45" s="157"/>
      <c r="H45" s="158"/>
      <c r="I45" s="157"/>
      <c r="J45" s="157"/>
      <c r="K45" s="157"/>
    </row>
    <row r="46" spans="1:11" x14ac:dyDescent="0.2">
      <c r="A46" s="156"/>
      <c r="B46" s="158"/>
      <c r="C46" s="157"/>
      <c r="D46" s="157"/>
      <c r="E46" s="157"/>
      <c r="F46" s="157"/>
      <c r="G46" s="157"/>
      <c r="H46" s="158"/>
      <c r="I46" s="157"/>
      <c r="J46" s="157"/>
      <c r="K46" s="157"/>
    </row>
    <row r="47" spans="1:11" x14ac:dyDescent="0.2">
      <c r="A47" s="156"/>
      <c r="B47" s="157"/>
      <c r="C47" s="157"/>
      <c r="D47" s="157"/>
      <c r="E47" s="157"/>
      <c r="F47" s="157"/>
      <c r="G47" s="158"/>
      <c r="H47" s="157"/>
      <c r="I47" s="157"/>
      <c r="J47" s="157"/>
      <c r="K47" s="157"/>
    </row>
    <row r="48" spans="1:11" x14ac:dyDescent="0.2">
      <c r="A48" s="156"/>
      <c r="B48" s="158"/>
      <c r="C48" s="157"/>
      <c r="D48" s="157"/>
      <c r="E48" s="157"/>
      <c r="F48" s="157"/>
      <c r="G48" s="158"/>
      <c r="H48" s="158"/>
      <c r="I48" s="157"/>
      <c r="J48" s="157"/>
      <c r="K48" s="157"/>
    </row>
    <row r="49" spans="1:11" x14ac:dyDescent="0.2">
      <c r="A49" s="156"/>
      <c r="B49" s="157"/>
      <c r="C49" s="157"/>
      <c r="D49" s="157"/>
      <c r="E49" s="157"/>
      <c r="F49" s="157"/>
      <c r="G49" s="157"/>
      <c r="H49" s="158"/>
      <c r="I49" s="157"/>
      <c r="J49" s="157"/>
      <c r="K49" s="157"/>
    </row>
    <row r="50" spans="1:11" x14ac:dyDescent="0.2">
      <c r="A50" s="156"/>
      <c r="B50" s="157"/>
      <c r="C50" s="157"/>
      <c r="D50" s="157"/>
      <c r="E50" s="157"/>
      <c r="F50" s="157"/>
      <c r="G50" s="157"/>
      <c r="H50" s="158"/>
      <c r="I50" s="157"/>
      <c r="J50" s="157"/>
      <c r="K50" s="157"/>
    </row>
    <row r="51" spans="1:11" x14ac:dyDescent="0.2">
      <c r="A51" s="156"/>
      <c r="B51" s="158"/>
      <c r="C51" s="157"/>
      <c r="D51" s="157"/>
      <c r="E51" s="157"/>
      <c r="F51" s="157"/>
      <c r="G51" s="158"/>
      <c r="H51" s="158"/>
      <c r="I51" s="157"/>
      <c r="J51" s="157"/>
      <c r="K51" s="157"/>
    </row>
    <row r="52" spans="1:11" x14ac:dyDescent="0.2">
      <c r="A52" s="156"/>
      <c r="B52" s="158"/>
      <c r="C52" s="157"/>
      <c r="D52" s="157"/>
      <c r="E52" s="157"/>
      <c r="F52" s="157"/>
      <c r="G52" s="158"/>
      <c r="H52" s="158"/>
      <c r="I52" s="157"/>
      <c r="J52" s="157"/>
      <c r="K52" s="157"/>
    </row>
    <row r="53" spans="1:11" x14ac:dyDescent="0.2">
      <c r="A53" s="156"/>
      <c r="B53" s="157"/>
      <c r="C53" s="157"/>
      <c r="D53" s="157"/>
      <c r="E53" s="157"/>
      <c r="F53" s="158"/>
      <c r="G53" s="157"/>
      <c r="H53" s="157"/>
      <c r="I53" s="157"/>
      <c r="J53" s="157"/>
      <c r="K53" s="157"/>
    </row>
    <row r="54" spans="1:11" x14ac:dyDescent="0.2">
      <c r="A54" s="156"/>
      <c r="B54" s="158"/>
      <c r="C54" s="157"/>
      <c r="D54" s="157"/>
      <c r="E54" s="157"/>
      <c r="F54" s="157"/>
      <c r="G54" s="157"/>
      <c r="H54" s="158"/>
      <c r="I54" s="157"/>
      <c r="J54" s="157"/>
      <c r="K54" s="157"/>
    </row>
    <row r="55" spans="1:11" x14ac:dyDescent="0.2">
      <c r="A55" s="156"/>
      <c r="B55" s="157"/>
      <c r="C55" s="157"/>
      <c r="D55" s="157"/>
      <c r="E55" s="157"/>
      <c r="F55" s="158"/>
      <c r="G55" s="158"/>
      <c r="H55" s="158"/>
      <c r="I55" s="157"/>
      <c r="J55" s="157"/>
      <c r="K55" s="157"/>
    </row>
    <row r="56" spans="1:11" x14ac:dyDescent="0.2">
      <c r="A56" s="156"/>
      <c r="B56" s="157"/>
      <c r="C56" s="157"/>
      <c r="D56" s="157"/>
      <c r="E56" s="157"/>
      <c r="F56" s="158"/>
      <c r="G56" s="158"/>
      <c r="H56" s="158"/>
      <c r="I56" s="157"/>
      <c r="J56" s="157"/>
      <c r="K56" s="157"/>
    </row>
    <row r="57" spans="1:11" x14ac:dyDescent="0.2">
      <c r="A57" s="156"/>
      <c r="B57" s="158"/>
      <c r="C57" s="157"/>
      <c r="D57" s="157"/>
      <c r="E57" s="157"/>
      <c r="F57" s="157"/>
      <c r="G57" s="157"/>
      <c r="H57" s="158"/>
      <c r="I57" s="157"/>
      <c r="J57" s="157"/>
      <c r="K57" s="157"/>
    </row>
    <row r="58" spans="1:11" x14ac:dyDescent="0.2">
      <c r="A58" s="156"/>
      <c r="B58" s="158"/>
      <c r="C58" s="157"/>
      <c r="D58" s="157"/>
      <c r="E58" s="157"/>
      <c r="F58" s="157"/>
      <c r="G58" s="157"/>
      <c r="H58" s="158"/>
      <c r="I58" s="157"/>
      <c r="J58" s="157"/>
      <c r="K58" s="157"/>
    </row>
    <row r="59" spans="1:11" x14ac:dyDescent="0.2">
      <c r="A59" s="156"/>
      <c r="B59" s="157"/>
      <c r="C59" s="157"/>
      <c r="D59" s="157"/>
      <c r="E59" s="157"/>
      <c r="F59" s="157"/>
      <c r="G59" s="158"/>
      <c r="H59" s="157"/>
      <c r="I59" s="157"/>
      <c r="J59" s="157"/>
      <c r="K59" s="157"/>
    </row>
    <row r="60" spans="1:11" x14ac:dyDescent="0.2">
      <c r="A60" s="156"/>
      <c r="B60" s="158"/>
      <c r="C60" s="157"/>
      <c r="D60" s="157"/>
      <c r="E60" s="157"/>
      <c r="F60" s="157"/>
      <c r="G60" s="158"/>
      <c r="H60" s="158"/>
      <c r="I60" s="157"/>
      <c r="J60" s="157"/>
      <c r="K60" s="157"/>
    </row>
    <row r="61" spans="1:11" x14ac:dyDescent="0.2">
      <c r="A61" s="156"/>
      <c r="B61" s="157"/>
      <c r="C61" s="157"/>
      <c r="D61" s="157"/>
      <c r="E61" s="157"/>
      <c r="F61" s="157"/>
      <c r="G61" s="157"/>
      <c r="H61" s="158"/>
      <c r="I61" s="157"/>
      <c r="J61" s="157"/>
      <c r="K61" s="157"/>
    </row>
    <row r="62" spans="1:11" x14ac:dyDescent="0.2">
      <c r="A62" s="156"/>
      <c r="B62" s="157"/>
      <c r="C62" s="157"/>
      <c r="D62" s="157"/>
      <c r="E62" s="157"/>
      <c r="F62" s="157"/>
      <c r="G62" s="157"/>
      <c r="H62" s="158"/>
      <c r="I62" s="157"/>
      <c r="J62" s="157"/>
      <c r="K62" s="157"/>
    </row>
    <row r="63" spans="1:11" x14ac:dyDescent="0.2">
      <c r="A63" s="156"/>
      <c r="B63" s="158"/>
      <c r="C63" s="157"/>
      <c r="D63" s="157"/>
      <c r="E63" s="157"/>
      <c r="F63" s="157"/>
      <c r="G63" s="158"/>
      <c r="H63" s="158"/>
      <c r="I63" s="157"/>
      <c r="J63" s="157"/>
      <c r="K63" s="157"/>
    </row>
    <row r="64" spans="1:11" x14ac:dyDescent="0.2">
      <c r="A64" s="156"/>
      <c r="B64" s="158"/>
      <c r="C64" s="157"/>
      <c r="D64" s="157"/>
      <c r="E64" s="157"/>
      <c r="F64" s="157"/>
      <c r="G64" s="158"/>
      <c r="H64" s="158"/>
      <c r="I64" s="157"/>
      <c r="J64" s="157"/>
      <c r="K64" s="157"/>
    </row>
    <row r="65" spans="1:11" x14ac:dyDescent="0.2">
      <c r="A65" s="156"/>
      <c r="B65" s="157"/>
      <c r="C65" s="157"/>
      <c r="D65" s="157"/>
      <c r="E65" s="157"/>
      <c r="F65" s="157"/>
      <c r="G65" s="157"/>
      <c r="H65" s="157"/>
      <c r="I65" s="157"/>
      <c r="J65" s="157"/>
      <c r="K65" s="157"/>
    </row>
    <row r="66" spans="1:11" x14ac:dyDescent="0.2">
      <c r="A66" s="156"/>
      <c r="B66" s="158"/>
      <c r="C66" s="157"/>
      <c r="D66" s="157"/>
      <c r="E66" s="157"/>
      <c r="F66" s="157"/>
      <c r="G66" s="157"/>
      <c r="H66" s="158"/>
      <c r="I66" s="157"/>
      <c r="J66" s="157"/>
      <c r="K66" s="157"/>
    </row>
    <row r="67" spans="1:11" x14ac:dyDescent="0.2">
      <c r="A67" s="156"/>
      <c r="B67" s="157"/>
      <c r="C67" s="157"/>
      <c r="D67" s="157"/>
      <c r="E67" s="157"/>
      <c r="F67" s="157"/>
      <c r="G67" s="158"/>
      <c r="H67" s="158"/>
      <c r="I67" s="157"/>
      <c r="J67" s="157"/>
      <c r="K67" s="157"/>
    </row>
    <row r="68" spans="1:11" x14ac:dyDescent="0.2">
      <c r="A68" s="156"/>
      <c r="B68" s="157"/>
      <c r="C68" s="157"/>
      <c r="D68" s="157"/>
      <c r="E68" s="158"/>
      <c r="F68" s="158"/>
      <c r="G68" s="158"/>
      <c r="H68" s="158"/>
      <c r="I68" s="157"/>
      <c r="J68" s="157"/>
      <c r="K68" s="157"/>
    </row>
    <row r="69" spans="1:11" x14ac:dyDescent="0.2">
      <c r="A69" s="156"/>
      <c r="B69" s="158"/>
      <c r="C69" s="157"/>
      <c r="D69" s="157"/>
      <c r="E69" s="158"/>
      <c r="F69" s="157"/>
      <c r="G69" s="157"/>
      <c r="H69" s="158"/>
      <c r="I69" s="157"/>
      <c r="J69" s="157"/>
      <c r="K69" s="157"/>
    </row>
    <row r="70" spans="1:11" x14ac:dyDescent="0.2">
      <c r="A70" s="156"/>
      <c r="B70" s="158"/>
      <c r="C70" s="157"/>
      <c r="D70" s="157"/>
      <c r="E70" s="158"/>
      <c r="F70" s="158"/>
      <c r="G70" s="157"/>
      <c r="H70" s="158"/>
      <c r="I70" s="157"/>
      <c r="J70" s="157"/>
      <c r="K70" s="157"/>
    </row>
    <row r="71" spans="1:11" x14ac:dyDescent="0.2">
      <c r="A71" s="156"/>
      <c r="B71" s="157"/>
      <c r="C71" s="157"/>
      <c r="D71" s="157"/>
      <c r="E71" s="158"/>
      <c r="F71" s="158"/>
      <c r="G71" s="158"/>
      <c r="H71" s="157"/>
      <c r="I71" s="157"/>
      <c r="J71" s="157"/>
      <c r="K71" s="157"/>
    </row>
    <row r="72" spans="1:11" x14ac:dyDescent="0.2">
      <c r="A72" s="156"/>
      <c r="B72" s="158"/>
      <c r="C72" s="157"/>
      <c r="D72" s="157"/>
      <c r="E72" s="158"/>
      <c r="F72" s="157"/>
      <c r="G72" s="158"/>
      <c r="H72" s="158"/>
      <c r="I72" s="157"/>
      <c r="J72" s="157"/>
      <c r="K72" s="157"/>
    </row>
    <row r="73" spans="1:11" x14ac:dyDescent="0.2">
      <c r="A73" s="156"/>
      <c r="B73" s="157"/>
      <c r="C73" s="157"/>
      <c r="D73" s="157"/>
      <c r="E73" s="158"/>
      <c r="F73" s="157"/>
      <c r="G73" s="157"/>
      <c r="H73" s="158"/>
      <c r="I73" s="157"/>
      <c r="J73" s="157"/>
      <c r="K73" s="157"/>
    </row>
    <row r="74" spans="1:11" x14ac:dyDescent="0.2">
      <c r="A74" s="156"/>
      <c r="B74" s="157"/>
      <c r="C74" s="157"/>
      <c r="D74" s="157"/>
      <c r="E74" s="158"/>
      <c r="F74" s="157"/>
      <c r="G74" s="157"/>
      <c r="H74" s="158"/>
      <c r="I74" s="157"/>
      <c r="J74" s="157"/>
      <c r="K74" s="157"/>
    </row>
    <row r="75" spans="1:11" x14ac:dyDescent="0.2">
      <c r="A75" s="156"/>
      <c r="B75" s="158"/>
      <c r="C75" s="157"/>
      <c r="D75" s="157"/>
      <c r="E75" s="158"/>
      <c r="F75" s="157"/>
      <c r="G75" s="158"/>
      <c r="H75" s="158"/>
      <c r="I75" s="157"/>
      <c r="J75" s="157"/>
      <c r="K75" s="157"/>
    </row>
    <row r="76" spans="1:11" x14ac:dyDescent="0.2">
      <c r="A76" s="156"/>
      <c r="B76" s="158"/>
      <c r="C76" s="157"/>
      <c r="D76" s="157"/>
      <c r="E76" s="158"/>
      <c r="F76" s="157"/>
      <c r="G76" s="158"/>
      <c r="H76" s="158"/>
      <c r="I76" s="157"/>
      <c r="J76" s="157"/>
      <c r="K76" s="157"/>
    </row>
    <row r="77" spans="1:11" x14ac:dyDescent="0.2">
      <c r="A77" s="156"/>
      <c r="B77" s="157"/>
      <c r="C77" s="157"/>
      <c r="D77" s="157"/>
      <c r="E77" s="158"/>
      <c r="F77" s="157"/>
      <c r="G77" s="157"/>
      <c r="H77" s="157"/>
      <c r="I77" s="157"/>
      <c r="J77" s="157"/>
      <c r="K77" s="157"/>
    </row>
    <row r="78" spans="1:11" x14ac:dyDescent="0.2">
      <c r="A78" s="156"/>
      <c r="B78" s="158"/>
      <c r="C78" s="157"/>
      <c r="D78" s="157"/>
      <c r="E78" s="158"/>
      <c r="F78" s="157"/>
      <c r="G78" s="157"/>
      <c r="H78" s="158"/>
      <c r="I78" s="157"/>
      <c r="J78" s="157"/>
      <c r="K78" s="157"/>
    </row>
    <row r="79" spans="1:11" x14ac:dyDescent="0.2">
      <c r="A79" s="156"/>
      <c r="B79" s="157"/>
      <c r="C79" s="157"/>
      <c r="D79" s="157"/>
      <c r="E79" s="158"/>
      <c r="F79" s="157"/>
      <c r="G79" s="158"/>
      <c r="H79" s="158"/>
      <c r="I79" s="157"/>
      <c r="J79" s="157"/>
      <c r="K79" s="157"/>
    </row>
    <row r="80" spans="1:11" x14ac:dyDescent="0.2">
      <c r="A80" s="156"/>
      <c r="B80" s="157"/>
      <c r="C80" s="157"/>
      <c r="D80" s="157"/>
      <c r="E80" s="158"/>
      <c r="F80" s="157"/>
      <c r="G80" s="158"/>
      <c r="H80" s="158"/>
      <c r="I80" s="157"/>
      <c r="J80" s="157"/>
      <c r="K80" s="157"/>
    </row>
    <row r="81" spans="1:11" x14ac:dyDescent="0.2">
      <c r="A81" s="156"/>
      <c r="B81" s="158"/>
      <c r="C81" s="157"/>
      <c r="D81" s="157"/>
      <c r="E81" s="158"/>
      <c r="F81" s="157"/>
      <c r="G81" s="157"/>
      <c r="H81" s="158"/>
      <c r="I81" s="157"/>
      <c r="J81" s="157"/>
      <c r="K81" s="157"/>
    </row>
    <row r="82" spans="1:11" x14ac:dyDescent="0.2">
      <c r="A82" s="156"/>
      <c r="B82" s="158"/>
      <c r="C82" s="157"/>
      <c r="D82" s="157"/>
      <c r="E82" s="158"/>
      <c r="F82" s="157"/>
      <c r="G82" s="157"/>
      <c r="H82" s="158"/>
      <c r="I82" s="157"/>
      <c r="J82" s="157"/>
      <c r="K82" s="157"/>
    </row>
    <row r="83" spans="1:11" x14ac:dyDescent="0.2">
      <c r="A83" s="156"/>
      <c r="B83" s="157"/>
      <c r="C83" s="157"/>
      <c r="D83" s="157"/>
      <c r="E83" s="158"/>
      <c r="F83" s="158"/>
      <c r="G83" s="158"/>
      <c r="H83" s="157"/>
      <c r="I83" s="157"/>
      <c r="J83" s="157"/>
      <c r="K83" s="157"/>
    </row>
    <row r="84" spans="1:11" x14ac:dyDescent="0.2">
      <c r="A84" s="156"/>
      <c r="B84" s="158"/>
      <c r="C84" s="157"/>
      <c r="D84" s="157"/>
      <c r="E84" s="158"/>
      <c r="F84" s="157"/>
      <c r="G84" s="158"/>
      <c r="H84" s="158"/>
      <c r="I84" s="157"/>
      <c r="J84" s="157"/>
      <c r="K84" s="157"/>
    </row>
    <row r="85" spans="1:11" x14ac:dyDescent="0.2">
      <c r="A85" s="156"/>
      <c r="B85" s="157"/>
      <c r="C85" s="157"/>
      <c r="D85" s="157"/>
      <c r="E85" s="158"/>
      <c r="F85" s="158"/>
      <c r="G85" s="157"/>
      <c r="H85" s="158"/>
      <c r="I85" s="157"/>
      <c r="J85" s="157"/>
      <c r="K85" s="157"/>
    </row>
    <row r="86" spans="1:11" x14ac:dyDescent="0.2">
      <c r="A86" s="156"/>
      <c r="B86" s="157"/>
      <c r="C86" s="157"/>
      <c r="D86" s="157"/>
      <c r="E86" s="158"/>
      <c r="F86" s="158"/>
      <c r="G86" s="157"/>
      <c r="H86" s="158"/>
      <c r="I86" s="157"/>
      <c r="J86" s="157"/>
      <c r="K86" s="157"/>
    </row>
    <row r="87" spans="1:11" x14ac:dyDescent="0.2">
      <c r="A87" s="156"/>
      <c r="B87" s="158"/>
      <c r="C87" s="157"/>
      <c r="D87" s="157"/>
      <c r="E87" s="158"/>
      <c r="F87" s="157"/>
      <c r="G87" s="158"/>
      <c r="H87" s="158"/>
      <c r="I87" s="157"/>
      <c r="J87" s="157"/>
      <c r="K87" s="157"/>
    </row>
    <row r="88" spans="1:11" x14ac:dyDescent="0.2">
      <c r="A88" s="156"/>
      <c r="B88" s="158"/>
      <c r="C88" s="157"/>
      <c r="D88" s="157"/>
      <c r="E88" s="158"/>
      <c r="F88" s="157"/>
      <c r="G88" s="158"/>
      <c r="H88" s="158"/>
      <c r="I88" s="157"/>
      <c r="J88" s="157"/>
      <c r="K88" s="157"/>
    </row>
    <row r="89" spans="1:11" x14ac:dyDescent="0.2">
      <c r="A89" s="156"/>
      <c r="B89" s="157"/>
      <c r="C89" s="157"/>
      <c r="D89" s="157"/>
      <c r="E89" s="158"/>
      <c r="F89" s="157"/>
      <c r="G89" s="157"/>
      <c r="H89" s="157"/>
      <c r="I89" s="157"/>
      <c r="J89" s="157"/>
      <c r="K89" s="157"/>
    </row>
    <row r="90" spans="1:11" x14ac:dyDescent="0.2">
      <c r="A90" s="156"/>
      <c r="B90" s="158"/>
      <c r="C90" s="157"/>
      <c r="D90" s="157"/>
      <c r="E90" s="158"/>
      <c r="F90" s="157"/>
      <c r="G90" s="157"/>
      <c r="H90" s="158"/>
      <c r="I90" s="157"/>
      <c r="J90" s="157"/>
      <c r="K90" s="157"/>
    </row>
    <row r="91" spans="1:11" x14ac:dyDescent="0.2">
      <c r="A91" s="156"/>
      <c r="B91" s="157"/>
      <c r="C91" s="157"/>
      <c r="D91" s="157"/>
      <c r="E91" s="158"/>
      <c r="F91" s="157"/>
      <c r="G91" s="158"/>
      <c r="H91" s="158"/>
      <c r="I91" s="157"/>
      <c r="J91" s="157"/>
      <c r="K91" s="157"/>
    </row>
    <row r="92" spans="1:11" x14ac:dyDescent="0.2">
      <c r="A92" s="156"/>
      <c r="B92" s="157"/>
      <c r="C92" s="157"/>
      <c r="D92" s="157"/>
      <c r="E92" s="158"/>
      <c r="F92" s="157"/>
      <c r="G92" s="158"/>
      <c r="H92" s="158"/>
      <c r="I92" s="157"/>
      <c r="J92" s="157"/>
      <c r="K92" s="157"/>
    </row>
    <row r="93" spans="1:11" x14ac:dyDescent="0.2">
      <c r="A93" s="156"/>
      <c r="B93" s="158"/>
      <c r="C93" s="157"/>
      <c r="D93" s="157"/>
      <c r="E93" s="158"/>
      <c r="F93" s="157"/>
      <c r="G93" s="157"/>
      <c r="H93" s="158"/>
      <c r="I93" s="157"/>
      <c r="J93" s="157"/>
      <c r="K93" s="157"/>
    </row>
    <row r="94" spans="1:11" x14ac:dyDescent="0.2">
      <c r="A94" s="156"/>
      <c r="B94" s="158"/>
      <c r="C94" s="157"/>
      <c r="D94" s="157"/>
      <c r="E94" s="158"/>
      <c r="F94" s="157"/>
      <c r="G94" s="157"/>
      <c r="H94" s="158"/>
      <c r="I94" s="157"/>
      <c r="J94" s="157"/>
      <c r="K94" s="157"/>
    </row>
    <row r="95" spans="1:11" x14ac:dyDescent="0.2">
      <c r="A95" s="156"/>
      <c r="B95" s="157"/>
      <c r="C95" s="157"/>
      <c r="D95" s="157"/>
      <c r="E95" s="158"/>
      <c r="F95" s="157"/>
      <c r="G95" s="158"/>
      <c r="H95" s="157"/>
      <c r="I95" s="157"/>
      <c r="J95" s="157"/>
      <c r="K95" s="157"/>
    </row>
    <row r="96" spans="1:11" x14ac:dyDescent="0.2">
      <c r="A96" s="156"/>
      <c r="B96" s="158"/>
      <c r="C96" s="157"/>
      <c r="D96" s="157"/>
      <c r="E96" s="158"/>
      <c r="F96" s="157"/>
      <c r="G96" s="158"/>
      <c r="H96" s="158"/>
      <c r="I96" s="157"/>
      <c r="J96" s="157"/>
      <c r="K96" s="157"/>
    </row>
    <row r="97" spans="1:11" x14ac:dyDescent="0.2">
      <c r="A97" s="156"/>
      <c r="B97" s="157"/>
      <c r="C97" s="157"/>
      <c r="D97" s="157"/>
      <c r="E97" s="158"/>
      <c r="F97" s="157"/>
      <c r="G97" s="157"/>
      <c r="H97" s="158"/>
      <c r="I97" s="157"/>
      <c r="J97" s="157"/>
      <c r="K97" s="157"/>
    </row>
    <row r="98" spans="1:11" x14ac:dyDescent="0.2">
      <c r="A98" s="156"/>
      <c r="B98" s="157"/>
      <c r="C98" s="157"/>
      <c r="D98" s="157"/>
      <c r="E98" s="158"/>
      <c r="F98" s="158"/>
      <c r="G98" s="157"/>
      <c r="H98" s="158"/>
      <c r="I98" s="157"/>
      <c r="J98" s="157"/>
      <c r="K98" s="157"/>
    </row>
    <row r="99" spans="1:11" x14ac:dyDescent="0.2">
      <c r="A99" s="156"/>
      <c r="B99" s="158"/>
      <c r="C99" s="157"/>
      <c r="D99" s="157"/>
      <c r="E99" s="158"/>
      <c r="F99" s="157"/>
      <c r="G99" s="158"/>
      <c r="H99" s="158"/>
      <c r="I99" s="157"/>
      <c r="J99" s="157"/>
      <c r="K99" s="157"/>
    </row>
    <row r="100" spans="1:11" x14ac:dyDescent="0.2">
      <c r="A100" s="156"/>
      <c r="B100" s="158"/>
      <c r="C100" s="157"/>
      <c r="D100" s="157"/>
      <c r="E100" s="158"/>
      <c r="F100" s="158"/>
      <c r="G100" s="158"/>
      <c r="H100" s="158"/>
      <c r="I100" s="157"/>
      <c r="J100" s="157"/>
      <c r="K100" s="157"/>
    </row>
    <row r="101" spans="1:11" x14ac:dyDescent="0.2">
      <c r="A101" s="156"/>
      <c r="B101" s="157"/>
      <c r="C101" s="157"/>
      <c r="D101" s="157"/>
      <c r="E101" s="158"/>
      <c r="F101" s="158"/>
      <c r="G101" s="157"/>
      <c r="H101" s="157"/>
      <c r="I101" s="157"/>
      <c r="J101" s="157"/>
      <c r="K101" s="157"/>
    </row>
    <row r="102" spans="1:11" x14ac:dyDescent="0.2">
      <c r="A102" s="156"/>
      <c r="B102" s="158"/>
      <c r="C102" s="157"/>
      <c r="D102" s="157"/>
      <c r="E102" s="158"/>
      <c r="F102" s="157"/>
      <c r="G102" s="157"/>
      <c r="H102" s="158"/>
      <c r="I102" s="157"/>
      <c r="J102" s="157"/>
      <c r="K102" s="157"/>
    </row>
    <row r="103" spans="1:11" x14ac:dyDescent="0.2">
      <c r="A103" s="156"/>
      <c r="B103" s="157"/>
      <c r="C103" s="157"/>
      <c r="D103" s="157"/>
      <c r="E103" s="158"/>
      <c r="F103" s="157"/>
      <c r="G103" s="158"/>
      <c r="H103" s="158"/>
      <c r="I103" s="157"/>
      <c r="J103" s="157"/>
      <c r="K103" s="157"/>
    </row>
    <row r="104" spans="1:11" x14ac:dyDescent="0.2">
      <c r="A104" s="156"/>
      <c r="B104" s="157"/>
      <c r="C104" s="157"/>
      <c r="D104" s="157"/>
      <c r="E104" s="158"/>
      <c r="F104" s="157"/>
      <c r="G104" s="158"/>
      <c r="H104" s="158"/>
      <c r="I104" s="157"/>
      <c r="J104" s="157"/>
      <c r="K104" s="157"/>
    </row>
    <row r="105" spans="1:11" x14ac:dyDescent="0.2">
      <c r="A105" s="156"/>
      <c r="B105" s="158"/>
      <c r="C105" s="157"/>
      <c r="D105" s="157"/>
      <c r="E105" s="158"/>
      <c r="F105" s="157"/>
      <c r="G105" s="157"/>
      <c r="H105" s="158"/>
      <c r="I105" s="157"/>
      <c r="J105" s="157"/>
      <c r="K105" s="157"/>
    </row>
    <row r="106" spans="1:11" x14ac:dyDescent="0.2">
      <c r="A106" s="156"/>
      <c r="B106" s="158"/>
      <c r="C106" s="157"/>
      <c r="D106" s="157"/>
      <c r="E106" s="158"/>
      <c r="F106" s="157"/>
      <c r="G106" s="157"/>
      <c r="H106" s="158"/>
      <c r="I106" s="157"/>
      <c r="J106" s="157"/>
      <c r="K106" s="157"/>
    </row>
    <row r="107" spans="1:11" x14ac:dyDescent="0.2">
      <c r="A107" s="156"/>
      <c r="B107" s="157"/>
      <c r="C107" s="157"/>
      <c r="D107" s="157"/>
      <c r="E107" s="158"/>
      <c r="F107" s="157"/>
      <c r="G107" s="158"/>
      <c r="H107" s="157"/>
      <c r="I107" s="157"/>
      <c r="J107" s="157"/>
      <c r="K107" s="157"/>
    </row>
    <row r="108" spans="1:11" x14ac:dyDescent="0.2">
      <c r="A108" s="156"/>
      <c r="B108" s="158"/>
      <c r="C108" s="157"/>
      <c r="D108" s="157"/>
      <c r="E108" s="158"/>
      <c r="F108" s="157"/>
      <c r="G108" s="158"/>
      <c r="H108" s="158"/>
      <c r="I108" s="157"/>
      <c r="J108" s="157"/>
      <c r="K108" s="157"/>
    </row>
    <row r="109" spans="1:11" x14ac:dyDescent="0.2">
      <c r="A109" s="156"/>
      <c r="B109" s="157"/>
      <c r="C109" s="157"/>
      <c r="D109" s="157"/>
      <c r="E109" s="158"/>
      <c r="F109" s="157"/>
      <c r="G109" s="157"/>
      <c r="H109" s="158"/>
      <c r="I109" s="157"/>
      <c r="J109" s="157"/>
      <c r="K109" s="157"/>
    </row>
    <row r="110" spans="1:11" x14ac:dyDescent="0.2">
      <c r="A110" s="156"/>
      <c r="B110" s="157"/>
      <c r="C110" s="157"/>
      <c r="D110" s="157"/>
      <c r="E110" s="158"/>
      <c r="F110" s="157"/>
      <c r="G110" s="157"/>
      <c r="H110" s="158"/>
      <c r="I110" s="157"/>
      <c r="J110" s="157"/>
      <c r="K110" s="157"/>
    </row>
    <row r="111" spans="1:11" x14ac:dyDescent="0.2">
      <c r="A111" s="156"/>
      <c r="B111" s="158"/>
      <c r="C111" s="157"/>
      <c r="D111" s="157"/>
      <c r="E111" s="158"/>
      <c r="F111" s="157"/>
      <c r="G111" s="158"/>
      <c r="H111" s="158"/>
      <c r="I111" s="157"/>
      <c r="J111" s="157"/>
      <c r="K111" s="157"/>
    </row>
    <row r="112" spans="1:11" x14ac:dyDescent="0.2">
      <c r="A112" s="156"/>
      <c r="B112" s="158"/>
      <c r="C112" s="157"/>
      <c r="D112" s="157"/>
      <c r="E112" s="158"/>
      <c r="F112" s="157"/>
      <c r="G112" s="158"/>
      <c r="H112" s="158"/>
      <c r="I112" s="157"/>
      <c r="J112" s="157"/>
      <c r="K112" s="157"/>
    </row>
    <row r="113" spans="1:11" x14ac:dyDescent="0.2">
      <c r="A113" s="156"/>
      <c r="B113" s="157"/>
      <c r="C113" s="157"/>
      <c r="D113" s="157"/>
      <c r="E113" s="158"/>
      <c r="F113" s="158"/>
      <c r="G113" s="157"/>
      <c r="H113" s="157"/>
      <c r="I113" s="157"/>
      <c r="J113" s="157"/>
      <c r="K113" s="157"/>
    </row>
    <row r="114" spans="1:11" x14ac:dyDescent="0.2">
      <c r="A114" s="156"/>
      <c r="B114" s="158"/>
      <c r="C114" s="157"/>
      <c r="D114" s="157"/>
      <c r="E114" s="158"/>
      <c r="F114" s="157"/>
      <c r="G114" s="157"/>
      <c r="H114" s="158"/>
      <c r="I114" s="157"/>
      <c r="J114" s="157"/>
      <c r="K114" s="157"/>
    </row>
    <row r="115" spans="1:11" x14ac:dyDescent="0.2">
      <c r="A115" s="156"/>
      <c r="B115" s="157"/>
      <c r="C115" s="157"/>
      <c r="D115" s="157"/>
      <c r="E115" s="158"/>
      <c r="F115" s="158"/>
      <c r="G115" s="158"/>
      <c r="H115" s="158"/>
      <c r="I115" s="157"/>
      <c r="J115" s="157"/>
      <c r="K115" s="157"/>
    </row>
    <row r="116" spans="1:11" x14ac:dyDescent="0.2">
      <c r="A116" s="156"/>
      <c r="B116" s="157"/>
      <c r="C116" s="157"/>
      <c r="D116" s="157"/>
      <c r="E116" s="158"/>
      <c r="F116" s="158"/>
      <c r="G116" s="158"/>
      <c r="H116" s="158"/>
      <c r="I116" s="157"/>
      <c r="J116" s="157"/>
      <c r="K116" s="157"/>
    </row>
    <row r="117" spans="1:11" x14ac:dyDescent="0.2">
      <c r="A117" s="156"/>
      <c r="B117" s="158"/>
      <c r="C117" s="157"/>
      <c r="D117" s="157"/>
      <c r="E117" s="158"/>
      <c r="F117" s="157"/>
      <c r="G117" s="157"/>
      <c r="H117" s="158"/>
      <c r="I117" s="157"/>
      <c r="J117" s="157"/>
      <c r="K117" s="157"/>
    </row>
    <row r="118" spans="1:11" x14ac:dyDescent="0.2">
      <c r="A118" s="156"/>
      <c r="B118" s="158"/>
      <c r="C118" s="157"/>
      <c r="D118" s="157"/>
      <c r="E118" s="158"/>
      <c r="F118" s="157"/>
      <c r="G118" s="157"/>
      <c r="H118" s="158"/>
      <c r="I118" s="157"/>
      <c r="J118" s="157"/>
      <c r="K118" s="157"/>
    </row>
    <row r="119" spans="1:11" x14ac:dyDescent="0.2">
      <c r="A119" s="156"/>
      <c r="B119" s="157"/>
      <c r="C119" s="157"/>
      <c r="D119" s="157"/>
      <c r="E119" s="158"/>
      <c r="F119" s="157"/>
      <c r="G119" s="158"/>
      <c r="H119" s="157"/>
      <c r="I119" s="157"/>
      <c r="J119" s="157"/>
      <c r="K119" s="157"/>
    </row>
    <row r="120" spans="1:11" x14ac:dyDescent="0.2">
      <c r="A120" s="156"/>
      <c r="B120" s="158"/>
      <c r="C120" s="158"/>
      <c r="D120" s="157"/>
      <c r="E120" s="158"/>
      <c r="F120" s="157"/>
      <c r="G120" s="158"/>
      <c r="H120" s="158"/>
      <c r="I120" s="157"/>
      <c r="J120" s="157"/>
      <c r="K120" s="157"/>
    </row>
    <row r="121" spans="1:11" x14ac:dyDescent="0.2">
      <c r="A121" s="156"/>
      <c r="B121" s="157"/>
      <c r="C121" s="157"/>
      <c r="D121" s="157"/>
      <c r="E121" s="158"/>
      <c r="F121" s="157"/>
      <c r="G121" s="157"/>
      <c r="H121" s="158"/>
      <c r="I121" s="157"/>
      <c r="J121" s="157"/>
      <c r="K121" s="157"/>
    </row>
    <row r="122" spans="1:11" x14ac:dyDescent="0.2">
      <c r="A122" s="156"/>
      <c r="B122" s="157"/>
      <c r="C122" s="157"/>
      <c r="D122" s="157"/>
      <c r="E122" s="158"/>
      <c r="F122" s="157"/>
      <c r="G122" s="157"/>
      <c r="H122" s="158"/>
      <c r="I122" s="157"/>
      <c r="J122" s="157"/>
      <c r="K122" s="157"/>
    </row>
    <row r="123" spans="1:11" x14ac:dyDescent="0.2">
      <c r="A123" s="156"/>
      <c r="B123" s="158"/>
      <c r="C123" s="157"/>
      <c r="D123" s="157"/>
      <c r="E123" s="158"/>
      <c r="F123" s="157"/>
      <c r="G123" s="158"/>
      <c r="H123" s="158"/>
      <c r="I123" s="157"/>
      <c r="J123" s="157"/>
      <c r="K123" s="157"/>
    </row>
    <row r="124" spans="1:11" x14ac:dyDescent="0.2">
      <c r="A124" s="156"/>
      <c r="B124" s="158"/>
      <c r="C124" s="157"/>
      <c r="D124" s="157"/>
      <c r="E124" s="158"/>
      <c r="F124" s="157"/>
      <c r="G124" s="158"/>
      <c r="H124" s="158"/>
      <c r="I124" s="157"/>
      <c r="J124" s="157"/>
      <c r="K124" s="157"/>
    </row>
    <row r="125" spans="1:11" x14ac:dyDescent="0.2">
      <c r="A125" s="156"/>
      <c r="B125" s="157"/>
      <c r="C125" s="157"/>
      <c r="D125" s="157"/>
      <c r="E125" s="158"/>
      <c r="F125" s="157"/>
      <c r="G125" s="157"/>
      <c r="H125" s="157"/>
      <c r="I125" s="157"/>
      <c r="J125" s="157"/>
      <c r="K125" s="157"/>
    </row>
    <row r="126" spans="1:11" x14ac:dyDescent="0.2">
      <c r="A126" s="156"/>
      <c r="B126" s="158"/>
      <c r="C126" s="157"/>
      <c r="D126" s="157"/>
      <c r="E126" s="158"/>
      <c r="F126" s="157"/>
      <c r="G126" s="157"/>
      <c r="H126" s="158"/>
      <c r="I126" s="157"/>
      <c r="J126" s="157"/>
      <c r="K126" s="157"/>
    </row>
    <row r="127" spans="1:11" x14ac:dyDescent="0.2">
      <c r="A127" s="156"/>
      <c r="B127" s="157"/>
      <c r="C127" s="157"/>
      <c r="D127" s="157"/>
      <c r="E127" s="158"/>
      <c r="F127" s="157"/>
      <c r="G127" s="158"/>
      <c r="H127" s="158"/>
      <c r="I127" s="157"/>
      <c r="J127" s="157"/>
      <c r="K127" s="157"/>
    </row>
    <row r="128" spans="1:11" x14ac:dyDescent="0.2">
      <c r="A128" s="156"/>
      <c r="B128" s="157"/>
      <c r="C128" s="157"/>
      <c r="D128" s="157"/>
      <c r="E128" s="158"/>
      <c r="F128" s="158"/>
      <c r="G128" s="158"/>
      <c r="H128" s="158"/>
      <c r="I128" s="157"/>
      <c r="J128" s="157"/>
      <c r="K128" s="157"/>
    </row>
    <row r="129" spans="1:11" x14ac:dyDescent="0.2">
      <c r="A129" s="156"/>
      <c r="B129" s="158"/>
      <c r="C129" s="157"/>
      <c r="D129" s="157"/>
      <c r="E129" s="158"/>
      <c r="F129" s="157"/>
      <c r="G129" s="157"/>
      <c r="H129" s="157"/>
      <c r="I129" s="157"/>
      <c r="J129" s="157"/>
      <c r="K129" s="157"/>
    </row>
    <row r="130" spans="1:11" x14ac:dyDescent="0.2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</row>
    <row r="131" spans="1:11" x14ac:dyDescent="0.2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</row>
    <row r="132" spans="1:11" x14ac:dyDescent="0.2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</row>
    <row r="133" spans="1:11" x14ac:dyDescent="0.2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</row>
    <row r="134" spans="1:11" x14ac:dyDescent="0.2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</row>
    <row r="135" spans="1:11" x14ac:dyDescent="0.2">
      <c r="A135" s="156"/>
      <c r="B135" s="158"/>
      <c r="C135" s="157"/>
      <c r="D135" s="157"/>
      <c r="E135" s="158"/>
      <c r="F135" s="157"/>
      <c r="G135" s="157"/>
      <c r="H135" s="157"/>
      <c r="I135" s="157"/>
      <c r="J135" s="157"/>
      <c r="K135" s="157"/>
    </row>
    <row r="136" spans="1:11" x14ac:dyDescent="0.2">
      <c r="A136" s="156"/>
      <c r="B136" s="158"/>
      <c r="C136" s="157"/>
      <c r="D136" s="157"/>
      <c r="E136" s="158"/>
      <c r="F136" s="157"/>
      <c r="G136" s="157"/>
      <c r="H136" s="157"/>
      <c r="I136" s="157"/>
      <c r="J136" s="157"/>
      <c r="K136" s="157"/>
    </row>
    <row r="137" spans="1:11" x14ac:dyDescent="0.2">
      <c r="A137" s="156"/>
      <c r="B137" s="158"/>
      <c r="C137" s="157"/>
      <c r="D137" s="157"/>
      <c r="E137" s="158"/>
      <c r="F137" s="157"/>
      <c r="G137" s="157"/>
      <c r="H137" s="157"/>
      <c r="I137" s="157"/>
      <c r="J137" s="157"/>
      <c r="K137" s="157"/>
    </row>
    <row r="138" spans="1:11" x14ac:dyDescent="0.2">
      <c r="A138" s="156"/>
      <c r="B138" s="157"/>
      <c r="C138" s="157"/>
      <c r="D138" s="157"/>
      <c r="E138" s="158"/>
      <c r="F138" s="158"/>
      <c r="G138" s="158"/>
      <c r="H138" s="158"/>
      <c r="I138" s="157"/>
      <c r="J138" s="157"/>
      <c r="K138" s="157"/>
    </row>
    <row r="139" spans="1:11" x14ac:dyDescent="0.2">
      <c r="A139" s="156"/>
      <c r="B139" s="158"/>
      <c r="C139" s="157"/>
      <c r="D139" s="157"/>
      <c r="E139" s="158"/>
      <c r="F139" s="157"/>
      <c r="G139" s="157"/>
      <c r="H139" s="157"/>
      <c r="I139" s="157"/>
      <c r="J139" s="157"/>
      <c r="K139" s="157"/>
    </row>
    <row r="140" spans="1:11" x14ac:dyDescent="0.2">
      <c r="A140" s="156"/>
      <c r="B140" s="158"/>
      <c r="C140" s="157"/>
      <c r="D140" s="157"/>
      <c r="E140" s="158"/>
      <c r="F140" s="157"/>
      <c r="G140" s="157"/>
      <c r="H140" s="157"/>
      <c r="I140" s="157"/>
      <c r="J140" s="157"/>
      <c r="K140" s="157"/>
    </row>
    <row r="141" spans="1:11" x14ac:dyDescent="0.2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</row>
    <row r="142" spans="1:11" x14ac:dyDescent="0.2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</row>
    <row r="143" spans="1:11" x14ac:dyDescent="0.2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</row>
    <row r="144" spans="1:11" x14ac:dyDescent="0.2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</row>
    <row r="145" spans="1:11" x14ac:dyDescent="0.2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</row>
    <row r="146" spans="1:11" x14ac:dyDescent="0.2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</row>
    <row r="147" spans="1:11" x14ac:dyDescent="0.2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</row>
    <row r="148" spans="1:11" x14ac:dyDescent="0.2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</row>
    <row r="149" spans="1:11" x14ac:dyDescent="0.2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</row>
    <row r="150" spans="1:11" x14ac:dyDescent="0.2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</row>
    <row r="151" spans="1:11" x14ac:dyDescent="0.2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</row>
    <row r="152" spans="1:11" x14ac:dyDescent="0.2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</row>
    <row r="153" spans="1:11" x14ac:dyDescent="0.2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</row>
    <row r="154" spans="1:11" x14ac:dyDescent="0.2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</row>
    <row r="155" spans="1:11" x14ac:dyDescent="0.2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</row>
    <row r="156" spans="1:11" x14ac:dyDescent="0.2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</row>
    <row r="157" spans="1:11" x14ac:dyDescent="0.2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2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x14ac:dyDescent="0.2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x14ac:dyDescent="0.2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</row>
    <row r="161" spans="1:11" x14ac:dyDescent="0.2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</row>
    <row r="162" spans="1:11" x14ac:dyDescent="0.2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</row>
    <row r="163" spans="1:11" x14ac:dyDescent="0.2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</row>
    <row r="164" spans="1:11" x14ac:dyDescent="0.2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</row>
    <row r="165" spans="1:11" x14ac:dyDescent="0.2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</row>
    <row r="166" spans="1:11" x14ac:dyDescent="0.2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</row>
    <row r="167" spans="1:11" x14ac:dyDescent="0.2">
      <c r="A167" s="156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</row>
    <row r="168" spans="1:11" x14ac:dyDescent="0.2">
      <c r="A168" s="156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</row>
    <row r="169" spans="1:11" x14ac:dyDescent="0.2">
      <c r="A169" s="156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</row>
    <row r="170" spans="1:11" x14ac:dyDescent="0.2">
      <c r="A170" s="156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</row>
    <row r="171" spans="1:11" x14ac:dyDescent="0.2">
      <c r="A171" s="156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</row>
    <row r="172" spans="1:11" x14ac:dyDescent="0.2">
      <c r="A172" s="156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</row>
    <row r="173" spans="1:11" x14ac:dyDescent="0.2">
      <c r="A173" s="156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</row>
    <row r="174" spans="1:11" x14ac:dyDescent="0.2">
      <c r="A174" s="156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</row>
    <row r="175" spans="1:11" x14ac:dyDescent="0.2">
      <c r="A175" s="156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</row>
    <row r="176" spans="1:11" x14ac:dyDescent="0.2">
      <c r="A176" s="156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</row>
    <row r="177" spans="1:11" x14ac:dyDescent="0.2">
      <c r="A177" s="156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</row>
    <row r="178" spans="1:11" x14ac:dyDescent="0.2">
      <c r="A178" s="156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</row>
    <row r="179" spans="1:11" x14ac:dyDescent="0.2">
      <c r="A179" s="156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</row>
    <row r="180" spans="1:11" x14ac:dyDescent="0.2">
      <c r="A180" s="156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</row>
    <row r="181" spans="1:11" x14ac:dyDescent="0.2">
      <c r="A181" s="156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</row>
    <row r="182" spans="1:11" x14ac:dyDescent="0.2">
      <c r="A182" s="156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</row>
    <row r="183" spans="1:11" x14ac:dyDescent="0.2">
      <c r="A183" s="156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</row>
    <row r="184" spans="1:11" x14ac:dyDescent="0.2">
      <c r="A184" s="156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</row>
    <row r="185" spans="1:11" x14ac:dyDescent="0.2">
      <c r="A185" s="156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</row>
    <row r="186" spans="1:11" x14ac:dyDescent="0.2">
      <c r="A186" s="156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</row>
    <row r="187" spans="1:11" x14ac:dyDescent="0.2">
      <c r="A187" s="156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</row>
    <row r="188" spans="1:11" x14ac:dyDescent="0.2">
      <c r="A188" s="156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</row>
    <row r="189" spans="1:11" x14ac:dyDescent="0.2">
      <c r="A189" s="156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</row>
    <row r="190" spans="1:11" x14ac:dyDescent="0.2">
      <c r="A190" s="156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</row>
    <row r="191" spans="1:11" x14ac:dyDescent="0.2">
      <c r="A191" s="156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</row>
    <row r="192" spans="1:11" x14ac:dyDescent="0.2">
      <c r="A192" s="156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</row>
    <row r="193" spans="1:11" x14ac:dyDescent="0.2">
      <c r="A193" s="156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</row>
    <row r="194" spans="1:11" x14ac:dyDescent="0.2">
      <c r="A194" s="156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</row>
    <row r="195" spans="1:11" x14ac:dyDescent="0.2">
      <c r="A195" s="156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</row>
    <row r="196" spans="1:11" x14ac:dyDescent="0.2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</row>
    <row r="197" spans="1:11" x14ac:dyDescent="0.2">
      <c r="A197" s="156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</row>
    <row r="198" spans="1:11" x14ac:dyDescent="0.2">
      <c r="A198" s="156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</row>
    <row r="199" spans="1:11" x14ac:dyDescent="0.2">
      <c r="A199" s="156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</row>
    <row r="200" spans="1:11" x14ac:dyDescent="0.2">
      <c r="A200" s="156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</row>
    <row r="201" spans="1:11" x14ac:dyDescent="0.2">
      <c r="A201" s="156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</row>
    <row r="202" spans="1:11" x14ac:dyDescent="0.2">
      <c r="A202" s="156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</row>
    <row r="203" spans="1:11" x14ac:dyDescent="0.2">
      <c r="A203" s="156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</row>
    <row r="204" spans="1:11" x14ac:dyDescent="0.2">
      <c r="A204" s="156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</row>
    <row r="205" spans="1:11" x14ac:dyDescent="0.2">
      <c r="A205" s="156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</row>
    <row r="206" spans="1:11" x14ac:dyDescent="0.2">
      <c r="A206" s="156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</row>
    <row r="207" spans="1:11" x14ac:dyDescent="0.2">
      <c r="A207" s="156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</row>
    <row r="208" spans="1:11" x14ac:dyDescent="0.2">
      <c r="A208" s="156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</row>
    <row r="209" spans="1:11" x14ac:dyDescent="0.2">
      <c r="A209" s="156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</row>
    <row r="210" spans="1:11" x14ac:dyDescent="0.2">
      <c r="A210" s="156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</row>
    <row r="211" spans="1:11" x14ac:dyDescent="0.2">
      <c r="A211" s="156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</row>
    <row r="212" spans="1:11" x14ac:dyDescent="0.2">
      <c r="A212" s="156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</row>
    <row r="213" spans="1:11" x14ac:dyDescent="0.2">
      <c r="A213" s="156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</row>
    <row r="214" spans="1:11" x14ac:dyDescent="0.2">
      <c r="A214" s="156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</row>
    <row r="215" spans="1:11" x14ac:dyDescent="0.2">
      <c r="A215" s="156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</row>
    <row r="216" spans="1:11" x14ac:dyDescent="0.2">
      <c r="A216" s="156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</row>
    <row r="217" spans="1:11" x14ac:dyDescent="0.2">
      <c r="A217" s="156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</row>
    <row r="218" spans="1:11" x14ac:dyDescent="0.2">
      <c r="A218" s="156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</row>
    <row r="219" spans="1:11" x14ac:dyDescent="0.2">
      <c r="A219" s="156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</row>
    <row r="220" spans="1:11" x14ac:dyDescent="0.2">
      <c r="A220" s="156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</row>
    <row r="221" spans="1:11" x14ac:dyDescent="0.2">
      <c r="A221" s="156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</row>
    <row r="222" spans="1:11" x14ac:dyDescent="0.2">
      <c r="A222" s="156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</row>
    <row r="223" spans="1:11" x14ac:dyDescent="0.2">
      <c r="A223" s="156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</row>
    <row r="224" spans="1:11" x14ac:dyDescent="0.2">
      <c r="A224" s="156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</row>
    <row r="225" spans="1:11" x14ac:dyDescent="0.2">
      <c r="A225" s="156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</row>
    <row r="226" spans="1:11" x14ac:dyDescent="0.2">
      <c r="A226" s="156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</row>
    <row r="227" spans="1:11" x14ac:dyDescent="0.2">
      <c r="A227" s="156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</row>
    <row r="228" spans="1:11" x14ac:dyDescent="0.2">
      <c r="A228" s="156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</row>
    <row r="229" spans="1:11" x14ac:dyDescent="0.2">
      <c r="A229" s="156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</row>
    <row r="230" spans="1:11" x14ac:dyDescent="0.2">
      <c r="A230" s="156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</row>
    <row r="231" spans="1:11" x14ac:dyDescent="0.2">
      <c r="A231" s="156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</row>
    <row r="232" spans="1:11" x14ac:dyDescent="0.2">
      <c r="A232" s="156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</row>
    <row r="233" spans="1:11" x14ac:dyDescent="0.2">
      <c r="A233" s="156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</row>
    <row r="234" spans="1:11" x14ac:dyDescent="0.2">
      <c r="A234" s="156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</row>
    <row r="235" spans="1:11" x14ac:dyDescent="0.2">
      <c r="A235" s="156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</row>
    <row r="236" spans="1:11" x14ac:dyDescent="0.2">
      <c r="A236" s="156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</row>
    <row r="237" spans="1:11" x14ac:dyDescent="0.2">
      <c r="A237" s="156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</row>
    <row r="238" spans="1:11" x14ac:dyDescent="0.2">
      <c r="A238" s="156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</row>
    <row r="239" spans="1:11" x14ac:dyDescent="0.2">
      <c r="A239" s="156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</row>
    <row r="240" spans="1:11" x14ac:dyDescent="0.2">
      <c r="A240" s="156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</row>
    <row r="241" spans="1:11" x14ac:dyDescent="0.2">
      <c r="A241" s="156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</row>
    <row r="242" spans="1:11" x14ac:dyDescent="0.2">
      <c r="A242" s="156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</row>
    <row r="243" spans="1:11" x14ac:dyDescent="0.2">
      <c r="A243" s="156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</row>
    <row r="244" spans="1:11" x14ac:dyDescent="0.2">
      <c r="A244" s="156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</row>
    <row r="245" spans="1:11" x14ac:dyDescent="0.2">
      <c r="A245" s="156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</row>
    <row r="246" spans="1:11" x14ac:dyDescent="0.2">
      <c r="A246" s="156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</row>
    <row r="247" spans="1:11" x14ac:dyDescent="0.2">
      <c r="A247" s="156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</row>
    <row r="248" spans="1:11" x14ac:dyDescent="0.2">
      <c r="A248" s="156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</row>
    <row r="249" spans="1:11" x14ac:dyDescent="0.2">
      <c r="A249" s="156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</row>
    <row r="250" spans="1:11" x14ac:dyDescent="0.2">
      <c r="A250" s="156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</row>
    <row r="251" spans="1:11" x14ac:dyDescent="0.2">
      <c r="A251" s="156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</row>
    <row r="252" spans="1:11" x14ac:dyDescent="0.2">
      <c r="A252" s="156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</row>
    <row r="253" spans="1:11" x14ac:dyDescent="0.2">
      <c r="A253" s="156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</row>
    <row r="254" spans="1:11" x14ac:dyDescent="0.2">
      <c r="A254" s="156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x14ac:dyDescent="0.2">
      <c r="B255" s="160" t="s">
        <v>223</v>
      </c>
      <c r="C255" s="161"/>
      <c r="D255" s="161"/>
      <c r="E255" s="161"/>
      <c r="F255" s="161"/>
      <c r="G255" s="161"/>
      <c r="H255" s="161"/>
      <c r="I255" s="161"/>
      <c r="J255" s="161"/>
      <c r="K255" s="161"/>
    </row>
  </sheetData>
  <sheetProtection password="CAB3" sheet="1" objects="1" scenarios="1"/>
  <mergeCells count="10">
    <mergeCell ref="B255:K255"/>
    <mergeCell ref="B1:K2"/>
    <mergeCell ref="B3:B4"/>
    <mergeCell ref="C3:C4"/>
    <mergeCell ref="D3:D4"/>
    <mergeCell ref="E3:E4"/>
    <mergeCell ref="F3:F4"/>
    <mergeCell ref="G3:G4"/>
    <mergeCell ref="H3:H4"/>
    <mergeCell ref="I3:K3"/>
  </mergeCells>
  <dataValidations count="8">
    <dataValidation type="list" allowBlank="1" showInputMessage="1" showErrorMessage="1" sqref="I5:K254">
      <formula1>ValidProgramme</formula1>
    </dataValidation>
    <dataValidation type="list" showInputMessage="1" showErrorMessage="1" sqref="C5:C254">
      <formula1>ValidPerson</formula1>
    </dataValidation>
    <dataValidation type="list" showInputMessage="1" showErrorMessage="1" sqref="D5:D254">
      <formula1>ValidType</formula1>
    </dataValidation>
    <dataValidation type="list" allowBlank="1" showInputMessage="1" showErrorMessage="1" sqref="E5:E254">
      <formula1>ValidGender</formula1>
    </dataValidation>
    <dataValidation type="list" showInputMessage="1" showErrorMessage="1" sqref="H5:H254">
      <formula1>ValidReason</formula1>
    </dataValidation>
    <dataValidation type="list" showInputMessage="1" showErrorMessage="1" sqref="F5:F254">
      <formula1>ValidCancerSite</formula1>
    </dataValidation>
    <dataValidation type="list" allowBlank="1" showInputMessage="1" showErrorMessage="1" sqref="G5:G254">
      <formula1>ValidStage</formula1>
    </dataValidation>
    <dataValidation type="list" allowBlank="1" showInputMessage="1" showErrorMessage="1" sqref="B5:B254">
      <formula1>ValidSeenby</formula1>
    </dataValidation>
  </dataValidations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U9290"/>
  <sheetViews>
    <sheetView workbookViewId="0">
      <selection activeCell="I14" sqref="I14"/>
    </sheetView>
  </sheetViews>
  <sheetFormatPr defaultColWidth="8.7109375" defaultRowHeight="15" x14ac:dyDescent="0.25"/>
  <cols>
    <col min="1" max="1" width="18.7109375" style="34" customWidth="1"/>
    <col min="2" max="2" width="13.28515625" style="78" customWidth="1"/>
    <col min="3" max="7" width="8.7109375" style="67"/>
    <col min="8" max="8" width="11" style="67" customWidth="1"/>
    <col min="9" max="9" width="13.140625" style="67" customWidth="1"/>
    <col min="10" max="10" width="13.5703125" style="67" customWidth="1"/>
    <col min="11" max="11" width="15.28515625" style="76" customWidth="1"/>
    <col min="12" max="12" width="6.42578125" style="87" customWidth="1"/>
    <col min="13" max="13" width="10.28515625" style="67" customWidth="1"/>
    <col min="14" max="14" width="10.85546875" style="76" customWidth="1"/>
    <col min="15" max="15" width="8.7109375" style="33"/>
    <col min="16" max="16" width="9.7109375" style="33" customWidth="1"/>
    <col min="17" max="17" width="14.5703125" style="33" customWidth="1"/>
    <col min="18" max="18" width="11.7109375" style="33" bestFit="1" customWidth="1"/>
    <col min="19" max="19" width="16.85546875" style="33" bestFit="1" customWidth="1"/>
    <col min="20" max="20" width="11" style="33" bestFit="1" customWidth="1"/>
    <col min="21" max="16384" width="8.7109375" style="33"/>
  </cols>
  <sheetData>
    <row r="1" spans="1:21" ht="15" customHeight="1" x14ac:dyDescent="0.25">
      <c r="A1" s="81" t="s">
        <v>109</v>
      </c>
      <c r="B1" s="32" t="s">
        <v>111</v>
      </c>
      <c r="C1" s="32" t="s">
        <v>25</v>
      </c>
      <c r="D1" s="32" t="s">
        <v>64</v>
      </c>
      <c r="E1" s="32" t="s">
        <v>55</v>
      </c>
      <c r="F1" s="32" t="s">
        <v>8</v>
      </c>
      <c r="G1" s="32" t="s">
        <v>5</v>
      </c>
      <c r="H1" s="32" t="s">
        <v>98</v>
      </c>
      <c r="I1" s="32" t="s">
        <v>160</v>
      </c>
      <c r="J1" s="32" t="s">
        <v>161</v>
      </c>
      <c r="K1" s="32" t="s">
        <v>162</v>
      </c>
      <c r="M1" s="74" t="s">
        <v>214</v>
      </c>
      <c r="N1" s="75" t="s">
        <v>215</v>
      </c>
      <c r="O1" s="62" t="s">
        <v>216</v>
      </c>
      <c r="P1" s="62" t="s">
        <v>217</v>
      </c>
      <c r="Q1" s="62" t="s">
        <v>218</v>
      </c>
      <c r="R1" s="62" t="s">
        <v>219</v>
      </c>
      <c r="S1" s="62" t="s">
        <v>220</v>
      </c>
      <c r="T1" s="62" t="s">
        <v>221</v>
      </c>
      <c r="U1" s="62" t="s">
        <v>222</v>
      </c>
    </row>
    <row r="2" spans="1:21" x14ac:dyDescent="0.25">
      <c r="A2" s="58" t="s">
        <v>203</v>
      </c>
      <c r="B2" s="82" t="str">
        <f>IF(First!B5="", "",First!B5)</f>
        <v>Sessional Staff</v>
      </c>
      <c r="C2" s="1" t="str">
        <f>IF(First!C5="", "",First!C5)</f>
        <v>PwC</v>
      </c>
      <c r="D2" s="1" t="str">
        <f>IF(First!D5="", "",First!D5)</f>
        <v>Returning</v>
      </c>
      <c r="E2" s="1" t="str">
        <f>IF(First!E5="", "",First!E5)</f>
        <v>Male</v>
      </c>
      <c r="F2" s="1" t="str">
        <f>IF(First!F5="", "",First!F5)</f>
        <v>Lower GI</v>
      </c>
      <c r="G2" s="1" t="str">
        <f>IF(First!G5="", "",First!G5)</f>
        <v>Curative Intent</v>
      </c>
      <c r="H2" s="1" t="str">
        <f>IF(First!H5="", "",First!H5)</f>
        <v>Programme</v>
      </c>
      <c r="I2" s="1" t="str">
        <f>IF(First!I5="", "",First!I5)</f>
        <v>Nutrition</v>
      </c>
      <c r="J2" s="1" t="str">
        <f>IF(First!J5="", "",First!J5)</f>
        <v/>
      </c>
      <c r="K2" s="83" t="str">
        <f>IF(First!K5="", "",First!K5)</f>
        <v/>
      </c>
      <c r="M2" s="67">
        <f>IF(C2="PwC",(7-COUNTIF(B2:H2,"")),"")</f>
        <v>7</v>
      </c>
      <c r="N2" s="76" t="str">
        <f>IF(C2="Carer",(7-COUNTIF(B2:H2,"")),"")</f>
        <v/>
      </c>
      <c r="O2" s="33">
        <f t="shared" ref="O2:O65" si="0">SUM(M2:N2)</f>
        <v>7</v>
      </c>
      <c r="P2" s="33">
        <f>SUM(O2:O7751)</f>
        <v>11861</v>
      </c>
      <c r="Q2" s="33">
        <f>P2/7</f>
        <v>1694.4285714285713</v>
      </c>
      <c r="R2" s="33">
        <f>Summary!B4</f>
        <v>1706</v>
      </c>
      <c r="S2" s="33">
        <f>R2*7</f>
        <v>11942</v>
      </c>
      <c r="T2" s="63">
        <f>P2/S2</f>
        <v>0.99321721654664208</v>
      </c>
      <c r="U2" s="33">
        <f>S2-P2</f>
        <v>81</v>
      </c>
    </row>
    <row r="3" spans="1:21" x14ac:dyDescent="0.25">
      <c r="A3" s="58" t="s">
        <v>203</v>
      </c>
      <c r="B3" s="82" t="str">
        <f>IF(First!B6="", "",First!B6)</f>
        <v>Sessional Staff</v>
      </c>
      <c r="C3" s="1" t="str">
        <f>IF(First!C6="", "",First!C6)</f>
        <v>Carer</v>
      </c>
      <c r="D3" s="1" t="str">
        <f>IF(First!D6="", "",First!D6)</f>
        <v>Returning</v>
      </c>
      <c r="E3" s="1" t="str">
        <f>IF(First!E6="", "",First!E6)</f>
        <v>Female</v>
      </c>
      <c r="F3" s="1" t="str">
        <f>IF(First!F6="", "",First!F6)</f>
        <v>Lower GI</v>
      </c>
      <c r="G3" s="1" t="str">
        <f>IF(First!G6="", "",First!G6)</f>
        <v>Curative Intent</v>
      </c>
      <c r="H3" s="1" t="str">
        <f>IF(First!H6="", "",First!H6)</f>
        <v>Programme</v>
      </c>
      <c r="I3" s="1" t="str">
        <f>IF(First!I6="", "",First!I6)</f>
        <v>Nutrition</v>
      </c>
      <c r="J3" s="1" t="str">
        <f>IF(First!J6="", "",First!J6)</f>
        <v/>
      </c>
      <c r="K3" s="83" t="str">
        <f>IF(First!K6="", "",First!K6)</f>
        <v/>
      </c>
      <c r="M3" s="67" t="str">
        <f t="shared" ref="M3:M66" si="1">IF(C3="PwC",(7-COUNTIF(B3:H3,"")),"")</f>
        <v/>
      </c>
      <c r="N3" s="76">
        <f t="shared" ref="N3:N66" si="2">IF(C3="Carer",(7-COUNTIF(B3:H3,"")),"")</f>
        <v>7</v>
      </c>
      <c r="O3" s="33">
        <f t="shared" si="0"/>
        <v>7</v>
      </c>
    </row>
    <row r="4" spans="1:21" x14ac:dyDescent="0.25">
      <c r="A4" s="58" t="s">
        <v>203</v>
      </c>
      <c r="B4" s="82" t="str">
        <f>IF(First!B7="", "",First!B7)</f>
        <v>Psychologist</v>
      </c>
      <c r="C4" s="1" t="str">
        <f>IF(First!C7="", "",First!C7)</f>
        <v>Carer</v>
      </c>
      <c r="D4" s="1" t="str">
        <f>IF(First!D7="", "",First!D7)</f>
        <v>Returning</v>
      </c>
      <c r="E4" s="1" t="str">
        <f>IF(First!E7="", "",First!E7)</f>
        <v>Female</v>
      </c>
      <c r="F4" s="1" t="str">
        <f>IF(First!F7="", "",First!F7)</f>
        <v>Brain/CNS</v>
      </c>
      <c r="G4" s="1" t="str">
        <f>IF(First!G7="", "",First!G7)</f>
        <v>Pre-Diagnosis</v>
      </c>
      <c r="H4" s="1" t="str">
        <f>IF(First!H7="", "",First!H7)</f>
        <v>Programme</v>
      </c>
      <c r="I4" s="1" t="str">
        <f>IF(First!I7="", "",First!I7)</f>
        <v>Managing Stress</v>
      </c>
      <c r="J4" s="1" t="str">
        <f>IF(First!J7="", "",First!J7)</f>
        <v>Getting Started with Cancer Treatment</v>
      </c>
      <c r="K4" s="83" t="str">
        <f>IF(First!K7="", "",First!K7)</f>
        <v>Genetics</v>
      </c>
      <c r="M4" s="67" t="str">
        <f t="shared" si="1"/>
        <v/>
      </c>
      <c r="N4" s="76">
        <f t="shared" si="2"/>
        <v>7</v>
      </c>
      <c r="O4" s="33">
        <f t="shared" si="0"/>
        <v>7</v>
      </c>
    </row>
    <row r="5" spans="1:21" x14ac:dyDescent="0.25">
      <c r="A5" s="58" t="s">
        <v>203</v>
      </c>
      <c r="B5" s="82" t="str">
        <f>IF(First!B8="", "",First!B8)</f>
        <v>Psychologist</v>
      </c>
      <c r="C5" s="1" t="str">
        <f>IF(First!C8="", "",First!C8)</f>
        <v>Carer</v>
      </c>
      <c r="D5" s="1" t="str">
        <f>IF(First!D8="", "",First!D8)</f>
        <v>Returning</v>
      </c>
      <c r="E5" s="1" t="str">
        <f>IF(First!E8="", "",First!E8)</f>
        <v>Male</v>
      </c>
      <c r="F5" s="1" t="str">
        <f>IF(First!F8="", "",First!F8)</f>
        <v>Breast</v>
      </c>
      <c r="G5" s="1" t="str">
        <f>IF(First!G8="", "",First!G8)</f>
        <v>Pre-Diagnosis</v>
      </c>
      <c r="H5" s="1" t="str">
        <f>IF(First!H8="", "",First!H8)</f>
        <v>Programme</v>
      </c>
      <c r="I5" s="1" t="str">
        <f>IF(First!I8="", "",First!I8)</f>
        <v>Managing Stress</v>
      </c>
      <c r="J5" s="1" t="str">
        <f>IF(First!J8="", "",First!J8)</f>
        <v>Getting Started with Cancer Treatment</v>
      </c>
      <c r="K5" s="83" t="str">
        <f>IF(First!K8="", "",First!K8)</f>
        <v/>
      </c>
      <c r="M5" s="67" t="str">
        <f t="shared" si="1"/>
        <v/>
      </c>
      <c r="N5" s="76">
        <f t="shared" si="2"/>
        <v>7</v>
      </c>
      <c r="O5" s="33">
        <f t="shared" si="0"/>
        <v>7</v>
      </c>
    </row>
    <row r="6" spans="1:21" x14ac:dyDescent="0.25">
      <c r="A6" s="58" t="s">
        <v>203</v>
      </c>
      <c r="B6" s="82" t="str">
        <f>IF(First!B9="", "",First!B9)</f>
        <v>Psychologist</v>
      </c>
      <c r="C6" s="1" t="str">
        <f>IF(First!C9="", "",First!C9)</f>
        <v>PwC</v>
      </c>
      <c r="D6" s="1" t="str">
        <f>IF(First!D9="", "",First!D9)</f>
        <v>Returning</v>
      </c>
      <c r="E6" s="1" t="str">
        <f>IF(First!E9="", "",First!E9)</f>
        <v>Female</v>
      </c>
      <c r="F6" s="1" t="str">
        <f>IF(First!F9="", "",First!F9)</f>
        <v>Lower GI</v>
      </c>
      <c r="G6" s="1" t="str">
        <f>IF(First!G9="", "",First!G9)</f>
        <v>Post Treatment - Curative Intent</v>
      </c>
      <c r="H6" s="1" t="str">
        <f>IF(First!H9="", "",First!H9)</f>
        <v>Programme</v>
      </c>
      <c r="I6" s="1" t="str">
        <f>IF(First!I9="", "",First!I9)</f>
        <v>Managing Stress</v>
      </c>
      <c r="J6" s="1" t="str">
        <f>IF(First!J9="", "",First!J9)</f>
        <v>Getting Started with Cancer Treatment</v>
      </c>
      <c r="K6" s="83" t="str">
        <f>IF(First!K9="", "",First!K9)</f>
        <v>Genetics</v>
      </c>
      <c r="M6" s="67">
        <f t="shared" si="1"/>
        <v>7</v>
      </c>
      <c r="N6" s="76" t="str">
        <f t="shared" si="2"/>
        <v/>
      </c>
      <c r="O6" s="33">
        <f t="shared" si="0"/>
        <v>7</v>
      </c>
    </row>
    <row r="7" spans="1:21" x14ac:dyDescent="0.25">
      <c r="A7" s="58" t="s">
        <v>203</v>
      </c>
      <c r="B7" s="82" t="str">
        <f>IF(First!B10="", "",First!B10)</f>
        <v>Psychologist</v>
      </c>
      <c r="C7" s="1" t="str">
        <f>IF(First!C10="", "",First!C10)</f>
        <v>PwC</v>
      </c>
      <c r="D7" s="1" t="str">
        <f>IF(First!D10="", "",First!D10)</f>
        <v>Returning</v>
      </c>
      <c r="E7" s="1" t="str">
        <f>IF(First!E10="", "",First!E10)</f>
        <v>Female</v>
      </c>
      <c r="F7" s="1" t="str">
        <f>IF(First!F10="", "",First!F10)</f>
        <v>Breast</v>
      </c>
      <c r="G7" s="1" t="str">
        <f>IF(First!G10="", "",First!G10)</f>
        <v>Post Treatment - Curative Intent</v>
      </c>
      <c r="H7" s="1" t="str">
        <f>IF(First!H10="", "",First!H10)</f>
        <v>Programme</v>
      </c>
      <c r="I7" s="1" t="str">
        <f>IF(First!I10="", "",First!I10)</f>
        <v>Managing Stress</v>
      </c>
      <c r="J7" s="1" t="str">
        <f>IF(First!J10="", "",First!J10)</f>
        <v>Getting Started with Cancer Treatment</v>
      </c>
      <c r="K7" s="83" t="str">
        <f>IF(First!K10="", "",First!K10)</f>
        <v/>
      </c>
      <c r="M7" s="67">
        <f t="shared" si="1"/>
        <v>7</v>
      </c>
      <c r="N7" s="76" t="str">
        <f t="shared" si="2"/>
        <v/>
      </c>
      <c r="O7" s="33">
        <f t="shared" si="0"/>
        <v>7</v>
      </c>
    </row>
    <row r="8" spans="1:21" x14ac:dyDescent="0.25">
      <c r="A8" s="58" t="s">
        <v>203</v>
      </c>
      <c r="B8" s="82" t="str">
        <f>IF(First!B11="", "",First!B11)</f>
        <v>CSS</v>
      </c>
      <c r="C8" s="1" t="str">
        <f>IF(First!C11="", "",First!C11)</f>
        <v>Carer</v>
      </c>
      <c r="D8" s="1" t="str">
        <f>IF(First!D11="", "",First!D11)</f>
        <v>Returning</v>
      </c>
      <c r="E8" s="1" t="str">
        <f>IF(First!E11="", "",First!E11)</f>
        <v>Female</v>
      </c>
      <c r="F8" s="1" t="str">
        <f>IF(First!F11="", "",First!F11)</f>
        <v>Brain/CNS</v>
      </c>
      <c r="G8" s="1" t="str">
        <f>IF(First!G11="", "",First!G11)</f>
        <v>Bereaved</v>
      </c>
      <c r="H8" s="1" t="str">
        <f>IF(First!H11="", "",First!H11)</f>
        <v>Telephone Support</v>
      </c>
      <c r="I8" s="1" t="str">
        <f>IF(First!I11="", "",First!I11)</f>
        <v/>
      </c>
      <c r="J8" s="1" t="str">
        <f>IF(First!J11="", "",First!J11)</f>
        <v/>
      </c>
      <c r="K8" s="83" t="str">
        <f>IF(First!K11="", "",First!K11)</f>
        <v/>
      </c>
      <c r="M8" s="67" t="str">
        <f t="shared" si="1"/>
        <v/>
      </c>
      <c r="N8" s="76">
        <f t="shared" si="2"/>
        <v>7</v>
      </c>
      <c r="O8" s="33">
        <f t="shared" si="0"/>
        <v>7</v>
      </c>
    </row>
    <row r="9" spans="1:21" x14ac:dyDescent="0.25">
      <c r="A9" s="58" t="s">
        <v>203</v>
      </c>
      <c r="B9" s="82" t="str">
        <f>IF(First!B12="", "",First!B12)</f>
        <v>CSS</v>
      </c>
      <c r="C9" s="1" t="str">
        <f>IF(First!C12="", "",First!C12)</f>
        <v>PwC</v>
      </c>
      <c r="D9" s="1" t="str">
        <f>IF(First!D12="", "",First!D12)</f>
        <v>Returning</v>
      </c>
      <c r="E9" s="1" t="str">
        <f>IF(First!E12="", "",First!E12)</f>
        <v>Female</v>
      </c>
      <c r="F9" s="1" t="str">
        <f>IF(First!F12="", "",First!F12)</f>
        <v>Breast</v>
      </c>
      <c r="G9" s="1" t="str">
        <f>IF(First!G12="", "",First!G12)</f>
        <v>Non-Curative Intent</v>
      </c>
      <c r="H9" s="1" t="str">
        <f>IF(First!H12="", "",First!H12)</f>
        <v>Telephone Support</v>
      </c>
      <c r="I9" s="1" t="str">
        <f>IF(First!I12="", "",First!I12)</f>
        <v/>
      </c>
      <c r="J9" s="1" t="str">
        <f>IF(First!J12="", "",First!J12)</f>
        <v/>
      </c>
      <c r="K9" s="83" t="str">
        <f>IF(First!K12="", "",First!K12)</f>
        <v/>
      </c>
      <c r="M9" s="67">
        <f t="shared" si="1"/>
        <v>7</v>
      </c>
      <c r="N9" s="76" t="str">
        <f t="shared" si="2"/>
        <v/>
      </c>
      <c r="O9" s="33">
        <f t="shared" si="0"/>
        <v>7</v>
      </c>
    </row>
    <row r="10" spans="1:21" x14ac:dyDescent="0.25">
      <c r="A10" s="58" t="s">
        <v>203</v>
      </c>
      <c r="B10" s="82" t="str">
        <f>IF(First!B13="", "",First!B13)</f>
        <v>CSS</v>
      </c>
      <c r="C10" s="1" t="str">
        <f>IF(First!C13="", "",First!C13)</f>
        <v>PwC</v>
      </c>
      <c r="D10" s="1" t="str">
        <f>IF(First!D13="", "",First!D13)</f>
        <v>Returning</v>
      </c>
      <c r="E10" s="1" t="str">
        <f>IF(First!E13="", "",First!E13)</f>
        <v>Female</v>
      </c>
      <c r="F10" s="1" t="str">
        <f>IF(First!F13="", "",First!F13)</f>
        <v>Breast</v>
      </c>
      <c r="G10" s="1" t="str">
        <f>IF(First!G13="", "",First!G13)</f>
        <v>Post Treatment - Curative Intent</v>
      </c>
      <c r="H10" s="1" t="str">
        <f>IF(First!H13="", "",First!H13)</f>
        <v>Booked</v>
      </c>
      <c r="I10" s="1" t="str">
        <f>IF(First!I13="", "",First!I13)</f>
        <v>Psych Support - Individual</v>
      </c>
      <c r="J10" s="1" t="str">
        <f>IF(First!J13="", "",First!J13)</f>
        <v/>
      </c>
      <c r="K10" s="83" t="str">
        <f>IF(First!K13="", "",First!K13)</f>
        <v/>
      </c>
      <c r="M10" s="67">
        <f t="shared" si="1"/>
        <v>7</v>
      </c>
      <c r="N10" s="76" t="str">
        <f t="shared" si="2"/>
        <v/>
      </c>
      <c r="O10" s="33">
        <f t="shared" si="0"/>
        <v>7</v>
      </c>
    </row>
    <row r="11" spans="1:21" x14ac:dyDescent="0.25">
      <c r="A11" s="58" t="s">
        <v>203</v>
      </c>
      <c r="B11" s="82" t="str">
        <f>IF(First!B14="", "",First!B14)</f>
        <v>CSS</v>
      </c>
      <c r="C11" s="1" t="str">
        <f>IF(First!C14="", "",First!C14)</f>
        <v>Professional</v>
      </c>
      <c r="D11" s="1" t="str">
        <f>IF(First!D14="", "",First!D14)</f>
        <v/>
      </c>
      <c r="E11" s="1" t="str">
        <f>IF(First!E14="", "",First!E14)</f>
        <v/>
      </c>
      <c r="F11" s="1" t="str">
        <f>IF(First!F14="", "",First!F14)</f>
        <v/>
      </c>
      <c r="G11" s="1" t="str">
        <f>IF(First!G14="", "",First!G14)</f>
        <v/>
      </c>
      <c r="H11" s="1" t="str">
        <f>IF(First!H14="", "",First!H14)</f>
        <v/>
      </c>
      <c r="I11" s="1" t="str">
        <f>IF(First!I14="", "",First!I14)</f>
        <v/>
      </c>
      <c r="J11" s="1" t="str">
        <f>IF(First!J14="", "",First!J14)</f>
        <v/>
      </c>
      <c r="K11" s="83" t="str">
        <f>IF(First!K14="", "",First!K14)</f>
        <v/>
      </c>
      <c r="M11" s="67" t="str">
        <f t="shared" si="1"/>
        <v/>
      </c>
      <c r="N11" s="76" t="str">
        <f t="shared" si="2"/>
        <v/>
      </c>
      <c r="O11" s="33">
        <f t="shared" si="0"/>
        <v>0</v>
      </c>
    </row>
    <row r="12" spans="1:21" x14ac:dyDescent="0.25">
      <c r="A12" s="58" t="s">
        <v>203</v>
      </c>
      <c r="B12" s="82" t="str">
        <f>IF(First!B15="", "",First!B15)</f>
        <v>CSS</v>
      </c>
      <c r="C12" s="1" t="str">
        <f>IF(First!C15="", "",First!C15)</f>
        <v>PwC</v>
      </c>
      <c r="D12" s="1" t="str">
        <f>IF(First!D15="", "",First!D15)</f>
        <v>Returning</v>
      </c>
      <c r="E12" s="1" t="str">
        <f>IF(First!E15="", "",First!E15)</f>
        <v>Male</v>
      </c>
      <c r="F12" s="1" t="str">
        <f>IF(First!F15="", "",First!F15)</f>
        <v>Lung</v>
      </c>
      <c r="G12" s="1" t="str">
        <f>IF(First!G15="", "",First!G15)</f>
        <v>Post Treatment - Curative Intent</v>
      </c>
      <c r="H12" s="1" t="str">
        <f>IF(First!H15="", "",First!H15)</f>
        <v>Drop-In</v>
      </c>
      <c r="I12" s="1" t="str">
        <f>IF(First!I15="", "",First!I15)</f>
        <v/>
      </c>
      <c r="J12" s="1" t="str">
        <f>IF(First!J15="", "",First!J15)</f>
        <v/>
      </c>
      <c r="K12" s="83" t="str">
        <f>IF(First!K15="", "",First!K15)</f>
        <v/>
      </c>
      <c r="M12" s="67">
        <f t="shared" si="1"/>
        <v>7</v>
      </c>
      <c r="N12" s="76" t="str">
        <f t="shared" si="2"/>
        <v/>
      </c>
      <c r="O12" s="33">
        <f t="shared" si="0"/>
        <v>7</v>
      </c>
    </row>
    <row r="13" spans="1:21" x14ac:dyDescent="0.25">
      <c r="A13" s="58" t="s">
        <v>203</v>
      </c>
      <c r="B13" s="82" t="str">
        <f>IF(First!B16="", "",First!B16)</f>
        <v>CSS</v>
      </c>
      <c r="C13" s="1" t="str">
        <f>IF(First!C16="", "",First!C16)</f>
        <v>PwC</v>
      </c>
      <c r="D13" s="1" t="str">
        <f>IF(First!D16="", "",First!D16)</f>
        <v>Returning</v>
      </c>
      <c r="E13" s="1" t="str">
        <f>IF(First!E16="", "",First!E16)</f>
        <v>Male</v>
      </c>
      <c r="F13" s="1" t="str">
        <f>IF(First!F16="", "",First!F16)</f>
        <v>Prostate</v>
      </c>
      <c r="G13" s="1" t="str">
        <f>IF(First!G16="", "",First!G16)</f>
        <v>Post Treatment - Curative Intent</v>
      </c>
      <c r="H13" s="1" t="str">
        <f>IF(First!H16="", "",First!H16)</f>
        <v>Drop-In</v>
      </c>
      <c r="I13" s="1" t="str">
        <f>IF(First!I16="", "",First!I16)</f>
        <v/>
      </c>
      <c r="J13" s="1" t="str">
        <f>IF(First!J16="", "",First!J16)</f>
        <v/>
      </c>
      <c r="K13" s="83" t="str">
        <f>IF(First!K16="", "",First!K16)</f>
        <v/>
      </c>
      <c r="M13" s="67">
        <f t="shared" si="1"/>
        <v>7</v>
      </c>
      <c r="N13" s="76" t="str">
        <f t="shared" si="2"/>
        <v/>
      </c>
      <c r="O13" s="33">
        <f t="shared" si="0"/>
        <v>7</v>
      </c>
    </row>
    <row r="14" spans="1:21" x14ac:dyDescent="0.25">
      <c r="A14" s="58" t="s">
        <v>203</v>
      </c>
      <c r="B14" s="82" t="str">
        <f>IF(First!B17="", "",First!B17)</f>
        <v>Psychologist</v>
      </c>
      <c r="C14" s="1" t="str">
        <f>IF(First!C17="", "",First!C17)</f>
        <v>PwC</v>
      </c>
      <c r="D14" s="1" t="str">
        <f>IF(First!D17="", "",First!D17)</f>
        <v>Returning</v>
      </c>
      <c r="E14" s="1" t="str">
        <f>IF(First!E17="", "",First!E17)</f>
        <v>Male</v>
      </c>
      <c r="F14" s="1" t="str">
        <f>IF(First!F17="", "",First!F17)</f>
        <v>Head/Neck</v>
      </c>
      <c r="G14" s="1" t="str">
        <f>IF(First!G17="", "",First!G17)</f>
        <v>Post Treatment - Curative Intent</v>
      </c>
      <c r="H14" s="1" t="str">
        <f>IF(First!H17="", "",First!H17)</f>
        <v>Booked</v>
      </c>
      <c r="I14" s="1" t="str">
        <f>IF(First!I17="", "",First!I17)</f>
        <v>Psych Support - Individual</v>
      </c>
      <c r="J14" s="1" t="str">
        <f>IF(First!J17="", "",First!J17)</f>
        <v/>
      </c>
      <c r="K14" s="83" t="str">
        <f>IF(First!K17="", "",First!K17)</f>
        <v/>
      </c>
      <c r="M14" s="67">
        <f t="shared" si="1"/>
        <v>7</v>
      </c>
      <c r="N14" s="76" t="str">
        <f t="shared" si="2"/>
        <v/>
      </c>
      <c r="O14" s="33">
        <f t="shared" si="0"/>
        <v>7</v>
      </c>
    </row>
    <row r="15" spans="1:21" x14ac:dyDescent="0.25">
      <c r="A15" s="58" t="s">
        <v>203</v>
      </c>
      <c r="B15" s="82" t="str">
        <f>IF(First!B18="", "",First!B18)</f>
        <v>Psychologist</v>
      </c>
      <c r="C15" s="1" t="str">
        <f>IF(First!C18="", "",First!C18)</f>
        <v>PwC</v>
      </c>
      <c r="D15" s="1" t="str">
        <f>IF(First!D18="", "",First!D18)</f>
        <v>Returning</v>
      </c>
      <c r="E15" s="1" t="str">
        <f>IF(First!E18="", "",First!E18)</f>
        <v>Female</v>
      </c>
      <c r="F15" s="1" t="str">
        <f>IF(First!F18="", "",First!F18)</f>
        <v>Breast</v>
      </c>
      <c r="G15" s="1" t="str">
        <f>IF(First!G18="", "",First!G18)</f>
        <v>Post Treatment - Curative Intent</v>
      </c>
      <c r="H15" s="1" t="str">
        <f>IF(First!H18="", "",First!H18)</f>
        <v>Booked</v>
      </c>
      <c r="I15" s="1" t="str">
        <f>IF(First!I18="", "",First!I18)</f>
        <v>Psych Support - Individual</v>
      </c>
      <c r="J15" s="1" t="str">
        <f>IF(First!J18="", "",First!J18)</f>
        <v>Getting Started with Cancer Treatment</v>
      </c>
      <c r="K15" s="83" t="str">
        <f>IF(First!K18="", "",First!K18)</f>
        <v>Genetics</v>
      </c>
      <c r="M15" s="67">
        <f t="shared" si="1"/>
        <v>7</v>
      </c>
      <c r="N15" s="76" t="str">
        <f t="shared" si="2"/>
        <v/>
      </c>
      <c r="O15" s="33">
        <f t="shared" si="0"/>
        <v>7</v>
      </c>
    </row>
    <row r="16" spans="1:21" x14ac:dyDescent="0.25">
      <c r="A16" s="58" t="s">
        <v>203</v>
      </c>
      <c r="B16" s="82" t="str">
        <f>IF(First!B19="", "",First!B19)</f>
        <v>Psychologist</v>
      </c>
      <c r="C16" s="1" t="str">
        <f>IF(First!C19="", "",First!C19)</f>
        <v>Carer</v>
      </c>
      <c r="D16" s="1" t="str">
        <f>IF(First!D19="", "",First!D19)</f>
        <v>Returning</v>
      </c>
      <c r="E16" s="1" t="str">
        <f>IF(First!E19="", "",First!E19)</f>
        <v>Male</v>
      </c>
      <c r="F16" s="1" t="str">
        <f>IF(First!F19="", "",First!F19)</f>
        <v>Gynae</v>
      </c>
      <c r="G16" s="1" t="str">
        <f>IF(First!G19="", "",First!G19)</f>
        <v>Bereaved</v>
      </c>
      <c r="H16" s="1" t="str">
        <f>IF(First!H19="", "",First!H19)</f>
        <v>Booked</v>
      </c>
      <c r="I16" s="1" t="str">
        <f>IF(First!I19="", "",First!I19)</f>
        <v>Psych Support - Individual</v>
      </c>
      <c r="J16" s="1" t="str">
        <f>IF(First!J19="", "",First!J19)</f>
        <v>Getting Started with Cancer Treatment</v>
      </c>
      <c r="K16" s="83" t="str">
        <f>IF(First!K19="", "",First!K19)</f>
        <v>Genetics</v>
      </c>
      <c r="M16" s="67" t="str">
        <f t="shared" si="1"/>
        <v/>
      </c>
      <c r="N16" s="76">
        <f t="shared" si="2"/>
        <v>7</v>
      </c>
      <c r="O16" s="33">
        <f t="shared" si="0"/>
        <v>7</v>
      </c>
    </row>
    <row r="17" spans="1:15" x14ac:dyDescent="0.25">
      <c r="A17" s="58" t="s">
        <v>203</v>
      </c>
      <c r="B17" s="82" t="str">
        <f>IF(First!B20="", "",First!B20)</f>
        <v>Psychologist</v>
      </c>
      <c r="C17" s="1" t="str">
        <f>IF(First!C20="", "",First!C20)</f>
        <v>PwC</v>
      </c>
      <c r="D17" s="1" t="str">
        <f>IF(First!D20="", "",First!D20)</f>
        <v>Returning</v>
      </c>
      <c r="E17" s="1" t="str">
        <f>IF(First!E20="", "",First!E20)</f>
        <v>Female</v>
      </c>
      <c r="F17" s="1" t="str">
        <f>IF(First!F20="", "",First!F20)</f>
        <v>Lower GI</v>
      </c>
      <c r="G17" s="1" t="str">
        <f>IF(First!G20="", "",First!G20)</f>
        <v>Non-Curative Intent</v>
      </c>
      <c r="H17" s="1" t="str">
        <f>IF(First!H20="", "",First!H20)</f>
        <v>Booked</v>
      </c>
      <c r="I17" s="1" t="str">
        <f>IF(First!I20="", "",First!I20)</f>
        <v/>
      </c>
      <c r="J17" s="1" t="str">
        <f>IF(First!J20="", "",First!J20)</f>
        <v/>
      </c>
      <c r="K17" s="83" t="str">
        <f>IF(First!K20="", "",First!K20)</f>
        <v/>
      </c>
      <c r="M17" s="67">
        <f t="shared" si="1"/>
        <v>7</v>
      </c>
      <c r="N17" s="76" t="str">
        <f t="shared" si="2"/>
        <v/>
      </c>
      <c r="O17" s="33">
        <f t="shared" si="0"/>
        <v>7</v>
      </c>
    </row>
    <row r="18" spans="1:15" x14ac:dyDescent="0.25">
      <c r="A18" s="58" t="s">
        <v>203</v>
      </c>
      <c r="B18" s="82" t="str">
        <f>IF(First!B21="", "",First!B21)</f>
        <v>Psychologist</v>
      </c>
      <c r="C18" s="1" t="str">
        <f>IF(First!C21="", "",First!C21)</f>
        <v>PwC</v>
      </c>
      <c r="D18" s="1" t="str">
        <f>IF(First!D21="", "",First!D21)</f>
        <v>Returning</v>
      </c>
      <c r="E18" s="1" t="str">
        <f>IF(First!E21="", "",First!E21)</f>
        <v>Male</v>
      </c>
      <c r="F18" s="1" t="str">
        <f>IF(First!F21="", "",First!F21)</f>
        <v>Upper GI</v>
      </c>
      <c r="G18" s="1" t="str">
        <f>IF(First!G21="", "",First!G21)</f>
        <v>Non-Curative Intent</v>
      </c>
      <c r="H18" s="1" t="str">
        <f>IF(First!H21="", "",First!H21)</f>
        <v>Booked</v>
      </c>
      <c r="I18" s="1" t="str">
        <f>IF(First!I21="", "",First!I21)</f>
        <v>Psych Support - Individual</v>
      </c>
      <c r="J18" s="1" t="str">
        <f>IF(First!J21="", "",First!J21)</f>
        <v/>
      </c>
      <c r="K18" s="83" t="str">
        <f>IF(First!K21="", "",First!K21)</f>
        <v/>
      </c>
      <c r="M18" s="67">
        <f t="shared" si="1"/>
        <v>7</v>
      </c>
      <c r="N18" s="76" t="str">
        <f t="shared" si="2"/>
        <v/>
      </c>
      <c r="O18" s="33">
        <f t="shared" si="0"/>
        <v>7</v>
      </c>
    </row>
    <row r="19" spans="1:15" x14ac:dyDescent="0.25">
      <c r="A19" s="58" t="s">
        <v>203</v>
      </c>
      <c r="B19" s="82" t="str">
        <f>IF(First!B22="", "",First!B22)</f>
        <v>CSS</v>
      </c>
      <c r="C19" s="1" t="str">
        <f>IF(First!C22="", "",First!C22)</f>
        <v>PwC</v>
      </c>
      <c r="D19" s="1" t="str">
        <f>IF(First!D22="", "",First!D22)</f>
        <v>Returning</v>
      </c>
      <c r="E19" s="1" t="str">
        <f>IF(First!E22="", "",First!E22)</f>
        <v>Female</v>
      </c>
      <c r="F19" s="1" t="str">
        <f>IF(First!F22="", "",First!F22)</f>
        <v>Brain/CNS</v>
      </c>
      <c r="G19" s="1" t="str">
        <f>IF(First!G22="", "",First!G22)</f>
        <v>Non-Curative Intent</v>
      </c>
      <c r="H19" s="1" t="str">
        <f>IF(First!H22="", "",First!H22)</f>
        <v>Drop-In</v>
      </c>
      <c r="I19" s="1" t="str">
        <f>IF(First!I22="", "",First!I22)</f>
        <v/>
      </c>
      <c r="J19" s="1" t="str">
        <f>IF(First!J22="", "",First!J22)</f>
        <v/>
      </c>
      <c r="K19" s="83" t="str">
        <f>IF(First!K22="", "",First!K22)</f>
        <v/>
      </c>
      <c r="M19" s="67">
        <f t="shared" si="1"/>
        <v>7</v>
      </c>
      <c r="N19" s="76" t="str">
        <f t="shared" si="2"/>
        <v/>
      </c>
      <c r="O19" s="33">
        <f t="shared" si="0"/>
        <v>7</v>
      </c>
    </row>
    <row r="20" spans="1:15" x14ac:dyDescent="0.25">
      <c r="A20" s="58" t="s">
        <v>203</v>
      </c>
      <c r="B20" s="82" t="str">
        <f>IF(First!B23="", "",First!B23)</f>
        <v>CSS</v>
      </c>
      <c r="C20" s="1" t="str">
        <f>IF(First!C23="", "",First!C23)</f>
        <v>Carer</v>
      </c>
      <c r="D20" s="1" t="str">
        <f>IF(First!D23="", "",First!D23)</f>
        <v>Returning</v>
      </c>
      <c r="E20" s="1" t="str">
        <f>IF(First!E23="", "",First!E23)</f>
        <v>Female</v>
      </c>
      <c r="F20" s="1" t="str">
        <f>IF(First!F23="", "",First!F23)</f>
        <v>Brain/CNS</v>
      </c>
      <c r="G20" s="1" t="str">
        <f>IF(First!G23="", "",First!G23)</f>
        <v>Non-Curative Intent</v>
      </c>
      <c r="H20" s="1" t="str">
        <f>IF(First!H23="", "",First!H23)</f>
        <v>Drop-In</v>
      </c>
      <c r="I20" s="1" t="str">
        <f>IF(First!I23="", "",First!I23)</f>
        <v/>
      </c>
      <c r="J20" s="1" t="str">
        <f>IF(First!J23="", "",First!J23)</f>
        <v/>
      </c>
      <c r="K20" s="83" t="str">
        <f>IF(First!K23="", "",First!K23)</f>
        <v/>
      </c>
      <c r="M20" s="67" t="str">
        <f t="shared" si="1"/>
        <v/>
      </c>
      <c r="N20" s="76">
        <f t="shared" si="2"/>
        <v>7</v>
      </c>
      <c r="O20" s="33">
        <f t="shared" si="0"/>
        <v>7</v>
      </c>
    </row>
    <row r="21" spans="1:15" x14ac:dyDescent="0.25">
      <c r="A21" s="58" t="s">
        <v>203</v>
      </c>
      <c r="B21" s="82" t="str">
        <f>IF(First!B24="", "",First!B24)</f>
        <v>CSS</v>
      </c>
      <c r="C21" s="1" t="str">
        <f>IF(First!C24="", "",First!C24)</f>
        <v>Carer</v>
      </c>
      <c r="D21" s="1" t="str">
        <f>IF(First!D24="", "",First!D24)</f>
        <v>Returning</v>
      </c>
      <c r="E21" s="1" t="str">
        <f>IF(First!E24="", "",First!E24)</f>
        <v>Male</v>
      </c>
      <c r="F21" s="1" t="str">
        <f>IF(First!F24="", "",First!F24)</f>
        <v>Brain/CNS</v>
      </c>
      <c r="G21" s="1" t="str">
        <f>IF(First!G24="", "",First!G24)</f>
        <v>Non-Curative Intent</v>
      </c>
      <c r="H21" s="1" t="str">
        <f>IF(First!H24="", "",First!H24)</f>
        <v>Drop-In</v>
      </c>
      <c r="I21" s="1" t="str">
        <f>IF(First!I24="", "",First!I24)</f>
        <v/>
      </c>
      <c r="J21" s="1" t="str">
        <f>IF(First!J24="", "",First!J24)</f>
        <v/>
      </c>
      <c r="K21" s="83" t="str">
        <f>IF(First!K24="", "",First!K24)</f>
        <v/>
      </c>
      <c r="M21" s="67" t="str">
        <f t="shared" si="1"/>
        <v/>
      </c>
      <c r="N21" s="76">
        <f t="shared" si="2"/>
        <v>7</v>
      </c>
      <c r="O21" s="33">
        <f t="shared" si="0"/>
        <v>7</v>
      </c>
    </row>
    <row r="22" spans="1:15" x14ac:dyDescent="0.25">
      <c r="A22" s="58" t="s">
        <v>203</v>
      </c>
      <c r="B22" s="82" t="str">
        <f>IF(First!B25="", "",First!B25)</f>
        <v>CSS</v>
      </c>
      <c r="C22" s="1" t="str">
        <f>IF(First!C25="", "",First!C25)</f>
        <v>PwC</v>
      </c>
      <c r="D22" s="1" t="str">
        <f>IF(First!D25="", "",First!D25)</f>
        <v>Returning</v>
      </c>
      <c r="E22" s="1" t="str">
        <f>IF(First!E25="", "",First!E25)</f>
        <v>Female</v>
      </c>
      <c r="F22" s="1" t="str">
        <f>IF(First!F25="", "",First!F25)</f>
        <v>Gynae</v>
      </c>
      <c r="G22" s="1" t="str">
        <f>IF(First!G25="", "",First!G25)</f>
        <v>Non-Curative Intent</v>
      </c>
      <c r="H22" s="1" t="str">
        <f>IF(First!H25="", "",First!H25)</f>
        <v>Drop-In</v>
      </c>
      <c r="I22" s="1" t="str">
        <f>IF(First!I25="", "",First!I25)</f>
        <v/>
      </c>
      <c r="J22" s="1" t="str">
        <f>IF(First!J25="", "",First!J25)</f>
        <v/>
      </c>
      <c r="K22" s="83" t="str">
        <f>IF(First!K25="", "",First!K25)</f>
        <v/>
      </c>
      <c r="M22" s="67">
        <f t="shared" si="1"/>
        <v>7</v>
      </c>
      <c r="N22" s="76" t="str">
        <f t="shared" si="2"/>
        <v/>
      </c>
      <c r="O22" s="33">
        <f t="shared" si="0"/>
        <v>7</v>
      </c>
    </row>
    <row r="23" spans="1:15" x14ac:dyDescent="0.25">
      <c r="A23" s="58" t="s">
        <v>203</v>
      </c>
      <c r="B23" s="82" t="str">
        <f>IF(First!B26="", "",First!B26)</f>
        <v>CSS</v>
      </c>
      <c r="C23" s="1" t="str">
        <f>IF(First!C26="", "",First!C26)</f>
        <v>Carer</v>
      </c>
      <c r="D23" s="1" t="str">
        <f>IF(First!D26="", "",First!D26)</f>
        <v>Returning</v>
      </c>
      <c r="E23" s="1" t="str">
        <f>IF(First!E26="", "",First!E26)</f>
        <v>Female</v>
      </c>
      <c r="F23" s="1" t="str">
        <f>IF(First!F26="", "",First!F26)</f>
        <v>Gynae</v>
      </c>
      <c r="G23" s="1" t="str">
        <f>IF(First!G26="", "",First!G26)</f>
        <v>Non-Curative Intent</v>
      </c>
      <c r="H23" s="1" t="str">
        <f>IF(First!H26="", "",First!H26)</f>
        <v>Drop-In</v>
      </c>
      <c r="I23" s="1" t="str">
        <f>IF(First!I26="", "",First!I26)</f>
        <v/>
      </c>
      <c r="J23" s="1" t="str">
        <f>IF(First!J26="", "",First!J26)</f>
        <v/>
      </c>
      <c r="K23" s="83" t="str">
        <f>IF(First!K26="", "",First!K26)</f>
        <v/>
      </c>
      <c r="M23" s="67" t="str">
        <f t="shared" si="1"/>
        <v/>
      </c>
      <c r="N23" s="76">
        <f t="shared" si="2"/>
        <v>7</v>
      </c>
      <c r="O23" s="33">
        <f t="shared" si="0"/>
        <v>7</v>
      </c>
    </row>
    <row r="24" spans="1:15" x14ac:dyDescent="0.25">
      <c r="A24" s="58" t="s">
        <v>203</v>
      </c>
      <c r="B24" s="82" t="str">
        <f>IF(First!B27="", "",First!B27)</f>
        <v>CSS</v>
      </c>
      <c r="C24" s="1" t="str">
        <f>IF(First!C27="", "",First!C27)</f>
        <v>Carer</v>
      </c>
      <c r="D24" s="1" t="str">
        <f>IF(First!D27="", "",First!D27)</f>
        <v>Returning</v>
      </c>
      <c r="E24" s="1" t="str">
        <f>IF(First!E27="", "",First!E27)</f>
        <v>Female</v>
      </c>
      <c r="F24" s="1" t="str">
        <f>IF(First!F27="", "",First!F27)</f>
        <v>Prostate</v>
      </c>
      <c r="G24" s="1" t="str">
        <f>IF(First!G27="", "",First!G27)</f>
        <v>Non-Curative Intent</v>
      </c>
      <c r="H24" s="1" t="str">
        <f>IF(First!H27="", "",First!H27)</f>
        <v>Drop-In</v>
      </c>
      <c r="I24" s="1" t="str">
        <f>IF(First!I27="", "",First!I27)</f>
        <v/>
      </c>
      <c r="J24" s="1" t="str">
        <f>IF(First!J27="", "",First!J27)</f>
        <v/>
      </c>
      <c r="K24" s="83" t="str">
        <f>IF(First!K27="", "",First!K27)</f>
        <v/>
      </c>
      <c r="M24" s="67" t="str">
        <f t="shared" si="1"/>
        <v/>
      </c>
      <c r="N24" s="76">
        <f t="shared" si="2"/>
        <v>7</v>
      </c>
      <c r="O24" s="33">
        <f t="shared" si="0"/>
        <v>7</v>
      </c>
    </row>
    <row r="25" spans="1:15" x14ac:dyDescent="0.25">
      <c r="A25" s="58" t="s">
        <v>203</v>
      </c>
      <c r="B25" s="82" t="str">
        <f>IF(First!B28="", "",First!B28)</f>
        <v/>
      </c>
      <c r="C25" s="1" t="str">
        <f>IF(First!C28="", "",First!C28)</f>
        <v/>
      </c>
      <c r="D25" s="1" t="str">
        <f>IF(First!D28="", "",First!D28)</f>
        <v/>
      </c>
      <c r="E25" s="1" t="str">
        <f>IF(First!E28="", "",First!E28)</f>
        <v/>
      </c>
      <c r="F25" s="1" t="str">
        <f>IF(First!F28="", "",First!F28)</f>
        <v/>
      </c>
      <c r="G25" s="1" t="str">
        <f>IF(First!G28="", "",First!G28)</f>
        <v/>
      </c>
      <c r="H25" s="1" t="str">
        <f>IF(First!H28="", "",First!H28)</f>
        <v/>
      </c>
      <c r="I25" s="1" t="str">
        <f>IF(First!I28="", "",First!I28)</f>
        <v/>
      </c>
      <c r="J25" s="1" t="str">
        <f>IF(First!J28="", "",First!J28)</f>
        <v/>
      </c>
      <c r="K25" s="83" t="str">
        <f>IF(First!K28="", "",First!K28)</f>
        <v/>
      </c>
      <c r="M25" s="67" t="str">
        <f t="shared" si="1"/>
        <v/>
      </c>
      <c r="N25" s="76" t="str">
        <f t="shared" si="2"/>
        <v/>
      </c>
      <c r="O25" s="33">
        <f t="shared" si="0"/>
        <v>0</v>
      </c>
    </row>
    <row r="26" spans="1:15" x14ac:dyDescent="0.25">
      <c r="A26" s="58" t="s">
        <v>203</v>
      </c>
      <c r="B26" s="82" t="str">
        <f>IF(First!B29="", "",First!B29)</f>
        <v/>
      </c>
      <c r="C26" s="1" t="str">
        <f>IF(First!C29="", "",First!C29)</f>
        <v/>
      </c>
      <c r="D26" s="1" t="str">
        <f>IF(First!D29="", "",First!D29)</f>
        <v/>
      </c>
      <c r="E26" s="1" t="str">
        <f>IF(First!E29="", "",First!E29)</f>
        <v/>
      </c>
      <c r="F26" s="1" t="str">
        <f>IF(First!F29="", "",First!F29)</f>
        <v/>
      </c>
      <c r="G26" s="1" t="str">
        <f>IF(First!G29="", "",First!G29)</f>
        <v/>
      </c>
      <c r="H26" s="1" t="str">
        <f>IF(First!H29="", "",First!H29)</f>
        <v/>
      </c>
      <c r="I26" s="1" t="str">
        <f>IF(First!I29="", "",First!I29)</f>
        <v/>
      </c>
      <c r="J26" s="1" t="str">
        <f>IF(First!J29="", "",First!J29)</f>
        <v/>
      </c>
      <c r="K26" s="83" t="str">
        <f>IF(First!K29="", "",First!K29)</f>
        <v/>
      </c>
      <c r="M26" s="67" t="str">
        <f t="shared" si="1"/>
        <v/>
      </c>
      <c r="N26" s="76" t="str">
        <f t="shared" si="2"/>
        <v/>
      </c>
      <c r="O26" s="33">
        <f t="shared" si="0"/>
        <v>0</v>
      </c>
    </row>
    <row r="27" spans="1:15" x14ac:dyDescent="0.25">
      <c r="A27" s="58" t="s">
        <v>203</v>
      </c>
      <c r="B27" s="82" t="str">
        <f>IF(First!B30="", "",First!B30)</f>
        <v/>
      </c>
      <c r="C27" s="1" t="str">
        <f>IF(First!C30="", "",First!C30)</f>
        <v/>
      </c>
      <c r="D27" s="1" t="str">
        <f>IF(First!D30="", "",First!D30)</f>
        <v/>
      </c>
      <c r="E27" s="1" t="str">
        <f>IF(First!E30="", "",First!E30)</f>
        <v/>
      </c>
      <c r="F27" s="1" t="str">
        <f>IF(First!F30="", "",First!F30)</f>
        <v/>
      </c>
      <c r="G27" s="1" t="str">
        <f>IF(First!G30="", "",First!G30)</f>
        <v/>
      </c>
      <c r="H27" s="1" t="str">
        <f>IF(First!H30="", "",First!H30)</f>
        <v/>
      </c>
      <c r="I27" s="1" t="str">
        <f>IF(First!I30="", "",First!I30)</f>
        <v/>
      </c>
      <c r="J27" s="1" t="str">
        <f>IF(First!J30="", "",First!J30)</f>
        <v/>
      </c>
      <c r="K27" s="83" t="str">
        <f>IF(First!K30="", "",First!K30)</f>
        <v/>
      </c>
      <c r="M27" s="67" t="str">
        <f t="shared" si="1"/>
        <v/>
      </c>
      <c r="N27" s="76" t="str">
        <f t="shared" si="2"/>
        <v/>
      </c>
      <c r="O27" s="33">
        <f t="shared" si="0"/>
        <v>0</v>
      </c>
    </row>
    <row r="28" spans="1:15" x14ac:dyDescent="0.25">
      <c r="A28" s="58" t="s">
        <v>203</v>
      </c>
      <c r="B28" s="82" t="str">
        <f>IF(First!B31="", "",First!B31)</f>
        <v/>
      </c>
      <c r="C28" s="1" t="str">
        <f>IF(First!C31="", "",First!C31)</f>
        <v/>
      </c>
      <c r="D28" s="1" t="str">
        <f>IF(First!D31="", "",First!D31)</f>
        <v/>
      </c>
      <c r="E28" s="1" t="str">
        <f>IF(First!E31="", "",First!E31)</f>
        <v/>
      </c>
      <c r="F28" s="1" t="str">
        <f>IF(First!F31="", "",First!F31)</f>
        <v/>
      </c>
      <c r="G28" s="1" t="str">
        <f>IF(First!G31="", "",First!G31)</f>
        <v/>
      </c>
      <c r="H28" s="1" t="str">
        <f>IF(First!H31="", "",First!H31)</f>
        <v/>
      </c>
      <c r="I28" s="1" t="str">
        <f>IF(First!I31="", "",First!I31)</f>
        <v/>
      </c>
      <c r="J28" s="1" t="str">
        <f>IF(First!J31="", "",First!J31)</f>
        <v/>
      </c>
      <c r="K28" s="83" t="str">
        <f>IF(First!K31="", "",First!K31)</f>
        <v/>
      </c>
      <c r="M28" s="67" t="str">
        <f t="shared" si="1"/>
        <v/>
      </c>
      <c r="N28" s="76" t="str">
        <f t="shared" si="2"/>
        <v/>
      </c>
      <c r="O28" s="33">
        <f t="shared" si="0"/>
        <v>0</v>
      </c>
    </row>
    <row r="29" spans="1:15" x14ac:dyDescent="0.25">
      <c r="A29" s="58" t="s">
        <v>203</v>
      </c>
      <c r="B29" s="82" t="str">
        <f>IF(First!B32="", "",First!B32)</f>
        <v/>
      </c>
      <c r="C29" s="1" t="str">
        <f>IF(First!C32="", "",First!C32)</f>
        <v/>
      </c>
      <c r="D29" s="1" t="str">
        <f>IF(First!D32="", "",First!D32)</f>
        <v/>
      </c>
      <c r="E29" s="1" t="str">
        <f>IF(First!E32="", "",First!E32)</f>
        <v/>
      </c>
      <c r="F29" s="1" t="str">
        <f>IF(First!F32="", "",First!F32)</f>
        <v/>
      </c>
      <c r="G29" s="1" t="str">
        <f>IF(First!G32="", "",First!G32)</f>
        <v/>
      </c>
      <c r="H29" s="1" t="str">
        <f>IF(First!H32="", "",First!H32)</f>
        <v/>
      </c>
      <c r="I29" s="1" t="str">
        <f>IF(First!I32="", "",First!I32)</f>
        <v/>
      </c>
      <c r="J29" s="1" t="str">
        <f>IF(First!J32="", "",First!J32)</f>
        <v/>
      </c>
      <c r="K29" s="83" t="str">
        <f>IF(First!K32="", "",First!K32)</f>
        <v/>
      </c>
      <c r="M29" s="67" t="str">
        <f t="shared" si="1"/>
        <v/>
      </c>
      <c r="N29" s="76" t="str">
        <f t="shared" si="2"/>
        <v/>
      </c>
      <c r="O29" s="33">
        <f t="shared" si="0"/>
        <v>0</v>
      </c>
    </row>
    <row r="30" spans="1:15" x14ac:dyDescent="0.25">
      <c r="A30" s="58" t="s">
        <v>203</v>
      </c>
      <c r="B30" s="82" t="str">
        <f>IF(First!B33="", "",First!B33)</f>
        <v/>
      </c>
      <c r="C30" s="1" t="str">
        <f>IF(First!C33="", "",First!C33)</f>
        <v/>
      </c>
      <c r="D30" s="1" t="str">
        <f>IF(First!D33="", "",First!D33)</f>
        <v/>
      </c>
      <c r="E30" s="1" t="str">
        <f>IF(First!E33="", "",First!E33)</f>
        <v/>
      </c>
      <c r="F30" s="1" t="str">
        <f>IF(First!F33="", "",First!F33)</f>
        <v/>
      </c>
      <c r="G30" s="1" t="str">
        <f>IF(First!G33="", "",First!G33)</f>
        <v/>
      </c>
      <c r="H30" s="1" t="str">
        <f>IF(First!H33="", "",First!H33)</f>
        <v/>
      </c>
      <c r="I30" s="1" t="str">
        <f>IF(First!I33="", "",First!I33)</f>
        <v/>
      </c>
      <c r="J30" s="1" t="str">
        <f>IF(First!J33="", "",First!J33)</f>
        <v/>
      </c>
      <c r="K30" s="83" t="str">
        <f>IF(First!K33="", "",First!K33)</f>
        <v/>
      </c>
      <c r="M30" s="67" t="str">
        <f t="shared" si="1"/>
        <v/>
      </c>
      <c r="N30" s="76" t="str">
        <f t="shared" si="2"/>
        <v/>
      </c>
      <c r="O30" s="33">
        <f t="shared" si="0"/>
        <v>0</v>
      </c>
    </row>
    <row r="31" spans="1:15" x14ac:dyDescent="0.25">
      <c r="A31" s="58" t="s">
        <v>203</v>
      </c>
      <c r="B31" s="82" t="str">
        <f>IF(First!B34="", "",First!B34)</f>
        <v/>
      </c>
      <c r="C31" s="1" t="str">
        <f>IF(First!C34="", "",First!C34)</f>
        <v/>
      </c>
      <c r="D31" s="1" t="str">
        <f>IF(First!D34="", "",First!D34)</f>
        <v/>
      </c>
      <c r="E31" s="1" t="str">
        <f>IF(First!E34="", "",First!E34)</f>
        <v/>
      </c>
      <c r="F31" s="1" t="str">
        <f>IF(First!F34="", "",First!F34)</f>
        <v/>
      </c>
      <c r="G31" s="1" t="str">
        <f>IF(First!G34="", "",First!G34)</f>
        <v/>
      </c>
      <c r="H31" s="1" t="str">
        <f>IF(First!H34="", "",First!H34)</f>
        <v/>
      </c>
      <c r="I31" s="1" t="str">
        <f>IF(First!I34="", "",First!I34)</f>
        <v/>
      </c>
      <c r="J31" s="1" t="str">
        <f>IF(First!J34="", "",First!J34)</f>
        <v/>
      </c>
      <c r="K31" s="83" t="str">
        <f>IF(First!K34="", "",First!K34)</f>
        <v/>
      </c>
      <c r="M31" s="67" t="str">
        <f t="shared" si="1"/>
        <v/>
      </c>
      <c r="N31" s="76" t="str">
        <f t="shared" si="2"/>
        <v/>
      </c>
      <c r="O31" s="33">
        <f t="shared" si="0"/>
        <v>0</v>
      </c>
    </row>
    <row r="32" spans="1:15" x14ac:dyDescent="0.25">
      <c r="A32" s="58" t="s">
        <v>203</v>
      </c>
      <c r="B32" s="82" t="str">
        <f>IF(First!B35="", "",First!B35)</f>
        <v/>
      </c>
      <c r="C32" s="1" t="str">
        <f>IF(First!C35="", "",First!C35)</f>
        <v/>
      </c>
      <c r="D32" s="1" t="str">
        <f>IF(First!D35="", "",First!D35)</f>
        <v/>
      </c>
      <c r="E32" s="1" t="str">
        <f>IF(First!E35="", "",First!E35)</f>
        <v/>
      </c>
      <c r="F32" s="1" t="str">
        <f>IF(First!F35="", "",First!F35)</f>
        <v/>
      </c>
      <c r="G32" s="1" t="str">
        <f>IF(First!G35="", "",First!G35)</f>
        <v/>
      </c>
      <c r="H32" s="1" t="str">
        <f>IF(First!H35="", "",First!H35)</f>
        <v/>
      </c>
      <c r="I32" s="1" t="str">
        <f>IF(First!I35="", "",First!I35)</f>
        <v/>
      </c>
      <c r="J32" s="1" t="str">
        <f>IF(First!J35="", "",First!J35)</f>
        <v/>
      </c>
      <c r="K32" s="83" t="str">
        <f>IF(First!K35="", "",First!K35)</f>
        <v/>
      </c>
      <c r="M32" s="67" t="str">
        <f t="shared" si="1"/>
        <v/>
      </c>
      <c r="N32" s="76" t="str">
        <f t="shared" si="2"/>
        <v/>
      </c>
      <c r="O32" s="33">
        <f t="shared" si="0"/>
        <v>0</v>
      </c>
    </row>
    <row r="33" spans="1:15" x14ac:dyDescent="0.25">
      <c r="A33" s="58" t="s">
        <v>203</v>
      </c>
      <c r="B33" s="82" t="str">
        <f>IF(First!B36="", "",First!B36)</f>
        <v/>
      </c>
      <c r="C33" s="1" t="str">
        <f>IF(First!C36="", "",First!C36)</f>
        <v/>
      </c>
      <c r="D33" s="1" t="str">
        <f>IF(First!D36="", "",First!D36)</f>
        <v/>
      </c>
      <c r="E33" s="1" t="str">
        <f>IF(First!E36="", "",First!E36)</f>
        <v/>
      </c>
      <c r="F33" s="1" t="str">
        <f>IF(First!F36="", "",First!F36)</f>
        <v/>
      </c>
      <c r="G33" s="1" t="str">
        <f>IF(First!G36="", "",First!G36)</f>
        <v/>
      </c>
      <c r="H33" s="1" t="str">
        <f>IF(First!H36="", "",First!H36)</f>
        <v/>
      </c>
      <c r="I33" s="1" t="str">
        <f>IF(First!I36="", "",First!I36)</f>
        <v/>
      </c>
      <c r="J33" s="1" t="str">
        <f>IF(First!J36="", "",First!J36)</f>
        <v/>
      </c>
      <c r="K33" s="83" t="str">
        <f>IF(First!K36="", "",First!K36)</f>
        <v/>
      </c>
      <c r="M33" s="67" t="str">
        <f t="shared" si="1"/>
        <v/>
      </c>
      <c r="N33" s="76" t="str">
        <f t="shared" si="2"/>
        <v/>
      </c>
      <c r="O33" s="33">
        <f t="shared" si="0"/>
        <v>0</v>
      </c>
    </row>
    <row r="34" spans="1:15" x14ac:dyDescent="0.25">
      <c r="A34" s="58" t="s">
        <v>203</v>
      </c>
      <c r="B34" s="82" t="str">
        <f>IF(First!B37="", "",First!B37)</f>
        <v/>
      </c>
      <c r="C34" s="1" t="str">
        <f>IF(First!C37="", "",First!C37)</f>
        <v/>
      </c>
      <c r="D34" s="1" t="str">
        <f>IF(First!D37="", "",First!D37)</f>
        <v/>
      </c>
      <c r="E34" s="1" t="str">
        <f>IF(First!E37="", "",First!E37)</f>
        <v/>
      </c>
      <c r="F34" s="1" t="str">
        <f>IF(First!F37="", "",First!F37)</f>
        <v/>
      </c>
      <c r="G34" s="1" t="str">
        <f>IF(First!G37="", "",First!G37)</f>
        <v/>
      </c>
      <c r="H34" s="1" t="str">
        <f>IF(First!H37="", "",First!H37)</f>
        <v/>
      </c>
      <c r="I34" s="1" t="str">
        <f>IF(First!I37="", "",First!I37)</f>
        <v/>
      </c>
      <c r="J34" s="1" t="str">
        <f>IF(First!J37="", "",First!J37)</f>
        <v/>
      </c>
      <c r="K34" s="83" t="str">
        <f>IF(First!K37="", "",First!K37)</f>
        <v/>
      </c>
      <c r="M34" s="67" t="str">
        <f t="shared" si="1"/>
        <v/>
      </c>
      <c r="N34" s="76" t="str">
        <f t="shared" si="2"/>
        <v/>
      </c>
      <c r="O34" s="33">
        <f t="shared" si="0"/>
        <v>0</v>
      </c>
    </row>
    <row r="35" spans="1:15" x14ac:dyDescent="0.25">
      <c r="A35" s="58" t="s">
        <v>203</v>
      </c>
      <c r="B35" s="82" t="str">
        <f>IF(First!B38="", "",First!B38)</f>
        <v/>
      </c>
      <c r="C35" s="1" t="str">
        <f>IF(First!C38="", "",First!C38)</f>
        <v/>
      </c>
      <c r="D35" s="1" t="str">
        <f>IF(First!D38="", "",First!D38)</f>
        <v/>
      </c>
      <c r="E35" s="1" t="str">
        <f>IF(First!E38="", "",First!E38)</f>
        <v/>
      </c>
      <c r="F35" s="1" t="str">
        <f>IF(First!F38="", "",First!F38)</f>
        <v/>
      </c>
      <c r="G35" s="1" t="str">
        <f>IF(First!G38="", "",First!G38)</f>
        <v/>
      </c>
      <c r="H35" s="1" t="str">
        <f>IF(First!H38="", "",First!H38)</f>
        <v/>
      </c>
      <c r="I35" s="1" t="str">
        <f>IF(First!I38="", "",First!I38)</f>
        <v/>
      </c>
      <c r="J35" s="1" t="str">
        <f>IF(First!J38="", "",First!J38)</f>
        <v/>
      </c>
      <c r="K35" s="83" t="str">
        <f>IF(First!K38="", "",First!K38)</f>
        <v/>
      </c>
      <c r="M35" s="67" t="str">
        <f t="shared" si="1"/>
        <v/>
      </c>
      <c r="N35" s="76" t="str">
        <f t="shared" si="2"/>
        <v/>
      </c>
      <c r="O35" s="33">
        <f t="shared" si="0"/>
        <v>0</v>
      </c>
    </row>
    <row r="36" spans="1:15" x14ac:dyDescent="0.25">
      <c r="A36" s="58" t="s">
        <v>203</v>
      </c>
      <c r="B36" s="82" t="str">
        <f>IF(First!B39="", "",First!B39)</f>
        <v/>
      </c>
      <c r="C36" s="1" t="str">
        <f>IF(First!C39="", "",First!C39)</f>
        <v/>
      </c>
      <c r="D36" s="1" t="str">
        <f>IF(First!D39="", "",First!D39)</f>
        <v/>
      </c>
      <c r="E36" s="1" t="str">
        <f>IF(First!E39="", "",First!E39)</f>
        <v/>
      </c>
      <c r="F36" s="1" t="str">
        <f>IF(First!F39="", "",First!F39)</f>
        <v/>
      </c>
      <c r="G36" s="1" t="str">
        <f>IF(First!G39="", "",First!G39)</f>
        <v/>
      </c>
      <c r="H36" s="1" t="str">
        <f>IF(First!H39="", "",First!H39)</f>
        <v/>
      </c>
      <c r="I36" s="1" t="str">
        <f>IF(First!I39="", "",First!I39)</f>
        <v/>
      </c>
      <c r="J36" s="1" t="str">
        <f>IF(First!J39="", "",First!J39)</f>
        <v/>
      </c>
      <c r="K36" s="83" t="str">
        <f>IF(First!K39="", "",First!K39)</f>
        <v/>
      </c>
      <c r="M36" s="67" t="str">
        <f t="shared" si="1"/>
        <v/>
      </c>
      <c r="N36" s="76" t="str">
        <f t="shared" si="2"/>
        <v/>
      </c>
      <c r="O36" s="33">
        <f t="shared" si="0"/>
        <v>0</v>
      </c>
    </row>
    <row r="37" spans="1:15" x14ac:dyDescent="0.25">
      <c r="A37" s="58" t="s">
        <v>203</v>
      </c>
      <c r="B37" s="82" t="str">
        <f>IF(First!B40="", "",First!B40)</f>
        <v/>
      </c>
      <c r="C37" s="1" t="str">
        <f>IF(First!C40="", "",First!C40)</f>
        <v/>
      </c>
      <c r="D37" s="1" t="str">
        <f>IF(First!D40="", "",First!D40)</f>
        <v/>
      </c>
      <c r="E37" s="1" t="str">
        <f>IF(First!E40="", "",First!E40)</f>
        <v/>
      </c>
      <c r="F37" s="1" t="str">
        <f>IF(First!F40="", "",First!F40)</f>
        <v/>
      </c>
      <c r="G37" s="1" t="str">
        <f>IF(First!G40="", "",First!G40)</f>
        <v/>
      </c>
      <c r="H37" s="1" t="str">
        <f>IF(First!H40="", "",First!H40)</f>
        <v/>
      </c>
      <c r="I37" s="1" t="str">
        <f>IF(First!I40="", "",First!I40)</f>
        <v/>
      </c>
      <c r="J37" s="1" t="str">
        <f>IF(First!J40="", "",First!J40)</f>
        <v/>
      </c>
      <c r="K37" s="83" t="str">
        <f>IF(First!K40="", "",First!K40)</f>
        <v/>
      </c>
      <c r="M37" s="67" t="str">
        <f t="shared" si="1"/>
        <v/>
      </c>
      <c r="N37" s="76" t="str">
        <f t="shared" si="2"/>
        <v/>
      </c>
      <c r="O37" s="33">
        <f t="shared" si="0"/>
        <v>0</v>
      </c>
    </row>
    <row r="38" spans="1:15" x14ac:dyDescent="0.25">
      <c r="A38" s="58" t="s">
        <v>203</v>
      </c>
      <c r="B38" s="82" t="str">
        <f>IF(First!B41="", "",First!B41)</f>
        <v/>
      </c>
      <c r="C38" s="1" t="str">
        <f>IF(First!C41="", "",First!C41)</f>
        <v/>
      </c>
      <c r="D38" s="1" t="str">
        <f>IF(First!D41="", "",First!D41)</f>
        <v/>
      </c>
      <c r="E38" s="1" t="str">
        <f>IF(First!E41="", "",First!E41)</f>
        <v/>
      </c>
      <c r="F38" s="1" t="str">
        <f>IF(First!F41="", "",First!F41)</f>
        <v/>
      </c>
      <c r="G38" s="1" t="str">
        <f>IF(First!G41="", "",First!G41)</f>
        <v/>
      </c>
      <c r="H38" s="1" t="str">
        <f>IF(First!H41="", "",First!H41)</f>
        <v/>
      </c>
      <c r="I38" s="1" t="str">
        <f>IF(First!I41="", "",First!I41)</f>
        <v/>
      </c>
      <c r="J38" s="1" t="str">
        <f>IF(First!J41="", "",First!J41)</f>
        <v/>
      </c>
      <c r="K38" s="83" t="str">
        <f>IF(First!K41="", "",First!K41)</f>
        <v/>
      </c>
      <c r="M38" s="67" t="str">
        <f t="shared" si="1"/>
        <v/>
      </c>
      <c r="N38" s="76" t="str">
        <f t="shared" si="2"/>
        <v/>
      </c>
      <c r="O38" s="33">
        <f t="shared" si="0"/>
        <v>0</v>
      </c>
    </row>
    <row r="39" spans="1:15" x14ac:dyDescent="0.25">
      <c r="A39" s="58" t="s">
        <v>203</v>
      </c>
      <c r="B39" s="82" t="str">
        <f>IF(First!B42="", "",First!B42)</f>
        <v/>
      </c>
      <c r="C39" s="1" t="str">
        <f>IF(First!C42="", "",First!C42)</f>
        <v/>
      </c>
      <c r="D39" s="1" t="str">
        <f>IF(First!D42="", "",First!D42)</f>
        <v/>
      </c>
      <c r="E39" s="1" t="str">
        <f>IF(First!E42="", "",First!E42)</f>
        <v/>
      </c>
      <c r="F39" s="1" t="str">
        <f>IF(First!F42="", "",First!F42)</f>
        <v/>
      </c>
      <c r="G39" s="1" t="str">
        <f>IF(First!G42="", "",First!G42)</f>
        <v/>
      </c>
      <c r="H39" s="1" t="str">
        <f>IF(First!H42="", "",First!H42)</f>
        <v/>
      </c>
      <c r="I39" s="1" t="str">
        <f>IF(First!I42="", "",First!I42)</f>
        <v/>
      </c>
      <c r="J39" s="1" t="str">
        <f>IF(First!J42="", "",First!J42)</f>
        <v/>
      </c>
      <c r="K39" s="83" t="str">
        <f>IF(First!K42="", "",First!K42)</f>
        <v/>
      </c>
      <c r="M39" s="67" t="str">
        <f t="shared" si="1"/>
        <v/>
      </c>
      <c r="N39" s="76" t="str">
        <f t="shared" si="2"/>
        <v/>
      </c>
      <c r="O39" s="33">
        <f t="shared" si="0"/>
        <v>0</v>
      </c>
    </row>
    <row r="40" spans="1:15" x14ac:dyDescent="0.25">
      <c r="A40" s="58" t="s">
        <v>203</v>
      </c>
      <c r="B40" s="82" t="str">
        <f>IF(First!B43="", "",First!B43)</f>
        <v/>
      </c>
      <c r="C40" s="1" t="str">
        <f>IF(First!C43="", "",First!C43)</f>
        <v/>
      </c>
      <c r="D40" s="1" t="str">
        <f>IF(First!D43="", "",First!D43)</f>
        <v/>
      </c>
      <c r="E40" s="1" t="str">
        <f>IF(First!E43="", "",First!E43)</f>
        <v/>
      </c>
      <c r="F40" s="1" t="str">
        <f>IF(First!F43="", "",First!F43)</f>
        <v/>
      </c>
      <c r="G40" s="1" t="str">
        <f>IF(First!G43="", "",First!G43)</f>
        <v/>
      </c>
      <c r="H40" s="1" t="str">
        <f>IF(First!H43="", "",First!H43)</f>
        <v/>
      </c>
      <c r="I40" s="1" t="str">
        <f>IF(First!I43="", "",First!I43)</f>
        <v/>
      </c>
      <c r="J40" s="1" t="str">
        <f>IF(First!J43="", "",First!J43)</f>
        <v/>
      </c>
      <c r="K40" s="83" t="str">
        <f>IF(First!K43="", "",First!K43)</f>
        <v/>
      </c>
      <c r="M40" s="67" t="str">
        <f t="shared" si="1"/>
        <v/>
      </c>
      <c r="N40" s="76" t="str">
        <f t="shared" si="2"/>
        <v/>
      </c>
      <c r="O40" s="33">
        <f t="shared" si="0"/>
        <v>0</v>
      </c>
    </row>
    <row r="41" spans="1:15" x14ac:dyDescent="0.25">
      <c r="A41" s="58" t="s">
        <v>203</v>
      </c>
      <c r="B41" s="82" t="str">
        <f>IF(First!B44="", "",First!B44)</f>
        <v/>
      </c>
      <c r="C41" s="1" t="str">
        <f>IF(First!C44="", "",First!C44)</f>
        <v/>
      </c>
      <c r="D41" s="1" t="str">
        <f>IF(First!D44="", "",First!D44)</f>
        <v/>
      </c>
      <c r="E41" s="1" t="str">
        <f>IF(First!E44="", "",First!E44)</f>
        <v/>
      </c>
      <c r="F41" s="1" t="str">
        <f>IF(First!F44="", "",First!F44)</f>
        <v/>
      </c>
      <c r="G41" s="1" t="str">
        <f>IF(First!G44="", "",First!G44)</f>
        <v/>
      </c>
      <c r="H41" s="1" t="str">
        <f>IF(First!H44="", "",First!H44)</f>
        <v/>
      </c>
      <c r="I41" s="1" t="str">
        <f>IF(First!I44="", "",First!I44)</f>
        <v/>
      </c>
      <c r="J41" s="1" t="str">
        <f>IF(First!J44="", "",First!J44)</f>
        <v/>
      </c>
      <c r="K41" s="83" t="str">
        <f>IF(First!K44="", "",First!K44)</f>
        <v/>
      </c>
      <c r="M41" s="67" t="str">
        <f t="shared" si="1"/>
        <v/>
      </c>
      <c r="N41" s="76" t="str">
        <f t="shared" si="2"/>
        <v/>
      </c>
      <c r="O41" s="33">
        <f t="shared" si="0"/>
        <v>0</v>
      </c>
    </row>
    <row r="42" spans="1:15" x14ac:dyDescent="0.25">
      <c r="A42" s="58" t="s">
        <v>203</v>
      </c>
      <c r="B42" s="82" t="str">
        <f>IF(First!B45="", "",First!B45)</f>
        <v/>
      </c>
      <c r="C42" s="1" t="str">
        <f>IF(First!C45="", "",First!C45)</f>
        <v/>
      </c>
      <c r="D42" s="1" t="str">
        <f>IF(First!D45="", "",First!D45)</f>
        <v/>
      </c>
      <c r="E42" s="1" t="str">
        <f>IF(First!E45="", "",First!E45)</f>
        <v/>
      </c>
      <c r="F42" s="1" t="str">
        <f>IF(First!F45="", "",First!F45)</f>
        <v/>
      </c>
      <c r="G42" s="1" t="str">
        <f>IF(First!G45="", "",First!G45)</f>
        <v/>
      </c>
      <c r="H42" s="1" t="str">
        <f>IF(First!H45="", "",First!H45)</f>
        <v/>
      </c>
      <c r="I42" s="1" t="str">
        <f>IF(First!I45="", "",First!I45)</f>
        <v/>
      </c>
      <c r="J42" s="1" t="str">
        <f>IF(First!J45="", "",First!J45)</f>
        <v/>
      </c>
      <c r="K42" s="83" t="str">
        <f>IF(First!K45="", "",First!K45)</f>
        <v/>
      </c>
      <c r="M42" s="67" t="str">
        <f t="shared" si="1"/>
        <v/>
      </c>
      <c r="N42" s="76" t="str">
        <f t="shared" si="2"/>
        <v/>
      </c>
      <c r="O42" s="33">
        <f t="shared" si="0"/>
        <v>0</v>
      </c>
    </row>
    <row r="43" spans="1:15" x14ac:dyDescent="0.25">
      <c r="A43" s="58" t="s">
        <v>203</v>
      </c>
      <c r="B43" s="82" t="str">
        <f>IF(First!B46="", "",First!B46)</f>
        <v/>
      </c>
      <c r="C43" s="1" t="str">
        <f>IF(First!C46="", "",First!C46)</f>
        <v/>
      </c>
      <c r="D43" s="1" t="str">
        <f>IF(First!D46="", "",First!D46)</f>
        <v/>
      </c>
      <c r="E43" s="1" t="str">
        <f>IF(First!E46="", "",First!E46)</f>
        <v/>
      </c>
      <c r="F43" s="1" t="str">
        <f>IF(First!F46="", "",First!F46)</f>
        <v/>
      </c>
      <c r="G43" s="1" t="str">
        <f>IF(First!G46="", "",First!G46)</f>
        <v/>
      </c>
      <c r="H43" s="1" t="str">
        <f>IF(First!H46="", "",First!H46)</f>
        <v/>
      </c>
      <c r="I43" s="1" t="str">
        <f>IF(First!I46="", "",First!I46)</f>
        <v/>
      </c>
      <c r="J43" s="1" t="str">
        <f>IF(First!J46="", "",First!J46)</f>
        <v/>
      </c>
      <c r="K43" s="83" t="str">
        <f>IF(First!K46="", "",First!K46)</f>
        <v/>
      </c>
      <c r="M43" s="67" t="str">
        <f t="shared" si="1"/>
        <v/>
      </c>
      <c r="N43" s="76" t="str">
        <f t="shared" si="2"/>
        <v/>
      </c>
      <c r="O43" s="33">
        <f t="shared" si="0"/>
        <v>0</v>
      </c>
    </row>
    <row r="44" spans="1:15" x14ac:dyDescent="0.25">
      <c r="A44" s="58" t="s">
        <v>203</v>
      </c>
      <c r="B44" s="82" t="str">
        <f>IF(First!B47="", "",First!B47)</f>
        <v/>
      </c>
      <c r="C44" s="1" t="str">
        <f>IF(First!C47="", "",First!C47)</f>
        <v/>
      </c>
      <c r="D44" s="1" t="str">
        <f>IF(First!D47="", "",First!D47)</f>
        <v/>
      </c>
      <c r="E44" s="1" t="str">
        <f>IF(First!E47="", "",First!E47)</f>
        <v/>
      </c>
      <c r="F44" s="1" t="str">
        <f>IF(First!F47="", "",First!F47)</f>
        <v/>
      </c>
      <c r="G44" s="1" t="str">
        <f>IF(First!G47="", "",First!G47)</f>
        <v/>
      </c>
      <c r="H44" s="1" t="str">
        <f>IF(First!H47="", "",First!H47)</f>
        <v/>
      </c>
      <c r="I44" s="1" t="str">
        <f>IF(First!I47="", "",First!I47)</f>
        <v/>
      </c>
      <c r="J44" s="1" t="str">
        <f>IF(First!J47="", "",First!J47)</f>
        <v/>
      </c>
      <c r="K44" s="83" t="str">
        <f>IF(First!K47="", "",First!K47)</f>
        <v/>
      </c>
      <c r="M44" s="67" t="str">
        <f t="shared" si="1"/>
        <v/>
      </c>
      <c r="N44" s="76" t="str">
        <f t="shared" si="2"/>
        <v/>
      </c>
      <c r="O44" s="33">
        <f t="shared" si="0"/>
        <v>0</v>
      </c>
    </row>
    <row r="45" spans="1:15" x14ac:dyDescent="0.25">
      <c r="A45" s="58" t="s">
        <v>203</v>
      </c>
      <c r="B45" s="82" t="str">
        <f>IF(First!B48="", "",First!B48)</f>
        <v/>
      </c>
      <c r="C45" s="1" t="str">
        <f>IF(First!C48="", "",First!C48)</f>
        <v/>
      </c>
      <c r="D45" s="1" t="str">
        <f>IF(First!D48="", "",First!D48)</f>
        <v/>
      </c>
      <c r="E45" s="1" t="str">
        <f>IF(First!E48="", "",First!E48)</f>
        <v/>
      </c>
      <c r="F45" s="1" t="str">
        <f>IF(First!F48="", "",First!F48)</f>
        <v/>
      </c>
      <c r="G45" s="1" t="str">
        <f>IF(First!G48="", "",First!G48)</f>
        <v/>
      </c>
      <c r="H45" s="1" t="str">
        <f>IF(First!H48="", "",First!H48)</f>
        <v/>
      </c>
      <c r="I45" s="1" t="str">
        <f>IF(First!I48="", "",First!I48)</f>
        <v/>
      </c>
      <c r="J45" s="1" t="str">
        <f>IF(First!J48="", "",First!J48)</f>
        <v/>
      </c>
      <c r="K45" s="83" t="str">
        <f>IF(First!K48="", "",First!K48)</f>
        <v/>
      </c>
      <c r="M45" s="67" t="str">
        <f t="shared" si="1"/>
        <v/>
      </c>
      <c r="N45" s="76" t="str">
        <f t="shared" si="2"/>
        <v/>
      </c>
      <c r="O45" s="33">
        <f t="shared" si="0"/>
        <v>0</v>
      </c>
    </row>
    <row r="46" spans="1:15" x14ac:dyDescent="0.25">
      <c r="A46" s="58" t="s">
        <v>203</v>
      </c>
      <c r="B46" s="82" t="str">
        <f>IF(First!B49="", "",First!B49)</f>
        <v/>
      </c>
      <c r="C46" s="1" t="str">
        <f>IF(First!C49="", "",First!C49)</f>
        <v/>
      </c>
      <c r="D46" s="1" t="str">
        <f>IF(First!D49="", "",First!D49)</f>
        <v/>
      </c>
      <c r="E46" s="1" t="str">
        <f>IF(First!E49="", "",First!E49)</f>
        <v/>
      </c>
      <c r="F46" s="1" t="str">
        <f>IF(First!F49="", "",First!F49)</f>
        <v/>
      </c>
      <c r="G46" s="1" t="str">
        <f>IF(First!G49="", "",First!G49)</f>
        <v/>
      </c>
      <c r="H46" s="1" t="str">
        <f>IF(First!H49="", "",First!H49)</f>
        <v/>
      </c>
      <c r="I46" s="1" t="str">
        <f>IF(First!I49="", "",First!I49)</f>
        <v/>
      </c>
      <c r="J46" s="1" t="str">
        <f>IF(First!J49="", "",First!J49)</f>
        <v/>
      </c>
      <c r="K46" s="83" t="str">
        <f>IF(First!K49="", "",First!K49)</f>
        <v/>
      </c>
      <c r="M46" s="67" t="str">
        <f t="shared" si="1"/>
        <v/>
      </c>
      <c r="N46" s="76" t="str">
        <f t="shared" si="2"/>
        <v/>
      </c>
      <c r="O46" s="33">
        <f t="shared" si="0"/>
        <v>0</v>
      </c>
    </row>
    <row r="47" spans="1:15" x14ac:dyDescent="0.25">
      <c r="A47" s="58" t="s">
        <v>203</v>
      </c>
      <c r="B47" s="82" t="str">
        <f>IF(First!B50="", "",First!B50)</f>
        <v/>
      </c>
      <c r="C47" s="1" t="str">
        <f>IF(First!C50="", "",First!C50)</f>
        <v/>
      </c>
      <c r="D47" s="1" t="str">
        <f>IF(First!D50="", "",First!D50)</f>
        <v/>
      </c>
      <c r="E47" s="1" t="str">
        <f>IF(First!E50="", "",First!E50)</f>
        <v/>
      </c>
      <c r="F47" s="1" t="str">
        <f>IF(First!F50="", "",First!F50)</f>
        <v/>
      </c>
      <c r="G47" s="1" t="str">
        <f>IF(First!G50="", "",First!G50)</f>
        <v/>
      </c>
      <c r="H47" s="1" t="str">
        <f>IF(First!H50="", "",First!H50)</f>
        <v/>
      </c>
      <c r="I47" s="1" t="str">
        <f>IF(First!I50="", "",First!I50)</f>
        <v/>
      </c>
      <c r="J47" s="1" t="str">
        <f>IF(First!J50="", "",First!J50)</f>
        <v/>
      </c>
      <c r="K47" s="83" t="str">
        <f>IF(First!K50="", "",First!K50)</f>
        <v/>
      </c>
      <c r="M47" s="67" t="str">
        <f t="shared" si="1"/>
        <v/>
      </c>
      <c r="N47" s="76" t="str">
        <f t="shared" si="2"/>
        <v/>
      </c>
      <c r="O47" s="33">
        <f t="shared" si="0"/>
        <v>0</v>
      </c>
    </row>
    <row r="48" spans="1:15" x14ac:dyDescent="0.25">
      <c r="A48" s="58" t="s">
        <v>203</v>
      </c>
      <c r="B48" s="82" t="str">
        <f>IF(First!B51="", "",First!B51)</f>
        <v/>
      </c>
      <c r="C48" s="1" t="str">
        <f>IF(First!C51="", "",First!C51)</f>
        <v/>
      </c>
      <c r="D48" s="1" t="str">
        <f>IF(First!D51="", "",First!D51)</f>
        <v/>
      </c>
      <c r="E48" s="1" t="str">
        <f>IF(First!E51="", "",First!E51)</f>
        <v/>
      </c>
      <c r="F48" s="1" t="str">
        <f>IF(First!F51="", "",First!F51)</f>
        <v/>
      </c>
      <c r="G48" s="1" t="str">
        <f>IF(First!G51="", "",First!G51)</f>
        <v/>
      </c>
      <c r="H48" s="1" t="str">
        <f>IF(First!H51="", "",First!H51)</f>
        <v/>
      </c>
      <c r="I48" s="1" t="str">
        <f>IF(First!I51="", "",First!I51)</f>
        <v/>
      </c>
      <c r="J48" s="1" t="str">
        <f>IF(First!J51="", "",First!J51)</f>
        <v/>
      </c>
      <c r="K48" s="83" t="str">
        <f>IF(First!K51="", "",First!K51)</f>
        <v/>
      </c>
      <c r="M48" s="67" t="str">
        <f t="shared" si="1"/>
        <v/>
      </c>
      <c r="N48" s="76" t="str">
        <f t="shared" si="2"/>
        <v/>
      </c>
      <c r="O48" s="33">
        <f t="shared" si="0"/>
        <v>0</v>
      </c>
    </row>
    <row r="49" spans="1:15" x14ac:dyDescent="0.25">
      <c r="A49" s="58" t="s">
        <v>203</v>
      </c>
      <c r="B49" s="82" t="str">
        <f>IF(First!B52="", "",First!B52)</f>
        <v/>
      </c>
      <c r="C49" s="1" t="str">
        <f>IF(First!C52="", "",First!C52)</f>
        <v/>
      </c>
      <c r="D49" s="1" t="str">
        <f>IF(First!D52="", "",First!D52)</f>
        <v/>
      </c>
      <c r="E49" s="1" t="str">
        <f>IF(First!E52="", "",First!E52)</f>
        <v/>
      </c>
      <c r="F49" s="1" t="str">
        <f>IF(First!F52="", "",First!F52)</f>
        <v/>
      </c>
      <c r="G49" s="1" t="str">
        <f>IF(First!G52="", "",First!G52)</f>
        <v/>
      </c>
      <c r="H49" s="1" t="str">
        <f>IF(First!H52="", "",First!H52)</f>
        <v/>
      </c>
      <c r="I49" s="1" t="str">
        <f>IF(First!I52="", "",First!I52)</f>
        <v/>
      </c>
      <c r="J49" s="1" t="str">
        <f>IF(First!J52="", "",First!J52)</f>
        <v/>
      </c>
      <c r="K49" s="83" t="str">
        <f>IF(First!K52="", "",First!K52)</f>
        <v/>
      </c>
      <c r="M49" s="67" t="str">
        <f t="shared" si="1"/>
        <v/>
      </c>
      <c r="N49" s="76" t="str">
        <f t="shared" si="2"/>
        <v/>
      </c>
      <c r="O49" s="33">
        <f t="shared" si="0"/>
        <v>0</v>
      </c>
    </row>
    <row r="50" spans="1:15" x14ac:dyDescent="0.25">
      <c r="A50" s="58" t="s">
        <v>203</v>
      </c>
      <c r="B50" s="82" t="str">
        <f>IF(First!B53="", "",First!B53)</f>
        <v/>
      </c>
      <c r="C50" s="1" t="str">
        <f>IF(First!C53="", "",First!C53)</f>
        <v/>
      </c>
      <c r="D50" s="1" t="str">
        <f>IF(First!D53="", "",First!D53)</f>
        <v/>
      </c>
      <c r="E50" s="1" t="str">
        <f>IF(First!E53="", "",First!E53)</f>
        <v/>
      </c>
      <c r="F50" s="1" t="str">
        <f>IF(First!F53="", "",First!F53)</f>
        <v/>
      </c>
      <c r="G50" s="1" t="str">
        <f>IF(First!G53="", "",First!G53)</f>
        <v/>
      </c>
      <c r="H50" s="1" t="str">
        <f>IF(First!H53="", "",First!H53)</f>
        <v/>
      </c>
      <c r="I50" s="1" t="str">
        <f>IF(First!I53="", "",First!I53)</f>
        <v/>
      </c>
      <c r="J50" s="1" t="str">
        <f>IF(First!J53="", "",First!J53)</f>
        <v/>
      </c>
      <c r="K50" s="83" t="str">
        <f>IF(First!K53="", "",First!K53)</f>
        <v/>
      </c>
      <c r="M50" s="67" t="str">
        <f t="shared" si="1"/>
        <v/>
      </c>
      <c r="N50" s="76" t="str">
        <f t="shared" si="2"/>
        <v/>
      </c>
      <c r="O50" s="33">
        <f t="shared" si="0"/>
        <v>0</v>
      </c>
    </row>
    <row r="51" spans="1:15" x14ac:dyDescent="0.25">
      <c r="A51" s="58" t="s">
        <v>203</v>
      </c>
      <c r="B51" s="82" t="str">
        <f>IF(First!B54="", "",First!B54)</f>
        <v/>
      </c>
      <c r="C51" s="1" t="str">
        <f>IF(First!C54="", "",First!C54)</f>
        <v/>
      </c>
      <c r="D51" s="1" t="str">
        <f>IF(First!D54="", "",First!D54)</f>
        <v/>
      </c>
      <c r="E51" s="1" t="str">
        <f>IF(First!E54="", "",First!E54)</f>
        <v/>
      </c>
      <c r="F51" s="1" t="str">
        <f>IF(First!F54="", "",First!F54)</f>
        <v/>
      </c>
      <c r="G51" s="1" t="str">
        <f>IF(First!G54="", "",First!G54)</f>
        <v/>
      </c>
      <c r="H51" s="1" t="str">
        <f>IF(First!H54="", "",First!H54)</f>
        <v/>
      </c>
      <c r="I51" s="1" t="str">
        <f>IF(First!I54="", "",First!I54)</f>
        <v/>
      </c>
      <c r="J51" s="1" t="str">
        <f>IF(First!J54="", "",First!J54)</f>
        <v/>
      </c>
      <c r="K51" s="83" t="str">
        <f>IF(First!K54="", "",First!K54)</f>
        <v/>
      </c>
      <c r="M51" s="67" t="str">
        <f t="shared" si="1"/>
        <v/>
      </c>
      <c r="N51" s="76" t="str">
        <f t="shared" si="2"/>
        <v/>
      </c>
      <c r="O51" s="33">
        <f t="shared" si="0"/>
        <v>0</v>
      </c>
    </row>
    <row r="52" spans="1:15" x14ac:dyDescent="0.25">
      <c r="A52" s="58" t="s">
        <v>203</v>
      </c>
      <c r="B52" s="82" t="str">
        <f>IF(First!B55="", "",First!B55)</f>
        <v/>
      </c>
      <c r="C52" s="1" t="str">
        <f>IF(First!C55="", "",First!C55)</f>
        <v/>
      </c>
      <c r="D52" s="1" t="str">
        <f>IF(First!D55="", "",First!D55)</f>
        <v/>
      </c>
      <c r="E52" s="1" t="str">
        <f>IF(First!E55="", "",First!E55)</f>
        <v/>
      </c>
      <c r="F52" s="1" t="str">
        <f>IF(First!F55="", "",First!F55)</f>
        <v/>
      </c>
      <c r="G52" s="1" t="str">
        <f>IF(First!G55="", "",First!G55)</f>
        <v/>
      </c>
      <c r="H52" s="1" t="str">
        <f>IF(First!H55="", "",First!H55)</f>
        <v/>
      </c>
      <c r="I52" s="1" t="str">
        <f>IF(First!I55="", "",First!I55)</f>
        <v/>
      </c>
      <c r="J52" s="1" t="str">
        <f>IF(First!J55="", "",First!J55)</f>
        <v/>
      </c>
      <c r="K52" s="83" t="str">
        <f>IF(First!K55="", "",First!K55)</f>
        <v/>
      </c>
      <c r="M52" s="67" t="str">
        <f t="shared" si="1"/>
        <v/>
      </c>
      <c r="N52" s="76" t="str">
        <f t="shared" si="2"/>
        <v/>
      </c>
      <c r="O52" s="33">
        <f t="shared" si="0"/>
        <v>0</v>
      </c>
    </row>
    <row r="53" spans="1:15" x14ac:dyDescent="0.25">
      <c r="A53" s="58" t="s">
        <v>203</v>
      </c>
      <c r="B53" s="82" t="str">
        <f>IF(First!B56="", "",First!B56)</f>
        <v/>
      </c>
      <c r="C53" s="1" t="str">
        <f>IF(First!C56="", "",First!C56)</f>
        <v/>
      </c>
      <c r="D53" s="1" t="str">
        <f>IF(First!D56="", "",First!D56)</f>
        <v/>
      </c>
      <c r="E53" s="1" t="str">
        <f>IF(First!E56="", "",First!E56)</f>
        <v/>
      </c>
      <c r="F53" s="1" t="str">
        <f>IF(First!F56="", "",First!F56)</f>
        <v/>
      </c>
      <c r="G53" s="1" t="str">
        <f>IF(First!G56="", "",First!G56)</f>
        <v/>
      </c>
      <c r="H53" s="1" t="str">
        <f>IF(First!H56="", "",First!H56)</f>
        <v/>
      </c>
      <c r="I53" s="1" t="str">
        <f>IF(First!I56="", "",First!I56)</f>
        <v/>
      </c>
      <c r="J53" s="1" t="str">
        <f>IF(First!J56="", "",First!J56)</f>
        <v/>
      </c>
      <c r="K53" s="83" t="str">
        <f>IF(First!K56="", "",First!K56)</f>
        <v/>
      </c>
      <c r="M53" s="67" t="str">
        <f t="shared" si="1"/>
        <v/>
      </c>
      <c r="N53" s="76" t="str">
        <f t="shared" si="2"/>
        <v/>
      </c>
      <c r="O53" s="33">
        <f t="shared" si="0"/>
        <v>0</v>
      </c>
    </row>
    <row r="54" spans="1:15" x14ac:dyDescent="0.25">
      <c r="A54" s="58" t="s">
        <v>203</v>
      </c>
      <c r="B54" s="82" t="str">
        <f>IF(First!B57="", "",First!B57)</f>
        <v/>
      </c>
      <c r="C54" s="1" t="str">
        <f>IF(First!C57="", "",First!C57)</f>
        <v/>
      </c>
      <c r="D54" s="1" t="str">
        <f>IF(First!D57="", "",First!D57)</f>
        <v/>
      </c>
      <c r="E54" s="1" t="str">
        <f>IF(First!E57="", "",First!E57)</f>
        <v/>
      </c>
      <c r="F54" s="1" t="str">
        <f>IF(First!F57="", "",First!F57)</f>
        <v/>
      </c>
      <c r="G54" s="1" t="str">
        <f>IF(First!G57="", "",First!G57)</f>
        <v/>
      </c>
      <c r="H54" s="1" t="str">
        <f>IF(First!H57="", "",First!H57)</f>
        <v/>
      </c>
      <c r="I54" s="1" t="str">
        <f>IF(First!I57="", "",First!I57)</f>
        <v/>
      </c>
      <c r="J54" s="1" t="str">
        <f>IF(First!J57="", "",First!J57)</f>
        <v/>
      </c>
      <c r="K54" s="83" t="str">
        <f>IF(First!K57="", "",First!K57)</f>
        <v/>
      </c>
      <c r="M54" s="67" t="str">
        <f t="shared" si="1"/>
        <v/>
      </c>
      <c r="N54" s="76" t="str">
        <f t="shared" si="2"/>
        <v/>
      </c>
      <c r="O54" s="33">
        <f t="shared" si="0"/>
        <v>0</v>
      </c>
    </row>
    <row r="55" spans="1:15" x14ac:dyDescent="0.25">
      <c r="A55" s="58" t="s">
        <v>203</v>
      </c>
      <c r="B55" s="82" t="str">
        <f>IF(First!B58="", "",First!B58)</f>
        <v/>
      </c>
      <c r="C55" s="1" t="str">
        <f>IF(First!C58="", "",First!C58)</f>
        <v/>
      </c>
      <c r="D55" s="1" t="str">
        <f>IF(First!D58="", "",First!D58)</f>
        <v/>
      </c>
      <c r="E55" s="1" t="str">
        <f>IF(First!E58="", "",First!E58)</f>
        <v/>
      </c>
      <c r="F55" s="1" t="str">
        <f>IF(First!F58="", "",First!F58)</f>
        <v/>
      </c>
      <c r="G55" s="1" t="str">
        <f>IF(First!G58="", "",First!G58)</f>
        <v/>
      </c>
      <c r="H55" s="1" t="str">
        <f>IF(First!H58="", "",First!H58)</f>
        <v/>
      </c>
      <c r="I55" s="1" t="str">
        <f>IF(First!I58="", "",First!I58)</f>
        <v/>
      </c>
      <c r="J55" s="1" t="str">
        <f>IF(First!J58="", "",First!J58)</f>
        <v/>
      </c>
      <c r="K55" s="83" t="str">
        <f>IF(First!K58="", "",First!K58)</f>
        <v/>
      </c>
      <c r="M55" s="67" t="str">
        <f t="shared" si="1"/>
        <v/>
      </c>
      <c r="N55" s="76" t="str">
        <f t="shared" si="2"/>
        <v/>
      </c>
      <c r="O55" s="33">
        <f t="shared" si="0"/>
        <v>0</v>
      </c>
    </row>
    <row r="56" spans="1:15" x14ac:dyDescent="0.25">
      <c r="A56" s="58" t="s">
        <v>203</v>
      </c>
      <c r="B56" s="82" t="str">
        <f>IF(First!B59="", "",First!B59)</f>
        <v/>
      </c>
      <c r="C56" s="1" t="str">
        <f>IF(First!C59="", "",First!C59)</f>
        <v/>
      </c>
      <c r="D56" s="1" t="str">
        <f>IF(First!D59="", "",First!D59)</f>
        <v/>
      </c>
      <c r="E56" s="1" t="str">
        <f>IF(First!E59="", "",First!E59)</f>
        <v/>
      </c>
      <c r="F56" s="1" t="str">
        <f>IF(First!F59="", "",First!F59)</f>
        <v/>
      </c>
      <c r="G56" s="1" t="str">
        <f>IF(First!G59="", "",First!G59)</f>
        <v/>
      </c>
      <c r="H56" s="1" t="str">
        <f>IF(First!H59="", "",First!H59)</f>
        <v/>
      </c>
      <c r="I56" s="1" t="str">
        <f>IF(First!I59="", "",First!I59)</f>
        <v/>
      </c>
      <c r="J56" s="1" t="str">
        <f>IF(First!J59="", "",First!J59)</f>
        <v/>
      </c>
      <c r="K56" s="83" t="str">
        <f>IF(First!K59="", "",First!K59)</f>
        <v/>
      </c>
      <c r="M56" s="67" t="str">
        <f t="shared" si="1"/>
        <v/>
      </c>
      <c r="N56" s="76" t="str">
        <f t="shared" si="2"/>
        <v/>
      </c>
      <c r="O56" s="33">
        <f t="shared" si="0"/>
        <v>0</v>
      </c>
    </row>
    <row r="57" spans="1:15" x14ac:dyDescent="0.25">
      <c r="A57" s="58" t="s">
        <v>203</v>
      </c>
      <c r="B57" s="82" t="str">
        <f>IF(First!B60="", "",First!B60)</f>
        <v/>
      </c>
      <c r="C57" s="1" t="str">
        <f>IF(First!C60="", "",First!C60)</f>
        <v/>
      </c>
      <c r="D57" s="1" t="str">
        <f>IF(First!D60="", "",First!D60)</f>
        <v/>
      </c>
      <c r="E57" s="1" t="str">
        <f>IF(First!E60="", "",First!E60)</f>
        <v/>
      </c>
      <c r="F57" s="1" t="str">
        <f>IF(First!F60="", "",First!F60)</f>
        <v/>
      </c>
      <c r="G57" s="1" t="str">
        <f>IF(First!G60="", "",First!G60)</f>
        <v/>
      </c>
      <c r="H57" s="1" t="str">
        <f>IF(First!H60="", "",First!H60)</f>
        <v/>
      </c>
      <c r="I57" s="1" t="str">
        <f>IF(First!I60="", "",First!I60)</f>
        <v/>
      </c>
      <c r="J57" s="1" t="str">
        <f>IF(First!J60="", "",First!J60)</f>
        <v/>
      </c>
      <c r="K57" s="83" t="str">
        <f>IF(First!K60="", "",First!K60)</f>
        <v/>
      </c>
      <c r="M57" s="67" t="str">
        <f t="shared" si="1"/>
        <v/>
      </c>
      <c r="N57" s="76" t="str">
        <f t="shared" si="2"/>
        <v/>
      </c>
      <c r="O57" s="33">
        <f t="shared" si="0"/>
        <v>0</v>
      </c>
    </row>
    <row r="58" spans="1:15" x14ac:dyDescent="0.25">
      <c r="A58" s="58" t="s">
        <v>203</v>
      </c>
      <c r="B58" s="82" t="str">
        <f>IF(First!B61="", "",First!B61)</f>
        <v/>
      </c>
      <c r="C58" s="1" t="str">
        <f>IF(First!C61="", "",First!C61)</f>
        <v/>
      </c>
      <c r="D58" s="1" t="str">
        <f>IF(First!D61="", "",First!D61)</f>
        <v/>
      </c>
      <c r="E58" s="1" t="str">
        <f>IF(First!E61="", "",First!E61)</f>
        <v/>
      </c>
      <c r="F58" s="1" t="str">
        <f>IF(First!F61="", "",First!F61)</f>
        <v/>
      </c>
      <c r="G58" s="1" t="str">
        <f>IF(First!G61="", "",First!G61)</f>
        <v/>
      </c>
      <c r="H58" s="1" t="str">
        <f>IF(First!H61="", "",First!H61)</f>
        <v/>
      </c>
      <c r="I58" s="1" t="str">
        <f>IF(First!I61="", "",First!I61)</f>
        <v/>
      </c>
      <c r="J58" s="1" t="str">
        <f>IF(First!J61="", "",First!J61)</f>
        <v/>
      </c>
      <c r="K58" s="83" t="str">
        <f>IF(First!K61="", "",First!K61)</f>
        <v/>
      </c>
      <c r="M58" s="67" t="str">
        <f t="shared" si="1"/>
        <v/>
      </c>
      <c r="N58" s="76" t="str">
        <f t="shared" si="2"/>
        <v/>
      </c>
      <c r="O58" s="33">
        <f t="shared" si="0"/>
        <v>0</v>
      </c>
    </row>
    <row r="59" spans="1:15" x14ac:dyDescent="0.25">
      <c r="A59" s="58" t="s">
        <v>203</v>
      </c>
      <c r="B59" s="82" t="str">
        <f>IF(First!B62="", "",First!B62)</f>
        <v/>
      </c>
      <c r="C59" s="1" t="str">
        <f>IF(First!C62="", "",First!C62)</f>
        <v/>
      </c>
      <c r="D59" s="1" t="str">
        <f>IF(First!D62="", "",First!D62)</f>
        <v/>
      </c>
      <c r="E59" s="1" t="str">
        <f>IF(First!E62="", "",First!E62)</f>
        <v/>
      </c>
      <c r="F59" s="1" t="str">
        <f>IF(First!F62="", "",First!F62)</f>
        <v/>
      </c>
      <c r="G59" s="1" t="str">
        <f>IF(First!G62="", "",First!G62)</f>
        <v/>
      </c>
      <c r="H59" s="1" t="str">
        <f>IF(First!H62="", "",First!H62)</f>
        <v/>
      </c>
      <c r="I59" s="1" t="str">
        <f>IF(First!I62="", "",First!I62)</f>
        <v/>
      </c>
      <c r="J59" s="1" t="str">
        <f>IF(First!J62="", "",First!J62)</f>
        <v/>
      </c>
      <c r="K59" s="83" t="str">
        <f>IF(First!K62="", "",First!K62)</f>
        <v/>
      </c>
      <c r="M59" s="67" t="str">
        <f t="shared" si="1"/>
        <v/>
      </c>
      <c r="N59" s="76" t="str">
        <f t="shared" si="2"/>
        <v/>
      </c>
      <c r="O59" s="33">
        <f t="shared" si="0"/>
        <v>0</v>
      </c>
    </row>
    <row r="60" spans="1:15" x14ac:dyDescent="0.25">
      <c r="A60" s="58" t="s">
        <v>203</v>
      </c>
      <c r="B60" s="82" t="str">
        <f>IF(First!B63="", "",First!B63)</f>
        <v/>
      </c>
      <c r="C60" s="1" t="str">
        <f>IF(First!C63="", "",First!C63)</f>
        <v/>
      </c>
      <c r="D60" s="1" t="str">
        <f>IF(First!D63="", "",First!D63)</f>
        <v/>
      </c>
      <c r="E60" s="1" t="str">
        <f>IF(First!E63="", "",First!E63)</f>
        <v/>
      </c>
      <c r="F60" s="1" t="str">
        <f>IF(First!F63="", "",First!F63)</f>
        <v/>
      </c>
      <c r="G60" s="1" t="str">
        <f>IF(First!G63="", "",First!G63)</f>
        <v/>
      </c>
      <c r="H60" s="1" t="str">
        <f>IF(First!H63="", "",First!H63)</f>
        <v/>
      </c>
      <c r="I60" s="1" t="str">
        <f>IF(First!I63="", "",First!I63)</f>
        <v/>
      </c>
      <c r="J60" s="1" t="str">
        <f>IF(First!J63="", "",First!J63)</f>
        <v/>
      </c>
      <c r="K60" s="83" t="str">
        <f>IF(First!K63="", "",First!K63)</f>
        <v/>
      </c>
      <c r="M60" s="67" t="str">
        <f t="shared" si="1"/>
        <v/>
      </c>
      <c r="N60" s="76" t="str">
        <f t="shared" si="2"/>
        <v/>
      </c>
      <c r="O60" s="33">
        <f t="shared" si="0"/>
        <v>0</v>
      </c>
    </row>
    <row r="61" spans="1:15" x14ac:dyDescent="0.25">
      <c r="A61" s="58" t="s">
        <v>203</v>
      </c>
      <c r="B61" s="82" t="str">
        <f>IF(First!B64="", "",First!B64)</f>
        <v/>
      </c>
      <c r="C61" s="1" t="str">
        <f>IF(First!C64="", "",First!C64)</f>
        <v/>
      </c>
      <c r="D61" s="1" t="str">
        <f>IF(First!D64="", "",First!D64)</f>
        <v/>
      </c>
      <c r="E61" s="1" t="str">
        <f>IF(First!E64="", "",First!E64)</f>
        <v/>
      </c>
      <c r="F61" s="1" t="str">
        <f>IF(First!F64="", "",First!F64)</f>
        <v/>
      </c>
      <c r="G61" s="1" t="str">
        <f>IF(First!G64="", "",First!G64)</f>
        <v/>
      </c>
      <c r="H61" s="1" t="str">
        <f>IF(First!H64="", "",First!H64)</f>
        <v/>
      </c>
      <c r="I61" s="1" t="str">
        <f>IF(First!I64="", "",First!I64)</f>
        <v/>
      </c>
      <c r="J61" s="1" t="str">
        <f>IF(First!J64="", "",First!J64)</f>
        <v/>
      </c>
      <c r="K61" s="83" t="str">
        <f>IF(First!K64="", "",First!K64)</f>
        <v/>
      </c>
      <c r="M61" s="67" t="str">
        <f t="shared" si="1"/>
        <v/>
      </c>
      <c r="N61" s="76" t="str">
        <f t="shared" si="2"/>
        <v/>
      </c>
      <c r="O61" s="33">
        <f t="shared" si="0"/>
        <v>0</v>
      </c>
    </row>
    <row r="62" spans="1:15" x14ac:dyDescent="0.25">
      <c r="A62" s="58" t="s">
        <v>203</v>
      </c>
      <c r="B62" s="82" t="str">
        <f>IF(First!B65="", "",First!B65)</f>
        <v/>
      </c>
      <c r="C62" s="1" t="str">
        <f>IF(First!C65="", "",First!C65)</f>
        <v/>
      </c>
      <c r="D62" s="1" t="str">
        <f>IF(First!D65="", "",First!D65)</f>
        <v/>
      </c>
      <c r="E62" s="1" t="str">
        <f>IF(First!E65="", "",First!E65)</f>
        <v/>
      </c>
      <c r="F62" s="1" t="str">
        <f>IF(First!F65="", "",First!F65)</f>
        <v/>
      </c>
      <c r="G62" s="1" t="str">
        <f>IF(First!G65="", "",First!G65)</f>
        <v/>
      </c>
      <c r="H62" s="1" t="str">
        <f>IF(First!H65="", "",First!H65)</f>
        <v/>
      </c>
      <c r="I62" s="1" t="str">
        <f>IF(First!I65="", "",First!I65)</f>
        <v/>
      </c>
      <c r="J62" s="1" t="str">
        <f>IF(First!J65="", "",First!J65)</f>
        <v/>
      </c>
      <c r="K62" s="83" t="str">
        <f>IF(First!K65="", "",First!K65)</f>
        <v/>
      </c>
      <c r="M62" s="67" t="str">
        <f t="shared" si="1"/>
        <v/>
      </c>
      <c r="N62" s="76" t="str">
        <f t="shared" si="2"/>
        <v/>
      </c>
      <c r="O62" s="33">
        <f t="shared" si="0"/>
        <v>0</v>
      </c>
    </row>
    <row r="63" spans="1:15" x14ac:dyDescent="0.25">
      <c r="A63" s="58" t="s">
        <v>203</v>
      </c>
      <c r="B63" s="82" t="str">
        <f>IF(First!B66="", "",First!B66)</f>
        <v/>
      </c>
      <c r="C63" s="1" t="str">
        <f>IF(First!C66="", "",First!C66)</f>
        <v/>
      </c>
      <c r="D63" s="1" t="str">
        <f>IF(First!D66="", "",First!D66)</f>
        <v/>
      </c>
      <c r="E63" s="1" t="str">
        <f>IF(First!E66="", "",First!E66)</f>
        <v/>
      </c>
      <c r="F63" s="1" t="str">
        <f>IF(First!F66="", "",First!F66)</f>
        <v/>
      </c>
      <c r="G63" s="1" t="str">
        <f>IF(First!G66="", "",First!G66)</f>
        <v/>
      </c>
      <c r="H63" s="1" t="str">
        <f>IF(First!H66="", "",First!H66)</f>
        <v/>
      </c>
      <c r="I63" s="1" t="str">
        <f>IF(First!I66="", "",First!I66)</f>
        <v/>
      </c>
      <c r="J63" s="1" t="str">
        <f>IF(First!J66="", "",First!J66)</f>
        <v/>
      </c>
      <c r="K63" s="83" t="str">
        <f>IF(First!K66="", "",First!K66)</f>
        <v/>
      </c>
      <c r="M63" s="67" t="str">
        <f t="shared" si="1"/>
        <v/>
      </c>
      <c r="N63" s="76" t="str">
        <f t="shared" si="2"/>
        <v/>
      </c>
      <c r="O63" s="33">
        <f t="shared" si="0"/>
        <v>0</v>
      </c>
    </row>
    <row r="64" spans="1:15" x14ac:dyDescent="0.25">
      <c r="A64" s="58" t="s">
        <v>203</v>
      </c>
      <c r="B64" s="82" t="str">
        <f>IF(First!B67="", "",First!B67)</f>
        <v/>
      </c>
      <c r="C64" s="1" t="str">
        <f>IF(First!C67="", "",First!C67)</f>
        <v/>
      </c>
      <c r="D64" s="1" t="str">
        <f>IF(First!D67="", "",First!D67)</f>
        <v/>
      </c>
      <c r="E64" s="1" t="str">
        <f>IF(First!E67="", "",First!E67)</f>
        <v/>
      </c>
      <c r="F64" s="1" t="str">
        <f>IF(First!F67="", "",First!F67)</f>
        <v/>
      </c>
      <c r="G64" s="1" t="str">
        <f>IF(First!G67="", "",First!G67)</f>
        <v/>
      </c>
      <c r="H64" s="1" t="str">
        <f>IF(First!H67="", "",First!H67)</f>
        <v/>
      </c>
      <c r="I64" s="1" t="str">
        <f>IF(First!I67="", "",First!I67)</f>
        <v/>
      </c>
      <c r="J64" s="1" t="str">
        <f>IF(First!J67="", "",First!J67)</f>
        <v/>
      </c>
      <c r="K64" s="83" t="str">
        <f>IF(First!K67="", "",First!K67)</f>
        <v/>
      </c>
      <c r="M64" s="67" t="str">
        <f t="shared" si="1"/>
        <v/>
      </c>
      <c r="N64" s="76" t="str">
        <f t="shared" si="2"/>
        <v/>
      </c>
      <c r="O64" s="33">
        <f t="shared" si="0"/>
        <v>0</v>
      </c>
    </row>
    <row r="65" spans="1:15" x14ac:dyDescent="0.25">
      <c r="A65" s="58" t="s">
        <v>203</v>
      </c>
      <c r="B65" s="82" t="str">
        <f>IF(First!B68="", "",First!B68)</f>
        <v/>
      </c>
      <c r="C65" s="1" t="str">
        <f>IF(First!C68="", "",First!C68)</f>
        <v/>
      </c>
      <c r="D65" s="1" t="str">
        <f>IF(First!D68="", "",First!D68)</f>
        <v/>
      </c>
      <c r="E65" s="1" t="str">
        <f>IF(First!E68="", "",First!E68)</f>
        <v/>
      </c>
      <c r="F65" s="1" t="str">
        <f>IF(First!F68="", "",First!F68)</f>
        <v/>
      </c>
      <c r="G65" s="1" t="str">
        <f>IF(First!G68="", "",First!G68)</f>
        <v/>
      </c>
      <c r="H65" s="1" t="str">
        <f>IF(First!H68="", "",First!H68)</f>
        <v/>
      </c>
      <c r="I65" s="1" t="str">
        <f>IF(First!I68="", "",First!I68)</f>
        <v/>
      </c>
      <c r="J65" s="1" t="str">
        <f>IF(First!J68="", "",First!J68)</f>
        <v/>
      </c>
      <c r="K65" s="83" t="str">
        <f>IF(First!K68="", "",First!K68)</f>
        <v/>
      </c>
      <c r="M65" s="67" t="str">
        <f t="shared" si="1"/>
        <v/>
      </c>
      <c r="N65" s="76" t="str">
        <f t="shared" si="2"/>
        <v/>
      </c>
      <c r="O65" s="33">
        <f t="shared" si="0"/>
        <v>0</v>
      </c>
    </row>
    <row r="66" spans="1:15" x14ac:dyDescent="0.25">
      <c r="A66" s="58" t="s">
        <v>203</v>
      </c>
      <c r="B66" s="82" t="str">
        <f>IF(First!B69="", "",First!B69)</f>
        <v/>
      </c>
      <c r="C66" s="1" t="str">
        <f>IF(First!C69="", "",First!C69)</f>
        <v/>
      </c>
      <c r="D66" s="1" t="str">
        <f>IF(First!D69="", "",First!D69)</f>
        <v/>
      </c>
      <c r="E66" s="1" t="str">
        <f>IF(First!E69="", "",First!E69)</f>
        <v/>
      </c>
      <c r="F66" s="1" t="str">
        <f>IF(First!F69="", "",First!F69)</f>
        <v/>
      </c>
      <c r="G66" s="1" t="str">
        <f>IF(First!G69="", "",First!G69)</f>
        <v/>
      </c>
      <c r="H66" s="1" t="str">
        <f>IF(First!H69="", "",First!H69)</f>
        <v/>
      </c>
      <c r="I66" s="1" t="str">
        <f>IF(First!I69="", "",First!I69)</f>
        <v/>
      </c>
      <c r="J66" s="1" t="str">
        <f>IF(First!J69="", "",First!J69)</f>
        <v/>
      </c>
      <c r="K66" s="83" t="str">
        <f>IF(First!K69="", "",First!K69)</f>
        <v/>
      </c>
      <c r="M66" s="67" t="str">
        <f t="shared" si="1"/>
        <v/>
      </c>
      <c r="N66" s="76" t="str">
        <f t="shared" si="2"/>
        <v/>
      </c>
      <c r="O66" s="33">
        <f t="shared" ref="O66:O129" si="3">SUM(M66:N66)</f>
        <v>0</v>
      </c>
    </row>
    <row r="67" spans="1:15" x14ac:dyDescent="0.25">
      <c r="A67" s="58" t="s">
        <v>203</v>
      </c>
      <c r="B67" s="82" t="str">
        <f>IF(First!B70="", "",First!B70)</f>
        <v/>
      </c>
      <c r="C67" s="1" t="str">
        <f>IF(First!C70="", "",First!C70)</f>
        <v/>
      </c>
      <c r="D67" s="1" t="str">
        <f>IF(First!D70="", "",First!D70)</f>
        <v/>
      </c>
      <c r="E67" s="1" t="str">
        <f>IF(First!E70="", "",First!E70)</f>
        <v/>
      </c>
      <c r="F67" s="1" t="str">
        <f>IF(First!F70="", "",First!F70)</f>
        <v/>
      </c>
      <c r="G67" s="1" t="str">
        <f>IF(First!G70="", "",First!G70)</f>
        <v/>
      </c>
      <c r="H67" s="1" t="str">
        <f>IF(First!H70="", "",First!H70)</f>
        <v/>
      </c>
      <c r="I67" s="1" t="str">
        <f>IF(First!I70="", "",First!I70)</f>
        <v/>
      </c>
      <c r="J67" s="1" t="str">
        <f>IF(First!J70="", "",First!J70)</f>
        <v/>
      </c>
      <c r="K67" s="83" t="str">
        <f>IF(First!K70="", "",First!K70)</f>
        <v/>
      </c>
      <c r="M67" s="67" t="str">
        <f t="shared" ref="M67:M130" si="4">IF(C67="PwC",(7-COUNTIF(B67:H67,"")),"")</f>
        <v/>
      </c>
      <c r="N67" s="76" t="str">
        <f t="shared" ref="N67:N130" si="5">IF(C67="Carer",(7-COUNTIF(B67:H67,"")),"")</f>
        <v/>
      </c>
      <c r="O67" s="33">
        <f t="shared" si="3"/>
        <v>0</v>
      </c>
    </row>
    <row r="68" spans="1:15" x14ac:dyDescent="0.25">
      <c r="A68" s="58" t="s">
        <v>203</v>
      </c>
      <c r="B68" s="82" t="str">
        <f>IF(First!B71="", "",First!B71)</f>
        <v/>
      </c>
      <c r="C68" s="1" t="str">
        <f>IF(First!C71="", "",First!C71)</f>
        <v/>
      </c>
      <c r="D68" s="1" t="str">
        <f>IF(First!D71="", "",First!D71)</f>
        <v/>
      </c>
      <c r="E68" s="1" t="str">
        <f>IF(First!E71="", "",First!E71)</f>
        <v/>
      </c>
      <c r="F68" s="1" t="str">
        <f>IF(First!F71="", "",First!F71)</f>
        <v/>
      </c>
      <c r="G68" s="1" t="str">
        <f>IF(First!G71="", "",First!G71)</f>
        <v/>
      </c>
      <c r="H68" s="1" t="str">
        <f>IF(First!H71="", "",First!H71)</f>
        <v/>
      </c>
      <c r="I68" s="1" t="str">
        <f>IF(First!I71="", "",First!I71)</f>
        <v/>
      </c>
      <c r="J68" s="1" t="str">
        <f>IF(First!J71="", "",First!J71)</f>
        <v/>
      </c>
      <c r="K68" s="83" t="str">
        <f>IF(First!K71="", "",First!K71)</f>
        <v/>
      </c>
      <c r="M68" s="67" t="str">
        <f t="shared" si="4"/>
        <v/>
      </c>
      <c r="N68" s="76" t="str">
        <f t="shared" si="5"/>
        <v/>
      </c>
      <c r="O68" s="33">
        <f t="shared" si="3"/>
        <v>0</v>
      </c>
    </row>
    <row r="69" spans="1:15" x14ac:dyDescent="0.25">
      <c r="A69" s="58" t="s">
        <v>203</v>
      </c>
      <c r="B69" s="82" t="str">
        <f>IF(First!B72="", "",First!B72)</f>
        <v/>
      </c>
      <c r="C69" s="1" t="str">
        <f>IF(First!C72="", "",First!C72)</f>
        <v/>
      </c>
      <c r="D69" s="1" t="str">
        <f>IF(First!D72="", "",First!D72)</f>
        <v/>
      </c>
      <c r="E69" s="1" t="str">
        <f>IF(First!E72="", "",First!E72)</f>
        <v/>
      </c>
      <c r="F69" s="1" t="str">
        <f>IF(First!F72="", "",First!F72)</f>
        <v/>
      </c>
      <c r="G69" s="1" t="str">
        <f>IF(First!G72="", "",First!G72)</f>
        <v/>
      </c>
      <c r="H69" s="1" t="str">
        <f>IF(First!H72="", "",First!H72)</f>
        <v/>
      </c>
      <c r="I69" s="1" t="str">
        <f>IF(First!I72="", "",First!I72)</f>
        <v/>
      </c>
      <c r="J69" s="1" t="str">
        <f>IF(First!J72="", "",First!J72)</f>
        <v/>
      </c>
      <c r="K69" s="83" t="str">
        <f>IF(First!K72="", "",First!K72)</f>
        <v/>
      </c>
      <c r="M69" s="67" t="str">
        <f t="shared" si="4"/>
        <v/>
      </c>
      <c r="N69" s="76" t="str">
        <f t="shared" si="5"/>
        <v/>
      </c>
      <c r="O69" s="33">
        <f t="shared" si="3"/>
        <v>0</v>
      </c>
    </row>
    <row r="70" spans="1:15" x14ac:dyDescent="0.25">
      <c r="A70" s="58" t="s">
        <v>203</v>
      </c>
      <c r="B70" s="82" t="str">
        <f>IF(First!B73="", "",First!B73)</f>
        <v/>
      </c>
      <c r="C70" s="1" t="str">
        <f>IF(First!C73="", "",First!C73)</f>
        <v/>
      </c>
      <c r="D70" s="1" t="str">
        <f>IF(First!D73="", "",First!D73)</f>
        <v/>
      </c>
      <c r="E70" s="1" t="str">
        <f>IF(First!E73="", "",First!E73)</f>
        <v/>
      </c>
      <c r="F70" s="1" t="str">
        <f>IF(First!F73="", "",First!F73)</f>
        <v/>
      </c>
      <c r="G70" s="1" t="str">
        <f>IF(First!G73="", "",First!G73)</f>
        <v/>
      </c>
      <c r="H70" s="1" t="str">
        <f>IF(First!H73="", "",First!H73)</f>
        <v/>
      </c>
      <c r="I70" s="1" t="str">
        <f>IF(First!I73="", "",First!I73)</f>
        <v/>
      </c>
      <c r="J70" s="1" t="str">
        <f>IF(First!J73="", "",First!J73)</f>
        <v/>
      </c>
      <c r="K70" s="83" t="str">
        <f>IF(First!K73="", "",First!K73)</f>
        <v/>
      </c>
      <c r="M70" s="67" t="str">
        <f t="shared" si="4"/>
        <v/>
      </c>
      <c r="N70" s="76" t="str">
        <f t="shared" si="5"/>
        <v/>
      </c>
      <c r="O70" s="33">
        <f t="shared" si="3"/>
        <v>0</v>
      </c>
    </row>
    <row r="71" spans="1:15" x14ac:dyDescent="0.25">
      <c r="A71" s="58" t="s">
        <v>203</v>
      </c>
      <c r="B71" s="82" t="str">
        <f>IF(First!B74="", "",First!B74)</f>
        <v/>
      </c>
      <c r="C71" s="1" t="str">
        <f>IF(First!C74="", "",First!C74)</f>
        <v/>
      </c>
      <c r="D71" s="1" t="str">
        <f>IF(First!D74="", "",First!D74)</f>
        <v/>
      </c>
      <c r="E71" s="1" t="str">
        <f>IF(First!E74="", "",First!E74)</f>
        <v/>
      </c>
      <c r="F71" s="1" t="str">
        <f>IF(First!F74="", "",First!F74)</f>
        <v/>
      </c>
      <c r="G71" s="1" t="str">
        <f>IF(First!G74="", "",First!G74)</f>
        <v/>
      </c>
      <c r="H71" s="1" t="str">
        <f>IF(First!H74="", "",First!H74)</f>
        <v/>
      </c>
      <c r="I71" s="1" t="str">
        <f>IF(First!I74="", "",First!I74)</f>
        <v/>
      </c>
      <c r="J71" s="1" t="str">
        <f>IF(First!J74="", "",First!J74)</f>
        <v/>
      </c>
      <c r="K71" s="83" t="str">
        <f>IF(First!K74="", "",First!K74)</f>
        <v/>
      </c>
      <c r="M71" s="67" t="str">
        <f t="shared" si="4"/>
        <v/>
      </c>
      <c r="N71" s="76" t="str">
        <f t="shared" si="5"/>
        <v/>
      </c>
      <c r="O71" s="33">
        <f t="shared" si="3"/>
        <v>0</v>
      </c>
    </row>
    <row r="72" spans="1:15" x14ac:dyDescent="0.25">
      <c r="A72" s="58" t="s">
        <v>203</v>
      </c>
      <c r="B72" s="82" t="str">
        <f>IF(First!B75="", "",First!B75)</f>
        <v/>
      </c>
      <c r="C72" s="1" t="str">
        <f>IF(First!C75="", "",First!C75)</f>
        <v/>
      </c>
      <c r="D72" s="1" t="str">
        <f>IF(First!D75="", "",First!D75)</f>
        <v/>
      </c>
      <c r="E72" s="1" t="str">
        <f>IF(First!E75="", "",First!E75)</f>
        <v/>
      </c>
      <c r="F72" s="1" t="str">
        <f>IF(First!F75="", "",First!F75)</f>
        <v/>
      </c>
      <c r="G72" s="1" t="str">
        <f>IF(First!G75="", "",First!G75)</f>
        <v/>
      </c>
      <c r="H72" s="1" t="str">
        <f>IF(First!H75="", "",First!H75)</f>
        <v/>
      </c>
      <c r="I72" s="1" t="str">
        <f>IF(First!I75="", "",First!I75)</f>
        <v/>
      </c>
      <c r="J72" s="1" t="str">
        <f>IF(First!J75="", "",First!J75)</f>
        <v/>
      </c>
      <c r="K72" s="83" t="str">
        <f>IF(First!K75="", "",First!K75)</f>
        <v/>
      </c>
      <c r="M72" s="67" t="str">
        <f t="shared" si="4"/>
        <v/>
      </c>
      <c r="N72" s="76" t="str">
        <f t="shared" si="5"/>
        <v/>
      </c>
      <c r="O72" s="33">
        <f t="shared" si="3"/>
        <v>0</v>
      </c>
    </row>
    <row r="73" spans="1:15" x14ac:dyDescent="0.25">
      <c r="A73" s="58" t="s">
        <v>203</v>
      </c>
      <c r="B73" s="82" t="str">
        <f>IF(First!B76="", "",First!B76)</f>
        <v/>
      </c>
      <c r="C73" s="1" t="str">
        <f>IF(First!C76="", "",First!C76)</f>
        <v/>
      </c>
      <c r="D73" s="1" t="str">
        <f>IF(First!D76="", "",First!D76)</f>
        <v/>
      </c>
      <c r="E73" s="1" t="str">
        <f>IF(First!E76="", "",First!E76)</f>
        <v/>
      </c>
      <c r="F73" s="1" t="str">
        <f>IF(First!F76="", "",First!F76)</f>
        <v/>
      </c>
      <c r="G73" s="1" t="str">
        <f>IF(First!G76="", "",First!G76)</f>
        <v/>
      </c>
      <c r="H73" s="1" t="str">
        <f>IF(First!H76="", "",First!H76)</f>
        <v/>
      </c>
      <c r="I73" s="1" t="str">
        <f>IF(First!I76="", "",First!I76)</f>
        <v/>
      </c>
      <c r="J73" s="1" t="str">
        <f>IF(First!J76="", "",First!J76)</f>
        <v/>
      </c>
      <c r="K73" s="83" t="str">
        <f>IF(First!K76="", "",First!K76)</f>
        <v/>
      </c>
      <c r="M73" s="67" t="str">
        <f t="shared" si="4"/>
        <v/>
      </c>
      <c r="N73" s="76" t="str">
        <f t="shared" si="5"/>
        <v/>
      </c>
      <c r="O73" s="33">
        <f t="shared" si="3"/>
        <v>0</v>
      </c>
    </row>
    <row r="74" spans="1:15" x14ac:dyDescent="0.25">
      <c r="A74" s="58" t="s">
        <v>203</v>
      </c>
      <c r="B74" s="82" t="str">
        <f>IF(First!B77="", "",First!B77)</f>
        <v/>
      </c>
      <c r="C74" s="1" t="str">
        <f>IF(First!C77="", "",First!C77)</f>
        <v/>
      </c>
      <c r="D74" s="1" t="str">
        <f>IF(First!D77="", "",First!D77)</f>
        <v/>
      </c>
      <c r="E74" s="1" t="str">
        <f>IF(First!E77="", "",First!E77)</f>
        <v/>
      </c>
      <c r="F74" s="1" t="str">
        <f>IF(First!F77="", "",First!F77)</f>
        <v/>
      </c>
      <c r="G74" s="1" t="str">
        <f>IF(First!G77="", "",First!G77)</f>
        <v/>
      </c>
      <c r="H74" s="1" t="str">
        <f>IF(First!H77="", "",First!H77)</f>
        <v/>
      </c>
      <c r="I74" s="1" t="str">
        <f>IF(First!I77="", "",First!I77)</f>
        <v/>
      </c>
      <c r="J74" s="1" t="str">
        <f>IF(First!J77="", "",First!J77)</f>
        <v/>
      </c>
      <c r="K74" s="83" t="str">
        <f>IF(First!K77="", "",First!K77)</f>
        <v/>
      </c>
      <c r="M74" s="67" t="str">
        <f t="shared" si="4"/>
        <v/>
      </c>
      <c r="N74" s="76" t="str">
        <f t="shared" si="5"/>
        <v/>
      </c>
      <c r="O74" s="33">
        <f t="shared" si="3"/>
        <v>0</v>
      </c>
    </row>
    <row r="75" spans="1:15" x14ac:dyDescent="0.25">
      <c r="A75" s="58" t="s">
        <v>203</v>
      </c>
      <c r="B75" s="82" t="str">
        <f>IF(First!B78="", "",First!B78)</f>
        <v/>
      </c>
      <c r="C75" s="1" t="str">
        <f>IF(First!C78="", "",First!C78)</f>
        <v/>
      </c>
      <c r="D75" s="1" t="str">
        <f>IF(First!D78="", "",First!D78)</f>
        <v/>
      </c>
      <c r="E75" s="1" t="str">
        <f>IF(First!E78="", "",First!E78)</f>
        <v/>
      </c>
      <c r="F75" s="1" t="str">
        <f>IF(First!F78="", "",First!F78)</f>
        <v/>
      </c>
      <c r="G75" s="1" t="str">
        <f>IF(First!G78="", "",First!G78)</f>
        <v/>
      </c>
      <c r="H75" s="1" t="str">
        <f>IF(First!H78="", "",First!H78)</f>
        <v/>
      </c>
      <c r="I75" s="1" t="str">
        <f>IF(First!I78="", "",First!I78)</f>
        <v/>
      </c>
      <c r="J75" s="1" t="str">
        <f>IF(First!J78="", "",First!J78)</f>
        <v/>
      </c>
      <c r="K75" s="83" t="str">
        <f>IF(First!K78="", "",First!K78)</f>
        <v/>
      </c>
      <c r="M75" s="67" t="str">
        <f t="shared" si="4"/>
        <v/>
      </c>
      <c r="N75" s="76" t="str">
        <f t="shared" si="5"/>
        <v/>
      </c>
      <c r="O75" s="33">
        <f t="shared" si="3"/>
        <v>0</v>
      </c>
    </row>
    <row r="76" spans="1:15" x14ac:dyDescent="0.25">
      <c r="A76" s="58" t="s">
        <v>203</v>
      </c>
      <c r="B76" s="82" t="str">
        <f>IF(First!B79="", "",First!B79)</f>
        <v/>
      </c>
      <c r="C76" s="1" t="str">
        <f>IF(First!C79="", "",First!C79)</f>
        <v/>
      </c>
      <c r="D76" s="1" t="str">
        <f>IF(First!D79="", "",First!D79)</f>
        <v/>
      </c>
      <c r="E76" s="1" t="str">
        <f>IF(First!E79="", "",First!E79)</f>
        <v/>
      </c>
      <c r="F76" s="1" t="str">
        <f>IF(First!F79="", "",First!F79)</f>
        <v/>
      </c>
      <c r="G76" s="1" t="str">
        <f>IF(First!G79="", "",First!G79)</f>
        <v/>
      </c>
      <c r="H76" s="1" t="str">
        <f>IF(First!H79="", "",First!H79)</f>
        <v/>
      </c>
      <c r="I76" s="1" t="str">
        <f>IF(First!I79="", "",First!I79)</f>
        <v/>
      </c>
      <c r="J76" s="1" t="str">
        <f>IF(First!J79="", "",First!J79)</f>
        <v/>
      </c>
      <c r="K76" s="83" t="str">
        <f>IF(First!K79="", "",First!K79)</f>
        <v/>
      </c>
      <c r="M76" s="67" t="str">
        <f t="shared" si="4"/>
        <v/>
      </c>
      <c r="N76" s="76" t="str">
        <f t="shared" si="5"/>
        <v/>
      </c>
      <c r="O76" s="33">
        <f t="shared" si="3"/>
        <v>0</v>
      </c>
    </row>
    <row r="77" spans="1:15" x14ac:dyDescent="0.25">
      <c r="A77" s="58" t="s">
        <v>203</v>
      </c>
      <c r="B77" s="82" t="str">
        <f>IF(First!B80="", "",First!B80)</f>
        <v/>
      </c>
      <c r="C77" s="1" t="str">
        <f>IF(First!C80="", "",First!C80)</f>
        <v/>
      </c>
      <c r="D77" s="1" t="str">
        <f>IF(First!D80="", "",First!D80)</f>
        <v/>
      </c>
      <c r="E77" s="1" t="str">
        <f>IF(First!E80="", "",First!E80)</f>
        <v/>
      </c>
      <c r="F77" s="1" t="str">
        <f>IF(First!F80="", "",First!F80)</f>
        <v/>
      </c>
      <c r="G77" s="1" t="str">
        <f>IF(First!G80="", "",First!G80)</f>
        <v/>
      </c>
      <c r="H77" s="1" t="str">
        <f>IF(First!H80="", "",First!H80)</f>
        <v/>
      </c>
      <c r="I77" s="1" t="str">
        <f>IF(First!I80="", "",First!I80)</f>
        <v/>
      </c>
      <c r="J77" s="1" t="str">
        <f>IF(First!J80="", "",First!J80)</f>
        <v/>
      </c>
      <c r="K77" s="83" t="str">
        <f>IF(First!K80="", "",First!K80)</f>
        <v/>
      </c>
      <c r="M77" s="67" t="str">
        <f t="shared" si="4"/>
        <v/>
      </c>
      <c r="N77" s="76" t="str">
        <f t="shared" si="5"/>
        <v/>
      </c>
      <c r="O77" s="33">
        <f t="shared" si="3"/>
        <v>0</v>
      </c>
    </row>
    <row r="78" spans="1:15" x14ac:dyDescent="0.25">
      <c r="A78" s="58" t="s">
        <v>203</v>
      </c>
      <c r="B78" s="82" t="str">
        <f>IF(First!B81="", "",First!B81)</f>
        <v/>
      </c>
      <c r="C78" s="1" t="str">
        <f>IF(First!C81="", "",First!C81)</f>
        <v/>
      </c>
      <c r="D78" s="1" t="str">
        <f>IF(First!D81="", "",First!D81)</f>
        <v/>
      </c>
      <c r="E78" s="1" t="str">
        <f>IF(First!E81="", "",First!E81)</f>
        <v/>
      </c>
      <c r="F78" s="1" t="str">
        <f>IF(First!F81="", "",First!F81)</f>
        <v/>
      </c>
      <c r="G78" s="1" t="str">
        <f>IF(First!G81="", "",First!G81)</f>
        <v/>
      </c>
      <c r="H78" s="1" t="str">
        <f>IF(First!H81="", "",First!H81)</f>
        <v/>
      </c>
      <c r="I78" s="1" t="str">
        <f>IF(First!I81="", "",First!I81)</f>
        <v/>
      </c>
      <c r="J78" s="1" t="str">
        <f>IF(First!J81="", "",First!J81)</f>
        <v/>
      </c>
      <c r="K78" s="83" t="str">
        <f>IF(First!K81="", "",First!K81)</f>
        <v/>
      </c>
      <c r="M78" s="67" t="str">
        <f t="shared" si="4"/>
        <v/>
      </c>
      <c r="N78" s="76" t="str">
        <f t="shared" si="5"/>
        <v/>
      </c>
      <c r="O78" s="33">
        <f t="shared" si="3"/>
        <v>0</v>
      </c>
    </row>
    <row r="79" spans="1:15" x14ac:dyDescent="0.25">
      <c r="A79" s="58" t="s">
        <v>203</v>
      </c>
      <c r="B79" s="82" t="str">
        <f>IF(First!B82="", "",First!B82)</f>
        <v/>
      </c>
      <c r="C79" s="1" t="str">
        <f>IF(First!C82="", "",First!C82)</f>
        <v/>
      </c>
      <c r="D79" s="1" t="str">
        <f>IF(First!D82="", "",First!D82)</f>
        <v/>
      </c>
      <c r="E79" s="1" t="str">
        <f>IF(First!E82="", "",First!E82)</f>
        <v/>
      </c>
      <c r="F79" s="1" t="str">
        <f>IF(First!F82="", "",First!F82)</f>
        <v/>
      </c>
      <c r="G79" s="1" t="str">
        <f>IF(First!G82="", "",First!G82)</f>
        <v/>
      </c>
      <c r="H79" s="1" t="str">
        <f>IF(First!H82="", "",First!H82)</f>
        <v/>
      </c>
      <c r="I79" s="1" t="str">
        <f>IF(First!I82="", "",First!I82)</f>
        <v/>
      </c>
      <c r="J79" s="1" t="str">
        <f>IF(First!J82="", "",First!J82)</f>
        <v/>
      </c>
      <c r="K79" s="83" t="str">
        <f>IF(First!K82="", "",First!K82)</f>
        <v/>
      </c>
      <c r="M79" s="67" t="str">
        <f t="shared" si="4"/>
        <v/>
      </c>
      <c r="N79" s="76" t="str">
        <f t="shared" si="5"/>
        <v/>
      </c>
      <c r="O79" s="33">
        <f t="shared" si="3"/>
        <v>0</v>
      </c>
    </row>
    <row r="80" spans="1:15" x14ac:dyDescent="0.25">
      <c r="A80" s="58" t="s">
        <v>203</v>
      </c>
      <c r="B80" s="82" t="str">
        <f>IF(First!B83="", "",First!B83)</f>
        <v/>
      </c>
      <c r="C80" s="1" t="str">
        <f>IF(First!C83="", "",First!C83)</f>
        <v/>
      </c>
      <c r="D80" s="1" t="str">
        <f>IF(First!D83="", "",First!D83)</f>
        <v/>
      </c>
      <c r="E80" s="1" t="str">
        <f>IF(First!E83="", "",First!E83)</f>
        <v/>
      </c>
      <c r="F80" s="1" t="str">
        <f>IF(First!F83="", "",First!F83)</f>
        <v/>
      </c>
      <c r="G80" s="1" t="str">
        <f>IF(First!G83="", "",First!G83)</f>
        <v/>
      </c>
      <c r="H80" s="1" t="str">
        <f>IF(First!H83="", "",First!H83)</f>
        <v/>
      </c>
      <c r="I80" s="1" t="str">
        <f>IF(First!I83="", "",First!I83)</f>
        <v/>
      </c>
      <c r="J80" s="1" t="str">
        <f>IF(First!J83="", "",First!J83)</f>
        <v/>
      </c>
      <c r="K80" s="83" t="str">
        <f>IF(First!K83="", "",First!K83)</f>
        <v/>
      </c>
      <c r="M80" s="67" t="str">
        <f t="shared" si="4"/>
        <v/>
      </c>
      <c r="N80" s="76" t="str">
        <f t="shared" si="5"/>
        <v/>
      </c>
      <c r="O80" s="33">
        <f t="shared" si="3"/>
        <v>0</v>
      </c>
    </row>
    <row r="81" spans="1:15" x14ac:dyDescent="0.25">
      <c r="A81" s="58" t="s">
        <v>203</v>
      </c>
      <c r="B81" s="82" t="str">
        <f>IF(First!B84="", "",First!B84)</f>
        <v/>
      </c>
      <c r="C81" s="1" t="str">
        <f>IF(First!C84="", "",First!C84)</f>
        <v/>
      </c>
      <c r="D81" s="1" t="str">
        <f>IF(First!D84="", "",First!D84)</f>
        <v/>
      </c>
      <c r="E81" s="1" t="str">
        <f>IF(First!E84="", "",First!E84)</f>
        <v/>
      </c>
      <c r="F81" s="1" t="str">
        <f>IF(First!F84="", "",First!F84)</f>
        <v/>
      </c>
      <c r="G81" s="1" t="str">
        <f>IF(First!G84="", "",First!G84)</f>
        <v/>
      </c>
      <c r="H81" s="1" t="str">
        <f>IF(First!H84="", "",First!H84)</f>
        <v/>
      </c>
      <c r="I81" s="1" t="str">
        <f>IF(First!I84="", "",First!I84)</f>
        <v/>
      </c>
      <c r="J81" s="1" t="str">
        <f>IF(First!J84="", "",First!J84)</f>
        <v/>
      </c>
      <c r="K81" s="83" t="str">
        <f>IF(First!K84="", "",First!K84)</f>
        <v/>
      </c>
      <c r="M81" s="67" t="str">
        <f t="shared" si="4"/>
        <v/>
      </c>
      <c r="N81" s="76" t="str">
        <f t="shared" si="5"/>
        <v/>
      </c>
      <c r="O81" s="33">
        <f t="shared" si="3"/>
        <v>0</v>
      </c>
    </row>
    <row r="82" spans="1:15" x14ac:dyDescent="0.25">
      <c r="A82" s="58" t="s">
        <v>203</v>
      </c>
      <c r="B82" s="82" t="str">
        <f>IF(First!B85="", "",First!B85)</f>
        <v/>
      </c>
      <c r="C82" s="1" t="str">
        <f>IF(First!C85="", "",First!C85)</f>
        <v/>
      </c>
      <c r="D82" s="1" t="str">
        <f>IF(First!D85="", "",First!D85)</f>
        <v/>
      </c>
      <c r="E82" s="1" t="str">
        <f>IF(First!E85="", "",First!E85)</f>
        <v/>
      </c>
      <c r="F82" s="1" t="str">
        <f>IF(First!F85="", "",First!F85)</f>
        <v/>
      </c>
      <c r="G82" s="1" t="str">
        <f>IF(First!G85="", "",First!G85)</f>
        <v/>
      </c>
      <c r="H82" s="1" t="str">
        <f>IF(First!H85="", "",First!H85)</f>
        <v/>
      </c>
      <c r="I82" s="1" t="str">
        <f>IF(First!I85="", "",First!I85)</f>
        <v/>
      </c>
      <c r="J82" s="1" t="str">
        <f>IF(First!J85="", "",First!J85)</f>
        <v/>
      </c>
      <c r="K82" s="83" t="str">
        <f>IF(First!K85="", "",First!K85)</f>
        <v/>
      </c>
      <c r="M82" s="67" t="str">
        <f t="shared" si="4"/>
        <v/>
      </c>
      <c r="N82" s="76" t="str">
        <f t="shared" si="5"/>
        <v/>
      </c>
      <c r="O82" s="33">
        <f t="shared" si="3"/>
        <v>0</v>
      </c>
    </row>
    <row r="83" spans="1:15" x14ac:dyDescent="0.25">
      <c r="A83" s="58" t="s">
        <v>203</v>
      </c>
      <c r="B83" s="82" t="str">
        <f>IF(First!B86="", "",First!B86)</f>
        <v/>
      </c>
      <c r="C83" s="1" t="str">
        <f>IF(First!C86="", "",First!C86)</f>
        <v/>
      </c>
      <c r="D83" s="1" t="str">
        <f>IF(First!D86="", "",First!D86)</f>
        <v/>
      </c>
      <c r="E83" s="1" t="str">
        <f>IF(First!E86="", "",First!E86)</f>
        <v/>
      </c>
      <c r="F83" s="1" t="str">
        <f>IF(First!F86="", "",First!F86)</f>
        <v/>
      </c>
      <c r="G83" s="1" t="str">
        <f>IF(First!G86="", "",First!G86)</f>
        <v/>
      </c>
      <c r="H83" s="1" t="str">
        <f>IF(First!H86="", "",First!H86)</f>
        <v/>
      </c>
      <c r="I83" s="1" t="str">
        <f>IF(First!I86="", "",First!I86)</f>
        <v/>
      </c>
      <c r="J83" s="1" t="str">
        <f>IF(First!J86="", "",First!J86)</f>
        <v/>
      </c>
      <c r="K83" s="83" t="str">
        <f>IF(First!K86="", "",First!K86)</f>
        <v/>
      </c>
      <c r="M83" s="67" t="str">
        <f t="shared" si="4"/>
        <v/>
      </c>
      <c r="N83" s="76" t="str">
        <f t="shared" si="5"/>
        <v/>
      </c>
      <c r="O83" s="33">
        <f t="shared" si="3"/>
        <v>0</v>
      </c>
    </row>
    <row r="84" spans="1:15" x14ac:dyDescent="0.25">
      <c r="A84" s="58" t="s">
        <v>203</v>
      </c>
      <c r="B84" s="82" t="str">
        <f>IF(First!B87="", "",First!B87)</f>
        <v/>
      </c>
      <c r="C84" s="1" t="str">
        <f>IF(First!C87="", "",First!C87)</f>
        <v/>
      </c>
      <c r="D84" s="1" t="str">
        <f>IF(First!D87="", "",First!D87)</f>
        <v/>
      </c>
      <c r="E84" s="1" t="str">
        <f>IF(First!E87="", "",First!E87)</f>
        <v/>
      </c>
      <c r="F84" s="1" t="str">
        <f>IF(First!F87="", "",First!F87)</f>
        <v/>
      </c>
      <c r="G84" s="1" t="str">
        <f>IF(First!G87="", "",First!G87)</f>
        <v/>
      </c>
      <c r="H84" s="1" t="str">
        <f>IF(First!H87="", "",First!H87)</f>
        <v/>
      </c>
      <c r="I84" s="1" t="str">
        <f>IF(First!I87="", "",First!I87)</f>
        <v/>
      </c>
      <c r="J84" s="1" t="str">
        <f>IF(First!J87="", "",First!J87)</f>
        <v/>
      </c>
      <c r="K84" s="83" t="str">
        <f>IF(First!K87="", "",First!K87)</f>
        <v/>
      </c>
      <c r="M84" s="67" t="str">
        <f t="shared" si="4"/>
        <v/>
      </c>
      <c r="N84" s="76" t="str">
        <f t="shared" si="5"/>
        <v/>
      </c>
      <c r="O84" s="33">
        <f t="shared" si="3"/>
        <v>0</v>
      </c>
    </row>
    <row r="85" spans="1:15" x14ac:dyDescent="0.25">
      <c r="A85" s="58" t="s">
        <v>203</v>
      </c>
      <c r="B85" s="82" t="str">
        <f>IF(First!B88="", "",First!B88)</f>
        <v/>
      </c>
      <c r="C85" s="1" t="str">
        <f>IF(First!C88="", "",First!C88)</f>
        <v/>
      </c>
      <c r="D85" s="1" t="str">
        <f>IF(First!D88="", "",First!D88)</f>
        <v/>
      </c>
      <c r="E85" s="1" t="str">
        <f>IF(First!E88="", "",First!E88)</f>
        <v/>
      </c>
      <c r="F85" s="1" t="str">
        <f>IF(First!F88="", "",First!F88)</f>
        <v/>
      </c>
      <c r="G85" s="1" t="str">
        <f>IF(First!G88="", "",First!G88)</f>
        <v/>
      </c>
      <c r="H85" s="1" t="str">
        <f>IF(First!H88="", "",First!H88)</f>
        <v/>
      </c>
      <c r="I85" s="1" t="str">
        <f>IF(First!I88="", "",First!I88)</f>
        <v/>
      </c>
      <c r="J85" s="1" t="str">
        <f>IF(First!J88="", "",First!J88)</f>
        <v/>
      </c>
      <c r="K85" s="83" t="str">
        <f>IF(First!K88="", "",First!K88)</f>
        <v/>
      </c>
      <c r="M85" s="67" t="str">
        <f t="shared" si="4"/>
        <v/>
      </c>
      <c r="N85" s="76" t="str">
        <f t="shared" si="5"/>
        <v/>
      </c>
      <c r="O85" s="33">
        <f t="shared" si="3"/>
        <v>0</v>
      </c>
    </row>
    <row r="86" spans="1:15" x14ac:dyDescent="0.25">
      <c r="A86" s="58" t="s">
        <v>203</v>
      </c>
      <c r="B86" s="82" t="str">
        <f>IF(First!B89="", "",First!B89)</f>
        <v/>
      </c>
      <c r="C86" s="1" t="str">
        <f>IF(First!C89="", "",First!C89)</f>
        <v/>
      </c>
      <c r="D86" s="1" t="str">
        <f>IF(First!D89="", "",First!D89)</f>
        <v/>
      </c>
      <c r="E86" s="1" t="str">
        <f>IF(First!E89="", "",First!E89)</f>
        <v/>
      </c>
      <c r="F86" s="1" t="str">
        <f>IF(First!F89="", "",First!F89)</f>
        <v/>
      </c>
      <c r="G86" s="1" t="str">
        <f>IF(First!G89="", "",First!G89)</f>
        <v/>
      </c>
      <c r="H86" s="1" t="str">
        <f>IF(First!H89="", "",First!H89)</f>
        <v/>
      </c>
      <c r="I86" s="1" t="str">
        <f>IF(First!I89="", "",First!I89)</f>
        <v/>
      </c>
      <c r="J86" s="1" t="str">
        <f>IF(First!J89="", "",First!J89)</f>
        <v/>
      </c>
      <c r="K86" s="83" t="str">
        <f>IF(First!K89="", "",First!K89)</f>
        <v/>
      </c>
      <c r="M86" s="67" t="str">
        <f t="shared" si="4"/>
        <v/>
      </c>
      <c r="N86" s="76" t="str">
        <f t="shared" si="5"/>
        <v/>
      </c>
      <c r="O86" s="33">
        <f t="shared" si="3"/>
        <v>0</v>
      </c>
    </row>
    <row r="87" spans="1:15" x14ac:dyDescent="0.25">
      <c r="A87" s="58" t="s">
        <v>203</v>
      </c>
      <c r="B87" s="82" t="str">
        <f>IF(First!B90="", "",First!B90)</f>
        <v/>
      </c>
      <c r="C87" s="1" t="str">
        <f>IF(First!C90="", "",First!C90)</f>
        <v/>
      </c>
      <c r="D87" s="1" t="str">
        <f>IF(First!D90="", "",First!D90)</f>
        <v/>
      </c>
      <c r="E87" s="1" t="str">
        <f>IF(First!E90="", "",First!E90)</f>
        <v/>
      </c>
      <c r="F87" s="1" t="str">
        <f>IF(First!F90="", "",First!F90)</f>
        <v/>
      </c>
      <c r="G87" s="1" t="str">
        <f>IF(First!G90="", "",First!G90)</f>
        <v/>
      </c>
      <c r="H87" s="1" t="str">
        <f>IF(First!H90="", "",First!H90)</f>
        <v/>
      </c>
      <c r="I87" s="1" t="str">
        <f>IF(First!I90="", "",First!I90)</f>
        <v/>
      </c>
      <c r="J87" s="1" t="str">
        <f>IF(First!J90="", "",First!J90)</f>
        <v/>
      </c>
      <c r="K87" s="83" t="str">
        <f>IF(First!K90="", "",First!K90)</f>
        <v/>
      </c>
      <c r="M87" s="67" t="str">
        <f t="shared" si="4"/>
        <v/>
      </c>
      <c r="N87" s="76" t="str">
        <f t="shared" si="5"/>
        <v/>
      </c>
      <c r="O87" s="33">
        <f t="shared" si="3"/>
        <v>0</v>
      </c>
    </row>
    <row r="88" spans="1:15" x14ac:dyDescent="0.25">
      <c r="A88" s="58" t="s">
        <v>203</v>
      </c>
      <c r="B88" s="82" t="str">
        <f>IF(First!B91="", "",First!B91)</f>
        <v/>
      </c>
      <c r="C88" s="1" t="str">
        <f>IF(First!C91="", "",First!C91)</f>
        <v/>
      </c>
      <c r="D88" s="1" t="str">
        <f>IF(First!D91="", "",First!D91)</f>
        <v/>
      </c>
      <c r="E88" s="1" t="str">
        <f>IF(First!E91="", "",First!E91)</f>
        <v/>
      </c>
      <c r="F88" s="1" t="str">
        <f>IF(First!F91="", "",First!F91)</f>
        <v/>
      </c>
      <c r="G88" s="1" t="str">
        <f>IF(First!G91="", "",First!G91)</f>
        <v/>
      </c>
      <c r="H88" s="1" t="str">
        <f>IF(First!H91="", "",First!H91)</f>
        <v/>
      </c>
      <c r="I88" s="1" t="str">
        <f>IF(First!I91="", "",First!I91)</f>
        <v/>
      </c>
      <c r="J88" s="1" t="str">
        <f>IF(First!J91="", "",First!J91)</f>
        <v/>
      </c>
      <c r="K88" s="83" t="str">
        <f>IF(First!K91="", "",First!K91)</f>
        <v/>
      </c>
      <c r="M88" s="67" t="str">
        <f t="shared" si="4"/>
        <v/>
      </c>
      <c r="N88" s="76" t="str">
        <f t="shared" si="5"/>
        <v/>
      </c>
      <c r="O88" s="33">
        <f t="shared" si="3"/>
        <v>0</v>
      </c>
    </row>
    <row r="89" spans="1:15" x14ac:dyDescent="0.25">
      <c r="A89" s="58" t="s">
        <v>203</v>
      </c>
      <c r="B89" s="82" t="str">
        <f>IF(First!B92="", "",First!B92)</f>
        <v/>
      </c>
      <c r="C89" s="1" t="str">
        <f>IF(First!C92="", "",First!C92)</f>
        <v/>
      </c>
      <c r="D89" s="1" t="str">
        <f>IF(First!D92="", "",First!D92)</f>
        <v/>
      </c>
      <c r="E89" s="1" t="str">
        <f>IF(First!E92="", "",First!E92)</f>
        <v/>
      </c>
      <c r="F89" s="1" t="str">
        <f>IF(First!F92="", "",First!F92)</f>
        <v/>
      </c>
      <c r="G89" s="1" t="str">
        <f>IF(First!G92="", "",First!G92)</f>
        <v/>
      </c>
      <c r="H89" s="1" t="str">
        <f>IF(First!H92="", "",First!H92)</f>
        <v/>
      </c>
      <c r="I89" s="1" t="str">
        <f>IF(First!I92="", "",First!I92)</f>
        <v/>
      </c>
      <c r="J89" s="1" t="str">
        <f>IF(First!J92="", "",First!J92)</f>
        <v/>
      </c>
      <c r="K89" s="83" t="str">
        <f>IF(First!K92="", "",First!K92)</f>
        <v/>
      </c>
      <c r="M89" s="67" t="str">
        <f t="shared" si="4"/>
        <v/>
      </c>
      <c r="N89" s="76" t="str">
        <f t="shared" si="5"/>
        <v/>
      </c>
      <c r="O89" s="33">
        <f t="shared" si="3"/>
        <v>0</v>
      </c>
    </row>
    <row r="90" spans="1:15" x14ac:dyDescent="0.25">
      <c r="A90" s="58" t="s">
        <v>203</v>
      </c>
      <c r="B90" s="82" t="str">
        <f>IF(First!B93="", "",First!B93)</f>
        <v/>
      </c>
      <c r="C90" s="1" t="str">
        <f>IF(First!C93="", "",First!C93)</f>
        <v/>
      </c>
      <c r="D90" s="1" t="str">
        <f>IF(First!D93="", "",First!D93)</f>
        <v/>
      </c>
      <c r="E90" s="1" t="str">
        <f>IF(First!E93="", "",First!E93)</f>
        <v/>
      </c>
      <c r="F90" s="1" t="str">
        <f>IF(First!F93="", "",First!F93)</f>
        <v/>
      </c>
      <c r="G90" s="1" t="str">
        <f>IF(First!G93="", "",First!G93)</f>
        <v/>
      </c>
      <c r="H90" s="1" t="str">
        <f>IF(First!H93="", "",First!H93)</f>
        <v/>
      </c>
      <c r="I90" s="1" t="str">
        <f>IF(First!I93="", "",First!I93)</f>
        <v/>
      </c>
      <c r="J90" s="1" t="str">
        <f>IF(First!J93="", "",First!J93)</f>
        <v/>
      </c>
      <c r="K90" s="83" t="str">
        <f>IF(First!K93="", "",First!K93)</f>
        <v/>
      </c>
      <c r="M90" s="67" t="str">
        <f t="shared" si="4"/>
        <v/>
      </c>
      <c r="N90" s="76" t="str">
        <f t="shared" si="5"/>
        <v/>
      </c>
      <c r="O90" s="33">
        <f t="shared" si="3"/>
        <v>0</v>
      </c>
    </row>
    <row r="91" spans="1:15" x14ac:dyDescent="0.25">
      <c r="A91" s="58" t="s">
        <v>203</v>
      </c>
      <c r="B91" s="82" t="str">
        <f>IF(First!B94="", "",First!B94)</f>
        <v/>
      </c>
      <c r="C91" s="1" t="str">
        <f>IF(First!C94="", "",First!C94)</f>
        <v/>
      </c>
      <c r="D91" s="1" t="str">
        <f>IF(First!D94="", "",First!D94)</f>
        <v/>
      </c>
      <c r="E91" s="1" t="str">
        <f>IF(First!E94="", "",First!E94)</f>
        <v/>
      </c>
      <c r="F91" s="1" t="str">
        <f>IF(First!F94="", "",First!F94)</f>
        <v/>
      </c>
      <c r="G91" s="1" t="str">
        <f>IF(First!G94="", "",First!G94)</f>
        <v/>
      </c>
      <c r="H91" s="1" t="str">
        <f>IF(First!H94="", "",First!H94)</f>
        <v/>
      </c>
      <c r="I91" s="1" t="str">
        <f>IF(First!I94="", "",First!I94)</f>
        <v/>
      </c>
      <c r="J91" s="1" t="str">
        <f>IF(First!J94="", "",First!J94)</f>
        <v/>
      </c>
      <c r="K91" s="83" t="str">
        <f>IF(First!K94="", "",First!K94)</f>
        <v/>
      </c>
      <c r="M91" s="67" t="str">
        <f t="shared" si="4"/>
        <v/>
      </c>
      <c r="N91" s="76" t="str">
        <f t="shared" si="5"/>
        <v/>
      </c>
      <c r="O91" s="33">
        <f t="shared" si="3"/>
        <v>0</v>
      </c>
    </row>
    <row r="92" spans="1:15" x14ac:dyDescent="0.25">
      <c r="A92" s="58" t="s">
        <v>203</v>
      </c>
      <c r="B92" s="82" t="str">
        <f>IF(First!B95="", "",First!B95)</f>
        <v/>
      </c>
      <c r="C92" s="1" t="str">
        <f>IF(First!C95="", "",First!C95)</f>
        <v/>
      </c>
      <c r="D92" s="1" t="str">
        <f>IF(First!D95="", "",First!D95)</f>
        <v/>
      </c>
      <c r="E92" s="1" t="str">
        <f>IF(First!E95="", "",First!E95)</f>
        <v/>
      </c>
      <c r="F92" s="1" t="str">
        <f>IF(First!F95="", "",First!F95)</f>
        <v/>
      </c>
      <c r="G92" s="1" t="str">
        <f>IF(First!G95="", "",First!G95)</f>
        <v/>
      </c>
      <c r="H92" s="1" t="str">
        <f>IF(First!H95="", "",First!H95)</f>
        <v/>
      </c>
      <c r="I92" s="1" t="str">
        <f>IF(First!I95="", "",First!I95)</f>
        <v/>
      </c>
      <c r="J92" s="1" t="str">
        <f>IF(First!J95="", "",First!J95)</f>
        <v/>
      </c>
      <c r="K92" s="83" t="str">
        <f>IF(First!K95="", "",First!K95)</f>
        <v/>
      </c>
      <c r="M92" s="67" t="str">
        <f t="shared" si="4"/>
        <v/>
      </c>
      <c r="N92" s="76" t="str">
        <f t="shared" si="5"/>
        <v/>
      </c>
      <c r="O92" s="33">
        <f t="shared" si="3"/>
        <v>0</v>
      </c>
    </row>
    <row r="93" spans="1:15" x14ac:dyDescent="0.25">
      <c r="A93" s="58" t="s">
        <v>203</v>
      </c>
      <c r="B93" s="82" t="str">
        <f>IF(First!B96="", "",First!B96)</f>
        <v/>
      </c>
      <c r="C93" s="1" t="str">
        <f>IF(First!C96="", "",First!C96)</f>
        <v/>
      </c>
      <c r="D93" s="1" t="str">
        <f>IF(First!D96="", "",First!D96)</f>
        <v/>
      </c>
      <c r="E93" s="1" t="str">
        <f>IF(First!E96="", "",First!E96)</f>
        <v/>
      </c>
      <c r="F93" s="1" t="str">
        <f>IF(First!F96="", "",First!F96)</f>
        <v/>
      </c>
      <c r="G93" s="1" t="str">
        <f>IF(First!G96="", "",First!G96)</f>
        <v/>
      </c>
      <c r="H93" s="1" t="str">
        <f>IF(First!H96="", "",First!H96)</f>
        <v/>
      </c>
      <c r="I93" s="1" t="str">
        <f>IF(First!I96="", "",First!I96)</f>
        <v/>
      </c>
      <c r="J93" s="1" t="str">
        <f>IF(First!J96="", "",First!J96)</f>
        <v/>
      </c>
      <c r="K93" s="83" t="str">
        <f>IF(First!K96="", "",First!K96)</f>
        <v/>
      </c>
      <c r="M93" s="67" t="str">
        <f t="shared" si="4"/>
        <v/>
      </c>
      <c r="N93" s="76" t="str">
        <f t="shared" si="5"/>
        <v/>
      </c>
      <c r="O93" s="33">
        <f t="shared" si="3"/>
        <v>0</v>
      </c>
    </row>
    <row r="94" spans="1:15" x14ac:dyDescent="0.25">
      <c r="A94" s="58" t="s">
        <v>203</v>
      </c>
      <c r="B94" s="82" t="str">
        <f>IF(First!B97="", "",First!B97)</f>
        <v/>
      </c>
      <c r="C94" s="1" t="str">
        <f>IF(First!C97="", "",First!C97)</f>
        <v/>
      </c>
      <c r="D94" s="1" t="str">
        <f>IF(First!D97="", "",First!D97)</f>
        <v/>
      </c>
      <c r="E94" s="1" t="str">
        <f>IF(First!E97="", "",First!E97)</f>
        <v/>
      </c>
      <c r="F94" s="1" t="str">
        <f>IF(First!F97="", "",First!F97)</f>
        <v/>
      </c>
      <c r="G94" s="1" t="str">
        <f>IF(First!G97="", "",First!G97)</f>
        <v/>
      </c>
      <c r="H94" s="1" t="str">
        <f>IF(First!H97="", "",First!H97)</f>
        <v/>
      </c>
      <c r="I94" s="1" t="str">
        <f>IF(First!I97="", "",First!I97)</f>
        <v/>
      </c>
      <c r="J94" s="1" t="str">
        <f>IF(First!J97="", "",First!J97)</f>
        <v/>
      </c>
      <c r="K94" s="83" t="str">
        <f>IF(First!K97="", "",First!K97)</f>
        <v/>
      </c>
      <c r="M94" s="67" t="str">
        <f t="shared" si="4"/>
        <v/>
      </c>
      <c r="N94" s="76" t="str">
        <f t="shared" si="5"/>
        <v/>
      </c>
      <c r="O94" s="33">
        <f t="shared" si="3"/>
        <v>0</v>
      </c>
    </row>
    <row r="95" spans="1:15" x14ac:dyDescent="0.25">
      <c r="A95" s="58" t="s">
        <v>203</v>
      </c>
      <c r="B95" s="82" t="str">
        <f>IF(First!B98="", "",First!B98)</f>
        <v/>
      </c>
      <c r="C95" s="1" t="str">
        <f>IF(First!C98="", "",First!C98)</f>
        <v/>
      </c>
      <c r="D95" s="1" t="str">
        <f>IF(First!D98="", "",First!D98)</f>
        <v/>
      </c>
      <c r="E95" s="1" t="str">
        <f>IF(First!E98="", "",First!E98)</f>
        <v/>
      </c>
      <c r="F95" s="1" t="str">
        <f>IF(First!F98="", "",First!F98)</f>
        <v/>
      </c>
      <c r="G95" s="1" t="str">
        <f>IF(First!G98="", "",First!G98)</f>
        <v/>
      </c>
      <c r="H95" s="1" t="str">
        <f>IF(First!H98="", "",First!H98)</f>
        <v/>
      </c>
      <c r="I95" s="1" t="str">
        <f>IF(First!I98="", "",First!I98)</f>
        <v/>
      </c>
      <c r="J95" s="1" t="str">
        <f>IF(First!J98="", "",First!J98)</f>
        <v/>
      </c>
      <c r="K95" s="83" t="str">
        <f>IF(First!K98="", "",First!K98)</f>
        <v/>
      </c>
      <c r="M95" s="67" t="str">
        <f t="shared" si="4"/>
        <v/>
      </c>
      <c r="N95" s="76" t="str">
        <f t="shared" si="5"/>
        <v/>
      </c>
      <c r="O95" s="33">
        <f t="shared" si="3"/>
        <v>0</v>
      </c>
    </row>
    <row r="96" spans="1:15" x14ac:dyDescent="0.25">
      <c r="A96" s="58" t="s">
        <v>203</v>
      </c>
      <c r="B96" s="82" t="str">
        <f>IF(First!B99="", "",First!B99)</f>
        <v/>
      </c>
      <c r="C96" s="1" t="str">
        <f>IF(First!C99="", "",First!C99)</f>
        <v/>
      </c>
      <c r="D96" s="1" t="str">
        <f>IF(First!D99="", "",First!D99)</f>
        <v/>
      </c>
      <c r="E96" s="1" t="str">
        <f>IF(First!E99="", "",First!E99)</f>
        <v/>
      </c>
      <c r="F96" s="1" t="str">
        <f>IF(First!F99="", "",First!F99)</f>
        <v/>
      </c>
      <c r="G96" s="1" t="str">
        <f>IF(First!G99="", "",First!G99)</f>
        <v/>
      </c>
      <c r="H96" s="1" t="str">
        <f>IF(First!H99="", "",First!H99)</f>
        <v/>
      </c>
      <c r="I96" s="1" t="str">
        <f>IF(First!I99="", "",First!I99)</f>
        <v/>
      </c>
      <c r="J96" s="1" t="str">
        <f>IF(First!J99="", "",First!J99)</f>
        <v/>
      </c>
      <c r="K96" s="83" t="str">
        <f>IF(First!K99="", "",First!K99)</f>
        <v/>
      </c>
      <c r="M96" s="67" t="str">
        <f t="shared" si="4"/>
        <v/>
      </c>
      <c r="N96" s="76" t="str">
        <f t="shared" si="5"/>
        <v/>
      </c>
      <c r="O96" s="33">
        <f t="shared" si="3"/>
        <v>0</v>
      </c>
    </row>
    <row r="97" spans="1:15" x14ac:dyDescent="0.25">
      <c r="A97" s="58" t="s">
        <v>203</v>
      </c>
      <c r="B97" s="82" t="str">
        <f>IF(First!B100="", "",First!B100)</f>
        <v/>
      </c>
      <c r="C97" s="1" t="str">
        <f>IF(First!C100="", "",First!C100)</f>
        <v/>
      </c>
      <c r="D97" s="1" t="str">
        <f>IF(First!D100="", "",First!D100)</f>
        <v/>
      </c>
      <c r="E97" s="1" t="str">
        <f>IF(First!E100="", "",First!E100)</f>
        <v/>
      </c>
      <c r="F97" s="1" t="str">
        <f>IF(First!F100="", "",First!F100)</f>
        <v/>
      </c>
      <c r="G97" s="1" t="str">
        <f>IF(First!G100="", "",First!G100)</f>
        <v/>
      </c>
      <c r="H97" s="1" t="str">
        <f>IF(First!H100="", "",First!H100)</f>
        <v/>
      </c>
      <c r="I97" s="1" t="str">
        <f>IF(First!I100="", "",First!I100)</f>
        <v/>
      </c>
      <c r="J97" s="1" t="str">
        <f>IF(First!J100="", "",First!J100)</f>
        <v/>
      </c>
      <c r="K97" s="83" t="str">
        <f>IF(First!K100="", "",First!K100)</f>
        <v/>
      </c>
      <c r="M97" s="67" t="str">
        <f t="shared" si="4"/>
        <v/>
      </c>
      <c r="N97" s="76" t="str">
        <f t="shared" si="5"/>
        <v/>
      </c>
      <c r="O97" s="33">
        <f t="shared" si="3"/>
        <v>0</v>
      </c>
    </row>
    <row r="98" spans="1:15" x14ac:dyDescent="0.25">
      <c r="A98" s="58" t="s">
        <v>203</v>
      </c>
      <c r="B98" s="82" t="str">
        <f>IF(First!B101="", "",First!B101)</f>
        <v/>
      </c>
      <c r="C98" s="1" t="str">
        <f>IF(First!C101="", "",First!C101)</f>
        <v/>
      </c>
      <c r="D98" s="1" t="str">
        <f>IF(First!D101="", "",First!D101)</f>
        <v/>
      </c>
      <c r="E98" s="1" t="str">
        <f>IF(First!E101="", "",First!E101)</f>
        <v/>
      </c>
      <c r="F98" s="1" t="str">
        <f>IF(First!F101="", "",First!F101)</f>
        <v/>
      </c>
      <c r="G98" s="1" t="str">
        <f>IF(First!G101="", "",First!G101)</f>
        <v/>
      </c>
      <c r="H98" s="1" t="str">
        <f>IF(First!H101="", "",First!H101)</f>
        <v/>
      </c>
      <c r="I98" s="1" t="str">
        <f>IF(First!I101="", "",First!I101)</f>
        <v/>
      </c>
      <c r="J98" s="1" t="str">
        <f>IF(First!J101="", "",First!J101)</f>
        <v/>
      </c>
      <c r="K98" s="83" t="str">
        <f>IF(First!K101="", "",First!K101)</f>
        <v/>
      </c>
      <c r="M98" s="67" t="str">
        <f t="shared" si="4"/>
        <v/>
      </c>
      <c r="N98" s="76" t="str">
        <f t="shared" si="5"/>
        <v/>
      </c>
      <c r="O98" s="33">
        <f t="shared" si="3"/>
        <v>0</v>
      </c>
    </row>
    <row r="99" spans="1:15" x14ac:dyDescent="0.25">
      <c r="A99" s="58" t="s">
        <v>203</v>
      </c>
      <c r="B99" s="82" t="str">
        <f>IF(First!B102="", "",First!B102)</f>
        <v/>
      </c>
      <c r="C99" s="1" t="str">
        <f>IF(First!C102="", "",First!C102)</f>
        <v/>
      </c>
      <c r="D99" s="1" t="str">
        <f>IF(First!D102="", "",First!D102)</f>
        <v/>
      </c>
      <c r="E99" s="1" t="str">
        <f>IF(First!E102="", "",First!E102)</f>
        <v/>
      </c>
      <c r="F99" s="1" t="str">
        <f>IF(First!F102="", "",First!F102)</f>
        <v/>
      </c>
      <c r="G99" s="1" t="str">
        <f>IF(First!G102="", "",First!G102)</f>
        <v/>
      </c>
      <c r="H99" s="1" t="str">
        <f>IF(First!H102="", "",First!H102)</f>
        <v/>
      </c>
      <c r="I99" s="1" t="str">
        <f>IF(First!I102="", "",First!I102)</f>
        <v/>
      </c>
      <c r="J99" s="1" t="str">
        <f>IF(First!J102="", "",First!J102)</f>
        <v/>
      </c>
      <c r="K99" s="83" t="str">
        <f>IF(First!K102="", "",First!K102)</f>
        <v/>
      </c>
      <c r="M99" s="67" t="str">
        <f t="shared" si="4"/>
        <v/>
      </c>
      <c r="N99" s="76" t="str">
        <f t="shared" si="5"/>
        <v/>
      </c>
      <c r="O99" s="33">
        <f t="shared" si="3"/>
        <v>0</v>
      </c>
    </row>
    <row r="100" spans="1:15" x14ac:dyDescent="0.25">
      <c r="A100" s="58" t="s">
        <v>203</v>
      </c>
      <c r="B100" s="82" t="str">
        <f>IF(First!B103="", "",First!B103)</f>
        <v/>
      </c>
      <c r="C100" s="1" t="str">
        <f>IF(First!C103="", "",First!C103)</f>
        <v/>
      </c>
      <c r="D100" s="1" t="str">
        <f>IF(First!D103="", "",First!D103)</f>
        <v/>
      </c>
      <c r="E100" s="1" t="str">
        <f>IF(First!E103="", "",First!E103)</f>
        <v/>
      </c>
      <c r="F100" s="1" t="str">
        <f>IF(First!F103="", "",First!F103)</f>
        <v/>
      </c>
      <c r="G100" s="1" t="str">
        <f>IF(First!G103="", "",First!G103)</f>
        <v/>
      </c>
      <c r="H100" s="1" t="str">
        <f>IF(First!H103="", "",First!H103)</f>
        <v/>
      </c>
      <c r="I100" s="1" t="str">
        <f>IF(First!I103="", "",First!I103)</f>
        <v/>
      </c>
      <c r="J100" s="1" t="str">
        <f>IF(First!J103="", "",First!J103)</f>
        <v/>
      </c>
      <c r="K100" s="83" t="str">
        <f>IF(First!K103="", "",First!K103)</f>
        <v/>
      </c>
      <c r="M100" s="67" t="str">
        <f t="shared" si="4"/>
        <v/>
      </c>
      <c r="N100" s="76" t="str">
        <f t="shared" si="5"/>
        <v/>
      </c>
      <c r="O100" s="33">
        <f t="shared" si="3"/>
        <v>0</v>
      </c>
    </row>
    <row r="101" spans="1:15" x14ac:dyDescent="0.25">
      <c r="A101" s="58" t="s">
        <v>203</v>
      </c>
      <c r="B101" s="82" t="str">
        <f>IF(First!B104="", "",First!B104)</f>
        <v/>
      </c>
      <c r="C101" s="1" t="str">
        <f>IF(First!C104="", "",First!C104)</f>
        <v/>
      </c>
      <c r="D101" s="1" t="str">
        <f>IF(First!D104="", "",First!D104)</f>
        <v/>
      </c>
      <c r="E101" s="1" t="str">
        <f>IF(First!E104="", "",First!E104)</f>
        <v/>
      </c>
      <c r="F101" s="1" t="str">
        <f>IF(First!F104="", "",First!F104)</f>
        <v/>
      </c>
      <c r="G101" s="1" t="str">
        <f>IF(First!G104="", "",First!G104)</f>
        <v/>
      </c>
      <c r="H101" s="1" t="str">
        <f>IF(First!H104="", "",First!H104)</f>
        <v/>
      </c>
      <c r="I101" s="1" t="str">
        <f>IF(First!I104="", "",First!I104)</f>
        <v/>
      </c>
      <c r="J101" s="1" t="str">
        <f>IF(First!J104="", "",First!J104)</f>
        <v/>
      </c>
      <c r="K101" s="83" t="str">
        <f>IF(First!K104="", "",First!K104)</f>
        <v/>
      </c>
      <c r="M101" s="67" t="str">
        <f t="shared" si="4"/>
        <v/>
      </c>
      <c r="N101" s="76" t="str">
        <f t="shared" si="5"/>
        <v/>
      </c>
      <c r="O101" s="33">
        <f t="shared" si="3"/>
        <v>0</v>
      </c>
    </row>
    <row r="102" spans="1:15" x14ac:dyDescent="0.25">
      <c r="A102" s="58" t="s">
        <v>203</v>
      </c>
      <c r="B102" s="82" t="str">
        <f>IF(First!B105="", "",First!B105)</f>
        <v/>
      </c>
      <c r="C102" s="1" t="str">
        <f>IF(First!C105="", "",First!C105)</f>
        <v/>
      </c>
      <c r="D102" s="1" t="str">
        <f>IF(First!D105="", "",First!D105)</f>
        <v/>
      </c>
      <c r="E102" s="1" t="str">
        <f>IF(First!E105="", "",First!E105)</f>
        <v/>
      </c>
      <c r="F102" s="1" t="str">
        <f>IF(First!F105="", "",First!F105)</f>
        <v/>
      </c>
      <c r="G102" s="1" t="str">
        <f>IF(First!G105="", "",First!G105)</f>
        <v/>
      </c>
      <c r="H102" s="1" t="str">
        <f>IF(First!H105="", "",First!H105)</f>
        <v/>
      </c>
      <c r="I102" s="1" t="str">
        <f>IF(First!I105="", "",First!I105)</f>
        <v/>
      </c>
      <c r="J102" s="1" t="str">
        <f>IF(First!J105="", "",First!J105)</f>
        <v/>
      </c>
      <c r="K102" s="83" t="str">
        <f>IF(First!K105="", "",First!K105)</f>
        <v/>
      </c>
      <c r="M102" s="67" t="str">
        <f t="shared" si="4"/>
        <v/>
      </c>
      <c r="N102" s="76" t="str">
        <f t="shared" si="5"/>
        <v/>
      </c>
      <c r="O102" s="33">
        <f t="shared" si="3"/>
        <v>0</v>
      </c>
    </row>
    <row r="103" spans="1:15" x14ac:dyDescent="0.25">
      <c r="A103" s="58" t="s">
        <v>203</v>
      </c>
      <c r="B103" s="82" t="str">
        <f>IF(First!B106="", "",First!B106)</f>
        <v/>
      </c>
      <c r="C103" s="1" t="str">
        <f>IF(First!C106="", "",First!C106)</f>
        <v/>
      </c>
      <c r="D103" s="1" t="str">
        <f>IF(First!D106="", "",First!D106)</f>
        <v/>
      </c>
      <c r="E103" s="1" t="str">
        <f>IF(First!E106="", "",First!E106)</f>
        <v/>
      </c>
      <c r="F103" s="1" t="str">
        <f>IF(First!F106="", "",First!F106)</f>
        <v/>
      </c>
      <c r="G103" s="1" t="str">
        <f>IF(First!G106="", "",First!G106)</f>
        <v/>
      </c>
      <c r="H103" s="1" t="str">
        <f>IF(First!H106="", "",First!H106)</f>
        <v/>
      </c>
      <c r="I103" s="1" t="str">
        <f>IF(First!I106="", "",First!I106)</f>
        <v/>
      </c>
      <c r="J103" s="1" t="str">
        <f>IF(First!J106="", "",First!J106)</f>
        <v/>
      </c>
      <c r="K103" s="83" t="str">
        <f>IF(First!K106="", "",First!K106)</f>
        <v/>
      </c>
      <c r="M103" s="67" t="str">
        <f t="shared" si="4"/>
        <v/>
      </c>
      <c r="N103" s="76" t="str">
        <f t="shared" si="5"/>
        <v/>
      </c>
      <c r="O103" s="33">
        <f t="shared" si="3"/>
        <v>0</v>
      </c>
    </row>
    <row r="104" spans="1:15" x14ac:dyDescent="0.25">
      <c r="A104" s="58" t="s">
        <v>203</v>
      </c>
      <c r="B104" s="82" t="str">
        <f>IF(First!B107="", "",First!B107)</f>
        <v/>
      </c>
      <c r="C104" s="1" t="str">
        <f>IF(First!C107="", "",First!C107)</f>
        <v/>
      </c>
      <c r="D104" s="1" t="str">
        <f>IF(First!D107="", "",First!D107)</f>
        <v/>
      </c>
      <c r="E104" s="1" t="str">
        <f>IF(First!E107="", "",First!E107)</f>
        <v/>
      </c>
      <c r="F104" s="1" t="str">
        <f>IF(First!F107="", "",First!F107)</f>
        <v/>
      </c>
      <c r="G104" s="1" t="str">
        <f>IF(First!G107="", "",First!G107)</f>
        <v/>
      </c>
      <c r="H104" s="1" t="str">
        <f>IF(First!H107="", "",First!H107)</f>
        <v/>
      </c>
      <c r="I104" s="1" t="str">
        <f>IF(First!I107="", "",First!I107)</f>
        <v/>
      </c>
      <c r="J104" s="1" t="str">
        <f>IF(First!J107="", "",First!J107)</f>
        <v/>
      </c>
      <c r="K104" s="83" t="str">
        <f>IF(First!K107="", "",First!K107)</f>
        <v/>
      </c>
      <c r="M104" s="67" t="str">
        <f t="shared" si="4"/>
        <v/>
      </c>
      <c r="N104" s="76" t="str">
        <f t="shared" si="5"/>
        <v/>
      </c>
      <c r="O104" s="33">
        <f t="shared" si="3"/>
        <v>0</v>
      </c>
    </row>
    <row r="105" spans="1:15" x14ac:dyDescent="0.25">
      <c r="A105" s="58" t="s">
        <v>203</v>
      </c>
      <c r="B105" s="82" t="str">
        <f>IF(First!B108="", "",First!B108)</f>
        <v/>
      </c>
      <c r="C105" s="1" t="str">
        <f>IF(First!C108="", "",First!C108)</f>
        <v/>
      </c>
      <c r="D105" s="1" t="str">
        <f>IF(First!D108="", "",First!D108)</f>
        <v/>
      </c>
      <c r="E105" s="1" t="str">
        <f>IF(First!E108="", "",First!E108)</f>
        <v/>
      </c>
      <c r="F105" s="1" t="str">
        <f>IF(First!F108="", "",First!F108)</f>
        <v/>
      </c>
      <c r="G105" s="1" t="str">
        <f>IF(First!G108="", "",First!G108)</f>
        <v/>
      </c>
      <c r="H105" s="1" t="str">
        <f>IF(First!H108="", "",First!H108)</f>
        <v/>
      </c>
      <c r="I105" s="1" t="str">
        <f>IF(First!I108="", "",First!I108)</f>
        <v/>
      </c>
      <c r="J105" s="1" t="str">
        <f>IF(First!J108="", "",First!J108)</f>
        <v/>
      </c>
      <c r="K105" s="83" t="str">
        <f>IF(First!K108="", "",First!K108)</f>
        <v/>
      </c>
      <c r="M105" s="67" t="str">
        <f t="shared" si="4"/>
        <v/>
      </c>
      <c r="N105" s="76" t="str">
        <f t="shared" si="5"/>
        <v/>
      </c>
      <c r="O105" s="33">
        <f t="shared" si="3"/>
        <v>0</v>
      </c>
    </row>
    <row r="106" spans="1:15" x14ac:dyDescent="0.25">
      <c r="A106" s="58" t="s">
        <v>203</v>
      </c>
      <c r="B106" s="82" t="str">
        <f>IF(First!B109="", "",First!B109)</f>
        <v/>
      </c>
      <c r="C106" s="1" t="str">
        <f>IF(First!C109="", "",First!C109)</f>
        <v/>
      </c>
      <c r="D106" s="1" t="str">
        <f>IF(First!D109="", "",First!D109)</f>
        <v/>
      </c>
      <c r="E106" s="1" t="str">
        <f>IF(First!E109="", "",First!E109)</f>
        <v/>
      </c>
      <c r="F106" s="1" t="str">
        <f>IF(First!F109="", "",First!F109)</f>
        <v/>
      </c>
      <c r="G106" s="1" t="str">
        <f>IF(First!G109="", "",First!G109)</f>
        <v/>
      </c>
      <c r="H106" s="1" t="str">
        <f>IF(First!H109="", "",First!H109)</f>
        <v/>
      </c>
      <c r="I106" s="1" t="str">
        <f>IF(First!I109="", "",First!I109)</f>
        <v/>
      </c>
      <c r="J106" s="1" t="str">
        <f>IF(First!J109="", "",First!J109)</f>
        <v/>
      </c>
      <c r="K106" s="83" t="str">
        <f>IF(First!K109="", "",First!K109)</f>
        <v/>
      </c>
      <c r="M106" s="67" t="str">
        <f t="shared" si="4"/>
        <v/>
      </c>
      <c r="N106" s="76" t="str">
        <f t="shared" si="5"/>
        <v/>
      </c>
      <c r="O106" s="33">
        <f t="shared" si="3"/>
        <v>0</v>
      </c>
    </row>
    <row r="107" spans="1:15" x14ac:dyDescent="0.25">
      <c r="A107" s="58" t="s">
        <v>203</v>
      </c>
      <c r="B107" s="82" t="str">
        <f>IF(First!B110="", "",First!B110)</f>
        <v/>
      </c>
      <c r="C107" s="1" t="str">
        <f>IF(First!C110="", "",First!C110)</f>
        <v/>
      </c>
      <c r="D107" s="1" t="str">
        <f>IF(First!D110="", "",First!D110)</f>
        <v/>
      </c>
      <c r="E107" s="1" t="str">
        <f>IF(First!E110="", "",First!E110)</f>
        <v/>
      </c>
      <c r="F107" s="1" t="str">
        <f>IF(First!F110="", "",First!F110)</f>
        <v/>
      </c>
      <c r="G107" s="1" t="str">
        <f>IF(First!G110="", "",First!G110)</f>
        <v/>
      </c>
      <c r="H107" s="1" t="str">
        <f>IF(First!H110="", "",First!H110)</f>
        <v/>
      </c>
      <c r="I107" s="1" t="str">
        <f>IF(First!I110="", "",First!I110)</f>
        <v/>
      </c>
      <c r="J107" s="1" t="str">
        <f>IF(First!J110="", "",First!J110)</f>
        <v/>
      </c>
      <c r="K107" s="83" t="str">
        <f>IF(First!K110="", "",First!K110)</f>
        <v/>
      </c>
      <c r="M107" s="67" t="str">
        <f t="shared" si="4"/>
        <v/>
      </c>
      <c r="N107" s="76" t="str">
        <f t="shared" si="5"/>
        <v/>
      </c>
      <c r="O107" s="33">
        <f t="shared" si="3"/>
        <v>0</v>
      </c>
    </row>
    <row r="108" spans="1:15" x14ac:dyDescent="0.25">
      <c r="A108" s="58" t="s">
        <v>203</v>
      </c>
      <c r="B108" s="82" t="str">
        <f>IF(First!B111="", "",First!B111)</f>
        <v/>
      </c>
      <c r="C108" s="1" t="str">
        <f>IF(First!C111="", "",First!C111)</f>
        <v/>
      </c>
      <c r="D108" s="1" t="str">
        <f>IF(First!D111="", "",First!D111)</f>
        <v/>
      </c>
      <c r="E108" s="1" t="str">
        <f>IF(First!E111="", "",First!E111)</f>
        <v/>
      </c>
      <c r="F108" s="1" t="str">
        <f>IF(First!F111="", "",First!F111)</f>
        <v/>
      </c>
      <c r="G108" s="1" t="str">
        <f>IF(First!G111="", "",First!G111)</f>
        <v/>
      </c>
      <c r="H108" s="1" t="str">
        <f>IF(First!H111="", "",First!H111)</f>
        <v/>
      </c>
      <c r="I108" s="1" t="str">
        <f>IF(First!I111="", "",First!I111)</f>
        <v/>
      </c>
      <c r="J108" s="1" t="str">
        <f>IF(First!J111="", "",First!J111)</f>
        <v/>
      </c>
      <c r="K108" s="83" t="str">
        <f>IF(First!K111="", "",First!K111)</f>
        <v/>
      </c>
      <c r="M108" s="67" t="str">
        <f t="shared" si="4"/>
        <v/>
      </c>
      <c r="N108" s="76" t="str">
        <f t="shared" si="5"/>
        <v/>
      </c>
      <c r="O108" s="33">
        <f t="shared" si="3"/>
        <v>0</v>
      </c>
    </row>
    <row r="109" spans="1:15" x14ac:dyDescent="0.25">
      <c r="A109" s="58" t="s">
        <v>203</v>
      </c>
      <c r="B109" s="82" t="str">
        <f>IF(First!B112="", "",First!B112)</f>
        <v/>
      </c>
      <c r="C109" s="1" t="str">
        <f>IF(First!C112="", "",First!C112)</f>
        <v/>
      </c>
      <c r="D109" s="1" t="str">
        <f>IF(First!D112="", "",First!D112)</f>
        <v/>
      </c>
      <c r="E109" s="1" t="str">
        <f>IF(First!E112="", "",First!E112)</f>
        <v/>
      </c>
      <c r="F109" s="1" t="str">
        <f>IF(First!F112="", "",First!F112)</f>
        <v/>
      </c>
      <c r="G109" s="1" t="str">
        <f>IF(First!G112="", "",First!G112)</f>
        <v/>
      </c>
      <c r="H109" s="1" t="str">
        <f>IF(First!H112="", "",First!H112)</f>
        <v/>
      </c>
      <c r="I109" s="1" t="str">
        <f>IF(First!I112="", "",First!I112)</f>
        <v/>
      </c>
      <c r="J109" s="1" t="str">
        <f>IF(First!J112="", "",First!J112)</f>
        <v/>
      </c>
      <c r="K109" s="83" t="str">
        <f>IF(First!K112="", "",First!K112)</f>
        <v/>
      </c>
      <c r="M109" s="67" t="str">
        <f t="shared" si="4"/>
        <v/>
      </c>
      <c r="N109" s="76" t="str">
        <f t="shared" si="5"/>
        <v/>
      </c>
      <c r="O109" s="33">
        <f t="shared" si="3"/>
        <v>0</v>
      </c>
    </row>
    <row r="110" spans="1:15" x14ac:dyDescent="0.25">
      <c r="A110" s="58" t="s">
        <v>203</v>
      </c>
      <c r="B110" s="82" t="str">
        <f>IF(First!B113="", "",First!B113)</f>
        <v/>
      </c>
      <c r="C110" s="1" t="str">
        <f>IF(First!C113="", "",First!C113)</f>
        <v/>
      </c>
      <c r="D110" s="1" t="str">
        <f>IF(First!D113="", "",First!D113)</f>
        <v/>
      </c>
      <c r="E110" s="1" t="str">
        <f>IF(First!E113="", "",First!E113)</f>
        <v/>
      </c>
      <c r="F110" s="1" t="str">
        <f>IF(First!F113="", "",First!F113)</f>
        <v/>
      </c>
      <c r="G110" s="1" t="str">
        <f>IF(First!G113="", "",First!G113)</f>
        <v/>
      </c>
      <c r="H110" s="1" t="str">
        <f>IF(First!H113="", "",First!H113)</f>
        <v/>
      </c>
      <c r="I110" s="1" t="str">
        <f>IF(First!I113="", "",First!I113)</f>
        <v/>
      </c>
      <c r="J110" s="1" t="str">
        <f>IF(First!J113="", "",First!J113)</f>
        <v/>
      </c>
      <c r="K110" s="83" t="str">
        <f>IF(First!K113="", "",First!K113)</f>
        <v/>
      </c>
      <c r="M110" s="67" t="str">
        <f t="shared" si="4"/>
        <v/>
      </c>
      <c r="N110" s="76" t="str">
        <f t="shared" si="5"/>
        <v/>
      </c>
      <c r="O110" s="33">
        <f t="shared" si="3"/>
        <v>0</v>
      </c>
    </row>
    <row r="111" spans="1:15" x14ac:dyDescent="0.25">
      <c r="A111" s="58" t="s">
        <v>203</v>
      </c>
      <c r="B111" s="82" t="str">
        <f>IF(First!B114="", "",First!B114)</f>
        <v/>
      </c>
      <c r="C111" s="1" t="str">
        <f>IF(First!C114="", "",First!C114)</f>
        <v/>
      </c>
      <c r="D111" s="1" t="str">
        <f>IF(First!D114="", "",First!D114)</f>
        <v/>
      </c>
      <c r="E111" s="1" t="str">
        <f>IF(First!E114="", "",First!E114)</f>
        <v/>
      </c>
      <c r="F111" s="1" t="str">
        <f>IF(First!F114="", "",First!F114)</f>
        <v/>
      </c>
      <c r="G111" s="1" t="str">
        <f>IF(First!G114="", "",First!G114)</f>
        <v/>
      </c>
      <c r="H111" s="1" t="str">
        <f>IF(First!H114="", "",First!H114)</f>
        <v/>
      </c>
      <c r="I111" s="1" t="str">
        <f>IF(First!I114="", "",First!I114)</f>
        <v/>
      </c>
      <c r="J111" s="1" t="str">
        <f>IF(First!J114="", "",First!J114)</f>
        <v/>
      </c>
      <c r="K111" s="83" t="str">
        <f>IF(First!K114="", "",First!K114)</f>
        <v/>
      </c>
      <c r="M111" s="67" t="str">
        <f t="shared" si="4"/>
        <v/>
      </c>
      <c r="N111" s="76" t="str">
        <f t="shared" si="5"/>
        <v/>
      </c>
      <c r="O111" s="33">
        <f t="shared" si="3"/>
        <v>0</v>
      </c>
    </row>
    <row r="112" spans="1:15" x14ac:dyDescent="0.25">
      <c r="A112" s="58" t="s">
        <v>203</v>
      </c>
      <c r="B112" s="82" t="str">
        <f>IF(First!B115="", "",First!B115)</f>
        <v/>
      </c>
      <c r="C112" s="1" t="str">
        <f>IF(First!C115="", "",First!C115)</f>
        <v/>
      </c>
      <c r="D112" s="1" t="str">
        <f>IF(First!D115="", "",First!D115)</f>
        <v/>
      </c>
      <c r="E112" s="1" t="str">
        <f>IF(First!E115="", "",First!E115)</f>
        <v/>
      </c>
      <c r="F112" s="1" t="str">
        <f>IF(First!F115="", "",First!F115)</f>
        <v/>
      </c>
      <c r="G112" s="1" t="str">
        <f>IF(First!G115="", "",First!G115)</f>
        <v/>
      </c>
      <c r="H112" s="1" t="str">
        <f>IF(First!H115="", "",First!H115)</f>
        <v/>
      </c>
      <c r="I112" s="1" t="str">
        <f>IF(First!I115="", "",First!I115)</f>
        <v/>
      </c>
      <c r="J112" s="1" t="str">
        <f>IF(First!J115="", "",First!J115)</f>
        <v/>
      </c>
      <c r="K112" s="83" t="str">
        <f>IF(First!K115="", "",First!K115)</f>
        <v/>
      </c>
      <c r="M112" s="67" t="str">
        <f t="shared" si="4"/>
        <v/>
      </c>
      <c r="N112" s="76" t="str">
        <f t="shared" si="5"/>
        <v/>
      </c>
      <c r="O112" s="33">
        <f t="shared" si="3"/>
        <v>0</v>
      </c>
    </row>
    <row r="113" spans="1:15" x14ac:dyDescent="0.25">
      <c r="A113" s="58" t="s">
        <v>203</v>
      </c>
      <c r="B113" s="82" t="str">
        <f>IF(First!B116="", "",First!B116)</f>
        <v/>
      </c>
      <c r="C113" s="1" t="str">
        <f>IF(First!C116="", "",First!C116)</f>
        <v/>
      </c>
      <c r="D113" s="1" t="str">
        <f>IF(First!D116="", "",First!D116)</f>
        <v/>
      </c>
      <c r="E113" s="1" t="str">
        <f>IF(First!E116="", "",First!E116)</f>
        <v/>
      </c>
      <c r="F113" s="1" t="str">
        <f>IF(First!F116="", "",First!F116)</f>
        <v/>
      </c>
      <c r="G113" s="1" t="str">
        <f>IF(First!G116="", "",First!G116)</f>
        <v/>
      </c>
      <c r="H113" s="1" t="str">
        <f>IF(First!H116="", "",First!H116)</f>
        <v/>
      </c>
      <c r="I113" s="1" t="str">
        <f>IF(First!I116="", "",First!I116)</f>
        <v/>
      </c>
      <c r="J113" s="1" t="str">
        <f>IF(First!J116="", "",First!J116)</f>
        <v/>
      </c>
      <c r="K113" s="83" t="str">
        <f>IF(First!K116="", "",First!K116)</f>
        <v/>
      </c>
      <c r="M113" s="67" t="str">
        <f t="shared" si="4"/>
        <v/>
      </c>
      <c r="N113" s="76" t="str">
        <f t="shared" si="5"/>
        <v/>
      </c>
      <c r="O113" s="33">
        <f t="shared" si="3"/>
        <v>0</v>
      </c>
    </row>
    <row r="114" spans="1:15" x14ac:dyDescent="0.25">
      <c r="A114" s="58" t="s">
        <v>203</v>
      </c>
      <c r="B114" s="82" t="str">
        <f>IF(First!B117="", "",First!B117)</f>
        <v/>
      </c>
      <c r="C114" s="1" t="str">
        <f>IF(First!C117="", "",First!C117)</f>
        <v/>
      </c>
      <c r="D114" s="1" t="str">
        <f>IF(First!D117="", "",First!D117)</f>
        <v/>
      </c>
      <c r="E114" s="1" t="str">
        <f>IF(First!E117="", "",First!E117)</f>
        <v/>
      </c>
      <c r="F114" s="1" t="str">
        <f>IF(First!F117="", "",First!F117)</f>
        <v/>
      </c>
      <c r="G114" s="1" t="str">
        <f>IF(First!G117="", "",First!G117)</f>
        <v/>
      </c>
      <c r="H114" s="1" t="str">
        <f>IF(First!H117="", "",First!H117)</f>
        <v/>
      </c>
      <c r="I114" s="1" t="str">
        <f>IF(First!I117="", "",First!I117)</f>
        <v/>
      </c>
      <c r="J114" s="1" t="str">
        <f>IF(First!J117="", "",First!J117)</f>
        <v/>
      </c>
      <c r="K114" s="83" t="str">
        <f>IF(First!K117="", "",First!K117)</f>
        <v/>
      </c>
      <c r="M114" s="67" t="str">
        <f t="shared" si="4"/>
        <v/>
      </c>
      <c r="N114" s="76" t="str">
        <f t="shared" si="5"/>
        <v/>
      </c>
      <c r="O114" s="33">
        <f t="shared" si="3"/>
        <v>0</v>
      </c>
    </row>
    <row r="115" spans="1:15" x14ac:dyDescent="0.25">
      <c r="A115" s="58" t="s">
        <v>203</v>
      </c>
      <c r="B115" s="82" t="str">
        <f>IF(First!B118="", "",First!B118)</f>
        <v/>
      </c>
      <c r="C115" s="1" t="str">
        <f>IF(First!C118="", "",First!C118)</f>
        <v/>
      </c>
      <c r="D115" s="1" t="str">
        <f>IF(First!D118="", "",First!D118)</f>
        <v/>
      </c>
      <c r="E115" s="1" t="str">
        <f>IF(First!E118="", "",First!E118)</f>
        <v/>
      </c>
      <c r="F115" s="1" t="str">
        <f>IF(First!F118="", "",First!F118)</f>
        <v/>
      </c>
      <c r="G115" s="1" t="str">
        <f>IF(First!G118="", "",First!G118)</f>
        <v/>
      </c>
      <c r="H115" s="1" t="str">
        <f>IF(First!H118="", "",First!H118)</f>
        <v/>
      </c>
      <c r="I115" s="1" t="str">
        <f>IF(First!I118="", "",First!I118)</f>
        <v/>
      </c>
      <c r="J115" s="1" t="str">
        <f>IF(First!J118="", "",First!J118)</f>
        <v/>
      </c>
      <c r="K115" s="83" t="str">
        <f>IF(First!K118="", "",First!K118)</f>
        <v/>
      </c>
      <c r="M115" s="67" t="str">
        <f t="shared" si="4"/>
        <v/>
      </c>
      <c r="N115" s="76" t="str">
        <f t="shared" si="5"/>
        <v/>
      </c>
      <c r="O115" s="33">
        <f t="shared" si="3"/>
        <v>0</v>
      </c>
    </row>
    <row r="116" spans="1:15" x14ac:dyDescent="0.25">
      <c r="A116" s="58" t="s">
        <v>203</v>
      </c>
      <c r="B116" s="82" t="str">
        <f>IF(First!B119="", "",First!B119)</f>
        <v/>
      </c>
      <c r="C116" s="1" t="str">
        <f>IF(First!C119="", "",First!C119)</f>
        <v/>
      </c>
      <c r="D116" s="1" t="str">
        <f>IF(First!D119="", "",First!D119)</f>
        <v/>
      </c>
      <c r="E116" s="1" t="str">
        <f>IF(First!E119="", "",First!E119)</f>
        <v/>
      </c>
      <c r="F116" s="1" t="str">
        <f>IF(First!F119="", "",First!F119)</f>
        <v/>
      </c>
      <c r="G116" s="1" t="str">
        <f>IF(First!G119="", "",First!G119)</f>
        <v/>
      </c>
      <c r="H116" s="1" t="str">
        <f>IF(First!H119="", "",First!H119)</f>
        <v/>
      </c>
      <c r="I116" s="1" t="str">
        <f>IF(First!I119="", "",First!I119)</f>
        <v/>
      </c>
      <c r="J116" s="1" t="str">
        <f>IF(First!J119="", "",First!J119)</f>
        <v/>
      </c>
      <c r="K116" s="83" t="str">
        <f>IF(First!K119="", "",First!K119)</f>
        <v/>
      </c>
      <c r="M116" s="67" t="str">
        <f t="shared" si="4"/>
        <v/>
      </c>
      <c r="N116" s="76" t="str">
        <f t="shared" si="5"/>
        <v/>
      </c>
      <c r="O116" s="33">
        <f t="shared" si="3"/>
        <v>0</v>
      </c>
    </row>
    <row r="117" spans="1:15" x14ac:dyDescent="0.25">
      <c r="A117" s="58" t="s">
        <v>203</v>
      </c>
      <c r="B117" s="82" t="str">
        <f>IF(First!B120="", "",First!B120)</f>
        <v/>
      </c>
      <c r="C117" s="1" t="str">
        <f>IF(First!C120="", "",First!C120)</f>
        <v/>
      </c>
      <c r="D117" s="1" t="str">
        <f>IF(First!D120="", "",First!D120)</f>
        <v/>
      </c>
      <c r="E117" s="1" t="str">
        <f>IF(First!E120="", "",First!E120)</f>
        <v/>
      </c>
      <c r="F117" s="1" t="str">
        <f>IF(First!F120="", "",First!F120)</f>
        <v/>
      </c>
      <c r="G117" s="1" t="str">
        <f>IF(First!G120="", "",First!G120)</f>
        <v/>
      </c>
      <c r="H117" s="1" t="str">
        <f>IF(First!H120="", "",First!H120)</f>
        <v/>
      </c>
      <c r="I117" s="1" t="str">
        <f>IF(First!I120="", "",First!I120)</f>
        <v/>
      </c>
      <c r="J117" s="1" t="str">
        <f>IF(First!J120="", "",First!J120)</f>
        <v/>
      </c>
      <c r="K117" s="83" t="str">
        <f>IF(First!K120="", "",First!K120)</f>
        <v/>
      </c>
      <c r="M117" s="67" t="str">
        <f t="shared" si="4"/>
        <v/>
      </c>
      <c r="N117" s="76" t="str">
        <f t="shared" si="5"/>
        <v/>
      </c>
      <c r="O117" s="33">
        <f t="shared" si="3"/>
        <v>0</v>
      </c>
    </row>
    <row r="118" spans="1:15" x14ac:dyDescent="0.25">
      <c r="A118" s="58" t="s">
        <v>203</v>
      </c>
      <c r="B118" s="82" t="str">
        <f>IF(First!B121="", "",First!B121)</f>
        <v/>
      </c>
      <c r="C118" s="1" t="str">
        <f>IF(First!C121="", "",First!C121)</f>
        <v/>
      </c>
      <c r="D118" s="1" t="str">
        <f>IF(First!D121="", "",First!D121)</f>
        <v/>
      </c>
      <c r="E118" s="1" t="str">
        <f>IF(First!E121="", "",First!E121)</f>
        <v/>
      </c>
      <c r="F118" s="1" t="str">
        <f>IF(First!F121="", "",First!F121)</f>
        <v/>
      </c>
      <c r="G118" s="1" t="str">
        <f>IF(First!G121="", "",First!G121)</f>
        <v/>
      </c>
      <c r="H118" s="1" t="str">
        <f>IF(First!H121="", "",First!H121)</f>
        <v/>
      </c>
      <c r="I118" s="1" t="str">
        <f>IF(First!I121="", "",First!I121)</f>
        <v/>
      </c>
      <c r="J118" s="1" t="str">
        <f>IF(First!J121="", "",First!J121)</f>
        <v/>
      </c>
      <c r="K118" s="83" t="str">
        <f>IF(First!K121="", "",First!K121)</f>
        <v/>
      </c>
      <c r="M118" s="67" t="str">
        <f t="shared" si="4"/>
        <v/>
      </c>
      <c r="N118" s="76" t="str">
        <f t="shared" si="5"/>
        <v/>
      </c>
      <c r="O118" s="33">
        <f t="shared" si="3"/>
        <v>0</v>
      </c>
    </row>
    <row r="119" spans="1:15" x14ac:dyDescent="0.25">
      <c r="A119" s="58" t="s">
        <v>203</v>
      </c>
      <c r="B119" s="82" t="str">
        <f>IF(First!B122="", "",First!B122)</f>
        <v/>
      </c>
      <c r="C119" s="1" t="str">
        <f>IF(First!C122="", "",First!C122)</f>
        <v/>
      </c>
      <c r="D119" s="1" t="str">
        <f>IF(First!D122="", "",First!D122)</f>
        <v/>
      </c>
      <c r="E119" s="1" t="str">
        <f>IF(First!E122="", "",First!E122)</f>
        <v/>
      </c>
      <c r="F119" s="1" t="str">
        <f>IF(First!F122="", "",First!F122)</f>
        <v/>
      </c>
      <c r="G119" s="1" t="str">
        <f>IF(First!G122="", "",First!G122)</f>
        <v/>
      </c>
      <c r="H119" s="1" t="str">
        <f>IF(First!H122="", "",First!H122)</f>
        <v/>
      </c>
      <c r="I119" s="1" t="str">
        <f>IF(First!I122="", "",First!I122)</f>
        <v/>
      </c>
      <c r="J119" s="1" t="str">
        <f>IF(First!J122="", "",First!J122)</f>
        <v/>
      </c>
      <c r="K119" s="83" t="str">
        <f>IF(First!K122="", "",First!K122)</f>
        <v/>
      </c>
      <c r="M119" s="67" t="str">
        <f t="shared" si="4"/>
        <v/>
      </c>
      <c r="N119" s="76" t="str">
        <f t="shared" si="5"/>
        <v/>
      </c>
      <c r="O119" s="33">
        <f t="shared" si="3"/>
        <v>0</v>
      </c>
    </row>
    <row r="120" spans="1:15" x14ac:dyDescent="0.25">
      <c r="A120" s="58" t="s">
        <v>203</v>
      </c>
      <c r="B120" s="82" t="str">
        <f>IF(First!B123="", "",First!B123)</f>
        <v/>
      </c>
      <c r="C120" s="1" t="str">
        <f>IF(First!C123="", "",First!C123)</f>
        <v/>
      </c>
      <c r="D120" s="1" t="str">
        <f>IF(First!D123="", "",First!D123)</f>
        <v/>
      </c>
      <c r="E120" s="1" t="str">
        <f>IF(First!E123="", "",First!E123)</f>
        <v/>
      </c>
      <c r="F120" s="1" t="str">
        <f>IF(First!F123="", "",First!F123)</f>
        <v/>
      </c>
      <c r="G120" s="1" t="str">
        <f>IF(First!G123="", "",First!G123)</f>
        <v/>
      </c>
      <c r="H120" s="1" t="str">
        <f>IF(First!H123="", "",First!H123)</f>
        <v/>
      </c>
      <c r="I120" s="1" t="str">
        <f>IF(First!I123="", "",First!I123)</f>
        <v/>
      </c>
      <c r="J120" s="1" t="str">
        <f>IF(First!J123="", "",First!J123)</f>
        <v/>
      </c>
      <c r="K120" s="83" t="str">
        <f>IF(First!K123="", "",First!K123)</f>
        <v/>
      </c>
      <c r="M120" s="67" t="str">
        <f t="shared" si="4"/>
        <v/>
      </c>
      <c r="N120" s="76" t="str">
        <f t="shared" si="5"/>
        <v/>
      </c>
      <c r="O120" s="33">
        <f t="shared" si="3"/>
        <v>0</v>
      </c>
    </row>
    <row r="121" spans="1:15" x14ac:dyDescent="0.25">
      <c r="A121" s="58" t="s">
        <v>203</v>
      </c>
      <c r="B121" s="82" t="str">
        <f>IF(First!B124="", "",First!B124)</f>
        <v/>
      </c>
      <c r="C121" s="1" t="str">
        <f>IF(First!C124="", "",First!C124)</f>
        <v/>
      </c>
      <c r="D121" s="1" t="str">
        <f>IF(First!D124="", "",First!D124)</f>
        <v/>
      </c>
      <c r="E121" s="1" t="str">
        <f>IF(First!E124="", "",First!E124)</f>
        <v/>
      </c>
      <c r="F121" s="1" t="str">
        <f>IF(First!F124="", "",First!F124)</f>
        <v/>
      </c>
      <c r="G121" s="1" t="str">
        <f>IF(First!G124="", "",First!G124)</f>
        <v/>
      </c>
      <c r="H121" s="1" t="str">
        <f>IF(First!H124="", "",First!H124)</f>
        <v/>
      </c>
      <c r="I121" s="1" t="str">
        <f>IF(First!I124="", "",First!I124)</f>
        <v/>
      </c>
      <c r="J121" s="1" t="str">
        <f>IF(First!J124="", "",First!J124)</f>
        <v/>
      </c>
      <c r="K121" s="83" t="str">
        <f>IF(First!K124="", "",First!K124)</f>
        <v/>
      </c>
      <c r="M121" s="67" t="str">
        <f t="shared" si="4"/>
        <v/>
      </c>
      <c r="N121" s="76" t="str">
        <f t="shared" si="5"/>
        <v/>
      </c>
      <c r="O121" s="33">
        <f t="shared" si="3"/>
        <v>0</v>
      </c>
    </row>
    <row r="122" spans="1:15" x14ac:dyDescent="0.25">
      <c r="A122" s="58" t="s">
        <v>203</v>
      </c>
      <c r="B122" s="82" t="str">
        <f>IF(First!B125="", "",First!B125)</f>
        <v/>
      </c>
      <c r="C122" s="1" t="str">
        <f>IF(First!C125="", "",First!C125)</f>
        <v/>
      </c>
      <c r="D122" s="1" t="str">
        <f>IF(First!D125="", "",First!D125)</f>
        <v/>
      </c>
      <c r="E122" s="1" t="str">
        <f>IF(First!E125="", "",First!E125)</f>
        <v/>
      </c>
      <c r="F122" s="1" t="str">
        <f>IF(First!F125="", "",First!F125)</f>
        <v/>
      </c>
      <c r="G122" s="1" t="str">
        <f>IF(First!G125="", "",First!G125)</f>
        <v/>
      </c>
      <c r="H122" s="1" t="str">
        <f>IF(First!H125="", "",First!H125)</f>
        <v/>
      </c>
      <c r="I122" s="1" t="str">
        <f>IF(First!I125="", "",First!I125)</f>
        <v/>
      </c>
      <c r="J122" s="1" t="str">
        <f>IF(First!J125="", "",First!J125)</f>
        <v/>
      </c>
      <c r="K122" s="83" t="str">
        <f>IF(First!K125="", "",First!K125)</f>
        <v/>
      </c>
      <c r="M122" s="67" t="str">
        <f t="shared" si="4"/>
        <v/>
      </c>
      <c r="N122" s="76" t="str">
        <f t="shared" si="5"/>
        <v/>
      </c>
      <c r="O122" s="33">
        <f t="shared" si="3"/>
        <v>0</v>
      </c>
    </row>
    <row r="123" spans="1:15" x14ac:dyDescent="0.25">
      <c r="A123" s="58" t="s">
        <v>203</v>
      </c>
      <c r="B123" s="82" t="str">
        <f>IF(First!B126="", "",First!B126)</f>
        <v/>
      </c>
      <c r="C123" s="1" t="str">
        <f>IF(First!C126="", "",First!C126)</f>
        <v/>
      </c>
      <c r="D123" s="1" t="str">
        <f>IF(First!D126="", "",First!D126)</f>
        <v/>
      </c>
      <c r="E123" s="1" t="str">
        <f>IF(First!E126="", "",First!E126)</f>
        <v/>
      </c>
      <c r="F123" s="1" t="str">
        <f>IF(First!F126="", "",First!F126)</f>
        <v/>
      </c>
      <c r="G123" s="1" t="str">
        <f>IF(First!G126="", "",First!G126)</f>
        <v/>
      </c>
      <c r="H123" s="1" t="str">
        <f>IF(First!H126="", "",First!H126)</f>
        <v/>
      </c>
      <c r="I123" s="1" t="str">
        <f>IF(First!I126="", "",First!I126)</f>
        <v/>
      </c>
      <c r="J123" s="1" t="str">
        <f>IF(First!J126="", "",First!J126)</f>
        <v/>
      </c>
      <c r="K123" s="83" t="str">
        <f>IF(First!K126="", "",First!K126)</f>
        <v/>
      </c>
      <c r="M123" s="67" t="str">
        <f t="shared" si="4"/>
        <v/>
      </c>
      <c r="N123" s="76" t="str">
        <f t="shared" si="5"/>
        <v/>
      </c>
      <c r="O123" s="33">
        <f t="shared" si="3"/>
        <v>0</v>
      </c>
    </row>
    <row r="124" spans="1:15" x14ac:dyDescent="0.25">
      <c r="A124" s="58" t="s">
        <v>203</v>
      </c>
      <c r="B124" s="82" t="str">
        <f>IF(First!B127="", "",First!B127)</f>
        <v/>
      </c>
      <c r="C124" s="1" t="str">
        <f>IF(First!C127="", "",First!C127)</f>
        <v/>
      </c>
      <c r="D124" s="1" t="str">
        <f>IF(First!D127="", "",First!D127)</f>
        <v/>
      </c>
      <c r="E124" s="1" t="str">
        <f>IF(First!E127="", "",First!E127)</f>
        <v/>
      </c>
      <c r="F124" s="1" t="str">
        <f>IF(First!F127="", "",First!F127)</f>
        <v/>
      </c>
      <c r="G124" s="1" t="str">
        <f>IF(First!G127="", "",First!G127)</f>
        <v/>
      </c>
      <c r="H124" s="1" t="str">
        <f>IF(First!H127="", "",First!H127)</f>
        <v/>
      </c>
      <c r="I124" s="1" t="str">
        <f>IF(First!I127="", "",First!I127)</f>
        <v/>
      </c>
      <c r="J124" s="1" t="str">
        <f>IF(First!J127="", "",First!J127)</f>
        <v/>
      </c>
      <c r="K124" s="83" t="str">
        <f>IF(First!K127="", "",First!K127)</f>
        <v/>
      </c>
      <c r="M124" s="67" t="str">
        <f t="shared" si="4"/>
        <v/>
      </c>
      <c r="N124" s="76" t="str">
        <f t="shared" si="5"/>
        <v/>
      </c>
      <c r="O124" s="33">
        <f t="shared" si="3"/>
        <v>0</v>
      </c>
    </row>
    <row r="125" spans="1:15" x14ac:dyDescent="0.25">
      <c r="A125" s="58" t="s">
        <v>203</v>
      </c>
      <c r="B125" s="82" t="str">
        <f>IF(First!B128="", "",First!B128)</f>
        <v/>
      </c>
      <c r="C125" s="1" t="str">
        <f>IF(First!C128="", "",First!C128)</f>
        <v/>
      </c>
      <c r="D125" s="1" t="str">
        <f>IF(First!D128="", "",First!D128)</f>
        <v/>
      </c>
      <c r="E125" s="1" t="str">
        <f>IF(First!E128="", "",First!E128)</f>
        <v/>
      </c>
      <c r="F125" s="1" t="str">
        <f>IF(First!F128="", "",First!F128)</f>
        <v/>
      </c>
      <c r="G125" s="1" t="str">
        <f>IF(First!G128="", "",First!G128)</f>
        <v/>
      </c>
      <c r="H125" s="1" t="str">
        <f>IF(First!H128="", "",First!H128)</f>
        <v/>
      </c>
      <c r="I125" s="1" t="str">
        <f>IF(First!I128="", "",First!I128)</f>
        <v/>
      </c>
      <c r="J125" s="1" t="str">
        <f>IF(First!J128="", "",First!J128)</f>
        <v/>
      </c>
      <c r="K125" s="83" t="str">
        <f>IF(First!K128="", "",First!K128)</f>
        <v/>
      </c>
      <c r="M125" s="67" t="str">
        <f t="shared" si="4"/>
        <v/>
      </c>
      <c r="N125" s="76" t="str">
        <f t="shared" si="5"/>
        <v/>
      </c>
      <c r="O125" s="33">
        <f t="shared" si="3"/>
        <v>0</v>
      </c>
    </row>
    <row r="126" spans="1:15" x14ac:dyDescent="0.25">
      <c r="A126" s="58" t="s">
        <v>203</v>
      </c>
      <c r="B126" s="82" t="str">
        <f>IF(First!B129="", "",First!B129)</f>
        <v/>
      </c>
      <c r="C126" s="1" t="str">
        <f>IF(First!C129="", "",First!C129)</f>
        <v/>
      </c>
      <c r="D126" s="1" t="str">
        <f>IF(First!D129="", "",First!D129)</f>
        <v/>
      </c>
      <c r="E126" s="1" t="str">
        <f>IF(First!E129="", "",First!E129)</f>
        <v/>
      </c>
      <c r="F126" s="1" t="str">
        <f>IF(First!F129="", "",First!F129)</f>
        <v/>
      </c>
      <c r="G126" s="1" t="str">
        <f>IF(First!G129="", "",First!G129)</f>
        <v/>
      </c>
      <c r="H126" s="1" t="str">
        <f>IF(First!H129="", "",First!H129)</f>
        <v/>
      </c>
      <c r="I126" s="1" t="str">
        <f>IF(First!I129="", "",First!I129)</f>
        <v/>
      </c>
      <c r="J126" s="1" t="str">
        <f>IF(First!J129="", "",First!J129)</f>
        <v/>
      </c>
      <c r="K126" s="83" t="str">
        <f>IF(First!K129="", "",First!K129)</f>
        <v/>
      </c>
      <c r="M126" s="67" t="str">
        <f t="shared" si="4"/>
        <v/>
      </c>
      <c r="N126" s="76" t="str">
        <f t="shared" si="5"/>
        <v/>
      </c>
      <c r="O126" s="33">
        <f t="shared" si="3"/>
        <v>0</v>
      </c>
    </row>
    <row r="127" spans="1:15" x14ac:dyDescent="0.25">
      <c r="A127" s="58" t="s">
        <v>203</v>
      </c>
      <c r="B127" s="82" t="str">
        <f>IF(First!B130="", "",First!B130)</f>
        <v/>
      </c>
      <c r="C127" s="1" t="str">
        <f>IF(First!C130="", "",First!C130)</f>
        <v/>
      </c>
      <c r="D127" s="1" t="str">
        <f>IF(First!D130="", "",First!D130)</f>
        <v/>
      </c>
      <c r="E127" s="1" t="str">
        <f>IF(First!E130="", "",First!E130)</f>
        <v/>
      </c>
      <c r="F127" s="1" t="str">
        <f>IF(First!F130="", "",First!F130)</f>
        <v/>
      </c>
      <c r="G127" s="1" t="str">
        <f>IF(First!G130="", "",First!G130)</f>
        <v/>
      </c>
      <c r="H127" s="1" t="str">
        <f>IF(First!H130="", "",First!H130)</f>
        <v/>
      </c>
      <c r="I127" s="1" t="str">
        <f>IF(First!I130="", "",First!I130)</f>
        <v/>
      </c>
      <c r="J127" s="1" t="str">
        <f>IF(First!J130="", "",First!J130)</f>
        <v/>
      </c>
      <c r="K127" s="83" t="str">
        <f>IF(First!K130="", "",First!K130)</f>
        <v/>
      </c>
      <c r="M127" s="67" t="str">
        <f t="shared" si="4"/>
        <v/>
      </c>
      <c r="N127" s="76" t="str">
        <f t="shared" si="5"/>
        <v/>
      </c>
      <c r="O127" s="33">
        <f t="shared" si="3"/>
        <v>0</v>
      </c>
    </row>
    <row r="128" spans="1:15" x14ac:dyDescent="0.25">
      <c r="A128" s="58" t="s">
        <v>203</v>
      </c>
      <c r="B128" s="82" t="str">
        <f>IF(First!B131="", "",First!B131)</f>
        <v/>
      </c>
      <c r="C128" s="1" t="str">
        <f>IF(First!C131="", "",First!C131)</f>
        <v/>
      </c>
      <c r="D128" s="1" t="str">
        <f>IF(First!D131="", "",First!D131)</f>
        <v/>
      </c>
      <c r="E128" s="1" t="str">
        <f>IF(First!E131="", "",First!E131)</f>
        <v/>
      </c>
      <c r="F128" s="1" t="str">
        <f>IF(First!F131="", "",First!F131)</f>
        <v/>
      </c>
      <c r="G128" s="1" t="str">
        <f>IF(First!G131="", "",First!G131)</f>
        <v/>
      </c>
      <c r="H128" s="1" t="str">
        <f>IF(First!H131="", "",First!H131)</f>
        <v/>
      </c>
      <c r="I128" s="1" t="str">
        <f>IF(First!I131="", "",First!I131)</f>
        <v/>
      </c>
      <c r="J128" s="1" t="str">
        <f>IF(First!J131="", "",First!J131)</f>
        <v/>
      </c>
      <c r="K128" s="83" t="str">
        <f>IF(First!K131="", "",First!K131)</f>
        <v/>
      </c>
      <c r="M128" s="67" t="str">
        <f t="shared" si="4"/>
        <v/>
      </c>
      <c r="N128" s="76" t="str">
        <f t="shared" si="5"/>
        <v/>
      </c>
      <c r="O128" s="33">
        <f t="shared" si="3"/>
        <v>0</v>
      </c>
    </row>
    <row r="129" spans="1:15" x14ac:dyDescent="0.25">
      <c r="A129" s="58" t="s">
        <v>203</v>
      </c>
      <c r="B129" s="82" t="str">
        <f>IF(First!B132="", "",First!B132)</f>
        <v/>
      </c>
      <c r="C129" s="1" t="str">
        <f>IF(First!C132="", "",First!C132)</f>
        <v/>
      </c>
      <c r="D129" s="1" t="str">
        <f>IF(First!D132="", "",First!D132)</f>
        <v/>
      </c>
      <c r="E129" s="1" t="str">
        <f>IF(First!E132="", "",First!E132)</f>
        <v/>
      </c>
      <c r="F129" s="1" t="str">
        <f>IF(First!F132="", "",First!F132)</f>
        <v/>
      </c>
      <c r="G129" s="1" t="str">
        <f>IF(First!G132="", "",First!G132)</f>
        <v/>
      </c>
      <c r="H129" s="1" t="str">
        <f>IF(First!H132="", "",First!H132)</f>
        <v/>
      </c>
      <c r="I129" s="1" t="str">
        <f>IF(First!I132="", "",First!I132)</f>
        <v/>
      </c>
      <c r="J129" s="1" t="str">
        <f>IF(First!J132="", "",First!J132)</f>
        <v/>
      </c>
      <c r="K129" s="83" t="str">
        <f>IF(First!K132="", "",First!K132)</f>
        <v/>
      </c>
      <c r="M129" s="67" t="str">
        <f t="shared" si="4"/>
        <v/>
      </c>
      <c r="N129" s="76" t="str">
        <f t="shared" si="5"/>
        <v/>
      </c>
      <c r="O129" s="33">
        <f t="shared" si="3"/>
        <v>0</v>
      </c>
    </row>
    <row r="130" spans="1:15" x14ac:dyDescent="0.25">
      <c r="A130" s="58" t="s">
        <v>203</v>
      </c>
      <c r="B130" s="82" t="str">
        <f>IF(First!B133="", "",First!B133)</f>
        <v/>
      </c>
      <c r="C130" s="1" t="str">
        <f>IF(First!C133="", "",First!C133)</f>
        <v/>
      </c>
      <c r="D130" s="1" t="str">
        <f>IF(First!D133="", "",First!D133)</f>
        <v/>
      </c>
      <c r="E130" s="1" t="str">
        <f>IF(First!E133="", "",First!E133)</f>
        <v/>
      </c>
      <c r="F130" s="1" t="str">
        <f>IF(First!F133="", "",First!F133)</f>
        <v/>
      </c>
      <c r="G130" s="1" t="str">
        <f>IF(First!G133="", "",First!G133)</f>
        <v/>
      </c>
      <c r="H130" s="1" t="str">
        <f>IF(First!H133="", "",First!H133)</f>
        <v/>
      </c>
      <c r="I130" s="1" t="str">
        <f>IF(First!I133="", "",First!I133)</f>
        <v/>
      </c>
      <c r="J130" s="1" t="str">
        <f>IF(First!J133="", "",First!J133)</f>
        <v/>
      </c>
      <c r="K130" s="83" t="str">
        <f>IF(First!K133="", "",First!K133)</f>
        <v/>
      </c>
      <c r="M130" s="67" t="str">
        <f t="shared" si="4"/>
        <v/>
      </c>
      <c r="N130" s="76" t="str">
        <f t="shared" si="5"/>
        <v/>
      </c>
      <c r="O130" s="33">
        <f t="shared" ref="O130:O193" si="6">SUM(M130:N130)</f>
        <v>0</v>
      </c>
    </row>
    <row r="131" spans="1:15" x14ac:dyDescent="0.25">
      <c r="A131" s="58" t="s">
        <v>203</v>
      </c>
      <c r="B131" s="82" t="str">
        <f>IF(First!B134="", "",First!B134)</f>
        <v/>
      </c>
      <c r="C131" s="1" t="str">
        <f>IF(First!C134="", "",First!C134)</f>
        <v/>
      </c>
      <c r="D131" s="1" t="str">
        <f>IF(First!D134="", "",First!D134)</f>
        <v/>
      </c>
      <c r="E131" s="1" t="str">
        <f>IF(First!E134="", "",First!E134)</f>
        <v/>
      </c>
      <c r="F131" s="1" t="str">
        <f>IF(First!F134="", "",First!F134)</f>
        <v/>
      </c>
      <c r="G131" s="1" t="str">
        <f>IF(First!G134="", "",First!G134)</f>
        <v/>
      </c>
      <c r="H131" s="1" t="str">
        <f>IF(First!H134="", "",First!H134)</f>
        <v/>
      </c>
      <c r="I131" s="1" t="str">
        <f>IF(First!I134="", "",First!I134)</f>
        <v/>
      </c>
      <c r="J131" s="1" t="str">
        <f>IF(First!J134="", "",First!J134)</f>
        <v/>
      </c>
      <c r="K131" s="83" t="str">
        <f>IF(First!K134="", "",First!K134)</f>
        <v/>
      </c>
      <c r="M131" s="67" t="str">
        <f t="shared" ref="M131:M194" si="7">IF(C131="PwC",(7-COUNTIF(B131:H131,"")),"")</f>
        <v/>
      </c>
      <c r="N131" s="76" t="str">
        <f t="shared" ref="N131:N194" si="8">IF(C131="Carer",(7-COUNTIF(B131:H131,"")),"")</f>
        <v/>
      </c>
      <c r="O131" s="33">
        <f t="shared" si="6"/>
        <v>0</v>
      </c>
    </row>
    <row r="132" spans="1:15" x14ac:dyDescent="0.25">
      <c r="A132" s="58" t="s">
        <v>203</v>
      </c>
      <c r="B132" s="82" t="str">
        <f>IF(First!B135="", "",First!B135)</f>
        <v/>
      </c>
      <c r="C132" s="1" t="str">
        <f>IF(First!C135="", "",First!C135)</f>
        <v/>
      </c>
      <c r="D132" s="1" t="str">
        <f>IF(First!D135="", "",First!D135)</f>
        <v/>
      </c>
      <c r="E132" s="1" t="str">
        <f>IF(First!E135="", "",First!E135)</f>
        <v/>
      </c>
      <c r="F132" s="1" t="str">
        <f>IF(First!F135="", "",First!F135)</f>
        <v/>
      </c>
      <c r="G132" s="1" t="str">
        <f>IF(First!G135="", "",First!G135)</f>
        <v/>
      </c>
      <c r="H132" s="1" t="str">
        <f>IF(First!H135="", "",First!H135)</f>
        <v/>
      </c>
      <c r="I132" s="1" t="str">
        <f>IF(First!I135="", "",First!I135)</f>
        <v/>
      </c>
      <c r="J132" s="1" t="str">
        <f>IF(First!J135="", "",First!J135)</f>
        <v/>
      </c>
      <c r="K132" s="83" t="str">
        <f>IF(First!K135="", "",First!K135)</f>
        <v/>
      </c>
      <c r="M132" s="67" t="str">
        <f t="shared" si="7"/>
        <v/>
      </c>
      <c r="N132" s="76" t="str">
        <f t="shared" si="8"/>
        <v/>
      </c>
      <c r="O132" s="33">
        <f t="shared" si="6"/>
        <v>0</v>
      </c>
    </row>
    <row r="133" spans="1:15" x14ac:dyDescent="0.25">
      <c r="A133" s="58" t="s">
        <v>203</v>
      </c>
      <c r="B133" s="82" t="str">
        <f>IF(First!B136="", "",First!B136)</f>
        <v/>
      </c>
      <c r="C133" s="1" t="str">
        <f>IF(First!C136="", "",First!C136)</f>
        <v/>
      </c>
      <c r="D133" s="1" t="str">
        <f>IF(First!D136="", "",First!D136)</f>
        <v/>
      </c>
      <c r="E133" s="1" t="str">
        <f>IF(First!E136="", "",First!E136)</f>
        <v/>
      </c>
      <c r="F133" s="1" t="str">
        <f>IF(First!F136="", "",First!F136)</f>
        <v/>
      </c>
      <c r="G133" s="1" t="str">
        <f>IF(First!G136="", "",First!G136)</f>
        <v/>
      </c>
      <c r="H133" s="1" t="str">
        <f>IF(First!H136="", "",First!H136)</f>
        <v/>
      </c>
      <c r="I133" s="1" t="str">
        <f>IF(First!I136="", "",First!I136)</f>
        <v/>
      </c>
      <c r="J133" s="1" t="str">
        <f>IF(First!J136="", "",First!J136)</f>
        <v/>
      </c>
      <c r="K133" s="83" t="str">
        <f>IF(First!K136="", "",First!K136)</f>
        <v/>
      </c>
      <c r="M133" s="67" t="str">
        <f t="shared" si="7"/>
        <v/>
      </c>
      <c r="N133" s="76" t="str">
        <f t="shared" si="8"/>
        <v/>
      </c>
      <c r="O133" s="33">
        <f t="shared" si="6"/>
        <v>0</v>
      </c>
    </row>
    <row r="134" spans="1:15" x14ac:dyDescent="0.25">
      <c r="A134" s="58" t="s">
        <v>203</v>
      </c>
      <c r="B134" s="82" t="str">
        <f>IF(First!B137="", "",First!B137)</f>
        <v/>
      </c>
      <c r="C134" s="1" t="str">
        <f>IF(First!C137="", "",First!C137)</f>
        <v/>
      </c>
      <c r="D134" s="1" t="str">
        <f>IF(First!D137="", "",First!D137)</f>
        <v/>
      </c>
      <c r="E134" s="1" t="str">
        <f>IF(First!E137="", "",First!E137)</f>
        <v/>
      </c>
      <c r="F134" s="1" t="str">
        <f>IF(First!F137="", "",First!F137)</f>
        <v/>
      </c>
      <c r="G134" s="1" t="str">
        <f>IF(First!G137="", "",First!G137)</f>
        <v/>
      </c>
      <c r="H134" s="1" t="str">
        <f>IF(First!H137="", "",First!H137)</f>
        <v/>
      </c>
      <c r="I134" s="1" t="str">
        <f>IF(First!I137="", "",First!I137)</f>
        <v/>
      </c>
      <c r="J134" s="1" t="str">
        <f>IF(First!J137="", "",First!J137)</f>
        <v/>
      </c>
      <c r="K134" s="83" t="str">
        <f>IF(First!K137="", "",First!K137)</f>
        <v/>
      </c>
      <c r="M134" s="67" t="str">
        <f t="shared" si="7"/>
        <v/>
      </c>
      <c r="N134" s="76" t="str">
        <f t="shared" si="8"/>
        <v/>
      </c>
      <c r="O134" s="33">
        <f t="shared" si="6"/>
        <v>0</v>
      </c>
    </row>
    <row r="135" spans="1:15" x14ac:dyDescent="0.25">
      <c r="A135" s="58" t="s">
        <v>203</v>
      </c>
      <c r="B135" s="82" t="str">
        <f>IF(First!B138="", "",First!B138)</f>
        <v/>
      </c>
      <c r="C135" s="1" t="str">
        <f>IF(First!C138="", "",First!C138)</f>
        <v/>
      </c>
      <c r="D135" s="1" t="str">
        <f>IF(First!D138="", "",First!D138)</f>
        <v/>
      </c>
      <c r="E135" s="1" t="str">
        <f>IF(First!E138="", "",First!E138)</f>
        <v/>
      </c>
      <c r="F135" s="1" t="str">
        <f>IF(First!F138="", "",First!F138)</f>
        <v/>
      </c>
      <c r="G135" s="1" t="str">
        <f>IF(First!G138="", "",First!G138)</f>
        <v/>
      </c>
      <c r="H135" s="1" t="str">
        <f>IF(First!H138="", "",First!H138)</f>
        <v/>
      </c>
      <c r="I135" s="1" t="str">
        <f>IF(First!I138="", "",First!I138)</f>
        <v/>
      </c>
      <c r="J135" s="1" t="str">
        <f>IF(First!J138="", "",First!J138)</f>
        <v/>
      </c>
      <c r="K135" s="83" t="str">
        <f>IF(First!K138="", "",First!K138)</f>
        <v/>
      </c>
      <c r="M135" s="67" t="str">
        <f t="shared" si="7"/>
        <v/>
      </c>
      <c r="N135" s="76" t="str">
        <f t="shared" si="8"/>
        <v/>
      </c>
      <c r="O135" s="33">
        <f t="shared" si="6"/>
        <v>0</v>
      </c>
    </row>
    <row r="136" spans="1:15" x14ac:dyDescent="0.25">
      <c r="A136" s="64" t="s">
        <v>203</v>
      </c>
      <c r="B136" s="82" t="str">
        <f>IF(First!B139="", "",First!B139)</f>
        <v/>
      </c>
      <c r="C136" s="1" t="str">
        <f>IF(First!C139="", "",First!C139)</f>
        <v/>
      </c>
      <c r="D136" s="1" t="str">
        <f>IF(First!D139="", "",First!D139)</f>
        <v/>
      </c>
      <c r="E136" s="1" t="str">
        <f>IF(First!E139="", "",First!E139)</f>
        <v/>
      </c>
      <c r="F136" s="1" t="str">
        <f>IF(First!F139="", "",First!F139)</f>
        <v/>
      </c>
      <c r="G136" s="1" t="str">
        <f>IF(First!G139="", "",First!G139)</f>
        <v/>
      </c>
      <c r="H136" s="1" t="str">
        <f>IF(First!H139="", "",First!H139)</f>
        <v/>
      </c>
      <c r="I136" s="1" t="str">
        <f>IF(First!I139="", "",First!I139)</f>
        <v/>
      </c>
      <c r="J136" s="1" t="str">
        <f>IF(First!J139="", "",First!J139)</f>
        <v/>
      </c>
      <c r="K136" s="83" t="str">
        <f>IF(First!K139="", "",First!K139)</f>
        <v/>
      </c>
      <c r="M136" s="67" t="str">
        <f t="shared" si="7"/>
        <v/>
      </c>
      <c r="N136" s="76" t="str">
        <f t="shared" si="8"/>
        <v/>
      </c>
      <c r="O136" s="33">
        <f t="shared" si="6"/>
        <v>0</v>
      </c>
    </row>
    <row r="137" spans="1:15" x14ac:dyDescent="0.25">
      <c r="A137" s="64" t="s">
        <v>203</v>
      </c>
      <c r="B137" s="82" t="str">
        <f>IF(First!B140="", "",First!B140)</f>
        <v/>
      </c>
      <c r="C137" s="1" t="str">
        <f>IF(First!C140="", "",First!C140)</f>
        <v/>
      </c>
      <c r="D137" s="1" t="str">
        <f>IF(First!D140="", "",First!D140)</f>
        <v/>
      </c>
      <c r="E137" s="1" t="str">
        <f>IF(First!E140="", "",First!E140)</f>
        <v/>
      </c>
      <c r="F137" s="1" t="str">
        <f>IF(First!F140="", "",First!F140)</f>
        <v/>
      </c>
      <c r="G137" s="1" t="str">
        <f>IF(First!G140="", "",First!G140)</f>
        <v/>
      </c>
      <c r="H137" s="1" t="str">
        <f>IF(First!H140="", "",First!H140)</f>
        <v/>
      </c>
      <c r="I137" s="1" t="str">
        <f>IF(First!I140="", "",First!I140)</f>
        <v/>
      </c>
      <c r="J137" s="1" t="str">
        <f>IF(First!J140="", "",First!J140)</f>
        <v/>
      </c>
      <c r="K137" s="83" t="str">
        <f>IF(First!K140="", "",First!K140)</f>
        <v/>
      </c>
      <c r="M137" s="67" t="str">
        <f t="shared" si="7"/>
        <v/>
      </c>
      <c r="N137" s="76" t="str">
        <f t="shared" si="8"/>
        <v/>
      </c>
      <c r="O137" s="33">
        <f t="shared" si="6"/>
        <v>0</v>
      </c>
    </row>
    <row r="138" spans="1:15" x14ac:dyDescent="0.25">
      <c r="A138" s="64" t="s">
        <v>203</v>
      </c>
      <c r="B138" s="82" t="str">
        <f>IF(First!B141="", "",First!B141)</f>
        <v/>
      </c>
      <c r="C138" s="1" t="str">
        <f>IF(First!C141="", "",First!C141)</f>
        <v/>
      </c>
      <c r="D138" s="1" t="str">
        <f>IF(First!D141="", "",First!D141)</f>
        <v/>
      </c>
      <c r="E138" s="1" t="str">
        <f>IF(First!E141="", "",First!E141)</f>
        <v/>
      </c>
      <c r="F138" s="1" t="str">
        <f>IF(First!F141="", "",First!F141)</f>
        <v/>
      </c>
      <c r="G138" s="1" t="str">
        <f>IF(First!G141="", "",First!G141)</f>
        <v/>
      </c>
      <c r="H138" s="1" t="str">
        <f>IF(First!H141="", "",First!H141)</f>
        <v/>
      </c>
      <c r="I138" s="1" t="str">
        <f>IF(First!I141="", "",First!I141)</f>
        <v/>
      </c>
      <c r="J138" s="1" t="str">
        <f>IF(First!J141="", "",First!J141)</f>
        <v/>
      </c>
      <c r="K138" s="83" t="str">
        <f>IF(First!K141="", "",First!K141)</f>
        <v/>
      </c>
      <c r="M138" s="67" t="str">
        <f t="shared" si="7"/>
        <v/>
      </c>
      <c r="N138" s="76" t="str">
        <f t="shared" si="8"/>
        <v/>
      </c>
      <c r="O138" s="33">
        <f t="shared" si="6"/>
        <v>0</v>
      </c>
    </row>
    <row r="139" spans="1:15" x14ac:dyDescent="0.25">
      <c r="A139" s="64" t="s">
        <v>203</v>
      </c>
      <c r="B139" s="82" t="str">
        <f>IF(First!B142="", "",First!B142)</f>
        <v/>
      </c>
      <c r="C139" s="1" t="str">
        <f>IF(First!C142="", "",First!C142)</f>
        <v/>
      </c>
      <c r="D139" s="1" t="str">
        <f>IF(First!D142="", "",First!D142)</f>
        <v/>
      </c>
      <c r="E139" s="1" t="str">
        <f>IF(First!E142="", "",First!E142)</f>
        <v/>
      </c>
      <c r="F139" s="1" t="str">
        <f>IF(First!F142="", "",First!F142)</f>
        <v/>
      </c>
      <c r="G139" s="1" t="str">
        <f>IF(First!G142="", "",First!G142)</f>
        <v/>
      </c>
      <c r="H139" s="1" t="str">
        <f>IF(First!H142="", "",First!H142)</f>
        <v/>
      </c>
      <c r="I139" s="1" t="str">
        <f>IF(First!I142="", "",First!I142)</f>
        <v/>
      </c>
      <c r="J139" s="1" t="str">
        <f>IF(First!J142="", "",First!J142)</f>
        <v/>
      </c>
      <c r="K139" s="83" t="str">
        <f>IF(First!K142="", "",First!K142)</f>
        <v/>
      </c>
      <c r="M139" s="67" t="str">
        <f t="shared" si="7"/>
        <v/>
      </c>
      <c r="N139" s="76" t="str">
        <f t="shared" si="8"/>
        <v/>
      </c>
      <c r="O139" s="33">
        <f t="shared" si="6"/>
        <v>0</v>
      </c>
    </row>
    <row r="140" spans="1:15" x14ac:dyDescent="0.25">
      <c r="A140" s="64" t="s">
        <v>203</v>
      </c>
      <c r="B140" s="82" t="str">
        <f>IF(First!B143="", "",First!B143)</f>
        <v/>
      </c>
      <c r="C140" s="1" t="str">
        <f>IF(First!C143="", "",First!C143)</f>
        <v/>
      </c>
      <c r="D140" s="1" t="str">
        <f>IF(First!D143="", "",First!D143)</f>
        <v/>
      </c>
      <c r="E140" s="1" t="str">
        <f>IF(First!E143="", "",First!E143)</f>
        <v/>
      </c>
      <c r="F140" s="1" t="str">
        <f>IF(First!F143="", "",First!F143)</f>
        <v/>
      </c>
      <c r="G140" s="1" t="str">
        <f>IF(First!G143="", "",First!G143)</f>
        <v/>
      </c>
      <c r="H140" s="1" t="str">
        <f>IF(First!H143="", "",First!H143)</f>
        <v/>
      </c>
      <c r="I140" s="1" t="str">
        <f>IF(First!I143="", "",First!I143)</f>
        <v/>
      </c>
      <c r="J140" s="1" t="str">
        <f>IF(First!J143="", "",First!J143)</f>
        <v/>
      </c>
      <c r="K140" s="83" t="str">
        <f>IF(First!K143="", "",First!K143)</f>
        <v/>
      </c>
      <c r="M140" s="67" t="str">
        <f t="shared" si="7"/>
        <v/>
      </c>
      <c r="N140" s="76" t="str">
        <f t="shared" si="8"/>
        <v/>
      </c>
      <c r="O140" s="33">
        <f t="shared" si="6"/>
        <v>0</v>
      </c>
    </row>
    <row r="141" spans="1:15" x14ac:dyDescent="0.25">
      <c r="A141" s="64" t="s">
        <v>203</v>
      </c>
      <c r="B141" s="82" t="str">
        <f>IF(First!B144="", "",First!B144)</f>
        <v/>
      </c>
      <c r="C141" s="1" t="str">
        <f>IF(First!C144="", "",First!C144)</f>
        <v/>
      </c>
      <c r="D141" s="1" t="str">
        <f>IF(First!D144="", "",First!D144)</f>
        <v/>
      </c>
      <c r="E141" s="1" t="str">
        <f>IF(First!E144="", "",First!E144)</f>
        <v/>
      </c>
      <c r="F141" s="1" t="str">
        <f>IF(First!F144="", "",First!F144)</f>
        <v/>
      </c>
      <c r="G141" s="1" t="str">
        <f>IF(First!G144="", "",First!G144)</f>
        <v/>
      </c>
      <c r="H141" s="1" t="str">
        <f>IF(First!H144="", "",First!H144)</f>
        <v/>
      </c>
      <c r="I141" s="1" t="str">
        <f>IF(First!I144="", "",First!I144)</f>
        <v/>
      </c>
      <c r="J141" s="1" t="str">
        <f>IF(First!J144="", "",First!J144)</f>
        <v/>
      </c>
      <c r="K141" s="83" t="str">
        <f>IF(First!K144="", "",First!K144)</f>
        <v/>
      </c>
      <c r="M141" s="67" t="str">
        <f t="shared" si="7"/>
        <v/>
      </c>
      <c r="N141" s="76" t="str">
        <f t="shared" si="8"/>
        <v/>
      </c>
      <c r="O141" s="33">
        <f t="shared" si="6"/>
        <v>0</v>
      </c>
    </row>
    <row r="142" spans="1:15" x14ac:dyDescent="0.25">
      <c r="A142" s="64" t="s">
        <v>203</v>
      </c>
      <c r="B142" s="82" t="str">
        <f>IF(First!B145="", "",First!B145)</f>
        <v/>
      </c>
      <c r="C142" s="1" t="str">
        <f>IF(First!C145="", "",First!C145)</f>
        <v/>
      </c>
      <c r="D142" s="1" t="str">
        <f>IF(First!D145="", "",First!D145)</f>
        <v/>
      </c>
      <c r="E142" s="1" t="str">
        <f>IF(First!E145="", "",First!E145)</f>
        <v/>
      </c>
      <c r="F142" s="1" t="str">
        <f>IF(First!F145="", "",First!F145)</f>
        <v/>
      </c>
      <c r="G142" s="1" t="str">
        <f>IF(First!G145="", "",First!G145)</f>
        <v/>
      </c>
      <c r="H142" s="1" t="str">
        <f>IF(First!H145="", "",First!H145)</f>
        <v/>
      </c>
      <c r="I142" s="1" t="str">
        <f>IF(First!I145="", "",First!I145)</f>
        <v/>
      </c>
      <c r="J142" s="1" t="str">
        <f>IF(First!J145="", "",First!J145)</f>
        <v/>
      </c>
      <c r="K142" s="83" t="str">
        <f>IF(First!K145="", "",First!K145)</f>
        <v/>
      </c>
      <c r="M142" s="67" t="str">
        <f t="shared" si="7"/>
        <v/>
      </c>
      <c r="N142" s="76" t="str">
        <f t="shared" si="8"/>
        <v/>
      </c>
      <c r="O142" s="33">
        <f t="shared" si="6"/>
        <v>0</v>
      </c>
    </row>
    <row r="143" spans="1:15" x14ac:dyDescent="0.25">
      <c r="A143" s="64" t="s">
        <v>203</v>
      </c>
      <c r="B143" s="82" t="str">
        <f>IF(First!B146="", "",First!B146)</f>
        <v/>
      </c>
      <c r="C143" s="1" t="str">
        <f>IF(First!C146="", "",First!C146)</f>
        <v/>
      </c>
      <c r="D143" s="1" t="str">
        <f>IF(First!D146="", "",First!D146)</f>
        <v/>
      </c>
      <c r="E143" s="1" t="str">
        <f>IF(First!E146="", "",First!E146)</f>
        <v/>
      </c>
      <c r="F143" s="1" t="str">
        <f>IF(First!F146="", "",First!F146)</f>
        <v/>
      </c>
      <c r="G143" s="1" t="str">
        <f>IF(First!G146="", "",First!G146)</f>
        <v/>
      </c>
      <c r="H143" s="1" t="str">
        <f>IF(First!H146="", "",First!H146)</f>
        <v/>
      </c>
      <c r="I143" s="1" t="str">
        <f>IF(First!I146="", "",First!I146)</f>
        <v/>
      </c>
      <c r="J143" s="1" t="str">
        <f>IF(First!J146="", "",First!J146)</f>
        <v/>
      </c>
      <c r="K143" s="83" t="str">
        <f>IF(First!K146="", "",First!K146)</f>
        <v/>
      </c>
      <c r="M143" s="67" t="str">
        <f t="shared" si="7"/>
        <v/>
      </c>
      <c r="N143" s="76" t="str">
        <f t="shared" si="8"/>
        <v/>
      </c>
      <c r="O143" s="33">
        <f t="shared" si="6"/>
        <v>0</v>
      </c>
    </row>
    <row r="144" spans="1:15" x14ac:dyDescent="0.25">
      <c r="A144" s="64" t="s">
        <v>203</v>
      </c>
      <c r="B144" s="82" t="str">
        <f>IF(First!B147="", "",First!B147)</f>
        <v/>
      </c>
      <c r="C144" s="1" t="str">
        <f>IF(First!C147="", "",First!C147)</f>
        <v/>
      </c>
      <c r="D144" s="1" t="str">
        <f>IF(First!D147="", "",First!D147)</f>
        <v/>
      </c>
      <c r="E144" s="1" t="str">
        <f>IF(First!E147="", "",First!E147)</f>
        <v/>
      </c>
      <c r="F144" s="1" t="str">
        <f>IF(First!F147="", "",First!F147)</f>
        <v/>
      </c>
      <c r="G144" s="1" t="str">
        <f>IF(First!G147="", "",First!G147)</f>
        <v/>
      </c>
      <c r="H144" s="1" t="str">
        <f>IF(First!H147="", "",First!H147)</f>
        <v/>
      </c>
      <c r="I144" s="1" t="str">
        <f>IF(First!I147="", "",First!I147)</f>
        <v/>
      </c>
      <c r="J144" s="1" t="str">
        <f>IF(First!J147="", "",First!J147)</f>
        <v/>
      </c>
      <c r="K144" s="83" t="str">
        <f>IF(First!K147="", "",First!K147)</f>
        <v/>
      </c>
      <c r="M144" s="67" t="str">
        <f t="shared" si="7"/>
        <v/>
      </c>
      <c r="N144" s="76" t="str">
        <f t="shared" si="8"/>
        <v/>
      </c>
      <c r="O144" s="33">
        <f t="shared" si="6"/>
        <v>0</v>
      </c>
    </row>
    <row r="145" spans="1:15" x14ac:dyDescent="0.25">
      <c r="A145" s="64" t="s">
        <v>203</v>
      </c>
      <c r="B145" s="82" t="str">
        <f>IF(First!B148="", "",First!B148)</f>
        <v/>
      </c>
      <c r="C145" s="1" t="str">
        <f>IF(First!C148="", "",First!C148)</f>
        <v/>
      </c>
      <c r="D145" s="1" t="str">
        <f>IF(First!D148="", "",First!D148)</f>
        <v/>
      </c>
      <c r="E145" s="1" t="str">
        <f>IF(First!E148="", "",First!E148)</f>
        <v/>
      </c>
      <c r="F145" s="1" t="str">
        <f>IF(First!F148="", "",First!F148)</f>
        <v/>
      </c>
      <c r="G145" s="1" t="str">
        <f>IF(First!G148="", "",First!G148)</f>
        <v/>
      </c>
      <c r="H145" s="1" t="str">
        <f>IF(First!H148="", "",First!H148)</f>
        <v/>
      </c>
      <c r="I145" s="1" t="str">
        <f>IF(First!I148="", "",First!I148)</f>
        <v/>
      </c>
      <c r="J145" s="1" t="str">
        <f>IF(First!J148="", "",First!J148)</f>
        <v/>
      </c>
      <c r="K145" s="83" t="str">
        <f>IF(First!K148="", "",First!K148)</f>
        <v/>
      </c>
      <c r="M145" s="67" t="str">
        <f t="shared" si="7"/>
        <v/>
      </c>
      <c r="N145" s="76" t="str">
        <f t="shared" si="8"/>
        <v/>
      </c>
      <c r="O145" s="33">
        <f t="shared" si="6"/>
        <v>0</v>
      </c>
    </row>
    <row r="146" spans="1:15" x14ac:dyDescent="0.25">
      <c r="A146" s="64" t="s">
        <v>203</v>
      </c>
      <c r="B146" s="82" t="str">
        <f>IF(First!B149="", "",First!B149)</f>
        <v/>
      </c>
      <c r="C146" s="1" t="str">
        <f>IF(First!C149="", "",First!C149)</f>
        <v/>
      </c>
      <c r="D146" s="1" t="str">
        <f>IF(First!D149="", "",First!D149)</f>
        <v/>
      </c>
      <c r="E146" s="1" t="str">
        <f>IF(First!E149="", "",First!E149)</f>
        <v/>
      </c>
      <c r="F146" s="1" t="str">
        <f>IF(First!F149="", "",First!F149)</f>
        <v/>
      </c>
      <c r="G146" s="1" t="str">
        <f>IF(First!G149="", "",First!G149)</f>
        <v/>
      </c>
      <c r="H146" s="1" t="str">
        <f>IF(First!H149="", "",First!H149)</f>
        <v/>
      </c>
      <c r="I146" s="1" t="str">
        <f>IF(First!I149="", "",First!I149)</f>
        <v/>
      </c>
      <c r="J146" s="1" t="str">
        <f>IF(First!J149="", "",First!J149)</f>
        <v/>
      </c>
      <c r="K146" s="83" t="str">
        <f>IF(First!K149="", "",First!K149)</f>
        <v/>
      </c>
      <c r="M146" s="67" t="str">
        <f t="shared" si="7"/>
        <v/>
      </c>
      <c r="N146" s="76" t="str">
        <f t="shared" si="8"/>
        <v/>
      </c>
      <c r="O146" s="33">
        <f t="shared" si="6"/>
        <v>0</v>
      </c>
    </row>
    <row r="147" spans="1:15" x14ac:dyDescent="0.25">
      <c r="A147" s="64" t="s">
        <v>203</v>
      </c>
      <c r="B147" s="82" t="str">
        <f>IF(First!B150="", "",First!B150)</f>
        <v/>
      </c>
      <c r="C147" s="1" t="str">
        <f>IF(First!C150="", "",First!C150)</f>
        <v/>
      </c>
      <c r="D147" s="1" t="str">
        <f>IF(First!D150="", "",First!D150)</f>
        <v/>
      </c>
      <c r="E147" s="1" t="str">
        <f>IF(First!E150="", "",First!E150)</f>
        <v/>
      </c>
      <c r="F147" s="1" t="str">
        <f>IF(First!F150="", "",First!F150)</f>
        <v/>
      </c>
      <c r="G147" s="1" t="str">
        <f>IF(First!G150="", "",First!G150)</f>
        <v/>
      </c>
      <c r="H147" s="1" t="str">
        <f>IF(First!H150="", "",First!H150)</f>
        <v/>
      </c>
      <c r="I147" s="1" t="str">
        <f>IF(First!I150="", "",First!I150)</f>
        <v/>
      </c>
      <c r="J147" s="1" t="str">
        <f>IF(First!J150="", "",First!J150)</f>
        <v/>
      </c>
      <c r="K147" s="83" t="str">
        <f>IF(First!K150="", "",First!K150)</f>
        <v/>
      </c>
      <c r="M147" s="67" t="str">
        <f t="shared" si="7"/>
        <v/>
      </c>
      <c r="N147" s="76" t="str">
        <f t="shared" si="8"/>
        <v/>
      </c>
      <c r="O147" s="33">
        <f t="shared" si="6"/>
        <v>0</v>
      </c>
    </row>
    <row r="148" spans="1:15" x14ac:dyDescent="0.25">
      <c r="A148" s="64" t="s">
        <v>203</v>
      </c>
      <c r="B148" s="82" t="str">
        <f>IF(First!B151="", "",First!B151)</f>
        <v/>
      </c>
      <c r="C148" s="1" t="str">
        <f>IF(First!C151="", "",First!C151)</f>
        <v/>
      </c>
      <c r="D148" s="1" t="str">
        <f>IF(First!D151="", "",First!D151)</f>
        <v/>
      </c>
      <c r="E148" s="1" t="str">
        <f>IF(First!E151="", "",First!E151)</f>
        <v/>
      </c>
      <c r="F148" s="1" t="str">
        <f>IF(First!F151="", "",First!F151)</f>
        <v/>
      </c>
      <c r="G148" s="1" t="str">
        <f>IF(First!G151="", "",First!G151)</f>
        <v/>
      </c>
      <c r="H148" s="1" t="str">
        <f>IF(First!H151="", "",First!H151)</f>
        <v/>
      </c>
      <c r="I148" s="1" t="str">
        <f>IF(First!I151="", "",First!I151)</f>
        <v/>
      </c>
      <c r="J148" s="1" t="str">
        <f>IF(First!J151="", "",First!J151)</f>
        <v/>
      </c>
      <c r="K148" s="83" t="str">
        <f>IF(First!K151="", "",First!K151)</f>
        <v/>
      </c>
      <c r="M148" s="67" t="str">
        <f t="shared" si="7"/>
        <v/>
      </c>
      <c r="N148" s="76" t="str">
        <f t="shared" si="8"/>
        <v/>
      </c>
      <c r="O148" s="33">
        <f t="shared" si="6"/>
        <v>0</v>
      </c>
    </row>
    <row r="149" spans="1:15" x14ac:dyDescent="0.25">
      <c r="A149" s="64" t="s">
        <v>203</v>
      </c>
      <c r="B149" s="82" t="str">
        <f>IF(First!B152="", "",First!B152)</f>
        <v/>
      </c>
      <c r="C149" s="1" t="str">
        <f>IF(First!C152="", "",First!C152)</f>
        <v/>
      </c>
      <c r="D149" s="1" t="str">
        <f>IF(First!D152="", "",First!D152)</f>
        <v/>
      </c>
      <c r="E149" s="1" t="str">
        <f>IF(First!E152="", "",First!E152)</f>
        <v/>
      </c>
      <c r="F149" s="1" t="str">
        <f>IF(First!F152="", "",First!F152)</f>
        <v/>
      </c>
      <c r="G149" s="1" t="str">
        <f>IF(First!G152="", "",First!G152)</f>
        <v/>
      </c>
      <c r="H149" s="1" t="str">
        <f>IF(First!H152="", "",First!H152)</f>
        <v/>
      </c>
      <c r="I149" s="1" t="str">
        <f>IF(First!I152="", "",First!I152)</f>
        <v/>
      </c>
      <c r="J149" s="1" t="str">
        <f>IF(First!J152="", "",First!J152)</f>
        <v/>
      </c>
      <c r="K149" s="83" t="str">
        <f>IF(First!K152="", "",First!K152)</f>
        <v/>
      </c>
      <c r="M149" s="67" t="str">
        <f t="shared" si="7"/>
        <v/>
      </c>
      <c r="N149" s="76" t="str">
        <f t="shared" si="8"/>
        <v/>
      </c>
      <c r="O149" s="33">
        <f t="shared" si="6"/>
        <v>0</v>
      </c>
    </row>
    <row r="150" spans="1:15" x14ac:dyDescent="0.25">
      <c r="A150" s="64" t="s">
        <v>203</v>
      </c>
      <c r="B150" s="82" t="str">
        <f>IF(First!B153="", "",First!B153)</f>
        <v/>
      </c>
      <c r="C150" s="1" t="str">
        <f>IF(First!C153="", "",First!C153)</f>
        <v/>
      </c>
      <c r="D150" s="1" t="str">
        <f>IF(First!D153="", "",First!D153)</f>
        <v/>
      </c>
      <c r="E150" s="1" t="str">
        <f>IF(First!E153="", "",First!E153)</f>
        <v/>
      </c>
      <c r="F150" s="1" t="str">
        <f>IF(First!F153="", "",First!F153)</f>
        <v/>
      </c>
      <c r="G150" s="1" t="str">
        <f>IF(First!G153="", "",First!G153)</f>
        <v/>
      </c>
      <c r="H150" s="1" t="str">
        <f>IF(First!H153="", "",First!H153)</f>
        <v/>
      </c>
      <c r="I150" s="1" t="str">
        <f>IF(First!I153="", "",First!I153)</f>
        <v/>
      </c>
      <c r="J150" s="1" t="str">
        <f>IF(First!J153="", "",First!J153)</f>
        <v/>
      </c>
      <c r="K150" s="83" t="str">
        <f>IF(First!K153="", "",First!K153)</f>
        <v/>
      </c>
      <c r="M150" s="67" t="str">
        <f t="shared" si="7"/>
        <v/>
      </c>
      <c r="N150" s="76" t="str">
        <f t="shared" si="8"/>
        <v/>
      </c>
      <c r="O150" s="33">
        <f t="shared" si="6"/>
        <v>0</v>
      </c>
    </row>
    <row r="151" spans="1:15" x14ac:dyDescent="0.25">
      <c r="A151" s="64" t="s">
        <v>203</v>
      </c>
      <c r="B151" s="82" t="str">
        <f>IF(First!B154="", "",First!B154)</f>
        <v/>
      </c>
      <c r="C151" s="1" t="str">
        <f>IF(First!C154="", "",First!C154)</f>
        <v/>
      </c>
      <c r="D151" s="1" t="str">
        <f>IF(First!D154="", "",First!D154)</f>
        <v/>
      </c>
      <c r="E151" s="1" t="str">
        <f>IF(First!E154="", "",First!E154)</f>
        <v/>
      </c>
      <c r="F151" s="1" t="str">
        <f>IF(First!F154="", "",First!F154)</f>
        <v/>
      </c>
      <c r="G151" s="1" t="str">
        <f>IF(First!G154="", "",First!G154)</f>
        <v/>
      </c>
      <c r="H151" s="1" t="str">
        <f>IF(First!H154="", "",First!H154)</f>
        <v/>
      </c>
      <c r="I151" s="1" t="str">
        <f>IF(First!I154="", "",First!I154)</f>
        <v/>
      </c>
      <c r="J151" s="1" t="str">
        <f>IF(First!J154="", "",First!J154)</f>
        <v/>
      </c>
      <c r="K151" s="83" t="str">
        <f>IF(First!K154="", "",First!K154)</f>
        <v/>
      </c>
      <c r="M151" s="67" t="str">
        <f t="shared" si="7"/>
        <v/>
      </c>
      <c r="N151" s="76" t="str">
        <f t="shared" si="8"/>
        <v/>
      </c>
      <c r="O151" s="33">
        <f t="shared" si="6"/>
        <v>0</v>
      </c>
    </row>
    <row r="152" spans="1:15" x14ac:dyDescent="0.25">
      <c r="A152" s="64" t="s">
        <v>203</v>
      </c>
      <c r="B152" s="82" t="str">
        <f>IF(First!B155="", "",First!B155)</f>
        <v/>
      </c>
      <c r="C152" s="1" t="str">
        <f>IF(First!C155="", "",First!C155)</f>
        <v/>
      </c>
      <c r="D152" s="1" t="str">
        <f>IF(First!D155="", "",First!D155)</f>
        <v/>
      </c>
      <c r="E152" s="1" t="str">
        <f>IF(First!E155="", "",First!E155)</f>
        <v/>
      </c>
      <c r="F152" s="1" t="str">
        <f>IF(First!F155="", "",First!F155)</f>
        <v/>
      </c>
      <c r="G152" s="1" t="str">
        <f>IF(First!G155="", "",First!G155)</f>
        <v/>
      </c>
      <c r="H152" s="1" t="str">
        <f>IF(First!H155="", "",First!H155)</f>
        <v/>
      </c>
      <c r="I152" s="1" t="str">
        <f>IF(First!I155="", "",First!I155)</f>
        <v/>
      </c>
      <c r="J152" s="1" t="str">
        <f>IF(First!J155="", "",First!J155)</f>
        <v/>
      </c>
      <c r="K152" s="83" t="str">
        <f>IF(First!K155="", "",First!K155)</f>
        <v/>
      </c>
      <c r="M152" s="67" t="str">
        <f t="shared" si="7"/>
        <v/>
      </c>
      <c r="N152" s="76" t="str">
        <f t="shared" si="8"/>
        <v/>
      </c>
      <c r="O152" s="33">
        <f t="shared" si="6"/>
        <v>0</v>
      </c>
    </row>
    <row r="153" spans="1:15" x14ac:dyDescent="0.25">
      <c r="A153" s="64" t="s">
        <v>203</v>
      </c>
      <c r="B153" s="82" t="str">
        <f>IF(First!B156="", "",First!B156)</f>
        <v/>
      </c>
      <c r="C153" s="1" t="str">
        <f>IF(First!C156="", "",First!C156)</f>
        <v/>
      </c>
      <c r="D153" s="1" t="str">
        <f>IF(First!D156="", "",First!D156)</f>
        <v/>
      </c>
      <c r="E153" s="1" t="str">
        <f>IF(First!E156="", "",First!E156)</f>
        <v/>
      </c>
      <c r="F153" s="1" t="str">
        <f>IF(First!F156="", "",First!F156)</f>
        <v/>
      </c>
      <c r="G153" s="1" t="str">
        <f>IF(First!G156="", "",First!G156)</f>
        <v/>
      </c>
      <c r="H153" s="1" t="str">
        <f>IF(First!H156="", "",First!H156)</f>
        <v/>
      </c>
      <c r="I153" s="1" t="str">
        <f>IF(First!I156="", "",First!I156)</f>
        <v/>
      </c>
      <c r="J153" s="1" t="str">
        <f>IF(First!J156="", "",First!J156)</f>
        <v/>
      </c>
      <c r="K153" s="83" t="str">
        <f>IF(First!K156="", "",First!K156)</f>
        <v/>
      </c>
      <c r="M153" s="67" t="str">
        <f t="shared" si="7"/>
        <v/>
      </c>
      <c r="N153" s="76" t="str">
        <f t="shared" si="8"/>
        <v/>
      </c>
      <c r="O153" s="33">
        <f t="shared" si="6"/>
        <v>0</v>
      </c>
    </row>
    <row r="154" spans="1:15" x14ac:dyDescent="0.25">
      <c r="A154" s="64" t="s">
        <v>203</v>
      </c>
      <c r="B154" s="82" t="str">
        <f>IF(First!B157="", "",First!B157)</f>
        <v/>
      </c>
      <c r="C154" s="1" t="str">
        <f>IF(First!C157="", "",First!C157)</f>
        <v/>
      </c>
      <c r="D154" s="1" t="str">
        <f>IF(First!D157="", "",First!D157)</f>
        <v/>
      </c>
      <c r="E154" s="1" t="str">
        <f>IF(First!E157="", "",First!E157)</f>
        <v/>
      </c>
      <c r="F154" s="1" t="str">
        <f>IF(First!F157="", "",First!F157)</f>
        <v/>
      </c>
      <c r="G154" s="1" t="str">
        <f>IF(First!G157="", "",First!G157)</f>
        <v/>
      </c>
      <c r="H154" s="1" t="str">
        <f>IF(First!H157="", "",First!H157)</f>
        <v/>
      </c>
      <c r="I154" s="1" t="str">
        <f>IF(First!I157="", "",First!I157)</f>
        <v/>
      </c>
      <c r="J154" s="1" t="str">
        <f>IF(First!J157="", "",First!J157)</f>
        <v/>
      </c>
      <c r="K154" s="83" t="str">
        <f>IF(First!K157="", "",First!K157)</f>
        <v/>
      </c>
      <c r="M154" s="67" t="str">
        <f t="shared" si="7"/>
        <v/>
      </c>
      <c r="N154" s="76" t="str">
        <f t="shared" si="8"/>
        <v/>
      </c>
      <c r="O154" s="33">
        <f t="shared" si="6"/>
        <v>0</v>
      </c>
    </row>
    <row r="155" spans="1:15" x14ac:dyDescent="0.25">
      <c r="A155" s="64" t="s">
        <v>203</v>
      </c>
      <c r="B155" s="82" t="str">
        <f>IF(First!B158="", "",First!B158)</f>
        <v/>
      </c>
      <c r="C155" s="1" t="str">
        <f>IF(First!C158="", "",First!C158)</f>
        <v/>
      </c>
      <c r="D155" s="1" t="str">
        <f>IF(First!D158="", "",First!D158)</f>
        <v/>
      </c>
      <c r="E155" s="1" t="str">
        <f>IF(First!E158="", "",First!E158)</f>
        <v/>
      </c>
      <c r="F155" s="1" t="str">
        <f>IF(First!F158="", "",First!F158)</f>
        <v/>
      </c>
      <c r="G155" s="1" t="str">
        <f>IF(First!G158="", "",First!G158)</f>
        <v/>
      </c>
      <c r="H155" s="1" t="str">
        <f>IF(First!H158="", "",First!H158)</f>
        <v/>
      </c>
      <c r="I155" s="1" t="str">
        <f>IF(First!I158="", "",First!I158)</f>
        <v/>
      </c>
      <c r="J155" s="1" t="str">
        <f>IF(First!J158="", "",First!J158)</f>
        <v/>
      </c>
      <c r="K155" s="83" t="str">
        <f>IF(First!K158="", "",First!K158)</f>
        <v/>
      </c>
      <c r="M155" s="67" t="str">
        <f t="shared" si="7"/>
        <v/>
      </c>
      <c r="N155" s="76" t="str">
        <f t="shared" si="8"/>
        <v/>
      </c>
      <c r="O155" s="33">
        <f t="shared" si="6"/>
        <v>0</v>
      </c>
    </row>
    <row r="156" spans="1:15" x14ac:dyDescent="0.25">
      <c r="A156" s="64" t="s">
        <v>203</v>
      </c>
      <c r="B156" s="82" t="str">
        <f>IF(First!B159="", "",First!B159)</f>
        <v/>
      </c>
      <c r="C156" s="1" t="str">
        <f>IF(First!C159="", "",First!C159)</f>
        <v/>
      </c>
      <c r="D156" s="1" t="str">
        <f>IF(First!D159="", "",First!D159)</f>
        <v/>
      </c>
      <c r="E156" s="1" t="str">
        <f>IF(First!E159="", "",First!E159)</f>
        <v/>
      </c>
      <c r="F156" s="1" t="str">
        <f>IF(First!F159="", "",First!F159)</f>
        <v/>
      </c>
      <c r="G156" s="1" t="str">
        <f>IF(First!G159="", "",First!G159)</f>
        <v/>
      </c>
      <c r="H156" s="1" t="str">
        <f>IF(First!H159="", "",First!H159)</f>
        <v/>
      </c>
      <c r="I156" s="1" t="str">
        <f>IF(First!I159="", "",First!I159)</f>
        <v/>
      </c>
      <c r="J156" s="1" t="str">
        <f>IF(First!J159="", "",First!J159)</f>
        <v/>
      </c>
      <c r="K156" s="83" t="str">
        <f>IF(First!K159="", "",First!K159)</f>
        <v/>
      </c>
      <c r="M156" s="67" t="str">
        <f t="shared" si="7"/>
        <v/>
      </c>
      <c r="N156" s="76" t="str">
        <f t="shared" si="8"/>
        <v/>
      </c>
      <c r="O156" s="33">
        <f t="shared" si="6"/>
        <v>0</v>
      </c>
    </row>
    <row r="157" spans="1:15" x14ac:dyDescent="0.25">
      <c r="A157" s="64" t="s">
        <v>203</v>
      </c>
      <c r="B157" s="82" t="str">
        <f>IF(First!B160="", "",First!B160)</f>
        <v/>
      </c>
      <c r="C157" s="1" t="str">
        <f>IF(First!C160="", "",First!C160)</f>
        <v/>
      </c>
      <c r="D157" s="1" t="str">
        <f>IF(First!D160="", "",First!D160)</f>
        <v/>
      </c>
      <c r="E157" s="1" t="str">
        <f>IF(First!E160="", "",First!E160)</f>
        <v/>
      </c>
      <c r="F157" s="1" t="str">
        <f>IF(First!F160="", "",First!F160)</f>
        <v/>
      </c>
      <c r="G157" s="1" t="str">
        <f>IF(First!G160="", "",First!G160)</f>
        <v/>
      </c>
      <c r="H157" s="1" t="str">
        <f>IF(First!H160="", "",First!H160)</f>
        <v/>
      </c>
      <c r="I157" s="1" t="str">
        <f>IF(First!I160="", "",First!I160)</f>
        <v/>
      </c>
      <c r="J157" s="1" t="str">
        <f>IF(First!J160="", "",First!J160)</f>
        <v/>
      </c>
      <c r="K157" s="83" t="str">
        <f>IF(First!K160="", "",First!K160)</f>
        <v/>
      </c>
      <c r="M157" s="67" t="str">
        <f t="shared" si="7"/>
        <v/>
      </c>
      <c r="N157" s="76" t="str">
        <f t="shared" si="8"/>
        <v/>
      </c>
      <c r="O157" s="33">
        <f t="shared" si="6"/>
        <v>0</v>
      </c>
    </row>
    <row r="158" spans="1:15" x14ac:dyDescent="0.25">
      <c r="A158" s="64" t="s">
        <v>203</v>
      </c>
      <c r="B158" s="82" t="str">
        <f>IF(First!B161="", "",First!B161)</f>
        <v/>
      </c>
      <c r="C158" s="1" t="str">
        <f>IF(First!C161="", "",First!C161)</f>
        <v/>
      </c>
      <c r="D158" s="1" t="str">
        <f>IF(First!D161="", "",First!D161)</f>
        <v/>
      </c>
      <c r="E158" s="1" t="str">
        <f>IF(First!E161="", "",First!E161)</f>
        <v/>
      </c>
      <c r="F158" s="1" t="str">
        <f>IF(First!F161="", "",First!F161)</f>
        <v/>
      </c>
      <c r="G158" s="1" t="str">
        <f>IF(First!G161="", "",First!G161)</f>
        <v/>
      </c>
      <c r="H158" s="1" t="str">
        <f>IF(First!H161="", "",First!H161)</f>
        <v/>
      </c>
      <c r="I158" s="1" t="str">
        <f>IF(First!I161="", "",First!I161)</f>
        <v/>
      </c>
      <c r="J158" s="1" t="str">
        <f>IF(First!J161="", "",First!J161)</f>
        <v/>
      </c>
      <c r="K158" s="83" t="str">
        <f>IF(First!K161="", "",First!K161)</f>
        <v/>
      </c>
      <c r="M158" s="67" t="str">
        <f t="shared" si="7"/>
        <v/>
      </c>
      <c r="N158" s="76" t="str">
        <f t="shared" si="8"/>
        <v/>
      </c>
      <c r="O158" s="33">
        <f t="shared" si="6"/>
        <v>0</v>
      </c>
    </row>
    <row r="159" spans="1:15" x14ac:dyDescent="0.25">
      <c r="A159" s="64" t="s">
        <v>203</v>
      </c>
      <c r="B159" s="82" t="str">
        <f>IF(First!B162="", "",First!B162)</f>
        <v/>
      </c>
      <c r="C159" s="1" t="str">
        <f>IF(First!C162="", "",First!C162)</f>
        <v/>
      </c>
      <c r="D159" s="1" t="str">
        <f>IF(First!D162="", "",First!D162)</f>
        <v/>
      </c>
      <c r="E159" s="1" t="str">
        <f>IF(First!E162="", "",First!E162)</f>
        <v/>
      </c>
      <c r="F159" s="1" t="str">
        <f>IF(First!F162="", "",First!F162)</f>
        <v/>
      </c>
      <c r="G159" s="1" t="str">
        <f>IF(First!G162="", "",First!G162)</f>
        <v/>
      </c>
      <c r="H159" s="1" t="str">
        <f>IF(First!H162="", "",First!H162)</f>
        <v/>
      </c>
      <c r="I159" s="1" t="str">
        <f>IF(First!I162="", "",First!I162)</f>
        <v/>
      </c>
      <c r="J159" s="1" t="str">
        <f>IF(First!J162="", "",First!J162)</f>
        <v/>
      </c>
      <c r="K159" s="83" t="str">
        <f>IF(First!K162="", "",First!K162)</f>
        <v/>
      </c>
      <c r="M159" s="67" t="str">
        <f t="shared" si="7"/>
        <v/>
      </c>
      <c r="N159" s="76" t="str">
        <f t="shared" si="8"/>
        <v/>
      </c>
      <c r="O159" s="33">
        <f t="shared" si="6"/>
        <v>0</v>
      </c>
    </row>
    <row r="160" spans="1:15" x14ac:dyDescent="0.25">
      <c r="A160" s="64" t="s">
        <v>203</v>
      </c>
      <c r="B160" s="82" t="str">
        <f>IF(First!B163="", "",First!B163)</f>
        <v/>
      </c>
      <c r="C160" s="1" t="str">
        <f>IF(First!C163="", "",First!C163)</f>
        <v/>
      </c>
      <c r="D160" s="1" t="str">
        <f>IF(First!D163="", "",First!D163)</f>
        <v/>
      </c>
      <c r="E160" s="1" t="str">
        <f>IF(First!E163="", "",First!E163)</f>
        <v/>
      </c>
      <c r="F160" s="1" t="str">
        <f>IF(First!F163="", "",First!F163)</f>
        <v/>
      </c>
      <c r="G160" s="1" t="str">
        <f>IF(First!G163="", "",First!G163)</f>
        <v/>
      </c>
      <c r="H160" s="1" t="str">
        <f>IF(First!H163="", "",First!H163)</f>
        <v/>
      </c>
      <c r="I160" s="1" t="str">
        <f>IF(First!I163="", "",First!I163)</f>
        <v/>
      </c>
      <c r="J160" s="1" t="str">
        <f>IF(First!J163="", "",First!J163)</f>
        <v/>
      </c>
      <c r="K160" s="83" t="str">
        <f>IF(First!K163="", "",First!K163)</f>
        <v/>
      </c>
      <c r="M160" s="67" t="str">
        <f t="shared" si="7"/>
        <v/>
      </c>
      <c r="N160" s="76" t="str">
        <f t="shared" si="8"/>
        <v/>
      </c>
      <c r="O160" s="33">
        <f t="shared" si="6"/>
        <v>0</v>
      </c>
    </row>
    <row r="161" spans="1:15" x14ac:dyDescent="0.25">
      <c r="A161" s="64" t="s">
        <v>203</v>
      </c>
      <c r="B161" s="82" t="str">
        <f>IF(First!B164="", "",First!B164)</f>
        <v/>
      </c>
      <c r="C161" s="1" t="str">
        <f>IF(First!C164="", "",First!C164)</f>
        <v/>
      </c>
      <c r="D161" s="1" t="str">
        <f>IF(First!D164="", "",First!D164)</f>
        <v/>
      </c>
      <c r="E161" s="1" t="str">
        <f>IF(First!E164="", "",First!E164)</f>
        <v/>
      </c>
      <c r="F161" s="1" t="str">
        <f>IF(First!F164="", "",First!F164)</f>
        <v/>
      </c>
      <c r="G161" s="1" t="str">
        <f>IF(First!G164="", "",First!G164)</f>
        <v/>
      </c>
      <c r="H161" s="1" t="str">
        <f>IF(First!H164="", "",First!H164)</f>
        <v/>
      </c>
      <c r="I161" s="1" t="str">
        <f>IF(First!I164="", "",First!I164)</f>
        <v/>
      </c>
      <c r="J161" s="1" t="str">
        <f>IF(First!J164="", "",First!J164)</f>
        <v/>
      </c>
      <c r="K161" s="83" t="str">
        <f>IF(First!K164="", "",First!K164)</f>
        <v/>
      </c>
      <c r="M161" s="67" t="str">
        <f t="shared" si="7"/>
        <v/>
      </c>
      <c r="N161" s="76" t="str">
        <f t="shared" si="8"/>
        <v/>
      </c>
      <c r="O161" s="33">
        <f t="shared" si="6"/>
        <v>0</v>
      </c>
    </row>
    <row r="162" spans="1:15" x14ac:dyDescent="0.25">
      <c r="A162" s="64" t="s">
        <v>203</v>
      </c>
      <c r="B162" s="82" t="str">
        <f>IF(First!B165="", "",First!B165)</f>
        <v/>
      </c>
      <c r="C162" s="1" t="str">
        <f>IF(First!C165="", "",First!C165)</f>
        <v/>
      </c>
      <c r="D162" s="1" t="str">
        <f>IF(First!D165="", "",First!D165)</f>
        <v/>
      </c>
      <c r="E162" s="1" t="str">
        <f>IF(First!E165="", "",First!E165)</f>
        <v/>
      </c>
      <c r="F162" s="1" t="str">
        <f>IF(First!F165="", "",First!F165)</f>
        <v/>
      </c>
      <c r="G162" s="1" t="str">
        <f>IF(First!G165="", "",First!G165)</f>
        <v/>
      </c>
      <c r="H162" s="1" t="str">
        <f>IF(First!H165="", "",First!H165)</f>
        <v/>
      </c>
      <c r="I162" s="1" t="str">
        <f>IF(First!I165="", "",First!I165)</f>
        <v/>
      </c>
      <c r="J162" s="1" t="str">
        <f>IF(First!J165="", "",First!J165)</f>
        <v/>
      </c>
      <c r="K162" s="83" t="str">
        <f>IF(First!K165="", "",First!K165)</f>
        <v/>
      </c>
      <c r="M162" s="67" t="str">
        <f t="shared" si="7"/>
        <v/>
      </c>
      <c r="N162" s="76" t="str">
        <f t="shared" si="8"/>
        <v/>
      </c>
      <c r="O162" s="33">
        <f t="shared" si="6"/>
        <v>0</v>
      </c>
    </row>
    <row r="163" spans="1:15" x14ac:dyDescent="0.25">
      <c r="A163" s="64" t="s">
        <v>203</v>
      </c>
      <c r="B163" s="82" t="str">
        <f>IF(First!B166="", "",First!B166)</f>
        <v/>
      </c>
      <c r="C163" s="1" t="str">
        <f>IF(First!C166="", "",First!C166)</f>
        <v/>
      </c>
      <c r="D163" s="1" t="str">
        <f>IF(First!D166="", "",First!D166)</f>
        <v/>
      </c>
      <c r="E163" s="1" t="str">
        <f>IF(First!E166="", "",First!E166)</f>
        <v/>
      </c>
      <c r="F163" s="1" t="str">
        <f>IF(First!F166="", "",First!F166)</f>
        <v/>
      </c>
      <c r="G163" s="1" t="str">
        <f>IF(First!G166="", "",First!G166)</f>
        <v/>
      </c>
      <c r="H163" s="1" t="str">
        <f>IF(First!H166="", "",First!H166)</f>
        <v/>
      </c>
      <c r="I163" s="1" t="str">
        <f>IF(First!I166="", "",First!I166)</f>
        <v/>
      </c>
      <c r="J163" s="1" t="str">
        <f>IF(First!J166="", "",First!J166)</f>
        <v/>
      </c>
      <c r="K163" s="83" t="str">
        <f>IF(First!K166="", "",First!K166)</f>
        <v/>
      </c>
      <c r="M163" s="67" t="str">
        <f t="shared" si="7"/>
        <v/>
      </c>
      <c r="N163" s="76" t="str">
        <f t="shared" si="8"/>
        <v/>
      </c>
      <c r="O163" s="33">
        <f t="shared" si="6"/>
        <v>0</v>
      </c>
    </row>
    <row r="164" spans="1:15" x14ac:dyDescent="0.25">
      <c r="A164" s="64" t="s">
        <v>203</v>
      </c>
      <c r="B164" s="82" t="str">
        <f>IF(First!B167="", "",First!B167)</f>
        <v/>
      </c>
      <c r="C164" s="1" t="str">
        <f>IF(First!C167="", "",First!C167)</f>
        <v/>
      </c>
      <c r="D164" s="1" t="str">
        <f>IF(First!D167="", "",First!D167)</f>
        <v/>
      </c>
      <c r="E164" s="1" t="str">
        <f>IF(First!E167="", "",First!E167)</f>
        <v/>
      </c>
      <c r="F164" s="1" t="str">
        <f>IF(First!F167="", "",First!F167)</f>
        <v/>
      </c>
      <c r="G164" s="1" t="str">
        <f>IF(First!G167="", "",First!G167)</f>
        <v/>
      </c>
      <c r="H164" s="1" t="str">
        <f>IF(First!H167="", "",First!H167)</f>
        <v/>
      </c>
      <c r="I164" s="1" t="str">
        <f>IF(First!I167="", "",First!I167)</f>
        <v/>
      </c>
      <c r="J164" s="1" t="str">
        <f>IF(First!J167="", "",First!J167)</f>
        <v/>
      </c>
      <c r="K164" s="83" t="str">
        <f>IF(First!K167="", "",First!K167)</f>
        <v/>
      </c>
      <c r="M164" s="67" t="str">
        <f t="shared" si="7"/>
        <v/>
      </c>
      <c r="N164" s="76" t="str">
        <f t="shared" si="8"/>
        <v/>
      </c>
      <c r="O164" s="33">
        <f t="shared" si="6"/>
        <v>0</v>
      </c>
    </row>
    <row r="165" spans="1:15" x14ac:dyDescent="0.25">
      <c r="A165" s="64" t="s">
        <v>203</v>
      </c>
      <c r="B165" s="82" t="str">
        <f>IF(First!B168="", "",First!B168)</f>
        <v/>
      </c>
      <c r="C165" s="1" t="str">
        <f>IF(First!C168="", "",First!C168)</f>
        <v/>
      </c>
      <c r="D165" s="1" t="str">
        <f>IF(First!D168="", "",First!D168)</f>
        <v/>
      </c>
      <c r="E165" s="1" t="str">
        <f>IF(First!E168="", "",First!E168)</f>
        <v/>
      </c>
      <c r="F165" s="1" t="str">
        <f>IF(First!F168="", "",First!F168)</f>
        <v/>
      </c>
      <c r="G165" s="1" t="str">
        <f>IF(First!G168="", "",First!G168)</f>
        <v/>
      </c>
      <c r="H165" s="1" t="str">
        <f>IF(First!H168="", "",First!H168)</f>
        <v/>
      </c>
      <c r="I165" s="1" t="str">
        <f>IF(First!I168="", "",First!I168)</f>
        <v/>
      </c>
      <c r="J165" s="1" t="str">
        <f>IF(First!J168="", "",First!J168)</f>
        <v/>
      </c>
      <c r="K165" s="83" t="str">
        <f>IF(First!K168="", "",First!K168)</f>
        <v/>
      </c>
      <c r="M165" s="67" t="str">
        <f t="shared" si="7"/>
        <v/>
      </c>
      <c r="N165" s="76" t="str">
        <f t="shared" si="8"/>
        <v/>
      </c>
      <c r="O165" s="33">
        <f t="shared" si="6"/>
        <v>0</v>
      </c>
    </row>
    <row r="166" spans="1:15" x14ac:dyDescent="0.25">
      <c r="A166" s="64" t="s">
        <v>203</v>
      </c>
      <c r="B166" s="82" t="str">
        <f>IF(First!B169="", "",First!B169)</f>
        <v/>
      </c>
      <c r="C166" s="1" t="str">
        <f>IF(First!C169="", "",First!C169)</f>
        <v/>
      </c>
      <c r="D166" s="1" t="str">
        <f>IF(First!D169="", "",First!D169)</f>
        <v/>
      </c>
      <c r="E166" s="1" t="str">
        <f>IF(First!E169="", "",First!E169)</f>
        <v/>
      </c>
      <c r="F166" s="1" t="str">
        <f>IF(First!F169="", "",First!F169)</f>
        <v/>
      </c>
      <c r="G166" s="1" t="str">
        <f>IF(First!G169="", "",First!G169)</f>
        <v/>
      </c>
      <c r="H166" s="1" t="str">
        <f>IF(First!H169="", "",First!H169)</f>
        <v/>
      </c>
      <c r="I166" s="1" t="str">
        <f>IF(First!I169="", "",First!I169)</f>
        <v/>
      </c>
      <c r="J166" s="1" t="str">
        <f>IF(First!J169="", "",First!J169)</f>
        <v/>
      </c>
      <c r="K166" s="83" t="str">
        <f>IF(First!K169="", "",First!K169)</f>
        <v/>
      </c>
      <c r="M166" s="67" t="str">
        <f t="shared" si="7"/>
        <v/>
      </c>
      <c r="N166" s="76" t="str">
        <f t="shared" si="8"/>
        <v/>
      </c>
      <c r="O166" s="33">
        <f t="shared" si="6"/>
        <v>0</v>
      </c>
    </row>
    <row r="167" spans="1:15" x14ac:dyDescent="0.25">
      <c r="A167" s="64" t="s">
        <v>203</v>
      </c>
      <c r="B167" s="82" t="str">
        <f>IF(First!B170="", "",First!B170)</f>
        <v/>
      </c>
      <c r="C167" s="1" t="str">
        <f>IF(First!C170="", "",First!C170)</f>
        <v/>
      </c>
      <c r="D167" s="1" t="str">
        <f>IF(First!D170="", "",First!D170)</f>
        <v/>
      </c>
      <c r="E167" s="1" t="str">
        <f>IF(First!E170="", "",First!E170)</f>
        <v/>
      </c>
      <c r="F167" s="1" t="str">
        <f>IF(First!F170="", "",First!F170)</f>
        <v/>
      </c>
      <c r="G167" s="1" t="str">
        <f>IF(First!G170="", "",First!G170)</f>
        <v/>
      </c>
      <c r="H167" s="1" t="str">
        <f>IF(First!H170="", "",First!H170)</f>
        <v/>
      </c>
      <c r="I167" s="1" t="str">
        <f>IF(First!I170="", "",First!I170)</f>
        <v/>
      </c>
      <c r="J167" s="1" t="str">
        <f>IF(First!J170="", "",First!J170)</f>
        <v/>
      </c>
      <c r="K167" s="83" t="str">
        <f>IF(First!K170="", "",First!K170)</f>
        <v/>
      </c>
      <c r="M167" s="67" t="str">
        <f t="shared" si="7"/>
        <v/>
      </c>
      <c r="N167" s="76" t="str">
        <f t="shared" si="8"/>
        <v/>
      </c>
      <c r="O167" s="33">
        <f t="shared" si="6"/>
        <v>0</v>
      </c>
    </row>
    <row r="168" spans="1:15" x14ac:dyDescent="0.25">
      <c r="A168" s="64" t="s">
        <v>203</v>
      </c>
      <c r="B168" s="82" t="str">
        <f>IF(First!B171="", "",First!B171)</f>
        <v/>
      </c>
      <c r="C168" s="1" t="str">
        <f>IF(First!C171="", "",First!C171)</f>
        <v/>
      </c>
      <c r="D168" s="1" t="str">
        <f>IF(First!D171="", "",First!D171)</f>
        <v/>
      </c>
      <c r="E168" s="1" t="str">
        <f>IF(First!E171="", "",First!E171)</f>
        <v/>
      </c>
      <c r="F168" s="1" t="str">
        <f>IF(First!F171="", "",First!F171)</f>
        <v/>
      </c>
      <c r="G168" s="1" t="str">
        <f>IF(First!G171="", "",First!G171)</f>
        <v/>
      </c>
      <c r="H168" s="1" t="str">
        <f>IF(First!H171="", "",First!H171)</f>
        <v/>
      </c>
      <c r="I168" s="1" t="str">
        <f>IF(First!I171="", "",First!I171)</f>
        <v/>
      </c>
      <c r="J168" s="1" t="str">
        <f>IF(First!J171="", "",First!J171)</f>
        <v/>
      </c>
      <c r="K168" s="83" t="str">
        <f>IF(First!K171="", "",First!K171)</f>
        <v/>
      </c>
      <c r="M168" s="67" t="str">
        <f t="shared" si="7"/>
        <v/>
      </c>
      <c r="N168" s="76" t="str">
        <f t="shared" si="8"/>
        <v/>
      </c>
      <c r="O168" s="33">
        <f t="shared" si="6"/>
        <v>0</v>
      </c>
    </row>
    <row r="169" spans="1:15" x14ac:dyDescent="0.25">
      <c r="A169" s="64" t="s">
        <v>203</v>
      </c>
      <c r="B169" s="82" t="str">
        <f>IF(First!B172="", "",First!B172)</f>
        <v/>
      </c>
      <c r="C169" s="1" t="str">
        <f>IF(First!C172="", "",First!C172)</f>
        <v/>
      </c>
      <c r="D169" s="1" t="str">
        <f>IF(First!D172="", "",First!D172)</f>
        <v/>
      </c>
      <c r="E169" s="1" t="str">
        <f>IF(First!E172="", "",First!E172)</f>
        <v/>
      </c>
      <c r="F169" s="1" t="str">
        <f>IF(First!F172="", "",First!F172)</f>
        <v/>
      </c>
      <c r="G169" s="1" t="str">
        <f>IF(First!G172="", "",First!G172)</f>
        <v/>
      </c>
      <c r="H169" s="1" t="str">
        <f>IF(First!H172="", "",First!H172)</f>
        <v/>
      </c>
      <c r="I169" s="1" t="str">
        <f>IF(First!I172="", "",First!I172)</f>
        <v/>
      </c>
      <c r="J169" s="1" t="str">
        <f>IF(First!J172="", "",First!J172)</f>
        <v/>
      </c>
      <c r="K169" s="83" t="str">
        <f>IF(First!K172="", "",First!K172)</f>
        <v/>
      </c>
      <c r="M169" s="67" t="str">
        <f t="shared" si="7"/>
        <v/>
      </c>
      <c r="N169" s="76" t="str">
        <f t="shared" si="8"/>
        <v/>
      </c>
      <c r="O169" s="33">
        <f t="shared" si="6"/>
        <v>0</v>
      </c>
    </row>
    <row r="170" spans="1:15" x14ac:dyDescent="0.25">
      <c r="A170" s="64" t="s">
        <v>203</v>
      </c>
      <c r="B170" s="82" t="str">
        <f>IF(First!B173="", "",First!B173)</f>
        <v/>
      </c>
      <c r="C170" s="1" t="str">
        <f>IF(First!C173="", "",First!C173)</f>
        <v/>
      </c>
      <c r="D170" s="1" t="str">
        <f>IF(First!D173="", "",First!D173)</f>
        <v/>
      </c>
      <c r="E170" s="1" t="str">
        <f>IF(First!E173="", "",First!E173)</f>
        <v/>
      </c>
      <c r="F170" s="1" t="str">
        <f>IF(First!F173="", "",First!F173)</f>
        <v/>
      </c>
      <c r="G170" s="1" t="str">
        <f>IF(First!G173="", "",First!G173)</f>
        <v/>
      </c>
      <c r="H170" s="1" t="str">
        <f>IF(First!H173="", "",First!H173)</f>
        <v/>
      </c>
      <c r="I170" s="1" t="str">
        <f>IF(First!I173="", "",First!I173)</f>
        <v/>
      </c>
      <c r="J170" s="1" t="str">
        <f>IF(First!J173="", "",First!J173)</f>
        <v/>
      </c>
      <c r="K170" s="83" t="str">
        <f>IF(First!K173="", "",First!K173)</f>
        <v/>
      </c>
      <c r="M170" s="67" t="str">
        <f t="shared" si="7"/>
        <v/>
      </c>
      <c r="N170" s="76" t="str">
        <f t="shared" si="8"/>
        <v/>
      </c>
      <c r="O170" s="33">
        <f t="shared" si="6"/>
        <v>0</v>
      </c>
    </row>
    <row r="171" spans="1:15" x14ac:dyDescent="0.25">
      <c r="A171" s="64" t="s">
        <v>203</v>
      </c>
      <c r="B171" s="82" t="str">
        <f>IF(First!B174="", "",First!B174)</f>
        <v/>
      </c>
      <c r="C171" s="1" t="str">
        <f>IF(First!C174="", "",First!C174)</f>
        <v/>
      </c>
      <c r="D171" s="1" t="str">
        <f>IF(First!D174="", "",First!D174)</f>
        <v/>
      </c>
      <c r="E171" s="1" t="str">
        <f>IF(First!E174="", "",First!E174)</f>
        <v/>
      </c>
      <c r="F171" s="1" t="str">
        <f>IF(First!F174="", "",First!F174)</f>
        <v/>
      </c>
      <c r="G171" s="1" t="str">
        <f>IF(First!G174="", "",First!G174)</f>
        <v/>
      </c>
      <c r="H171" s="1" t="str">
        <f>IF(First!H174="", "",First!H174)</f>
        <v/>
      </c>
      <c r="I171" s="1" t="str">
        <f>IF(First!I174="", "",First!I174)</f>
        <v/>
      </c>
      <c r="J171" s="1" t="str">
        <f>IF(First!J174="", "",First!J174)</f>
        <v/>
      </c>
      <c r="K171" s="83" t="str">
        <f>IF(First!K174="", "",First!K174)</f>
        <v/>
      </c>
      <c r="M171" s="67" t="str">
        <f t="shared" si="7"/>
        <v/>
      </c>
      <c r="N171" s="76" t="str">
        <f t="shared" si="8"/>
        <v/>
      </c>
      <c r="O171" s="33">
        <f t="shared" si="6"/>
        <v>0</v>
      </c>
    </row>
    <row r="172" spans="1:15" x14ac:dyDescent="0.25">
      <c r="A172" s="64" t="s">
        <v>203</v>
      </c>
      <c r="B172" s="82" t="str">
        <f>IF(First!B175="", "",First!B175)</f>
        <v/>
      </c>
      <c r="C172" s="1" t="str">
        <f>IF(First!C175="", "",First!C175)</f>
        <v/>
      </c>
      <c r="D172" s="1" t="str">
        <f>IF(First!D175="", "",First!D175)</f>
        <v/>
      </c>
      <c r="E172" s="1" t="str">
        <f>IF(First!E175="", "",First!E175)</f>
        <v/>
      </c>
      <c r="F172" s="1" t="str">
        <f>IF(First!F175="", "",First!F175)</f>
        <v/>
      </c>
      <c r="G172" s="1" t="str">
        <f>IF(First!G175="", "",First!G175)</f>
        <v/>
      </c>
      <c r="H172" s="1" t="str">
        <f>IF(First!H175="", "",First!H175)</f>
        <v/>
      </c>
      <c r="I172" s="1" t="str">
        <f>IF(First!I175="", "",First!I175)</f>
        <v/>
      </c>
      <c r="J172" s="1" t="str">
        <f>IF(First!J175="", "",First!J175)</f>
        <v/>
      </c>
      <c r="K172" s="83" t="str">
        <f>IF(First!K175="", "",First!K175)</f>
        <v/>
      </c>
      <c r="M172" s="67" t="str">
        <f t="shared" si="7"/>
        <v/>
      </c>
      <c r="N172" s="76" t="str">
        <f t="shared" si="8"/>
        <v/>
      </c>
      <c r="O172" s="33">
        <f t="shared" si="6"/>
        <v>0</v>
      </c>
    </row>
    <row r="173" spans="1:15" x14ac:dyDescent="0.25">
      <c r="A173" s="64" t="s">
        <v>203</v>
      </c>
      <c r="B173" s="82" t="str">
        <f>IF(First!B176="", "",First!B176)</f>
        <v/>
      </c>
      <c r="C173" s="1" t="str">
        <f>IF(First!C176="", "",First!C176)</f>
        <v/>
      </c>
      <c r="D173" s="1" t="str">
        <f>IF(First!D176="", "",First!D176)</f>
        <v/>
      </c>
      <c r="E173" s="1" t="str">
        <f>IF(First!E176="", "",First!E176)</f>
        <v/>
      </c>
      <c r="F173" s="1" t="str">
        <f>IF(First!F176="", "",First!F176)</f>
        <v/>
      </c>
      <c r="G173" s="1" t="str">
        <f>IF(First!G176="", "",First!G176)</f>
        <v/>
      </c>
      <c r="H173" s="1" t="str">
        <f>IF(First!H176="", "",First!H176)</f>
        <v/>
      </c>
      <c r="I173" s="1" t="str">
        <f>IF(First!I176="", "",First!I176)</f>
        <v/>
      </c>
      <c r="J173" s="1" t="str">
        <f>IF(First!J176="", "",First!J176)</f>
        <v/>
      </c>
      <c r="K173" s="83" t="str">
        <f>IF(First!K176="", "",First!K176)</f>
        <v/>
      </c>
      <c r="M173" s="67" t="str">
        <f t="shared" si="7"/>
        <v/>
      </c>
      <c r="N173" s="76" t="str">
        <f t="shared" si="8"/>
        <v/>
      </c>
      <c r="O173" s="33">
        <f t="shared" si="6"/>
        <v>0</v>
      </c>
    </row>
    <row r="174" spans="1:15" x14ac:dyDescent="0.25">
      <c r="A174" s="64" t="s">
        <v>203</v>
      </c>
      <c r="B174" s="82" t="str">
        <f>IF(First!B177="", "",First!B177)</f>
        <v/>
      </c>
      <c r="C174" s="1" t="str">
        <f>IF(First!C177="", "",First!C177)</f>
        <v/>
      </c>
      <c r="D174" s="1" t="str">
        <f>IF(First!D177="", "",First!D177)</f>
        <v/>
      </c>
      <c r="E174" s="1" t="str">
        <f>IF(First!E177="", "",First!E177)</f>
        <v/>
      </c>
      <c r="F174" s="1" t="str">
        <f>IF(First!F177="", "",First!F177)</f>
        <v/>
      </c>
      <c r="G174" s="1" t="str">
        <f>IF(First!G177="", "",First!G177)</f>
        <v/>
      </c>
      <c r="H174" s="1" t="str">
        <f>IF(First!H177="", "",First!H177)</f>
        <v/>
      </c>
      <c r="I174" s="1" t="str">
        <f>IF(First!I177="", "",First!I177)</f>
        <v/>
      </c>
      <c r="J174" s="1" t="str">
        <f>IF(First!J177="", "",First!J177)</f>
        <v/>
      </c>
      <c r="K174" s="83" t="str">
        <f>IF(First!K177="", "",First!K177)</f>
        <v/>
      </c>
      <c r="M174" s="67" t="str">
        <f t="shared" si="7"/>
        <v/>
      </c>
      <c r="N174" s="76" t="str">
        <f t="shared" si="8"/>
        <v/>
      </c>
      <c r="O174" s="33">
        <f t="shared" si="6"/>
        <v>0</v>
      </c>
    </row>
    <row r="175" spans="1:15" x14ac:dyDescent="0.25">
      <c r="A175" s="64" t="s">
        <v>203</v>
      </c>
      <c r="B175" s="82" t="str">
        <f>IF(First!B178="", "",First!B178)</f>
        <v/>
      </c>
      <c r="C175" s="1" t="str">
        <f>IF(First!C178="", "",First!C178)</f>
        <v/>
      </c>
      <c r="D175" s="1" t="str">
        <f>IF(First!D178="", "",First!D178)</f>
        <v/>
      </c>
      <c r="E175" s="1" t="str">
        <f>IF(First!E178="", "",First!E178)</f>
        <v/>
      </c>
      <c r="F175" s="1" t="str">
        <f>IF(First!F178="", "",First!F178)</f>
        <v/>
      </c>
      <c r="G175" s="1" t="str">
        <f>IF(First!G178="", "",First!G178)</f>
        <v/>
      </c>
      <c r="H175" s="1" t="str">
        <f>IF(First!H178="", "",First!H178)</f>
        <v/>
      </c>
      <c r="I175" s="1" t="str">
        <f>IF(First!I178="", "",First!I178)</f>
        <v/>
      </c>
      <c r="J175" s="1" t="str">
        <f>IF(First!J178="", "",First!J178)</f>
        <v/>
      </c>
      <c r="K175" s="83" t="str">
        <f>IF(First!K178="", "",First!K178)</f>
        <v/>
      </c>
      <c r="M175" s="67" t="str">
        <f t="shared" si="7"/>
        <v/>
      </c>
      <c r="N175" s="76" t="str">
        <f t="shared" si="8"/>
        <v/>
      </c>
      <c r="O175" s="33">
        <f t="shared" si="6"/>
        <v>0</v>
      </c>
    </row>
    <row r="176" spans="1:15" x14ac:dyDescent="0.25">
      <c r="A176" s="64" t="s">
        <v>203</v>
      </c>
      <c r="B176" s="82" t="str">
        <f>IF(First!B179="", "",First!B179)</f>
        <v/>
      </c>
      <c r="C176" s="1" t="str">
        <f>IF(First!C179="", "",First!C179)</f>
        <v/>
      </c>
      <c r="D176" s="1" t="str">
        <f>IF(First!D179="", "",First!D179)</f>
        <v/>
      </c>
      <c r="E176" s="1" t="str">
        <f>IF(First!E179="", "",First!E179)</f>
        <v/>
      </c>
      <c r="F176" s="1" t="str">
        <f>IF(First!F179="", "",First!F179)</f>
        <v/>
      </c>
      <c r="G176" s="1" t="str">
        <f>IF(First!G179="", "",First!G179)</f>
        <v/>
      </c>
      <c r="H176" s="1" t="str">
        <f>IF(First!H179="", "",First!H179)</f>
        <v/>
      </c>
      <c r="I176" s="1" t="str">
        <f>IF(First!I179="", "",First!I179)</f>
        <v/>
      </c>
      <c r="J176" s="1" t="str">
        <f>IF(First!J179="", "",First!J179)</f>
        <v/>
      </c>
      <c r="K176" s="83" t="str">
        <f>IF(First!K179="", "",First!K179)</f>
        <v/>
      </c>
      <c r="M176" s="67" t="str">
        <f t="shared" si="7"/>
        <v/>
      </c>
      <c r="N176" s="76" t="str">
        <f t="shared" si="8"/>
        <v/>
      </c>
      <c r="O176" s="33">
        <f t="shared" si="6"/>
        <v>0</v>
      </c>
    </row>
    <row r="177" spans="1:15" x14ac:dyDescent="0.25">
      <c r="A177" s="64" t="s">
        <v>203</v>
      </c>
      <c r="B177" s="82" t="str">
        <f>IF(First!B180="", "",First!B180)</f>
        <v/>
      </c>
      <c r="C177" s="1" t="str">
        <f>IF(First!C180="", "",First!C180)</f>
        <v/>
      </c>
      <c r="D177" s="1" t="str">
        <f>IF(First!D180="", "",First!D180)</f>
        <v/>
      </c>
      <c r="E177" s="1" t="str">
        <f>IF(First!E180="", "",First!E180)</f>
        <v/>
      </c>
      <c r="F177" s="1" t="str">
        <f>IF(First!F180="", "",First!F180)</f>
        <v/>
      </c>
      <c r="G177" s="1" t="str">
        <f>IF(First!G180="", "",First!G180)</f>
        <v/>
      </c>
      <c r="H177" s="1" t="str">
        <f>IF(First!H180="", "",First!H180)</f>
        <v/>
      </c>
      <c r="I177" s="1" t="str">
        <f>IF(First!I180="", "",First!I180)</f>
        <v/>
      </c>
      <c r="J177" s="1" t="str">
        <f>IF(First!J180="", "",First!J180)</f>
        <v/>
      </c>
      <c r="K177" s="83" t="str">
        <f>IF(First!K180="", "",First!K180)</f>
        <v/>
      </c>
      <c r="M177" s="67" t="str">
        <f t="shared" si="7"/>
        <v/>
      </c>
      <c r="N177" s="76" t="str">
        <f t="shared" si="8"/>
        <v/>
      </c>
      <c r="O177" s="33">
        <f t="shared" si="6"/>
        <v>0</v>
      </c>
    </row>
    <row r="178" spans="1:15" x14ac:dyDescent="0.25">
      <c r="A178" s="64" t="s">
        <v>203</v>
      </c>
      <c r="B178" s="82" t="str">
        <f>IF(First!B181="", "",First!B181)</f>
        <v/>
      </c>
      <c r="C178" s="1" t="str">
        <f>IF(First!C181="", "",First!C181)</f>
        <v/>
      </c>
      <c r="D178" s="1" t="str">
        <f>IF(First!D181="", "",First!D181)</f>
        <v/>
      </c>
      <c r="E178" s="1" t="str">
        <f>IF(First!E181="", "",First!E181)</f>
        <v/>
      </c>
      <c r="F178" s="1" t="str">
        <f>IF(First!F181="", "",First!F181)</f>
        <v/>
      </c>
      <c r="G178" s="1" t="str">
        <f>IF(First!G181="", "",First!G181)</f>
        <v/>
      </c>
      <c r="H178" s="1" t="str">
        <f>IF(First!H181="", "",First!H181)</f>
        <v/>
      </c>
      <c r="I178" s="1" t="str">
        <f>IF(First!I181="", "",First!I181)</f>
        <v/>
      </c>
      <c r="J178" s="1" t="str">
        <f>IF(First!J181="", "",First!J181)</f>
        <v/>
      </c>
      <c r="K178" s="83" t="str">
        <f>IF(First!K181="", "",First!K181)</f>
        <v/>
      </c>
      <c r="M178" s="67" t="str">
        <f t="shared" si="7"/>
        <v/>
      </c>
      <c r="N178" s="76" t="str">
        <f t="shared" si="8"/>
        <v/>
      </c>
      <c r="O178" s="33">
        <f t="shared" si="6"/>
        <v>0</v>
      </c>
    </row>
    <row r="179" spans="1:15" x14ac:dyDescent="0.25">
      <c r="A179" s="64" t="s">
        <v>203</v>
      </c>
      <c r="B179" s="82" t="str">
        <f>IF(First!B182="", "",First!B182)</f>
        <v/>
      </c>
      <c r="C179" s="1" t="str">
        <f>IF(First!C182="", "",First!C182)</f>
        <v/>
      </c>
      <c r="D179" s="1" t="str">
        <f>IF(First!D182="", "",First!D182)</f>
        <v/>
      </c>
      <c r="E179" s="1" t="str">
        <f>IF(First!E182="", "",First!E182)</f>
        <v/>
      </c>
      <c r="F179" s="1" t="str">
        <f>IF(First!F182="", "",First!F182)</f>
        <v/>
      </c>
      <c r="G179" s="1" t="str">
        <f>IF(First!G182="", "",First!G182)</f>
        <v/>
      </c>
      <c r="H179" s="1" t="str">
        <f>IF(First!H182="", "",First!H182)</f>
        <v/>
      </c>
      <c r="I179" s="1" t="str">
        <f>IF(First!I182="", "",First!I182)</f>
        <v/>
      </c>
      <c r="J179" s="1" t="str">
        <f>IF(First!J182="", "",First!J182)</f>
        <v/>
      </c>
      <c r="K179" s="83" t="str">
        <f>IF(First!K182="", "",First!K182)</f>
        <v/>
      </c>
      <c r="M179" s="67" t="str">
        <f t="shared" si="7"/>
        <v/>
      </c>
      <c r="N179" s="76" t="str">
        <f t="shared" si="8"/>
        <v/>
      </c>
      <c r="O179" s="33">
        <f t="shared" si="6"/>
        <v>0</v>
      </c>
    </row>
    <row r="180" spans="1:15" x14ac:dyDescent="0.25">
      <c r="A180" s="64" t="s">
        <v>203</v>
      </c>
      <c r="B180" s="82" t="str">
        <f>IF(First!B183="", "",First!B183)</f>
        <v/>
      </c>
      <c r="C180" s="1" t="str">
        <f>IF(First!C183="", "",First!C183)</f>
        <v/>
      </c>
      <c r="D180" s="1" t="str">
        <f>IF(First!D183="", "",First!D183)</f>
        <v/>
      </c>
      <c r="E180" s="1" t="str">
        <f>IF(First!E183="", "",First!E183)</f>
        <v/>
      </c>
      <c r="F180" s="1" t="str">
        <f>IF(First!F183="", "",First!F183)</f>
        <v/>
      </c>
      <c r="G180" s="1" t="str">
        <f>IF(First!G183="", "",First!G183)</f>
        <v/>
      </c>
      <c r="H180" s="1" t="str">
        <f>IF(First!H183="", "",First!H183)</f>
        <v/>
      </c>
      <c r="I180" s="1" t="str">
        <f>IF(First!I183="", "",First!I183)</f>
        <v/>
      </c>
      <c r="J180" s="1" t="str">
        <f>IF(First!J183="", "",First!J183)</f>
        <v/>
      </c>
      <c r="K180" s="83" t="str">
        <f>IF(First!K183="", "",First!K183)</f>
        <v/>
      </c>
      <c r="M180" s="67" t="str">
        <f t="shared" si="7"/>
        <v/>
      </c>
      <c r="N180" s="76" t="str">
        <f t="shared" si="8"/>
        <v/>
      </c>
      <c r="O180" s="33">
        <f t="shared" si="6"/>
        <v>0</v>
      </c>
    </row>
    <row r="181" spans="1:15" x14ac:dyDescent="0.25">
      <c r="A181" s="64" t="s">
        <v>203</v>
      </c>
      <c r="B181" s="82" t="str">
        <f>IF(First!B184="", "",First!B184)</f>
        <v/>
      </c>
      <c r="C181" s="1" t="str">
        <f>IF(First!C184="", "",First!C184)</f>
        <v/>
      </c>
      <c r="D181" s="1" t="str">
        <f>IF(First!D184="", "",First!D184)</f>
        <v/>
      </c>
      <c r="E181" s="1" t="str">
        <f>IF(First!E184="", "",First!E184)</f>
        <v/>
      </c>
      <c r="F181" s="1" t="str">
        <f>IF(First!F184="", "",First!F184)</f>
        <v/>
      </c>
      <c r="G181" s="1" t="str">
        <f>IF(First!G184="", "",First!G184)</f>
        <v/>
      </c>
      <c r="H181" s="1" t="str">
        <f>IF(First!H184="", "",First!H184)</f>
        <v/>
      </c>
      <c r="I181" s="1" t="str">
        <f>IF(First!I184="", "",First!I184)</f>
        <v/>
      </c>
      <c r="J181" s="1" t="str">
        <f>IF(First!J184="", "",First!J184)</f>
        <v/>
      </c>
      <c r="K181" s="83" t="str">
        <f>IF(First!K184="", "",First!K184)</f>
        <v/>
      </c>
      <c r="M181" s="67" t="str">
        <f t="shared" si="7"/>
        <v/>
      </c>
      <c r="N181" s="76" t="str">
        <f t="shared" si="8"/>
        <v/>
      </c>
      <c r="O181" s="33">
        <f t="shared" si="6"/>
        <v>0</v>
      </c>
    </row>
    <row r="182" spans="1:15" x14ac:dyDescent="0.25">
      <c r="A182" s="64" t="s">
        <v>203</v>
      </c>
      <c r="B182" s="82" t="str">
        <f>IF(First!B185="", "",First!B185)</f>
        <v/>
      </c>
      <c r="C182" s="1" t="str">
        <f>IF(First!C185="", "",First!C185)</f>
        <v/>
      </c>
      <c r="D182" s="1" t="str">
        <f>IF(First!D185="", "",First!D185)</f>
        <v/>
      </c>
      <c r="E182" s="1" t="str">
        <f>IF(First!E185="", "",First!E185)</f>
        <v/>
      </c>
      <c r="F182" s="1" t="str">
        <f>IF(First!F185="", "",First!F185)</f>
        <v/>
      </c>
      <c r="G182" s="1" t="str">
        <f>IF(First!G185="", "",First!G185)</f>
        <v/>
      </c>
      <c r="H182" s="1" t="str">
        <f>IF(First!H185="", "",First!H185)</f>
        <v/>
      </c>
      <c r="I182" s="1" t="str">
        <f>IF(First!I185="", "",First!I185)</f>
        <v/>
      </c>
      <c r="J182" s="1" t="str">
        <f>IF(First!J185="", "",First!J185)</f>
        <v/>
      </c>
      <c r="K182" s="83" t="str">
        <f>IF(First!K185="", "",First!K185)</f>
        <v/>
      </c>
      <c r="M182" s="67" t="str">
        <f t="shared" si="7"/>
        <v/>
      </c>
      <c r="N182" s="76" t="str">
        <f t="shared" si="8"/>
        <v/>
      </c>
      <c r="O182" s="33">
        <f t="shared" si="6"/>
        <v>0</v>
      </c>
    </row>
    <row r="183" spans="1:15" x14ac:dyDescent="0.25">
      <c r="A183" s="64" t="s">
        <v>203</v>
      </c>
      <c r="B183" s="82" t="str">
        <f>IF(First!B186="", "",First!B186)</f>
        <v/>
      </c>
      <c r="C183" s="1" t="str">
        <f>IF(First!C186="", "",First!C186)</f>
        <v/>
      </c>
      <c r="D183" s="1" t="str">
        <f>IF(First!D186="", "",First!D186)</f>
        <v/>
      </c>
      <c r="E183" s="1" t="str">
        <f>IF(First!E186="", "",First!E186)</f>
        <v/>
      </c>
      <c r="F183" s="1" t="str">
        <f>IF(First!F186="", "",First!F186)</f>
        <v/>
      </c>
      <c r="G183" s="1" t="str">
        <f>IF(First!G186="", "",First!G186)</f>
        <v/>
      </c>
      <c r="H183" s="1" t="str">
        <f>IF(First!H186="", "",First!H186)</f>
        <v/>
      </c>
      <c r="I183" s="1" t="str">
        <f>IF(First!I186="", "",First!I186)</f>
        <v/>
      </c>
      <c r="J183" s="1" t="str">
        <f>IF(First!J186="", "",First!J186)</f>
        <v/>
      </c>
      <c r="K183" s="83" t="str">
        <f>IF(First!K186="", "",First!K186)</f>
        <v/>
      </c>
      <c r="M183" s="67" t="str">
        <f t="shared" si="7"/>
        <v/>
      </c>
      <c r="N183" s="76" t="str">
        <f t="shared" si="8"/>
        <v/>
      </c>
      <c r="O183" s="33">
        <f t="shared" si="6"/>
        <v>0</v>
      </c>
    </row>
    <row r="184" spans="1:15" x14ac:dyDescent="0.25">
      <c r="A184" s="64" t="s">
        <v>203</v>
      </c>
      <c r="B184" s="82" t="str">
        <f>IF(First!B187="", "",First!B187)</f>
        <v/>
      </c>
      <c r="C184" s="1" t="str">
        <f>IF(First!C187="", "",First!C187)</f>
        <v/>
      </c>
      <c r="D184" s="1" t="str">
        <f>IF(First!D187="", "",First!D187)</f>
        <v/>
      </c>
      <c r="E184" s="1" t="str">
        <f>IF(First!E187="", "",First!E187)</f>
        <v/>
      </c>
      <c r="F184" s="1" t="str">
        <f>IF(First!F187="", "",First!F187)</f>
        <v/>
      </c>
      <c r="G184" s="1" t="str">
        <f>IF(First!G187="", "",First!G187)</f>
        <v/>
      </c>
      <c r="H184" s="1" t="str">
        <f>IF(First!H187="", "",First!H187)</f>
        <v/>
      </c>
      <c r="I184" s="1" t="str">
        <f>IF(First!I187="", "",First!I187)</f>
        <v/>
      </c>
      <c r="J184" s="1" t="str">
        <f>IF(First!J187="", "",First!J187)</f>
        <v/>
      </c>
      <c r="K184" s="83" t="str">
        <f>IF(First!K187="", "",First!K187)</f>
        <v/>
      </c>
      <c r="M184" s="67" t="str">
        <f t="shared" si="7"/>
        <v/>
      </c>
      <c r="N184" s="76" t="str">
        <f t="shared" si="8"/>
        <v/>
      </c>
      <c r="O184" s="33">
        <f t="shared" si="6"/>
        <v>0</v>
      </c>
    </row>
    <row r="185" spans="1:15" x14ac:dyDescent="0.25">
      <c r="A185" s="64" t="s">
        <v>203</v>
      </c>
      <c r="B185" s="82" t="str">
        <f>IF(First!B188="", "",First!B188)</f>
        <v/>
      </c>
      <c r="C185" s="1" t="str">
        <f>IF(First!C188="", "",First!C188)</f>
        <v/>
      </c>
      <c r="D185" s="1" t="str">
        <f>IF(First!D188="", "",First!D188)</f>
        <v/>
      </c>
      <c r="E185" s="1" t="str">
        <f>IF(First!E188="", "",First!E188)</f>
        <v/>
      </c>
      <c r="F185" s="1" t="str">
        <f>IF(First!F188="", "",First!F188)</f>
        <v/>
      </c>
      <c r="G185" s="1" t="str">
        <f>IF(First!G188="", "",First!G188)</f>
        <v/>
      </c>
      <c r="H185" s="1" t="str">
        <f>IF(First!H188="", "",First!H188)</f>
        <v/>
      </c>
      <c r="I185" s="1" t="str">
        <f>IF(First!I188="", "",First!I188)</f>
        <v/>
      </c>
      <c r="J185" s="1" t="str">
        <f>IF(First!J188="", "",First!J188)</f>
        <v/>
      </c>
      <c r="K185" s="83" t="str">
        <f>IF(First!K188="", "",First!K188)</f>
        <v/>
      </c>
      <c r="M185" s="67" t="str">
        <f t="shared" si="7"/>
        <v/>
      </c>
      <c r="N185" s="76" t="str">
        <f t="shared" si="8"/>
        <v/>
      </c>
      <c r="O185" s="33">
        <f t="shared" si="6"/>
        <v>0</v>
      </c>
    </row>
    <row r="186" spans="1:15" x14ac:dyDescent="0.25">
      <c r="A186" s="64" t="s">
        <v>203</v>
      </c>
      <c r="B186" s="82" t="str">
        <f>IF(First!B189="", "",First!B189)</f>
        <v/>
      </c>
      <c r="C186" s="1" t="str">
        <f>IF(First!C189="", "",First!C189)</f>
        <v/>
      </c>
      <c r="D186" s="1" t="str">
        <f>IF(First!D189="", "",First!D189)</f>
        <v/>
      </c>
      <c r="E186" s="1" t="str">
        <f>IF(First!E189="", "",First!E189)</f>
        <v/>
      </c>
      <c r="F186" s="1" t="str">
        <f>IF(First!F189="", "",First!F189)</f>
        <v/>
      </c>
      <c r="G186" s="1" t="str">
        <f>IF(First!G189="", "",First!G189)</f>
        <v/>
      </c>
      <c r="H186" s="1" t="str">
        <f>IF(First!H189="", "",First!H189)</f>
        <v/>
      </c>
      <c r="I186" s="1" t="str">
        <f>IF(First!I189="", "",First!I189)</f>
        <v/>
      </c>
      <c r="J186" s="1" t="str">
        <f>IF(First!J189="", "",First!J189)</f>
        <v/>
      </c>
      <c r="K186" s="83" t="str">
        <f>IF(First!K189="", "",First!K189)</f>
        <v/>
      </c>
      <c r="M186" s="67" t="str">
        <f t="shared" si="7"/>
        <v/>
      </c>
      <c r="N186" s="76" t="str">
        <f t="shared" si="8"/>
        <v/>
      </c>
      <c r="O186" s="33">
        <f t="shared" si="6"/>
        <v>0</v>
      </c>
    </row>
    <row r="187" spans="1:15" x14ac:dyDescent="0.25">
      <c r="A187" s="64" t="s">
        <v>203</v>
      </c>
      <c r="B187" s="82" t="str">
        <f>IF(First!B190="", "",First!B190)</f>
        <v/>
      </c>
      <c r="C187" s="1" t="str">
        <f>IF(First!C190="", "",First!C190)</f>
        <v/>
      </c>
      <c r="D187" s="1" t="str">
        <f>IF(First!D190="", "",First!D190)</f>
        <v/>
      </c>
      <c r="E187" s="1" t="str">
        <f>IF(First!E190="", "",First!E190)</f>
        <v/>
      </c>
      <c r="F187" s="1" t="str">
        <f>IF(First!F190="", "",First!F190)</f>
        <v/>
      </c>
      <c r="G187" s="1" t="str">
        <f>IF(First!G190="", "",First!G190)</f>
        <v/>
      </c>
      <c r="H187" s="1" t="str">
        <f>IF(First!H190="", "",First!H190)</f>
        <v/>
      </c>
      <c r="I187" s="1" t="str">
        <f>IF(First!I190="", "",First!I190)</f>
        <v/>
      </c>
      <c r="J187" s="1" t="str">
        <f>IF(First!J190="", "",First!J190)</f>
        <v/>
      </c>
      <c r="K187" s="83" t="str">
        <f>IF(First!K190="", "",First!K190)</f>
        <v/>
      </c>
      <c r="M187" s="67" t="str">
        <f t="shared" si="7"/>
        <v/>
      </c>
      <c r="N187" s="76" t="str">
        <f t="shared" si="8"/>
        <v/>
      </c>
      <c r="O187" s="33">
        <f t="shared" si="6"/>
        <v>0</v>
      </c>
    </row>
    <row r="188" spans="1:15" x14ac:dyDescent="0.25">
      <c r="A188" s="64" t="s">
        <v>203</v>
      </c>
      <c r="B188" s="82" t="str">
        <f>IF(First!B191="", "",First!B191)</f>
        <v/>
      </c>
      <c r="C188" s="1" t="str">
        <f>IF(First!C191="", "",First!C191)</f>
        <v/>
      </c>
      <c r="D188" s="1" t="str">
        <f>IF(First!D191="", "",First!D191)</f>
        <v/>
      </c>
      <c r="E188" s="1" t="str">
        <f>IF(First!E191="", "",First!E191)</f>
        <v/>
      </c>
      <c r="F188" s="1" t="str">
        <f>IF(First!F191="", "",First!F191)</f>
        <v/>
      </c>
      <c r="G188" s="1" t="str">
        <f>IF(First!G191="", "",First!G191)</f>
        <v/>
      </c>
      <c r="H188" s="1" t="str">
        <f>IF(First!H191="", "",First!H191)</f>
        <v/>
      </c>
      <c r="I188" s="1" t="str">
        <f>IF(First!I191="", "",First!I191)</f>
        <v/>
      </c>
      <c r="J188" s="1" t="str">
        <f>IF(First!J191="", "",First!J191)</f>
        <v/>
      </c>
      <c r="K188" s="83" t="str">
        <f>IF(First!K191="", "",First!K191)</f>
        <v/>
      </c>
      <c r="M188" s="67" t="str">
        <f t="shared" si="7"/>
        <v/>
      </c>
      <c r="N188" s="76" t="str">
        <f t="shared" si="8"/>
        <v/>
      </c>
      <c r="O188" s="33">
        <f t="shared" si="6"/>
        <v>0</v>
      </c>
    </row>
    <row r="189" spans="1:15" x14ac:dyDescent="0.25">
      <c r="A189" s="64" t="s">
        <v>203</v>
      </c>
      <c r="B189" s="82" t="str">
        <f>IF(First!B192="", "",First!B192)</f>
        <v/>
      </c>
      <c r="C189" s="1" t="str">
        <f>IF(First!C192="", "",First!C192)</f>
        <v/>
      </c>
      <c r="D189" s="1" t="str">
        <f>IF(First!D192="", "",First!D192)</f>
        <v/>
      </c>
      <c r="E189" s="1" t="str">
        <f>IF(First!E192="", "",First!E192)</f>
        <v/>
      </c>
      <c r="F189" s="1" t="str">
        <f>IF(First!F192="", "",First!F192)</f>
        <v/>
      </c>
      <c r="G189" s="1" t="str">
        <f>IF(First!G192="", "",First!G192)</f>
        <v/>
      </c>
      <c r="H189" s="1" t="str">
        <f>IF(First!H192="", "",First!H192)</f>
        <v/>
      </c>
      <c r="I189" s="1" t="str">
        <f>IF(First!I192="", "",First!I192)</f>
        <v/>
      </c>
      <c r="J189" s="1" t="str">
        <f>IF(First!J192="", "",First!J192)</f>
        <v/>
      </c>
      <c r="K189" s="83" t="str">
        <f>IF(First!K192="", "",First!K192)</f>
        <v/>
      </c>
      <c r="M189" s="67" t="str">
        <f t="shared" si="7"/>
        <v/>
      </c>
      <c r="N189" s="76" t="str">
        <f t="shared" si="8"/>
        <v/>
      </c>
      <c r="O189" s="33">
        <f t="shared" si="6"/>
        <v>0</v>
      </c>
    </row>
    <row r="190" spans="1:15" x14ac:dyDescent="0.25">
      <c r="A190" s="64" t="s">
        <v>203</v>
      </c>
      <c r="B190" s="82" t="str">
        <f>IF(First!B193="", "",First!B193)</f>
        <v/>
      </c>
      <c r="C190" s="1" t="str">
        <f>IF(First!C193="", "",First!C193)</f>
        <v/>
      </c>
      <c r="D190" s="1" t="str">
        <f>IF(First!D193="", "",First!D193)</f>
        <v/>
      </c>
      <c r="E190" s="1" t="str">
        <f>IF(First!E193="", "",First!E193)</f>
        <v/>
      </c>
      <c r="F190" s="1" t="str">
        <f>IF(First!F193="", "",First!F193)</f>
        <v/>
      </c>
      <c r="G190" s="1" t="str">
        <f>IF(First!G193="", "",First!G193)</f>
        <v/>
      </c>
      <c r="H190" s="1" t="str">
        <f>IF(First!H193="", "",First!H193)</f>
        <v/>
      </c>
      <c r="I190" s="1" t="str">
        <f>IF(First!I193="", "",First!I193)</f>
        <v/>
      </c>
      <c r="J190" s="1" t="str">
        <f>IF(First!J193="", "",First!J193)</f>
        <v/>
      </c>
      <c r="K190" s="83" t="str">
        <f>IF(First!K193="", "",First!K193)</f>
        <v/>
      </c>
      <c r="M190" s="67" t="str">
        <f t="shared" si="7"/>
        <v/>
      </c>
      <c r="N190" s="76" t="str">
        <f t="shared" si="8"/>
        <v/>
      </c>
      <c r="O190" s="33">
        <f t="shared" si="6"/>
        <v>0</v>
      </c>
    </row>
    <row r="191" spans="1:15" x14ac:dyDescent="0.25">
      <c r="A191" s="64" t="s">
        <v>203</v>
      </c>
      <c r="B191" s="82" t="str">
        <f>IF(First!B194="", "",First!B194)</f>
        <v/>
      </c>
      <c r="C191" s="1" t="str">
        <f>IF(First!C194="", "",First!C194)</f>
        <v/>
      </c>
      <c r="D191" s="1" t="str">
        <f>IF(First!D194="", "",First!D194)</f>
        <v/>
      </c>
      <c r="E191" s="1" t="str">
        <f>IF(First!E194="", "",First!E194)</f>
        <v/>
      </c>
      <c r="F191" s="1" t="str">
        <f>IF(First!F194="", "",First!F194)</f>
        <v/>
      </c>
      <c r="G191" s="1" t="str">
        <f>IF(First!G194="", "",First!G194)</f>
        <v/>
      </c>
      <c r="H191" s="1" t="str">
        <f>IF(First!H194="", "",First!H194)</f>
        <v/>
      </c>
      <c r="I191" s="1" t="str">
        <f>IF(First!I194="", "",First!I194)</f>
        <v/>
      </c>
      <c r="J191" s="1" t="str">
        <f>IF(First!J194="", "",First!J194)</f>
        <v/>
      </c>
      <c r="K191" s="83" t="str">
        <f>IF(First!K194="", "",First!K194)</f>
        <v/>
      </c>
      <c r="M191" s="67" t="str">
        <f t="shared" si="7"/>
        <v/>
      </c>
      <c r="N191" s="76" t="str">
        <f t="shared" si="8"/>
        <v/>
      </c>
      <c r="O191" s="33">
        <f t="shared" si="6"/>
        <v>0</v>
      </c>
    </row>
    <row r="192" spans="1:15" x14ac:dyDescent="0.25">
      <c r="A192" s="64" t="s">
        <v>203</v>
      </c>
      <c r="B192" s="82" t="str">
        <f>IF(First!B195="", "",First!B195)</f>
        <v/>
      </c>
      <c r="C192" s="1" t="str">
        <f>IF(First!C195="", "",First!C195)</f>
        <v/>
      </c>
      <c r="D192" s="1" t="str">
        <f>IF(First!D195="", "",First!D195)</f>
        <v/>
      </c>
      <c r="E192" s="1" t="str">
        <f>IF(First!E195="", "",First!E195)</f>
        <v/>
      </c>
      <c r="F192" s="1" t="str">
        <f>IF(First!F195="", "",First!F195)</f>
        <v/>
      </c>
      <c r="G192" s="1" t="str">
        <f>IF(First!G195="", "",First!G195)</f>
        <v/>
      </c>
      <c r="H192" s="1" t="str">
        <f>IF(First!H195="", "",First!H195)</f>
        <v/>
      </c>
      <c r="I192" s="1" t="str">
        <f>IF(First!I195="", "",First!I195)</f>
        <v/>
      </c>
      <c r="J192" s="1" t="str">
        <f>IF(First!J195="", "",First!J195)</f>
        <v/>
      </c>
      <c r="K192" s="83" t="str">
        <f>IF(First!K195="", "",First!K195)</f>
        <v/>
      </c>
      <c r="M192" s="67" t="str">
        <f t="shared" si="7"/>
        <v/>
      </c>
      <c r="N192" s="76" t="str">
        <f t="shared" si="8"/>
        <v/>
      </c>
      <c r="O192" s="33">
        <f t="shared" si="6"/>
        <v>0</v>
      </c>
    </row>
    <row r="193" spans="1:15" x14ac:dyDescent="0.25">
      <c r="A193" s="64" t="s">
        <v>203</v>
      </c>
      <c r="B193" s="82" t="str">
        <f>IF(First!B196="", "",First!B196)</f>
        <v/>
      </c>
      <c r="C193" s="1" t="str">
        <f>IF(First!C196="", "",First!C196)</f>
        <v/>
      </c>
      <c r="D193" s="1" t="str">
        <f>IF(First!D196="", "",First!D196)</f>
        <v/>
      </c>
      <c r="E193" s="1" t="str">
        <f>IF(First!E196="", "",First!E196)</f>
        <v/>
      </c>
      <c r="F193" s="1" t="str">
        <f>IF(First!F196="", "",First!F196)</f>
        <v/>
      </c>
      <c r="G193" s="1" t="str">
        <f>IF(First!G196="", "",First!G196)</f>
        <v/>
      </c>
      <c r="H193" s="1" t="str">
        <f>IF(First!H196="", "",First!H196)</f>
        <v/>
      </c>
      <c r="I193" s="1" t="str">
        <f>IF(First!I196="", "",First!I196)</f>
        <v/>
      </c>
      <c r="J193" s="1" t="str">
        <f>IF(First!J196="", "",First!J196)</f>
        <v/>
      </c>
      <c r="K193" s="83" t="str">
        <f>IF(First!K196="", "",First!K196)</f>
        <v/>
      </c>
      <c r="M193" s="67" t="str">
        <f t="shared" si="7"/>
        <v/>
      </c>
      <c r="N193" s="76" t="str">
        <f t="shared" si="8"/>
        <v/>
      </c>
      <c r="O193" s="33">
        <f t="shared" si="6"/>
        <v>0</v>
      </c>
    </row>
    <row r="194" spans="1:15" x14ac:dyDescent="0.25">
      <c r="A194" s="64" t="s">
        <v>203</v>
      </c>
      <c r="B194" s="82" t="str">
        <f>IF(First!B197="", "",First!B197)</f>
        <v/>
      </c>
      <c r="C194" s="1" t="str">
        <f>IF(First!C197="", "",First!C197)</f>
        <v/>
      </c>
      <c r="D194" s="1" t="str">
        <f>IF(First!D197="", "",First!D197)</f>
        <v/>
      </c>
      <c r="E194" s="1" t="str">
        <f>IF(First!E197="", "",First!E197)</f>
        <v/>
      </c>
      <c r="F194" s="1" t="str">
        <f>IF(First!F197="", "",First!F197)</f>
        <v/>
      </c>
      <c r="G194" s="1" t="str">
        <f>IF(First!G197="", "",First!G197)</f>
        <v/>
      </c>
      <c r="H194" s="1" t="str">
        <f>IF(First!H197="", "",First!H197)</f>
        <v/>
      </c>
      <c r="I194" s="1" t="str">
        <f>IF(First!I197="", "",First!I197)</f>
        <v/>
      </c>
      <c r="J194" s="1" t="str">
        <f>IF(First!J197="", "",First!J197)</f>
        <v/>
      </c>
      <c r="K194" s="83" t="str">
        <f>IF(First!K197="", "",First!K197)</f>
        <v/>
      </c>
      <c r="M194" s="67" t="str">
        <f t="shared" si="7"/>
        <v/>
      </c>
      <c r="N194" s="76" t="str">
        <f t="shared" si="8"/>
        <v/>
      </c>
      <c r="O194" s="33">
        <f t="shared" ref="O194:O257" si="9">SUM(M194:N194)</f>
        <v>0</v>
      </c>
    </row>
    <row r="195" spans="1:15" x14ac:dyDescent="0.25">
      <c r="A195" s="64" t="s">
        <v>203</v>
      </c>
      <c r="B195" s="82" t="str">
        <f>IF(First!B198="", "",First!B198)</f>
        <v/>
      </c>
      <c r="C195" s="1" t="str">
        <f>IF(First!C198="", "",First!C198)</f>
        <v/>
      </c>
      <c r="D195" s="1" t="str">
        <f>IF(First!D198="", "",First!D198)</f>
        <v/>
      </c>
      <c r="E195" s="1" t="str">
        <f>IF(First!E198="", "",First!E198)</f>
        <v/>
      </c>
      <c r="F195" s="1" t="str">
        <f>IF(First!F198="", "",First!F198)</f>
        <v/>
      </c>
      <c r="G195" s="1" t="str">
        <f>IF(First!G198="", "",First!G198)</f>
        <v/>
      </c>
      <c r="H195" s="1" t="str">
        <f>IF(First!H198="", "",First!H198)</f>
        <v/>
      </c>
      <c r="I195" s="1" t="str">
        <f>IF(First!I198="", "",First!I198)</f>
        <v/>
      </c>
      <c r="J195" s="1" t="str">
        <f>IF(First!J198="", "",First!J198)</f>
        <v/>
      </c>
      <c r="K195" s="83" t="str">
        <f>IF(First!K198="", "",First!K198)</f>
        <v/>
      </c>
      <c r="M195" s="67" t="str">
        <f t="shared" ref="M195:M258" si="10">IF(C195="PwC",(7-COUNTIF(B195:H195,"")),"")</f>
        <v/>
      </c>
      <c r="N195" s="76" t="str">
        <f t="shared" ref="N195:N258" si="11">IF(C195="Carer",(7-COUNTIF(B195:H195,"")),"")</f>
        <v/>
      </c>
      <c r="O195" s="33">
        <f t="shared" si="9"/>
        <v>0</v>
      </c>
    </row>
    <row r="196" spans="1:15" x14ac:dyDescent="0.25">
      <c r="A196" s="64" t="s">
        <v>203</v>
      </c>
      <c r="B196" s="82" t="str">
        <f>IF(First!B199="", "",First!B199)</f>
        <v/>
      </c>
      <c r="C196" s="1" t="str">
        <f>IF(First!C199="", "",First!C199)</f>
        <v/>
      </c>
      <c r="D196" s="1" t="str">
        <f>IF(First!D199="", "",First!D199)</f>
        <v/>
      </c>
      <c r="E196" s="1" t="str">
        <f>IF(First!E199="", "",First!E199)</f>
        <v/>
      </c>
      <c r="F196" s="1" t="str">
        <f>IF(First!F199="", "",First!F199)</f>
        <v/>
      </c>
      <c r="G196" s="1" t="str">
        <f>IF(First!G199="", "",First!G199)</f>
        <v/>
      </c>
      <c r="H196" s="1" t="str">
        <f>IF(First!H199="", "",First!H199)</f>
        <v/>
      </c>
      <c r="I196" s="1" t="str">
        <f>IF(First!I199="", "",First!I199)</f>
        <v/>
      </c>
      <c r="J196" s="1" t="str">
        <f>IF(First!J199="", "",First!J199)</f>
        <v/>
      </c>
      <c r="K196" s="83" t="str">
        <f>IF(First!K199="", "",First!K199)</f>
        <v/>
      </c>
      <c r="M196" s="67" t="str">
        <f t="shared" si="10"/>
        <v/>
      </c>
      <c r="N196" s="76" t="str">
        <f t="shared" si="11"/>
        <v/>
      </c>
      <c r="O196" s="33">
        <f t="shared" si="9"/>
        <v>0</v>
      </c>
    </row>
    <row r="197" spans="1:15" x14ac:dyDescent="0.25">
      <c r="A197" s="64" t="s">
        <v>203</v>
      </c>
      <c r="B197" s="82" t="str">
        <f>IF(First!B200="", "",First!B200)</f>
        <v/>
      </c>
      <c r="C197" s="1" t="str">
        <f>IF(First!C200="", "",First!C200)</f>
        <v/>
      </c>
      <c r="D197" s="1" t="str">
        <f>IF(First!D200="", "",First!D200)</f>
        <v/>
      </c>
      <c r="E197" s="1" t="str">
        <f>IF(First!E200="", "",First!E200)</f>
        <v/>
      </c>
      <c r="F197" s="1" t="str">
        <f>IF(First!F200="", "",First!F200)</f>
        <v/>
      </c>
      <c r="G197" s="1" t="str">
        <f>IF(First!G200="", "",First!G200)</f>
        <v/>
      </c>
      <c r="H197" s="1" t="str">
        <f>IF(First!H200="", "",First!H200)</f>
        <v/>
      </c>
      <c r="I197" s="1" t="str">
        <f>IF(First!I200="", "",First!I200)</f>
        <v/>
      </c>
      <c r="J197" s="1" t="str">
        <f>IF(First!J200="", "",First!J200)</f>
        <v/>
      </c>
      <c r="K197" s="83" t="str">
        <f>IF(First!K200="", "",First!K200)</f>
        <v/>
      </c>
      <c r="M197" s="67" t="str">
        <f t="shared" si="10"/>
        <v/>
      </c>
      <c r="N197" s="76" t="str">
        <f t="shared" si="11"/>
        <v/>
      </c>
      <c r="O197" s="33">
        <f t="shared" si="9"/>
        <v>0</v>
      </c>
    </row>
    <row r="198" spans="1:15" x14ac:dyDescent="0.25">
      <c r="A198" s="64" t="s">
        <v>203</v>
      </c>
      <c r="B198" s="82" t="str">
        <f>IF(First!B201="", "",First!B201)</f>
        <v/>
      </c>
      <c r="C198" s="1" t="str">
        <f>IF(First!C201="", "",First!C201)</f>
        <v/>
      </c>
      <c r="D198" s="1" t="str">
        <f>IF(First!D201="", "",First!D201)</f>
        <v/>
      </c>
      <c r="E198" s="1" t="str">
        <f>IF(First!E201="", "",First!E201)</f>
        <v/>
      </c>
      <c r="F198" s="1" t="str">
        <f>IF(First!F201="", "",First!F201)</f>
        <v/>
      </c>
      <c r="G198" s="1" t="str">
        <f>IF(First!G201="", "",First!G201)</f>
        <v/>
      </c>
      <c r="H198" s="1" t="str">
        <f>IF(First!H201="", "",First!H201)</f>
        <v/>
      </c>
      <c r="I198" s="1" t="str">
        <f>IF(First!I201="", "",First!I201)</f>
        <v/>
      </c>
      <c r="J198" s="1" t="str">
        <f>IF(First!J201="", "",First!J201)</f>
        <v/>
      </c>
      <c r="K198" s="83" t="str">
        <f>IF(First!K201="", "",First!K201)</f>
        <v/>
      </c>
      <c r="M198" s="67" t="str">
        <f t="shared" si="10"/>
        <v/>
      </c>
      <c r="N198" s="76" t="str">
        <f t="shared" si="11"/>
        <v/>
      </c>
      <c r="O198" s="33">
        <f t="shared" si="9"/>
        <v>0</v>
      </c>
    </row>
    <row r="199" spans="1:15" x14ac:dyDescent="0.25">
      <c r="A199" s="64" t="s">
        <v>203</v>
      </c>
      <c r="B199" s="82" t="str">
        <f>IF(First!B202="", "",First!B202)</f>
        <v/>
      </c>
      <c r="C199" s="1" t="str">
        <f>IF(First!C202="", "",First!C202)</f>
        <v/>
      </c>
      <c r="D199" s="1" t="str">
        <f>IF(First!D202="", "",First!D202)</f>
        <v/>
      </c>
      <c r="E199" s="1" t="str">
        <f>IF(First!E202="", "",First!E202)</f>
        <v/>
      </c>
      <c r="F199" s="1" t="str">
        <f>IF(First!F202="", "",First!F202)</f>
        <v/>
      </c>
      <c r="G199" s="1" t="str">
        <f>IF(First!G202="", "",First!G202)</f>
        <v/>
      </c>
      <c r="H199" s="1" t="str">
        <f>IF(First!H202="", "",First!H202)</f>
        <v/>
      </c>
      <c r="I199" s="1" t="str">
        <f>IF(First!I202="", "",First!I202)</f>
        <v/>
      </c>
      <c r="J199" s="1" t="str">
        <f>IF(First!J202="", "",First!J202)</f>
        <v/>
      </c>
      <c r="K199" s="83" t="str">
        <f>IF(First!K202="", "",First!K202)</f>
        <v/>
      </c>
      <c r="M199" s="67" t="str">
        <f t="shared" si="10"/>
        <v/>
      </c>
      <c r="N199" s="76" t="str">
        <f t="shared" si="11"/>
        <v/>
      </c>
      <c r="O199" s="33">
        <f t="shared" si="9"/>
        <v>0</v>
      </c>
    </row>
    <row r="200" spans="1:15" x14ac:dyDescent="0.25">
      <c r="A200" s="64" t="s">
        <v>203</v>
      </c>
      <c r="B200" s="82" t="str">
        <f>IF(First!B203="", "",First!B203)</f>
        <v/>
      </c>
      <c r="C200" s="1" t="str">
        <f>IF(First!C203="", "",First!C203)</f>
        <v/>
      </c>
      <c r="D200" s="1" t="str">
        <f>IF(First!D203="", "",First!D203)</f>
        <v/>
      </c>
      <c r="E200" s="1" t="str">
        <f>IF(First!E203="", "",First!E203)</f>
        <v/>
      </c>
      <c r="F200" s="1" t="str">
        <f>IF(First!F203="", "",First!F203)</f>
        <v/>
      </c>
      <c r="G200" s="1" t="str">
        <f>IF(First!G203="", "",First!G203)</f>
        <v/>
      </c>
      <c r="H200" s="1" t="str">
        <f>IF(First!H203="", "",First!H203)</f>
        <v/>
      </c>
      <c r="I200" s="1" t="str">
        <f>IF(First!I203="", "",First!I203)</f>
        <v/>
      </c>
      <c r="J200" s="1" t="str">
        <f>IF(First!J203="", "",First!J203)</f>
        <v/>
      </c>
      <c r="K200" s="83" t="str">
        <f>IF(First!K203="", "",First!K203)</f>
        <v/>
      </c>
      <c r="M200" s="67" t="str">
        <f t="shared" si="10"/>
        <v/>
      </c>
      <c r="N200" s="76" t="str">
        <f t="shared" si="11"/>
        <v/>
      </c>
      <c r="O200" s="33">
        <f t="shared" si="9"/>
        <v>0</v>
      </c>
    </row>
    <row r="201" spans="1:15" x14ac:dyDescent="0.25">
      <c r="A201" s="64" t="s">
        <v>203</v>
      </c>
      <c r="B201" s="82" t="str">
        <f>IF(First!B204="", "",First!B204)</f>
        <v/>
      </c>
      <c r="C201" s="1" t="str">
        <f>IF(First!C204="", "",First!C204)</f>
        <v/>
      </c>
      <c r="D201" s="1" t="str">
        <f>IF(First!D204="", "",First!D204)</f>
        <v/>
      </c>
      <c r="E201" s="1" t="str">
        <f>IF(First!E204="", "",First!E204)</f>
        <v/>
      </c>
      <c r="F201" s="1" t="str">
        <f>IF(First!F204="", "",First!F204)</f>
        <v/>
      </c>
      <c r="G201" s="1" t="str">
        <f>IF(First!G204="", "",First!G204)</f>
        <v/>
      </c>
      <c r="H201" s="1" t="str">
        <f>IF(First!H204="", "",First!H204)</f>
        <v/>
      </c>
      <c r="I201" s="1" t="str">
        <f>IF(First!I204="", "",First!I204)</f>
        <v/>
      </c>
      <c r="J201" s="1" t="str">
        <f>IF(First!J204="", "",First!J204)</f>
        <v/>
      </c>
      <c r="K201" s="83" t="str">
        <f>IF(First!K204="", "",First!K204)</f>
        <v/>
      </c>
      <c r="M201" s="67" t="str">
        <f t="shared" si="10"/>
        <v/>
      </c>
      <c r="N201" s="76" t="str">
        <f t="shared" si="11"/>
        <v/>
      </c>
      <c r="O201" s="33">
        <f t="shared" si="9"/>
        <v>0</v>
      </c>
    </row>
    <row r="202" spans="1:15" x14ac:dyDescent="0.25">
      <c r="A202" s="64" t="s">
        <v>203</v>
      </c>
      <c r="B202" s="82" t="str">
        <f>IF(First!B205="", "",First!B205)</f>
        <v/>
      </c>
      <c r="C202" s="1" t="str">
        <f>IF(First!C205="", "",First!C205)</f>
        <v/>
      </c>
      <c r="D202" s="1" t="str">
        <f>IF(First!D205="", "",First!D205)</f>
        <v/>
      </c>
      <c r="E202" s="1" t="str">
        <f>IF(First!E205="", "",First!E205)</f>
        <v/>
      </c>
      <c r="F202" s="1" t="str">
        <f>IF(First!F205="", "",First!F205)</f>
        <v/>
      </c>
      <c r="G202" s="1" t="str">
        <f>IF(First!G205="", "",First!G205)</f>
        <v/>
      </c>
      <c r="H202" s="1" t="str">
        <f>IF(First!H205="", "",First!H205)</f>
        <v/>
      </c>
      <c r="I202" s="1" t="str">
        <f>IF(First!I205="", "",First!I205)</f>
        <v/>
      </c>
      <c r="J202" s="1" t="str">
        <f>IF(First!J205="", "",First!J205)</f>
        <v/>
      </c>
      <c r="K202" s="83" t="str">
        <f>IF(First!K205="", "",First!K205)</f>
        <v/>
      </c>
      <c r="L202" s="88"/>
      <c r="M202" s="67" t="str">
        <f t="shared" si="10"/>
        <v/>
      </c>
      <c r="N202" s="76" t="str">
        <f t="shared" si="11"/>
        <v/>
      </c>
      <c r="O202" s="33">
        <f t="shared" si="9"/>
        <v>0</v>
      </c>
    </row>
    <row r="203" spans="1:15" x14ac:dyDescent="0.25">
      <c r="A203" s="64" t="s">
        <v>203</v>
      </c>
      <c r="B203" s="82" t="str">
        <f>IF(First!B206="", "",First!B206)</f>
        <v/>
      </c>
      <c r="C203" s="1" t="str">
        <f>IF(First!C206="", "",First!C206)</f>
        <v/>
      </c>
      <c r="D203" s="1" t="str">
        <f>IF(First!D206="", "",First!D206)</f>
        <v/>
      </c>
      <c r="E203" s="1" t="str">
        <f>IF(First!E206="", "",First!E206)</f>
        <v/>
      </c>
      <c r="F203" s="1" t="str">
        <f>IF(First!F206="", "",First!F206)</f>
        <v/>
      </c>
      <c r="G203" s="1" t="str">
        <f>IF(First!G206="", "",First!G206)</f>
        <v/>
      </c>
      <c r="H203" s="1" t="str">
        <f>IF(First!H206="", "",First!H206)</f>
        <v/>
      </c>
      <c r="I203" s="1" t="str">
        <f>IF(First!I206="", "",First!I206)</f>
        <v/>
      </c>
      <c r="J203" s="1" t="str">
        <f>IF(First!J206="", "",First!J206)</f>
        <v/>
      </c>
      <c r="K203" s="83" t="str">
        <f>IF(First!K206="", "",First!K206)</f>
        <v/>
      </c>
      <c r="L203" s="88"/>
      <c r="M203" s="67" t="str">
        <f t="shared" si="10"/>
        <v/>
      </c>
      <c r="N203" s="76" t="str">
        <f t="shared" si="11"/>
        <v/>
      </c>
      <c r="O203" s="33">
        <f t="shared" si="9"/>
        <v>0</v>
      </c>
    </row>
    <row r="204" spans="1:15" x14ac:dyDescent="0.25">
      <c r="A204" s="64" t="s">
        <v>203</v>
      </c>
      <c r="B204" s="82" t="str">
        <f>IF(First!B207="", "",First!B207)</f>
        <v/>
      </c>
      <c r="C204" s="1" t="str">
        <f>IF(First!C207="", "",First!C207)</f>
        <v/>
      </c>
      <c r="D204" s="1" t="str">
        <f>IF(First!D207="", "",First!D207)</f>
        <v/>
      </c>
      <c r="E204" s="1" t="str">
        <f>IF(First!E207="", "",First!E207)</f>
        <v/>
      </c>
      <c r="F204" s="1" t="str">
        <f>IF(First!F207="", "",First!F207)</f>
        <v/>
      </c>
      <c r="G204" s="1" t="str">
        <f>IF(First!G207="", "",First!G207)</f>
        <v/>
      </c>
      <c r="H204" s="1" t="str">
        <f>IF(First!H207="", "",First!H207)</f>
        <v/>
      </c>
      <c r="I204" s="1" t="str">
        <f>IF(First!I207="", "",First!I207)</f>
        <v/>
      </c>
      <c r="J204" s="1" t="str">
        <f>IF(First!J207="", "",First!J207)</f>
        <v/>
      </c>
      <c r="K204" s="83" t="str">
        <f>IF(First!K207="", "",First!K207)</f>
        <v/>
      </c>
      <c r="L204" s="88"/>
      <c r="M204" s="67" t="str">
        <f t="shared" si="10"/>
        <v/>
      </c>
      <c r="N204" s="76" t="str">
        <f t="shared" si="11"/>
        <v/>
      </c>
      <c r="O204" s="33">
        <f t="shared" si="9"/>
        <v>0</v>
      </c>
    </row>
    <row r="205" spans="1:15" x14ac:dyDescent="0.25">
      <c r="A205" s="64" t="s">
        <v>203</v>
      </c>
      <c r="B205" s="82" t="str">
        <f>IF(First!B208="", "",First!B208)</f>
        <v/>
      </c>
      <c r="C205" s="1" t="str">
        <f>IF(First!C208="", "",First!C208)</f>
        <v/>
      </c>
      <c r="D205" s="1" t="str">
        <f>IF(First!D208="", "",First!D208)</f>
        <v/>
      </c>
      <c r="E205" s="1" t="str">
        <f>IF(First!E208="", "",First!E208)</f>
        <v/>
      </c>
      <c r="F205" s="1" t="str">
        <f>IF(First!F208="", "",First!F208)</f>
        <v/>
      </c>
      <c r="G205" s="1" t="str">
        <f>IF(First!G208="", "",First!G208)</f>
        <v/>
      </c>
      <c r="H205" s="1" t="str">
        <f>IF(First!H208="", "",First!H208)</f>
        <v/>
      </c>
      <c r="I205" s="1" t="str">
        <f>IF(First!I208="", "",First!I208)</f>
        <v/>
      </c>
      <c r="J205" s="1" t="str">
        <f>IF(First!J208="", "",First!J208)</f>
        <v/>
      </c>
      <c r="K205" s="83" t="str">
        <f>IF(First!K208="", "",First!K208)</f>
        <v/>
      </c>
      <c r="L205" s="88"/>
      <c r="M205" s="67" t="str">
        <f t="shared" si="10"/>
        <v/>
      </c>
      <c r="N205" s="76" t="str">
        <f t="shared" si="11"/>
        <v/>
      </c>
      <c r="O205" s="33">
        <f t="shared" si="9"/>
        <v>0</v>
      </c>
    </row>
    <row r="206" spans="1:15" x14ac:dyDescent="0.25">
      <c r="A206" s="64" t="s">
        <v>203</v>
      </c>
      <c r="B206" s="82" t="str">
        <f>IF(First!B209="", "",First!B209)</f>
        <v/>
      </c>
      <c r="C206" s="1" t="str">
        <f>IF(First!C209="", "",First!C209)</f>
        <v/>
      </c>
      <c r="D206" s="1" t="str">
        <f>IF(First!D209="", "",First!D209)</f>
        <v/>
      </c>
      <c r="E206" s="1" t="str">
        <f>IF(First!E209="", "",First!E209)</f>
        <v/>
      </c>
      <c r="F206" s="1" t="str">
        <f>IF(First!F209="", "",First!F209)</f>
        <v/>
      </c>
      <c r="G206" s="1" t="str">
        <f>IF(First!G209="", "",First!G209)</f>
        <v/>
      </c>
      <c r="H206" s="1" t="str">
        <f>IF(First!H209="", "",First!H209)</f>
        <v/>
      </c>
      <c r="I206" s="1" t="str">
        <f>IF(First!I209="", "",First!I209)</f>
        <v/>
      </c>
      <c r="J206" s="1" t="str">
        <f>IF(First!J209="", "",First!J209)</f>
        <v/>
      </c>
      <c r="K206" s="83" t="str">
        <f>IF(First!K209="", "",First!K209)</f>
        <v/>
      </c>
      <c r="L206" s="88"/>
      <c r="M206" s="67" t="str">
        <f t="shared" si="10"/>
        <v/>
      </c>
      <c r="N206" s="76" t="str">
        <f t="shared" si="11"/>
        <v/>
      </c>
      <c r="O206" s="33">
        <f t="shared" si="9"/>
        <v>0</v>
      </c>
    </row>
    <row r="207" spans="1:15" x14ac:dyDescent="0.25">
      <c r="A207" s="64" t="s">
        <v>203</v>
      </c>
      <c r="B207" s="82" t="str">
        <f>IF(First!B210="", "",First!B210)</f>
        <v/>
      </c>
      <c r="C207" s="1" t="str">
        <f>IF(First!C210="", "",First!C210)</f>
        <v/>
      </c>
      <c r="D207" s="1" t="str">
        <f>IF(First!D210="", "",First!D210)</f>
        <v/>
      </c>
      <c r="E207" s="1" t="str">
        <f>IF(First!E210="", "",First!E210)</f>
        <v/>
      </c>
      <c r="F207" s="1" t="str">
        <f>IF(First!F210="", "",First!F210)</f>
        <v/>
      </c>
      <c r="G207" s="1" t="str">
        <f>IF(First!G210="", "",First!G210)</f>
        <v/>
      </c>
      <c r="H207" s="1" t="str">
        <f>IF(First!H210="", "",First!H210)</f>
        <v/>
      </c>
      <c r="I207" s="1" t="str">
        <f>IF(First!I210="", "",First!I210)</f>
        <v/>
      </c>
      <c r="J207" s="1" t="str">
        <f>IF(First!J210="", "",First!J210)</f>
        <v/>
      </c>
      <c r="K207" s="83" t="str">
        <f>IF(First!K210="", "",First!K210)</f>
        <v/>
      </c>
      <c r="L207" s="88"/>
      <c r="M207" s="67" t="str">
        <f t="shared" si="10"/>
        <v/>
      </c>
      <c r="N207" s="76" t="str">
        <f t="shared" si="11"/>
        <v/>
      </c>
      <c r="O207" s="33">
        <f t="shared" si="9"/>
        <v>0</v>
      </c>
    </row>
    <row r="208" spans="1:15" x14ac:dyDescent="0.25">
      <c r="A208" s="64" t="s">
        <v>203</v>
      </c>
      <c r="B208" s="82" t="str">
        <f>IF(First!B211="", "",First!B211)</f>
        <v/>
      </c>
      <c r="C208" s="1" t="str">
        <f>IF(First!C211="", "",First!C211)</f>
        <v/>
      </c>
      <c r="D208" s="1" t="str">
        <f>IF(First!D211="", "",First!D211)</f>
        <v/>
      </c>
      <c r="E208" s="1" t="str">
        <f>IF(First!E211="", "",First!E211)</f>
        <v/>
      </c>
      <c r="F208" s="1" t="str">
        <f>IF(First!F211="", "",First!F211)</f>
        <v/>
      </c>
      <c r="G208" s="1" t="str">
        <f>IF(First!G211="", "",First!G211)</f>
        <v/>
      </c>
      <c r="H208" s="1" t="str">
        <f>IF(First!H211="", "",First!H211)</f>
        <v/>
      </c>
      <c r="I208" s="1" t="str">
        <f>IF(First!I211="", "",First!I211)</f>
        <v/>
      </c>
      <c r="J208" s="1" t="str">
        <f>IF(First!J211="", "",First!J211)</f>
        <v/>
      </c>
      <c r="K208" s="83" t="str">
        <f>IF(First!K211="", "",First!K211)</f>
        <v/>
      </c>
      <c r="L208" s="88"/>
      <c r="M208" s="67" t="str">
        <f t="shared" si="10"/>
        <v/>
      </c>
      <c r="N208" s="76" t="str">
        <f t="shared" si="11"/>
        <v/>
      </c>
      <c r="O208" s="33">
        <f t="shared" si="9"/>
        <v>0</v>
      </c>
    </row>
    <row r="209" spans="1:15" x14ac:dyDescent="0.25">
      <c r="A209" s="64" t="s">
        <v>203</v>
      </c>
      <c r="B209" s="82" t="str">
        <f>IF(First!B212="", "",First!B212)</f>
        <v/>
      </c>
      <c r="C209" s="1" t="str">
        <f>IF(First!C212="", "",First!C212)</f>
        <v/>
      </c>
      <c r="D209" s="1" t="str">
        <f>IF(First!D212="", "",First!D212)</f>
        <v/>
      </c>
      <c r="E209" s="1" t="str">
        <f>IF(First!E212="", "",First!E212)</f>
        <v/>
      </c>
      <c r="F209" s="1" t="str">
        <f>IF(First!F212="", "",First!F212)</f>
        <v/>
      </c>
      <c r="G209" s="1" t="str">
        <f>IF(First!G212="", "",First!G212)</f>
        <v/>
      </c>
      <c r="H209" s="1" t="str">
        <f>IF(First!H212="", "",First!H212)</f>
        <v/>
      </c>
      <c r="I209" s="1" t="str">
        <f>IF(First!I212="", "",First!I212)</f>
        <v/>
      </c>
      <c r="J209" s="1" t="str">
        <f>IF(First!J212="", "",First!J212)</f>
        <v/>
      </c>
      <c r="K209" s="83" t="str">
        <f>IF(First!K212="", "",First!K212)</f>
        <v/>
      </c>
      <c r="L209" s="88"/>
      <c r="M209" s="67" t="str">
        <f t="shared" si="10"/>
        <v/>
      </c>
      <c r="N209" s="76" t="str">
        <f t="shared" si="11"/>
        <v/>
      </c>
      <c r="O209" s="33">
        <f t="shared" si="9"/>
        <v>0</v>
      </c>
    </row>
    <row r="210" spans="1:15" x14ac:dyDescent="0.25">
      <c r="A210" s="64" t="s">
        <v>203</v>
      </c>
      <c r="B210" s="82" t="str">
        <f>IF(First!B213="", "",First!B213)</f>
        <v/>
      </c>
      <c r="C210" s="1" t="str">
        <f>IF(First!C213="", "",First!C213)</f>
        <v/>
      </c>
      <c r="D210" s="1" t="str">
        <f>IF(First!D213="", "",First!D213)</f>
        <v/>
      </c>
      <c r="E210" s="1" t="str">
        <f>IF(First!E213="", "",First!E213)</f>
        <v/>
      </c>
      <c r="F210" s="1" t="str">
        <f>IF(First!F213="", "",First!F213)</f>
        <v/>
      </c>
      <c r="G210" s="1" t="str">
        <f>IF(First!G213="", "",First!G213)</f>
        <v/>
      </c>
      <c r="H210" s="1" t="str">
        <f>IF(First!H213="", "",First!H213)</f>
        <v/>
      </c>
      <c r="I210" s="1" t="str">
        <f>IF(First!I213="", "",First!I213)</f>
        <v/>
      </c>
      <c r="J210" s="1" t="str">
        <f>IF(First!J213="", "",First!J213)</f>
        <v/>
      </c>
      <c r="K210" s="83" t="str">
        <f>IF(First!K213="", "",First!K213)</f>
        <v/>
      </c>
      <c r="L210" s="88"/>
      <c r="M210" s="67" t="str">
        <f t="shared" si="10"/>
        <v/>
      </c>
      <c r="N210" s="76" t="str">
        <f t="shared" si="11"/>
        <v/>
      </c>
      <c r="O210" s="33">
        <f t="shared" si="9"/>
        <v>0</v>
      </c>
    </row>
    <row r="211" spans="1:15" x14ac:dyDescent="0.25">
      <c r="A211" s="64" t="s">
        <v>203</v>
      </c>
      <c r="B211" s="82" t="str">
        <f>IF(First!B214="", "",First!B214)</f>
        <v/>
      </c>
      <c r="C211" s="1" t="str">
        <f>IF(First!C214="", "",First!C214)</f>
        <v/>
      </c>
      <c r="D211" s="1" t="str">
        <f>IF(First!D214="", "",First!D214)</f>
        <v/>
      </c>
      <c r="E211" s="1" t="str">
        <f>IF(First!E214="", "",First!E214)</f>
        <v/>
      </c>
      <c r="F211" s="1" t="str">
        <f>IF(First!F214="", "",First!F214)</f>
        <v/>
      </c>
      <c r="G211" s="1" t="str">
        <f>IF(First!G214="", "",First!G214)</f>
        <v/>
      </c>
      <c r="H211" s="1" t="str">
        <f>IF(First!H214="", "",First!H214)</f>
        <v/>
      </c>
      <c r="I211" s="1" t="str">
        <f>IF(First!I214="", "",First!I214)</f>
        <v/>
      </c>
      <c r="J211" s="1" t="str">
        <f>IF(First!J214="", "",First!J214)</f>
        <v/>
      </c>
      <c r="K211" s="83" t="str">
        <f>IF(First!K214="", "",First!K214)</f>
        <v/>
      </c>
      <c r="L211" s="88"/>
      <c r="M211" s="67" t="str">
        <f t="shared" si="10"/>
        <v/>
      </c>
      <c r="N211" s="76" t="str">
        <f t="shared" si="11"/>
        <v/>
      </c>
      <c r="O211" s="33">
        <f t="shared" si="9"/>
        <v>0</v>
      </c>
    </row>
    <row r="212" spans="1:15" x14ac:dyDescent="0.25">
      <c r="A212" s="64" t="s">
        <v>203</v>
      </c>
      <c r="B212" s="82" t="str">
        <f>IF(First!B215="", "",First!B215)</f>
        <v/>
      </c>
      <c r="C212" s="1" t="str">
        <f>IF(First!C215="", "",First!C215)</f>
        <v/>
      </c>
      <c r="D212" s="1" t="str">
        <f>IF(First!D215="", "",First!D215)</f>
        <v/>
      </c>
      <c r="E212" s="1" t="str">
        <f>IF(First!E215="", "",First!E215)</f>
        <v/>
      </c>
      <c r="F212" s="1" t="str">
        <f>IF(First!F215="", "",First!F215)</f>
        <v/>
      </c>
      <c r="G212" s="1" t="str">
        <f>IF(First!G215="", "",First!G215)</f>
        <v/>
      </c>
      <c r="H212" s="1" t="str">
        <f>IF(First!H215="", "",First!H215)</f>
        <v/>
      </c>
      <c r="I212" s="1" t="str">
        <f>IF(First!I215="", "",First!I215)</f>
        <v/>
      </c>
      <c r="J212" s="1" t="str">
        <f>IF(First!J215="", "",First!J215)</f>
        <v/>
      </c>
      <c r="K212" s="83" t="str">
        <f>IF(First!K215="", "",First!K215)</f>
        <v/>
      </c>
      <c r="L212" s="88"/>
      <c r="M212" s="67" t="str">
        <f t="shared" si="10"/>
        <v/>
      </c>
      <c r="N212" s="76" t="str">
        <f t="shared" si="11"/>
        <v/>
      </c>
      <c r="O212" s="33">
        <f t="shared" si="9"/>
        <v>0</v>
      </c>
    </row>
    <row r="213" spans="1:15" x14ac:dyDescent="0.25">
      <c r="A213" s="64" t="s">
        <v>203</v>
      </c>
      <c r="B213" s="82" t="str">
        <f>IF(First!B216="", "",First!B216)</f>
        <v/>
      </c>
      <c r="C213" s="1" t="str">
        <f>IF(First!C216="", "",First!C216)</f>
        <v/>
      </c>
      <c r="D213" s="1" t="str">
        <f>IF(First!D216="", "",First!D216)</f>
        <v/>
      </c>
      <c r="E213" s="1" t="str">
        <f>IF(First!E216="", "",First!E216)</f>
        <v/>
      </c>
      <c r="F213" s="1" t="str">
        <f>IF(First!F216="", "",First!F216)</f>
        <v/>
      </c>
      <c r="G213" s="1" t="str">
        <f>IF(First!G216="", "",First!G216)</f>
        <v/>
      </c>
      <c r="H213" s="1" t="str">
        <f>IF(First!H216="", "",First!H216)</f>
        <v/>
      </c>
      <c r="I213" s="1" t="str">
        <f>IF(First!I216="", "",First!I216)</f>
        <v/>
      </c>
      <c r="J213" s="1" t="str">
        <f>IF(First!J216="", "",First!J216)</f>
        <v/>
      </c>
      <c r="K213" s="83" t="str">
        <f>IF(First!K216="", "",First!K216)</f>
        <v/>
      </c>
      <c r="L213" s="88"/>
      <c r="M213" s="67" t="str">
        <f t="shared" si="10"/>
        <v/>
      </c>
      <c r="N213" s="76" t="str">
        <f t="shared" si="11"/>
        <v/>
      </c>
      <c r="O213" s="33">
        <f t="shared" si="9"/>
        <v>0</v>
      </c>
    </row>
    <row r="214" spans="1:15" x14ac:dyDescent="0.25">
      <c r="A214" s="64" t="s">
        <v>203</v>
      </c>
      <c r="B214" s="82" t="str">
        <f>IF(First!B217="", "",First!B217)</f>
        <v/>
      </c>
      <c r="C214" s="1" t="str">
        <f>IF(First!C217="", "",First!C217)</f>
        <v/>
      </c>
      <c r="D214" s="1" t="str">
        <f>IF(First!D217="", "",First!D217)</f>
        <v/>
      </c>
      <c r="E214" s="1" t="str">
        <f>IF(First!E217="", "",First!E217)</f>
        <v/>
      </c>
      <c r="F214" s="1" t="str">
        <f>IF(First!F217="", "",First!F217)</f>
        <v/>
      </c>
      <c r="G214" s="1" t="str">
        <f>IF(First!G217="", "",First!G217)</f>
        <v/>
      </c>
      <c r="H214" s="1" t="str">
        <f>IF(First!H217="", "",First!H217)</f>
        <v/>
      </c>
      <c r="I214" s="1" t="str">
        <f>IF(First!I217="", "",First!I217)</f>
        <v/>
      </c>
      <c r="J214" s="1" t="str">
        <f>IF(First!J217="", "",First!J217)</f>
        <v/>
      </c>
      <c r="K214" s="83" t="str">
        <f>IF(First!K217="", "",First!K217)</f>
        <v/>
      </c>
      <c r="L214" s="88"/>
      <c r="M214" s="67" t="str">
        <f t="shared" si="10"/>
        <v/>
      </c>
      <c r="N214" s="76" t="str">
        <f t="shared" si="11"/>
        <v/>
      </c>
      <c r="O214" s="33">
        <f t="shared" si="9"/>
        <v>0</v>
      </c>
    </row>
    <row r="215" spans="1:15" x14ac:dyDescent="0.25">
      <c r="A215" s="64" t="s">
        <v>203</v>
      </c>
      <c r="B215" s="82" t="str">
        <f>IF(First!B218="", "",First!B218)</f>
        <v/>
      </c>
      <c r="C215" s="1" t="str">
        <f>IF(First!C218="", "",First!C218)</f>
        <v/>
      </c>
      <c r="D215" s="1" t="str">
        <f>IF(First!D218="", "",First!D218)</f>
        <v/>
      </c>
      <c r="E215" s="1" t="str">
        <f>IF(First!E218="", "",First!E218)</f>
        <v/>
      </c>
      <c r="F215" s="1" t="str">
        <f>IF(First!F218="", "",First!F218)</f>
        <v/>
      </c>
      <c r="G215" s="1" t="str">
        <f>IF(First!G218="", "",First!G218)</f>
        <v/>
      </c>
      <c r="H215" s="1" t="str">
        <f>IF(First!H218="", "",First!H218)</f>
        <v/>
      </c>
      <c r="I215" s="1" t="str">
        <f>IF(First!I218="", "",First!I218)</f>
        <v/>
      </c>
      <c r="J215" s="1" t="str">
        <f>IF(First!J218="", "",First!J218)</f>
        <v/>
      </c>
      <c r="K215" s="83" t="str">
        <f>IF(First!K218="", "",First!K218)</f>
        <v/>
      </c>
      <c r="L215" s="88"/>
      <c r="M215" s="67" t="str">
        <f t="shared" si="10"/>
        <v/>
      </c>
      <c r="N215" s="76" t="str">
        <f t="shared" si="11"/>
        <v/>
      </c>
      <c r="O215" s="33">
        <f t="shared" si="9"/>
        <v>0</v>
      </c>
    </row>
    <row r="216" spans="1:15" x14ac:dyDescent="0.25">
      <c r="A216" s="64" t="s">
        <v>203</v>
      </c>
      <c r="B216" s="82" t="str">
        <f>IF(First!B219="", "",First!B219)</f>
        <v/>
      </c>
      <c r="C216" s="1" t="str">
        <f>IF(First!C219="", "",First!C219)</f>
        <v/>
      </c>
      <c r="D216" s="1" t="str">
        <f>IF(First!D219="", "",First!D219)</f>
        <v/>
      </c>
      <c r="E216" s="1" t="str">
        <f>IF(First!E219="", "",First!E219)</f>
        <v/>
      </c>
      <c r="F216" s="1" t="str">
        <f>IF(First!F219="", "",First!F219)</f>
        <v/>
      </c>
      <c r="G216" s="1" t="str">
        <f>IF(First!G219="", "",First!G219)</f>
        <v/>
      </c>
      <c r="H216" s="1" t="str">
        <f>IF(First!H219="", "",First!H219)</f>
        <v/>
      </c>
      <c r="I216" s="1" t="str">
        <f>IF(First!I219="", "",First!I219)</f>
        <v/>
      </c>
      <c r="J216" s="1" t="str">
        <f>IF(First!J219="", "",First!J219)</f>
        <v/>
      </c>
      <c r="K216" s="83" t="str">
        <f>IF(First!K219="", "",First!K219)</f>
        <v/>
      </c>
      <c r="L216" s="88"/>
      <c r="M216" s="67" t="str">
        <f t="shared" si="10"/>
        <v/>
      </c>
      <c r="N216" s="76" t="str">
        <f t="shared" si="11"/>
        <v/>
      </c>
      <c r="O216" s="33">
        <f t="shared" si="9"/>
        <v>0</v>
      </c>
    </row>
    <row r="217" spans="1:15" x14ac:dyDescent="0.25">
      <c r="A217" s="64" t="s">
        <v>203</v>
      </c>
      <c r="B217" s="82" t="str">
        <f>IF(First!B220="", "",First!B220)</f>
        <v/>
      </c>
      <c r="C217" s="1" t="str">
        <f>IF(First!C220="", "",First!C220)</f>
        <v/>
      </c>
      <c r="D217" s="1" t="str">
        <f>IF(First!D220="", "",First!D220)</f>
        <v/>
      </c>
      <c r="E217" s="1" t="str">
        <f>IF(First!E220="", "",First!E220)</f>
        <v/>
      </c>
      <c r="F217" s="1" t="str">
        <f>IF(First!F220="", "",First!F220)</f>
        <v/>
      </c>
      <c r="G217" s="1" t="str">
        <f>IF(First!G220="", "",First!G220)</f>
        <v/>
      </c>
      <c r="H217" s="1" t="str">
        <f>IF(First!H220="", "",First!H220)</f>
        <v/>
      </c>
      <c r="I217" s="1" t="str">
        <f>IF(First!I220="", "",First!I220)</f>
        <v/>
      </c>
      <c r="J217" s="1" t="str">
        <f>IF(First!J220="", "",First!J220)</f>
        <v/>
      </c>
      <c r="K217" s="83" t="str">
        <f>IF(First!K220="", "",First!K220)</f>
        <v/>
      </c>
      <c r="L217" s="88"/>
      <c r="M217" s="67" t="str">
        <f t="shared" si="10"/>
        <v/>
      </c>
      <c r="N217" s="76" t="str">
        <f t="shared" si="11"/>
        <v/>
      </c>
      <c r="O217" s="33">
        <f t="shared" si="9"/>
        <v>0</v>
      </c>
    </row>
    <row r="218" spans="1:15" x14ac:dyDescent="0.25">
      <c r="A218" s="64" t="s">
        <v>203</v>
      </c>
      <c r="B218" s="82" t="str">
        <f>IF(First!B221="", "",First!B221)</f>
        <v/>
      </c>
      <c r="C218" s="1" t="str">
        <f>IF(First!C221="", "",First!C221)</f>
        <v/>
      </c>
      <c r="D218" s="1" t="str">
        <f>IF(First!D221="", "",First!D221)</f>
        <v/>
      </c>
      <c r="E218" s="1" t="str">
        <f>IF(First!E221="", "",First!E221)</f>
        <v/>
      </c>
      <c r="F218" s="1" t="str">
        <f>IF(First!F221="", "",First!F221)</f>
        <v/>
      </c>
      <c r="G218" s="1" t="str">
        <f>IF(First!G221="", "",First!G221)</f>
        <v/>
      </c>
      <c r="H218" s="1" t="str">
        <f>IF(First!H221="", "",First!H221)</f>
        <v/>
      </c>
      <c r="I218" s="1" t="str">
        <f>IF(First!I221="", "",First!I221)</f>
        <v/>
      </c>
      <c r="J218" s="1" t="str">
        <f>IF(First!J221="", "",First!J221)</f>
        <v/>
      </c>
      <c r="K218" s="83" t="str">
        <f>IF(First!K221="", "",First!K221)</f>
        <v/>
      </c>
      <c r="L218" s="88"/>
      <c r="M218" s="67" t="str">
        <f t="shared" si="10"/>
        <v/>
      </c>
      <c r="N218" s="76" t="str">
        <f t="shared" si="11"/>
        <v/>
      </c>
      <c r="O218" s="33">
        <f t="shared" si="9"/>
        <v>0</v>
      </c>
    </row>
    <row r="219" spans="1:15" x14ac:dyDescent="0.25">
      <c r="A219" s="64" t="s">
        <v>203</v>
      </c>
      <c r="B219" s="82" t="str">
        <f>IF(First!B222="", "",First!B222)</f>
        <v/>
      </c>
      <c r="C219" s="1" t="str">
        <f>IF(First!C222="", "",First!C222)</f>
        <v/>
      </c>
      <c r="D219" s="1" t="str">
        <f>IF(First!D222="", "",First!D222)</f>
        <v/>
      </c>
      <c r="E219" s="1" t="str">
        <f>IF(First!E222="", "",First!E222)</f>
        <v/>
      </c>
      <c r="F219" s="1" t="str">
        <f>IF(First!F222="", "",First!F222)</f>
        <v/>
      </c>
      <c r="G219" s="1" t="str">
        <f>IF(First!G222="", "",First!G222)</f>
        <v/>
      </c>
      <c r="H219" s="1" t="str">
        <f>IF(First!H222="", "",First!H222)</f>
        <v/>
      </c>
      <c r="I219" s="1" t="str">
        <f>IF(First!I222="", "",First!I222)</f>
        <v/>
      </c>
      <c r="J219" s="1" t="str">
        <f>IF(First!J222="", "",First!J222)</f>
        <v/>
      </c>
      <c r="K219" s="83" t="str">
        <f>IF(First!K222="", "",First!K222)</f>
        <v/>
      </c>
      <c r="L219" s="88"/>
      <c r="M219" s="67" t="str">
        <f t="shared" si="10"/>
        <v/>
      </c>
      <c r="N219" s="76" t="str">
        <f t="shared" si="11"/>
        <v/>
      </c>
      <c r="O219" s="33">
        <f t="shared" si="9"/>
        <v>0</v>
      </c>
    </row>
    <row r="220" spans="1:15" x14ac:dyDescent="0.25">
      <c r="A220" s="64" t="s">
        <v>203</v>
      </c>
      <c r="B220" s="82" t="str">
        <f>IF(First!B223="", "",First!B223)</f>
        <v/>
      </c>
      <c r="C220" s="1" t="str">
        <f>IF(First!C223="", "",First!C223)</f>
        <v/>
      </c>
      <c r="D220" s="1" t="str">
        <f>IF(First!D223="", "",First!D223)</f>
        <v/>
      </c>
      <c r="E220" s="1" t="str">
        <f>IF(First!E223="", "",First!E223)</f>
        <v/>
      </c>
      <c r="F220" s="1" t="str">
        <f>IF(First!F223="", "",First!F223)</f>
        <v/>
      </c>
      <c r="G220" s="1" t="str">
        <f>IF(First!G223="", "",First!G223)</f>
        <v/>
      </c>
      <c r="H220" s="1" t="str">
        <f>IF(First!H223="", "",First!H223)</f>
        <v/>
      </c>
      <c r="I220" s="1" t="str">
        <f>IF(First!I223="", "",First!I223)</f>
        <v/>
      </c>
      <c r="J220" s="1" t="str">
        <f>IF(First!J223="", "",First!J223)</f>
        <v/>
      </c>
      <c r="K220" s="83" t="str">
        <f>IF(First!K223="", "",First!K223)</f>
        <v/>
      </c>
      <c r="L220" s="88"/>
      <c r="M220" s="67" t="str">
        <f t="shared" si="10"/>
        <v/>
      </c>
      <c r="N220" s="76" t="str">
        <f t="shared" si="11"/>
        <v/>
      </c>
      <c r="O220" s="33">
        <f t="shared" si="9"/>
        <v>0</v>
      </c>
    </row>
    <row r="221" spans="1:15" x14ac:dyDescent="0.25">
      <c r="A221" s="64" t="s">
        <v>203</v>
      </c>
      <c r="B221" s="82" t="str">
        <f>IF(First!B224="", "",First!B224)</f>
        <v/>
      </c>
      <c r="C221" s="1" t="str">
        <f>IF(First!C224="", "",First!C224)</f>
        <v/>
      </c>
      <c r="D221" s="1" t="str">
        <f>IF(First!D224="", "",First!D224)</f>
        <v/>
      </c>
      <c r="E221" s="1" t="str">
        <f>IF(First!E224="", "",First!E224)</f>
        <v/>
      </c>
      <c r="F221" s="1" t="str">
        <f>IF(First!F224="", "",First!F224)</f>
        <v/>
      </c>
      <c r="G221" s="1" t="str">
        <f>IF(First!G224="", "",First!G224)</f>
        <v/>
      </c>
      <c r="H221" s="1" t="str">
        <f>IF(First!H224="", "",First!H224)</f>
        <v/>
      </c>
      <c r="I221" s="1" t="str">
        <f>IF(First!I224="", "",First!I224)</f>
        <v/>
      </c>
      <c r="J221" s="1" t="str">
        <f>IF(First!J224="", "",First!J224)</f>
        <v/>
      </c>
      <c r="K221" s="83" t="str">
        <f>IF(First!K224="", "",First!K224)</f>
        <v/>
      </c>
      <c r="L221" s="88"/>
      <c r="M221" s="67" t="str">
        <f t="shared" si="10"/>
        <v/>
      </c>
      <c r="N221" s="76" t="str">
        <f t="shared" si="11"/>
        <v/>
      </c>
      <c r="O221" s="33">
        <f t="shared" si="9"/>
        <v>0</v>
      </c>
    </row>
    <row r="222" spans="1:15" x14ac:dyDescent="0.25">
      <c r="A222" s="64" t="s">
        <v>203</v>
      </c>
      <c r="B222" s="82" t="str">
        <f>IF(First!B225="", "",First!B225)</f>
        <v/>
      </c>
      <c r="C222" s="1" t="str">
        <f>IF(First!C225="", "",First!C225)</f>
        <v/>
      </c>
      <c r="D222" s="1" t="str">
        <f>IF(First!D225="", "",First!D225)</f>
        <v/>
      </c>
      <c r="E222" s="1" t="str">
        <f>IF(First!E225="", "",First!E225)</f>
        <v/>
      </c>
      <c r="F222" s="1" t="str">
        <f>IF(First!F225="", "",First!F225)</f>
        <v/>
      </c>
      <c r="G222" s="1" t="str">
        <f>IF(First!G225="", "",First!G225)</f>
        <v/>
      </c>
      <c r="H222" s="1" t="str">
        <f>IF(First!H225="", "",First!H225)</f>
        <v/>
      </c>
      <c r="I222" s="1" t="str">
        <f>IF(First!I225="", "",First!I225)</f>
        <v/>
      </c>
      <c r="J222" s="1" t="str">
        <f>IF(First!J225="", "",First!J225)</f>
        <v/>
      </c>
      <c r="K222" s="83" t="str">
        <f>IF(First!K225="", "",First!K225)</f>
        <v/>
      </c>
      <c r="L222" s="88"/>
      <c r="M222" s="67" t="str">
        <f t="shared" si="10"/>
        <v/>
      </c>
      <c r="N222" s="76" t="str">
        <f t="shared" si="11"/>
        <v/>
      </c>
      <c r="O222" s="33">
        <f t="shared" si="9"/>
        <v>0</v>
      </c>
    </row>
    <row r="223" spans="1:15" x14ac:dyDescent="0.25">
      <c r="A223" s="64" t="s">
        <v>203</v>
      </c>
      <c r="B223" s="82" t="str">
        <f>IF(First!B226="", "",First!B226)</f>
        <v/>
      </c>
      <c r="C223" s="1" t="str">
        <f>IF(First!C226="", "",First!C226)</f>
        <v/>
      </c>
      <c r="D223" s="1" t="str">
        <f>IF(First!D226="", "",First!D226)</f>
        <v/>
      </c>
      <c r="E223" s="1" t="str">
        <f>IF(First!E226="", "",First!E226)</f>
        <v/>
      </c>
      <c r="F223" s="1" t="str">
        <f>IF(First!F226="", "",First!F226)</f>
        <v/>
      </c>
      <c r="G223" s="1" t="str">
        <f>IF(First!G226="", "",First!G226)</f>
        <v/>
      </c>
      <c r="H223" s="1" t="str">
        <f>IF(First!H226="", "",First!H226)</f>
        <v/>
      </c>
      <c r="I223" s="1" t="str">
        <f>IF(First!I226="", "",First!I226)</f>
        <v/>
      </c>
      <c r="J223" s="1" t="str">
        <f>IF(First!J226="", "",First!J226)</f>
        <v/>
      </c>
      <c r="K223" s="83" t="str">
        <f>IF(First!K226="", "",First!K226)</f>
        <v/>
      </c>
      <c r="L223" s="88"/>
      <c r="M223" s="67" t="str">
        <f t="shared" si="10"/>
        <v/>
      </c>
      <c r="N223" s="76" t="str">
        <f t="shared" si="11"/>
        <v/>
      </c>
      <c r="O223" s="33">
        <f t="shared" si="9"/>
        <v>0</v>
      </c>
    </row>
    <row r="224" spans="1:15" x14ac:dyDescent="0.25">
      <c r="A224" s="64" t="s">
        <v>203</v>
      </c>
      <c r="B224" s="82" t="str">
        <f>IF(First!B227="", "",First!B227)</f>
        <v/>
      </c>
      <c r="C224" s="1" t="str">
        <f>IF(First!C227="", "",First!C227)</f>
        <v/>
      </c>
      <c r="D224" s="1" t="str">
        <f>IF(First!D227="", "",First!D227)</f>
        <v/>
      </c>
      <c r="E224" s="1" t="str">
        <f>IF(First!E227="", "",First!E227)</f>
        <v/>
      </c>
      <c r="F224" s="1" t="str">
        <f>IF(First!F227="", "",First!F227)</f>
        <v/>
      </c>
      <c r="G224" s="1" t="str">
        <f>IF(First!G227="", "",First!G227)</f>
        <v/>
      </c>
      <c r="H224" s="1" t="str">
        <f>IF(First!H227="", "",First!H227)</f>
        <v/>
      </c>
      <c r="I224" s="1" t="str">
        <f>IF(First!I227="", "",First!I227)</f>
        <v/>
      </c>
      <c r="J224" s="1" t="str">
        <f>IF(First!J227="", "",First!J227)</f>
        <v/>
      </c>
      <c r="K224" s="83" t="str">
        <f>IF(First!K227="", "",First!K227)</f>
        <v/>
      </c>
      <c r="L224" s="88"/>
      <c r="M224" s="67" t="str">
        <f t="shared" si="10"/>
        <v/>
      </c>
      <c r="N224" s="76" t="str">
        <f t="shared" si="11"/>
        <v/>
      </c>
      <c r="O224" s="33">
        <f t="shared" si="9"/>
        <v>0</v>
      </c>
    </row>
    <row r="225" spans="1:15" x14ac:dyDescent="0.25">
      <c r="A225" s="64" t="s">
        <v>203</v>
      </c>
      <c r="B225" s="82" t="str">
        <f>IF(First!B228="", "",First!B228)</f>
        <v/>
      </c>
      <c r="C225" s="1" t="str">
        <f>IF(First!C228="", "",First!C228)</f>
        <v/>
      </c>
      <c r="D225" s="1" t="str">
        <f>IF(First!D228="", "",First!D228)</f>
        <v/>
      </c>
      <c r="E225" s="1" t="str">
        <f>IF(First!E228="", "",First!E228)</f>
        <v/>
      </c>
      <c r="F225" s="1" t="str">
        <f>IF(First!F228="", "",First!F228)</f>
        <v/>
      </c>
      <c r="G225" s="1" t="str">
        <f>IF(First!G228="", "",First!G228)</f>
        <v/>
      </c>
      <c r="H225" s="1" t="str">
        <f>IF(First!H228="", "",First!H228)</f>
        <v/>
      </c>
      <c r="I225" s="1" t="str">
        <f>IF(First!I228="", "",First!I228)</f>
        <v/>
      </c>
      <c r="J225" s="1" t="str">
        <f>IF(First!J228="", "",First!J228)</f>
        <v/>
      </c>
      <c r="K225" s="83" t="str">
        <f>IF(First!K228="", "",First!K228)</f>
        <v/>
      </c>
      <c r="L225" s="88"/>
      <c r="M225" s="67" t="str">
        <f t="shared" si="10"/>
        <v/>
      </c>
      <c r="N225" s="76" t="str">
        <f t="shared" si="11"/>
        <v/>
      </c>
      <c r="O225" s="33">
        <f t="shared" si="9"/>
        <v>0</v>
      </c>
    </row>
    <row r="226" spans="1:15" x14ac:dyDescent="0.25">
      <c r="A226" s="64" t="s">
        <v>203</v>
      </c>
      <c r="B226" s="82" t="str">
        <f>IF(First!B229="", "",First!B229)</f>
        <v/>
      </c>
      <c r="C226" s="1" t="str">
        <f>IF(First!C229="", "",First!C229)</f>
        <v/>
      </c>
      <c r="D226" s="1" t="str">
        <f>IF(First!D229="", "",First!D229)</f>
        <v/>
      </c>
      <c r="E226" s="1" t="str">
        <f>IF(First!E229="", "",First!E229)</f>
        <v/>
      </c>
      <c r="F226" s="1" t="str">
        <f>IF(First!F229="", "",First!F229)</f>
        <v/>
      </c>
      <c r="G226" s="1" t="str">
        <f>IF(First!G229="", "",First!G229)</f>
        <v/>
      </c>
      <c r="H226" s="1" t="str">
        <f>IF(First!H229="", "",First!H229)</f>
        <v/>
      </c>
      <c r="I226" s="1" t="str">
        <f>IF(First!I229="", "",First!I229)</f>
        <v/>
      </c>
      <c r="J226" s="1" t="str">
        <f>IF(First!J229="", "",First!J229)</f>
        <v/>
      </c>
      <c r="K226" s="83" t="str">
        <f>IF(First!K229="", "",First!K229)</f>
        <v/>
      </c>
      <c r="L226" s="88"/>
      <c r="M226" s="67" t="str">
        <f t="shared" si="10"/>
        <v/>
      </c>
      <c r="N226" s="76" t="str">
        <f t="shared" si="11"/>
        <v/>
      </c>
      <c r="O226" s="33">
        <f t="shared" si="9"/>
        <v>0</v>
      </c>
    </row>
    <row r="227" spans="1:15" x14ac:dyDescent="0.25">
      <c r="A227" s="64" t="s">
        <v>203</v>
      </c>
      <c r="B227" s="82" t="str">
        <f>IF(First!B230="", "",First!B230)</f>
        <v/>
      </c>
      <c r="C227" s="1" t="str">
        <f>IF(First!C230="", "",First!C230)</f>
        <v/>
      </c>
      <c r="D227" s="1" t="str">
        <f>IF(First!D230="", "",First!D230)</f>
        <v/>
      </c>
      <c r="E227" s="1" t="str">
        <f>IF(First!E230="", "",First!E230)</f>
        <v/>
      </c>
      <c r="F227" s="1" t="str">
        <f>IF(First!F230="", "",First!F230)</f>
        <v/>
      </c>
      <c r="G227" s="1" t="str">
        <f>IF(First!G230="", "",First!G230)</f>
        <v/>
      </c>
      <c r="H227" s="1" t="str">
        <f>IF(First!H230="", "",First!H230)</f>
        <v/>
      </c>
      <c r="I227" s="1" t="str">
        <f>IF(First!I230="", "",First!I230)</f>
        <v/>
      </c>
      <c r="J227" s="1" t="str">
        <f>IF(First!J230="", "",First!J230)</f>
        <v/>
      </c>
      <c r="K227" s="83" t="str">
        <f>IF(First!K230="", "",First!K230)</f>
        <v/>
      </c>
      <c r="L227" s="88"/>
      <c r="M227" s="67" t="str">
        <f t="shared" si="10"/>
        <v/>
      </c>
      <c r="N227" s="76" t="str">
        <f t="shared" si="11"/>
        <v/>
      </c>
      <c r="O227" s="33">
        <f t="shared" si="9"/>
        <v>0</v>
      </c>
    </row>
    <row r="228" spans="1:15" x14ac:dyDescent="0.25">
      <c r="A228" s="64" t="s">
        <v>203</v>
      </c>
      <c r="B228" s="82" t="str">
        <f>IF(First!B231="", "",First!B231)</f>
        <v/>
      </c>
      <c r="C228" s="1" t="str">
        <f>IF(First!C231="", "",First!C231)</f>
        <v/>
      </c>
      <c r="D228" s="1" t="str">
        <f>IF(First!D231="", "",First!D231)</f>
        <v/>
      </c>
      <c r="E228" s="1" t="str">
        <f>IF(First!E231="", "",First!E231)</f>
        <v/>
      </c>
      <c r="F228" s="1" t="str">
        <f>IF(First!F231="", "",First!F231)</f>
        <v/>
      </c>
      <c r="G228" s="1" t="str">
        <f>IF(First!G231="", "",First!G231)</f>
        <v/>
      </c>
      <c r="H228" s="1" t="str">
        <f>IF(First!H231="", "",First!H231)</f>
        <v/>
      </c>
      <c r="I228" s="1" t="str">
        <f>IF(First!I231="", "",First!I231)</f>
        <v/>
      </c>
      <c r="J228" s="1" t="str">
        <f>IF(First!J231="", "",First!J231)</f>
        <v/>
      </c>
      <c r="K228" s="83" t="str">
        <f>IF(First!K231="", "",First!K231)</f>
        <v/>
      </c>
      <c r="L228" s="88"/>
      <c r="M228" s="67" t="str">
        <f t="shared" si="10"/>
        <v/>
      </c>
      <c r="N228" s="76" t="str">
        <f t="shared" si="11"/>
        <v/>
      </c>
      <c r="O228" s="33">
        <f t="shared" si="9"/>
        <v>0</v>
      </c>
    </row>
    <row r="229" spans="1:15" x14ac:dyDescent="0.25">
      <c r="A229" s="64" t="s">
        <v>203</v>
      </c>
      <c r="B229" s="82" t="str">
        <f>IF(First!B232="", "",First!B232)</f>
        <v/>
      </c>
      <c r="C229" s="1" t="str">
        <f>IF(First!C232="", "",First!C232)</f>
        <v/>
      </c>
      <c r="D229" s="1" t="str">
        <f>IF(First!D232="", "",First!D232)</f>
        <v/>
      </c>
      <c r="E229" s="1" t="str">
        <f>IF(First!E232="", "",First!E232)</f>
        <v/>
      </c>
      <c r="F229" s="1" t="str">
        <f>IF(First!F232="", "",First!F232)</f>
        <v/>
      </c>
      <c r="G229" s="1" t="str">
        <f>IF(First!G232="", "",First!G232)</f>
        <v/>
      </c>
      <c r="H229" s="1" t="str">
        <f>IF(First!H232="", "",First!H232)</f>
        <v/>
      </c>
      <c r="I229" s="1" t="str">
        <f>IF(First!I232="", "",First!I232)</f>
        <v/>
      </c>
      <c r="J229" s="1" t="str">
        <f>IF(First!J232="", "",First!J232)</f>
        <v/>
      </c>
      <c r="K229" s="83" t="str">
        <f>IF(First!K232="", "",First!K232)</f>
        <v/>
      </c>
      <c r="L229" s="88"/>
      <c r="M229" s="67" t="str">
        <f t="shared" si="10"/>
        <v/>
      </c>
      <c r="N229" s="76" t="str">
        <f t="shared" si="11"/>
        <v/>
      </c>
      <c r="O229" s="33">
        <f t="shared" si="9"/>
        <v>0</v>
      </c>
    </row>
    <row r="230" spans="1:15" x14ac:dyDescent="0.25">
      <c r="A230" s="64" t="s">
        <v>203</v>
      </c>
      <c r="B230" s="82" t="str">
        <f>IF(First!B233="", "",First!B233)</f>
        <v/>
      </c>
      <c r="C230" s="1" t="str">
        <f>IF(First!C233="", "",First!C233)</f>
        <v/>
      </c>
      <c r="D230" s="1" t="str">
        <f>IF(First!D233="", "",First!D233)</f>
        <v/>
      </c>
      <c r="E230" s="1" t="str">
        <f>IF(First!E233="", "",First!E233)</f>
        <v/>
      </c>
      <c r="F230" s="1" t="str">
        <f>IF(First!F233="", "",First!F233)</f>
        <v/>
      </c>
      <c r="G230" s="1" t="str">
        <f>IF(First!G233="", "",First!G233)</f>
        <v/>
      </c>
      <c r="H230" s="1" t="str">
        <f>IF(First!H233="", "",First!H233)</f>
        <v/>
      </c>
      <c r="I230" s="1" t="str">
        <f>IF(First!I233="", "",First!I233)</f>
        <v/>
      </c>
      <c r="J230" s="1" t="str">
        <f>IF(First!J233="", "",First!J233)</f>
        <v/>
      </c>
      <c r="K230" s="83" t="str">
        <f>IF(First!K233="", "",First!K233)</f>
        <v/>
      </c>
      <c r="L230" s="88"/>
      <c r="M230" s="67" t="str">
        <f t="shared" si="10"/>
        <v/>
      </c>
      <c r="N230" s="76" t="str">
        <f t="shared" si="11"/>
        <v/>
      </c>
      <c r="O230" s="33">
        <f t="shared" si="9"/>
        <v>0</v>
      </c>
    </row>
    <row r="231" spans="1:15" x14ac:dyDescent="0.25">
      <c r="A231" s="64" t="s">
        <v>203</v>
      </c>
      <c r="B231" s="82" t="str">
        <f>IF(First!B234="", "",First!B234)</f>
        <v/>
      </c>
      <c r="C231" s="1" t="str">
        <f>IF(First!C234="", "",First!C234)</f>
        <v/>
      </c>
      <c r="D231" s="1" t="str">
        <f>IF(First!D234="", "",First!D234)</f>
        <v/>
      </c>
      <c r="E231" s="1" t="str">
        <f>IF(First!E234="", "",First!E234)</f>
        <v/>
      </c>
      <c r="F231" s="1" t="str">
        <f>IF(First!F234="", "",First!F234)</f>
        <v/>
      </c>
      <c r="G231" s="1" t="str">
        <f>IF(First!G234="", "",First!G234)</f>
        <v/>
      </c>
      <c r="H231" s="1" t="str">
        <f>IF(First!H234="", "",First!H234)</f>
        <v/>
      </c>
      <c r="I231" s="1" t="str">
        <f>IF(First!I234="", "",First!I234)</f>
        <v/>
      </c>
      <c r="J231" s="1" t="str">
        <f>IF(First!J234="", "",First!J234)</f>
        <v/>
      </c>
      <c r="K231" s="83" t="str">
        <f>IF(First!K234="", "",First!K234)</f>
        <v/>
      </c>
      <c r="L231" s="88"/>
      <c r="M231" s="67" t="str">
        <f t="shared" si="10"/>
        <v/>
      </c>
      <c r="N231" s="76" t="str">
        <f t="shared" si="11"/>
        <v/>
      </c>
      <c r="O231" s="33">
        <f t="shared" si="9"/>
        <v>0</v>
      </c>
    </row>
    <row r="232" spans="1:15" x14ac:dyDescent="0.25">
      <c r="A232" s="64" t="s">
        <v>203</v>
      </c>
      <c r="B232" s="82" t="str">
        <f>IF(First!B235="", "",First!B235)</f>
        <v/>
      </c>
      <c r="C232" s="1" t="str">
        <f>IF(First!C235="", "",First!C235)</f>
        <v/>
      </c>
      <c r="D232" s="1" t="str">
        <f>IF(First!D235="", "",First!D235)</f>
        <v/>
      </c>
      <c r="E232" s="1" t="str">
        <f>IF(First!E235="", "",First!E235)</f>
        <v/>
      </c>
      <c r="F232" s="1" t="str">
        <f>IF(First!F235="", "",First!F235)</f>
        <v/>
      </c>
      <c r="G232" s="1" t="str">
        <f>IF(First!G235="", "",First!G235)</f>
        <v/>
      </c>
      <c r="H232" s="1" t="str">
        <f>IF(First!H235="", "",First!H235)</f>
        <v/>
      </c>
      <c r="I232" s="1" t="str">
        <f>IF(First!I235="", "",First!I235)</f>
        <v/>
      </c>
      <c r="J232" s="1" t="str">
        <f>IF(First!J235="", "",First!J235)</f>
        <v/>
      </c>
      <c r="K232" s="83" t="str">
        <f>IF(First!K235="", "",First!K235)</f>
        <v/>
      </c>
      <c r="L232" s="88"/>
      <c r="M232" s="67" t="str">
        <f t="shared" si="10"/>
        <v/>
      </c>
      <c r="N232" s="76" t="str">
        <f t="shared" si="11"/>
        <v/>
      </c>
      <c r="O232" s="33">
        <f t="shared" si="9"/>
        <v>0</v>
      </c>
    </row>
    <row r="233" spans="1:15" x14ac:dyDescent="0.25">
      <c r="A233" s="64" t="s">
        <v>203</v>
      </c>
      <c r="B233" s="82" t="str">
        <f>IF(First!B236="", "",First!B236)</f>
        <v/>
      </c>
      <c r="C233" s="1" t="str">
        <f>IF(First!C236="", "",First!C236)</f>
        <v/>
      </c>
      <c r="D233" s="1" t="str">
        <f>IF(First!D236="", "",First!D236)</f>
        <v/>
      </c>
      <c r="E233" s="1" t="str">
        <f>IF(First!E236="", "",First!E236)</f>
        <v/>
      </c>
      <c r="F233" s="1" t="str">
        <f>IF(First!F236="", "",First!F236)</f>
        <v/>
      </c>
      <c r="G233" s="1" t="str">
        <f>IF(First!G236="", "",First!G236)</f>
        <v/>
      </c>
      <c r="H233" s="1" t="str">
        <f>IF(First!H236="", "",First!H236)</f>
        <v/>
      </c>
      <c r="I233" s="1" t="str">
        <f>IF(First!I236="", "",First!I236)</f>
        <v/>
      </c>
      <c r="J233" s="1" t="str">
        <f>IF(First!J236="", "",First!J236)</f>
        <v/>
      </c>
      <c r="K233" s="83" t="str">
        <f>IF(First!K236="", "",First!K236)</f>
        <v/>
      </c>
      <c r="L233" s="88"/>
      <c r="M233" s="67" t="str">
        <f t="shared" si="10"/>
        <v/>
      </c>
      <c r="N233" s="76" t="str">
        <f t="shared" si="11"/>
        <v/>
      </c>
      <c r="O233" s="33">
        <f t="shared" si="9"/>
        <v>0</v>
      </c>
    </row>
    <row r="234" spans="1:15" x14ac:dyDescent="0.25">
      <c r="A234" s="64" t="s">
        <v>203</v>
      </c>
      <c r="B234" s="82" t="str">
        <f>IF(First!B237="", "",First!B237)</f>
        <v/>
      </c>
      <c r="C234" s="1" t="str">
        <f>IF(First!C237="", "",First!C237)</f>
        <v/>
      </c>
      <c r="D234" s="1" t="str">
        <f>IF(First!D237="", "",First!D237)</f>
        <v/>
      </c>
      <c r="E234" s="1" t="str">
        <f>IF(First!E237="", "",First!E237)</f>
        <v/>
      </c>
      <c r="F234" s="1" t="str">
        <f>IF(First!F237="", "",First!F237)</f>
        <v/>
      </c>
      <c r="G234" s="1" t="str">
        <f>IF(First!G237="", "",First!G237)</f>
        <v/>
      </c>
      <c r="H234" s="1" t="str">
        <f>IF(First!H237="", "",First!H237)</f>
        <v/>
      </c>
      <c r="I234" s="1" t="str">
        <f>IF(First!I237="", "",First!I237)</f>
        <v/>
      </c>
      <c r="J234" s="1" t="str">
        <f>IF(First!J237="", "",First!J237)</f>
        <v/>
      </c>
      <c r="K234" s="83" t="str">
        <f>IF(First!K237="", "",First!K237)</f>
        <v/>
      </c>
      <c r="L234" s="88"/>
      <c r="M234" s="67" t="str">
        <f t="shared" si="10"/>
        <v/>
      </c>
      <c r="N234" s="76" t="str">
        <f t="shared" si="11"/>
        <v/>
      </c>
      <c r="O234" s="33">
        <f t="shared" si="9"/>
        <v>0</v>
      </c>
    </row>
    <row r="235" spans="1:15" x14ac:dyDescent="0.25">
      <c r="A235" s="64" t="s">
        <v>203</v>
      </c>
      <c r="B235" s="82" t="str">
        <f>IF(First!B238="", "",First!B238)</f>
        <v/>
      </c>
      <c r="C235" s="1" t="str">
        <f>IF(First!C238="", "",First!C238)</f>
        <v/>
      </c>
      <c r="D235" s="1" t="str">
        <f>IF(First!D238="", "",First!D238)</f>
        <v/>
      </c>
      <c r="E235" s="1" t="str">
        <f>IF(First!E238="", "",First!E238)</f>
        <v/>
      </c>
      <c r="F235" s="1" t="str">
        <f>IF(First!F238="", "",First!F238)</f>
        <v/>
      </c>
      <c r="G235" s="1" t="str">
        <f>IF(First!G238="", "",First!G238)</f>
        <v/>
      </c>
      <c r="H235" s="1" t="str">
        <f>IF(First!H238="", "",First!H238)</f>
        <v/>
      </c>
      <c r="I235" s="1" t="str">
        <f>IF(First!I238="", "",First!I238)</f>
        <v/>
      </c>
      <c r="J235" s="1" t="str">
        <f>IF(First!J238="", "",First!J238)</f>
        <v/>
      </c>
      <c r="K235" s="83" t="str">
        <f>IF(First!K238="", "",First!K238)</f>
        <v/>
      </c>
      <c r="L235" s="88"/>
      <c r="M235" s="67" t="str">
        <f t="shared" si="10"/>
        <v/>
      </c>
      <c r="N235" s="76" t="str">
        <f t="shared" si="11"/>
        <v/>
      </c>
      <c r="O235" s="33">
        <f t="shared" si="9"/>
        <v>0</v>
      </c>
    </row>
    <row r="236" spans="1:15" x14ac:dyDescent="0.25">
      <c r="A236" s="64" t="s">
        <v>203</v>
      </c>
      <c r="B236" s="82" t="str">
        <f>IF(First!B239="", "",First!B239)</f>
        <v/>
      </c>
      <c r="C236" s="1" t="str">
        <f>IF(First!C239="", "",First!C239)</f>
        <v/>
      </c>
      <c r="D236" s="1" t="str">
        <f>IF(First!D239="", "",First!D239)</f>
        <v/>
      </c>
      <c r="E236" s="1" t="str">
        <f>IF(First!E239="", "",First!E239)</f>
        <v/>
      </c>
      <c r="F236" s="1" t="str">
        <f>IF(First!F239="", "",First!F239)</f>
        <v/>
      </c>
      <c r="G236" s="1" t="str">
        <f>IF(First!G239="", "",First!G239)</f>
        <v/>
      </c>
      <c r="H236" s="1" t="str">
        <f>IF(First!H239="", "",First!H239)</f>
        <v/>
      </c>
      <c r="I236" s="1" t="str">
        <f>IF(First!I239="", "",First!I239)</f>
        <v/>
      </c>
      <c r="J236" s="1" t="str">
        <f>IF(First!J239="", "",First!J239)</f>
        <v/>
      </c>
      <c r="K236" s="83" t="str">
        <f>IF(First!K239="", "",First!K239)</f>
        <v/>
      </c>
      <c r="L236" s="88"/>
      <c r="M236" s="67" t="str">
        <f t="shared" si="10"/>
        <v/>
      </c>
      <c r="N236" s="76" t="str">
        <f t="shared" si="11"/>
        <v/>
      </c>
      <c r="O236" s="33">
        <f t="shared" si="9"/>
        <v>0</v>
      </c>
    </row>
    <row r="237" spans="1:15" x14ac:dyDescent="0.25">
      <c r="A237" s="64" t="s">
        <v>203</v>
      </c>
      <c r="B237" s="82" t="str">
        <f>IF(First!B240="", "",First!B240)</f>
        <v/>
      </c>
      <c r="C237" s="1" t="str">
        <f>IF(First!C240="", "",First!C240)</f>
        <v/>
      </c>
      <c r="D237" s="1" t="str">
        <f>IF(First!D240="", "",First!D240)</f>
        <v/>
      </c>
      <c r="E237" s="1" t="str">
        <f>IF(First!E240="", "",First!E240)</f>
        <v/>
      </c>
      <c r="F237" s="1" t="str">
        <f>IF(First!F240="", "",First!F240)</f>
        <v/>
      </c>
      <c r="G237" s="1" t="str">
        <f>IF(First!G240="", "",First!G240)</f>
        <v/>
      </c>
      <c r="H237" s="1" t="str">
        <f>IF(First!H240="", "",First!H240)</f>
        <v/>
      </c>
      <c r="I237" s="1" t="str">
        <f>IF(First!I240="", "",First!I240)</f>
        <v/>
      </c>
      <c r="J237" s="1" t="str">
        <f>IF(First!J240="", "",First!J240)</f>
        <v/>
      </c>
      <c r="K237" s="83" t="str">
        <f>IF(First!K240="", "",First!K240)</f>
        <v/>
      </c>
      <c r="L237" s="88"/>
      <c r="M237" s="67" t="str">
        <f t="shared" si="10"/>
        <v/>
      </c>
      <c r="N237" s="76" t="str">
        <f t="shared" si="11"/>
        <v/>
      </c>
      <c r="O237" s="33">
        <f t="shared" si="9"/>
        <v>0</v>
      </c>
    </row>
    <row r="238" spans="1:15" x14ac:dyDescent="0.25">
      <c r="A238" s="64" t="s">
        <v>203</v>
      </c>
      <c r="B238" s="82" t="str">
        <f>IF(First!B241="", "",First!B241)</f>
        <v/>
      </c>
      <c r="C238" s="1" t="str">
        <f>IF(First!C241="", "",First!C241)</f>
        <v/>
      </c>
      <c r="D238" s="1" t="str">
        <f>IF(First!D241="", "",First!D241)</f>
        <v/>
      </c>
      <c r="E238" s="1" t="str">
        <f>IF(First!E241="", "",First!E241)</f>
        <v/>
      </c>
      <c r="F238" s="1" t="str">
        <f>IF(First!F241="", "",First!F241)</f>
        <v/>
      </c>
      <c r="G238" s="1" t="str">
        <f>IF(First!G241="", "",First!G241)</f>
        <v/>
      </c>
      <c r="H238" s="1" t="str">
        <f>IF(First!H241="", "",First!H241)</f>
        <v/>
      </c>
      <c r="I238" s="1" t="str">
        <f>IF(First!I241="", "",First!I241)</f>
        <v/>
      </c>
      <c r="J238" s="1" t="str">
        <f>IF(First!J241="", "",First!J241)</f>
        <v/>
      </c>
      <c r="K238" s="83" t="str">
        <f>IF(First!K241="", "",First!K241)</f>
        <v/>
      </c>
      <c r="L238" s="88"/>
      <c r="M238" s="67" t="str">
        <f t="shared" si="10"/>
        <v/>
      </c>
      <c r="N238" s="76" t="str">
        <f t="shared" si="11"/>
        <v/>
      </c>
      <c r="O238" s="33">
        <f t="shared" si="9"/>
        <v>0</v>
      </c>
    </row>
    <row r="239" spans="1:15" x14ac:dyDescent="0.25">
      <c r="A239" s="64" t="s">
        <v>203</v>
      </c>
      <c r="B239" s="82" t="str">
        <f>IF(First!B242="", "",First!B242)</f>
        <v/>
      </c>
      <c r="C239" s="1" t="str">
        <f>IF(First!C242="", "",First!C242)</f>
        <v/>
      </c>
      <c r="D239" s="1" t="str">
        <f>IF(First!D242="", "",First!D242)</f>
        <v/>
      </c>
      <c r="E239" s="1" t="str">
        <f>IF(First!E242="", "",First!E242)</f>
        <v/>
      </c>
      <c r="F239" s="1" t="str">
        <f>IF(First!F242="", "",First!F242)</f>
        <v/>
      </c>
      <c r="G239" s="1" t="str">
        <f>IF(First!G242="", "",First!G242)</f>
        <v/>
      </c>
      <c r="H239" s="1" t="str">
        <f>IF(First!H242="", "",First!H242)</f>
        <v/>
      </c>
      <c r="I239" s="1" t="str">
        <f>IF(First!I242="", "",First!I242)</f>
        <v/>
      </c>
      <c r="J239" s="1" t="str">
        <f>IF(First!J242="", "",First!J242)</f>
        <v/>
      </c>
      <c r="K239" s="83" t="str">
        <f>IF(First!K242="", "",First!K242)</f>
        <v/>
      </c>
      <c r="L239" s="88"/>
      <c r="M239" s="67" t="str">
        <f t="shared" si="10"/>
        <v/>
      </c>
      <c r="N239" s="76" t="str">
        <f t="shared" si="11"/>
        <v/>
      </c>
      <c r="O239" s="33">
        <f t="shared" si="9"/>
        <v>0</v>
      </c>
    </row>
    <row r="240" spans="1:15" x14ac:dyDescent="0.25">
      <c r="A240" s="64" t="s">
        <v>203</v>
      </c>
      <c r="B240" s="82" t="str">
        <f>IF(First!B243="", "",First!B243)</f>
        <v/>
      </c>
      <c r="C240" s="1" t="str">
        <f>IF(First!C243="", "",First!C243)</f>
        <v/>
      </c>
      <c r="D240" s="1" t="str">
        <f>IF(First!D243="", "",First!D243)</f>
        <v/>
      </c>
      <c r="E240" s="1" t="str">
        <f>IF(First!E243="", "",First!E243)</f>
        <v/>
      </c>
      <c r="F240" s="1" t="str">
        <f>IF(First!F243="", "",First!F243)</f>
        <v/>
      </c>
      <c r="G240" s="1" t="str">
        <f>IF(First!G243="", "",First!G243)</f>
        <v/>
      </c>
      <c r="H240" s="1" t="str">
        <f>IF(First!H243="", "",First!H243)</f>
        <v/>
      </c>
      <c r="I240" s="1" t="str">
        <f>IF(First!I243="", "",First!I243)</f>
        <v/>
      </c>
      <c r="J240" s="1" t="str">
        <f>IF(First!J243="", "",First!J243)</f>
        <v/>
      </c>
      <c r="K240" s="83" t="str">
        <f>IF(First!K243="", "",First!K243)</f>
        <v/>
      </c>
      <c r="L240" s="88"/>
      <c r="M240" s="67" t="str">
        <f t="shared" si="10"/>
        <v/>
      </c>
      <c r="N240" s="76" t="str">
        <f t="shared" si="11"/>
        <v/>
      </c>
      <c r="O240" s="33">
        <f t="shared" si="9"/>
        <v>0</v>
      </c>
    </row>
    <row r="241" spans="1:15" x14ac:dyDescent="0.25">
      <c r="A241" s="64" t="s">
        <v>203</v>
      </c>
      <c r="B241" s="82" t="str">
        <f>IF(First!B244="", "",First!B244)</f>
        <v/>
      </c>
      <c r="C241" s="1" t="str">
        <f>IF(First!C244="", "",First!C244)</f>
        <v/>
      </c>
      <c r="D241" s="1" t="str">
        <f>IF(First!D244="", "",First!D244)</f>
        <v/>
      </c>
      <c r="E241" s="1" t="str">
        <f>IF(First!E244="", "",First!E244)</f>
        <v/>
      </c>
      <c r="F241" s="1" t="str">
        <f>IF(First!F244="", "",First!F244)</f>
        <v/>
      </c>
      <c r="G241" s="1" t="str">
        <f>IF(First!G244="", "",First!G244)</f>
        <v/>
      </c>
      <c r="H241" s="1" t="str">
        <f>IF(First!H244="", "",First!H244)</f>
        <v/>
      </c>
      <c r="I241" s="1" t="str">
        <f>IF(First!I244="", "",First!I244)</f>
        <v/>
      </c>
      <c r="J241" s="1" t="str">
        <f>IF(First!J244="", "",First!J244)</f>
        <v/>
      </c>
      <c r="K241" s="83" t="str">
        <f>IF(First!K244="", "",First!K244)</f>
        <v/>
      </c>
      <c r="L241" s="88"/>
      <c r="M241" s="67" t="str">
        <f t="shared" si="10"/>
        <v/>
      </c>
      <c r="N241" s="76" t="str">
        <f t="shared" si="11"/>
        <v/>
      </c>
      <c r="O241" s="33">
        <f t="shared" si="9"/>
        <v>0</v>
      </c>
    </row>
    <row r="242" spans="1:15" x14ac:dyDescent="0.25">
      <c r="A242" s="64" t="s">
        <v>203</v>
      </c>
      <c r="B242" s="82" t="str">
        <f>IF(First!B245="", "",First!B245)</f>
        <v/>
      </c>
      <c r="C242" s="1" t="str">
        <f>IF(First!C245="", "",First!C245)</f>
        <v/>
      </c>
      <c r="D242" s="1" t="str">
        <f>IF(First!D245="", "",First!D245)</f>
        <v/>
      </c>
      <c r="E242" s="1" t="str">
        <f>IF(First!E245="", "",First!E245)</f>
        <v/>
      </c>
      <c r="F242" s="1" t="str">
        <f>IF(First!F245="", "",First!F245)</f>
        <v/>
      </c>
      <c r="G242" s="1" t="str">
        <f>IF(First!G245="", "",First!G245)</f>
        <v/>
      </c>
      <c r="H242" s="1" t="str">
        <f>IF(First!H245="", "",First!H245)</f>
        <v/>
      </c>
      <c r="I242" s="1" t="str">
        <f>IF(First!I245="", "",First!I245)</f>
        <v/>
      </c>
      <c r="J242" s="1" t="str">
        <f>IF(First!J245="", "",First!J245)</f>
        <v/>
      </c>
      <c r="K242" s="83" t="str">
        <f>IF(First!K245="", "",First!K245)</f>
        <v/>
      </c>
      <c r="L242" s="88"/>
      <c r="M242" s="67" t="str">
        <f t="shared" si="10"/>
        <v/>
      </c>
      <c r="N242" s="76" t="str">
        <f t="shared" si="11"/>
        <v/>
      </c>
      <c r="O242" s="33">
        <f t="shared" si="9"/>
        <v>0</v>
      </c>
    </row>
    <row r="243" spans="1:15" x14ac:dyDescent="0.25">
      <c r="A243" s="64" t="s">
        <v>203</v>
      </c>
      <c r="B243" s="82" t="str">
        <f>IF(First!B246="", "",First!B246)</f>
        <v/>
      </c>
      <c r="C243" s="1" t="str">
        <f>IF(First!C246="", "",First!C246)</f>
        <v/>
      </c>
      <c r="D243" s="1" t="str">
        <f>IF(First!D246="", "",First!D246)</f>
        <v/>
      </c>
      <c r="E243" s="1" t="str">
        <f>IF(First!E246="", "",First!E246)</f>
        <v/>
      </c>
      <c r="F243" s="1" t="str">
        <f>IF(First!F246="", "",First!F246)</f>
        <v/>
      </c>
      <c r="G243" s="1" t="str">
        <f>IF(First!G246="", "",First!G246)</f>
        <v/>
      </c>
      <c r="H243" s="1" t="str">
        <f>IF(First!H246="", "",First!H246)</f>
        <v/>
      </c>
      <c r="I243" s="1" t="str">
        <f>IF(First!I246="", "",First!I246)</f>
        <v/>
      </c>
      <c r="J243" s="1" t="str">
        <f>IF(First!J246="", "",First!J246)</f>
        <v/>
      </c>
      <c r="K243" s="83" t="str">
        <f>IF(First!K246="", "",First!K246)</f>
        <v/>
      </c>
      <c r="L243" s="88"/>
      <c r="M243" s="67" t="str">
        <f t="shared" si="10"/>
        <v/>
      </c>
      <c r="N243" s="76" t="str">
        <f t="shared" si="11"/>
        <v/>
      </c>
      <c r="O243" s="33">
        <f t="shared" si="9"/>
        <v>0</v>
      </c>
    </row>
    <row r="244" spans="1:15" x14ac:dyDescent="0.25">
      <c r="A244" s="64" t="s">
        <v>203</v>
      </c>
      <c r="B244" s="82" t="str">
        <f>IF(First!B247="", "",First!B247)</f>
        <v/>
      </c>
      <c r="C244" s="1" t="str">
        <f>IF(First!C247="", "",First!C247)</f>
        <v/>
      </c>
      <c r="D244" s="1" t="str">
        <f>IF(First!D247="", "",First!D247)</f>
        <v/>
      </c>
      <c r="E244" s="1" t="str">
        <f>IF(First!E247="", "",First!E247)</f>
        <v/>
      </c>
      <c r="F244" s="1" t="str">
        <f>IF(First!F247="", "",First!F247)</f>
        <v/>
      </c>
      <c r="G244" s="1" t="str">
        <f>IF(First!G247="", "",First!G247)</f>
        <v/>
      </c>
      <c r="H244" s="1" t="str">
        <f>IF(First!H247="", "",First!H247)</f>
        <v/>
      </c>
      <c r="I244" s="1" t="str">
        <f>IF(First!I247="", "",First!I247)</f>
        <v/>
      </c>
      <c r="J244" s="1" t="str">
        <f>IF(First!J247="", "",First!J247)</f>
        <v/>
      </c>
      <c r="K244" s="83" t="str">
        <f>IF(First!K247="", "",First!K247)</f>
        <v/>
      </c>
      <c r="L244" s="88"/>
      <c r="M244" s="67" t="str">
        <f t="shared" si="10"/>
        <v/>
      </c>
      <c r="N244" s="76" t="str">
        <f t="shared" si="11"/>
        <v/>
      </c>
      <c r="O244" s="33">
        <f t="shared" si="9"/>
        <v>0</v>
      </c>
    </row>
    <row r="245" spans="1:15" x14ac:dyDescent="0.25">
      <c r="A245" s="64" t="s">
        <v>203</v>
      </c>
      <c r="B245" s="82" t="str">
        <f>IF(First!B248="", "",First!B248)</f>
        <v/>
      </c>
      <c r="C245" s="1" t="str">
        <f>IF(First!C248="", "",First!C248)</f>
        <v/>
      </c>
      <c r="D245" s="1" t="str">
        <f>IF(First!D248="", "",First!D248)</f>
        <v/>
      </c>
      <c r="E245" s="1" t="str">
        <f>IF(First!E248="", "",First!E248)</f>
        <v/>
      </c>
      <c r="F245" s="1" t="str">
        <f>IF(First!F248="", "",First!F248)</f>
        <v/>
      </c>
      <c r="G245" s="1" t="str">
        <f>IF(First!G248="", "",First!G248)</f>
        <v/>
      </c>
      <c r="H245" s="1" t="str">
        <f>IF(First!H248="", "",First!H248)</f>
        <v/>
      </c>
      <c r="I245" s="1" t="str">
        <f>IF(First!I248="", "",First!I248)</f>
        <v/>
      </c>
      <c r="J245" s="1" t="str">
        <f>IF(First!J248="", "",First!J248)</f>
        <v/>
      </c>
      <c r="K245" s="83" t="str">
        <f>IF(First!K248="", "",First!K248)</f>
        <v/>
      </c>
      <c r="L245" s="88"/>
      <c r="M245" s="67" t="str">
        <f t="shared" si="10"/>
        <v/>
      </c>
      <c r="N245" s="76" t="str">
        <f t="shared" si="11"/>
        <v/>
      </c>
      <c r="O245" s="33">
        <f t="shared" si="9"/>
        <v>0</v>
      </c>
    </row>
    <row r="246" spans="1:15" x14ac:dyDescent="0.25">
      <c r="A246" s="64" t="s">
        <v>203</v>
      </c>
      <c r="B246" s="82" t="str">
        <f>IF(First!B249="", "",First!B249)</f>
        <v/>
      </c>
      <c r="C246" s="1" t="str">
        <f>IF(First!C249="", "",First!C249)</f>
        <v/>
      </c>
      <c r="D246" s="1" t="str">
        <f>IF(First!D249="", "",First!D249)</f>
        <v/>
      </c>
      <c r="E246" s="1" t="str">
        <f>IF(First!E249="", "",First!E249)</f>
        <v/>
      </c>
      <c r="F246" s="1" t="str">
        <f>IF(First!F249="", "",First!F249)</f>
        <v/>
      </c>
      <c r="G246" s="1" t="str">
        <f>IF(First!G249="", "",First!G249)</f>
        <v/>
      </c>
      <c r="H246" s="1" t="str">
        <f>IF(First!H249="", "",First!H249)</f>
        <v/>
      </c>
      <c r="I246" s="1" t="str">
        <f>IF(First!I249="", "",First!I249)</f>
        <v/>
      </c>
      <c r="J246" s="1" t="str">
        <f>IF(First!J249="", "",First!J249)</f>
        <v/>
      </c>
      <c r="K246" s="83" t="str">
        <f>IF(First!K249="", "",First!K249)</f>
        <v/>
      </c>
      <c r="L246" s="88"/>
      <c r="M246" s="67" t="str">
        <f t="shared" si="10"/>
        <v/>
      </c>
      <c r="N246" s="76" t="str">
        <f t="shared" si="11"/>
        <v/>
      </c>
      <c r="O246" s="33">
        <f t="shared" si="9"/>
        <v>0</v>
      </c>
    </row>
    <row r="247" spans="1:15" x14ac:dyDescent="0.25">
      <c r="A247" s="64" t="s">
        <v>203</v>
      </c>
      <c r="B247" s="82" t="str">
        <f>IF(First!B250="", "",First!B250)</f>
        <v/>
      </c>
      <c r="C247" s="1" t="str">
        <f>IF(First!C250="", "",First!C250)</f>
        <v/>
      </c>
      <c r="D247" s="1" t="str">
        <f>IF(First!D250="", "",First!D250)</f>
        <v/>
      </c>
      <c r="E247" s="1" t="str">
        <f>IF(First!E250="", "",First!E250)</f>
        <v/>
      </c>
      <c r="F247" s="1" t="str">
        <f>IF(First!F250="", "",First!F250)</f>
        <v/>
      </c>
      <c r="G247" s="1" t="str">
        <f>IF(First!G250="", "",First!G250)</f>
        <v/>
      </c>
      <c r="H247" s="1" t="str">
        <f>IF(First!H250="", "",First!H250)</f>
        <v/>
      </c>
      <c r="I247" s="1" t="str">
        <f>IF(First!I250="", "",First!I250)</f>
        <v/>
      </c>
      <c r="J247" s="1" t="str">
        <f>IF(First!J250="", "",First!J250)</f>
        <v/>
      </c>
      <c r="K247" s="83" t="str">
        <f>IF(First!K250="", "",First!K250)</f>
        <v/>
      </c>
      <c r="L247" s="88"/>
      <c r="M247" s="67" t="str">
        <f t="shared" si="10"/>
        <v/>
      </c>
      <c r="N247" s="76" t="str">
        <f t="shared" si="11"/>
        <v/>
      </c>
      <c r="O247" s="33">
        <f t="shared" si="9"/>
        <v>0</v>
      </c>
    </row>
    <row r="248" spans="1:15" x14ac:dyDescent="0.25">
      <c r="A248" s="64" t="s">
        <v>203</v>
      </c>
      <c r="B248" s="82" t="str">
        <f>IF(First!B251="", "",First!B251)</f>
        <v/>
      </c>
      <c r="C248" s="1" t="str">
        <f>IF(First!C251="", "",First!C251)</f>
        <v/>
      </c>
      <c r="D248" s="1" t="str">
        <f>IF(First!D251="", "",First!D251)</f>
        <v/>
      </c>
      <c r="E248" s="1" t="str">
        <f>IF(First!E251="", "",First!E251)</f>
        <v/>
      </c>
      <c r="F248" s="1" t="str">
        <f>IF(First!F251="", "",First!F251)</f>
        <v/>
      </c>
      <c r="G248" s="1" t="str">
        <f>IF(First!G251="", "",First!G251)</f>
        <v/>
      </c>
      <c r="H248" s="1" t="str">
        <f>IF(First!H251="", "",First!H251)</f>
        <v/>
      </c>
      <c r="I248" s="1" t="str">
        <f>IF(First!I251="", "",First!I251)</f>
        <v/>
      </c>
      <c r="J248" s="1" t="str">
        <f>IF(First!J251="", "",First!J251)</f>
        <v/>
      </c>
      <c r="K248" s="83" t="str">
        <f>IF(First!K251="", "",First!K251)</f>
        <v/>
      </c>
      <c r="L248" s="88"/>
      <c r="M248" s="67" t="str">
        <f t="shared" si="10"/>
        <v/>
      </c>
      <c r="N248" s="76" t="str">
        <f t="shared" si="11"/>
        <v/>
      </c>
      <c r="O248" s="33">
        <f t="shared" si="9"/>
        <v>0</v>
      </c>
    </row>
    <row r="249" spans="1:15" x14ac:dyDescent="0.25">
      <c r="A249" s="64" t="s">
        <v>203</v>
      </c>
      <c r="B249" s="82" t="str">
        <f>IF(First!B252="", "",First!B252)</f>
        <v/>
      </c>
      <c r="C249" s="1" t="str">
        <f>IF(First!C252="", "",First!C252)</f>
        <v/>
      </c>
      <c r="D249" s="1" t="str">
        <f>IF(First!D252="", "",First!D252)</f>
        <v/>
      </c>
      <c r="E249" s="1" t="str">
        <f>IF(First!E252="", "",First!E252)</f>
        <v/>
      </c>
      <c r="F249" s="1" t="str">
        <f>IF(First!F252="", "",First!F252)</f>
        <v/>
      </c>
      <c r="G249" s="1" t="str">
        <f>IF(First!G252="", "",First!G252)</f>
        <v/>
      </c>
      <c r="H249" s="1" t="str">
        <f>IF(First!H252="", "",First!H252)</f>
        <v/>
      </c>
      <c r="I249" s="1" t="str">
        <f>IF(First!I252="", "",First!I252)</f>
        <v/>
      </c>
      <c r="J249" s="1" t="str">
        <f>IF(First!J252="", "",First!J252)</f>
        <v/>
      </c>
      <c r="K249" s="83" t="str">
        <f>IF(First!K252="", "",First!K252)</f>
        <v/>
      </c>
      <c r="L249" s="88"/>
      <c r="M249" s="67" t="str">
        <f t="shared" si="10"/>
        <v/>
      </c>
      <c r="N249" s="76" t="str">
        <f t="shared" si="11"/>
        <v/>
      </c>
      <c r="O249" s="33">
        <f t="shared" si="9"/>
        <v>0</v>
      </c>
    </row>
    <row r="250" spans="1:15" x14ac:dyDescent="0.25">
      <c r="A250" s="64" t="s">
        <v>203</v>
      </c>
      <c r="B250" s="82" t="str">
        <f>IF(First!B253="", "",First!B253)</f>
        <v/>
      </c>
      <c r="C250" s="1" t="str">
        <f>IF(First!C253="", "",First!C253)</f>
        <v/>
      </c>
      <c r="D250" s="1" t="str">
        <f>IF(First!D253="", "",First!D253)</f>
        <v/>
      </c>
      <c r="E250" s="1" t="str">
        <f>IF(First!E253="", "",First!E253)</f>
        <v/>
      </c>
      <c r="F250" s="1" t="str">
        <f>IF(First!F253="", "",First!F253)</f>
        <v/>
      </c>
      <c r="G250" s="1" t="str">
        <f>IF(First!G253="", "",First!G253)</f>
        <v/>
      </c>
      <c r="H250" s="1" t="str">
        <f>IF(First!H253="", "",First!H253)</f>
        <v/>
      </c>
      <c r="I250" s="1" t="str">
        <f>IF(First!I253="", "",First!I253)</f>
        <v/>
      </c>
      <c r="J250" s="1" t="str">
        <f>IF(First!J253="", "",First!J253)</f>
        <v/>
      </c>
      <c r="K250" s="83" t="str">
        <f>IF(First!K253="", "",First!K253)</f>
        <v/>
      </c>
      <c r="L250" s="88"/>
      <c r="M250" s="67" t="str">
        <f t="shared" ref="M250:M251" si="12">IF(C250="PwC",(7-COUNTIF(B250:H250,"")),"")</f>
        <v/>
      </c>
      <c r="N250" s="76" t="str">
        <f t="shared" si="11"/>
        <v/>
      </c>
      <c r="O250" s="33">
        <f t="shared" si="9"/>
        <v>0</v>
      </c>
    </row>
    <row r="251" spans="1:15" ht="15.75" thickBot="1" x14ac:dyDescent="0.3">
      <c r="A251" s="68" t="s">
        <v>203</v>
      </c>
      <c r="B251" s="84" t="str">
        <f>IF(First!B254="", "",First!B254)</f>
        <v/>
      </c>
      <c r="C251" s="69" t="str">
        <f>IF(First!C254="", "",First!C254)</f>
        <v/>
      </c>
      <c r="D251" s="69" t="str">
        <f>IF(First!D254="", "",First!D254)</f>
        <v/>
      </c>
      <c r="E251" s="69" t="str">
        <f>IF(First!E254="", "",First!E254)</f>
        <v/>
      </c>
      <c r="F251" s="69" t="str">
        <f>IF(First!F254="", "",First!F254)</f>
        <v/>
      </c>
      <c r="G251" s="69" t="str">
        <f>IF(First!G254="", "",First!G254)</f>
        <v/>
      </c>
      <c r="H251" s="69" t="str">
        <f>IF(First!H254="", "",First!H254)</f>
        <v/>
      </c>
      <c r="I251" s="69" t="str">
        <f>IF(First!I254="", "",First!I254)</f>
        <v/>
      </c>
      <c r="J251" s="69" t="str">
        <f>IF(First!J254="", "",First!J254)</f>
        <v/>
      </c>
      <c r="K251" s="85" t="str">
        <f>IF(First!K254="", "",First!K254)</f>
        <v/>
      </c>
      <c r="L251" s="89"/>
      <c r="M251" s="71" t="str">
        <f t="shared" si="12"/>
        <v/>
      </c>
      <c r="N251" s="77" t="str">
        <f t="shared" si="11"/>
        <v/>
      </c>
      <c r="O251" s="33">
        <f t="shared" si="9"/>
        <v>0</v>
      </c>
    </row>
    <row r="252" spans="1:15" x14ac:dyDescent="0.25">
      <c r="A252" s="65" t="s">
        <v>204</v>
      </c>
      <c r="B252" s="72" t="str">
        <f>IF(Second!B5="", "",Second!B5)</f>
        <v/>
      </c>
      <c r="C252" s="66" t="str">
        <f>IF(Second!C5="", "",Second!C5)</f>
        <v/>
      </c>
      <c r="D252" s="66" t="str">
        <f>IF(Second!D5="", "",Second!D5)</f>
        <v/>
      </c>
      <c r="E252" s="66" t="str">
        <f>IF(Second!E5="", "",Second!E5)</f>
        <v/>
      </c>
      <c r="F252" s="66" t="str">
        <f>IF(Second!F5="", "",Second!F5)</f>
        <v/>
      </c>
      <c r="G252" s="66" t="str">
        <f>IF(Second!G5="", "",Second!G5)</f>
        <v/>
      </c>
      <c r="H252" s="66" t="str">
        <f>IF(Second!H5="", "",Second!H5)</f>
        <v/>
      </c>
      <c r="I252" s="66" t="str">
        <f>IF(Second!I5="", "",Second!I5)</f>
        <v/>
      </c>
      <c r="J252" s="66" t="str">
        <f>IF(Second!J5="", "",Second!J5)</f>
        <v/>
      </c>
      <c r="K252" s="73" t="str">
        <f>IF(Second!K5="", "",Second!K5)</f>
        <v/>
      </c>
      <c r="L252" s="88"/>
      <c r="M252" s="67" t="str">
        <f t="shared" si="10"/>
        <v/>
      </c>
      <c r="N252" s="76" t="str">
        <f t="shared" si="11"/>
        <v/>
      </c>
      <c r="O252" s="33">
        <f t="shared" si="9"/>
        <v>0</v>
      </c>
    </row>
    <row r="253" spans="1:15" x14ac:dyDescent="0.25">
      <c r="A253" s="58" t="s">
        <v>204</v>
      </c>
      <c r="B253" s="79" t="str">
        <f>IF(Second!B6="", "",Second!B6)</f>
        <v/>
      </c>
      <c r="C253" s="66" t="str">
        <f>IF(Second!C6="", "",Second!C6)</f>
        <v/>
      </c>
      <c r="D253" s="66" t="str">
        <f>IF(Second!D6="", "",Second!D6)</f>
        <v/>
      </c>
      <c r="E253" s="66" t="str">
        <f>IF(Second!E6="", "",Second!E6)</f>
        <v/>
      </c>
      <c r="F253" s="66" t="str">
        <f>IF(Second!F6="", "",Second!F6)</f>
        <v/>
      </c>
      <c r="G253" s="66" t="str">
        <f>IF(Second!G6="", "",Second!G6)</f>
        <v/>
      </c>
      <c r="H253" s="66" t="str">
        <f>IF(Second!H6="", "",Second!H6)</f>
        <v/>
      </c>
      <c r="I253" s="66" t="str">
        <f>IF(Second!I6="", "",Second!I6)</f>
        <v/>
      </c>
      <c r="J253" s="66" t="str">
        <f>IF(Second!J6="", "",Second!J6)</f>
        <v/>
      </c>
      <c r="K253" s="86" t="str">
        <f>IF(Second!K6="", "",Second!K6)</f>
        <v/>
      </c>
      <c r="L253" s="88"/>
      <c r="M253" s="67" t="str">
        <f t="shared" si="10"/>
        <v/>
      </c>
      <c r="N253" s="76" t="str">
        <f t="shared" si="11"/>
        <v/>
      </c>
      <c r="O253" s="33">
        <f t="shared" si="9"/>
        <v>0</v>
      </c>
    </row>
    <row r="254" spans="1:15" x14ac:dyDescent="0.25">
      <c r="A254" s="58" t="s">
        <v>204</v>
      </c>
      <c r="B254" s="79" t="str">
        <f>IF(Second!B7="", "",Second!B7)</f>
        <v/>
      </c>
      <c r="C254" s="66" t="str">
        <f>IF(Second!C7="", "",Second!C7)</f>
        <v/>
      </c>
      <c r="D254" s="66" t="str">
        <f>IF(Second!D7="", "",Second!D7)</f>
        <v/>
      </c>
      <c r="E254" s="66" t="str">
        <f>IF(Second!E7="", "",Second!E7)</f>
        <v/>
      </c>
      <c r="F254" s="66" t="str">
        <f>IF(Second!F7="", "",Second!F7)</f>
        <v/>
      </c>
      <c r="G254" s="66" t="str">
        <f>IF(Second!G7="", "",Second!G7)</f>
        <v/>
      </c>
      <c r="H254" s="66" t="str">
        <f>IF(Second!H7="", "",Second!H7)</f>
        <v/>
      </c>
      <c r="I254" s="66" t="str">
        <f>IF(Second!I7="", "",Second!I7)</f>
        <v/>
      </c>
      <c r="J254" s="66" t="str">
        <f>IF(Second!J7="", "",Second!J7)</f>
        <v/>
      </c>
      <c r="K254" s="86" t="str">
        <f>IF(Second!K7="", "",Second!K7)</f>
        <v/>
      </c>
      <c r="L254" s="88"/>
      <c r="M254" s="67" t="str">
        <f t="shared" si="10"/>
        <v/>
      </c>
      <c r="N254" s="76" t="str">
        <f t="shared" si="11"/>
        <v/>
      </c>
      <c r="O254" s="33">
        <f t="shared" si="9"/>
        <v>0</v>
      </c>
    </row>
    <row r="255" spans="1:15" x14ac:dyDescent="0.25">
      <c r="A255" s="58" t="s">
        <v>204</v>
      </c>
      <c r="B255" s="79" t="str">
        <f>IF(Second!B8="", "",Second!B8)</f>
        <v/>
      </c>
      <c r="C255" s="66" t="str">
        <f>IF(Second!C8="", "",Second!C8)</f>
        <v/>
      </c>
      <c r="D255" s="66" t="str">
        <f>IF(Second!D8="", "",Second!D8)</f>
        <v/>
      </c>
      <c r="E255" s="66" t="str">
        <f>IF(Second!E8="", "",Second!E8)</f>
        <v/>
      </c>
      <c r="F255" s="66" t="str">
        <f>IF(Second!F8="", "",Second!F8)</f>
        <v/>
      </c>
      <c r="G255" s="66" t="str">
        <f>IF(Second!G8="", "",Second!G8)</f>
        <v/>
      </c>
      <c r="H255" s="66" t="str">
        <f>IF(Second!H8="", "",Second!H8)</f>
        <v/>
      </c>
      <c r="I255" s="66" t="str">
        <f>IF(Second!I8="", "",Second!I8)</f>
        <v/>
      </c>
      <c r="J255" s="66" t="str">
        <f>IF(Second!J8="", "",Second!J8)</f>
        <v/>
      </c>
      <c r="K255" s="86" t="str">
        <f>IF(Second!K8="", "",Second!K8)</f>
        <v/>
      </c>
      <c r="L255" s="88"/>
      <c r="M255" s="67" t="str">
        <f t="shared" si="10"/>
        <v/>
      </c>
      <c r="N255" s="76" t="str">
        <f t="shared" si="11"/>
        <v/>
      </c>
      <c r="O255" s="33">
        <f t="shared" si="9"/>
        <v>0</v>
      </c>
    </row>
    <row r="256" spans="1:15" x14ac:dyDescent="0.25">
      <c r="A256" s="58" t="s">
        <v>204</v>
      </c>
      <c r="B256" s="79" t="str">
        <f>IF(Second!B9="", "",Second!B9)</f>
        <v/>
      </c>
      <c r="C256" s="66" t="str">
        <f>IF(Second!C9="", "",Second!C9)</f>
        <v/>
      </c>
      <c r="D256" s="66" t="str">
        <f>IF(Second!D9="", "",Second!D9)</f>
        <v/>
      </c>
      <c r="E256" s="66" t="str">
        <f>IF(Second!E9="", "",Second!E9)</f>
        <v/>
      </c>
      <c r="F256" s="66" t="str">
        <f>IF(Second!F9="", "",Second!F9)</f>
        <v/>
      </c>
      <c r="G256" s="66" t="str">
        <f>IF(Second!G9="", "",Second!G9)</f>
        <v/>
      </c>
      <c r="H256" s="66" t="str">
        <f>IF(Second!H9="", "",Second!H9)</f>
        <v/>
      </c>
      <c r="I256" s="66" t="str">
        <f>IF(Second!I9="", "",Second!I9)</f>
        <v/>
      </c>
      <c r="J256" s="66" t="str">
        <f>IF(Second!J9="", "",Second!J9)</f>
        <v/>
      </c>
      <c r="K256" s="86" t="str">
        <f>IF(Second!K9="", "",Second!K9)</f>
        <v/>
      </c>
      <c r="L256" s="88"/>
      <c r="M256" s="67" t="str">
        <f t="shared" si="10"/>
        <v/>
      </c>
      <c r="N256" s="76" t="str">
        <f t="shared" si="11"/>
        <v/>
      </c>
      <c r="O256" s="33">
        <f t="shared" si="9"/>
        <v>0</v>
      </c>
    </row>
    <row r="257" spans="1:15" x14ac:dyDescent="0.25">
      <c r="A257" s="58" t="s">
        <v>204</v>
      </c>
      <c r="B257" s="79" t="str">
        <f>IF(Second!B10="", "",Second!B10)</f>
        <v/>
      </c>
      <c r="C257" s="66" t="str">
        <f>IF(Second!C10="", "",Second!C10)</f>
        <v/>
      </c>
      <c r="D257" s="66" t="str">
        <f>IF(Second!D10="", "",Second!D10)</f>
        <v/>
      </c>
      <c r="E257" s="66" t="str">
        <f>IF(Second!E10="", "",Second!E10)</f>
        <v/>
      </c>
      <c r="F257" s="66" t="str">
        <f>IF(Second!F10="", "",Second!F10)</f>
        <v/>
      </c>
      <c r="G257" s="66" t="str">
        <f>IF(Second!G10="", "",Second!G10)</f>
        <v/>
      </c>
      <c r="H257" s="66" t="str">
        <f>IF(Second!H10="", "",Second!H10)</f>
        <v/>
      </c>
      <c r="I257" s="66" t="str">
        <f>IF(Second!I10="", "",Second!I10)</f>
        <v/>
      </c>
      <c r="J257" s="66" t="str">
        <f>IF(Second!J10="", "",Second!J10)</f>
        <v/>
      </c>
      <c r="K257" s="86" t="str">
        <f>IF(Second!K10="", "",Second!K10)</f>
        <v/>
      </c>
      <c r="L257" s="88"/>
      <c r="M257" s="67" t="str">
        <f t="shared" si="10"/>
        <v/>
      </c>
      <c r="N257" s="76" t="str">
        <f t="shared" si="11"/>
        <v/>
      </c>
      <c r="O257" s="33">
        <f t="shared" si="9"/>
        <v>0</v>
      </c>
    </row>
    <row r="258" spans="1:15" x14ac:dyDescent="0.25">
      <c r="A258" s="58" t="s">
        <v>204</v>
      </c>
      <c r="B258" s="79" t="str">
        <f>IF(Second!B11="", "",Second!B11)</f>
        <v/>
      </c>
      <c r="C258" s="66" t="str">
        <f>IF(Second!C11="", "",Second!C11)</f>
        <v/>
      </c>
      <c r="D258" s="66" t="str">
        <f>IF(Second!D11="", "",Second!D11)</f>
        <v/>
      </c>
      <c r="E258" s="66" t="str">
        <f>IF(Second!E11="", "",Second!E11)</f>
        <v/>
      </c>
      <c r="F258" s="66" t="str">
        <f>IF(Second!F11="", "",Second!F11)</f>
        <v/>
      </c>
      <c r="G258" s="66" t="str">
        <f>IF(Second!G11="", "",Second!G11)</f>
        <v/>
      </c>
      <c r="H258" s="66" t="str">
        <f>IF(Second!H11="", "",Second!H11)</f>
        <v/>
      </c>
      <c r="I258" s="66" t="str">
        <f>IF(Second!I11="", "",Second!I11)</f>
        <v/>
      </c>
      <c r="J258" s="66" t="str">
        <f>IF(Second!J11="", "",Second!J11)</f>
        <v/>
      </c>
      <c r="K258" s="86" t="str">
        <f>IF(Second!K11="", "",Second!K11)</f>
        <v/>
      </c>
      <c r="L258" s="88"/>
      <c r="M258" s="67" t="str">
        <f t="shared" si="10"/>
        <v/>
      </c>
      <c r="N258" s="76" t="str">
        <f t="shared" si="11"/>
        <v/>
      </c>
      <c r="O258" s="33">
        <f t="shared" ref="O258:O321" si="13">SUM(M258:N258)</f>
        <v>0</v>
      </c>
    </row>
    <row r="259" spans="1:15" x14ac:dyDescent="0.25">
      <c r="A259" s="58" t="s">
        <v>204</v>
      </c>
      <c r="B259" s="79" t="str">
        <f>IF(Second!B12="", "",Second!B12)</f>
        <v/>
      </c>
      <c r="C259" s="66" t="str">
        <f>IF(Second!C12="", "",Second!C12)</f>
        <v/>
      </c>
      <c r="D259" s="66" t="str">
        <f>IF(Second!D12="", "",Second!D12)</f>
        <v/>
      </c>
      <c r="E259" s="66" t="str">
        <f>IF(Second!E12="", "",Second!E12)</f>
        <v/>
      </c>
      <c r="F259" s="66" t="str">
        <f>IF(Second!F12="", "",Second!F12)</f>
        <v/>
      </c>
      <c r="G259" s="66" t="str">
        <f>IF(Second!G12="", "",Second!G12)</f>
        <v/>
      </c>
      <c r="H259" s="66" t="str">
        <f>IF(Second!H12="", "",Second!H12)</f>
        <v/>
      </c>
      <c r="I259" s="66" t="str">
        <f>IF(Second!I12="", "",Second!I12)</f>
        <v/>
      </c>
      <c r="J259" s="66" t="str">
        <f>IF(Second!J12="", "",Second!J12)</f>
        <v/>
      </c>
      <c r="K259" s="86" t="str">
        <f>IF(Second!K12="", "",Second!K12)</f>
        <v/>
      </c>
      <c r="L259" s="88"/>
      <c r="M259" s="67" t="str">
        <f t="shared" ref="M259:M322" si="14">IF(C259="PwC",(7-COUNTIF(B259:H259,"")),"")</f>
        <v/>
      </c>
      <c r="N259" s="76" t="str">
        <f t="shared" ref="N259:N322" si="15">IF(C259="Carer",(7-COUNTIF(B259:H259,"")),"")</f>
        <v/>
      </c>
      <c r="O259" s="33">
        <f t="shared" si="13"/>
        <v>0</v>
      </c>
    </row>
    <row r="260" spans="1:15" x14ac:dyDescent="0.25">
      <c r="A260" s="58" t="s">
        <v>204</v>
      </c>
      <c r="B260" s="79" t="str">
        <f>IF(Second!B13="", "",Second!B13)</f>
        <v/>
      </c>
      <c r="C260" s="66" t="str">
        <f>IF(Second!C13="", "",Second!C13)</f>
        <v/>
      </c>
      <c r="D260" s="66" t="str">
        <f>IF(Second!D13="", "",Second!D13)</f>
        <v/>
      </c>
      <c r="E260" s="66" t="str">
        <f>IF(Second!E13="", "",Second!E13)</f>
        <v/>
      </c>
      <c r="F260" s="66" t="str">
        <f>IF(Second!F13="", "",Second!F13)</f>
        <v/>
      </c>
      <c r="G260" s="66" t="str">
        <f>IF(Second!G13="", "",Second!G13)</f>
        <v/>
      </c>
      <c r="H260" s="66" t="str">
        <f>IF(Second!H13="", "",Second!H13)</f>
        <v/>
      </c>
      <c r="I260" s="66" t="str">
        <f>IF(Second!I13="", "",Second!I13)</f>
        <v/>
      </c>
      <c r="J260" s="66" t="str">
        <f>IF(Second!J13="", "",Second!J13)</f>
        <v/>
      </c>
      <c r="K260" s="86" t="str">
        <f>IF(Second!K13="", "",Second!K13)</f>
        <v/>
      </c>
      <c r="L260" s="88"/>
      <c r="M260" s="67" t="str">
        <f t="shared" si="14"/>
        <v/>
      </c>
      <c r="N260" s="76" t="str">
        <f t="shared" si="15"/>
        <v/>
      </c>
      <c r="O260" s="33">
        <f t="shared" si="13"/>
        <v>0</v>
      </c>
    </row>
    <row r="261" spans="1:15" x14ac:dyDescent="0.25">
      <c r="A261" s="58" t="s">
        <v>204</v>
      </c>
      <c r="B261" s="79" t="str">
        <f>IF(Second!B14="", "",Second!B14)</f>
        <v/>
      </c>
      <c r="C261" s="66" t="str">
        <f>IF(Second!C14="", "",Second!C14)</f>
        <v/>
      </c>
      <c r="D261" s="66" t="str">
        <f>IF(Second!D14="", "",Second!D14)</f>
        <v/>
      </c>
      <c r="E261" s="66" t="str">
        <f>IF(Second!E14="", "",Second!E14)</f>
        <v/>
      </c>
      <c r="F261" s="66" t="str">
        <f>IF(Second!F14="", "",Second!F14)</f>
        <v/>
      </c>
      <c r="G261" s="66" t="str">
        <f>IF(Second!G14="", "",Second!G14)</f>
        <v/>
      </c>
      <c r="H261" s="66" t="str">
        <f>IF(Second!H14="", "",Second!H14)</f>
        <v/>
      </c>
      <c r="I261" s="66" t="str">
        <f>IF(Second!I14="", "",Second!I14)</f>
        <v/>
      </c>
      <c r="J261" s="66" t="str">
        <f>IF(Second!J14="", "",Second!J14)</f>
        <v/>
      </c>
      <c r="K261" s="86" t="str">
        <f>IF(Second!K14="", "",Second!K14)</f>
        <v/>
      </c>
      <c r="L261" s="88"/>
      <c r="M261" s="67" t="str">
        <f t="shared" si="14"/>
        <v/>
      </c>
      <c r="N261" s="76" t="str">
        <f t="shared" si="15"/>
        <v/>
      </c>
      <c r="O261" s="33">
        <f t="shared" si="13"/>
        <v>0</v>
      </c>
    </row>
    <row r="262" spans="1:15" x14ac:dyDescent="0.25">
      <c r="A262" s="58" t="s">
        <v>204</v>
      </c>
      <c r="B262" s="79" t="str">
        <f>IF(Second!B15="", "",Second!B15)</f>
        <v/>
      </c>
      <c r="C262" s="66" t="str">
        <f>IF(Second!C15="", "",Second!C15)</f>
        <v/>
      </c>
      <c r="D262" s="66" t="str">
        <f>IF(Second!D15="", "",Second!D15)</f>
        <v/>
      </c>
      <c r="E262" s="66" t="str">
        <f>IF(Second!E15="", "",Second!E15)</f>
        <v/>
      </c>
      <c r="F262" s="66" t="str">
        <f>IF(Second!F15="", "",Second!F15)</f>
        <v/>
      </c>
      <c r="G262" s="66" t="str">
        <f>IF(Second!G15="", "",Second!G15)</f>
        <v/>
      </c>
      <c r="H262" s="66" t="str">
        <f>IF(Second!H15="", "",Second!H15)</f>
        <v/>
      </c>
      <c r="I262" s="66" t="str">
        <f>IF(Second!I15="", "",Second!I15)</f>
        <v/>
      </c>
      <c r="J262" s="66" t="str">
        <f>IF(Second!J15="", "",Second!J15)</f>
        <v/>
      </c>
      <c r="K262" s="86" t="str">
        <f>IF(Second!K15="", "",Second!K15)</f>
        <v/>
      </c>
      <c r="L262" s="88"/>
      <c r="M262" s="67" t="str">
        <f t="shared" si="14"/>
        <v/>
      </c>
      <c r="N262" s="76" t="str">
        <f t="shared" si="15"/>
        <v/>
      </c>
      <c r="O262" s="33">
        <f t="shared" si="13"/>
        <v>0</v>
      </c>
    </row>
    <row r="263" spans="1:15" x14ac:dyDescent="0.25">
      <c r="A263" s="58" t="s">
        <v>204</v>
      </c>
      <c r="B263" s="79" t="str">
        <f>IF(Second!B16="", "",Second!B16)</f>
        <v/>
      </c>
      <c r="C263" s="66" t="str">
        <f>IF(Second!C16="", "",Second!C16)</f>
        <v/>
      </c>
      <c r="D263" s="66" t="str">
        <f>IF(Second!D16="", "",Second!D16)</f>
        <v/>
      </c>
      <c r="E263" s="66" t="str">
        <f>IF(Second!E16="", "",Second!E16)</f>
        <v/>
      </c>
      <c r="F263" s="66" t="str">
        <f>IF(Second!F16="", "",Second!F16)</f>
        <v/>
      </c>
      <c r="G263" s="66" t="str">
        <f>IF(Second!G16="", "",Second!G16)</f>
        <v/>
      </c>
      <c r="H263" s="66" t="str">
        <f>IF(Second!H16="", "",Second!H16)</f>
        <v/>
      </c>
      <c r="I263" s="66" t="str">
        <f>IF(Second!I16="", "",Second!I16)</f>
        <v/>
      </c>
      <c r="J263" s="66" t="str">
        <f>IF(Second!J16="", "",Second!J16)</f>
        <v/>
      </c>
      <c r="K263" s="86" t="str">
        <f>IF(Second!K16="", "",Second!K16)</f>
        <v/>
      </c>
      <c r="L263" s="88"/>
      <c r="M263" s="67" t="str">
        <f t="shared" si="14"/>
        <v/>
      </c>
      <c r="N263" s="76" t="str">
        <f t="shared" si="15"/>
        <v/>
      </c>
      <c r="O263" s="33">
        <f t="shared" si="13"/>
        <v>0</v>
      </c>
    </row>
    <row r="264" spans="1:15" x14ac:dyDescent="0.25">
      <c r="A264" s="58" t="s">
        <v>204</v>
      </c>
      <c r="B264" s="79" t="str">
        <f>IF(Second!B17="", "",Second!B17)</f>
        <v/>
      </c>
      <c r="C264" s="66" t="str">
        <f>IF(Second!C17="", "",Second!C17)</f>
        <v/>
      </c>
      <c r="D264" s="66" t="str">
        <f>IF(Second!D17="", "",Second!D17)</f>
        <v/>
      </c>
      <c r="E264" s="66" t="str">
        <f>IF(Second!E17="", "",Second!E17)</f>
        <v/>
      </c>
      <c r="F264" s="66" t="str">
        <f>IF(Second!F17="", "",Second!F17)</f>
        <v/>
      </c>
      <c r="G264" s="66" t="str">
        <f>IF(Second!G17="", "",Second!G17)</f>
        <v/>
      </c>
      <c r="H264" s="66" t="str">
        <f>IF(Second!H17="", "",Second!H17)</f>
        <v/>
      </c>
      <c r="I264" s="66" t="str">
        <f>IF(Second!I17="", "",Second!I17)</f>
        <v/>
      </c>
      <c r="J264" s="66" t="str">
        <f>IF(Second!J17="", "",Second!J17)</f>
        <v/>
      </c>
      <c r="K264" s="86" t="str">
        <f>IF(Second!K17="", "",Second!K17)</f>
        <v/>
      </c>
      <c r="L264" s="88"/>
      <c r="M264" s="67" t="str">
        <f t="shared" si="14"/>
        <v/>
      </c>
      <c r="N264" s="76" t="str">
        <f t="shared" si="15"/>
        <v/>
      </c>
      <c r="O264" s="33">
        <f t="shared" si="13"/>
        <v>0</v>
      </c>
    </row>
    <row r="265" spans="1:15" x14ac:dyDescent="0.25">
      <c r="A265" s="58" t="s">
        <v>204</v>
      </c>
      <c r="B265" s="79" t="str">
        <f>IF(Second!B18="", "",Second!B18)</f>
        <v/>
      </c>
      <c r="C265" s="66" t="str">
        <f>IF(Second!C18="", "",Second!C18)</f>
        <v/>
      </c>
      <c r="D265" s="66" t="str">
        <f>IF(Second!D18="", "",Second!D18)</f>
        <v/>
      </c>
      <c r="E265" s="66" t="str">
        <f>IF(Second!E18="", "",Second!E18)</f>
        <v/>
      </c>
      <c r="F265" s="66" t="str">
        <f>IF(Second!F18="", "",Second!F18)</f>
        <v/>
      </c>
      <c r="G265" s="66" t="str">
        <f>IF(Second!G18="", "",Second!G18)</f>
        <v/>
      </c>
      <c r="H265" s="66" t="str">
        <f>IF(Second!H18="", "",Second!H18)</f>
        <v/>
      </c>
      <c r="I265" s="66" t="str">
        <f>IF(Second!I18="", "",Second!I18)</f>
        <v/>
      </c>
      <c r="J265" s="66" t="str">
        <f>IF(Second!J18="", "",Second!J18)</f>
        <v/>
      </c>
      <c r="K265" s="86" t="str">
        <f>IF(Second!K18="", "",Second!K18)</f>
        <v/>
      </c>
      <c r="L265" s="88"/>
      <c r="M265" s="67" t="str">
        <f t="shared" si="14"/>
        <v/>
      </c>
      <c r="N265" s="76" t="str">
        <f t="shared" si="15"/>
        <v/>
      </c>
      <c r="O265" s="33">
        <f t="shared" si="13"/>
        <v>0</v>
      </c>
    </row>
    <row r="266" spans="1:15" x14ac:dyDescent="0.25">
      <c r="A266" s="58" t="s">
        <v>204</v>
      </c>
      <c r="B266" s="79" t="str">
        <f>IF(Second!B19="", "",Second!B19)</f>
        <v/>
      </c>
      <c r="C266" s="66" t="str">
        <f>IF(Second!C19="", "",Second!C19)</f>
        <v/>
      </c>
      <c r="D266" s="66" t="str">
        <f>IF(Second!D19="", "",Second!D19)</f>
        <v/>
      </c>
      <c r="E266" s="66" t="str">
        <f>IF(Second!E19="", "",Second!E19)</f>
        <v/>
      </c>
      <c r="F266" s="66" t="str">
        <f>IF(Second!F19="", "",Second!F19)</f>
        <v/>
      </c>
      <c r="G266" s="66" t="str">
        <f>IF(Second!G19="", "",Second!G19)</f>
        <v/>
      </c>
      <c r="H266" s="66" t="str">
        <f>IF(Second!H19="", "",Second!H19)</f>
        <v/>
      </c>
      <c r="I266" s="66" t="str">
        <f>IF(Second!I19="", "",Second!I19)</f>
        <v/>
      </c>
      <c r="J266" s="66" t="str">
        <f>IF(Second!J19="", "",Second!J19)</f>
        <v/>
      </c>
      <c r="K266" s="86" t="str">
        <f>IF(Second!K19="", "",Second!K19)</f>
        <v/>
      </c>
      <c r="L266" s="88"/>
      <c r="M266" s="67" t="str">
        <f t="shared" si="14"/>
        <v/>
      </c>
      <c r="N266" s="76" t="str">
        <f t="shared" si="15"/>
        <v/>
      </c>
      <c r="O266" s="33">
        <f t="shared" si="13"/>
        <v>0</v>
      </c>
    </row>
    <row r="267" spans="1:15" x14ac:dyDescent="0.25">
      <c r="A267" s="58" t="s">
        <v>204</v>
      </c>
      <c r="B267" s="79" t="str">
        <f>IF(Second!B20="", "",Second!B20)</f>
        <v/>
      </c>
      <c r="C267" s="66" t="str">
        <f>IF(Second!C20="", "",Second!C20)</f>
        <v/>
      </c>
      <c r="D267" s="66" t="str">
        <f>IF(Second!D20="", "",Second!D20)</f>
        <v/>
      </c>
      <c r="E267" s="66" t="str">
        <f>IF(Second!E20="", "",Second!E20)</f>
        <v/>
      </c>
      <c r="F267" s="66" t="str">
        <f>IF(Second!F20="", "",Second!F20)</f>
        <v/>
      </c>
      <c r="G267" s="66" t="str">
        <f>IF(Second!G20="", "",Second!G20)</f>
        <v/>
      </c>
      <c r="H267" s="66" t="str">
        <f>IF(Second!H20="", "",Second!H20)</f>
        <v/>
      </c>
      <c r="I267" s="66" t="str">
        <f>IF(Second!I20="", "",Second!I20)</f>
        <v/>
      </c>
      <c r="J267" s="66" t="str">
        <f>IF(Second!J20="", "",Second!J20)</f>
        <v/>
      </c>
      <c r="K267" s="86" t="str">
        <f>IF(Second!K20="", "",Second!K20)</f>
        <v/>
      </c>
      <c r="L267" s="88"/>
      <c r="M267" s="67" t="str">
        <f t="shared" si="14"/>
        <v/>
      </c>
      <c r="N267" s="76" t="str">
        <f t="shared" si="15"/>
        <v/>
      </c>
      <c r="O267" s="33">
        <f t="shared" si="13"/>
        <v>0</v>
      </c>
    </row>
    <row r="268" spans="1:15" x14ac:dyDescent="0.25">
      <c r="A268" s="58" t="s">
        <v>204</v>
      </c>
      <c r="B268" s="79" t="str">
        <f>IF(Second!B21="", "",Second!B21)</f>
        <v/>
      </c>
      <c r="C268" s="66" t="str">
        <f>IF(Second!C21="", "",Second!C21)</f>
        <v/>
      </c>
      <c r="D268" s="66" t="str">
        <f>IF(Second!D21="", "",Second!D21)</f>
        <v/>
      </c>
      <c r="E268" s="66" t="str">
        <f>IF(Second!E21="", "",Second!E21)</f>
        <v/>
      </c>
      <c r="F268" s="66" t="str">
        <f>IF(Second!F21="", "",Second!F21)</f>
        <v/>
      </c>
      <c r="G268" s="66" t="str">
        <f>IF(Second!G21="", "",Second!G21)</f>
        <v/>
      </c>
      <c r="H268" s="66" t="str">
        <f>IF(Second!H21="", "",Second!H21)</f>
        <v/>
      </c>
      <c r="I268" s="66" t="str">
        <f>IF(Second!I21="", "",Second!I21)</f>
        <v/>
      </c>
      <c r="J268" s="66" t="str">
        <f>IF(Second!J21="", "",Second!J21)</f>
        <v/>
      </c>
      <c r="K268" s="86" t="str">
        <f>IF(Second!K21="", "",Second!K21)</f>
        <v/>
      </c>
      <c r="L268" s="88"/>
      <c r="M268" s="67" t="str">
        <f t="shared" si="14"/>
        <v/>
      </c>
      <c r="N268" s="76" t="str">
        <f t="shared" si="15"/>
        <v/>
      </c>
      <c r="O268" s="33">
        <f t="shared" si="13"/>
        <v>0</v>
      </c>
    </row>
    <row r="269" spans="1:15" x14ac:dyDescent="0.25">
      <c r="A269" s="58" t="s">
        <v>204</v>
      </c>
      <c r="B269" s="79" t="str">
        <f>IF(Second!B22="", "",Second!B22)</f>
        <v/>
      </c>
      <c r="C269" s="66" t="str">
        <f>IF(Second!C22="", "",Second!C22)</f>
        <v/>
      </c>
      <c r="D269" s="66" t="str">
        <f>IF(Second!D22="", "",Second!D22)</f>
        <v/>
      </c>
      <c r="E269" s="66" t="str">
        <f>IF(Second!E22="", "",Second!E22)</f>
        <v/>
      </c>
      <c r="F269" s="66" t="str">
        <f>IF(Second!F22="", "",Second!F22)</f>
        <v/>
      </c>
      <c r="G269" s="66" t="str">
        <f>IF(Second!G22="", "",Second!G22)</f>
        <v/>
      </c>
      <c r="H269" s="66" t="str">
        <f>IF(Second!H22="", "",Second!H22)</f>
        <v/>
      </c>
      <c r="I269" s="66" t="str">
        <f>IF(Second!I22="", "",Second!I22)</f>
        <v/>
      </c>
      <c r="J269" s="66" t="str">
        <f>IF(Second!J22="", "",Second!J22)</f>
        <v/>
      </c>
      <c r="K269" s="86" t="str">
        <f>IF(Second!K22="", "",Second!K22)</f>
        <v/>
      </c>
      <c r="L269" s="88"/>
      <c r="M269" s="67" t="str">
        <f t="shared" si="14"/>
        <v/>
      </c>
      <c r="N269" s="76" t="str">
        <f t="shared" si="15"/>
        <v/>
      </c>
      <c r="O269" s="33">
        <f t="shared" si="13"/>
        <v>0</v>
      </c>
    </row>
    <row r="270" spans="1:15" x14ac:dyDescent="0.25">
      <c r="A270" s="58" t="s">
        <v>204</v>
      </c>
      <c r="B270" s="79" t="str">
        <f>IF(Second!B23="", "",Second!B23)</f>
        <v/>
      </c>
      <c r="C270" s="66" t="str">
        <f>IF(Second!C23="", "",Second!C23)</f>
        <v/>
      </c>
      <c r="D270" s="66" t="str">
        <f>IF(Second!D23="", "",Second!D23)</f>
        <v/>
      </c>
      <c r="E270" s="66" t="str">
        <f>IF(Second!E23="", "",Second!E23)</f>
        <v/>
      </c>
      <c r="F270" s="66" t="str">
        <f>IF(Second!F23="", "",Second!F23)</f>
        <v/>
      </c>
      <c r="G270" s="66" t="str">
        <f>IF(Second!G23="", "",Second!G23)</f>
        <v/>
      </c>
      <c r="H270" s="66" t="str">
        <f>IF(Second!H23="", "",Second!H23)</f>
        <v/>
      </c>
      <c r="I270" s="66" t="str">
        <f>IF(Second!I23="", "",Second!I23)</f>
        <v/>
      </c>
      <c r="J270" s="66" t="str">
        <f>IF(Second!J23="", "",Second!J23)</f>
        <v/>
      </c>
      <c r="K270" s="86" t="str">
        <f>IF(Second!K23="", "",Second!K23)</f>
        <v/>
      </c>
      <c r="L270" s="88"/>
      <c r="M270" s="67" t="str">
        <f t="shared" si="14"/>
        <v/>
      </c>
      <c r="N270" s="76" t="str">
        <f t="shared" si="15"/>
        <v/>
      </c>
      <c r="O270" s="33">
        <f t="shared" si="13"/>
        <v>0</v>
      </c>
    </row>
    <row r="271" spans="1:15" x14ac:dyDescent="0.25">
      <c r="A271" s="58" t="s">
        <v>204</v>
      </c>
      <c r="B271" s="79" t="str">
        <f>IF(Second!B24="", "",Second!B24)</f>
        <v/>
      </c>
      <c r="C271" s="66" t="str">
        <f>IF(Second!C24="", "",Second!C24)</f>
        <v/>
      </c>
      <c r="D271" s="66" t="str">
        <f>IF(Second!D24="", "",Second!D24)</f>
        <v/>
      </c>
      <c r="E271" s="66" t="str">
        <f>IF(Second!E24="", "",Second!E24)</f>
        <v/>
      </c>
      <c r="F271" s="66" t="str">
        <f>IF(Second!F24="", "",Second!F24)</f>
        <v/>
      </c>
      <c r="G271" s="66" t="str">
        <f>IF(Second!G24="", "",Second!G24)</f>
        <v/>
      </c>
      <c r="H271" s="66" t="str">
        <f>IF(Second!H24="", "",Second!H24)</f>
        <v/>
      </c>
      <c r="I271" s="66" t="str">
        <f>IF(Second!I24="", "",Second!I24)</f>
        <v/>
      </c>
      <c r="J271" s="66" t="str">
        <f>IF(Second!J24="", "",Second!J24)</f>
        <v/>
      </c>
      <c r="K271" s="86" t="str">
        <f>IF(Second!K24="", "",Second!K24)</f>
        <v/>
      </c>
      <c r="L271" s="88"/>
      <c r="M271" s="67" t="str">
        <f t="shared" si="14"/>
        <v/>
      </c>
      <c r="N271" s="76" t="str">
        <f t="shared" si="15"/>
        <v/>
      </c>
      <c r="O271" s="33">
        <f t="shared" si="13"/>
        <v>0</v>
      </c>
    </row>
    <row r="272" spans="1:15" x14ac:dyDescent="0.25">
      <c r="A272" s="58" t="s">
        <v>204</v>
      </c>
      <c r="B272" s="79" t="str">
        <f>IF(Second!B25="", "",Second!B25)</f>
        <v/>
      </c>
      <c r="C272" s="66" t="str">
        <f>IF(Second!C25="", "",Second!C25)</f>
        <v/>
      </c>
      <c r="D272" s="66" t="str">
        <f>IF(Second!D25="", "",Second!D25)</f>
        <v/>
      </c>
      <c r="E272" s="66" t="str">
        <f>IF(Second!E25="", "",Second!E25)</f>
        <v/>
      </c>
      <c r="F272" s="66" t="str">
        <f>IF(Second!F25="", "",Second!F25)</f>
        <v/>
      </c>
      <c r="G272" s="66" t="str">
        <f>IF(Second!G25="", "",Second!G25)</f>
        <v/>
      </c>
      <c r="H272" s="66" t="str">
        <f>IF(Second!H25="", "",Second!H25)</f>
        <v/>
      </c>
      <c r="I272" s="66" t="str">
        <f>IF(Second!I25="", "",Second!I25)</f>
        <v/>
      </c>
      <c r="J272" s="66" t="str">
        <f>IF(Second!J25="", "",Second!J25)</f>
        <v/>
      </c>
      <c r="K272" s="86" t="str">
        <f>IF(Second!K25="", "",Second!K25)</f>
        <v/>
      </c>
      <c r="L272" s="88"/>
      <c r="M272" s="67" t="str">
        <f t="shared" si="14"/>
        <v/>
      </c>
      <c r="N272" s="76" t="str">
        <f t="shared" si="15"/>
        <v/>
      </c>
      <c r="O272" s="33">
        <f t="shared" si="13"/>
        <v>0</v>
      </c>
    </row>
    <row r="273" spans="1:15" x14ac:dyDescent="0.25">
      <c r="A273" s="58" t="s">
        <v>204</v>
      </c>
      <c r="B273" s="79" t="str">
        <f>IF(Second!B26="", "",Second!B26)</f>
        <v/>
      </c>
      <c r="C273" s="66" t="str">
        <f>IF(Second!C26="", "",Second!C26)</f>
        <v/>
      </c>
      <c r="D273" s="66" t="str">
        <f>IF(Second!D26="", "",Second!D26)</f>
        <v/>
      </c>
      <c r="E273" s="66" t="str">
        <f>IF(Second!E26="", "",Second!E26)</f>
        <v/>
      </c>
      <c r="F273" s="66" t="str">
        <f>IF(Second!F26="", "",Second!F26)</f>
        <v/>
      </c>
      <c r="G273" s="66" t="str">
        <f>IF(Second!G26="", "",Second!G26)</f>
        <v/>
      </c>
      <c r="H273" s="66" t="str">
        <f>IF(Second!H26="", "",Second!H26)</f>
        <v/>
      </c>
      <c r="I273" s="66" t="str">
        <f>IF(Second!I26="", "",Second!I26)</f>
        <v/>
      </c>
      <c r="J273" s="66" t="str">
        <f>IF(Second!J26="", "",Second!J26)</f>
        <v/>
      </c>
      <c r="K273" s="86" t="str">
        <f>IF(Second!K26="", "",Second!K26)</f>
        <v/>
      </c>
      <c r="L273" s="88"/>
      <c r="M273" s="67" t="str">
        <f t="shared" si="14"/>
        <v/>
      </c>
      <c r="N273" s="76" t="str">
        <f t="shared" si="15"/>
        <v/>
      </c>
      <c r="O273" s="33">
        <f t="shared" si="13"/>
        <v>0</v>
      </c>
    </row>
    <row r="274" spans="1:15" x14ac:dyDescent="0.25">
      <c r="A274" s="58" t="s">
        <v>204</v>
      </c>
      <c r="B274" s="79" t="str">
        <f>IF(Second!B27="", "",Second!B27)</f>
        <v/>
      </c>
      <c r="C274" s="66" t="str">
        <f>IF(Second!C27="", "",Second!C27)</f>
        <v/>
      </c>
      <c r="D274" s="66" t="str">
        <f>IF(Second!D27="", "",Second!D27)</f>
        <v/>
      </c>
      <c r="E274" s="66" t="str">
        <f>IF(Second!E27="", "",Second!E27)</f>
        <v/>
      </c>
      <c r="F274" s="66" t="str">
        <f>IF(Second!F27="", "",Second!F27)</f>
        <v/>
      </c>
      <c r="G274" s="66" t="str">
        <f>IF(Second!G27="", "",Second!G27)</f>
        <v/>
      </c>
      <c r="H274" s="66" t="str">
        <f>IF(Second!H27="", "",Second!H27)</f>
        <v/>
      </c>
      <c r="I274" s="66" t="str">
        <f>IF(Second!I27="", "",Second!I27)</f>
        <v/>
      </c>
      <c r="J274" s="66" t="str">
        <f>IF(Second!J27="", "",Second!J27)</f>
        <v/>
      </c>
      <c r="K274" s="86" t="str">
        <f>IF(Second!K27="", "",Second!K27)</f>
        <v/>
      </c>
      <c r="L274" s="88"/>
      <c r="M274" s="67" t="str">
        <f t="shared" si="14"/>
        <v/>
      </c>
      <c r="N274" s="76" t="str">
        <f t="shared" si="15"/>
        <v/>
      </c>
      <c r="O274" s="33">
        <f t="shared" si="13"/>
        <v>0</v>
      </c>
    </row>
    <row r="275" spans="1:15" x14ac:dyDescent="0.25">
      <c r="A275" s="58" t="s">
        <v>204</v>
      </c>
      <c r="B275" s="79" t="str">
        <f>IF(Second!B28="", "",Second!B28)</f>
        <v/>
      </c>
      <c r="C275" s="66" t="str">
        <f>IF(Second!C28="", "",Second!C28)</f>
        <v/>
      </c>
      <c r="D275" s="66" t="str">
        <f>IF(Second!D28="", "",Second!D28)</f>
        <v/>
      </c>
      <c r="E275" s="66" t="str">
        <f>IF(Second!E28="", "",Second!E28)</f>
        <v/>
      </c>
      <c r="F275" s="66" t="str">
        <f>IF(Second!F28="", "",Second!F28)</f>
        <v/>
      </c>
      <c r="G275" s="66" t="str">
        <f>IF(Second!G28="", "",Second!G28)</f>
        <v/>
      </c>
      <c r="H275" s="66" t="str">
        <f>IF(Second!H28="", "",Second!H28)</f>
        <v/>
      </c>
      <c r="I275" s="66" t="str">
        <f>IF(Second!I28="", "",Second!I28)</f>
        <v/>
      </c>
      <c r="J275" s="66" t="str">
        <f>IF(Second!J28="", "",Second!J28)</f>
        <v/>
      </c>
      <c r="K275" s="86" t="str">
        <f>IF(Second!K28="", "",Second!K28)</f>
        <v/>
      </c>
      <c r="L275" s="88"/>
      <c r="M275" s="67" t="str">
        <f t="shared" si="14"/>
        <v/>
      </c>
      <c r="N275" s="76" t="str">
        <f t="shared" si="15"/>
        <v/>
      </c>
      <c r="O275" s="33">
        <f t="shared" si="13"/>
        <v>0</v>
      </c>
    </row>
    <row r="276" spans="1:15" x14ac:dyDescent="0.25">
      <c r="A276" s="58" t="s">
        <v>204</v>
      </c>
      <c r="B276" s="79" t="str">
        <f>IF(Second!B29="", "",Second!B29)</f>
        <v/>
      </c>
      <c r="C276" s="66" t="str">
        <f>IF(Second!C29="", "",Second!C29)</f>
        <v/>
      </c>
      <c r="D276" s="66" t="str">
        <f>IF(Second!D29="", "",Second!D29)</f>
        <v/>
      </c>
      <c r="E276" s="66" t="str">
        <f>IF(Second!E29="", "",Second!E29)</f>
        <v/>
      </c>
      <c r="F276" s="66" t="str">
        <f>IF(Second!F29="", "",Second!F29)</f>
        <v/>
      </c>
      <c r="G276" s="66" t="str">
        <f>IF(Second!G29="", "",Second!G29)</f>
        <v/>
      </c>
      <c r="H276" s="66" t="str">
        <f>IF(Second!H29="", "",Second!H29)</f>
        <v/>
      </c>
      <c r="I276" s="66" t="str">
        <f>IF(Second!I29="", "",Second!I29)</f>
        <v/>
      </c>
      <c r="J276" s="66" t="str">
        <f>IF(Second!J29="", "",Second!J29)</f>
        <v/>
      </c>
      <c r="K276" s="86" t="str">
        <f>IF(Second!K29="", "",Second!K29)</f>
        <v/>
      </c>
      <c r="L276" s="88"/>
      <c r="M276" s="67" t="str">
        <f t="shared" si="14"/>
        <v/>
      </c>
      <c r="N276" s="76" t="str">
        <f t="shared" si="15"/>
        <v/>
      </c>
      <c r="O276" s="33">
        <f t="shared" si="13"/>
        <v>0</v>
      </c>
    </row>
    <row r="277" spans="1:15" x14ac:dyDescent="0.25">
      <c r="A277" s="58" t="s">
        <v>204</v>
      </c>
      <c r="B277" s="79" t="str">
        <f>IF(Second!B30="", "",Second!B30)</f>
        <v/>
      </c>
      <c r="C277" s="66" t="str">
        <f>IF(Second!C30="", "",Second!C30)</f>
        <v/>
      </c>
      <c r="D277" s="66" t="str">
        <f>IF(Second!D30="", "",Second!D30)</f>
        <v/>
      </c>
      <c r="E277" s="66" t="str">
        <f>IF(Second!E30="", "",Second!E30)</f>
        <v/>
      </c>
      <c r="F277" s="66" t="str">
        <f>IF(Second!F30="", "",Second!F30)</f>
        <v/>
      </c>
      <c r="G277" s="66" t="str">
        <f>IF(Second!G30="", "",Second!G30)</f>
        <v/>
      </c>
      <c r="H277" s="66" t="str">
        <f>IF(Second!H30="", "",Second!H30)</f>
        <v/>
      </c>
      <c r="I277" s="66" t="str">
        <f>IF(Second!I30="", "",Second!I30)</f>
        <v/>
      </c>
      <c r="J277" s="66" t="str">
        <f>IF(Second!J30="", "",Second!J30)</f>
        <v/>
      </c>
      <c r="K277" s="86" t="str">
        <f>IF(Second!K30="", "",Second!K30)</f>
        <v/>
      </c>
      <c r="L277" s="88"/>
      <c r="M277" s="67" t="str">
        <f t="shared" si="14"/>
        <v/>
      </c>
      <c r="N277" s="76" t="str">
        <f t="shared" si="15"/>
        <v/>
      </c>
      <c r="O277" s="33">
        <f t="shared" si="13"/>
        <v>0</v>
      </c>
    </row>
    <row r="278" spans="1:15" x14ac:dyDescent="0.25">
      <c r="A278" s="58" t="s">
        <v>204</v>
      </c>
      <c r="B278" s="79" t="str">
        <f>IF(Second!B31="", "",Second!B31)</f>
        <v/>
      </c>
      <c r="C278" s="66" t="str">
        <f>IF(Second!C31="", "",Second!C31)</f>
        <v/>
      </c>
      <c r="D278" s="66" t="str">
        <f>IF(Second!D31="", "",Second!D31)</f>
        <v/>
      </c>
      <c r="E278" s="66" t="str">
        <f>IF(Second!E31="", "",Second!E31)</f>
        <v/>
      </c>
      <c r="F278" s="66" t="str">
        <f>IF(Second!F31="", "",Second!F31)</f>
        <v/>
      </c>
      <c r="G278" s="66" t="str">
        <f>IF(Second!G31="", "",Second!G31)</f>
        <v/>
      </c>
      <c r="H278" s="66" t="str">
        <f>IF(Second!H31="", "",Second!H31)</f>
        <v/>
      </c>
      <c r="I278" s="66" t="str">
        <f>IF(Second!I31="", "",Second!I31)</f>
        <v/>
      </c>
      <c r="J278" s="66" t="str">
        <f>IF(Second!J31="", "",Second!J31)</f>
        <v/>
      </c>
      <c r="K278" s="86" t="str">
        <f>IF(Second!K31="", "",Second!K31)</f>
        <v/>
      </c>
      <c r="L278" s="88"/>
      <c r="M278" s="67" t="str">
        <f t="shared" si="14"/>
        <v/>
      </c>
      <c r="N278" s="76" t="str">
        <f t="shared" si="15"/>
        <v/>
      </c>
      <c r="O278" s="33">
        <f t="shared" si="13"/>
        <v>0</v>
      </c>
    </row>
    <row r="279" spans="1:15" x14ac:dyDescent="0.25">
      <c r="A279" s="58" t="s">
        <v>204</v>
      </c>
      <c r="B279" s="79" t="str">
        <f>IF(Second!B32="", "",Second!B32)</f>
        <v/>
      </c>
      <c r="C279" s="66" t="str">
        <f>IF(Second!C32="", "",Second!C32)</f>
        <v/>
      </c>
      <c r="D279" s="66" t="str">
        <f>IF(Second!D32="", "",Second!D32)</f>
        <v/>
      </c>
      <c r="E279" s="66" t="str">
        <f>IF(Second!E32="", "",Second!E32)</f>
        <v/>
      </c>
      <c r="F279" s="66" t="str">
        <f>IF(Second!F32="", "",Second!F32)</f>
        <v/>
      </c>
      <c r="G279" s="66" t="str">
        <f>IF(Second!G32="", "",Second!G32)</f>
        <v/>
      </c>
      <c r="H279" s="66" t="str">
        <f>IF(Second!H32="", "",Second!H32)</f>
        <v/>
      </c>
      <c r="I279" s="66" t="str">
        <f>IF(Second!I32="", "",Second!I32)</f>
        <v/>
      </c>
      <c r="J279" s="66" t="str">
        <f>IF(Second!J32="", "",Second!J32)</f>
        <v/>
      </c>
      <c r="K279" s="86" t="str">
        <f>IF(Second!K32="", "",Second!K32)</f>
        <v/>
      </c>
      <c r="L279" s="88"/>
      <c r="M279" s="67" t="str">
        <f t="shared" si="14"/>
        <v/>
      </c>
      <c r="N279" s="76" t="str">
        <f t="shared" si="15"/>
        <v/>
      </c>
      <c r="O279" s="33">
        <f t="shared" si="13"/>
        <v>0</v>
      </c>
    </row>
    <row r="280" spans="1:15" x14ac:dyDescent="0.25">
      <c r="A280" s="58" t="s">
        <v>204</v>
      </c>
      <c r="B280" s="79" t="str">
        <f>IF(Second!B33="", "",Second!B33)</f>
        <v/>
      </c>
      <c r="C280" s="66" t="str">
        <f>IF(Second!C33="", "",Second!C33)</f>
        <v/>
      </c>
      <c r="D280" s="66" t="str">
        <f>IF(Second!D33="", "",Second!D33)</f>
        <v/>
      </c>
      <c r="E280" s="66" t="str">
        <f>IF(Second!E33="", "",Second!E33)</f>
        <v/>
      </c>
      <c r="F280" s="66" t="str">
        <f>IF(Second!F33="", "",Second!F33)</f>
        <v/>
      </c>
      <c r="G280" s="66" t="str">
        <f>IF(Second!G33="", "",Second!G33)</f>
        <v/>
      </c>
      <c r="H280" s="66" t="str">
        <f>IF(Second!H33="", "",Second!H33)</f>
        <v/>
      </c>
      <c r="I280" s="66" t="str">
        <f>IF(Second!I33="", "",Second!I33)</f>
        <v/>
      </c>
      <c r="J280" s="66" t="str">
        <f>IF(Second!J33="", "",Second!J33)</f>
        <v/>
      </c>
      <c r="K280" s="86" t="str">
        <f>IF(Second!K33="", "",Second!K33)</f>
        <v/>
      </c>
      <c r="L280" s="88"/>
      <c r="M280" s="67" t="str">
        <f t="shared" si="14"/>
        <v/>
      </c>
      <c r="N280" s="76" t="str">
        <f t="shared" si="15"/>
        <v/>
      </c>
      <c r="O280" s="33">
        <f t="shared" si="13"/>
        <v>0</v>
      </c>
    </row>
    <row r="281" spans="1:15" x14ac:dyDescent="0.25">
      <c r="A281" s="58" t="s">
        <v>204</v>
      </c>
      <c r="B281" s="79" t="str">
        <f>IF(Second!B34="", "",Second!B34)</f>
        <v/>
      </c>
      <c r="C281" s="66" t="str">
        <f>IF(Second!C34="", "",Second!C34)</f>
        <v/>
      </c>
      <c r="D281" s="66" t="str">
        <f>IF(Second!D34="", "",Second!D34)</f>
        <v/>
      </c>
      <c r="E281" s="66" t="str">
        <f>IF(Second!E34="", "",Second!E34)</f>
        <v/>
      </c>
      <c r="F281" s="66" t="str">
        <f>IF(Second!F34="", "",Second!F34)</f>
        <v/>
      </c>
      <c r="G281" s="66" t="str">
        <f>IF(Second!G34="", "",Second!G34)</f>
        <v/>
      </c>
      <c r="H281" s="66" t="str">
        <f>IF(Second!H34="", "",Second!H34)</f>
        <v/>
      </c>
      <c r="I281" s="66" t="str">
        <f>IF(Second!I34="", "",Second!I34)</f>
        <v/>
      </c>
      <c r="J281" s="66" t="str">
        <f>IF(Second!J34="", "",Second!J34)</f>
        <v/>
      </c>
      <c r="K281" s="86" t="str">
        <f>IF(Second!K34="", "",Second!K34)</f>
        <v/>
      </c>
      <c r="L281" s="88"/>
      <c r="M281" s="67" t="str">
        <f t="shared" si="14"/>
        <v/>
      </c>
      <c r="N281" s="76" t="str">
        <f t="shared" si="15"/>
        <v/>
      </c>
      <c r="O281" s="33">
        <f t="shared" si="13"/>
        <v>0</v>
      </c>
    </row>
    <row r="282" spans="1:15" x14ac:dyDescent="0.25">
      <c r="A282" s="58" t="s">
        <v>204</v>
      </c>
      <c r="B282" s="79" t="str">
        <f>IF(Second!B35="", "",Second!B35)</f>
        <v/>
      </c>
      <c r="C282" s="66" t="str">
        <f>IF(Second!C35="", "",Second!C35)</f>
        <v/>
      </c>
      <c r="D282" s="66" t="str">
        <f>IF(Second!D35="", "",Second!D35)</f>
        <v/>
      </c>
      <c r="E282" s="66" t="str">
        <f>IF(Second!E35="", "",Second!E35)</f>
        <v/>
      </c>
      <c r="F282" s="66" t="str">
        <f>IF(Second!F35="", "",Second!F35)</f>
        <v/>
      </c>
      <c r="G282" s="66" t="str">
        <f>IF(Second!G35="", "",Second!G35)</f>
        <v/>
      </c>
      <c r="H282" s="66" t="str">
        <f>IF(Second!H35="", "",Second!H35)</f>
        <v/>
      </c>
      <c r="I282" s="66" t="str">
        <f>IF(Second!I35="", "",Second!I35)</f>
        <v/>
      </c>
      <c r="J282" s="66" t="str">
        <f>IF(Second!J35="", "",Second!J35)</f>
        <v/>
      </c>
      <c r="K282" s="86" t="str">
        <f>IF(Second!K35="", "",Second!K35)</f>
        <v/>
      </c>
      <c r="L282" s="88"/>
      <c r="M282" s="67" t="str">
        <f t="shared" si="14"/>
        <v/>
      </c>
      <c r="N282" s="76" t="str">
        <f t="shared" si="15"/>
        <v/>
      </c>
      <c r="O282" s="33">
        <f t="shared" si="13"/>
        <v>0</v>
      </c>
    </row>
    <row r="283" spans="1:15" x14ac:dyDescent="0.25">
      <c r="A283" s="58" t="s">
        <v>204</v>
      </c>
      <c r="B283" s="79" t="str">
        <f>IF(Second!B36="", "",Second!B36)</f>
        <v/>
      </c>
      <c r="C283" s="66" t="str">
        <f>IF(Second!C36="", "",Second!C36)</f>
        <v/>
      </c>
      <c r="D283" s="66" t="str">
        <f>IF(Second!D36="", "",Second!D36)</f>
        <v/>
      </c>
      <c r="E283" s="66" t="str">
        <f>IF(Second!E36="", "",Second!E36)</f>
        <v/>
      </c>
      <c r="F283" s="66" t="str">
        <f>IF(Second!F36="", "",Second!F36)</f>
        <v/>
      </c>
      <c r="G283" s="66" t="str">
        <f>IF(Second!G36="", "",Second!G36)</f>
        <v/>
      </c>
      <c r="H283" s="66" t="str">
        <f>IF(Second!H36="", "",Second!H36)</f>
        <v/>
      </c>
      <c r="I283" s="66" t="str">
        <f>IF(Second!I36="", "",Second!I36)</f>
        <v/>
      </c>
      <c r="J283" s="66" t="str">
        <f>IF(Second!J36="", "",Second!J36)</f>
        <v/>
      </c>
      <c r="K283" s="86" t="str">
        <f>IF(Second!K36="", "",Second!K36)</f>
        <v/>
      </c>
      <c r="L283" s="88"/>
      <c r="M283" s="67" t="str">
        <f t="shared" si="14"/>
        <v/>
      </c>
      <c r="N283" s="76" t="str">
        <f t="shared" si="15"/>
        <v/>
      </c>
      <c r="O283" s="33">
        <f t="shared" si="13"/>
        <v>0</v>
      </c>
    </row>
    <row r="284" spans="1:15" x14ac:dyDescent="0.25">
      <c r="A284" s="58" t="s">
        <v>204</v>
      </c>
      <c r="B284" s="79" t="str">
        <f>IF(Second!B37="", "",Second!B37)</f>
        <v/>
      </c>
      <c r="C284" s="66" t="str">
        <f>IF(Second!C37="", "",Second!C37)</f>
        <v/>
      </c>
      <c r="D284" s="66" t="str">
        <f>IF(Second!D37="", "",Second!D37)</f>
        <v/>
      </c>
      <c r="E284" s="66" t="str">
        <f>IF(Second!E37="", "",Second!E37)</f>
        <v/>
      </c>
      <c r="F284" s="66" t="str">
        <f>IF(Second!F37="", "",Second!F37)</f>
        <v/>
      </c>
      <c r="G284" s="66" t="str">
        <f>IF(Second!G37="", "",Second!G37)</f>
        <v/>
      </c>
      <c r="H284" s="66" t="str">
        <f>IF(Second!H37="", "",Second!H37)</f>
        <v/>
      </c>
      <c r="I284" s="66" t="str">
        <f>IF(Second!I37="", "",Second!I37)</f>
        <v/>
      </c>
      <c r="J284" s="66" t="str">
        <f>IF(Second!J37="", "",Second!J37)</f>
        <v/>
      </c>
      <c r="K284" s="86" t="str">
        <f>IF(Second!K37="", "",Second!K37)</f>
        <v/>
      </c>
      <c r="L284" s="88"/>
      <c r="M284" s="67" t="str">
        <f t="shared" si="14"/>
        <v/>
      </c>
      <c r="N284" s="76" t="str">
        <f t="shared" si="15"/>
        <v/>
      </c>
      <c r="O284" s="33">
        <f t="shared" si="13"/>
        <v>0</v>
      </c>
    </row>
    <row r="285" spans="1:15" x14ac:dyDescent="0.25">
      <c r="A285" s="58" t="s">
        <v>204</v>
      </c>
      <c r="B285" s="79" t="str">
        <f>IF(Second!B38="", "",Second!B38)</f>
        <v/>
      </c>
      <c r="C285" s="66" t="str">
        <f>IF(Second!C38="", "",Second!C38)</f>
        <v/>
      </c>
      <c r="D285" s="66" t="str">
        <f>IF(Second!D38="", "",Second!D38)</f>
        <v/>
      </c>
      <c r="E285" s="66" t="str">
        <f>IF(Second!E38="", "",Second!E38)</f>
        <v/>
      </c>
      <c r="F285" s="66" t="str">
        <f>IF(Second!F38="", "",Second!F38)</f>
        <v/>
      </c>
      <c r="G285" s="66" t="str">
        <f>IF(Second!G38="", "",Second!G38)</f>
        <v/>
      </c>
      <c r="H285" s="66" t="str">
        <f>IF(Second!H38="", "",Second!H38)</f>
        <v/>
      </c>
      <c r="I285" s="66" t="str">
        <f>IF(Second!I38="", "",Second!I38)</f>
        <v/>
      </c>
      <c r="J285" s="66" t="str">
        <f>IF(Second!J38="", "",Second!J38)</f>
        <v/>
      </c>
      <c r="K285" s="86" t="str">
        <f>IF(Second!K38="", "",Second!K38)</f>
        <v/>
      </c>
      <c r="L285" s="88"/>
      <c r="M285" s="67" t="str">
        <f t="shared" si="14"/>
        <v/>
      </c>
      <c r="N285" s="76" t="str">
        <f t="shared" si="15"/>
        <v/>
      </c>
      <c r="O285" s="33">
        <f t="shared" si="13"/>
        <v>0</v>
      </c>
    </row>
    <row r="286" spans="1:15" x14ac:dyDescent="0.25">
      <c r="A286" s="58" t="s">
        <v>204</v>
      </c>
      <c r="B286" s="79" t="str">
        <f>IF(Second!B39="", "",Second!B39)</f>
        <v/>
      </c>
      <c r="C286" s="66" t="str">
        <f>IF(Second!C39="", "",Second!C39)</f>
        <v/>
      </c>
      <c r="D286" s="66" t="str">
        <f>IF(Second!D39="", "",Second!D39)</f>
        <v/>
      </c>
      <c r="E286" s="66" t="str">
        <f>IF(Second!E39="", "",Second!E39)</f>
        <v/>
      </c>
      <c r="F286" s="66" t="str">
        <f>IF(Second!F39="", "",Second!F39)</f>
        <v/>
      </c>
      <c r="G286" s="66" t="str">
        <f>IF(Second!G39="", "",Second!G39)</f>
        <v/>
      </c>
      <c r="H286" s="66" t="str">
        <f>IF(Second!H39="", "",Second!H39)</f>
        <v/>
      </c>
      <c r="I286" s="66" t="str">
        <f>IF(Second!I39="", "",Second!I39)</f>
        <v/>
      </c>
      <c r="J286" s="66" t="str">
        <f>IF(Second!J39="", "",Second!J39)</f>
        <v/>
      </c>
      <c r="K286" s="86" t="str">
        <f>IF(Second!K39="", "",Second!K39)</f>
        <v/>
      </c>
      <c r="L286" s="88"/>
      <c r="M286" s="67" t="str">
        <f t="shared" si="14"/>
        <v/>
      </c>
      <c r="N286" s="76" t="str">
        <f t="shared" si="15"/>
        <v/>
      </c>
      <c r="O286" s="33">
        <f t="shared" si="13"/>
        <v>0</v>
      </c>
    </row>
    <row r="287" spans="1:15" x14ac:dyDescent="0.25">
      <c r="A287" s="58" t="s">
        <v>204</v>
      </c>
      <c r="B287" s="79" t="str">
        <f>IF(Second!B40="", "",Second!B40)</f>
        <v/>
      </c>
      <c r="C287" s="66" t="str">
        <f>IF(Second!C40="", "",Second!C40)</f>
        <v/>
      </c>
      <c r="D287" s="66" t="str">
        <f>IF(Second!D40="", "",Second!D40)</f>
        <v/>
      </c>
      <c r="E287" s="66" t="str">
        <f>IF(Second!E40="", "",Second!E40)</f>
        <v/>
      </c>
      <c r="F287" s="66" t="str">
        <f>IF(Second!F40="", "",Second!F40)</f>
        <v/>
      </c>
      <c r="G287" s="66" t="str">
        <f>IF(Second!G40="", "",Second!G40)</f>
        <v/>
      </c>
      <c r="H287" s="66" t="str">
        <f>IF(Second!H40="", "",Second!H40)</f>
        <v/>
      </c>
      <c r="I287" s="66" t="str">
        <f>IF(Second!I40="", "",Second!I40)</f>
        <v/>
      </c>
      <c r="J287" s="66" t="str">
        <f>IF(Second!J40="", "",Second!J40)</f>
        <v/>
      </c>
      <c r="K287" s="86" t="str">
        <f>IF(Second!K40="", "",Second!K40)</f>
        <v/>
      </c>
      <c r="L287" s="88"/>
      <c r="M287" s="67" t="str">
        <f t="shared" si="14"/>
        <v/>
      </c>
      <c r="N287" s="76" t="str">
        <f t="shared" si="15"/>
        <v/>
      </c>
      <c r="O287" s="33">
        <f t="shared" si="13"/>
        <v>0</v>
      </c>
    </row>
    <row r="288" spans="1:15" x14ac:dyDescent="0.25">
      <c r="A288" s="58" t="s">
        <v>204</v>
      </c>
      <c r="B288" s="79" t="str">
        <f>IF(Second!B41="", "",Second!B41)</f>
        <v/>
      </c>
      <c r="C288" s="66" t="str">
        <f>IF(Second!C41="", "",Second!C41)</f>
        <v/>
      </c>
      <c r="D288" s="66" t="str">
        <f>IF(Second!D41="", "",Second!D41)</f>
        <v/>
      </c>
      <c r="E288" s="66" t="str">
        <f>IF(Second!E41="", "",Second!E41)</f>
        <v/>
      </c>
      <c r="F288" s="66" t="str">
        <f>IF(Second!F41="", "",Second!F41)</f>
        <v/>
      </c>
      <c r="G288" s="66" t="str">
        <f>IF(Second!G41="", "",Second!G41)</f>
        <v/>
      </c>
      <c r="H288" s="66" t="str">
        <f>IF(Second!H41="", "",Second!H41)</f>
        <v/>
      </c>
      <c r="I288" s="66" t="str">
        <f>IF(Second!I41="", "",Second!I41)</f>
        <v/>
      </c>
      <c r="J288" s="66" t="str">
        <f>IF(Second!J41="", "",Second!J41)</f>
        <v/>
      </c>
      <c r="K288" s="86" t="str">
        <f>IF(Second!K41="", "",Second!K41)</f>
        <v/>
      </c>
      <c r="L288" s="88"/>
      <c r="M288" s="67" t="str">
        <f t="shared" si="14"/>
        <v/>
      </c>
      <c r="N288" s="76" t="str">
        <f t="shared" si="15"/>
        <v/>
      </c>
      <c r="O288" s="33">
        <f t="shared" si="13"/>
        <v>0</v>
      </c>
    </row>
    <row r="289" spans="1:15" x14ac:dyDescent="0.25">
      <c r="A289" s="58" t="s">
        <v>204</v>
      </c>
      <c r="B289" s="79" t="str">
        <f>IF(Second!B42="", "",Second!B42)</f>
        <v/>
      </c>
      <c r="C289" s="66" t="str">
        <f>IF(Second!C42="", "",Second!C42)</f>
        <v/>
      </c>
      <c r="D289" s="66" t="str">
        <f>IF(Second!D42="", "",Second!D42)</f>
        <v/>
      </c>
      <c r="E289" s="66" t="str">
        <f>IF(Second!E42="", "",Second!E42)</f>
        <v/>
      </c>
      <c r="F289" s="66" t="str">
        <f>IF(Second!F42="", "",Second!F42)</f>
        <v/>
      </c>
      <c r="G289" s="66" t="str">
        <f>IF(Second!G42="", "",Second!G42)</f>
        <v/>
      </c>
      <c r="H289" s="66" t="str">
        <f>IF(Second!H42="", "",Second!H42)</f>
        <v/>
      </c>
      <c r="I289" s="66" t="str">
        <f>IF(Second!I42="", "",Second!I42)</f>
        <v/>
      </c>
      <c r="J289" s="66" t="str">
        <f>IF(Second!J42="", "",Second!J42)</f>
        <v/>
      </c>
      <c r="K289" s="86" t="str">
        <f>IF(Second!K42="", "",Second!K42)</f>
        <v/>
      </c>
      <c r="L289" s="88"/>
      <c r="M289" s="67" t="str">
        <f t="shared" si="14"/>
        <v/>
      </c>
      <c r="N289" s="76" t="str">
        <f t="shared" si="15"/>
        <v/>
      </c>
      <c r="O289" s="33">
        <f t="shared" si="13"/>
        <v>0</v>
      </c>
    </row>
    <row r="290" spans="1:15" x14ac:dyDescent="0.25">
      <c r="A290" s="58" t="s">
        <v>204</v>
      </c>
      <c r="B290" s="79" t="str">
        <f>IF(Second!B43="", "",Second!B43)</f>
        <v/>
      </c>
      <c r="C290" s="66" t="str">
        <f>IF(Second!C43="", "",Second!C43)</f>
        <v/>
      </c>
      <c r="D290" s="66" t="str">
        <f>IF(Second!D43="", "",Second!D43)</f>
        <v/>
      </c>
      <c r="E290" s="66" t="str">
        <f>IF(Second!E43="", "",Second!E43)</f>
        <v/>
      </c>
      <c r="F290" s="66" t="str">
        <f>IF(Second!F43="", "",Second!F43)</f>
        <v/>
      </c>
      <c r="G290" s="66" t="str">
        <f>IF(Second!G43="", "",Second!G43)</f>
        <v/>
      </c>
      <c r="H290" s="66" t="str">
        <f>IF(Second!H43="", "",Second!H43)</f>
        <v/>
      </c>
      <c r="I290" s="66" t="str">
        <f>IF(Second!I43="", "",Second!I43)</f>
        <v/>
      </c>
      <c r="J290" s="66" t="str">
        <f>IF(Second!J43="", "",Second!J43)</f>
        <v/>
      </c>
      <c r="K290" s="86" t="str">
        <f>IF(Second!K43="", "",Second!K43)</f>
        <v/>
      </c>
      <c r="L290" s="88"/>
      <c r="M290" s="67" t="str">
        <f t="shared" si="14"/>
        <v/>
      </c>
      <c r="N290" s="76" t="str">
        <f t="shared" si="15"/>
        <v/>
      </c>
      <c r="O290" s="33">
        <f t="shared" si="13"/>
        <v>0</v>
      </c>
    </row>
    <row r="291" spans="1:15" x14ac:dyDescent="0.25">
      <c r="A291" s="58" t="s">
        <v>204</v>
      </c>
      <c r="B291" s="79" t="str">
        <f>IF(Second!B44="", "",Second!B44)</f>
        <v/>
      </c>
      <c r="C291" s="66" t="str">
        <f>IF(Second!C44="", "",Second!C44)</f>
        <v/>
      </c>
      <c r="D291" s="66" t="str">
        <f>IF(Second!D44="", "",Second!D44)</f>
        <v/>
      </c>
      <c r="E291" s="66" t="str">
        <f>IF(Second!E44="", "",Second!E44)</f>
        <v/>
      </c>
      <c r="F291" s="66" t="str">
        <f>IF(Second!F44="", "",Second!F44)</f>
        <v/>
      </c>
      <c r="G291" s="66" t="str">
        <f>IF(Second!G44="", "",Second!G44)</f>
        <v/>
      </c>
      <c r="H291" s="66" t="str">
        <f>IF(Second!H44="", "",Second!H44)</f>
        <v/>
      </c>
      <c r="I291" s="66" t="str">
        <f>IF(Second!I44="", "",Second!I44)</f>
        <v/>
      </c>
      <c r="J291" s="66" t="str">
        <f>IF(Second!J44="", "",Second!J44)</f>
        <v/>
      </c>
      <c r="K291" s="86" t="str">
        <f>IF(Second!K44="", "",Second!K44)</f>
        <v/>
      </c>
      <c r="L291" s="88"/>
      <c r="M291" s="67" t="str">
        <f t="shared" si="14"/>
        <v/>
      </c>
      <c r="N291" s="76" t="str">
        <f t="shared" si="15"/>
        <v/>
      </c>
      <c r="O291" s="33">
        <f t="shared" si="13"/>
        <v>0</v>
      </c>
    </row>
    <row r="292" spans="1:15" x14ac:dyDescent="0.25">
      <c r="A292" s="58" t="s">
        <v>204</v>
      </c>
      <c r="B292" s="79" t="str">
        <f>IF(Second!B45="", "",Second!B45)</f>
        <v/>
      </c>
      <c r="C292" s="66" t="str">
        <f>IF(Second!C45="", "",Second!C45)</f>
        <v/>
      </c>
      <c r="D292" s="66" t="str">
        <f>IF(Second!D45="", "",Second!D45)</f>
        <v/>
      </c>
      <c r="E292" s="66" t="str">
        <f>IF(Second!E45="", "",Second!E45)</f>
        <v/>
      </c>
      <c r="F292" s="66" t="str">
        <f>IF(Second!F45="", "",Second!F45)</f>
        <v/>
      </c>
      <c r="G292" s="66" t="str">
        <f>IF(Second!G45="", "",Second!G45)</f>
        <v/>
      </c>
      <c r="H292" s="66" t="str">
        <f>IF(Second!H45="", "",Second!H45)</f>
        <v/>
      </c>
      <c r="I292" s="66" t="str">
        <f>IF(Second!I45="", "",Second!I45)</f>
        <v/>
      </c>
      <c r="J292" s="66" t="str">
        <f>IF(Second!J45="", "",Second!J45)</f>
        <v/>
      </c>
      <c r="K292" s="86" t="str">
        <f>IF(Second!K45="", "",Second!K45)</f>
        <v/>
      </c>
      <c r="L292" s="88"/>
      <c r="M292" s="67" t="str">
        <f t="shared" si="14"/>
        <v/>
      </c>
      <c r="N292" s="76" t="str">
        <f t="shared" si="15"/>
        <v/>
      </c>
      <c r="O292" s="33">
        <f t="shared" si="13"/>
        <v>0</v>
      </c>
    </row>
    <row r="293" spans="1:15" x14ac:dyDescent="0.25">
      <c r="A293" s="58" t="s">
        <v>204</v>
      </c>
      <c r="B293" s="79" t="str">
        <f>IF(Second!B46="", "",Second!B46)</f>
        <v/>
      </c>
      <c r="C293" s="66" t="str">
        <f>IF(Second!C46="", "",Second!C46)</f>
        <v/>
      </c>
      <c r="D293" s="66" t="str">
        <f>IF(Second!D46="", "",Second!D46)</f>
        <v/>
      </c>
      <c r="E293" s="66" t="str">
        <f>IF(Second!E46="", "",Second!E46)</f>
        <v/>
      </c>
      <c r="F293" s="66" t="str">
        <f>IF(Second!F46="", "",Second!F46)</f>
        <v/>
      </c>
      <c r="G293" s="66" t="str">
        <f>IF(Second!G46="", "",Second!G46)</f>
        <v/>
      </c>
      <c r="H293" s="66" t="str">
        <f>IF(Second!H46="", "",Second!H46)</f>
        <v/>
      </c>
      <c r="I293" s="66" t="str">
        <f>IF(Second!I46="", "",Second!I46)</f>
        <v/>
      </c>
      <c r="J293" s="66" t="str">
        <f>IF(Second!J46="", "",Second!J46)</f>
        <v/>
      </c>
      <c r="K293" s="86" t="str">
        <f>IF(Second!K46="", "",Second!K46)</f>
        <v/>
      </c>
      <c r="L293" s="88"/>
      <c r="M293" s="67" t="str">
        <f t="shared" si="14"/>
        <v/>
      </c>
      <c r="N293" s="76" t="str">
        <f t="shared" si="15"/>
        <v/>
      </c>
      <c r="O293" s="33">
        <f t="shared" si="13"/>
        <v>0</v>
      </c>
    </row>
    <row r="294" spans="1:15" x14ac:dyDescent="0.25">
      <c r="A294" s="58" t="s">
        <v>204</v>
      </c>
      <c r="B294" s="79" t="str">
        <f>IF(Second!B47="", "",Second!B47)</f>
        <v/>
      </c>
      <c r="C294" s="66" t="str">
        <f>IF(Second!C47="", "",Second!C47)</f>
        <v/>
      </c>
      <c r="D294" s="66" t="str">
        <f>IF(Second!D47="", "",Second!D47)</f>
        <v/>
      </c>
      <c r="E294" s="66" t="str">
        <f>IF(Second!E47="", "",Second!E47)</f>
        <v/>
      </c>
      <c r="F294" s="66" t="str">
        <f>IF(Second!F47="", "",Second!F47)</f>
        <v/>
      </c>
      <c r="G294" s="66" t="str">
        <f>IF(Second!G47="", "",Second!G47)</f>
        <v/>
      </c>
      <c r="H294" s="66" t="str">
        <f>IF(Second!H47="", "",Second!H47)</f>
        <v/>
      </c>
      <c r="I294" s="66" t="str">
        <f>IF(Second!I47="", "",Second!I47)</f>
        <v/>
      </c>
      <c r="J294" s="66" t="str">
        <f>IF(Second!J47="", "",Second!J47)</f>
        <v/>
      </c>
      <c r="K294" s="86" t="str">
        <f>IF(Second!K47="", "",Second!K47)</f>
        <v/>
      </c>
      <c r="L294" s="88"/>
      <c r="M294" s="67" t="str">
        <f t="shared" si="14"/>
        <v/>
      </c>
      <c r="N294" s="76" t="str">
        <f t="shared" si="15"/>
        <v/>
      </c>
      <c r="O294" s="33">
        <f t="shared" si="13"/>
        <v>0</v>
      </c>
    </row>
    <row r="295" spans="1:15" x14ac:dyDescent="0.25">
      <c r="A295" s="58" t="s">
        <v>204</v>
      </c>
      <c r="B295" s="79" t="str">
        <f>IF(Second!B48="", "",Second!B48)</f>
        <v/>
      </c>
      <c r="C295" s="66" t="str">
        <f>IF(Second!C48="", "",Second!C48)</f>
        <v/>
      </c>
      <c r="D295" s="66" t="str">
        <f>IF(Second!D48="", "",Second!D48)</f>
        <v/>
      </c>
      <c r="E295" s="66" t="str">
        <f>IF(Second!E48="", "",Second!E48)</f>
        <v/>
      </c>
      <c r="F295" s="66" t="str">
        <f>IF(Second!F48="", "",Second!F48)</f>
        <v/>
      </c>
      <c r="G295" s="66" t="str">
        <f>IF(Second!G48="", "",Second!G48)</f>
        <v/>
      </c>
      <c r="H295" s="66" t="str">
        <f>IF(Second!H48="", "",Second!H48)</f>
        <v/>
      </c>
      <c r="I295" s="66" t="str">
        <f>IF(Second!I48="", "",Second!I48)</f>
        <v/>
      </c>
      <c r="J295" s="66" t="str">
        <f>IF(Second!J48="", "",Second!J48)</f>
        <v/>
      </c>
      <c r="K295" s="86" t="str">
        <f>IF(Second!K48="", "",Second!K48)</f>
        <v/>
      </c>
      <c r="L295" s="88"/>
      <c r="M295" s="67" t="str">
        <f t="shared" si="14"/>
        <v/>
      </c>
      <c r="N295" s="76" t="str">
        <f t="shared" si="15"/>
        <v/>
      </c>
      <c r="O295" s="33">
        <f t="shared" si="13"/>
        <v>0</v>
      </c>
    </row>
    <row r="296" spans="1:15" x14ac:dyDescent="0.25">
      <c r="A296" s="58" t="s">
        <v>204</v>
      </c>
      <c r="B296" s="79" t="str">
        <f>IF(Second!B49="", "",Second!B49)</f>
        <v/>
      </c>
      <c r="C296" s="66" t="str">
        <f>IF(Second!C49="", "",Second!C49)</f>
        <v/>
      </c>
      <c r="D296" s="66" t="str">
        <f>IF(Second!D49="", "",Second!D49)</f>
        <v/>
      </c>
      <c r="E296" s="66" t="str">
        <f>IF(Second!E49="", "",Second!E49)</f>
        <v/>
      </c>
      <c r="F296" s="66" t="str">
        <f>IF(Second!F49="", "",Second!F49)</f>
        <v/>
      </c>
      <c r="G296" s="66" t="str">
        <f>IF(Second!G49="", "",Second!G49)</f>
        <v/>
      </c>
      <c r="H296" s="66" t="str">
        <f>IF(Second!H49="", "",Second!H49)</f>
        <v/>
      </c>
      <c r="I296" s="66" t="str">
        <f>IF(Second!I49="", "",Second!I49)</f>
        <v/>
      </c>
      <c r="J296" s="66" t="str">
        <f>IF(Second!J49="", "",Second!J49)</f>
        <v/>
      </c>
      <c r="K296" s="86" t="str">
        <f>IF(Second!K49="", "",Second!K49)</f>
        <v/>
      </c>
      <c r="L296" s="88"/>
      <c r="M296" s="67" t="str">
        <f t="shared" si="14"/>
        <v/>
      </c>
      <c r="N296" s="76" t="str">
        <f t="shared" si="15"/>
        <v/>
      </c>
      <c r="O296" s="33">
        <f t="shared" si="13"/>
        <v>0</v>
      </c>
    </row>
    <row r="297" spans="1:15" x14ac:dyDescent="0.25">
      <c r="A297" s="58" t="s">
        <v>204</v>
      </c>
      <c r="B297" s="79" t="str">
        <f>IF(Second!B50="", "",Second!B50)</f>
        <v/>
      </c>
      <c r="C297" s="66" t="str">
        <f>IF(Second!C50="", "",Second!C50)</f>
        <v/>
      </c>
      <c r="D297" s="66" t="str">
        <f>IF(Second!D50="", "",Second!D50)</f>
        <v/>
      </c>
      <c r="E297" s="66" t="str">
        <f>IF(Second!E50="", "",Second!E50)</f>
        <v/>
      </c>
      <c r="F297" s="66" t="str">
        <f>IF(Second!F50="", "",Second!F50)</f>
        <v/>
      </c>
      <c r="G297" s="66" t="str">
        <f>IF(Second!G50="", "",Second!G50)</f>
        <v/>
      </c>
      <c r="H297" s="66" t="str">
        <f>IF(Second!H50="", "",Second!H50)</f>
        <v/>
      </c>
      <c r="I297" s="66" t="str">
        <f>IF(Second!I50="", "",Second!I50)</f>
        <v/>
      </c>
      <c r="J297" s="66" t="str">
        <f>IF(Second!J50="", "",Second!J50)</f>
        <v/>
      </c>
      <c r="K297" s="86" t="str">
        <f>IF(Second!K50="", "",Second!K50)</f>
        <v/>
      </c>
      <c r="L297" s="88"/>
      <c r="M297" s="67" t="str">
        <f t="shared" si="14"/>
        <v/>
      </c>
      <c r="N297" s="76" t="str">
        <f t="shared" si="15"/>
        <v/>
      </c>
      <c r="O297" s="33">
        <f t="shared" si="13"/>
        <v>0</v>
      </c>
    </row>
    <row r="298" spans="1:15" x14ac:dyDescent="0.25">
      <c r="A298" s="58" t="s">
        <v>204</v>
      </c>
      <c r="B298" s="79" t="str">
        <f>IF(Second!B51="", "",Second!B51)</f>
        <v/>
      </c>
      <c r="C298" s="66" t="str">
        <f>IF(Second!C51="", "",Second!C51)</f>
        <v/>
      </c>
      <c r="D298" s="66" t="str">
        <f>IF(Second!D51="", "",Second!D51)</f>
        <v/>
      </c>
      <c r="E298" s="66" t="str">
        <f>IF(Second!E51="", "",Second!E51)</f>
        <v/>
      </c>
      <c r="F298" s="66" t="str">
        <f>IF(Second!F51="", "",Second!F51)</f>
        <v/>
      </c>
      <c r="G298" s="66" t="str">
        <f>IF(Second!G51="", "",Second!G51)</f>
        <v/>
      </c>
      <c r="H298" s="66" t="str">
        <f>IF(Second!H51="", "",Second!H51)</f>
        <v/>
      </c>
      <c r="I298" s="66" t="str">
        <f>IF(Second!I51="", "",Second!I51)</f>
        <v/>
      </c>
      <c r="J298" s="66" t="str">
        <f>IF(Second!J51="", "",Second!J51)</f>
        <v/>
      </c>
      <c r="K298" s="86" t="str">
        <f>IF(Second!K51="", "",Second!K51)</f>
        <v/>
      </c>
      <c r="L298" s="88"/>
      <c r="M298" s="67" t="str">
        <f t="shared" si="14"/>
        <v/>
      </c>
      <c r="N298" s="76" t="str">
        <f t="shared" si="15"/>
        <v/>
      </c>
      <c r="O298" s="33">
        <f t="shared" si="13"/>
        <v>0</v>
      </c>
    </row>
    <row r="299" spans="1:15" x14ac:dyDescent="0.25">
      <c r="A299" s="58" t="s">
        <v>204</v>
      </c>
      <c r="B299" s="79" t="str">
        <f>IF(Second!B52="", "",Second!B52)</f>
        <v/>
      </c>
      <c r="C299" s="66" t="str">
        <f>IF(Second!C52="", "",Second!C52)</f>
        <v/>
      </c>
      <c r="D299" s="66" t="str">
        <f>IF(Second!D52="", "",Second!D52)</f>
        <v/>
      </c>
      <c r="E299" s="66" t="str">
        <f>IF(Second!E52="", "",Second!E52)</f>
        <v/>
      </c>
      <c r="F299" s="66" t="str">
        <f>IF(Second!F52="", "",Second!F52)</f>
        <v/>
      </c>
      <c r="G299" s="66" t="str">
        <f>IF(Second!G52="", "",Second!G52)</f>
        <v/>
      </c>
      <c r="H299" s="66" t="str">
        <f>IF(Second!H52="", "",Second!H52)</f>
        <v/>
      </c>
      <c r="I299" s="66" t="str">
        <f>IF(Second!I52="", "",Second!I52)</f>
        <v/>
      </c>
      <c r="J299" s="66" t="str">
        <f>IF(Second!J52="", "",Second!J52)</f>
        <v/>
      </c>
      <c r="K299" s="86" t="str">
        <f>IF(Second!K52="", "",Second!K52)</f>
        <v/>
      </c>
      <c r="L299" s="88"/>
      <c r="M299" s="67" t="str">
        <f t="shared" si="14"/>
        <v/>
      </c>
      <c r="N299" s="76" t="str">
        <f t="shared" si="15"/>
        <v/>
      </c>
      <c r="O299" s="33">
        <f t="shared" si="13"/>
        <v>0</v>
      </c>
    </row>
    <row r="300" spans="1:15" x14ac:dyDescent="0.25">
      <c r="A300" s="58" t="s">
        <v>204</v>
      </c>
      <c r="B300" s="79" t="str">
        <f>IF(Second!B53="", "",Second!B53)</f>
        <v/>
      </c>
      <c r="C300" s="66" t="str">
        <f>IF(Second!C53="", "",Second!C53)</f>
        <v/>
      </c>
      <c r="D300" s="66" t="str">
        <f>IF(Second!D53="", "",Second!D53)</f>
        <v/>
      </c>
      <c r="E300" s="66" t="str">
        <f>IF(Second!E53="", "",Second!E53)</f>
        <v/>
      </c>
      <c r="F300" s="66" t="str">
        <f>IF(Second!F53="", "",Second!F53)</f>
        <v/>
      </c>
      <c r="G300" s="66" t="str">
        <f>IF(Second!G53="", "",Second!G53)</f>
        <v/>
      </c>
      <c r="H300" s="66" t="str">
        <f>IF(Second!H53="", "",Second!H53)</f>
        <v/>
      </c>
      <c r="I300" s="66" t="str">
        <f>IF(Second!I53="", "",Second!I53)</f>
        <v/>
      </c>
      <c r="J300" s="66" t="str">
        <f>IF(Second!J53="", "",Second!J53)</f>
        <v/>
      </c>
      <c r="K300" s="86" t="str">
        <f>IF(Second!K53="", "",Second!K53)</f>
        <v/>
      </c>
      <c r="L300" s="88"/>
      <c r="M300" s="67" t="str">
        <f t="shared" si="14"/>
        <v/>
      </c>
      <c r="N300" s="76" t="str">
        <f t="shared" si="15"/>
        <v/>
      </c>
      <c r="O300" s="33">
        <f t="shared" si="13"/>
        <v>0</v>
      </c>
    </row>
    <row r="301" spans="1:15" x14ac:dyDescent="0.25">
      <c r="A301" s="58" t="s">
        <v>204</v>
      </c>
      <c r="B301" s="79" t="str">
        <f>IF(Second!B54="", "",Second!B54)</f>
        <v/>
      </c>
      <c r="C301" s="66" t="str">
        <f>IF(Second!C54="", "",Second!C54)</f>
        <v/>
      </c>
      <c r="D301" s="66" t="str">
        <f>IF(Second!D54="", "",Second!D54)</f>
        <v/>
      </c>
      <c r="E301" s="66" t="str">
        <f>IF(Second!E54="", "",Second!E54)</f>
        <v/>
      </c>
      <c r="F301" s="66" t="str">
        <f>IF(Second!F54="", "",Second!F54)</f>
        <v/>
      </c>
      <c r="G301" s="66" t="str">
        <f>IF(Second!G54="", "",Second!G54)</f>
        <v/>
      </c>
      <c r="H301" s="66" t="str">
        <f>IF(Second!H54="", "",Second!H54)</f>
        <v/>
      </c>
      <c r="I301" s="66" t="str">
        <f>IF(Second!I54="", "",Second!I54)</f>
        <v/>
      </c>
      <c r="J301" s="66" t="str">
        <f>IF(Second!J54="", "",Second!J54)</f>
        <v/>
      </c>
      <c r="K301" s="86" t="str">
        <f>IF(Second!K54="", "",Second!K54)</f>
        <v/>
      </c>
      <c r="L301" s="88"/>
      <c r="M301" s="67" t="str">
        <f t="shared" si="14"/>
        <v/>
      </c>
      <c r="N301" s="76" t="str">
        <f t="shared" si="15"/>
        <v/>
      </c>
      <c r="O301" s="33">
        <f t="shared" si="13"/>
        <v>0</v>
      </c>
    </row>
    <row r="302" spans="1:15" x14ac:dyDescent="0.25">
      <c r="A302" s="64" t="s">
        <v>204</v>
      </c>
      <c r="B302" s="79" t="str">
        <f>IF(Second!B55="", "",Second!B55)</f>
        <v/>
      </c>
      <c r="C302" s="66" t="str">
        <f>IF(Second!C55="", "",Second!C55)</f>
        <v/>
      </c>
      <c r="D302" s="66" t="str">
        <f>IF(Second!D55="", "",Second!D55)</f>
        <v/>
      </c>
      <c r="E302" s="66" t="str">
        <f>IF(Second!E55="", "",Second!E55)</f>
        <v/>
      </c>
      <c r="F302" s="66" t="str">
        <f>IF(Second!F55="", "",Second!F55)</f>
        <v/>
      </c>
      <c r="G302" s="66" t="str">
        <f>IF(Second!G55="", "",Second!G55)</f>
        <v/>
      </c>
      <c r="H302" s="66" t="str">
        <f>IF(Second!H55="", "",Second!H55)</f>
        <v/>
      </c>
      <c r="I302" s="66" t="str">
        <f>IF(Second!I55="", "",Second!I55)</f>
        <v/>
      </c>
      <c r="J302" s="66" t="str">
        <f>IF(Second!J55="", "",Second!J55)</f>
        <v/>
      </c>
      <c r="K302" s="86" t="str">
        <f>IF(Second!K55="", "",Second!K55)</f>
        <v/>
      </c>
      <c r="L302" s="88"/>
      <c r="M302" s="67" t="str">
        <f t="shared" si="14"/>
        <v/>
      </c>
      <c r="N302" s="76" t="str">
        <f t="shared" si="15"/>
        <v/>
      </c>
      <c r="O302" s="33">
        <f t="shared" si="13"/>
        <v>0</v>
      </c>
    </row>
    <row r="303" spans="1:15" x14ac:dyDescent="0.25">
      <c r="A303" s="64" t="s">
        <v>204</v>
      </c>
      <c r="B303" s="79" t="str">
        <f>IF(Second!B56="", "",Second!B56)</f>
        <v/>
      </c>
      <c r="C303" s="66" t="str">
        <f>IF(Second!C56="", "",Second!C56)</f>
        <v/>
      </c>
      <c r="D303" s="66" t="str">
        <f>IF(Second!D56="", "",Second!D56)</f>
        <v/>
      </c>
      <c r="E303" s="66" t="str">
        <f>IF(Second!E56="", "",Second!E56)</f>
        <v/>
      </c>
      <c r="F303" s="66" t="str">
        <f>IF(Second!F56="", "",Second!F56)</f>
        <v/>
      </c>
      <c r="G303" s="66" t="str">
        <f>IF(Second!G56="", "",Second!G56)</f>
        <v/>
      </c>
      <c r="H303" s="66" t="str">
        <f>IF(Second!H56="", "",Second!H56)</f>
        <v/>
      </c>
      <c r="I303" s="66" t="str">
        <f>IF(Second!I56="", "",Second!I56)</f>
        <v/>
      </c>
      <c r="J303" s="66" t="str">
        <f>IF(Second!J56="", "",Second!J56)</f>
        <v/>
      </c>
      <c r="K303" s="86" t="str">
        <f>IF(Second!K56="", "",Second!K56)</f>
        <v/>
      </c>
      <c r="L303" s="88"/>
      <c r="M303" s="67" t="str">
        <f t="shared" si="14"/>
        <v/>
      </c>
      <c r="N303" s="76" t="str">
        <f t="shared" si="15"/>
        <v/>
      </c>
      <c r="O303" s="33">
        <f t="shared" si="13"/>
        <v>0</v>
      </c>
    </row>
    <row r="304" spans="1:15" x14ac:dyDescent="0.25">
      <c r="A304" s="64" t="s">
        <v>204</v>
      </c>
      <c r="B304" s="79" t="str">
        <f>IF(Second!B57="", "",Second!B57)</f>
        <v/>
      </c>
      <c r="C304" s="66" t="str">
        <f>IF(Second!C57="", "",Second!C57)</f>
        <v/>
      </c>
      <c r="D304" s="66" t="str">
        <f>IF(Second!D57="", "",Second!D57)</f>
        <v/>
      </c>
      <c r="E304" s="66" t="str">
        <f>IF(Second!E57="", "",Second!E57)</f>
        <v/>
      </c>
      <c r="F304" s="66" t="str">
        <f>IF(Second!F57="", "",Second!F57)</f>
        <v/>
      </c>
      <c r="G304" s="66" t="str">
        <f>IF(Second!G57="", "",Second!G57)</f>
        <v/>
      </c>
      <c r="H304" s="66" t="str">
        <f>IF(Second!H57="", "",Second!H57)</f>
        <v/>
      </c>
      <c r="I304" s="66" t="str">
        <f>IF(Second!I57="", "",Second!I57)</f>
        <v/>
      </c>
      <c r="J304" s="66" t="str">
        <f>IF(Second!J57="", "",Second!J57)</f>
        <v/>
      </c>
      <c r="K304" s="86" t="str">
        <f>IF(Second!K57="", "",Second!K57)</f>
        <v/>
      </c>
      <c r="L304" s="88"/>
      <c r="M304" s="67" t="str">
        <f t="shared" si="14"/>
        <v/>
      </c>
      <c r="N304" s="76" t="str">
        <f t="shared" si="15"/>
        <v/>
      </c>
      <c r="O304" s="33">
        <f t="shared" si="13"/>
        <v>0</v>
      </c>
    </row>
    <row r="305" spans="1:15" x14ac:dyDescent="0.25">
      <c r="A305" s="64" t="s">
        <v>204</v>
      </c>
      <c r="B305" s="79" t="str">
        <f>IF(Second!B58="", "",Second!B58)</f>
        <v/>
      </c>
      <c r="C305" s="66" t="str">
        <f>IF(Second!C58="", "",Second!C58)</f>
        <v/>
      </c>
      <c r="D305" s="66" t="str">
        <f>IF(Second!D58="", "",Second!D58)</f>
        <v/>
      </c>
      <c r="E305" s="66" t="str">
        <f>IF(Second!E58="", "",Second!E58)</f>
        <v/>
      </c>
      <c r="F305" s="66" t="str">
        <f>IF(Second!F58="", "",Second!F58)</f>
        <v/>
      </c>
      <c r="G305" s="66" t="str">
        <f>IF(Second!G58="", "",Second!G58)</f>
        <v/>
      </c>
      <c r="H305" s="66" t="str">
        <f>IF(Second!H58="", "",Second!H58)</f>
        <v/>
      </c>
      <c r="I305" s="66" t="str">
        <f>IF(Second!I58="", "",Second!I58)</f>
        <v/>
      </c>
      <c r="J305" s="66" t="str">
        <f>IF(Second!J58="", "",Second!J58)</f>
        <v/>
      </c>
      <c r="K305" s="86" t="str">
        <f>IF(Second!K58="", "",Second!K58)</f>
        <v/>
      </c>
      <c r="L305" s="88"/>
      <c r="M305" s="67" t="str">
        <f t="shared" si="14"/>
        <v/>
      </c>
      <c r="N305" s="76" t="str">
        <f t="shared" si="15"/>
        <v/>
      </c>
      <c r="O305" s="33">
        <f t="shared" si="13"/>
        <v>0</v>
      </c>
    </row>
    <row r="306" spans="1:15" x14ac:dyDescent="0.25">
      <c r="A306" s="64" t="s">
        <v>204</v>
      </c>
      <c r="B306" s="79" t="str">
        <f>IF(Second!B59="", "",Second!B59)</f>
        <v/>
      </c>
      <c r="C306" s="66" t="str">
        <f>IF(Second!C59="", "",Second!C59)</f>
        <v/>
      </c>
      <c r="D306" s="66" t="str">
        <f>IF(Second!D59="", "",Second!D59)</f>
        <v/>
      </c>
      <c r="E306" s="66" t="str">
        <f>IF(Second!E59="", "",Second!E59)</f>
        <v/>
      </c>
      <c r="F306" s="66" t="str">
        <f>IF(Second!F59="", "",Second!F59)</f>
        <v/>
      </c>
      <c r="G306" s="66" t="str">
        <f>IF(Second!G59="", "",Second!G59)</f>
        <v/>
      </c>
      <c r="H306" s="66" t="str">
        <f>IF(Second!H59="", "",Second!H59)</f>
        <v/>
      </c>
      <c r="I306" s="66" t="str">
        <f>IF(Second!I59="", "",Second!I59)</f>
        <v/>
      </c>
      <c r="J306" s="66" t="str">
        <f>IF(Second!J59="", "",Second!J59)</f>
        <v/>
      </c>
      <c r="K306" s="86" t="str">
        <f>IF(Second!K59="", "",Second!K59)</f>
        <v/>
      </c>
      <c r="L306" s="88"/>
      <c r="M306" s="67" t="str">
        <f t="shared" si="14"/>
        <v/>
      </c>
      <c r="N306" s="76" t="str">
        <f t="shared" si="15"/>
        <v/>
      </c>
      <c r="O306" s="33">
        <f t="shared" si="13"/>
        <v>0</v>
      </c>
    </row>
    <row r="307" spans="1:15" x14ac:dyDescent="0.25">
      <c r="A307" s="64" t="s">
        <v>204</v>
      </c>
      <c r="B307" s="79" t="str">
        <f>IF(Second!B60="", "",Second!B60)</f>
        <v/>
      </c>
      <c r="C307" s="66" t="str">
        <f>IF(Second!C60="", "",Second!C60)</f>
        <v/>
      </c>
      <c r="D307" s="66" t="str">
        <f>IF(Second!D60="", "",Second!D60)</f>
        <v/>
      </c>
      <c r="E307" s="66" t="str">
        <f>IF(Second!E60="", "",Second!E60)</f>
        <v/>
      </c>
      <c r="F307" s="66" t="str">
        <f>IF(Second!F60="", "",Second!F60)</f>
        <v/>
      </c>
      <c r="G307" s="66" t="str">
        <f>IF(Second!G60="", "",Second!G60)</f>
        <v/>
      </c>
      <c r="H307" s="66" t="str">
        <f>IF(Second!H60="", "",Second!H60)</f>
        <v/>
      </c>
      <c r="I307" s="66" t="str">
        <f>IF(Second!I60="", "",Second!I60)</f>
        <v/>
      </c>
      <c r="J307" s="66" t="str">
        <f>IF(Second!J60="", "",Second!J60)</f>
        <v/>
      </c>
      <c r="K307" s="86" t="str">
        <f>IF(Second!K60="", "",Second!K60)</f>
        <v/>
      </c>
      <c r="L307" s="88"/>
      <c r="M307" s="67" t="str">
        <f t="shared" si="14"/>
        <v/>
      </c>
      <c r="N307" s="76" t="str">
        <f t="shared" si="15"/>
        <v/>
      </c>
      <c r="O307" s="33">
        <f t="shared" si="13"/>
        <v>0</v>
      </c>
    </row>
    <row r="308" spans="1:15" x14ac:dyDescent="0.25">
      <c r="A308" s="64" t="s">
        <v>204</v>
      </c>
      <c r="B308" s="79" t="str">
        <f>IF(Second!B61="", "",Second!B61)</f>
        <v/>
      </c>
      <c r="C308" s="66" t="str">
        <f>IF(Second!C61="", "",Second!C61)</f>
        <v/>
      </c>
      <c r="D308" s="66" t="str">
        <f>IF(Second!D61="", "",Second!D61)</f>
        <v/>
      </c>
      <c r="E308" s="66" t="str">
        <f>IF(Second!E61="", "",Second!E61)</f>
        <v/>
      </c>
      <c r="F308" s="66" t="str">
        <f>IF(Second!F61="", "",Second!F61)</f>
        <v/>
      </c>
      <c r="G308" s="66" t="str">
        <f>IF(Second!G61="", "",Second!G61)</f>
        <v/>
      </c>
      <c r="H308" s="66" t="str">
        <f>IF(Second!H61="", "",Second!H61)</f>
        <v/>
      </c>
      <c r="I308" s="66" t="str">
        <f>IF(Second!I61="", "",Second!I61)</f>
        <v/>
      </c>
      <c r="J308" s="66" t="str">
        <f>IF(Second!J61="", "",Second!J61)</f>
        <v/>
      </c>
      <c r="K308" s="86" t="str">
        <f>IF(Second!K61="", "",Second!K61)</f>
        <v/>
      </c>
      <c r="L308" s="88"/>
      <c r="M308" s="67" t="str">
        <f t="shared" si="14"/>
        <v/>
      </c>
      <c r="N308" s="76" t="str">
        <f t="shared" si="15"/>
        <v/>
      </c>
      <c r="O308" s="33">
        <f t="shared" si="13"/>
        <v>0</v>
      </c>
    </row>
    <row r="309" spans="1:15" x14ac:dyDescent="0.25">
      <c r="A309" s="64" t="s">
        <v>204</v>
      </c>
      <c r="B309" s="79" t="str">
        <f>IF(Second!B62="", "",Second!B62)</f>
        <v/>
      </c>
      <c r="C309" s="66" t="str">
        <f>IF(Second!C62="", "",Second!C62)</f>
        <v/>
      </c>
      <c r="D309" s="66" t="str">
        <f>IF(Second!D62="", "",Second!D62)</f>
        <v/>
      </c>
      <c r="E309" s="66" t="str">
        <f>IF(Second!E62="", "",Second!E62)</f>
        <v/>
      </c>
      <c r="F309" s="66" t="str">
        <f>IF(Second!F62="", "",Second!F62)</f>
        <v/>
      </c>
      <c r="G309" s="66" t="str">
        <f>IF(Second!G62="", "",Second!G62)</f>
        <v/>
      </c>
      <c r="H309" s="66" t="str">
        <f>IF(Second!H62="", "",Second!H62)</f>
        <v/>
      </c>
      <c r="I309" s="66" t="str">
        <f>IF(Second!I62="", "",Second!I62)</f>
        <v/>
      </c>
      <c r="J309" s="66" t="str">
        <f>IF(Second!J62="", "",Second!J62)</f>
        <v/>
      </c>
      <c r="K309" s="86" t="str">
        <f>IF(Second!K62="", "",Second!K62)</f>
        <v/>
      </c>
      <c r="L309" s="88"/>
      <c r="M309" s="67" t="str">
        <f t="shared" si="14"/>
        <v/>
      </c>
      <c r="N309" s="76" t="str">
        <f t="shared" si="15"/>
        <v/>
      </c>
      <c r="O309" s="33">
        <f t="shared" si="13"/>
        <v>0</v>
      </c>
    </row>
    <row r="310" spans="1:15" x14ac:dyDescent="0.25">
      <c r="A310" s="64" t="s">
        <v>204</v>
      </c>
      <c r="B310" s="79" t="str">
        <f>IF(Second!B63="", "",Second!B63)</f>
        <v/>
      </c>
      <c r="C310" s="66" t="str">
        <f>IF(Second!C63="", "",Second!C63)</f>
        <v/>
      </c>
      <c r="D310" s="66" t="str">
        <f>IF(Second!D63="", "",Second!D63)</f>
        <v/>
      </c>
      <c r="E310" s="66" t="str">
        <f>IF(Second!E63="", "",Second!E63)</f>
        <v/>
      </c>
      <c r="F310" s="66" t="str">
        <f>IF(Second!F63="", "",Second!F63)</f>
        <v/>
      </c>
      <c r="G310" s="66" t="str">
        <f>IF(Second!G63="", "",Second!G63)</f>
        <v/>
      </c>
      <c r="H310" s="66" t="str">
        <f>IF(Second!H63="", "",Second!H63)</f>
        <v/>
      </c>
      <c r="I310" s="66" t="str">
        <f>IF(Second!I63="", "",Second!I63)</f>
        <v/>
      </c>
      <c r="J310" s="66" t="str">
        <f>IF(Second!J63="", "",Second!J63)</f>
        <v/>
      </c>
      <c r="K310" s="86" t="str">
        <f>IF(Second!K63="", "",Second!K63)</f>
        <v/>
      </c>
      <c r="L310" s="88"/>
      <c r="M310" s="67" t="str">
        <f t="shared" si="14"/>
        <v/>
      </c>
      <c r="N310" s="76" t="str">
        <f t="shared" si="15"/>
        <v/>
      </c>
      <c r="O310" s="33">
        <f t="shared" si="13"/>
        <v>0</v>
      </c>
    </row>
    <row r="311" spans="1:15" x14ac:dyDescent="0.25">
      <c r="A311" s="64" t="s">
        <v>204</v>
      </c>
      <c r="B311" s="79" t="str">
        <f>IF(Second!B64="", "",Second!B64)</f>
        <v/>
      </c>
      <c r="C311" s="66" t="str">
        <f>IF(Second!C64="", "",Second!C64)</f>
        <v/>
      </c>
      <c r="D311" s="66" t="str">
        <f>IF(Second!D64="", "",Second!D64)</f>
        <v/>
      </c>
      <c r="E311" s="66" t="str">
        <f>IF(Second!E64="", "",Second!E64)</f>
        <v/>
      </c>
      <c r="F311" s="66" t="str">
        <f>IF(Second!F64="", "",Second!F64)</f>
        <v/>
      </c>
      <c r="G311" s="66" t="str">
        <f>IF(Second!G64="", "",Second!G64)</f>
        <v/>
      </c>
      <c r="H311" s="66" t="str">
        <f>IF(Second!H64="", "",Second!H64)</f>
        <v/>
      </c>
      <c r="I311" s="66" t="str">
        <f>IF(Second!I64="", "",Second!I64)</f>
        <v/>
      </c>
      <c r="J311" s="66" t="str">
        <f>IF(Second!J64="", "",Second!J64)</f>
        <v/>
      </c>
      <c r="K311" s="86" t="str">
        <f>IF(Second!K64="", "",Second!K64)</f>
        <v/>
      </c>
      <c r="L311" s="88"/>
      <c r="M311" s="67" t="str">
        <f t="shared" si="14"/>
        <v/>
      </c>
      <c r="N311" s="76" t="str">
        <f t="shared" si="15"/>
        <v/>
      </c>
      <c r="O311" s="33">
        <f t="shared" si="13"/>
        <v>0</v>
      </c>
    </row>
    <row r="312" spans="1:15" x14ac:dyDescent="0.25">
      <c r="A312" s="64" t="s">
        <v>204</v>
      </c>
      <c r="B312" s="79" t="str">
        <f>IF(Second!B65="", "",Second!B65)</f>
        <v/>
      </c>
      <c r="C312" s="66" t="str">
        <f>IF(Second!C65="", "",Second!C65)</f>
        <v/>
      </c>
      <c r="D312" s="66" t="str">
        <f>IF(Second!D65="", "",Second!D65)</f>
        <v/>
      </c>
      <c r="E312" s="66" t="str">
        <f>IF(Second!E65="", "",Second!E65)</f>
        <v/>
      </c>
      <c r="F312" s="66" t="str">
        <f>IF(Second!F65="", "",Second!F65)</f>
        <v/>
      </c>
      <c r="G312" s="66" t="str">
        <f>IF(Second!G65="", "",Second!G65)</f>
        <v/>
      </c>
      <c r="H312" s="66" t="str">
        <f>IF(Second!H65="", "",Second!H65)</f>
        <v/>
      </c>
      <c r="I312" s="66" t="str">
        <f>IF(Second!I65="", "",Second!I65)</f>
        <v/>
      </c>
      <c r="J312" s="66" t="str">
        <f>IF(Second!J65="", "",Second!J65)</f>
        <v/>
      </c>
      <c r="K312" s="86" t="str">
        <f>IF(Second!K65="", "",Second!K65)</f>
        <v/>
      </c>
      <c r="L312" s="88"/>
      <c r="M312" s="67" t="str">
        <f t="shared" si="14"/>
        <v/>
      </c>
      <c r="N312" s="76" t="str">
        <f t="shared" si="15"/>
        <v/>
      </c>
      <c r="O312" s="33">
        <f t="shared" si="13"/>
        <v>0</v>
      </c>
    </row>
    <row r="313" spans="1:15" x14ac:dyDescent="0.25">
      <c r="A313" s="64" t="s">
        <v>204</v>
      </c>
      <c r="B313" s="79" t="str">
        <f>IF(Second!B66="", "",Second!B66)</f>
        <v/>
      </c>
      <c r="C313" s="66" t="str">
        <f>IF(Second!C66="", "",Second!C66)</f>
        <v/>
      </c>
      <c r="D313" s="66" t="str">
        <f>IF(Second!D66="", "",Second!D66)</f>
        <v/>
      </c>
      <c r="E313" s="66" t="str">
        <f>IF(Second!E66="", "",Second!E66)</f>
        <v/>
      </c>
      <c r="F313" s="66" t="str">
        <f>IF(Second!F66="", "",Second!F66)</f>
        <v/>
      </c>
      <c r="G313" s="66" t="str">
        <f>IF(Second!G66="", "",Second!G66)</f>
        <v/>
      </c>
      <c r="H313" s="66" t="str">
        <f>IF(Second!H66="", "",Second!H66)</f>
        <v/>
      </c>
      <c r="I313" s="66" t="str">
        <f>IF(Second!I66="", "",Second!I66)</f>
        <v/>
      </c>
      <c r="J313" s="66" t="str">
        <f>IF(Second!J66="", "",Second!J66)</f>
        <v/>
      </c>
      <c r="K313" s="86" t="str">
        <f>IF(Second!K66="", "",Second!K66)</f>
        <v/>
      </c>
      <c r="L313" s="88"/>
      <c r="M313" s="67" t="str">
        <f t="shared" si="14"/>
        <v/>
      </c>
      <c r="N313" s="76" t="str">
        <f t="shared" si="15"/>
        <v/>
      </c>
      <c r="O313" s="33">
        <f t="shared" si="13"/>
        <v>0</v>
      </c>
    </row>
    <row r="314" spans="1:15" x14ac:dyDescent="0.25">
      <c r="A314" s="64" t="s">
        <v>204</v>
      </c>
      <c r="B314" s="79" t="str">
        <f>IF(Second!B67="", "",Second!B67)</f>
        <v/>
      </c>
      <c r="C314" s="66" t="str">
        <f>IF(Second!C67="", "",Second!C67)</f>
        <v/>
      </c>
      <c r="D314" s="66" t="str">
        <f>IF(Second!D67="", "",Second!D67)</f>
        <v/>
      </c>
      <c r="E314" s="66" t="str">
        <f>IF(Second!E67="", "",Second!E67)</f>
        <v/>
      </c>
      <c r="F314" s="66" t="str">
        <f>IF(Second!F67="", "",Second!F67)</f>
        <v/>
      </c>
      <c r="G314" s="66" t="str">
        <f>IF(Second!G67="", "",Second!G67)</f>
        <v/>
      </c>
      <c r="H314" s="66" t="str">
        <f>IF(Second!H67="", "",Second!H67)</f>
        <v/>
      </c>
      <c r="I314" s="66" t="str">
        <f>IF(Second!I67="", "",Second!I67)</f>
        <v/>
      </c>
      <c r="J314" s="66" t="str">
        <f>IF(Second!J67="", "",Second!J67)</f>
        <v/>
      </c>
      <c r="K314" s="86" t="str">
        <f>IF(Second!K67="", "",Second!K67)</f>
        <v/>
      </c>
      <c r="L314" s="88"/>
      <c r="M314" s="67" t="str">
        <f t="shared" si="14"/>
        <v/>
      </c>
      <c r="N314" s="76" t="str">
        <f t="shared" si="15"/>
        <v/>
      </c>
      <c r="O314" s="33">
        <f t="shared" si="13"/>
        <v>0</v>
      </c>
    </row>
    <row r="315" spans="1:15" x14ac:dyDescent="0.25">
      <c r="A315" s="64" t="s">
        <v>204</v>
      </c>
      <c r="B315" s="79" t="str">
        <f>IF(Second!B68="", "",Second!B68)</f>
        <v/>
      </c>
      <c r="C315" s="66" t="str">
        <f>IF(Second!C68="", "",Second!C68)</f>
        <v/>
      </c>
      <c r="D315" s="66" t="str">
        <f>IF(Second!D68="", "",Second!D68)</f>
        <v/>
      </c>
      <c r="E315" s="66" t="str">
        <f>IF(Second!E68="", "",Second!E68)</f>
        <v/>
      </c>
      <c r="F315" s="66" t="str">
        <f>IF(Second!F68="", "",Second!F68)</f>
        <v/>
      </c>
      <c r="G315" s="66" t="str">
        <f>IF(Second!G68="", "",Second!G68)</f>
        <v/>
      </c>
      <c r="H315" s="66" t="str">
        <f>IF(Second!H68="", "",Second!H68)</f>
        <v/>
      </c>
      <c r="I315" s="66" t="str">
        <f>IF(Second!I68="", "",Second!I68)</f>
        <v/>
      </c>
      <c r="J315" s="66" t="str">
        <f>IF(Second!J68="", "",Second!J68)</f>
        <v/>
      </c>
      <c r="K315" s="86" t="str">
        <f>IF(Second!K68="", "",Second!K68)</f>
        <v/>
      </c>
      <c r="L315" s="88"/>
      <c r="M315" s="67" t="str">
        <f t="shared" si="14"/>
        <v/>
      </c>
      <c r="N315" s="76" t="str">
        <f t="shared" si="15"/>
        <v/>
      </c>
      <c r="O315" s="33">
        <f t="shared" si="13"/>
        <v>0</v>
      </c>
    </row>
    <row r="316" spans="1:15" x14ac:dyDescent="0.25">
      <c r="A316" s="64" t="s">
        <v>204</v>
      </c>
      <c r="B316" s="79" t="str">
        <f>IF(Second!B69="", "",Second!B69)</f>
        <v/>
      </c>
      <c r="C316" s="66" t="str">
        <f>IF(Second!C69="", "",Second!C69)</f>
        <v/>
      </c>
      <c r="D316" s="66" t="str">
        <f>IF(Second!D69="", "",Second!D69)</f>
        <v/>
      </c>
      <c r="E316" s="66" t="str">
        <f>IF(Second!E69="", "",Second!E69)</f>
        <v/>
      </c>
      <c r="F316" s="66" t="str">
        <f>IF(Second!F69="", "",Second!F69)</f>
        <v/>
      </c>
      <c r="G316" s="66" t="str">
        <f>IF(Second!G69="", "",Second!G69)</f>
        <v/>
      </c>
      <c r="H316" s="66" t="str">
        <f>IF(Second!H69="", "",Second!H69)</f>
        <v/>
      </c>
      <c r="I316" s="66" t="str">
        <f>IF(Second!I69="", "",Second!I69)</f>
        <v/>
      </c>
      <c r="J316" s="66" t="str">
        <f>IF(Second!J69="", "",Second!J69)</f>
        <v/>
      </c>
      <c r="K316" s="86" t="str">
        <f>IF(Second!K69="", "",Second!K69)</f>
        <v/>
      </c>
      <c r="L316" s="88"/>
      <c r="M316" s="67" t="str">
        <f t="shared" si="14"/>
        <v/>
      </c>
      <c r="N316" s="76" t="str">
        <f t="shared" si="15"/>
        <v/>
      </c>
      <c r="O316" s="33">
        <f t="shared" si="13"/>
        <v>0</v>
      </c>
    </row>
    <row r="317" spans="1:15" x14ac:dyDescent="0.25">
      <c r="A317" s="64" t="s">
        <v>204</v>
      </c>
      <c r="B317" s="79" t="str">
        <f>IF(Second!B70="", "",Second!B70)</f>
        <v/>
      </c>
      <c r="C317" s="66" t="str">
        <f>IF(Second!C70="", "",Second!C70)</f>
        <v/>
      </c>
      <c r="D317" s="66" t="str">
        <f>IF(Second!D70="", "",Second!D70)</f>
        <v/>
      </c>
      <c r="E317" s="66" t="str">
        <f>IF(Second!E70="", "",Second!E70)</f>
        <v/>
      </c>
      <c r="F317" s="66" t="str">
        <f>IF(Second!F70="", "",Second!F70)</f>
        <v/>
      </c>
      <c r="G317" s="66" t="str">
        <f>IF(Second!G70="", "",Second!G70)</f>
        <v/>
      </c>
      <c r="H317" s="66" t="str">
        <f>IF(Second!H70="", "",Second!H70)</f>
        <v/>
      </c>
      <c r="I317" s="66" t="str">
        <f>IF(Second!I70="", "",Second!I70)</f>
        <v/>
      </c>
      <c r="J317" s="66" t="str">
        <f>IF(Second!J70="", "",Second!J70)</f>
        <v/>
      </c>
      <c r="K317" s="86" t="str">
        <f>IF(Second!K70="", "",Second!K70)</f>
        <v/>
      </c>
      <c r="L317" s="88"/>
      <c r="M317" s="67" t="str">
        <f t="shared" si="14"/>
        <v/>
      </c>
      <c r="N317" s="76" t="str">
        <f t="shared" si="15"/>
        <v/>
      </c>
      <c r="O317" s="33">
        <f t="shared" si="13"/>
        <v>0</v>
      </c>
    </row>
    <row r="318" spans="1:15" x14ac:dyDescent="0.25">
      <c r="A318" s="64" t="s">
        <v>204</v>
      </c>
      <c r="B318" s="79" t="str">
        <f>IF(Second!B71="", "",Second!B71)</f>
        <v/>
      </c>
      <c r="C318" s="66" t="str">
        <f>IF(Second!C71="", "",Second!C71)</f>
        <v/>
      </c>
      <c r="D318" s="66" t="str">
        <f>IF(Second!D71="", "",Second!D71)</f>
        <v/>
      </c>
      <c r="E318" s="66" t="str">
        <f>IF(Second!E71="", "",Second!E71)</f>
        <v/>
      </c>
      <c r="F318" s="66" t="str">
        <f>IF(Second!F71="", "",Second!F71)</f>
        <v/>
      </c>
      <c r="G318" s="66" t="str">
        <f>IF(Second!G71="", "",Second!G71)</f>
        <v/>
      </c>
      <c r="H318" s="66" t="str">
        <f>IF(Second!H71="", "",Second!H71)</f>
        <v/>
      </c>
      <c r="I318" s="66" t="str">
        <f>IF(Second!I71="", "",Second!I71)</f>
        <v/>
      </c>
      <c r="J318" s="66" t="str">
        <f>IF(Second!J71="", "",Second!J71)</f>
        <v/>
      </c>
      <c r="K318" s="86" t="str">
        <f>IF(Second!K71="", "",Second!K71)</f>
        <v/>
      </c>
      <c r="L318" s="88"/>
      <c r="M318" s="67" t="str">
        <f t="shared" si="14"/>
        <v/>
      </c>
      <c r="N318" s="76" t="str">
        <f t="shared" si="15"/>
        <v/>
      </c>
      <c r="O318" s="33">
        <f t="shared" si="13"/>
        <v>0</v>
      </c>
    </row>
    <row r="319" spans="1:15" x14ac:dyDescent="0.25">
      <c r="A319" s="64" t="s">
        <v>204</v>
      </c>
      <c r="B319" s="79" t="str">
        <f>IF(Second!B72="", "",Second!B72)</f>
        <v/>
      </c>
      <c r="C319" s="66" t="str">
        <f>IF(Second!C72="", "",Second!C72)</f>
        <v/>
      </c>
      <c r="D319" s="66" t="str">
        <f>IF(Second!D72="", "",Second!D72)</f>
        <v/>
      </c>
      <c r="E319" s="66" t="str">
        <f>IF(Second!E72="", "",Second!E72)</f>
        <v/>
      </c>
      <c r="F319" s="66" t="str">
        <f>IF(Second!F72="", "",Second!F72)</f>
        <v/>
      </c>
      <c r="G319" s="66" t="str">
        <f>IF(Second!G72="", "",Second!G72)</f>
        <v/>
      </c>
      <c r="H319" s="66" t="str">
        <f>IF(Second!H72="", "",Second!H72)</f>
        <v/>
      </c>
      <c r="I319" s="66" t="str">
        <f>IF(Second!I72="", "",Second!I72)</f>
        <v/>
      </c>
      <c r="J319" s="66" t="str">
        <f>IF(Second!J72="", "",Second!J72)</f>
        <v/>
      </c>
      <c r="K319" s="86" t="str">
        <f>IF(Second!K72="", "",Second!K72)</f>
        <v/>
      </c>
      <c r="L319" s="88"/>
      <c r="M319" s="67" t="str">
        <f t="shared" si="14"/>
        <v/>
      </c>
      <c r="N319" s="76" t="str">
        <f t="shared" si="15"/>
        <v/>
      </c>
      <c r="O319" s="33">
        <f t="shared" si="13"/>
        <v>0</v>
      </c>
    </row>
    <row r="320" spans="1:15" x14ac:dyDescent="0.25">
      <c r="A320" s="64" t="s">
        <v>204</v>
      </c>
      <c r="B320" s="79" t="str">
        <f>IF(Second!B73="", "",Second!B73)</f>
        <v/>
      </c>
      <c r="C320" s="66" t="str">
        <f>IF(Second!C73="", "",Second!C73)</f>
        <v/>
      </c>
      <c r="D320" s="66" t="str">
        <f>IF(Second!D73="", "",Second!D73)</f>
        <v/>
      </c>
      <c r="E320" s="66" t="str">
        <f>IF(Second!E73="", "",Second!E73)</f>
        <v/>
      </c>
      <c r="F320" s="66" t="str">
        <f>IF(Second!F73="", "",Second!F73)</f>
        <v/>
      </c>
      <c r="G320" s="66" t="str">
        <f>IF(Second!G73="", "",Second!G73)</f>
        <v/>
      </c>
      <c r="H320" s="66" t="str">
        <f>IF(Second!H73="", "",Second!H73)</f>
        <v/>
      </c>
      <c r="I320" s="66" t="str">
        <f>IF(Second!I73="", "",Second!I73)</f>
        <v/>
      </c>
      <c r="J320" s="66" t="str">
        <f>IF(Second!J73="", "",Second!J73)</f>
        <v/>
      </c>
      <c r="K320" s="86" t="str">
        <f>IF(Second!K73="", "",Second!K73)</f>
        <v/>
      </c>
      <c r="L320" s="88"/>
      <c r="M320" s="67" t="str">
        <f t="shared" si="14"/>
        <v/>
      </c>
      <c r="N320" s="76" t="str">
        <f t="shared" si="15"/>
        <v/>
      </c>
      <c r="O320" s="33">
        <f t="shared" si="13"/>
        <v>0</v>
      </c>
    </row>
    <row r="321" spans="1:15" x14ac:dyDescent="0.25">
      <c r="A321" s="64" t="s">
        <v>204</v>
      </c>
      <c r="B321" s="79" t="str">
        <f>IF(Second!B74="", "",Second!B74)</f>
        <v/>
      </c>
      <c r="C321" s="66" t="str">
        <f>IF(Second!C74="", "",Second!C74)</f>
        <v/>
      </c>
      <c r="D321" s="66" t="str">
        <f>IF(Second!D74="", "",Second!D74)</f>
        <v/>
      </c>
      <c r="E321" s="66" t="str">
        <f>IF(Second!E74="", "",Second!E74)</f>
        <v/>
      </c>
      <c r="F321" s="66" t="str">
        <f>IF(Second!F74="", "",Second!F74)</f>
        <v/>
      </c>
      <c r="G321" s="66" t="str">
        <f>IF(Second!G74="", "",Second!G74)</f>
        <v/>
      </c>
      <c r="H321" s="66" t="str">
        <f>IF(Second!H74="", "",Second!H74)</f>
        <v/>
      </c>
      <c r="I321" s="66" t="str">
        <f>IF(Second!I74="", "",Second!I74)</f>
        <v/>
      </c>
      <c r="J321" s="66" t="str">
        <f>IF(Second!J74="", "",Second!J74)</f>
        <v/>
      </c>
      <c r="K321" s="86" t="str">
        <f>IF(Second!K74="", "",Second!K74)</f>
        <v/>
      </c>
      <c r="L321" s="88"/>
      <c r="M321" s="67" t="str">
        <f t="shared" si="14"/>
        <v/>
      </c>
      <c r="N321" s="76" t="str">
        <f t="shared" si="15"/>
        <v/>
      </c>
      <c r="O321" s="33">
        <f t="shared" si="13"/>
        <v>0</v>
      </c>
    </row>
    <row r="322" spans="1:15" x14ac:dyDescent="0.25">
      <c r="A322" s="64" t="s">
        <v>204</v>
      </c>
      <c r="B322" s="79" t="str">
        <f>IF(Second!B75="", "",Second!B75)</f>
        <v/>
      </c>
      <c r="C322" s="66" t="str">
        <f>IF(Second!C75="", "",Second!C75)</f>
        <v/>
      </c>
      <c r="D322" s="66" t="str">
        <f>IF(Second!D75="", "",Second!D75)</f>
        <v/>
      </c>
      <c r="E322" s="66" t="str">
        <f>IF(Second!E75="", "",Second!E75)</f>
        <v/>
      </c>
      <c r="F322" s="66" t="str">
        <f>IF(Second!F75="", "",Second!F75)</f>
        <v/>
      </c>
      <c r="G322" s="66" t="str">
        <f>IF(Second!G75="", "",Second!G75)</f>
        <v/>
      </c>
      <c r="H322" s="66" t="str">
        <f>IF(Second!H75="", "",Second!H75)</f>
        <v/>
      </c>
      <c r="I322" s="66" t="str">
        <f>IF(Second!I75="", "",Second!I75)</f>
        <v/>
      </c>
      <c r="J322" s="66" t="str">
        <f>IF(Second!J75="", "",Second!J75)</f>
        <v/>
      </c>
      <c r="K322" s="86" t="str">
        <f>IF(Second!K75="", "",Second!K75)</f>
        <v/>
      </c>
      <c r="L322" s="88"/>
      <c r="M322" s="67" t="str">
        <f t="shared" si="14"/>
        <v/>
      </c>
      <c r="N322" s="76" t="str">
        <f t="shared" si="15"/>
        <v/>
      </c>
      <c r="O322" s="33">
        <f t="shared" ref="O322:O385" si="16">SUM(M322:N322)</f>
        <v>0</v>
      </c>
    </row>
    <row r="323" spans="1:15" x14ac:dyDescent="0.25">
      <c r="A323" s="64" t="s">
        <v>204</v>
      </c>
      <c r="B323" s="79" t="str">
        <f>IF(Second!B76="", "",Second!B76)</f>
        <v/>
      </c>
      <c r="C323" s="66" t="str">
        <f>IF(Second!C76="", "",Second!C76)</f>
        <v/>
      </c>
      <c r="D323" s="66" t="str">
        <f>IF(Second!D76="", "",Second!D76)</f>
        <v/>
      </c>
      <c r="E323" s="66" t="str">
        <f>IF(Second!E76="", "",Second!E76)</f>
        <v/>
      </c>
      <c r="F323" s="66" t="str">
        <f>IF(Second!F76="", "",Second!F76)</f>
        <v/>
      </c>
      <c r="G323" s="66" t="str">
        <f>IF(Second!G76="", "",Second!G76)</f>
        <v/>
      </c>
      <c r="H323" s="66" t="str">
        <f>IF(Second!H76="", "",Second!H76)</f>
        <v/>
      </c>
      <c r="I323" s="66" t="str">
        <f>IF(Second!I76="", "",Second!I76)</f>
        <v/>
      </c>
      <c r="J323" s="66" t="str">
        <f>IF(Second!J76="", "",Second!J76)</f>
        <v/>
      </c>
      <c r="K323" s="86" t="str">
        <f>IF(Second!K76="", "",Second!K76)</f>
        <v/>
      </c>
      <c r="L323" s="88"/>
      <c r="M323" s="67" t="str">
        <f t="shared" ref="M323:M386" si="17">IF(C323="PwC",(7-COUNTIF(B323:H323,"")),"")</f>
        <v/>
      </c>
      <c r="N323" s="76" t="str">
        <f t="shared" ref="N323:N386" si="18">IF(C323="Carer",(7-COUNTIF(B323:H323,"")),"")</f>
        <v/>
      </c>
      <c r="O323" s="33">
        <f t="shared" si="16"/>
        <v>0</v>
      </c>
    </row>
    <row r="324" spans="1:15" x14ac:dyDescent="0.25">
      <c r="A324" s="64" t="s">
        <v>204</v>
      </c>
      <c r="B324" s="79" t="str">
        <f>IF(Second!B77="", "",Second!B77)</f>
        <v/>
      </c>
      <c r="C324" s="66" t="str">
        <f>IF(Second!C77="", "",Second!C77)</f>
        <v/>
      </c>
      <c r="D324" s="66" t="str">
        <f>IF(Second!D77="", "",Second!D77)</f>
        <v/>
      </c>
      <c r="E324" s="66" t="str">
        <f>IF(Second!E77="", "",Second!E77)</f>
        <v/>
      </c>
      <c r="F324" s="66" t="str">
        <f>IF(Second!F77="", "",Second!F77)</f>
        <v/>
      </c>
      <c r="G324" s="66" t="str">
        <f>IF(Second!G77="", "",Second!G77)</f>
        <v/>
      </c>
      <c r="H324" s="66" t="str">
        <f>IF(Second!H77="", "",Second!H77)</f>
        <v/>
      </c>
      <c r="I324" s="66" t="str">
        <f>IF(Second!I77="", "",Second!I77)</f>
        <v/>
      </c>
      <c r="J324" s="66" t="str">
        <f>IF(Second!J77="", "",Second!J77)</f>
        <v/>
      </c>
      <c r="K324" s="86" t="str">
        <f>IF(Second!K77="", "",Second!K77)</f>
        <v/>
      </c>
      <c r="L324" s="88"/>
      <c r="M324" s="67" t="str">
        <f t="shared" si="17"/>
        <v/>
      </c>
      <c r="N324" s="76" t="str">
        <f t="shared" si="18"/>
        <v/>
      </c>
      <c r="O324" s="33">
        <f t="shared" si="16"/>
        <v>0</v>
      </c>
    </row>
    <row r="325" spans="1:15" x14ac:dyDescent="0.25">
      <c r="A325" s="64" t="s">
        <v>204</v>
      </c>
      <c r="B325" s="79" t="str">
        <f>IF(Second!B78="", "",Second!B78)</f>
        <v/>
      </c>
      <c r="C325" s="66" t="str">
        <f>IF(Second!C78="", "",Second!C78)</f>
        <v/>
      </c>
      <c r="D325" s="66" t="str">
        <f>IF(Second!D78="", "",Second!D78)</f>
        <v/>
      </c>
      <c r="E325" s="66" t="str">
        <f>IF(Second!E78="", "",Second!E78)</f>
        <v/>
      </c>
      <c r="F325" s="66" t="str">
        <f>IF(Second!F78="", "",Second!F78)</f>
        <v/>
      </c>
      <c r="G325" s="66" t="str">
        <f>IF(Second!G78="", "",Second!G78)</f>
        <v/>
      </c>
      <c r="H325" s="66" t="str">
        <f>IF(Second!H78="", "",Second!H78)</f>
        <v/>
      </c>
      <c r="I325" s="66" t="str">
        <f>IF(Second!I78="", "",Second!I78)</f>
        <v/>
      </c>
      <c r="J325" s="66" t="str">
        <f>IF(Second!J78="", "",Second!J78)</f>
        <v/>
      </c>
      <c r="K325" s="86" t="str">
        <f>IF(Second!K78="", "",Second!K78)</f>
        <v/>
      </c>
      <c r="L325" s="88"/>
      <c r="M325" s="67" t="str">
        <f t="shared" si="17"/>
        <v/>
      </c>
      <c r="N325" s="76" t="str">
        <f t="shared" si="18"/>
        <v/>
      </c>
      <c r="O325" s="33">
        <f t="shared" si="16"/>
        <v>0</v>
      </c>
    </row>
    <row r="326" spans="1:15" x14ac:dyDescent="0.25">
      <c r="A326" s="64" t="s">
        <v>204</v>
      </c>
      <c r="B326" s="79" t="str">
        <f>IF(Second!B79="", "",Second!B79)</f>
        <v/>
      </c>
      <c r="C326" s="66" t="str">
        <f>IF(Second!C79="", "",Second!C79)</f>
        <v/>
      </c>
      <c r="D326" s="66" t="str">
        <f>IF(Second!D79="", "",Second!D79)</f>
        <v/>
      </c>
      <c r="E326" s="66" t="str">
        <f>IF(Second!E79="", "",Second!E79)</f>
        <v/>
      </c>
      <c r="F326" s="66" t="str">
        <f>IF(Second!F79="", "",Second!F79)</f>
        <v/>
      </c>
      <c r="G326" s="66" t="str">
        <f>IF(Second!G79="", "",Second!G79)</f>
        <v/>
      </c>
      <c r="H326" s="66" t="str">
        <f>IF(Second!H79="", "",Second!H79)</f>
        <v/>
      </c>
      <c r="I326" s="66" t="str">
        <f>IF(Second!I79="", "",Second!I79)</f>
        <v/>
      </c>
      <c r="J326" s="66" t="str">
        <f>IF(Second!J79="", "",Second!J79)</f>
        <v/>
      </c>
      <c r="K326" s="86" t="str">
        <f>IF(Second!K79="", "",Second!K79)</f>
        <v/>
      </c>
      <c r="L326" s="88"/>
      <c r="M326" s="67" t="str">
        <f t="shared" si="17"/>
        <v/>
      </c>
      <c r="N326" s="76" t="str">
        <f t="shared" si="18"/>
        <v/>
      </c>
      <c r="O326" s="33">
        <f t="shared" si="16"/>
        <v>0</v>
      </c>
    </row>
    <row r="327" spans="1:15" x14ac:dyDescent="0.25">
      <c r="A327" s="64" t="s">
        <v>204</v>
      </c>
      <c r="B327" s="79" t="str">
        <f>IF(Second!B80="", "",Second!B80)</f>
        <v/>
      </c>
      <c r="C327" s="66" t="str">
        <f>IF(Second!C80="", "",Second!C80)</f>
        <v/>
      </c>
      <c r="D327" s="66" t="str">
        <f>IF(Second!D80="", "",Second!D80)</f>
        <v/>
      </c>
      <c r="E327" s="66" t="str">
        <f>IF(Second!E80="", "",Second!E80)</f>
        <v/>
      </c>
      <c r="F327" s="66" t="str">
        <f>IF(Second!F80="", "",Second!F80)</f>
        <v/>
      </c>
      <c r="G327" s="66" t="str">
        <f>IF(Second!G80="", "",Second!G80)</f>
        <v/>
      </c>
      <c r="H327" s="66" t="str">
        <f>IF(Second!H80="", "",Second!H80)</f>
        <v/>
      </c>
      <c r="I327" s="66" t="str">
        <f>IF(Second!I80="", "",Second!I80)</f>
        <v/>
      </c>
      <c r="J327" s="66" t="str">
        <f>IF(Second!J80="", "",Second!J80)</f>
        <v/>
      </c>
      <c r="K327" s="86" t="str">
        <f>IF(Second!K80="", "",Second!K80)</f>
        <v/>
      </c>
      <c r="L327" s="88"/>
      <c r="M327" s="67" t="str">
        <f t="shared" si="17"/>
        <v/>
      </c>
      <c r="N327" s="76" t="str">
        <f t="shared" si="18"/>
        <v/>
      </c>
      <c r="O327" s="33">
        <f t="shared" si="16"/>
        <v>0</v>
      </c>
    </row>
    <row r="328" spans="1:15" x14ac:dyDescent="0.25">
      <c r="A328" s="64" t="s">
        <v>204</v>
      </c>
      <c r="B328" s="79" t="str">
        <f>IF(Second!B81="", "",Second!B81)</f>
        <v/>
      </c>
      <c r="C328" s="66" t="str">
        <f>IF(Second!C81="", "",Second!C81)</f>
        <v/>
      </c>
      <c r="D328" s="66" t="str">
        <f>IF(Second!D81="", "",Second!D81)</f>
        <v/>
      </c>
      <c r="E328" s="66" t="str">
        <f>IF(Second!E81="", "",Second!E81)</f>
        <v/>
      </c>
      <c r="F328" s="66" t="str">
        <f>IF(Second!F81="", "",Second!F81)</f>
        <v/>
      </c>
      <c r="G328" s="66" t="str">
        <f>IF(Second!G81="", "",Second!G81)</f>
        <v/>
      </c>
      <c r="H328" s="66" t="str">
        <f>IF(Second!H81="", "",Second!H81)</f>
        <v/>
      </c>
      <c r="I328" s="66" t="str">
        <f>IF(Second!I81="", "",Second!I81)</f>
        <v/>
      </c>
      <c r="J328" s="66" t="str">
        <f>IF(Second!J81="", "",Second!J81)</f>
        <v/>
      </c>
      <c r="K328" s="86" t="str">
        <f>IF(Second!K81="", "",Second!K81)</f>
        <v/>
      </c>
      <c r="L328" s="88"/>
      <c r="M328" s="67" t="str">
        <f t="shared" si="17"/>
        <v/>
      </c>
      <c r="N328" s="76" t="str">
        <f t="shared" si="18"/>
        <v/>
      </c>
      <c r="O328" s="33">
        <f t="shared" si="16"/>
        <v>0</v>
      </c>
    </row>
    <row r="329" spans="1:15" x14ac:dyDescent="0.25">
      <c r="A329" s="64" t="s">
        <v>204</v>
      </c>
      <c r="B329" s="79" t="str">
        <f>IF(Second!B82="", "",Second!B82)</f>
        <v/>
      </c>
      <c r="C329" s="66" t="str">
        <f>IF(Second!C82="", "",Second!C82)</f>
        <v/>
      </c>
      <c r="D329" s="66" t="str">
        <f>IF(Second!D82="", "",Second!D82)</f>
        <v/>
      </c>
      <c r="E329" s="66" t="str">
        <f>IF(Second!E82="", "",Second!E82)</f>
        <v/>
      </c>
      <c r="F329" s="66" t="str">
        <f>IF(Second!F82="", "",Second!F82)</f>
        <v/>
      </c>
      <c r="G329" s="66" t="str">
        <f>IF(Second!G82="", "",Second!G82)</f>
        <v/>
      </c>
      <c r="H329" s="66" t="str">
        <f>IF(Second!H82="", "",Second!H82)</f>
        <v/>
      </c>
      <c r="I329" s="66" t="str">
        <f>IF(Second!I82="", "",Second!I82)</f>
        <v/>
      </c>
      <c r="J329" s="66" t="str">
        <f>IF(Second!J82="", "",Second!J82)</f>
        <v/>
      </c>
      <c r="K329" s="86" t="str">
        <f>IF(Second!K82="", "",Second!K82)</f>
        <v/>
      </c>
      <c r="L329" s="88"/>
      <c r="M329" s="67" t="str">
        <f t="shared" si="17"/>
        <v/>
      </c>
      <c r="N329" s="76" t="str">
        <f t="shared" si="18"/>
        <v/>
      </c>
      <c r="O329" s="33">
        <f t="shared" si="16"/>
        <v>0</v>
      </c>
    </row>
    <row r="330" spans="1:15" x14ac:dyDescent="0.25">
      <c r="A330" s="64" t="s">
        <v>204</v>
      </c>
      <c r="B330" s="79" t="str">
        <f>IF(Second!B83="", "",Second!B83)</f>
        <v/>
      </c>
      <c r="C330" s="66" t="str">
        <f>IF(Second!C83="", "",Second!C83)</f>
        <v/>
      </c>
      <c r="D330" s="66" t="str">
        <f>IF(Second!D83="", "",Second!D83)</f>
        <v/>
      </c>
      <c r="E330" s="66" t="str">
        <f>IF(Second!E83="", "",Second!E83)</f>
        <v/>
      </c>
      <c r="F330" s="66" t="str">
        <f>IF(Second!F83="", "",Second!F83)</f>
        <v/>
      </c>
      <c r="G330" s="66" t="str">
        <f>IF(Second!G83="", "",Second!G83)</f>
        <v/>
      </c>
      <c r="H330" s="66" t="str">
        <f>IF(Second!H83="", "",Second!H83)</f>
        <v/>
      </c>
      <c r="I330" s="66" t="str">
        <f>IF(Second!I83="", "",Second!I83)</f>
        <v/>
      </c>
      <c r="J330" s="66" t="str">
        <f>IF(Second!J83="", "",Second!J83)</f>
        <v/>
      </c>
      <c r="K330" s="86" t="str">
        <f>IF(Second!K83="", "",Second!K83)</f>
        <v/>
      </c>
      <c r="L330" s="88"/>
      <c r="M330" s="67" t="str">
        <f t="shared" si="17"/>
        <v/>
      </c>
      <c r="N330" s="76" t="str">
        <f t="shared" si="18"/>
        <v/>
      </c>
      <c r="O330" s="33">
        <f t="shared" si="16"/>
        <v>0</v>
      </c>
    </row>
    <row r="331" spans="1:15" x14ac:dyDescent="0.25">
      <c r="A331" s="64" t="s">
        <v>204</v>
      </c>
      <c r="B331" s="79" t="str">
        <f>IF(Second!B84="", "",Second!B84)</f>
        <v/>
      </c>
      <c r="C331" s="66" t="str">
        <f>IF(Second!C84="", "",Second!C84)</f>
        <v/>
      </c>
      <c r="D331" s="66" t="str">
        <f>IF(Second!D84="", "",Second!D84)</f>
        <v/>
      </c>
      <c r="E331" s="66" t="str">
        <f>IF(Second!E84="", "",Second!E84)</f>
        <v/>
      </c>
      <c r="F331" s="66" t="str">
        <f>IF(Second!F84="", "",Second!F84)</f>
        <v/>
      </c>
      <c r="G331" s="66" t="str">
        <f>IF(Second!G84="", "",Second!G84)</f>
        <v/>
      </c>
      <c r="H331" s="66" t="str">
        <f>IF(Second!H84="", "",Second!H84)</f>
        <v/>
      </c>
      <c r="I331" s="66" t="str">
        <f>IF(Second!I84="", "",Second!I84)</f>
        <v/>
      </c>
      <c r="J331" s="66" t="str">
        <f>IF(Second!J84="", "",Second!J84)</f>
        <v/>
      </c>
      <c r="K331" s="86" t="str">
        <f>IF(Second!K84="", "",Second!K84)</f>
        <v/>
      </c>
      <c r="L331" s="88"/>
      <c r="M331" s="67" t="str">
        <f t="shared" si="17"/>
        <v/>
      </c>
      <c r="N331" s="76" t="str">
        <f t="shared" si="18"/>
        <v/>
      </c>
      <c r="O331" s="33">
        <f t="shared" si="16"/>
        <v>0</v>
      </c>
    </row>
    <row r="332" spans="1:15" x14ac:dyDescent="0.25">
      <c r="A332" s="64" t="s">
        <v>204</v>
      </c>
      <c r="B332" s="79" t="str">
        <f>IF(Second!B85="", "",Second!B85)</f>
        <v/>
      </c>
      <c r="C332" s="66" t="str">
        <f>IF(Second!C85="", "",Second!C85)</f>
        <v/>
      </c>
      <c r="D332" s="66" t="str">
        <f>IF(Second!D85="", "",Second!D85)</f>
        <v/>
      </c>
      <c r="E332" s="66" t="str">
        <f>IF(Second!E85="", "",Second!E85)</f>
        <v/>
      </c>
      <c r="F332" s="66" t="str">
        <f>IF(Second!F85="", "",Second!F85)</f>
        <v/>
      </c>
      <c r="G332" s="66" t="str">
        <f>IF(Second!G85="", "",Second!G85)</f>
        <v/>
      </c>
      <c r="H332" s="66" t="str">
        <f>IF(Second!H85="", "",Second!H85)</f>
        <v/>
      </c>
      <c r="I332" s="66" t="str">
        <f>IF(Second!I85="", "",Second!I85)</f>
        <v/>
      </c>
      <c r="J332" s="66" t="str">
        <f>IF(Second!J85="", "",Second!J85)</f>
        <v/>
      </c>
      <c r="K332" s="86" t="str">
        <f>IF(Second!K85="", "",Second!K85)</f>
        <v/>
      </c>
      <c r="L332" s="88"/>
      <c r="M332" s="67" t="str">
        <f t="shared" si="17"/>
        <v/>
      </c>
      <c r="N332" s="76" t="str">
        <f t="shared" si="18"/>
        <v/>
      </c>
      <c r="O332" s="33">
        <f t="shared" si="16"/>
        <v>0</v>
      </c>
    </row>
    <row r="333" spans="1:15" x14ac:dyDescent="0.25">
      <c r="A333" s="64" t="s">
        <v>204</v>
      </c>
      <c r="B333" s="79" t="str">
        <f>IF(Second!B86="", "",Second!B86)</f>
        <v/>
      </c>
      <c r="C333" s="66" t="str">
        <f>IF(Second!C86="", "",Second!C86)</f>
        <v/>
      </c>
      <c r="D333" s="66" t="str">
        <f>IF(Second!D86="", "",Second!D86)</f>
        <v/>
      </c>
      <c r="E333" s="66" t="str">
        <f>IF(Second!E86="", "",Second!E86)</f>
        <v/>
      </c>
      <c r="F333" s="66" t="str">
        <f>IF(Second!F86="", "",Second!F86)</f>
        <v/>
      </c>
      <c r="G333" s="66" t="str">
        <f>IF(Second!G86="", "",Second!G86)</f>
        <v/>
      </c>
      <c r="H333" s="66" t="str">
        <f>IF(Second!H86="", "",Second!H86)</f>
        <v/>
      </c>
      <c r="I333" s="66" t="str">
        <f>IF(Second!I86="", "",Second!I86)</f>
        <v/>
      </c>
      <c r="J333" s="66" t="str">
        <f>IF(Second!J86="", "",Second!J86)</f>
        <v/>
      </c>
      <c r="K333" s="86" t="str">
        <f>IF(Second!K86="", "",Second!K86)</f>
        <v/>
      </c>
      <c r="L333" s="88"/>
      <c r="M333" s="67" t="str">
        <f t="shared" si="17"/>
        <v/>
      </c>
      <c r="N333" s="76" t="str">
        <f t="shared" si="18"/>
        <v/>
      </c>
      <c r="O333" s="33">
        <f t="shared" si="16"/>
        <v>0</v>
      </c>
    </row>
    <row r="334" spans="1:15" x14ac:dyDescent="0.25">
      <c r="A334" s="64" t="s">
        <v>204</v>
      </c>
      <c r="B334" s="79" t="str">
        <f>IF(Second!B87="", "",Second!B87)</f>
        <v/>
      </c>
      <c r="C334" s="66" t="str">
        <f>IF(Second!C87="", "",Second!C87)</f>
        <v/>
      </c>
      <c r="D334" s="66" t="str">
        <f>IF(Second!D87="", "",Second!D87)</f>
        <v/>
      </c>
      <c r="E334" s="66" t="str">
        <f>IF(Second!E87="", "",Second!E87)</f>
        <v/>
      </c>
      <c r="F334" s="66" t="str">
        <f>IF(Second!F87="", "",Second!F87)</f>
        <v/>
      </c>
      <c r="G334" s="66" t="str">
        <f>IF(Second!G87="", "",Second!G87)</f>
        <v/>
      </c>
      <c r="H334" s="66" t="str">
        <f>IF(Second!H87="", "",Second!H87)</f>
        <v/>
      </c>
      <c r="I334" s="66" t="str">
        <f>IF(Second!I87="", "",Second!I87)</f>
        <v/>
      </c>
      <c r="J334" s="66" t="str">
        <f>IF(Second!J87="", "",Second!J87)</f>
        <v/>
      </c>
      <c r="K334" s="86" t="str">
        <f>IF(Second!K87="", "",Second!K87)</f>
        <v/>
      </c>
      <c r="L334" s="88"/>
      <c r="M334" s="67" t="str">
        <f t="shared" si="17"/>
        <v/>
      </c>
      <c r="N334" s="76" t="str">
        <f t="shared" si="18"/>
        <v/>
      </c>
      <c r="O334" s="33">
        <f t="shared" si="16"/>
        <v>0</v>
      </c>
    </row>
    <row r="335" spans="1:15" x14ac:dyDescent="0.25">
      <c r="A335" s="64" t="s">
        <v>204</v>
      </c>
      <c r="B335" s="79" t="str">
        <f>IF(Second!B88="", "",Second!B88)</f>
        <v/>
      </c>
      <c r="C335" s="66" t="str">
        <f>IF(Second!C88="", "",Second!C88)</f>
        <v/>
      </c>
      <c r="D335" s="66" t="str">
        <f>IF(Second!D88="", "",Second!D88)</f>
        <v/>
      </c>
      <c r="E335" s="66" t="str">
        <f>IF(Second!E88="", "",Second!E88)</f>
        <v/>
      </c>
      <c r="F335" s="66" t="str">
        <f>IF(Second!F88="", "",Second!F88)</f>
        <v/>
      </c>
      <c r="G335" s="66" t="str">
        <f>IF(Second!G88="", "",Second!G88)</f>
        <v/>
      </c>
      <c r="H335" s="66" t="str">
        <f>IF(Second!H88="", "",Second!H88)</f>
        <v/>
      </c>
      <c r="I335" s="66" t="str">
        <f>IF(Second!I88="", "",Second!I88)</f>
        <v/>
      </c>
      <c r="J335" s="66" t="str">
        <f>IF(Second!J88="", "",Second!J88)</f>
        <v/>
      </c>
      <c r="K335" s="86" t="str">
        <f>IF(Second!K88="", "",Second!K88)</f>
        <v/>
      </c>
      <c r="L335" s="88"/>
      <c r="M335" s="67" t="str">
        <f t="shared" si="17"/>
        <v/>
      </c>
      <c r="N335" s="76" t="str">
        <f t="shared" si="18"/>
        <v/>
      </c>
      <c r="O335" s="33">
        <f t="shared" si="16"/>
        <v>0</v>
      </c>
    </row>
    <row r="336" spans="1:15" x14ac:dyDescent="0.25">
      <c r="A336" s="64" t="s">
        <v>204</v>
      </c>
      <c r="B336" s="79" t="str">
        <f>IF(Second!B89="", "",Second!B89)</f>
        <v/>
      </c>
      <c r="C336" s="66" t="str">
        <f>IF(Second!C89="", "",Second!C89)</f>
        <v/>
      </c>
      <c r="D336" s="66" t="str">
        <f>IF(Second!D89="", "",Second!D89)</f>
        <v/>
      </c>
      <c r="E336" s="66" t="str">
        <f>IF(Second!E89="", "",Second!E89)</f>
        <v/>
      </c>
      <c r="F336" s="66" t="str">
        <f>IF(Second!F89="", "",Second!F89)</f>
        <v/>
      </c>
      <c r="G336" s="66" t="str">
        <f>IF(Second!G89="", "",Second!G89)</f>
        <v/>
      </c>
      <c r="H336" s="66" t="str">
        <f>IF(Second!H89="", "",Second!H89)</f>
        <v/>
      </c>
      <c r="I336" s="66" t="str">
        <f>IF(Second!I89="", "",Second!I89)</f>
        <v/>
      </c>
      <c r="J336" s="66" t="str">
        <f>IF(Second!J89="", "",Second!J89)</f>
        <v/>
      </c>
      <c r="K336" s="86" t="str">
        <f>IF(Second!K89="", "",Second!K89)</f>
        <v/>
      </c>
      <c r="L336" s="88"/>
      <c r="M336" s="67" t="str">
        <f t="shared" si="17"/>
        <v/>
      </c>
      <c r="N336" s="76" t="str">
        <f t="shared" si="18"/>
        <v/>
      </c>
      <c r="O336" s="33">
        <f t="shared" si="16"/>
        <v>0</v>
      </c>
    </row>
    <row r="337" spans="1:15" x14ac:dyDescent="0.25">
      <c r="A337" s="64" t="s">
        <v>204</v>
      </c>
      <c r="B337" s="79" t="str">
        <f>IF(Second!B90="", "",Second!B90)</f>
        <v/>
      </c>
      <c r="C337" s="66" t="str">
        <f>IF(Second!C90="", "",Second!C90)</f>
        <v/>
      </c>
      <c r="D337" s="66" t="str">
        <f>IF(Second!D90="", "",Second!D90)</f>
        <v/>
      </c>
      <c r="E337" s="66" t="str">
        <f>IF(Second!E90="", "",Second!E90)</f>
        <v/>
      </c>
      <c r="F337" s="66" t="str">
        <f>IF(Second!F90="", "",Second!F90)</f>
        <v/>
      </c>
      <c r="G337" s="66" t="str">
        <f>IF(Second!G90="", "",Second!G90)</f>
        <v/>
      </c>
      <c r="H337" s="66" t="str">
        <f>IF(Second!H90="", "",Second!H90)</f>
        <v/>
      </c>
      <c r="I337" s="66" t="str">
        <f>IF(Second!I90="", "",Second!I90)</f>
        <v/>
      </c>
      <c r="J337" s="66" t="str">
        <f>IF(Second!J90="", "",Second!J90)</f>
        <v/>
      </c>
      <c r="K337" s="86" t="str">
        <f>IF(Second!K90="", "",Second!K90)</f>
        <v/>
      </c>
      <c r="L337" s="88"/>
      <c r="M337" s="67" t="str">
        <f t="shared" si="17"/>
        <v/>
      </c>
      <c r="N337" s="76" t="str">
        <f t="shared" si="18"/>
        <v/>
      </c>
      <c r="O337" s="33">
        <f t="shared" si="16"/>
        <v>0</v>
      </c>
    </row>
    <row r="338" spans="1:15" x14ac:dyDescent="0.25">
      <c r="A338" s="64" t="s">
        <v>204</v>
      </c>
      <c r="B338" s="79" t="str">
        <f>IF(Second!B91="", "",Second!B91)</f>
        <v/>
      </c>
      <c r="C338" s="66" t="str">
        <f>IF(Second!C91="", "",Second!C91)</f>
        <v/>
      </c>
      <c r="D338" s="66" t="str">
        <f>IF(Second!D91="", "",Second!D91)</f>
        <v/>
      </c>
      <c r="E338" s="66" t="str">
        <f>IF(Second!E91="", "",Second!E91)</f>
        <v/>
      </c>
      <c r="F338" s="66" t="str">
        <f>IF(Second!F91="", "",Second!F91)</f>
        <v/>
      </c>
      <c r="G338" s="66" t="str">
        <f>IF(Second!G91="", "",Second!G91)</f>
        <v/>
      </c>
      <c r="H338" s="66" t="str">
        <f>IF(Second!H91="", "",Second!H91)</f>
        <v/>
      </c>
      <c r="I338" s="66" t="str">
        <f>IF(Second!I91="", "",Second!I91)</f>
        <v/>
      </c>
      <c r="J338" s="66" t="str">
        <f>IF(Second!J91="", "",Second!J91)</f>
        <v/>
      </c>
      <c r="K338" s="86" t="str">
        <f>IF(Second!K91="", "",Second!K91)</f>
        <v/>
      </c>
      <c r="L338" s="88"/>
      <c r="M338" s="67" t="str">
        <f t="shared" si="17"/>
        <v/>
      </c>
      <c r="N338" s="76" t="str">
        <f t="shared" si="18"/>
        <v/>
      </c>
      <c r="O338" s="33">
        <f t="shared" si="16"/>
        <v>0</v>
      </c>
    </row>
    <row r="339" spans="1:15" x14ac:dyDescent="0.25">
      <c r="A339" s="64" t="s">
        <v>204</v>
      </c>
      <c r="B339" s="79" t="str">
        <f>IF(Second!B92="", "",Second!B92)</f>
        <v/>
      </c>
      <c r="C339" s="66" t="str">
        <f>IF(Second!C92="", "",Second!C92)</f>
        <v/>
      </c>
      <c r="D339" s="66" t="str">
        <f>IF(Second!D92="", "",Second!D92)</f>
        <v/>
      </c>
      <c r="E339" s="66" t="str">
        <f>IF(Second!E92="", "",Second!E92)</f>
        <v/>
      </c>
      <c r="F339" s="66" t="str">
        <f>IF(Second!F92="", "",Second!F92)</f>
        <v/>
      </c>
      <c r="G339" s="66" t="str">
        <f>IF(Second!G92="", "",Second!G92)</f>
        <v/>
      </c>
      <c r="H339" s="66" t="str">
        <f>IF(Second!H92="", "",Second!H92)</f>
        <v/>
      </c>
      <c r="I339" s="66" t="str">
        <f>IF(Second!I92="", "",Second!I92)</f>
        <v/>
      </c>
      <c r="J339" s="66" t="str">
        <f>IF(Second!J92="", "",Second!J92)</f>
        <v/>
      </c>
      <c r="K339" s="86" t="str">
        <f>IF(Second!K92="", "",Second!K92)</f>
        <v/>
      </c>
      <c r="L339" s="88"/>
      <c r="M339" s="67" t="str">
        <f t="shared" si="17"/>
        <v/>
      </c>
      <c r="N339" s="76" t="str">
        <f t="shared" si="18"/>
        <v/>
      </c>
      <c r="O339" s="33">
        <f t="shared" si="16"/>
        <v>0</v>
      </c>
    </row>
    <row r="340" spans="1:15" x14ac:dyDescent="0.25">
      <c r="A340" s="64" t="s">
        <v>204</v>
      </c>
      <c r="B340" s="79" t="str">
        <f>IF(Second!B93="", "",Second!B93)</f>
        <v/>
      </c>
      <c r="C340" s="66" t="str">
        <f>IF(Second!C93="", "",Second!C93)</f>
        <v/>
      </c>
      <c r="D340" s="66" t="str">
        <f>IF(Second!D93="", "",Second!D93)</f>
        <v/>
      </c>
      <c r="E340" s="66" t="str">
        <f>IF(Second!E93="", "",Second!E93)</f>
        <v/>
      </c>
      <c r="F340" s="66" t="str">
        <f>IF(Second!F93="", "",Second!F93)</f>
        <v/>
      </c>
      <c r="G340" s="66" t="str">
        <f>IF(Second!G93="", "",Second!G93)</f>
        <v/>
      </c>
      <c r="H340" s="66" t="str">
        <f>IF(Second!H93="", "",Second!H93)</f>
        <v/>
      </c>
      <c r="I340" s="66" t="str">
        <f>IF(Second!I93="", "",Second!I93)</f>
        <v/>
      </c>
      <c r="J340" s="66" t="str">
        <f>IF(Second!J93="", "",Second!J93)</f>
        <v/>
      </c>
      <c r="K340" s="86" t="str">
        <f>IF(Second!K93="", "",Second!K93)</f>
        <v/>
      </c>
      <c r="L340" s="88"/>
      <c r="M340" s="67" t="str">
        <f t="shared" si="17"/>
        <v/>
      </c>
      <c r="N340" s="76" t="str">
        <f t="shared" si="18"/>
        <v/>
      </c>
      <c r="O340" s="33">
        <f t="shared" si="16"/>
        <v>0</v>
      </c>
    </row>
    <row r="341" spans="1:15" x14ac:dyDescent="0.25">
      <c r="A341" s="64" t="s">
        <v>204</v>
      </c>
      <c r="B341" s="79" t="str">
        <f>IF(Second!B94="", "",Second!B94)</f>
        <v/>
      </c>
      <c r="C341" s="66" t="str">
        <f>IF(Second!C94="", "",Second!C94)</f>
        <v/>
      </c>
      <c r="D341" s="66" t="str">
        <f>IF(Second!D94="", "",Second!D94)</f>
        <v/>
      </c>
      <c r="E341" s="66" t="str">
        <f>IF(Second!E94="", "",Second!E94)</f>
        <v/>
      </c>
      <c r="F341" s="66" t="str">
        <f>IF(Second!F94="", "",Second!F94)</f>
        <v/>
      </c>
      <c r="G341" s="66" t="str">
        <f>IF(Second!G94="", "",Second!G94)</f>
        <v/>
      </c>
      <c r="H341" s="66" t="str">
        <f>IF(Second!H94="", "",Second!H94)</f>
        <v/>
      </c>
      <c r="I341" s="66" t="str">
        <f>IF(Second!I94="", "",Second!I94)</f>
        <v/>
      </c>
      <c r="J341" s="66" t="str">
        <f>IF(Second!J94="", "",Second!J94)</f>
        <v/>
      </c>
      <c r="K341" s="86" t="str">
        <f>IF(Second!K94="", "",Second!K94)</f>
        <v/>
      </c>
      <c r="L341" s="88"/>
      <c r="M341" s="67" t="str">
        <f t="shared" si="17"/>
        <v/>
      </c>
      <c r="N341" s="76" t="str">
        <f t="shared" si="18"/>
        <v/>
      </c>
      <c r="O341" s="33">
        <f t="shared" si="16"/>
        <v>0</v>
      </c>
    </row>
    <row r="342" spans="1:15" x14ac:dyDescent="0.25">
      <c r="A342" s="64" t="s">
        <v>204</v>
      </c>
      <c r="B342" s="79" t="str">
        <f>IF(Second!B95="", "",Second!B95)</f>
        <v/>
      </c>
      <c r="C342" s="66" t="str">
        <f>IF(Second!C95="", "",Second!C95)</f>
        <v/>
      </c>
      <c r="D342" s="66" t="str">
        <f>IF(Second!D95="", "",Second!D95)</f>
        <v/>
      </c>
      <c r="E342" s="66" t="str">
        <f>IF(Second!E95="", "",Second!E95)</f>
        <v/>
      </c>
      <c r="F342" s="66" t="str">
        <f>IF(Second!F95="", "",Second!F95)</f>
        <v/>
      </c>
      <c r="G342" s="66" t="str">
        <f>IF(Second!G95="", "",Second!G95)</f>
        <v/>
      </c>
      <c r="H342" s="66" t="str">
        <f>IF(Second!H95="", "",Second!H95)</f>
        <v/>
      </c>
      <c r="I342" s="66" t="str">
        <f>IF(Second!I95="", "",Second!I95)</f>
        <v/>
      </c>
      <c r="J342" s="66" t="str">
        <f>IF(Second!J95="", "",Second!J95)</f>
        <v/>
      </c>
      <c r="K342" s="86" t="str">
        <f>IF(Second!K95="", "",Second!K95)</f>
        <v/>
      </c>
      <c r="L342" s="88"/>
      <c r="M342" s="67" t="str">
        <f t="shared" si="17"/>
        <v/>
      </c>
      <c r="N342" s="76" t="str">
        <f t="shared" si="18"/>
        <v/>
      </c>
      <c r="O342" s="33">
        <f t="shared" si="16"/>
        <v>0</v>
      </c>
    </row>
    <row r="343" spans="1:15" x14ac:dyDescent="0.25">
      <c r="A343" s="64" t="s">
        <v>204</v>
      </c>
      <c r="B343" s="79" t="str">
        <f>IF(Second!B96="", "",Second!B96)</f>
        <v/>
      </c>
      <c r="C343" s="66" t="str">
        <f>IF(Second!C96="", "",Second!C96)</f>
        <v/>
      </c>
      <c r="D343" s="66" t="str">
        <f>IF(Second!D96="", "",Second!D96)</f>
        <v/>
      </c>
      <c r="E343" s="66" t="str">
        <f>IF(Second!E96="", "",Second!E96)</f>
        <v/>
      </c>
      <c r="F343" s="66" t="str">
        <f>IF(Second!F96="", "",Second!F96)</f>
        <v/>
      </c>
      <c r="G343" s="66" t="str">
        <f>IF(Second!G96="", "",Second!G96)</f>
        <v/>
      </c>
      <c r="H343" s="66" t="str">
        <f>IF(Second!H96="", "",Second!H96)</f>
        <v/>
      </c>
      <c r="I343" s="66" t="str">
        <f>IF(Second!I96="", "",Second!I96)</f>
        <v/>
      </c>
      <c r="J343" s="66" t="str">
        <f>IF(Second!J96="", "",Second!J96)</f>
        <v/>
      </c>
      <c r="K343" s="86" t="str">
        <f>IF(Second!K96="", "",Second!K96)</f>
        <v/>
      </c>
      <c r="L343" s="88"/>
      <c r="M343" s="67" t="str">
        <f t="shared" si="17"/>
        <v/>
      </c>
      <c r="N343" s="76" t="str">
        <f t="shared" si="18"/>
        <v/>
      </c>
      <c r="O343" s="33">
        <f t="shared" si="16"/>
        <v>0</v>
      </c>
    </row>
    <row r="344" spans="1:15" x14ac:dyDescent="0.25">
      <c r="A344" s="64" t="s">
        <v>204</v>
      </c>
      <c r="B344" s="79" t="str">
        <f>IF(Second!B97="", "",Second!B97)</f>
        <v/>
      </c>
      <c r="C344" s="66" t="str">
        <f>IF(Second!C97="", "",Second!C97)</f>
        <v/>
      </c>
      <c r="D344" s="66" t="str">
        <f>IF(Second!D97="", "",Second!D97)</f>
        <v/>
      </c>
      <c r="E344" s="66" t="str">
        <f>IF(Second!E97="", "",Second!E97)</f>
        <v/>
      </c>
      <c r="F344" s="66" t="str">
        <f>IF(Second!F97="", "",Second!F97)</f>
        <v/>
      </c>
      <c r="G344" s="66" t="str">
        <f>IF(Second!G97="", "",Second!G97)</f>
        <v/>
      </c>
      <c r="H344" s="66" t="str">
        <f>IF(Second!H97="", "",Second!H97)</f>
        <v/>
      </c>
      <c r="I344" s="66" t="str">
        <f>IF(Second!I97="", "",Second!I97)</f>
        <v/>
      </c>
      <c r="J344" s="66" t="str">
        <f>IF(Second!J97="", "",Second!J97)</f>
        <v/>
      </c>
      <c r="K344" s="86" t="str">
        <f>IF(Second!K97="", "",Second!K97)</f>
        <v/>
      </c>
      <c r="L344" s="88"/>
      <c r="M344" s="67" t="str">
        <f t="shared" si="17"/>
        <v/>
      </c>
      <c r="N344" s="76" t="str">
        <f t="shared" si="18"/>
        <v/>
      </c>
      <c r="O344" s="33">
        <f t="shared" si="16"/>
        <v>0</v>
      </c>
    </row>
    <row r="345" spans="1:15" x14ac:dyDescent="0.25">
      <c r="A345" s="64" t="s">
        <v>204</v>
      </c>
      <c r="B345" s="79" t="str">
        <f>IF(Second!B98="", "",Second!B98)</f>
        <v/>
      </c>
      <c r="C345" s="66" t="str">
        <f>IF(Second!C98="", "",Second!C98)</f>
        <v/>
      </c>
      <c r="D345" s="66" t="str">
        <f>IF(Second!D98="", "",Second!D98)</f>
        <v/>
      </c>
      <c r="E345" s="66" t="str">
        <f>IF(Second!E98="", "",Second!E98)</f>
        <v/>
      </c>
      <c r="F345" s="66" t="str">
        <f>IF(Second!F98="", "",Second!F98)</f>
        <v/>
      </c>
      <c r="G345" s="66" t="str">
        <f>IF(Second!G98="", "",Second!G98)</f>
        <v/>
      </c>
      <c r="H345" s="66" t="str">
        <f>IF(Second!H98="", "",Second!H98)</f>
        <v/>
      </c>
      <c r="I345" s="66" t="str">
        <f>IF(Second!I98="", "",Second!I98)</f>
        <v/>
      </c>
      <c r="J345" s="66" t="str">
        <f>IF(Second!J98="", "",Second!J98)</f>
        <v/>
      </c>
      <c r="K345" s="86" t="str">
        <f>IF(Second!K98="", "",Second!K98)</f>
        <v/>
      </c>
      <c r="L345" s="88"/>
      <c r="M345" s="67" t="str">
        <f t="shared" si="17"/>
        <v/>
      </c>
      <c r="N345" s="76" t="str">
        <f t="shared" si="18"/>
        <v/>
      </c>
      <c r="O345" s="33">
        <f t="shared" si="16"/>
        <v>0</v>
      </c>
    </row>
    <row r="346" spans="1:15" x14ac:dyDescent="0.25">
      <c r="A346" s="64" t="s">
        <v>204</v>
      </c>
      <c r="B346" s="79" t="str">
        <f>IF(Second!B99="", "",Second!B99)</f>
        <v/>
      </c>
      <c r="C346" s="66" t="str">
        <f>IF(Second!C99="", "",Second!C99)</f>
        <v/>
      </c>
      <c r="D346" s="66" t="str">
        <f>IF(Second!D99="", "",Second!D99)</f>
        <v/>
      </c>
      <c r="E346" s="66" t="str">
        <f>IF(Second!E99="", "",Second!E99)</f>
        <v/>
      </c>
      <c r="F346" s="66" t="str">
        <f>IF(Second!F99="", "",Second!F99)</f>
        <v/>
      </c>
      <c r="G346" s="66" t="str">
        <f>IF(Second!G99="", "",Second!G99)</f>
        <v/>
      </c>
      <c r="H346" s="66" t="str">
        <f>IF(Second!H99="", "",Second!H99)</f>
        <v/>
      </c>
      <c r="I346" s="66" t="str">
        <f>IF(Second!I99="", "",Second!I99)</f>
        <v/>
      </c>
      <c r="J346" s="66" t="str">
        <f>IF(Second!J99="", "",Second!J99)</f>
        <v/>
      </c>
      <c r="K346" s="86" t="str">
        <f>IF(Second!K99="", "",Second!K99)</f>
        <v/>
      </c>
      <c r="L346" s="88"/>
      <c r="M346" s="67" t="str">
        <f t="shared" si="17"/>
        <v/>
      </c>
      <c r="N346" s="76" t="str">
        <f t="shared" si="18"/>
        <v/>
      </c>
      <c r="O346" s="33">
        <f t="shared" si="16"/>
        <v>0</v>
      </c>
    </row>
    <row r="347" spans="1:15" x14ac:dyDescent="0.25">
      <c r="A347" s="64" t="s">
        <v>204</v>
      </c>
      <c r="B347" s="79" t="str">
        <f>IF(Second!B100="", "",Second!B100)</f>
        <v/>
      </c>
      <c r="C347" s="66" t="str">
        <f>IF(Second!C100="", "",Second!C100)</f>
        <v/>
      </c>
      <c r="D347" s="66" t="str">
        <f>IF(Second!D100="", "",Second!D100)</f>
        <v/>
      </c>
      <c r="E347" s="66" t="str">
        <f>IF(Second!E100="", "",Second!E100)</f>
        <v/>
      </c>
      <c r="F347" s="66" t="str">
        <f>IF(Second!F100="", "",Second!F100)</f>
        <v/>
      </c>
      <c r="G347" s="66" t="str">
        <f>IF(Second!G100="", "",Second!G100)</f>
        <v/>
      </c>
      <c r="H347" s="66" t="str">
        <f>IF(Second!H100="", "",Second!H100)</f>
        <v/>
      </c>
      <c r="I347" s="66" t="str">
        <f>IF(Second!I100="", "",Second!I100)</f>
        <v/>
      </c>
      <c r="J347" s="66" t="str">
        <f>IF(Second!J100="", "",Second!J100)</f>
        <v/>
      </c>
      <c r="K347" s="86" t="str">
        <f>IF(Second!K100="", "",Second!K100)</f>
        <v/>
      </c>
      <c r="L347" s="88"/>
      <c r="M347" s="67" t="str">
        <f t="shared" si="17"/>
        <v/>
      </c>
      <c r="N347" s="76" t="str">
        <f t="shared" si="18"/>
        <v/>
      </c>
      <c r="O347" s="33">
        <f t="shared" si="16"/>
        <v>0</v>
      </c>
    </row>
    <row r="348" spans="1:15" x14ac:dyDescent="0.25">
      <c r="A348" s="64" t="s">
        <v>204</v>
      </c>
      <c r="B348" s="79" t="str">
        <f>IF(Second!B101="", "",Second!B101)</f>
        <v/>
      </c>
      <c r="C348" s="66" t="str">
        <f>IF(Second!C101="", "",Second!C101)</f>
        <v/>
      </c>
      <c r="D348" s="66" t="str">
        <f>IF(Second!D101="", "",Second!D101)</f>
        <v/>
      </c>
      <c r="E348" s="66" t="str">
        <f>IF(Second!E101="", "",Second!E101)</f>
        <v/>
      </c>
      <c r="F348" s="66" t="str">
        <f>IF(Second!F101="", "",Second!F101)</f>
        <v/>
      </c>
      <c r="G348" s="66" t="str">
        <f>IF(Second!G101="", "",Second!G101)</f>
        <v/>
      </c>
      <c r="H348" s="66" t="str">
        <f>IF(Second!H101="", "",Second!H101)</f>
        <v/>
      </c>
      <c r="I348" s="66" t="str">
        <f>IF(Second!I101="", "",Second!I101)</f>
        <v/>
      </c>
      <c r="J348" s="66" t="str">
        <f>IF(Second!J101="", "",Second!J101)</f>
        <v/>
      </c>
      <c r="K348" s="86" t="str">
        <f>IF(Second!K101="", "",Second!K101)</f>
        <v/>
      </c>
      <c r="L348" s="88"/>
      <c r="M348" s="67" t="str">
        <f t="shared" si="17"/>
        <v/>
      </c>
      <c r="N348" s="76" t="str">
        <f t="shared" si="18"/>
        <v/>
      </c>
      <c r="O348" s="33">
        <f t="shared" si="16"/>
        <v>0</v>
      </c>
    </row>
    <row r="349" spans="1:15" x14ac:dyDescent="0.25">
      <c r="A349" s="64" t="s">
        <v>204</v>
      </c>
      <c r="B349" s="79" t="str">
        <f>IF(Second!B102="", "",Second!B102)</f>
        <v/>
      </c>
      <c r="C349" s="66" t="str">
        <f>IF(Second!C102="", "",Second!C102)</f>
        <v/>
      </c>
      <c r="D349" s="66" t="str">
        <f>IF(Second!D102="", "",Second!D102)</f>
        <v/>
      </c>
      <c r="E349" s="66" t="str">
        <f>IF(Second!E102="", "",Second!E102)</f>
        <v/>
      </c>
      <c r="F349" s="66" t="str">
        <f>IF(Second!F102="", "",Second!F102)</f>
        <v/>
      </c>
      <c r="G349" s="66" t="str">
        <f>IF(Second!G102="", "",Second!G102)</f>
        <v/>
      </c>
      <c r="H349" s="66" t="str">
        <f>IF(Second!H102="", "",Second!H102)</f>
        <v/>
      </c>
      <c r="I349" s="66" t="str">
        <f>IF(Second!I102="", "",Second!I102)</f>
        <v/>
      </c>
      <c r="J349" s="66" t="str">
        <f>IF(Second!J102="", "",Second!J102)</f>
        <v/>
      </c>
      <c r="K349" s="86" t="str">
        <f>IF(Second!K102="", "",Second!K102)</f>
        <v/>
      </c>
      <c r="L349" s="88"/>
      <c r="M349" s="67" t="str">
        <f t="shared" si="17"/>
        <v/>
      </c>
      <c r="N349" s="76" t="str">
        <f t="shared" si="18"/>
        <v/>
      </c>
      <c r="O349" s="33">
        <f t="shared" si="16"/>
        <v>0</v>
      </c>
    </row>
    <row r="350" spans="1:15" x14ac:dyDescent="0.25">
      <c r="A350" s="64" t="s">
        <v>204</v>
      </c>
      <c r="B350" s="79" t="str">
        <f>IF(Second!B103="", "",Second!B103)</f>
        <v/>
      </c>
      <c r="C350" s="66" t="str">
        <f>IF(Second!C103="", "",Second!C103)</f>
        <v/>
      </c>
      <c r="D350" s="66" t="str">
        <f>IF(Second!D103="", "",Second!D103)</f>
        <v/>
      </c>
      <c r="E350" s="66" t="str">
        <f>IF(Second!E103="", "",Second!E103)</f>
        <v/>
      </c>
      <c r="F350" s="66" t="str">
        <f>IF(Second!F103="", "",Second!F103)</f>
        <v/>
      </c>
      <c r="G350" s="66" t="str">
        <f>IF(Second!G103="", "",Second!G103)</f>
        <v/>
      </c>
      <c r="H350" s="66" t="str">
        <f>IF(Second!H103="", "",Second!H103)</f>
        <v/>
      </c>
      <c r="I350" s="66" t="str">
        <f>IF(Second!I103="", "",Second!I103)</f>
        <v/>
      </c>
      <c r="J350" s="66" t="str">
        <f>IF(Second!J103="", "",Second!J103)</f>
        <v/>
      </c>
      <c r="K350" s="86" t="str">
        <f>IF(Second!K103="", "",Second!K103)</f>
        <v/>
      </c>
      <c r="L350" s="88"/>
      <c r="M350" s="67" t="str">
        <f t="shared" si="17"/>
        <v/>
      </c>
      <c r="N350" s="76" t="str">
        <f t="shared" si="18"/>
        <v/>
      </c>
      <c r="O350" s="33">
        <f t="shared" si="16"/>
        <v>0</v>
      </c>
    </row>
    <row r="351" spans="1:15" x14ac:dyDescent="0.25">
      <c r="A351" s="64" t="s">
        <v>204</v>
      </c>
      <c r="B351" s="79" t="str">
        <f>IF(Second!B104="", "",Second!B104)</f>
        <v/>
      </c>
      <c r="C351" s="66" t="str">
        <f>IF(Second!C104="", "",Second!C104)</f>
        <v/>
      </c>
      <c r="D351" s="66" t="str">
        <f>IF(Second!D104="", "",Second!D104)</f>
        <v/>
      </c>
      <c r="E351" s="66" t="str">
        <f>IF(Second!E104="", "",Second!E104)</f>
        <v/>
      </c>
      <c r="F351" s="66" t="str">
        <f>IF(Second!F104="", "",Second!F104)</f>
        <v/>
      </c>
      <c r="G351" s="66" t="str">
        <f>IF(Second!G104="", "",Second!G104)</f>
        <v/>
      </c>
      <c r="H351" s="66" t="str">
        <f>IF(Second!H104="", "",Second!H104)</f>
        <v/>
      </c>
      <c r="I351" s="66" t="str">
        <f>IF(Second!I104="", "",Second!I104)</f>
        <v/>
      </c>
      <c r="J351" s="66" t="str">
        <f>IF(Second!J104="", "",Second!J104)</f>
        <v/>
      </c>
      <c r="K351" s="86" t="str">
        <f>IF(Second!K104="", "",Second!K104)</f>
        <v/>
      </c>
      <c r="L351" s="88"/>
      <c r="M351" s="67" t="str">
        <f t="shared" si="17"/>
        <v/>
      </c>
      <c r="N351" s="76" t="str">
        <f t="shared" si="18"/>
        <v/>
      </c>
      <c r="O351" s="33">
        <f t="shared" si="16"/>
        <v>0</v>
      </c>
    </row>
    <row r="352" spans="1:15" x14ac:dyDescent="0.25">
      <c r="A352" s="64" t="s">
        <v>204</v>
      </c>
      <c r="B352" s="79" t="str">
        <f>IF(Second!B105="", "",Second!B105)</f>
        <v/>
      </c>
      <c r="C352" s="66" t="str">
        <f>IF(Second!C105="", "",Second!C105)</f>
        <v/>
      </c>
      <c r="D352" s="66" t="str">
        <f>IF(Second!D105="", "",Second!D105)</f>
        <v/>
      </c>
      <c r="E352" s="66" t="str">
        <f>IF(Second!E105="", "",Second!E105)</f>
        <v/>
      </c>
      <c r="F352" s="66" t="str">
        <f>IF(Second!F105="", "",Second!F105)</f>
        <v/>
      </c>
      <c r="G352" s="66" t="str">
        <f>IF(Second!G105="", "",Second!G105)</f>
        <v/>
      </c>
      <c r="H352" s="66" t="str">
        <f>IF(Second!H105="", "",Second!H105)</f>
        <v/>
      </c>
      <c r="I352" s="66" t="str">
        <f>IF(Second!I105="", "",Second!I105)</f>
        <v/>
      </c>
      <c r="J352" s="66" t="str">
        <f>IF(Second!J105="", "",Second!J105)</f>
        <v/>
      </c>
      <c r="K352" s="86" t="str">
        <f>IF(Second!K105="", "",Second!K105)</f>
        <v/>
      </c>
      <c r="L352" s="88"/>
      <c r="M352" s="67" t="str">
        <f t="shared" si="17"/>
        <v/>
      </c>
      <c r="N352" s="76" t="str">
        <f t="shared" si="18"/>
        <v/>
      </c>
      <c r="O352" s="33">
        <f t="shared" si="16"/>
        <v>0</v>
      </c>
    </row>
    <row r="353" spans="1:15" x14ac:dyDescent="0.25">
      <c r="A353" s="64" t="s">
        <v>204</v>
      </c>
      <c r="B353" s="79" t="str">
        <f>IF(Second!B106="", "",Second!B106)</f>
        <v/>
      </c>
      <c r="C353" s="66" t="str">
        <f>IF(Second!C106="", "",Second!C106)</f>
        <v/>
      </c>
      <c r="D353" s="66" t="str">
        <f>IF(Second!D106="", "",Second!D106)</f>
        <v/>
      </c>
      <c r="E353" s="66" t="str">
        <f>IF(Second!E106="", "",Second!E106)</f>
        <v/>
      </c>
      <c r="F353" s="66" t="str">
        <f>IF(Second!F106="", "",Second!F106)</f>
        <v/>
      </c>
      <c r="G353" s="66" t="str">
        <f>IF(Second!G106="", "",Second!G106)</f>
        <v/>
      </c>
      <c r="H353" s="66" t="str">
        <f>IF(Second!H106="", "",Second!H106)</f>
        <v/>
      </c>
      <c r="I353" s="66" t="str">
        <f>IF(Second!I106="", "",Second!I106)</f>
        <v/>
      </c>
      <c r="J353" s="66" t="str">
        <f>IF(Second!J106="", "",Second!J106)</f>
        <v/>
      </c>
      <c r="K353" s="86" t="str">
        <f>IF(Second!K106="", "",Second!K106)</f>
        <v/>
      </c>
      <c r="L353" s="88"/>
      <c r="M353" s="67" t="str">
        <f t="shared" si="17"/>
        <v/>
      </c>
      <c r="N353" s="76" t="str">
        <f t="shared" si="18"/>
        <v/>
      </c>
      <c r="O353" s="33">
        <f t="shared" si="16"/>
        <v>0</v>
      </c>
    </row>
    <row r="354" spans="1:15" x14ac:dyDescent="0.25">
      <c r="A354" s="64" t="s">
        <v>204</v>
      </c>
      <c r="B354" s="79" t="str">
        <f>IF(Second!B107="", "",Second!B107)</f>
        <v/>
      </c>
      <c r="C354" s="66" t="str">
        <f>IF(Second!C107="", "",Second!C107)</f>
        <v/>
      </c>
      <c r="D354" s="66" t="str">
        <f>IF(Second!D107="", "",Second!D107)</f>
        <v/>
      </c>
      <c r="E354" s="66" t="str">
        <f>IF(Second!E107="", "",Second!E107)</f>
        <v/>
      </c>
      <c r="F354" s="66" t="str">
        <f>IF(Second!F107="", "",Second!F107)</f>
        <v/>
      </c>
      <c r="G354" s="66" t="str">
        <f>IF(Second!G107="", "",Second!G107)</f>
        <v/>
      </c>
      <c r="H354" s="66" t="str">
        <f>IF(Second!H107="", "",Second!H107)</f>
        <v/>
      </c>
      <c r="I354" s="66" t="str">
        <f>IF(Second!I107="", "",Second!I107)</f>
        <v/>
      </c>
      <c r="J354" s="66" t="str">
        <f>IF(Second!J107="", "",Second!J107)</f>
        <v/>
      </c>
      <c r="K354" s="86" t="str">
        <f>IF(Second!K107="", "",Second!K107)</f>
        <v/>
      </c>
      <c r="L354" s="88"/>
      <c r="M354" s="67" t="str">
        <f t="shared" si="17"/>
        <v/>
      </c>
      <c r="N354" s="76" t="str">
        <f t="shared" si="18"/>
        <v/>
      </c>
      <c r="O354" s="33">
        <f t="shared" si="16"/>
        <v>0</v>
      </c>
    </row>
    <row r="355" spans="1:15" x14ac:dyDescent="0.25">
      <c r="A355" s="64" t="s">
        <v>204</v>
      </c>
      <c r="B355" s="79" t="str">
        <f>IF(Second!B108="", "",Second!B108)</f>
        <v/>
      </c>
      <c r="C355" s="66" t="str">
        <f>IF(Second!C108="", "",Second!C108)</f>
        <v/>
      </c>
      <c r="D355" s="66" t="str">
        <f>IF(Second!D108="", "",Second!D108)</f>
        <v/>
      </c>
      <c r="E355" s="66" t="str">
        <f>IF(Second!E108="", "",Second!E108)</f>
        <v/>
      </c>
      <c r="F355" s="66" t="str">
        <f>IF(Second!F108="", "",Second!F108)</f>
        <v/>
      </c>
      <c r="G355" s="66" t="str">
        <f>IF(Second!G108="", "",Second!G108)</f>
        <v/>
      </c>
      <c r="H355" s="66" t="str">
        <f>IF(Second!H108="", "",Second!H108)</f>
        <v/>
      </c>
      <c r="I355" s="66" t="str">
        <f>IF(Second!I108="", "",Second!I108)</f>
        <v/>
      </c>
      <c r="J355" s="66" t="str">
        <f>IF(Second!J108="", "",Second!J108)</f>
        <v/>
      </c>
      <c r="K355" s="86" t="str">
        <f>IF(Second!K108="", "",Second!K108)</f>
        <v/>
      </c>
      <c r="L355" s="88"/>
      <c r="M355" s="67" t="str">
        <f t="shared" si="17"/>
        <v/>
      </c>
      <c r="N355" s="76" t="str">
        <f t="shared" si="18"/>
        <v/>
      </c>
      <c r="O355" s="33">
        <f t="shared" si="16"/>
        <v>0</v>
      </c>
    </row>
    <row r="356" spans="1:15" x14ac:dyDescent="0.25">
      <c r="A356" s="64" t="s">
        <v>204</v>
      </c>
      <c r="B356" s="79" t="str">
        <f>IF(Second!B109="", "",Second!B109)</f>
        <v/>
      </c>
      <c r="C356" s="66" t="str">
        <f>IF(Second!C109="", "",Second!C109)</f>
        <v/>
      </c>
      <c r="D356" s="66" t="str">
        <f>IF(Second!D109="", "",Second!D109)</f>
        <v/>
      </c>
      <c r="E356" s="66" t="str">
        <f>IF(Second!E109="", "",Second!E109)</f>
        <v/>
      </c>
      <c r="F356" s="66" t="str">
        <f>IF(Second!F109="", "",Second!F109)</f>
        <v/>
      </c>
      <c r="G356" s="66" t="str">
        <f>IF(Second!G109="", "",Second!G109)</f>
        <v/>
      </c>
      <c r="H356" s="66" t="str">
        <f>IF(Second!H109="", "",Second!H109)</f>
        <v/>
      </c>
      <c r="I356" s="66" t="str">
        <f>IF(Second!I109="", "",Second!I109)</f>
        <v/>
      </c>
      <c r="J356" s="66" t="str">
        <f>IF(Second!J109="", "",Second!J109)</f>
        <v/>
      </c>
      <c r="K356" s="86" t="str">
        <f>IF(Second!K109="", "",Second!K109)</f>
        <v/>
      </c>
      <c r="L356" s="88"/>
      <c r="M356" s="67" t="str">
        <f t="shared" si="17"/>
        <v/>
      </c>
      <c r="N356" s="76" t="str">
        <f t="shared" si="18"/>
        <v/>
      </c>
      <c r="O356" s="33">
        <f t="shared" si="16"/>
        <v>0</v>
      </c>
    </row>
    <row r="357" spans="1:15" x14ac:dyDescent="0.25">
      <c r="A357" s="64" t="s">
        <v>204</v>
      </c>
      <c r="B357" s="79" t="str">
        <f>IF(Second!B110="", "",Second!B110)</f>
        <v/>
      </c>
      <c r="C357" s="66" t="str">
        <f>IF(Second!C110="", "",Second!C110)</f>
        <v/>
      </c>
      <c r="D357" s="66" t="str">
        <f>IF(Second!D110="", "",Second!D110)</f>
        <v/>
      </c>
      <c r="E357" s="66" t="str">
        <f>IF(Second!E110="", "",Second!E110)</f>
        <v/>
      </c>
      <c r="F357" s="66" t="str">
        <f>IF(Second!F110="", "",Second!F110)</f>
        <v/>
      </c>
      <c r="G357" s="66" t="str">
        <f>IF(Second!G110="", "",Second!G110)</f>
        <v/>
      </c>
      <c r="H357" s="66" t="str">
        <f>IF(Second!H110="", "",Second!H110)</f>
        <v/>
      </c>
      <c r="I357" s="66" t="str">
        <f>IF(Second!I110="", "",Second!I110)</f>
        <v/>
      </c>
      <c r="J357" s="66" t="str">
        <f>IF(Second!J110="", "",Second!J110)</f>
        <v/>
      </c>
      <c r="K357" s="86" t="str">
        <f>IF(Second!K110="", "",Second!K110)</f>
        <v/>
      </c>
      <c r="L357" s="88"/>
      <c r="M357" s="67" t="str">
        <f t="shared" si="17"/>
        <v/>
      </c>
      <c r="N357" s="76" t="str">
        <f t="shared" si="18"/>
        <v/>
      </c>
      <c r="O357" s="33">
        <f t="shared" si="16"/>
        <v>0</v>
      </c>
    </row>
    <row r="358" spans="1:15" x14ac:dyDescent="0.25">
      <c r="A358" s="64" t="s">
        <v>204</v>
      </c>
      <c r="B358" s="79" t="str">
        <f>IF(Second!B111="", "",Second!B111)</f>
        <v/>
      </c>
      <c r="C358" s="66" t="str">
        <f>IF(Second!C111="", "",Second!C111)</f>
        <v/>
      </c>
      <c r="D358" s="66" t="str">
        <f>IF(Second!D111="", "",Second!D111)</f>
        <v/>
      </c>
      <c r="E358" s="66" t="str">
        <f>IF(Second!E111="", "",Second!E111)</f>
        <v/>
      </c>
      <c r="F358" s="66" t="str">
        <f>IF(Second!F111="", "",Second!F111)</f>
        <v/>
      </c>
      <c r="G358" s="66" t="str">
        <f>IF(Second!G111="", "",Second!G111)</f>
        <v/>
      </c>
      <c r="H358" s="66" t="str">
        <f>IF(Second!H111="", "",Second!H111)</f>
        <v/>
      </c>
      <c r="I358" s="66" t="str">
        <f>IF(Second!I111="", "",Second!I111)</f>
        <v/>
      </c>
      <c r="J358" s="66" t="str">
        <f>IF(Second!J111="", "",Second!J111)</f>
        <v/>
      </c>
      <c r="K358" s="86" t="str">
        <f>IF(Second!K111="", "",Second!K111)</f>
        <v/>
      </c>
      <c r="L358" s="88"/>
      <c r="M358" s="67" t="str">
        <f t="shared" si="17"/>
        <v/>
      </c>
      <c r="N358" s="76" t="str">
        <f t="shared" si="18"/>
        <v/>
      </c>
      <c r="O358" s="33">
        <f t="shared" si="16"/>
        <v>0</v>
      </c>
    </row>
    <row r="359" spans="1:15" x14ac:dyDescent="0.25">
      <c r="A359" s="64" t="s">
        <v>204</v>
      </c>
      <c r="B359" s="79" t="str">
        <f>IF(Second!B112="", "",Second!B112)</f>
        <v/>
      </c>
      <c r="C359" s="66" t="str">
        <f>IF(Second!C112="", "",Second!C112)</f>
        <v/>
      </c>
      <c r="D359" s="66" t="str">
        <f>IF(Second!D112="", "",Second!D112)</f>
        <v/>
      </c>
      <c r="E359" s="66" t="str">
        <f>IF(Second!E112="", "",Second!E112)</f>
        <v/>
      </c>
      <c r="F359" s="66" t="str">
        <f>IF(Second!F112="", "",Second!F112)</f>
        <v/>
      </c>
      <c r="G359" s="66" t="str">
        <f>IF(Second!G112="", "",Second!G112)</f>
        <v/>
      </c>
      <c r="H359" s="66" t="str">
        <f>IF(Second!H112="", "",Second!H112)</f>
        <v/>
      </c>
      <c r="I359" s="66" t="str">
        <f>IF(Second!I112="", "",Second!I112)</f>
        <v/>
      </c>
      <c r="J359" s="66" t="str">
        <f>IF(Second!J112="", "",Second!J112)</f>
        <v/>
      </c>
      <c r="K359" s="86" t="str">
        <f>IF(Second!K112="", "",Second!K112)</f>
        <v/>
      </c>
      <c r="L359" s="88"/>
      <c r="M359" s="67" t="str">
        <f t="shared" si="17"/>
        <v/>
      </c>
      <c r="N359" s="76" t="str">
        <f t="shared" si="18"/>
        <v/>
      </c>
      <c r="O359" s="33">
        <f t="shared" si="16"/>
        <v>0</v>
      </c>
    </row>
    <row r="360" spans="1:15" x14ac:dyDescent="0.25">
      <c r="A360" s="64" t="s">
        <v>204</v>
      </c>
      <c r="B360" s="79" t="str">
        <f>IF(Second!B113="", "",Second!B113)</f>
        <v/>
      </c>
      <c r="C360" s="66" t="str">
        <f>IF(Second!C113="", "",Second!C113)</f>
        <v/>
      </c>
      <c r="D360" s="66" t="str">
        <f>IF(Second!D113="", "",Second!D113)</f>
        <v/>
      </c>
      <c r="E360" s="66" t="str">
        <f>IF(Second!E113="", "",Second!E113)</f>
        <v/>
      </c>
      <c r="F360" s="66" t="str">
        <f>IF(Second!F113="", "",Second!F113)</f>
        <v/>
      </c>
      <c r="G360" s="66" t="str">
        <f>IF(Second!G113="", "",Second!G113)</f>
        <v/>
      </c>
      <c r="H360" s="66" t="str">
        <f>IF(Second!H113="", "",Second!H113)</f>
        <v/>
      </c>
      <c r="I360" s="66" t="str">
        <f>IF(Second!I113="", "",Second!I113)</f>
        <v/>
      </c>
      <c r="J360" s="66" t="str">
        <f>IF(Second!J113="", "",Second!J113)</f>
        <v/>
      </c>
      <c r="K360" s="86" t="str">
        <f>IF(Second!K113="", "",Second!K113)</f>
        <v/>
      </c>
      <c r="L360" s="88"/>
      <c r="M360" s="67" t="str">
        <f t="shared" si="17"/>
        <v/>
      </c>
      <c r="N360" s="76" t="str">
        <f t="shared" si="18"/>
        <v/>
      </c>
      <c r="O360" s="33">
        <f t="shared" si="16"/>
        <v>0</v>
      </c>
    </row>
    <row r="361" spans="1:15" x14ac:dyDescent="0.25">
      <c r="A361" s="64" t="s">
        <v>204</v>
      </c>
      <c r="B361" s="79" t="str">
        <f>IF(Second!B114="", "",Second!B114)</f>
        <v/>
      </c>
      <c r="C361" s="66" t="str">
        <f>IF(Second!C114="", "",Second!C114)</f>
        <v/>
      </c>
      <c r="D361" s="66" t="str">
        <f>IF(Second!D114="", "",Second!D114)</f>
        <v/>
      </c>
      <c r="E361" s="66" t="str">
        <f>IF(Second!E114="", "",Second!E114)</f>
        <v/>
      </c>
      <c r="F361" s="66" t="str">
        <f>IF(Second!F114="", "",Second!F114)</f>
        <v/>
      </c>
      <c r="G361" s="66" t="str">
        <f>IF(Second!G114="", "",Second!G114)</f>
        <v/>
      </c>
      <c r="H361" s="66" t="str">
        <f>IF(Second!H114="", "",Second!H114)</f>
        <v/>
      </c>
      <c r="I361" s="66" t="str">
        <f>IF(Second!I114="", "",Second!I114)</f>
        <v/>
      </c>
      <c r="J361" s="66" t="str">
        <f>IF(Second!J114="", "",Second!J114)</f>
        <v/>
      </c>
      <c r="K361" s="86" t="str">
        <f>IF(Second!K114="", "",Second!K114)</f>
        <v/>
      </c>
      <c r="L361" s="88"/>
      <c r="M361" s="67" t="str">
        <f t="shared" si="17"/>
        <v/>
      </c>
      <c r="N361" s="76" t="str">
        <f t="shared" si="18"/>
        <v/>
      </c>
      <c r="O361" s="33">
        <f t="shared" si="16"/>
        <v>0</v>
      </c>
    </row>
    <row r="362" spans="1:15" x14ac:dyDescent="0.25">
      <c r="A362" s="64" t="s">
        <v>204</v>
      </c>
      <c r="B362" s="79" t="str">
        <f>IF(Second!B115="", "",Second!B115)</f>
        <v/>
      </c>
      <c r="C362" s="66" t="str">
        <f>IF(Second!C115="", "",Second!C115)</f>
        <v/>
      </c>
      <c r="D362" s="66" t="str">
        <f>IF(Second!D115="", "",Second!D115)</f>
        <v/>
      </c>
      <c r="E362" s="66" t="str">
        <f>IF(Second!E115="", "",Second!E115)</f>
        <v/>
      </c>
      <c r="F362" s="66" t="str">
        <f>IF(Second!F115="", "",Second!F115)</f>
        <v/>
      </c>
      <c r="G362" s="66" t="str">
        <f>IF(Second!G115="", "",Second!G115)</f>
        <v/>
      </c>
      <c r="H362" s="66" t="str">
        <f>IF(Second!H115="", "",Second!H115)</f>
        <v/>
      </c>
      <c r="I362" s="66" t="str">
        <f>IF(Second!I115="", "",Second!I115)</f>
        <v/>
      </c>
      <c r="J362" s="66" t="str">
        <f>IF(Second!J115="", "",Second!J115)</f>
        <v/>
      </c>
      <c r="K362" s="86" t="str">
        <f>IF(Second!K115="", "",Second!K115)</f>
        <v/>
      </c>
      <c r="L362" s="88"/>
      <c r="M362" s="67" t="str">
        <f t="shared" si="17"/>
        <v/>
      </c>
      <c r="N362" s="76" t="str">
        <f t="shared" si="18"/>
        <v/>
      </c>
      <c r="O362" s="33">
        <f t="shared" si="16"/>
        <v>0</v>
      </c>
    </row>
    <row r="363" spans="1:15" x14ac:dyDescent="0.25">
      <c r="A363" s="64" t="s">
        <v>204</v>
      </c>
      <c r="B363" s="79" t="str">
        <f>IF(Second!B116="", "",Second!B116)</f>
        <v/>
      </c>
      <c r="C363" s="66" t="str">
        <f>IF(Second!C116="", "",Second!C116)</f>
        <v/>
      </c>
      <c r="D363" s="66" t="str">
        <f>IF(Second!D116="", "",Second!D116)</f>
        <v/>
      </c>
      <c r="E363" s="66" t="str">
        <f>IF(Second!E116="", "",Second!E116)</f>
        <v/>
      </c>
      <c r="F363" s="66" t="str">
        <f>IF(Second!F116="", "",Second!F116)</f>
        <v/>
      </c>
      <c r="G363" s="66" t="str">
        <f>IF(Second!G116="", "",Second!G116)</f>
        <v/>
      </c>
      <c r="H363" s="66" t="str">
        <f>IF(Second!H116="", "",Second!H116)</f>
        <v/>
      </c>
      <c r="I363" s="66" t="str">
        <f>IF(Second!I116="", "",Second!I116)</f>
        <v/>
      </c>
      <c r="J363" s="66" t="str">
        <f>IF(Second!J116="", "",Second!J116)</f>
        <v/>
      </c>
      <c r="K363" s="86" t="str">
        <f>IF(Second!K116="", "",Second!K116)</f>
        <v/>
      </c>
      <c r="L363" s="88"/>
      <c r="M363" s="67" t="str">
        <f t="shared" si="17"/>
        <v/>
      </c>
      <c r="N363" s="76" t="str">
        <f t="shared" si="18"/>
        <v/>
      </c>
      <c r="O363" s="33">
        <f t="shared" si="16"/>
        <v>0</v>
      </c>
    </row>
    <row r="364" spans="1:15" x14ac:dyDescent="0.25">
      <c r="A364" s="64" t="s">
        <v>204</v>
      </c>
      <c r="B364" s="79" t="str">
        <f>IF(Second!B117="", "",Second!B117)</f>
        <v/>
      </c>
      <c r="C364" s="66" t="str">
        <f>IF(Second!C117="", "",Second!C117)</f>
        <v/>
      </c>
      <c r="D364" s="66" t="str">
        <f>IF(Second!D117="", "",Second!D117)</f>
        <v/>
      </c>
      <c r="E364" s="66" t="str">
        <f>IF(Second!E117="", "",Second!E117)</f>
        <v/>
      </c>
      <c r="F364" s="66" t="str">
        <f>IF(Second!F117="", "",Second!F117)</f>
        <v/>
      </c>
      <c r="G364" s="66" t="str">
        <f>IF(Second!G117="", "",Second!G117)</f>
        <v/>
      </c>
      <c r="H364" s="66" t="str">
        <f>IF(Second!H117="", "",Second!H117)</f>
        <v/>
      </c>
      <c r="I364" s="66" t="str">
        <f>IF(Second!I117="", "",Second!I117)</f>
        <v/>
      </c>
      <c r="J364" s="66" t="str">
        <f>IF(Second!J117="", "",Second!J117)</f>
        <v/>
      </c>
      <c r="K364" s="86" t="str">
        <f>IF(Second!K117="", "",Second!K117)</f>
        <v/>
      </c>
      <c r="L364" s="88"/>
      <c r="M364" s="67" t="str">
        <f t="shared" si="17"/>
        <v/>
      </c>
      <c r="N364" s="76" t="str">
        <f t="shared" si="18"/>
        <v/>
      </c>
      <c r="O364" s="33">
        <f t="shared" si="16"/>
        <v>0</v>
      </c>
    </row>
    <row r="365" spans="1:15" x14ac:dyDescent="0.25">
      <c r="A365" s="64" t="s">
        <v>204</v>
      </c>
      <c r="B365" s="79" t="str">
        <f>IF(Second!B118="", "",Second!B118)</f>
        <v/>
      </c>
      <c r="C365" s="66" t="str">
        <f>IF(Second!C118="", "",Second!C118)</f>
        <v/>
      </c>
      <c r="D365" s="66" t="str">
        <f>IF(Second!D118="", "",Second!D118)</f>
        <v/>
      </c>
      <c r="E365" s="66" t="str">
        <f>IF(Second!E118="", "",Second!E118)</f>
        <v/>
      </c>
      <c r="F365" s="66" t="str">
        <f>IF(Second!F118="", "",Second!F118)</f>
        <v/>
      </c>
      <c r="G365" s="66" t="str">
        <f>IF(Second!G118="", "",Second!G118)</f>
        <v/>
      </c>
      <c r="H365" s="66" t="str">
        <f>IF(Second!H118="", "",Second!H118)</f>
        <v/>
      </c>
      <c r="I365" s="66" t="str">
        <f>IF(Second!I118="", "",Second!I118)</f>
        <v/>
      </c>
      <c r="J365" s="66" t="str">
        <f>IF(Second!J118="", "",Second!J118)</f>
        <v/>
      </c>
      <c r="K365" s="86" t="str">
        <f>IF(Second!K118="", "",Second!K118)</f>
        <v/>
      </c>
      <c r="L365" s="88"/>
      <c r="M365" s="67" t="str">
        <f t="shared" si="17"/>
        <v/>
      </c>
      <c r="N365" s="76" t="str">
        <f t="shared" si="18"/>
        <v/>
      </c>
      <c r="O365" s="33">
        <f t="shared" si="16"/>
        <v>0</v>
      </c>
    </row>
    <row r="366" spans="1:15" x14ac:dyDescent="0.25">
      <c r="A366" s="64" t="s">
        <v>204</v>
      </c>
      <c r="B366" s="79" t="str">
        <f>IF(Second!B119="", "",Second!B119)</f>
        <v/>
      </c>
      <c r="C366" s="66" t="str">
        <f>IF(Second!C119="", "",Second!C119)</f>
        <v/>
      </c>
      <c r="D366" s="66" t="str">
        <f>IF(Second!D119="", "",Second!D119)</f>
        <v/>
      </c>
      <c r="E366" s="66" t="str">
        <f>IF(Second!E119="", "",Second!E119)</f>
        <v/>
      </c>
      <c r="F366" s="66" t="str">
        <f>IF(Second!F119="", "",Second!F119)</f>
        <v/>
      </c>
      <c r="G366" s="66" t="str">
        <f>IF(Second!G119="", "",Second!G119)</f>
        <v/>
      </c>
      <c r="H366" s="66" t="str">
        <f>IF(Second!H119="", "",Second!H119)</f>
        <v/>
      </c>
      <c r="I366" s="66" t="str">
        <f>IF(Second!I119="", "",Second!I119)</f>
        <v/>
      </c>
      <c r="J366" s="66" t="str">
        <f>IF(Second!J119="", "",Second!J119)</f>
        <v/>
      </c>
      <c r="K366" s="86" t="str">
        <f>IF(Second!K119="", "",Second!K119)</f>
        <v/>
      </c>
      <c r="L366" s="88"/>
      <c r="M366" s="67" t="str">
        <f t="shared" si="17"/>
        <v/>
      </c>
      <c r="N366" s="76" t="str">
        <f t="shared" si="18"/>
        <v/>
      </c>
      <c r="O366" s="33">
        <f t="shared" si="16"/>
        <v>0</v>
      </c>
    </row>
    <row r="367" spans="1:15" x14ac:dyDescent="0.25">
      <c r="A367" s="64" t="s">
        <v>204</v>
      </c>
      <c r="B367" s="79" t="str">
        <f>IF(Second!B120="", "",Second!B120)</f>
        <v/>
      </c>
      <c r="C367" s="66" t="str">
        <f>IF(Second!C120="", "",Second!C120)</f>
        <v/>
      </c>
      <c r="D367" s="66" t="str">
        <f>IF(Second!D120="", "",Second!D120)</f>
        <v/>
      </c>
      <c r="E367" s="66" t="str">
        <f>IF(Second!E120="", "",Second!E120)</f>
        <v/>
      </c>
      <c r="F367" s="66" t="str">
        <f>IF(Second!F120="", "",Second!F120)</f>
        <v/>
      </c>
      <c r="G367" s="66" t="str">
        <f>IF(Second!G120="", "",Second!G120)</f>
        <v/>
      </c>
      <c r="H367" s="66" t="str">
        <f>IF(Second!H120="", "",Second!H120)</f>
        <v/>
      </c>
      <c r="I367" s="66" t="str">
        <f>IF(Second!I120="", "",Second!I120)</f>
        <v/>
      </c>
      <c r="J367" s="66" t="str">
        <f>IF(Second!J120="", "",Second!J120)</f>
        <v/>
      </c>
      <c r="K367" s="86" t="str">
        <f>IF(Second!K120="", "",Second!K120)</f>
        <v/>
      </c>
      <c r="L367" s="88"/>
      <c r="M367" s="67" t="str">
        <f t="shared" si="17"/>
        <v/>
      </c>
      <c r="N367" s="76" t="str">
        <f t="shared" si="18"/>
        <v/>
      </c>
      <c r="O367" s="33">
        <f t="shared" si="16"/>
        <v>0</v>
      </c>
    </row>
    <row r="368" spans="1:15" x14ac:dyDescent="0.25">
      <c r="A368" s="64" t="s">
        <v>204</v>
      </c>
      <c r="B368" s="79" t="str">
        <f>IF(Second!B121="", "",Second!B121)</f>
        <v/>
      </c>
      <c r="C368" s="66" t="str">
        <f>IF(Second!C121="", "",Second!C121)</f>
        <v/>
      </c>
      <c r="D368" s="66" t="str">
        <f>IF(Second!D121="", "",Second!D121)</f>
        <v/>
      </c>
      <c r="E368" s="66" t="str">
        <f>IF(Second!E121="", "",Second!E121)</f>
        <v/>
      </c>
      <c r="F368" s="66" t="str">
        <f>IF(Second!F121="", "",Second!F121)</f>
        <v/>
      </c>
      <c r="G368" s="66" t="str">
        <f>IF(Second!G121="", "",Second!G121)</f>
        <v/>
      </c>
      <c r="H368" s="66" t="str">
        <f>IF(Second!H121="", "",Second!H121)</f>
        <v/>
      </c>
      <c r="I368" s="66" t="str">
        <f>IF(Second!I121="", "",Second!I121)</f>
        <v/>
      </c>
      <c r="J368" s="66" t="str">
        <f>IF(Second!J121="", "",Second!J121)</f>
        <v/>
      </c>
      <c r="K368" s="86" t="str">
        <f>IF(Second!K121="", "",Second!K121)</f>
        <v/>
      </c>
      <c r="L368" s="88"/>
      <c r="M368" s="67" t="str">
        <f t="shared" si="17"/>
        <v/>
      </c>
      <c r="N368" s="76" t="str">
        <f t="shared" si="18"/>
        <v/>
      </c>
      <c r="O368" s="33">
        <f t="shared" si="16"/>
        <v>0</v>
      </c>
    </row>
    <row r="369" spans="1:15" x14ac:dyDescent="0.25">
      <c r="A369" s="64" t="s">
        <v>204</v>
      </c>
      <c r="B369" s="79" t="str">
        <f>IF(Second!B122="", "",Second!B122)</f>
        <v/>
      </c>
      <c r="C369" s="66" t="str">
        <f>IF(Second!C122="", "",Second!C122)</f>
        <v/>
      </c>
      <c r="D369" s="66" t="str">
        <f>IF(Second!D122="", "",Second!D122)</f>
        <v/>
      </c>
      <c r="E369" s="66" t="str">
        <f>IF(Second!E122="", "",Second!E122)</f>
        <v/>
      </c>
      <c r="F369" s="66" t="str">
        <f>IF(Second!F122="", "",Second!F122)</f>
        <v/>
      </c>
      <c r="G369" s="66" t="str">
        <f>IF(Second!G122="", "",Second!G122)</f>
        <v/>
      </c>
      <c r="H369" s="66" t="str">
        <f>IF(Second!H122="", "",Second!H122)</f>
        <v/>
      </c>
      <c r="I369" s="66" t="str">
        <f>IF(Second!I122="", "",Second!I122)</f>
        <v/>
      </c>
      <c r="J369" s="66" t="str">
        <f>IF(Second!J122="", "",Second!J122)</f>
        <v/>
      </c>
      <c r="K369" s="86" t="str">
        <f>IF(Second!K122="", "",Second!K122)</f>
        <v/>
      </c>
      <c r="L369" s="88"/>
      <c r="M369" s="67" t="str">
        <f t="shared" si="17"/>
        <v/>
      </c>
      <c r="N369" s="76" t="str">
        <f t="shared" si="18"/>
        <v/>
      </c>
      <c r="O369" s="33">
        <f t="shared" si="16"/>
        <v>0</v>
      </c>
    </row>
    <row r="370" spans="1:15" x14ac:dyDescent="0.25">
      <c r="A370" s="64" t="s">
        <v>204</v>
      </c>
      <c r="B370" s="79" t="str">
        <f>IF(Second!B123="", "",Second!B123)</f>
        <v/>
      </c>
      <c r="C370" s="66" t="str">
        <f>IF(Second!C123="", "",Second!C123)</f>
        <v/>
      </c>
      <c r="D370" s="66" t="str">
        <f>IF(Second!D123="", "",Second!D123)</f>
        <v/>
      </c>
      <c r="E370" s="66" t="str">
        <f>IF(Second!E123="", "",Second!E123)</f>
        <v/>
      </c>
      <c r="F370" s="66" t="str">
        <f>IF(Second!F123="", "",Second!F123)</f>
        <v/>
      </c>
      <c r="G370" s="66" t="str">
        <f>IF(Second!G123="", "",Second!G123)</f>
        <v/>
      </c>
      <c r="H370" s="66" t="str">
        <f>IF(Second!H123="", "",Second!H123)</f>
        <v/>
      </c>
      <c r="I370" s="66" t="str">
        <f>IF(Second!I123="", "",Second!I123)</f>
        <v/>
      </c>
      <c r="J370" s="66" t="str">
        <f>IF(Second!J123="", "",Second!J123)</f>
        <v/>
      </c>
      <c r="K370" s="86" t="str">
        <f>IF(Second!K123="", "",Second!K123)</f>
        <v/>
      </c>
      <c r="L370" s="88"/>
      <c r="M370" s="67" t="str">
        <f t="shared" si="17"/>
        <v/>
      </c>
      <c r="N370" s="76" t="str">
        <f t="shared" si="18"/>
        <v/>
      </c>
      <c r="O370" s="33">
        <f t="shared" si="16"/>
        <v>0</v>
      </c>
    </row>
    <row r="371" spans="1:15" x14ac:dyDescent="0.25">
      <c r="A371" s="64" t="s">
        <v>204</v>
      </c>
      <c r="B371" s="79" t="str">
        <f>IF(Second!B124="", "",Second!B124)</f>
        <v/>
      </c>
      <c r="C371" s="66" t="str">
        <f>IF(Second!C124="", "",Second!C124)</f>
        <v/>
      </c>
      <c r="D371" s="66" t="str">
        <f>IF(Second!D124="", "",Second!D124)</f>
        <v/>
      </c>
      <c r="E371" s="66" t="str">
        <f>IF(Second!E124="", "",Second!E124)</f>
        <v/>
      </c>
      <c r="F371" s="66" t="str">
        <f>IF(Second!F124="", "",Second!F124)</f>
        <v/>
      </c>
      <c r="G371" s="66" t="str">
        <f>IF(Second!G124="", "",Second!G124)</f>
        <v/>
      </c>
      <c r="H371" s="66" t="str">
        <f>IF(Second!H124="", "",Second!H124)</f>
        <v/>
      </c>
      <c r="I371" s="66" t="str">
        <f>IF(Second!I124="", "",Second!I124)</f>
        <v/>
      </c>
      <c r="J371" s="66" t="str">
        <f>IF(Second!J124="", "",Second!J124)</f>
        <v/>
      </c>
      <c r="K371" s="86" t="str">
        <f>IF(Second!K124="", "",Second!K124)</f>
        <v/>
      </c>
      <c r="L371" s="88"/>
      <c r="M371" s="67" t="str">
        <f t="shared" si="17"/>
        <v/>
      </c>
      <c r="N371" s="76" t="str">
        <f t="shared" si="18"/>
        <v/>
      </c>
      <c r="O371" s="33">
        <f t="shared" si="16"/>
        <v>0</v>
      </c>
    </row>
    <row r="372" spans="1:15" x14ac:dyDescent="0.25">
      <c r="A372" s="64" t="s">
        <v>204</v>
      </c>
      <c r="B372" s="79" t="str">
        <f>IF(Second!B125="", "",Second!B125)</f>
        <v/>
      </c>
      <c r="C372" s="66" t="str">
        <f>IF(Second!C125="", "",Second!C125)</f>
        <v/>
      </c>
      <c r="D372" s="66" t="str">
        <f>IF(Second!D125="", "",Second!D125)</f>
        <v/>
      </c>
      <c r="E372" s="66" t="str">
        <f>IF(Second!E125="", "",Second!E125)</f>
        <v/>
      </c>
      <c r="F372" s="66" t="str">
        <f>IF(Second!F125="", "",Second!F125)</f>
        <v/>
      </c>
      <c r="G372" s="66" t="str">
        <f>IF(Second!G125="", "",Second!G125)</f>
        <v/>
      </c>
      <c r="H372" s="66" t="str">
        <f>IF(Second!H125="", "",Second!H125)</f>
        <v/>
      </c>
      <c r="I372" s="66" t="str">
        <f>IF(Second!I125="", "",Second!I125)</f>
        <v/>
      </c>
      <c r="J372" s="66" t="str">
        <f>IF(Second!J125="", "",Second!J125)</f>
        <v/>
      </c>
      <c r="K372" s="86" t="str">
        <f>IF(Second!K125="", "",Second!K125)</f>
        <v/>
      </c>
      <c r="L372" s="88"/>
      <c r="M372" s="67" t="str">
        <f t="shared" si="17"/>
        <v/>
      </c>
      <c r="N372" s="76" t="str">
        <f t="shared" si="18"/>
        <v/>
      </c>
      <c r="O372" s="33">
        <f t="shared" si="16"/>
        <v>0</v>
      </c>
    </row>
    <row r="373" spans="1:15" x14ac:dyDescent="0.25">
      <c r="A373" s="64" t="s">
        <v>204</v>
      </c>
      <c r="B373" s="79" t="str">
        <f>IF(Second!B126="", "",Second!B126)</f>
        <v/>
      </c>
      <c r="C373" s="66" t="str">
        <f>IF(Second!C126="", "",Second!C126)</f>
        <v/>
      </c>
      <c r="D373" s="66" t="str">
        <f>IF(Second!D126="", "",Second!D126)</f>
        <v/>
      </c>
      <c r="E373" s="66" t="str">
        <f>IF(Second!E126="", "",Second!E126)</f>
        <v/>
      </c>
      <c r="F373" s="66" t="str">
        <f>IF(Second!F126="", "",Second!F126)</f>
        <v/>
      </c>
      <c r="G373" s="66" t="str">
        <f>IF(Second!G126="", "",Second!G126)</f>
        <v/>
      </c>
      <c r="H373" s="66" t="str">
        <f>IF(Second!H126="", "",Second!H126)</f>
        <v/>
      </c>
      <c r="I373" s="66" t="str">
        <f>IF(Second!I126="", "",Second!I126)</f>
        <v/>
      </c>
      <c r="J373" s="66" t="str">
        <f>IF(Second!J126="", "",Second!J126)</f>
        <v/>
      </c>
      <c r="K373" s="86" t="str">
        <f>IF(Second!K126="", "",Second!K126)</f>
        <v/>
      </c>
      <c r="L373" s="88"/>
      <c r="M373" s="67" t="str">
        <f t="shared" si="17"/>
        <v/>
      </c>
      <c r="N373" s="76" t="str">
        <f t="shared" si="18"/>
        <v/>
      </c>
      <c r="O373" s="33">
        <f t="shared" si="16"/>
        <v>0</v>
      </c>
    </row>
    <row r="374" spans="1:15" x14ac:dyDescent="0.25">
      <c r="A374" s="64" t="s">
        <v>204</v>
      </c>
      <c r="B374" s="79" t="str">
        <f>IF(Second!B127="", "",Second!B127)</f>
        <v/>
      </c>
      <c r="C374" s="66" t="str">
        <f>IF(Second!C127="", "",Second!C127)</f>
        <v/>
      </c>
      <c r="D374" s="66" t="str">
        <f>IF(Second!D127="", "",Second!D127)</f>
        <v/>
      </c>
      <c r="E374" s="66" t="str">
        <f>IF(Second!E127="", "",Second!E127)</f>
        <v/>
      </c>
      <c r="F374" s="66" t="str">
        <f>IF(Second!F127="", "",Second!F127)</f>
        <v/>
      </c>
      <c r="G374" s="66" t="str">
        <f>IF(Second!G127="", "",Second!G127)</f>
        <v/>
      </c>
      <c r="H374" s="66" t="str">
        <f>IF(Second!H127="", "",Second!H127)</f>
        <v/>
      </c>
      <c r="I374" s="66" t="str">
        <f>IF(Second!I127="", "",Second!I127)</f>
        <v/>
      </c>
      <c r="J374" s="66" t="str">
        <f>IF(Second!J127="", "",Second!J127)</f>
        <v/>
      </c>
      <c r="K374" s="86" t="str">
        <f>IF(Second!K127="", "",Second!K127)</f>
        <v/>
      </c>
      <c r="L374" s="88"/>
      <c r="M374" s="67" t="str">
        <f t="shared" si="17"/>
        <v/>
      </c>
      <c r="N374" s="76" t="str">
        <f t="shared" si="18"/>
        <v/>
      </c>
      <c r="O374" s="33">
        <f t="shared" si="16"/>
        <v>0</v>
      </c>
    </row>
    <row r="375" spans="1:15" x14ac:dyDescent="0.25">
      <c r="A375" s="64" t="s">
        <v>204</v>
      </c>
      <c r="B375" s="79" t="str">
        <f>IF(Second!B128="", "",Second!B128)</f>
        <v/>
      </c>
      <c r="C375" s="66" t="str">
        <f>IF(Second!C128="", "",Second!C128)</f>
        <v/>
      </c>
      <c r="D375" s="66" t="str">
        <f>IF(Second!D128="", "",Second!D128)</f>
        <v/>
      </c>
      <c r="E375" s="66" t="str">
        <f>IF(Second!E128="", "",Second!E128)</f>
        <v/>
      </c>
      <c r="F375" s="66" t="str">
        <f>IF(Second!F128="", "",Second!F128)</f>
        <v/>
      </c>
      <c r="G375" s="66" t="str">
        <f>IF(Second!G128="", "",Second!G128)</f>
        <v/>
      </c>
      <c r="H375" s="66" t="str">
        <f>IF(Second!H128="", "",Second!H128)</f>
        <v/>
      </c>
      <c r="I375" s="66" t="str">
        <f>IF(Second!I128="", "",Second!I128)</f>
        <v/>
      </c>
      <c r="J375" s="66" t="str">
        <f>IF(Second!J128="", "",Second!J128)</f>
        <v/>
      </c>
      <c r="K375" s="86" t="str">
        <f>IF(Second!K128="", "",Second!K128)</f>
        <v/>
      </c>
      <c r="L375" s="88"/>
      <c r="M375" s="67" t="str">
        <f t="shared" si="17"/>
        <v/>
      </c>
      <c r="N375" s="76" t="str">
        <f t="shared" si="18"/>
        <v/>
      </c>
      <c r="O375" s="33">
        <f t="shared" si="16"/>
        <v>0</v>
      </c>
    </row>
    <row r="376" spans="1:15" x14ac:dyDescent="0.25">
      <c r="A376" s="64" t="s">
        <v>204</v>
      </c>
      <c r="B376" s="79" t="str">
        <f>IF(Second!B129="", "",Second!B129)</f>
        <v/>
      </c>
      <c r="C376" s="66" t="str">
        <f>IF(Second!C129="", "",Second!C129)</f>
        <v/>
      </c>
      <c r="D376" s="66" t="str">
        <f>IF(Second!D129="", "",Second!D129)</f>
        <v/>
      </c>
      <c r="E376" s="66" t="str">
        <f>IF(Second!E129="", "",Second!E129)</f>
        <v/>
      </c>
      <c r="F376" s="66" t="str">
        <f>IF(Second!F129="", "",Second!F129)</f>
        <v/>
      </c>
      <c r="G376" s="66" t="str">
        <f>IF(Second!G129="", "",Second!G129)</f>
        <v/>
      </c>
      <c r="H376" s="66" t="str">
        <f>IF(Second!H129="", "",Second!H129)</f>
        <v/>
      </c>
      <c r="I376" s="66" t="str">
        <f>IF(Second!I129="", "",Second!I129)</f>
        <v/>
      </c>
      <c r="J376" s="66" t="str">
        <f>IF(Second!J129="", "",Second!J129)</f>
        <v/>
      </c>
      <c r="K376" s="86" t="str">
        <f>IF(Second!K129="", "",Second!K129)</f>
        <v/>
      </c>
      <c r="L376" s="88"/>
      <c r="M376" s="67" t="str">
        <f t="shared" si="17"/>
        <v/>
      </c>
      <c r="N376" s="76" t="str">
        <f t="shared" si="18"/>
        <v/>
      </c>
      <c r="O376" s="33">
        <f t="shared" si="16"/>
        <v>0</v>
      </c>
    </row>
    <row r="377" spans="1:15" x14ac:dyDescent="0.25">
      <c r="A377" s="64" t="s">
        <v>204</v>
      </c>
      <c r="B377" s="79" t="str">
        <f>IF(Second!B130="", "",Second!B130)</f>
        <v/>
      </c>
      <c r="C377" s="66" t="str">
        <f>IF(Second!C130="", "",Second!C130)</f>
        <v/>
      </c>
      <c r="D377" s="66" t="str">
        <f>IF(Second!D130="", "",Second!D130)</f>
        <v/>
      </c>
      <c r="E377" s="66" t="str">
        <f>IF(Second!E130="", "",Second!E130)</f>
        <v/>
      </c>
      <c r="F377" s="66" t="str">
        <f>IF(Second!F130="", "",Second!F130)</f>
        <v/>
      </c>
      <c r="G377" s="66" t="str">
        <f>IF(Second!G130="", "",Second!G130)</f>
        <v/>
      </c>
      <c r="H377" s="66" t="str">
        <f>IF(Second!H130="", "",Second!H130)</f>
        <v/>
      </c>
      <c r="I377" s="66" t="str">
        <f>IF(Second!I130="", "",Second!I130)</f>
        <v/>
      </c>
      <c r="J377" s="66" t="str">
        <f>IF(Second!J130="", "",Second!J130)</f>
        <v/>
      </c>
      <c r="K377" s="86" t="str">
        <f>IF(Second!K130="", "",Second!K130)</f>
        <v/>
      </c>
      <c r="L377" s="88"/>
      <c r="M377" s="67" t="str">
        <f t="shared" si="17"/>
        <v/>
      </c>
      <c r="N377" s="76" t="str">
        <f t="shared" si="18"/>
        <v/>
      </c>
      <c r="O377" s="33">
        <f t="shared" si="16"/>
        <v>0</v>
      </c>
    </row>
    <row r="378" spans="1:15" x14ac:dyDescent="0.25">
      <c r="A378" s="64" t="s">
        <v>204</v>
      </c>
      <c r="B378" s="79" t="str">
        <f>IF(Second!B131="", "",Second!B131)</f>
        <v/>
      </c>
      <c r="C378" s="66" t="str">
        <f>IF(Second!C131="", "",Second!C131)</f>
        <v/>
      </c>
      <c r="D378" s="66" t="str">
        <f>IF(Second!D131="", "",Second!D131)</f>
        <v/>
      </c>
      <c r="E378" s="66" t="str">
        <f>IF(Second!E131="", "",Second!E131)</f>
        <v/>
      </c>
      <c r="F378" s="66" t="str">
        <f>IF(Second!F131="", "",Second!F131)</f>
        <v/>
      </c>
      <c r="G378" s="66" t="str">
        <f>IF(Second!G131="", "",Second!G131)</f>
        <v/>
      </c>
      <c r="H378" s="66" t="str">
        <f>IF(Second!H131="", "",Second!H131)</f>
        <v/>
      </c>
      <c r="I378" s="66" t="str">
        <f>IF(Second!I131="", "",Second!I131)</f>
        <v/>
      </c>
      <c r="J378" s="66" t="str">
        <f>IF(Second!J131="", "",Second!J131)</f>
        <v/>
      </c>
      <c r="K378" s="86" t="str">
        <f>IF(Second!K131="", "",Second!K131)</f>
        <v/>
      </c>
      <c r="L378" s="88"/>
      <c r="M378" s="67" t="str">
        <f t="shared" si="17"/>
        <v/>
      </c>
      <c r="N378" s="76" t="str">
        <f t="shared" si="18"/>
        <v/>
      </c>
      <c r="O378" s="33">
        <f t="shared" si="16"/>
        <v>0</v>
      </c>
    </row>
    <row r="379" spans="1:15" x14ac:dyDescent="0.25">
      <c r="A379" s="64" t="s">
        <v>204</v>
      </c>
      <c r="B379" s="79" t="str">
        <f>IF(Second!B132="", "",Second!B132)</f>
        <v/>
      </c>
      <c r="C379" s="66" t="str">
        <f>IF(Second!C132="", "",Second!C132)</f>
        <v/>
      </c>
      <c r="D379" s="66" t="str">
        <f>IF(Second!D132="", "",Second!D132)</f>
        <v/>
      </c>
      <c r="E379" s="66" t="str">
        <f>IF(Second!E132="", "",Second!E132)</f>
        <v/>
      </c>
      <c r="F379" s="66" t="str">
        <f>IF(Second!F132="", "",Second!F132)</f>
        <v/>
      </c>
      <c r="G379" s="66" t="str">
        <f>IF(Second!G132="", "",Second!G132)</f>
        <v/>
      </c>
      <c r="H379" s="66" t="str">
        <f>IF(Second!H132="", "",Second!H132)</f>
        <v/>
      </c>
      <c r="I379" s="66" t="str">
        <f>IF(Second!I132="", "",Second!I132)</f>
        <v/>
      </c>
      <c r="J379" s="66" t="str">
        <f>IF(Second!J132="", "",Second!J132)</f>
        <v/>
      </c>
      <c r="K379" s="86" t="str">
        <f>IF(Second!K132="", "",Second!K132)</f>
        <v/>
      </c>
      <c r="L379" s="88"/>
      <c r="M379" s="67" t="str">
        <f t="shared" si="17"/>
        <v/>
      </c>
      <c r="N379" s="76" t="str">
        <f t="shared" si="18"/>
        <v/>
      </c>
      <c r="O379" s="33">
        <f t="shared" si="16"/>
        <v>0</v>
      </c>
    </row>
    <row r="380" spans="1:15" x14ac:dyDescent="0.25">
      <c r="A380" s="64" t="s">
        <v>204</v>
      </c>
      <c r="B380" s="79" t="str">
        <f>IF(Second!B133="", "",Second!B133)</f>
        <v/>
      </c>
      <c r="C380" s="66" t="str">
        <f>IF(Second!C133="", "",Second!C133)</f>
        <v/>
      </c>
      <c r="D380" s="66" t="str">
        <f>IF(Second!D133="", "",Second!D133)</f>
        <v/>
      </c>
      <c r="E380" s="66" t="str">
        <f>IF(Second!E133="", "",Second!E133)</f>
        <v/>
      </c>
      <c r="F380" s="66" t="str">
        <f>IF(Second!F133="", "",Second!F133)</f>
        <v/>
      </c>
      <c r="G380" s="66" t="str">
        <f>IF(Second!G133="", "",Second!G133)</f>
        <v/>
      </c>
      <c r="H380" s="66" t="str">
        <f>IF(Second!H133="", "",Second!H133)</f>
        <v/>
      </c>
      <c r="I380" s="66" t="str">
        <f>IF(Second!I133="", "",Second!I133)</f>
        <v/>
      </c>
      <c r="J380" s="66" t="str">
        <f>IF(Second!J133="", "",Second!J133)</f>
        <v/>
      </c>
      <c r="K380" s="86" t="str">
        <f>IF(Second!K133="", "",Second!K133)</f>
        <v/>
      </c>
      <c r="L380" s="88"/>
      <c r="M380" s="67" t="str">
        <f t="shared" si="17"/>
        <v/>
      </c>
      <c r="N380" s="76" t="str">
        <f t="shared" si="18"/>
        <v/>
      </c>
      <c r="O380" s="33">
        <f t="shared" si="16"/>
        <v>0</v>
      </c>
    </row>
    <row r="381" spans="1:15" x14ac:dyDescent="0.25">
      <c r="A381" s="64" t="s">
        <v>204</v>
      </c>
      <c r="B381" s="79" t="str">
        <f>IF(Second!B134="", "",Second!B134)</f>
        <v/>
      </c>
      <c r="C381" s="66" t="str">
        <f>IF(Second!C134="", "",Second!C134)</f>
        <v/>
      </c>
      <c r="D381" s="66" t="str">
        <f>IF(Second!D134="", "",Second!D134)</f>
        <v/>
      </c>
      <c r="E381" s="66" t="str">
        <f>IF(Second!E134="", "",Second!E134)</f>
        <v/>
      </c>
      <c r="F381" s="66" t="str">
        <f>IF(Second!F134="", "",Second!F134)</f>
        <v/>
      </c>
      <c r="G381" s="66" t="str">
        <f>IF(Second!G134="", "",Second!G134)</f>
        <v/>
      </c>
      <c r="H381" s="66" t="str">
        <f>IF(Second!H134="", "",Second!H134)</f>
        <v/>
      </c>
      <c r="I381" s="66" t="str">
        <f>IF(Second!I134="", "",Second!I134)</f>
        <v/>
      </c>
      <c r="J381" s="66" t="str">
        <f>IF(Second!J134="", "",Second!J134)</f>
        <v/>
      </c>
      <c r="K381" s="86" t="str">
        <f>IF(Second!K134="", "",Second!K134)</f>
        <v/>
      </c>
      <c r="L381" s="88"/>
      <c r="M381" s="67" t="str">
        <f t="shared" si="17"/>
        <v/>
      </c>
      <c r="N381" s="76" t="str">
        <f t="shared" si="18"/>
        <v/>
      </c>
      <c r="O381" s="33">
        <f t="shared" si="16"/>
        <v>0</v>
      </c>
    </row>
    <row r="382" spans="1:15" x14ac:dyDescent="0.25">
      <c r="A382" s="64" t="s">
        <v>204</v>
      </c>
      <c r="B382" s="79" t="str">
        <f>IF(Second!B135="", "",Second!B135)</f>
        <v/>
      </c>
      <c r="C382" s="66" t="str">
        <f>IF(Second!C135="", "",Second!C135)</f>
        <v/>
      </c>
      <c r="D382" s="66" t="str">
        <f>IF(Second!D135="", "",Second!D135)</f>
        <v/>
      </c>
      <c r="E382" s="66" t="str">
        <f>IF(Second!E135="", "",Second!E135)</f>
        <v/>
      </c>
      <c r="F382" s="66" t="str">
        <f>IF(Second!F135="", "",Second!F135)</f>
        <v/>
      </c>
      <c r="G382" s="66" t="str">
        <f>IF(Second!G135="", "",Second!G135)</f>
        <v/>
      </c>
      <c r="H382" s="66" t="str">
        <f>IF(Second!H135="", "",Second!H135)</f>
        <v/>
      </c>
      <c r="I382" s="66" t="str">
        <f>IF(Second!I135="", "",Second!I135)</f>
        <v/>
      </c>
      <c r="J382" s="66" t="str">
        <f>IF(Second!J135="", "",Second!J135)</f>
        <v/>
      </c>
      <c r="K382" s="86" t="str">
        <f>IF(Second!K135="", "",Second!K135)</f>
        <v/>
      </c>
      <c r="L382" s="88"/>
      <c r="M382" s="67" t="str">
        <f t="shared" si="17"/>
        <v/>
      </c>
      <c r="N382" s="76" t="str">
        <f t="shared" si="18"/>
        <v/>
      </c>
      <c r="O382" s="33">
        <f t="shared" si="16"/>
        <v>0</v>
      </c>
    </row>
    <row r="383" spans="1:15" x14ac:dyDescent="0.25">
      <c r="A383" s="64" t="s">
        <v>204</v>
      </c>
      <c r="B383" s="79" t="str">
        <f>IF(Second!B136="", "",Second!B136)</f>
        <v/>
      </c>
      <c r="C383" s="66" t="str">
        <f>IF(Second!C136="", "",Second!C136)</f>
        <v/>
      </c>
      <c r="D383" s="66" t="str">
        <f>IF(Second!D136="", "",Second!D136)</f>
        <v/>
      </c>
      <c r="E383" s="66" t="str">
        <f>IF(Second!E136="", "",Second!E136)</f>
        <v/>
      </c>
      <c r="F383" s="66" t="str">
        <f>IF(Second!F136="", "",Second!F136)</f>
        <v/>
      </c>
      <c r="G383" s="66" t="str">
        <f>IF(Second!G136="", "",Second!G136)</f>
        <v/>
      </c>
      <c r="H383" s="66" t="str">
        <f>IF(Second!H136="", "",Second!H136)</f>
        <v/>
      </c>
      <c r="I383" s="66" t="str">
        <f>IF(Second!I136="", "",Second!I136)</f>
        <v/>
      </c>
      <c r="J383" s="66" t="str">
        <f>IF(Second!J136="", "",Second!J136)</f>
        <v/>
      </c>
      <c r="K383" s="86" t="str">
        <f>IF(Second!K136="", "",Second!K136)</f>
        <v/>
      </c>
      <c r="L383" s="88"/>
      <c r="M383" s="67" t="str">
        <f t="shared" si="17"/>
        <v/>
      </c>
      <c r="N383" s="76" t="str">
        <f t="shared" si="18"/>
        <v/>
      </c>
      <c r="O383" s="33">
        <f t="shared" si="16"/>
        <v>0</v>
      </c>
    </row>
    <row r="384" spans="1:15" x14ac:dyDescent="0.25">
      <c r="A384" s="64" t="s">
        <v>204</v>
      </c>
      <c r="B384" s="79" t="str">
        <f>IF(Second!B137="", "",Second!B137)</f>
        <v/>
      </c>
      <c r="C384" s="66" t="str">
        <f>IF(Second!C137="", "",Second!C137)</f>
        <v/>
      </c>
      <c r="D384" s="66" t="str">
        <f>IF(Second!D137="", "",Second!D137)</f>
        <v/>
      </c>
      <c r="E384" s="66" t="str">
        <f>IF(Second!E137="", "",Second!E137)</f>
        <v/>
      </c>
      <c r="F384" s="66" t="str">
        <f>IF(Second!F137="", "",Second!F137)</f>
        <v/>
      </c>
      <c r="G384" s="66" t="str">
        <f>IF(Second!G137="", "",Second!G137)</f>
        <v/>
      </c>
      <c r="H384" s="66" t="str">
        <f>IF(Second!H137="", "",Second!H137)</f>
        <v/>
      </c>
      <c r="I384" s="66" t="str">
        <f>IF(Second!I137="", "",Second!I137)</f>
        <v/>
      </c>
      <c r="J384" s="66" t="str">
        <f>IF(Second!J137="", "",Second!J137)</f>
        <v/>
      </c>
      <c r="K384" s="86" t="str">
        <f>IF(Second!K137="", "",Second!K137)</f>
        <v/>
      </c>
      <c r="L384" s="88"/>
      <c r="M384" s="67" t="str">
        <f t="shared" si="17"/>
        <v/>
      </c>
      <c r="N384" s="76" t="str">
        <f t="shared" si="18"/>
        <v/>
      </c>
      <c r="O384" s="33">
        <f t="shared" si="16"/>
        <v>0</v>
      </c>
    </row>
    <row r="385" spans="1:15" x14ac:dyDescent="0.25">
      <c r="A385" s="64" t="s">
        <v>204</v>
      </c>
      <c r="B385" s="79" t="str">
        <f>IF(Second!B138="", "",Second!B138)</f>
        <v/>
      </c>
      <c r="C385" s="66" t="str">
        <f>IF(Second!C138="", "",Second!C138)</f>
        <v/>
      </c>
      <c r="D385" s="66" t="str">
        <f>IF(Second!D138="", "",Second!D138)</f>
        <v/>
      </c>
      <c r="E385" s="66" t="str">
        <f>IF(Second!E138="", "",Second!E138)</f>
        <v/>
      </c>
      <c r="F385" s="66" t="str">
        <f>IF(Second!F138="", "",Second!F138)</f>
        <v/>
      </c>
      <c r="G385" s="66" t="str">
        <f>IF(Second!G138="", "",Second!G138)</f>
        <v/>
      </c>
      <c r="H385" s="66" t="str">
        <f>IF(Second!H138="", "",Second!H138)</f>
        <v/>
      </c>
      <c r="I385" s="66" t="str">
        <f>IF(Second!I138="", "",Second!I138)</f>
        <v/>
      </c>
      <c r="J385" s="66" t="str">
        <f>IF(Second!J138="", "",Second!J138)</f>
        <v/>
      </c>
      <c r="K385" s="86" t="str">
        <f>IF(Second!K138="", "",Second!K138)</f>
        <v/>
      </c>
      <c r="L385" s="88"/>
      <c r="M385" s="67" t="str">
        <f t="shared" si="17"/>
        <v/>
      </c>
      <c r="N385" s="76" t="str">
        <f t="shared" si="18"/>
        <v/>
      </c>
      <c r="O385" s="33">
        <f t="shared" si="16"/>
        <v>0</v>
      </c>
    </row>
    <row r="386" spans="1:15" x14ac:dyDescent="0.25">
      <c r="A386" s="64" t="s">
        <v>204</v>
      </c>
      <c r="B386" s="79" t="str">
        <f>IF(Second!B139="", "",Second!B139)</f>
        <v/>
      </c>
      <c r="C386" s="66" t="str">
        <f>IF(Second!C139="", "",Second!C139)</f>
        <v/>
      </c>
      <c r="D386" s="66" t="str">
        <f>IF(Second!D139="", "",Second!D139)</f>
        <v/>
      </c>
      <c r="E386" s="66" t="str">
        <f>IF(Second!E139="", "",Second!E139)</f>
        <v/>
      </c>
      <c r="F386" s="66" t="str">
        <f>IF(Second!F139="", "",Second!F139)</f>
        <v/>
      </c>
      <c r="G386" s="66" t="str">
        <f>IF(Second!G139="", "",Second!G139)</f>
        <v/>
      </c>
      <c r="H386" s="66" t="str">
        <f>IF(Second!H139="", "",Second!H139)</f>
        <v/>
      </c>
      <c r="I386" s="66" t="str">
        <f>IF(Second!I139="", "",Second!I139)</f>
        <v/>
      </c>
      <c r="J386" s="66" t="str">
        <f>IF(Second!J139="", "",Second!J139)</f>
        <v/>
      </c>
      <c r="K386" s="86" t="str">
        <f>IF(Second!K139="", "",Second!K139)</f>
        <v/>
      </c>
      <c r="L386" s="88"/>
      <c r="M386" s="67" t="str">
        <f t="shared" si="17"/>
        <v/>
      </c>
      <c r="N386" s="76" t="str">
        <f t="shared" si="18"/>
        <v/>
      </c>
      <c r="O386" s="33">
        <f t="shared" ref="O386:O449" si="19">SUM(M386:N386)</f>
        <v>0</v>
      </c>
    </row>
    <row r="387" spans="1:15" x14ac:dyDescent="0.25">
      <c r="A387" s="64" t="s">
        <v>204</v>
      </c>
      <c r="B387" s="79" t="str">
        <f>IF(Second!B140="", "",Second!B140)</f>
        <v/>
      </c>
      <c r="C387" s="66" t="str">
        <f>IF(Second!C140="", "",Second!C140)</f>
        <v/>
      </c>
      <c r="D387" s="66" t="str">
        <f>IF(Second!D140="", "",Second!D140)</f>
        <v/>
      </c>
      <c r="E387" s="66" t="str">
        <f>IF(Second!E140="", "",Second!E140)</f>
        <v/>
      </c>
      <c r="F387" s="66" t="str">
        <f>IF(Second!F140="", "",Second!F140)</f>
        <v/>
      </c>
      <c r="G387" s="66" t="str">
        <f>IF(Second!G140="", "",Second!G140)</f>
        <v/>
      </c>
      <c r="H387" s="66" t="str">
        <f>IF(Second!H140="", "",Second!H140)</f>
        <v/>
      </c>
      <c r="I387" s="66" t="str">
        <f>IF(Second!I140="", "",Second!I140)</f>
        <v/>
      </c>
      <c r="J387" s="66" t="str">
        <f>IF(Second!J140="", "",Second!J140)</f>
        <v/>
      </c>
      <c r="K387" s="86" t="str">
        <f>IF(Second!K140="", "",Second!K140)</f>
        <v/>
      </c>
      <c r="L387" s="88"/>
      <c r="M387" s="67" t="str">
        <f t="shared" ref="M387:M450" si="20">IF(C387="PwC",(7-COUNTIF(B387:H387,"")),"")</f>
        <v/>
      </c>
      <c r="N387" s="76" t="str">
        <f t="shared" ref="N387:N450" si="21">IF(C387="Carer",(7-COUNTIF(B387:H387,"")),"")</f>
        <v/>
      </c>
      <c r="O387" s="33">
        <f t="shared" si="19"/>
        <v>0</v>
      </c>
    </row>
    <row r="388" spans="1:15" x14ac:dyDescent="0.25">
      <c r="A388" s="64" t="s">
        <v>204</v>
      </c>
      <c r="B388" s="79" t="str">
        <f>IF(Second!B141="", "",Second!B141)</f>
        <v/>
      </c>
      <c r="C388" s="66" t="str">
        <f>IF(Second!C141="", "",Second!C141)</f>
        <v/>
      </c>
      <c r="D388" s="66" t="str">
        <f>IF(Second!D141="", "",Second!D141)</f>
        <v/>
      </c>
      <c r="E388" s="66" t="str">
        <f>IF(Second!E141="", "",Second!E141)</f>
        <v/>
      </c>
      <c r="F388" s="66" t="str">
        <f>IF(Second!F141="", "",Second!F141)</f>
        <v/>
      </c>
      <c r="G388" s="66" t="str">
        <f>IF(Second!G141="", "",Second!G141)</f>
        <v/>
      </c>
      <c r="H388" s="66" t="str">
        <f>IF(Second!H141="", "",Second!H141)</f>
        <v/>
      </c>
      <c r="I388" s="66" t="str">
        <f>IF(Second!I141="", "",Second!I141)</f>
        <v/>
      </c>
      <c r="J388" s="66" t="str">
        <f>IF(Second!J141="", "",Second!J141)</f>
        <v/>
      </c>
      <c r="K388" s="86" t="str">
        <f>IF(Second!K141="", "",Second!K141)</f>
        <v/>
      </c>
      <c r="L388" s="88"/>
      <c r="M388" s="67" t="str">
        <f t="shared" si="20"/>
        <v/>
      </c>
      <c r="N388" s="76" t="str">
        <f t="shared" si="21"/>
        <v/>
      </c>
      <c r="O388" s="33">
        <f t="shared" si="19"/>
        <v>0</v>
      </c>
    </row>
    <row r="389" spans="1:15" x14ac:dyDescent="0.25">
      <c r="A389" s="64" t="s">
        <v>204</v>
      </c>
      <c r="B389" s="79" t="str">
        <f>IF(Second!B142="", "",Second!B142)</f>
        <v/>
      </c>
      <c r="C389" s="66" t="str">
        <f>IF(Second!C142="", "",Second!C142)</f>
        <v/>
      </c>
      <c r="D389" s="66" t="str">
        <f>IF(Second!D142="", "",Second!D142)</f>
        <v/>
      </c>
      <c r="E389" s="66" t="str">
        <f>IF(Second!E142="", "",Second!E142)</f>
        <v/>
      </c>
      <c r="F389" s="66" t="str">
        <f>IF(Second!F142="", "",Second!F142)</f>
        <v/>
      </c>
      <c r="G389" s="66" t="str">
        <f>IF(Second!G142="", "",Second!G142)</f>
        <v/>
      </c>
      <c r="H389" s="66" t="str">
        <f>IF(Second!H142="", "",Second!H142)</f>
        <v/>
      </c>
      <c r="I389" s="66" t="str">
        <f>IF(Second!I142="", "",Second!I142)</f>
        <v/>
      </c>
      <c r="J389" s="66" t="str">
        <f>IF(Second!J142="", "",Second!J142)</f>
        <v/>
      </c>
      <c r="K389" s="86" t="str">
        <f>IF(Second!K142="", "",Second!K142)</f>
        <v/>
      </c>
      <c r="L389" s="88"/>
      <c r="M389" s="67" t="str">
        <f t="shared" si="20"/>
        <v/>
      </c>
      <c r="N389" s="76" t="str">
        <f t="shared" si="21"/>
        <v/>
      </c>
      <c r="O389" s="33">
        <f t="shared" si="19"/>
        <v>0</v>
      </c>
    </row>
    <row r="390" spans="1:15" x14ac:dyDescent="0.25">
      <c r="A390" s="64" t="s">
        <v>204</v>
      </c>
      <c r="B390" s="79" t="str">
        <f>IF(Second!B143="", "",Second!B143)</f>
        <v/>
      </c>
      <c r="C390" s="66" t="str">
        <f>IF(Second!C143="", "",Second!C143)</f>
        <v/>
      </c>
      <c r="D390" s="66" t="str">
        <f>IF(Second!D143="", "",Second!D143)</f>
        <v/>
      </c>
      <c r="E390" s="66" t="str">
        <f>IF(Second!E143="", "",Second!E143)</f>
        <v/>
      </c>
      <c r="F390" s="66" t="str">
        <f>IF(Second!F143="", "",Second!F143)</f>
        <v/>
      </c>
      <c r="G390" s="66" t="str">
        <f>IF(Second!G143="", "",Second!G143)</f>
        <v/>
      </c>
      <c r="H390" s="66" t="str">
        <f>IF(Second!H143="", "",Second!H143)</f>
        <v/>
      </c>
      <c r="I390" s="66" t="str">
        <f>IF(Second!I143="", "",Second!I143)</f>
        <v/>
      </c>
      <c r="J390" s="66" t="str">
        <f>IF(Second!J143="", "",Second!J143)</f>
        <v/>
      </c>
      <c r="K390" s="86" t="str">
        <f>IF(Second!K143="", "",Second!K143)</f>
        <v/>
      </c>
      <c r="L390" s="88"/>
      <c r="M390" s="67" t="str">
        <f t="shared" si="20"/>
        <v/>
      </c>
      <c r="N390" s="76" t="str">
        <f t="shared" si="21"/>
        <v/>
      </c>
      <c r="O390" s="33">
        <f t="shared" si="19"/>
        <v>0</v>
      </c>
    </row>
    <row r="391" spans="1:15" x14ac:dyDescent="0.25">
      <c r="A391" s="64" t="s">
        <v>204</v>
      </c>
      <c r="B391" s="79" t="str">
        <f>IF(Second!B144="", "",Second!B144)</f>
        <v/>
      </c>
      <c r="C391" s="66" t="str">
        <f>IF(Second!C144="", "",Second!C144)</f>
        <v/>
      </c>
      <c r="D391" s="66" t="str">
        <f>IF(Second!D144="", "",Second!D144)</f>
        <v/>
      </c>
      <c r="E391" s="66" t="str">
        <f>IF(Second!E144="", "",Second!E144)</f>
        <v/>
      </c>
      <c r="F391" s="66" t="str">
        <f>IF(Second!F144="", "",Second!F144)</f>
        <v/>
      </c>
      <c r="G391" s="66" t="str">
        <f>IF(Second!G144="", "",Second!G144)</f>
        <v/>
      </c>
      <c r="H391" s="66" t="str">
        <f>IF(Second!H144="", "",Second!H144)</f>
        <v/>
      </c>
      <c r="I391" s="66" t="str">
        <f>IF(Second!I144="", "",Second!I144)</f>
        <v/>
      </c>
      <c r="J391" s="66" t="str">
        <f>IF(Second!J144="", "",Second!J144)</f>
        <v/>
      </c>
      <c r="K391" s="86" t="str">
        <f>IF(Second!K144="", "",Second!K144)</f>
        <v/>
      </c>
      <c r="L391" s="88"/>
      <c r="M391" s="67" t="str">
        <f t="shared" si="20"/>
        <v/>
      </c>
      <c r="N391" s="76" t="str">
        <f t="shared" si="21"/>
        <v/>
      </c>
      <c r="O391" s="33">
        <f t="shared" si="19"/>
        <v>0</v>
      </c>
    </row>
    <row r="392" spans="1:15" x14ac:dyDescent="0.25">
      <c r="A392" s="64" t="s">
        <v>204</v>
      </c>
      <c r="B392" s="79" t="str">
        <f>IF(Second!B145="", "",Second!B145)</f>
        <v/>
      </c>
      <c r="C392" s="66" t="str">
        <f>IF(Second!C145="", "",Second!C145)</f>
        <v/>
      </c>
      <c r="D392" s="66" t="str">
        <f>IF(Second!D145="", "",Second!D145)</f>
        <v/>
      </c>
      <c r="E392" s="66" t="str">
        <f>IF(Second!E145="", "",Second!E145)</f>
        <v/>
      </c>
      <c r="F392" s="66" t="str">
        <f>IF(Second!F145="", "",Second!F145)</f>
        <v/>
      </c>
      <c r="G392" s="66" t="str">
        <f>IF(Second!G145="", "",Second!G145)</f>
        <v/>
      </c>
      <c r="H392" s="66" t="str">
        <f>IF(Second!H145="", "",Second!H145)</f>
        <v/>
      </c>
      <c r="I392" s="66" t="str">
        <f>IF(Second!I145="", "",Second!I145)</f>
        <v/>
      </c>
      <c r="J392" s="66" t="str">
        <f>IF(Second!J145="", "",Second!J145)</f>
        <v/>
      </c>
      <c r="K392" s="86" t="str">
        <f>IF(Second!K145="", "",Second!K145)</f>
        <v/>
      </c>
      <c r="L392" s="88"/>
      <c r="M392" s="67" t="str">
        <f t="shared" si="20"/>
        <v/>
      </c>
      <c r="N392" s="76" t="str">
        <f t="shared" si="21"/>
        <v/>
      </c>
      <c r="O392" s="33">
        <f t="shared" si="19"/>
        <v>0</v>
      </c>
    </row>
    <row r="393" spans="1:15" x14ac:dyDescent="0.25">
      <c r="A393" s="64" t="s">
        <v>204</v>
      </c>
      <c r="B393" s="79" t="str">
        <f>IF(Second!B146="", "",Second!B146)</f>
        <v/>
      </c>
      <c r="C393" s="66" t="str">
        <f>IF(Second!C146="", "",Second!C146)</f>
        <v/>
      </c>
      <c r="D393" s="66" t="str">
        <f>IF(Second!D146="", "",Second!D146)</f>
        <v/>
      </c>
      <c r="E393" s="66" t="str">
        <f>IF(Second!E146="", "",Second!E146)</f>
        <v/>
      </c>
      <c r="F393" s="66" t="str">
        <f>IF(Second!F146="", "",Second!F146)</f>
        <v/>
      </c>
      <c r="G393" s="66" t="str">
        <f>IF(Second!G146="", "",Second!G146)</f>
        <v/>
      </c>
      <c r="H393" s="66" t="str">
        <f>IF(Second!H146="", "",Second!H146)</f>
        <v/>
      </c>
      <c r="I393" s="66" t="str">
        <f>IF(Second!I146="", "",Second!I146)</f>
        <v/>
      </c>
      <c r="J393" s="66" t="str">
        <f>IF(Second!J146="", "",Second!J146)</f>
        <v/>
      </c>
      <c r="K393" s="86" t="str">
        <f>IF(Second!K146="", "",Second!K146)</f>
        <v/>
      </c>
      <c r="L393" s="88"/>
      <c r="M393" s="67" t="str">
        <f t="shared" si="20"/>
        <v/>
      </c>
      <c r="N393" s="76" t="str">
        <f t="shared" si="21"/>
        <v/>
      </c>
      <c r="O393" s="33">
        <f t="shared" si="19"/>
        <v>0</v>
      </c>
    </row>
    <row r="394" spans="1:15" x14ac:dyDescent="0.25">
      <c r="A394" s="64" t="s">
        <v>204</v>
      </c>
      <c r="B394" s="79" t="str">
        <f>IF(Second!B147="", "",Second!B147)</f>
        <v/>
      </c>
      <c r="C394" s="66" t="str">
        <f>IF(Second!C147="", "",Second!C147)</f>
        <v/>
      </c>
      <c r="D394" s="66" t="str">
        <f>IF(Second!D147="", "",Second!D147)</f>
        <v/>
      </c>
      <c r="E394" s="66" t="str">
        <f>IF(Second!E147="", "",Second!E147)</f>
        <v/>
      </c>
      <c r="F394" s="66" t="str">
        <f>IF(Second!F147="", "",Second!F147)</f>
        <v/>
      </c>
      <c r="G394" s="66" t="str">
        <f>IF(Second!G147="", "",Second!G147)</f>
        <v/>
      </c>
      <c r="H394" s="66" t="str">
        <f>IF(Second!H147="", "",Second!H147)</f>
        <v/>
      </c>
      <c r="I394" s="66" t="str">
        <f>IF(Second!I147="", "",Second!I147)</f>
        <v/>
      </c>
      <c r="J394" s="66" t="str">
        <f>IF(Second!J147="", "",Second!J147)</f>
        <v/>
      </c>
      <c r="K394" s="86" t="str">
        <f>IF(Second!K147="", "",Second!K147)</f>
        <v/>
      </c>
      <c r="L394" s="88"/>
      <c r="M394" s="67" t="str">
        <f t="shared" si="20"/>
        <v/>
      </c>
      <c r="N394" s="76" t="str">
        <f t="shared" si="21"/>
        <v/>
      </c>
      <c r="O394" s="33">
        <f t="shared" si="19"/>
        <v>0</v>
      </c>
    </row>
    <row r="395" spans="1:15" x14ac:dyDescent="0.25">
      <c r="A395" s="64" t="s">
        <v>204</v>
      </c>
      <c r="B395" s="79" t="str">
        <f>IF(Second!B148="", "",Second!B148)</f>
        <v/>
      </c>
      <c r="C395" s="66" t="str">
        <f>IF(Second!C148="", "",Second!C148)</f>
        <v/>
      </c>
      <c r="D395" s="66" t="str">
        <f>IF(Second!D148="", "",Second!D148)</f>
        <v/>
      </c>
      <c r="E395" s="66" t="str">
        <f>IF(Second!E148="", "",Second!E148)</f>
        <v/>
      </c>
      <c r="F395" s="66" t="str">
        <f>IF(Second!F148="", "",Second!F148)</f>
        <v/>
      </c>
      <c r="G395" s="66" t="str">
        <f>IF(Second!G148="", "",Second!G148)</f>
        <v/>
      </c>
      <c r="H395" s="66" t="str">
        <f>IF(Second!H148="", "",Second!H148)</f>
        <v/>
      </c>
      <c r="I395" s="66" t="str">
        <f>IF(Second!I148="", "",Second!I148)</f>
        <v/>
      </c>
      <c r="J395" s="66" t="str">
        <f>IF(Second!J148="", "",Second!J148)</f>
        <v/>
      </c>
      <c r="K395" s="86" t="str">
        <f>IF(Second!K148="", "",Second!K148)</f>
        <v/>
      </c>
      <c r="L395" s="88"/>
      <c r="M395" s="67" t="str">
        <f t="shared" si="20"/>
        <v/>
      </c>
      <c r="N395" s="76" t="str">
        <f t="shared" si="21"/>
        <v/>
      </c>
      <c r="O395" s="33">
        <f t="shared" si="19"/>
        <v>0</v>
      </c>
    </row>
    <row r="396" spans="1:15" x14ac:dyDescent="0.25">
      <c r="A396" s="64" t="s">
        <v>204</v>
      </c>
      <c r="B396" s="79" t="str">
        <f>IF(Second!B149="", "",Second!B149)</f>
        <v/>
      </c>
      <c r="C396" s="66" t="str">
        <f>IF(Second!C149="", "",Second!C149)</f>
        <v/>
      </c>
      <c r="D396" s="66" t="str">
        <f>IF(Second!D149="", "",Second!D149)</f>
        <v/>
      </c>
      <c r="E396" s="66" t="str">
        <f>IF(Second!E149="", "",Second!E149)</f>
        <v/>
      </c>
      <c r="F396" s="66" t="str">
        <f>IF(Second!F149="", "",Second!F149)</f>
        <v/>
      </c>
      <c r="G396" s="66" t="str">
        <f>IF(Second!G149="", "",Second!G149)</f>
        <v/>
      </c>
      <c r="H396" s="66" t="str">
        <f>IF(Second!H149="", "",Second!H149)</f>
        <v/>
      </c>
      <c r="I396" s="66" t="str">
        <f>IF(Second!I149="", "",Second!I149)</f>
        <v/>
      </c>
      <c r="J396" s="66" t="str">
        <f>IF(Second!J149="", "",Second!J149)</f>
        <v/>
      </c>
      <c r="K396" s="86" t="str">
        <f>IF(Second!K149="", "",Second!K149)</f>
        <v/>
      </c>
      <c r="L396" s="88"/>
      <c r="M396" s="67" t="str">
        <f t="shared" si="20"/>
        <v/>
      </c>
      <c r="N396" s="76" t="str">
        <f t="shared" si="21"/>
        <v/>
      </c>
      <c r="O396" s="33">
        <f t="shared" si="19"/>
        <v>0</v>
      </c>
    </row>
    <row r="397" spans="1:15" x14ac:dyDescent="0.25">
      <c r="A397" s="64" t="s">
        <v>204</v>
      </c>
      <c r="B397" s="79" t="str">
        <f>IF(Second!B150="", "",Second!B150)</f>
        <v/>
      </c>
      <c r="C397" s="66" t="str">
        <f>IF(Second!C150="", "",Second!C150)</f>
        <v/>
      </c>
      <c r="D397" s="66" t="str">
        <f>IF(Second!D150="", "",Second!D150)</f>
        <v/>
      </c>
      <c r="E397" s="66" t="str">
        <f>IF(Second!E150="", "",Second!E150)</f>
        <v/>
      </c>
      <c r="F397" s="66" t="str">
        <f>IF(Second!F150="", "",Second!F150)</f>
        <v/>
      </c>
      <c r="G397" s="66" t="str">
        <f>IF(Second!G150="", "",Second!G150)</f>
        <v/>
      </c>
      <c r="H397" s="66" t="str">
        <f>IF(Second!H150="", "",Second!H150)</f>
        <v/>
      </c>
      <c r="I397" s="66" t="str">
        <f>IF(Second!I150="", "",Second!I150)</f>
        <v/>
      </c>
      <c r="J397" s="66" t="str">
        <f>IF(Second!J150="", "",Second!J150)</f>
        <v/>
      </c>
      <c r="K397" s="86" t="str">
        <f>IF(Second!K150="", "",Second!K150)</f>
        <v/>
      </c>
      <c r="L397" s="88"/>
      <c r="M397" s="67" t="str">
        <f t="shared" si="20"/>
        <v/>
      </c>
      <c r="N397" s="76" t="str">
        <f t="shared" si="21"/>
        <v/>
      </c>
      <c r="O397" s="33">
        <f t="shared" si="19"/>
        <v>0</v>
      </c>
    </row>
    <row r="398" spans="1:15" x14ac:dyDescent="0.25">
      <c r="A398" s="64" t="s">
        <v>204</v>
      </c>
      <c r="B398" s="79" t="str">
        <f>IF(Second!B151="", "",Second!B151)</f>
        <v/>
      </c>
      <c r="C398" s="66" t="str">
        <f>IF(Second!C151="", "",Second!C151)</f>
        <v/>
      </c>
      <c r="D398" s="66" t="str">
        <f>IF(Second!D151="", "",Second!D151)</f>
        <v/>
      </c>
      <c r="E398" s="66" t="str">
        <f>IF(Second!E151="", "",Second!E151)</f>
        <v/>
      </c>
      <c r="F398" s="66" t="str">
        <f>IF(Second!F151="", "",Second!F151)</f>
        <v/>
      </c>
      <c r="G398" s="66" t="str">
        <f>IF(Second!G151="", "",Second!G151)</f>
        <v/>
      </c>
      <c r="H398" s="66" t="str">
        <f>IF(Second!H151="", "",Second!H151)</f>
        <v/>
      </c>
      <c r="I398" s="66" t="str">
        <f>IF(Second!I151="", "",Second!I151)</f>
        <v/>
      </c>
      <c r="J398" s="66" t="str">
        <f>IF(Second!J151="", "",Second!J151)</f>
        <v/>
      </c>
      <c r="K398" s="86" t="str">
        <f>IF(Second!K151="", "",Second!K151)</f>
        <v/>
      </c>
      <c r="L398" s="88"/>
      <c r="M398" s="67" t="str">
        <f t="shared" si="20"/>
        <v/>
      </c>
      <c r="N398" s="76" t="str">
        <f t="shared" si="21"/>
        <v/>
      </c>
      <c r="O398" s="33">
        <f t="shared" si="19"/>
        <v>0</v>
      </c>
    </row>
    <row r="399" spans="1:15" x14ac:dyDescent="0.25">
      <c r="A399" s="64" t="s">
        <v>204</v>
      </c>
      <c r="B399" s="79" t="str">
        <f>IF(Second!B152="", "",Second!B152)</f>
        <v/>
      </c>
      <c r="C399" s="66" t="str">
        <f>IF(Second!C152="", "",Second!C152)</f>
        <v/>
      </c>
      <c r="D399" s="66" t="str">
        <f>IF(Second!D152="", "",Second!D152)</f>
        <v/>
      </c>
      <c r="E399" s="66" t="str">
        <f>IF(Second!E152="", "",Second!E152)</f>
        <v/>
      </c>
      <c r="F399" s="66" t="str">
        <f>IF(Second!F152="", "",Second!F152)</f>
        <v/>
      </c>
      <c r="G399" s="66" t="str">
        <f>IF(Second!G152="", "",Second!G152)</f>
        <v/>
      </c>
      <c r="H399" s="66" t="str">
        <f>IF(Second!H152="", "",Second!H152)</f>
        <v/>
      </c>
      <c r="I399" s="66" t="str">
        <f>IF(Second!I152="", "",Second!I152)</f>
        <v/>
      </c>
      <c r="J399" s="66" t="str">
        <f>IF(Second!J152="", "",Second!J152)</f>
        <v/>
      </c>
      <c r="K399" s="86" t="str">
        <f>IF(Second!K152="", "",Second!K152)</f>
        <v/>
      </c>
      <c r="L399" s="88"/>
      <c r="M399" s="67" t="str">
        <f t="shared" si="20"/>
        <v/>
      </c>
      <c r="N399" s="76" t="str">
        <f t="shared" si="21"/>
        <v/>
      </c>
      <c r="O399" s="33">
        <f t="shared" si="19"/>
        <v>0</v>
      </c>
    </row>
    <row r="400" spans="1:15" x14ac:dyDescent="0.25">
      <c r="A400" s="64" t="s">
        <v>204</v>
      </c>
      <c r="B400" s="79" t="str">
        <f>IF(Second!B153="", "",Second!B153)</f>
        <v/>
      </c>
      <c r="C400" s="66" t="str">
        <f>IF(Second!C153="", "",Second!C153)</f>
        <v/>
      </c>
      <c r="D400" s="66" t="str">
        <f>IF(Second!D153="", "",Second!D153)</f>
        <v/>
      </c>
      <c r="E400" s="66" t="str">
        <f>IF(Second!E153="", "",Second!E153)</f>
        <v/>
      </c>
      <c r="F400" s="66" t="str">
        <f>IF(Second!F153="", "",Second!F153)</f>
        <v/>
      </c>
      <c r="G400" s="66" t="str">
        <f>IF(Second!G153="", "",Second!G153)</f>
        <v/>
      </c>
      <c r="H400" s="66" t="str">
        <f>IF(Second!H153="", "",Second!H153)</f>
        <v/>
      </c>
      <c r="I400" s="66" t="str">
        <f>IF(Second!I153="", "",Second!I153)</f>
        <v/>
      </c>
      <c r="J400" s="66" t="str">
        <f>IF(Second!J153="", "",Second!J153)</f>
        <v/>
      </c>
      <c r="K400" s="86" t="str">
        <f>IF(Second!K153="", "",Second!K153)</f>
        <v/>
      </c>
      <c r="L400" s="88"/>
      <c r="M400" s="67" t="str">
        <f t="shared" si="20"/>
        <v/>
      </c>
      <c r="N400" s="76" t="str">
        <f t="shared" si="21"/>
        <v/>
      </c>
      <c r="O400" s="33">
        <f t="shared" si="19"/>
        <v>0</v>
      </c>
    </row>
    <row r="401" spans="1:15" x14ac:dyDescent="0.25">
      <c r="A401" s="64" t="s">
        <v>204</v>
      </c>
      <c r="B401" s="79" t="str">
        <f>IF(Second!B154="", "",Second!B154)</f>
        <v/>
      </c>
      <c r="C401" s="66" t="str">
        <f>IF(Second!C154="", "",Second!C154)</f>
        <v/>
      </c>
      <c r="D401" s="66" t="str">
        <f>IF(Second!D154="", "",Second!D154)</f>
        <v/>
      </c>
      <c r="E401" s="66" t="str">
        <f>IF(Second!E154="", "",Second!E154)</f>
        <v/>
      </c>
      <c r="F401" s="66" t="str">
        <f>IF(Second!F154="", "",Second!F154)</f>
        <v/>
      </c>
      <c r="G401" s="66" t="str">
        <f>IF(Second!G154="", "",Second!G154)</f>
        <v/>
      </c>
      <c r="H401" s="66" t="str">
        <f>IF(Second!H154="", "",Second!H154)</f>
        <v/>
      </c>
      <c r="I401" s="66" t="str">
        <f>IF(Second!I154="", "",Second!I154)</f>
        <v/>
      </c>
      <c r="J401" s="66" t="str">
        <f>IF(Second!J154="", "",Second!J154)</f>
        <v/>
      </c>
      <c r="K401" s="86" t="str">
        <f>IF(Second!K154="", "",Second!K154)</f>
        <v/>
      </c>
      <c r="L401" s="88"/>
      <c r="M401" s="67" t="str">
        <f t="shared" si="20"/>
        <v/>
      </c>
      <c r="N401" s="76" t="str">
        <f t="shared" si="21"/>
        <v/>
      </c>
      <c r="O401" s="33">
        <f t="shared" si="19"/>
        <v>0</v>
      </c>
    </row>
    <row r="402" spans="1:15" x14ac:dyDescent="0.25">
      <c r="A402" s="64" t="s">
        <v>204</v>
      </c>
      <c r="B402" s="79" t="str">
        <f>IF(Second!B155="", "",Second!B155)</f>
        <v/>
      </c>
      <c r="C402" s="66" t="str">
        <f>IF(Second!C155="", "",Second!C155)</f>
        <v/>
      </c>
      <c r="D402" s="66" t="str">
        <f>IF(Second!D155="", "",Second!D155)</f>
        <v/>
      </c>
      <c r="E402" s="66" t="str">
        <f>IF(Second!E155="", "",Second!E155)</f>
        <v/>
      </c>
      <c r="F402" s="66" t="str">
        <f>IF(Second!F155="", "",Second!F155)</f>
        <v/>
      </c>
      <c r="G402" s="66" t="str">
        <f>IF(Second!G155="", "",Second!G155)</f>
        <v/>
      </c>
      <c r="H402" s="66" t="str">
        <f>IF(Second!H155="", "",Second!H155)</f>
        <v/>
      </c>
      <c r="I402" s="66" t="str">
        <f>IF(Second!I155="", "",Second!I155)</f>
        <v/>
      </c>
      <c r="J402" s="66" t="str">
        <f>IF(Second!J155="", "",Second!J155)</f>
        <v/>
      </c>
      <c r="K402" s="86" t="str">
        <f>IF(Second!K155="", "",Second!K155)</f>
        <v/>
      </c>
      <c r="M402" s="67" t="str">
        <f t="shared" si="20"/>
        <v/>
      </c>
      <c r="N402" s="76" t="str">
        <f t="shared" si="21"/>
        <v/>
      </c>
      <c r="O402" s="33">
        <f t="shared" si="19"/>
        <v>0</v>
      </c>
    </row>
    <row r="403" spans="1:15" x14ac:dyDescent="0.25">
      <c r="A403" s="64" t="s">
        <v>204</v>
      </c>
      <c r="B403" s="79" t="str">
        <f>IF(Second!B156="", "",Second!B156)</f>
        <v/>
      </c>
      <c r="C403" s="66" t="str">
        <f>IF(Second!C156="", "",Second!C156)</f>
        <v/>
      </c>
      <c r="D403" s="66" t="str">
        <f>IF(Second!D156="", "",Second!D156)</f>
        <v/>
      </c>
      <c r="E403" s="66" t="str">
        <f>IF(Second!E156="", "",Second!E156)</f>
        <v/>
      </c>
      <c r="F403" s="66" t="str">
        <f>IF(Second!F156="", "",Second!F156)</f>
        <v/>
      </c>
      <c r="G403" s="66" t="str">
        <f>IF(Second!G156="", "",Second!G156)</f>
        <v/>
      </c>
      <c r="H403" s="66" t="str">
        <f>IF(Second!H156="", "",Second!H156)</f>
        <v/>
      </c>
      <c r="I403" s="66" t="str">
        <f>IF(Second!I156="", "",Second!I156)</f>
        <v/>
      </c>
      <c r="J403" s="66" t="str">
        <f>IF(Second!J156="", "",Second!J156)</f>
        <v/>
      </c>
      <c r="K403" s="86" t="str">
        <f>IF(Second!K156="", "",Second!K156)</f>
        <v/>
      </c>
      <c r="M403" s="67" t="str">
        <f t="shared" si="20"/>
        <v/>
      </c>
      <c r="N403" s="76" t="str">
        <f t="shared" si="21"/>
        <v/>
      </c>
      <c r="O403" s="33">
        <f t="shared" si="19"/>
        <v>0</v>
      </c>
    </row>
    <row r="404" spans="1:15" x14ac:dyDescent="0.25">
      <c r="A404" s="64" t="s">
        <v>204</v>
      </c>
      <c r="B404" s="79" t="str">
        <f>IF(Second!B157="", "",Second!B157)</f>
        <v/>
      </c>
      <c r="C404" s="66" t="str">
        <f>IF(Second!C157="", "",Second!C157)</f>
        <v/>
      </c>
      <c r="D404" s="66" t="str">
        <f>IF(Second!D157="", "",Second!D157)</f>
        <v/>
      </c>
      <c r="E404" s="66" t="str">
        <f>IF(Second!E157="", "",Second!E157)</f>
        <v/>
      </c>
      <c r="F404" s="66" t="str">
        <f>IF(Second!F157="", "",Second!F157)</f>
        <v/>
      </c>
      <c r="G404" s="66" t="str">
        <f>IF(Second!G157="", "",Second!G157)</f>
        <v/>
      </c>
      <c r="H404" s="66" t="str">
        <f>IF(Second!H157="", "",Second!H157)</f>
        <v/>
      </c>
      <c r="I404" s="66" t="str">
        <f>IF(Second!I157="", "",Second!I157)</f>
        <v/>
      </c>
      <c r="J404" s="66" t="str">
        <f>IF(Second!J157="", "",Second!J157)</f>
        <v/>
      </c>
      <c r="K404" s="86" t="str">
        <f>IF(Second!K157="", "",Second!K157)</f>
        <v/>
      </c>
      <c r="M404" s="67" t="str">
        <f t="shared" si="20"/>
        <v/>
      </c>
      <c r="N404" s="76" t="str">
        <f t="shared" si="21"/>
        <v/>
      </c>
      <c r="O404" s="33">
        <f t="shared" si="19"/>
        <v>0</v>
      </c>
    </row>
    <row r="405" spans="1:15" x14ac:dyDescent="0.25">
      <c r="A405" s="64" t="s">
        <v>204</v>
      </c>
      <c r="B405" s="79" t="str">
        <f>IF(Second!B158="", "",Second!B158)</f>
        <v/>
      </c>
      <c r="C405" s="66" t="str">
        <f>IF(Second!C158="", "",Second!C158)</f>
        <v/>
      </c>
      <c r="D405" s="66" t="str">
        <f>IF(Second!D158="", "",Second!D158)</f>
        <v/>
      </c>
      <c r="E405" s="66" t="str">
        <f>IF(Second!E158="", "",Second!E158)</f>
        <v/>
      </c>
      <c r="F405" s="66" t="str">
        <f>IF(Second!F158="", "",Second!F158)</f>
        <v/>
      </c>
      <c r="G405" s="66" t="str">
        <f>IF(Second!G158="", "",Second!G158)</f>
        <v/>
      </c>
      <c r="H405" s="66" t="str">
        <f>IF(Second!H158="", "",Second!H158)</f>
        <v/>
      </c>
      <c r="I405" s="66" t="str">
        <f>IF(Second!I158="", "",Second!I158)</f>
        <v/>
      </c>
      <c r="J405" s="66" t="str">
        <f>IF(Second!J158="", "",Second!J158)</f>
        <v/>
      </c>
      <c r="K405" s="86" t="str">
        <f>IF(Second!K158="", "",Second!K158)</f>
        <v/>
      </c>
      <c r="M405" s="67" t="str">
        <f t="shared" si="20"/>
        <v/>
      </c>
      <c r="N405" s="76" t="str">
        <f t="shared" si="21"/>
        <v/>
      </c>
      <c r="O405" s="33">
        <f t="shared" si="19"/>
        <v>0</v>
      </c>
    </row>
    <row r="406" spans="1:15" x14ac:dyDescent="0.25">
      <c r="A406" s="64" t="s">
        <v>204</v>
      </c>
      <c r="B406" s="79" t="str">
        <f>IF(Second!B159="", "",Second!B159)</f>
        <v/>
      </c>
      <c r="C406" s="66" t="str">
        <f>IF(Second!C159="", "",Second!C159)</f>
        <v/>
      </c>
      <c r="D406" s="66" t="str">
        <f>IF(Second!D159="", "",Second!D159)</f>
        <v/>
      </c>
      <c r="E406" s="66" t="str">
        <f>IF(Second!E159="", "",Second!E159)</f>
        <v/>
      </c>
      <c r="F406" s="66" t="str">
        <f>IF(Second!F159="", "",Second!F159)</f>
        <v/>
      </c>
      <c r="G406" s="66" t="str">
        <f>IF(Second!G159="", "",Second!G159)</f>
        <v/>
      </c>
      <c r="H406" s="66" t="str">
        <f>IF(Second!H159="", "",Second!H159)</f>
        <v/>
      </c>
      <c r="I406" s="66" t="str">
        <f>IF(Second!I159="", "",Second!I159)</f>
        <v/>
      </c>
      <c r="J406" s="66" t="str">
        <f>IF(Second!J159="", "",Second!J159)</f>
        <v/>
      </c>
      <c r="K406" s="86" t="str">
        <f>IF(Second!K159="", "",Second!K159)</f>
        <v/>
      </c>
      <c r="M406" s="67" t="str">
        <f t="shared" si="20"/>
        <v/>
      </c>
      <c r="N406" s="76" t="str">
        <f t="shared" si="21"/>
        <v/>
      </c>
      <c r="O406" s="33">
        <f t="shared" si="19"/>
        <v>0</v>
      </c>
    </row>
    <row r="407" spans="1:15" x14ac:dyDescent="0.25">
      <c r="A407" s="64" t="s">
        <v>204</v>
      </c>
      <c r="B407" s="79" t="str">
        <f>IF(Second!B160="", "",Second!B160)</f>
        <v/>
      </c>
      <c r="C407" s="66" t="str">
        <f>IF(Second!C160="", "",Second!C160)</f>
        <v/>
      </c>
      <c r="D407" s="66" t="str">
        <f>IF(Second!D160="", "",Second!D160)</f>
        <v/>
      </c>
      <c r="E407" s="66" t="str">
        <f>IF(Second!E160="", "",Second!E160)</f>
        <v/>
      </c>
      <c r="F407" s="66" t="str">
        <f>IF(Second!F160="", "",Second!F160)</f>
        <v/>
      </c>
      <c r="G407" s="66" t="str">
        <f>IF(Second!G160="", "",Second!G160)</f>
        <v/>
      </c>
      <c r="H407" s="66" t="str">
        <f>IF(Second!H160="", "",Second!H160)</f>
        <v/>
      </c>
      <c r="I407" s="66" t="str">
        <f>IF(Second!I160="", "",Second!I160)</f>
        <v/>
      </c>
      <c r="J407" s="66" t="str">
        <f>IF(Second!J160="", "",Second!J160)</f>
        <v/>
      </c>
      <c r="K407" s="86" t="str">
        <f>IF(Second!K160="", "",Second!K160)</f>
        <v/>
      </c>
      <c r="M407" s="67" t="str">
        <f t="shared" si="20"/>
        <v/>
      </c>
      <c r="N407" s="76" t="str">
        <f t="shared" si="21"/>
        <v/>
      </c>
      <c r="O407" s="33">
        <f t="shared" si="19"/>
        <v>0</v>
      </c>
    </row>
    <row r="408" spans="1:15" x14ac:dyDescent="0.25">
      <c r="A408" s="64" t="s">
        <v>204</v>
      </c>
      <c r="B408" s="79" t="str">
        <f>IF(Second!B161="", "",Second!B161)</f>
        <v/>
      </c>
      <c r="C408" s="66" t="str">
        <f>IF(Second!C161="", "",Second!C161)</f>
        <v/>
      </c>
      <c r="D408" s="66" t="str">
        <f>IF(Second!D161="", "",Second!D161)</f>
        <v/>
      </c>
      <c r="E408" s="66" t="str">
        <f>IF(Second!E161="", "",Second!E161)</f>
        <v/>
      </c>
      <c r="F408" s="66" t="str">
        <f>IF(Second!F161="", "",Second!F161)</f>
        <v/>
      </c>
      <c r="G408" s="66" t="str">
        <f>IF(Second!G161="", "",Second!G161)</f>
        <v/>
      </c>
      <c r="H408" s="66" t="str">
        <f>IF(Second!H161="", "",Second!H161)</f>
        <v/>
      </c>
      <c r="I408" s="66" t="str">
        <f>IF(Second!I161="", "",Second!I161)</f>
        <v/>
      </c>
      <c r="J408" s="66" t="str">
        <f>IF(Second!J161="", "",Second!J161)</f>
        <v/>
      </c>
      <c r="K408" s="86" t="str">
        <f>IF(Second!K161="", "",Second!K161)</f>
        <v/>
      </c>
      <c r="M408" s="67" t="str">
        <f t="shared" si="20"/>
        <v/>
      </c>
      <c r="N408" s="76" t="str">
        <f t="shared" si="21"/>
        <v/>
      </c>
      <c r="O408" s="33">
        <f t="shared" si="19"/>
        <v>0</v>
      </c>
    </row>
    <row r="409" spans="1:15" x14ac:dyDescent="0.25">
      <c r="A409" s="64" t="s">
        <v>204</v>
      </c>
      <c r="B409" s="79" t="str">
        <f>IF(Second!B162="", "",Second!B162)</f>
        <v/>
      </c>
      <c r="C409" s="66" t="str">
        <f>IF(Second!C162="", "",Second!C162)</f>
        <v/>
      </c>
      <c r="D409" s="66" t="str">
        <f>IF(Second!D162="", "",Second!D162)</f>
        <v/>
      </c>
      <c r="E409" s="66" t="str">
        <f>IF(Second!E162="", "",Second!E162)</f>
        <v/>
      </c>
      <c r="F409" s="66" t="str">
        <f>IF(Second!F162="", "",Second!F162)</f>
        <v/>
      </c>
      <c r="G409" s="66" t="str">
        <f>IF(Second!G162="", "",Second!G162)</f>
        <v/>
      </c>
      <c r="H409" s="66" t="str">
        <f>IF(Second!H162="", "",Second!H162)</f>
        <v/>
      </c>
      <c r="I409" s="66" t="str">
        <f>IF(Second!I162="", "",Second!I162)</f>
        <v/>
      </c>
      <c r="J409" s="66" t="str">
        <f>IF(Second!J162="", "",Second!J162)</f>
        <v/>
      </c>
      <c r="K409" s="86" t="str">
        <f>IF(Second!K162="", "",Second!K162)</f>
        <v/>
      </c>
      <c r="M409" s="67" t="str">
        <f t="shared" si="20"/>
        <v/>
      </c>
      <c r="N409" s="76" t="str">
        <f t="shared" si="21"/>
        <v/>
      </c>
      <c r="O409" s="33">
        <f t="shared" si="19"/>
        <v>0</v>
      </c>
    </row>
    <row r="410" spans="1:15" x14ac:dyDescent="0.25">
      <c r="A410" s="64" t="s">
        <v>204</v>
      </c>
      <c r="B410" s="79" t="str">
        <f>IF(Second!B163="", "",Second!B163)</f>
        <v/>
      </c>
      <c r="C410" s="66" t="str">
        <f>IF(Second!C163="", "",Second!C163)</f>
        <v/>
      </c>
      <c r="D410" s="66" t="str">
        <f>IF(Second!D163="", "",Second!D163)</f>
        <v/>
      </c>
      <c r="E410" s="66" t="str">
        <f>IF(Second!E163="", "",Second!E163)</f>
        <v/>
      </c>
      <c r="F410" s="66" t="str">
        <f>IF(Second!F163="", "",Second!F163)</f>
        <v/>
      </c>
      <c r="G410" s="66" t="str">
        <f>IF(Second!G163="", "",Second!G163)</f>
        <v/>
      </c>
      <c r="H410" s="66" t="str">
        <f>IF(Second!H163="", "",Second!H163)</f>
        <v/>
      </c>
      <c r="I410" s="66" t="str">
        <f>IF(Second!I163="", "",Second!I163)</f>
        <v/>
      </c>
      <c r="J410" s="66" t="str">
        <f>IF(Second!J163="", "",Second!J163)</f>
        <v/>
      </c>
      <c r="K410" s="86" t="str">
        <f>IF(Second!K163="", "",Second!K163)</f>
        <v/>
      </c>
      <c r="M410" s="67" t="str">
        <f t="shared" si="20"/>
        <v/>
      </c>
      <c r="N410" s="76" t="str">
        <f t="shared" si="21"/>
        <v/>
      </c>
      <c r="O410" s="33">
        <f t="shared" si="19"/>
        <v>0</v>
      </c>
    </row>
    <row r="411" spans="1:15" x14ac:dyDescent="0.25">
      <c r="A411" s="64" t="s">
        <v>204</v>
      </c>
      <c r="B411" s="79" t="str">
        <f>IF(Second!B164="", "",Second!B164)</f>
        <v/>
      </c>
      <c r="C411" s="66" t="str">
        <f>IF(Second!C164="", "",Second!C164)</f>
        <v/>
      </c>
      <c r="D411" s="66" t="str">
        <f>IF(Second!D164="", "",Second!D164)</f>
        <v/>
      </c>
      <c r="E411" s="66" t="str">
        <f>IF(Second!E164="", "",Second!E164)</f>
        <v/>
      </c>
      <c r="F411" s="66" t="str">
        <f>IF(Second!F164="", "",Second!F164)</f>
        <v/>
      </c>
      <c r="G411" s="66" t="str">
        <f>IF(Second!G164="", "",Second!G164)</f>
        <v/>
      </c>
      <c r="H411" s="66" t="str">
        <f>IF(Second!H164="", "",Second!H164)</f>
        <v/>
      </c>
      <c r="I411" s="66" t="str">
        <f>IF(Second!I164="", "",Second!I164)</f>
        <v/>
      </c>
      <c r="J411" s="66" t="str">
        <f>IF(Second!J164="", "",Second!J164)</f>
        <v/>
      </c>
      <c r="K411" s="86" t="str">
        <f>IF(Second!K164="", "",Second!K164)</f>
        <v/>
      </c>
      <c r="M411" s="67" t="str">
        <f t="shared" si="20"/>
        <v/>
      </c>
      <c r="N411" s="76" t="str">
        <f t="shared" si="21"/>
        <v/>
      </c>
      <c r="O411" s="33">
        <f t="shared" si="19"/>
        <v>0</v>
      </c>
    </row>
    <row r="412" spans="1:15" x14ac:dyDescent="0.25">
      <c r="A412" s="64" t="s">
        <v>204</v>
      </c>
      <c r="B412" s="79" t="str">
        <f>IF(Second!B165="", "",Second!B165)</f>
        <v/>
      </c>
      <c r="C412" s="66" t="str">
        <f>IF(Second!C165="", "",Second!C165)</f>
        <v/>
      </c>
      <c r="D412" s="66" t="str">
        <f>IF(Second!D165="", "",Second!D165)</f>
        <v/>
      </c>
      <c r="E412" s="66" t="str">
        <f>IF(Second!E165="", "",Second!E165)</f>
        <v/>
      </c>
      <c r="F412" s="66" t="str">
        <f>IF(Second!F165="", "",Second!F165)</f>
        <v/>
      </c>
      <c r="G412" s="66" t="str">
        <f>IF(Second!G165="", "",Second!G165)</f>
        <v/>
      </c>
      <c r="H412" s="66" t="str">
        <f>IF(Second!H165="", "",Second!H165)</f>
        <v/>
      </c>
      <c r="I412" s="66" t="str">
        <f>IF(Second!I165="", "",Second!I165)</f>
        <v/>
      </c>
      <c r="J412" s="66" t="str">
        <f>IF(Second!J165="", "",Second!J165)</f>
        <v/>
      </c>
      <c r="K412" s="86" t="str">
        <f>IF(Second!K165="", "",Second!K165)</f>
        <v/>
      </c>
      <c r="M412" s="67" t="str">
        <f t="shared" si="20"/>
        <v/>
      </c>
      <c r="N412" s="76" t="str">
        <f t="shared" si="21"/>
        <v/>
      </c>
      <c r="O412" s="33">
        <f t="shared" si="19"/>
        <v>0</v>
      </c>
    </row>
    <row r="413" spans="1:15" x14ac:dyDescent="0.25">
      <c r="A413" s="64" t="s">
        <v>204</v>
      </c>
      <c r="B413" s="79" t="str">
        <f>IF(Second!B166="", "",Second!B166)</f>
        <v/>
      </c>
      <c r="C413" s="66" t="str">
        <f>IF(Second!C166="", "",Second!C166)</f>
        <v/>
      </c>
      <c r="D413" s="66" t="str">
        <f>IF(Second!D166="", "",Second!D166)</f>
        <v/>
      </c>
      <c r="E413" s="66" t="str">
        <f>IF(Second!E166="", "",Second!E166)</f>
        <v/>
      </c>
      <c r="F413" s="66" t="str">
        <f>IF(Second!F166="", "",Second!F166)</f>
        <v/>
      </c>
      <c r="G413" s="66" t="str">
        <f>IF(Second!G166="", "",Second!G166)</f>
        <v/>
      </c>
      <c r="H413" s="66" t="str">
        <f>IF(Second!H166="", "",Second!H166)</f>
        <v/>
      </c>
      <c r="I413" s="66" t="str">
        <f>IF(Second!I166="", "",Second!I166)</f>
        <v/>
      </c>
      <c r="J413" s="66" t="str">
        <f>IF(Second!J166="", "",Second!J166)</f>
        <v/>
      </c>
      <c r="K413" s="86" t="str">
        <f>IF(Second!K166="", "",Second!K166)</f>
        <v/>
      </c>
      <c r="M413" s="67" t="str">
        <f t="shared" si="20"/>
        <v/>
      </c>
      <c r="N413" s="76" t="str">
        <f t="shared" si="21"/>
        <v/>
      </c>
      <c r="O413" s="33">
        <f t="shared" si="19"/>
        <v>0</v>
      </c>
    </row>
    <row r="414" spans="1:15" x14ac:dyDescent="0.25">
      <c r="A414" s="64" t="s">
        <v>204</v>
      </c>
      <c r="B414" s="79" t="str">
        <f>IF(Second!B167="", "",Second!B167)</f>
        <v/>
      </c>
      <c r="C414" s="66" t="str">
        <f>IF(Second!C167="", "",Second!C167)</f>
        <v/>
      </c>
      <c r="D414" s="66" t="str">
        <f>IF(Second!D167="", "",Second!D167)</f>
        <v/>
      </c>
      <c r="E414" s="66" t="str">
        <f>IF(Second!E167="", "",Second!E167)</f>
        <v/>
      </c>
      <c r="F414" s="66" t="str">
        <f>IF(Second!F167="", "",Second!F167)</f>
        <v/>
      </c>
      <c r="G414" s="66" t="str">
        <f>IF(Second!G167="", "",Second!G167)</f>
        <v/>
      </c>
      <c r="H414" s="66" t="str">
        <f>IF(Second!H167="", "",Second!H167)</f>
        <v/>
      </c>
      <c r="I414" s="66" t="str">
        <f>IF(Second!I167="", "",Second!I167)</f>
        <v/>
      </c>
      <c r="J414" s="66" t="str">
        <f>IF(Second!J167="", "",Second!J167)</f>
        <v/>
      </c>
      <c r="K414" s="86" t="str">
        <f>IF(Second!K167="", "",Second!K167)</f>
        <v/>
      </c>
      <c r="M414" s="67" t="str">
        <f t="shared" si="20"/>
        <v/>
      </c>
      <c r="N414" s="76" t="str">
        <f t="shared" si="21"/>
        <v/>
      </c>
      <c r="O414" s="33">
        <f t="shared" si="19"/>
        <v>0</v>
      </c>
    </row>
    <row r="415" spans="1:15" x14ac:dyDescent="0.25">
      <c r="A415" s="64" t="s">
        <v>204</v>
      </c>
      <c r="B415" s="79" t="str">
        <f>IF(Second!B168="", "",Second!B168)</f>
        <v/>
      </c>
      <c r="C415" s="66" t="str">
        <f>IF(Second!C168="", "",Second!C168)</f>
        <v/>
      </c>
      <c r="D415" s="66" t="str">
        <f>IF(Second!D168="", "",Second!D168)</f>
        <v/>
      </c>
      <c r="E415" s="66" t="str">
        <f>IF(Second!E168="", "",Second!E168)</f>
        <v/>
      </c>
      <c r="F415" s="66" t="str">
        <f>IF(Second!F168="", "",Second!F168)</f>
        <v/>
      </c>
      <c r="G415" s="66" t="str">
        <f>IF(Second!G168="", "",Second!G168)</f>
        <v/>
      </c>
      <c r="H415" s="66" t="str">
        <f>IF(Second!H168="", "",Second!H168)</f>
        <v/>
      </c>
      <c r="I415" s="66" t="str">
        <f>IF(Second!I168="", "",Second!I168)</f>
        <v/>
      </c>
      <c r="J415" s="66" t="str">
        <f>IF(Second!J168="", "",Second!J168)</f>
        <v/>
      </c>
      <c r="K415" s="86" t="str">
        <f>IF(Second!K168="", "",Second!K168)</f>
        <v/>
      </c>
      <c r="M415" s="67" t="str">
        <f t="shared" si="20"/>
        <v/>
      </c>
      <c r="N415" s="76" t="str">
        <f t="shared" si="21"/>
        <v/>
      </c>
      <c r="O415" s="33">
        <f t="shared" si="19"/>
        <v>0</v>
      </c>
    </row>
    <row r="416" spans="1:15" x14ac:dyDescent="0.25">
      <c r="A416" s="64" t="s">
        <v>204</v>
      </c>
      <c r="B416" s="79" t="str">
        <f>IF(Second!B169="", "",Second!B169)</f>
        <v/>
      </c>
      <c r="C416" s="66" t="str">
        <f>IF(Second!C169="", "",Second!C169)</f>
        <v/>
      </c>
      <c r="D416" s="66" t="str">
        <f>IF(Second!D169="", "",Second!D169)</f>
        <v/>
      </c>
      <c r="E416" s="66" t="str">
        <f>IF(Second!E169="", "",Second!E169)</f>
        <v/>
      </c>
      <c r="F416" s="66" t="str">
        <f>IF(Second!F169="", "",Second!F169)</f>
        <v/>
      </c>
      <c r="G416" s="66" t="str">
        <f>IF(Second!G169="", "",Second!G169)</f>
        <v/>
      </c>
      <c r="H416" s="66" t="str">
        <f>IF(Second!H169="", "",Second!H169)</f>
        <v/>
      </c>
      <c r="I416" s="66" t="str">
        <f>IF(Second!I169="", "",Second!I169)</f>
        <v/>
      </c>
      <c r="J416" s="66" t="str">
        <f>IF(Second!J169="", "",Second!J169)</f>
        <v/>
      </c>
      <c r="K416" s="86" t="str">
        <f>IF(Second!K169="", "",Second!K169)</f>
        <v/>
      </c>
      <c r="M416" s="67" t="str">
        <f t="shared" si="20"/>
        <v/>
      </c>
      <c r="N416" s="76" t="str">
        <f t="shared" si="21"/>
        <v/>
      </c>
      <c r="O416" s="33">
        <f t="shared" si="19"/>
        <v>0</v>
      </c>
    </row>
    <row r="417" spans="1:15" x14ac:dyDescent="0.25">
      <c r="A417" s="64" t="s">
        <v>204</v>
      </c>
      <c r="B417" s="79" t="str">
        <f>IF(Second!B170="", "",Second!B170)</f>
        <v/>
      </c>
      <c r="C417" s="66" t="str">
        <f>IF(Second!C170="", "",Second!C170)</f>
        <v/>
      </c>
      <c r="D417" s="66" t="str">
        <f>IF(Second!D170="", "",Second!D170)</f>
        <v/>
      </c>
      <c r="E417" s="66" t="str">
        <f>IF(Second!E170="", "",Second!E170)</f>
        <v/>
      </c>
      <c r="F417" s="66" t="str">
        <f>IF(Second!F170="", "",Second!F170)</f>
        <v/>
      </c>
      <c r="G417" s="66" t="str">
        <f>IF(Second!G170="", "",Second!G170)</f>
        <v/>
      </c>
      <c r="H417" s="66" t="str">
        <f>IF(Second!H170="", "",Second!H170)</f>
        <v/>
      </c>
      <c r="I417" s="66" t="str">
        <f>IF(Second!I170="", "",Second!I170)</f>
        <v/>
      </c>
      <c r="J417" s="66" t="str">
        <f>IF(Second!J170="", "",Second!J170)</f>
        <v/>
      </c>
      <c r="K417" s="86" t="str">
        <f>IF(Second!K170="", "",Second!K170)</f>
        <v/>
      </c>
      <c r="M417" s="67" t="str">
        <f t="shared" si="20"/>
        <v/>
      </c>
      <c r="N417" s="76" t="str">
        <f t="shared" si="21"/>
        <v/>
      </c>
      <c r="O417" s="33">
        <f t="shared" si="19"/>
        <v>0</v>
      </c>
    </row>
    <row r="418" spans="1:15" x14ac:dyDescent="0.25">
      <c r="A418" s="64" t="s">
        <v>204</v>
      </c>
      <c r="B418" s="79" t="str">
        <f>IF(Second!B171="", "",Second!B171)</f>
        <v/>
      </c>
      <c r="C418" s="66" t="str">
        <f>IF(Second!C171="", "",Second!C171)</f>
        <v/>
      </c>
      <c r="D418" s="66" t="str">
        <f>IF(Second!D171="", "",Second!D171)</f>
        <v/>
      </c>
      <c r="E418" s="66" t="str">
        <f>IF(Second!E171="", "",Second!E171)</f>
        <v/>
      </c>
      <c r="F418" s="66" t="str">
        <f>IF(Second!F171="", "",Second!F171)</f>
        <v/>
      </c>
      <c r="G418" s="66" t="str">
        <f>IF(Second!G171="", "",Second!G171)</f>
        <v/>
      </c>
      <c r="H418" s="66" t="str">
        <f>IF(Second!H171="", "",Second!H171)</f>
        <v/>
      </c>
      <c r="I418" s="66" t="str">
        <f>IF(Second!I171="", "",Second!I171)</f>
        <v/>
      </c>
      <c r="J418" s="66" t="str">
        <f>IF(Second!J171="", "",Second!J171)</f>
        <v/>
      </c>
      <c r="K418" s="86" t="str">
        <f>IF(Second!K171="", "",Second!K171)</f>
        <v/>
      </c>
      <c r="M418" s="67" t="str">
        <f t="shared" si="20"/>
        <v/>
      </c>
      <c r="N418" s="76" t="str">
        <f t="shared" si="21"/>
        <v/>
      </c>
      <c r="O418" s="33">
        <f t="shared" si="19"/>
        <v>0</v>
      </c>
    </row>
    <row r="419" spans="1:15" x14ac:dyDescent="0.25">
      <c r="A419" s="64" t="s">
        <v>204</v>
      </c>
      <c r="B419" s="79" t="str">
        <f>IF(Second!B172="", "",Second!B172)</f>
        <v/>
      </c>
      <c r="C419" s="66" t="str">
        <f>IF(Second!C172="", "",Second!C172)</f>
        <v/>
      </c>
      <c r="D419" s="66" t="str">
        <f>IF(Second!D172="", "",Second!D172)</f>
        <v/>
      </c>
      <c r="E419" s="66" t="str">
        <f>IF(Second!E172="", "",Second!E172)</f>
        <v/>
      </c>
      <c r="F419" s="66" t="str">
        <f>IF(Second!F172="", "",Second!F172)</f>
        <v/>
      </c>
      <c r="G419" s="66" t="str">
        <f>IF(Second!G172="", "",Second!G172)</f>
        <v/>
      </c>
      <c r="H419" s="66" t="str">
        <f>IF(Second!H172="", "",Second!H172)</f>
        <v/>
      </c>
      <c r="I419" s="66" t="str">
        <f>IF(Second!I172="", "",Second!I172)</f>
        <v/>
      </c>
      <c r="J419" s="66" t="str">
        <f>IF(Second!J172="", "",Second!J172)</f>
        <v/>
      </c>
      <c r="K419" s="86" t="str">
        <f>IF(Second!K172="", "",Second!K172)</f>
        <v/>
      </c>
      <c r="M419" s="67" t="str">
        <f t="shared" si="20"/>
        <v/>
      </c>
      <c r="N419" s="76" t="str">
        <f t="shared" si="21"/>
        <v/>
      </c>
      <c r="O419" s="33">
        <f t="shared" si="19"/>
        <v>0</v>
      </c>
    </row>
    <row r="420" spans="1:15" x14ac:dyDescent="0.25">
      <c r="A420" s="64" t="s">
        <v>204</v>
      </c>
      <c r="B420" s="79" t="str">
        <f>IF(Second!B173="", "",Second!B173)</f>
        <v/>
      </c>
      <c r="C420" s="66" t="str">
        <f>IF(Second!C173="", "",Second!C173)</f>
        <v/>
      </c>
      <c r="D420" s="66" t="str">
        <f>IF(Second!D173="", "",Second!D173)</f>
        <v/>
      </c>
      <c r="E420" s="66" t="str">
        <f>IF(Second!E173="", "",Second!E173)</f>
        <v/>
      </c>
      <c r="F420" s="66" t="str">
        <f>IF(Second!F173="", "",Second!F173)</f>
        <v/>
      </c>
      <c r="G420" s="66" t="str">
        <f>IF(Second!G173="", "",Second!G173)</f>
        <v/>
      </c>
      <c r="H420" s="66" t="str">
        <f>IF(Second!H173="", "",Second!H173)</f>
        <v/>
      </c>
      <c r="I420" s="66" t="str">
        <f>IF(Second!I173="", "",Second!I173)</f>
        <v/>
      </c>
      <c r="J420" s="66" t="str">
        <f>IF(Second!J173="", "",Second!J173)</f>
        <v/>
      </c>
      <c r="K420" s="86" t="str">
        <f>IF(Second!K173="", "",Second!K173)</f>
        <v/>
      </c>
      <c r="M420" s="67" t="str">
        <f t="shared" si="20"/>
        <v/>
      </c>
      <c r="N420" s="76" t="str">
        <f t="shared" si="21"/>
        <v/>
      </c>
      <c r="O420" s="33">
        <f t="shared" si="19"/>
        <v>0</v>
      </c>
    </row>
    <row r="421" spans="1:15" x14ac:dyDescent="0.25">
      <c r="A421" s="64" t="s">
        <v>204</v>
      </c>
      <c r="B421" s="79" t="str">
        <f>IF(Second!B174="", "",Second!B174)</f>
        <v/>
      </c>
      <c r="C421" s="66" t="str">
        <f>IF(Second!C174="", "",Second!C174)</f>
        <v/>
      </c>
      <c r="D421" s="66" t="str">
        <f>IF(Second!D174="", "",Second!D174)</f>
        <v/>
      </c>
      <c r="E421" s="66" t="str">
        <f>IF(Second!E174="", "",Second!E174)</f>
        <v/>
      </c>
      <c r="F421" s="66" t="str">
        <f>IF(Second!F174="", "",Second!F174)</f>
        <v/>
      </c>
      <c r="G421" s="66" t="str">
        <f>IF(Second!G174="", "",Second!G174)</f>
        <v/>
      </c>
      <c r="H421" s="66" t="str">
        <f>IF(Second!H174="", "",Second!H174)</f>
        <v/>
      </c>
      <c r="I421" s="66" t="str">
        <f>IF(Second!I174="", "",Second!I174)</f>
        <v/>
      </c>
      <c r="J421" s="66" t="str">
        <f>IF(Second!J174="", "",Second!J174)</f>
        <v/>
      </c>
      <c r="K421" s="86" t="str">
        <f>IF(Second!K174="", "",Second!K174)</f>
        <v/>
      </c>
      <c r="M421" s="67" t="str">
        <f t="shared" si="20"/>
        <v/>
      </c>
      <c r="N421" s="76" t="str">
        <f t="shared" si="21"/>
        <v/>
      </c>
      <c r="O421" s="33">
        <f t="shared" si="19"/>
        <v>0</v>
      </c>
    </row>
    <row r="422" spans="1:15" x14ac:dyDescent="0.25">
      <c r="A422" s="64" t="s">
        <v>204</v>
      </c>
      <c r="B422" s="79" t="str">
        <f>IF(Second!B175="", "",Second!B175)</f>
        <v/>
      </c>
      <c r="C422" s="66" t="str">
        <f>IF(Second!C175="", "",Second!C175)</f>
        <v/>
      </c>
      <c r="D422" s="66" t="str">
        <f>IF(Second!D175="", "",Second!D175)</f>
        <v/>
      </c>
      <c r="E422" s="66" t="str">
        <f>IF(Second!E175="", "",Second!E175)</f>
        <v/>
      </c>
      <c r="F422" s="66" t="str">
        <f>IF(Second!F175="", "",Second!F175)</f>
        <v/>
      </c>
      <c r="G422" s="66" t="str">
        <f>IF(Second!G175="", "",Second!G175)</f>
        <v/>
      </c>
      <c r="H422" s="66" t="str">
        <f>IF(Second!H175="", "",Second!H175)</f>
        <v/>
      </c>
      <c r="I422" s="66" t="str">
        <f>IF(Second!I175="", "",Second!I175)</f>
        <v/>
      </c>
      <c r="J422" s="66" t="str">
        <f>IF(Second!J175="", "",Second!J175)</f>
        <v/>
      </c>
      <c r="K422" s="86" t="str">
        <f>IF(Second!K175="", "",Second!K175)</f>
        <v/>
      </c>
      <c r="M422" s="67" t="str">
        <f t="shared" si="20"/>
        <v/>
      </c>
      <c r="N422" s="76" t="str">
        <f t="shared" si="21"/>
        <v/>
      </c>
      <c r="O422" s="33">
        <f t="shared" si="19"/>
        <v>0</v>
      </c>
    </row>
    <row r="423" spans="1:15" x14ac:dyDescent="0.25">
      <c r="A423" s="64" t="s">
        <v>204</v>
      </c>
      <c r="B423" s="79" t="str">
        <f>IF(Second!B176="", "",Second!B176)</f>
        <v/>
      </c>
      <c r="C423" s="66" t="str">
        <f>IF(Second!C176="", "",Second!C176)</f>
        <v/>
      </c>
      <c r="D423" s="66" t="str">
        <f>IF(Second!D176="", "",Second!D176)</f>
        <v/>
      </c>
      <c r="E423" s="66" t="str">
        <f>IF(Second!E176="", "",Second!E176)</f>
        <v/>
      </c>
      <c r="F423" s="66" t="str">
        <f>IF(Second!F176="", "",Second!F176)</f>
        <v/>
      </c>
      <c r="G423" s="66" t="str">
        <f>IF(Second!G176="", "",Second!G176)</f>
        <v/>
      </c>
      <c r="H423" s="66" t="str">
        <f>IF(Second!H176="", "",Second!H176)</f>
        <v/>
      </c>
      <c r="I423" s="66" t="str">
        <f>IF(Second!I176="", "",Second!I176)</f>
        <v/>
      </c>
      <c r="J423" s="66" t="str">
        <f>IF(Second!J176="", "",Second!J176)</f>
        <v/>
      </c>
      <c r="K423" s="86" t="str">
        <f>IF(Second!K176="", "",Second!K176)</f>
        <v/>
      </c>
      <c r="M423" s="67" t="str">
        <f t="shared" si="20"/>
        <v/>
      </c>
      <c r="N423" s="76" t="str">
        <f t="shared" si="21"/>
        <v/>
      </c>
      <c r="O423" s="33">
        <f t="shared" si="19"/>
        <v>0</v>
      </c>
    </row>
    <row r="424" spans="1:15" x14ac:dyDescent="0.25">
      <c r="A424" s="64" t="s">
        <v>204</v>
      </c>
      <c r="B424" s="79" t="str">
        <f>IF(Second!B177="", "",Second!B177)</f>
        <v/>
      </c>
      <c r="C424" s="66" t="str">
        <f>IF(Second!C177="", "",Second!C177)</f>
        <v/>
      </c>
      <c r="D424" s="66" t="str">
        <f>IF(Second!D177="", "",Second!D177)</f>
        <v/>
      </c>
      <c r="E424" s="66" t="str">
        <f>IF(Second!E177="", "",Second!E177)</f>
        <v/>
      </c>
      <c r="F424" s="66" t="str">
        <f>IF(Second!F177="", "",Second!F177)</f>
        <v/>
      </c>
      <c r="G424" s="66" t="str">
        <f>IF(Second!G177="", "",Second!G177)</f>
        <v/>
      </c>
      <c r="H424" s="66" t="str">
        <f>IF(Second!H177="", "",Second!H177)</f>
        <v/>
      </c>
      <c r="I424" s="66" t="str">
        <f>IF(Second!I177="", "",Second!I177)</f>
        <v/>
      </c>
      <c r="J424" s="66" t="str">
        <f>IF(Second!J177="", "",Second!J177)</f>
        <v/>
      </c>
      <c r="K424" s="86" t="str">
        <f>IF(Second!K177="", "",Second!K177)</f>
        <v/>
      </c>
      <c r="M424" s="67" t="str">
        <f t="shared" si="20"/>
        <v/>
      </c>
      <c r="N424" s="76" t="str">
        <f t="shared" si="21"/>
        <v/>
      </c>
      <c r="O424" s="33">
        <f t="shared" si="19"/>
        <v>0</v>
      </c>
    </row>
    <row r="425" spans="1:15" x14ac:dyDescent="0.25">
      <c r="A425" s="64" t="s">
        <v>204</v>
      </c>
      <c r="B425" s="79" t="str">
        <f>IF(Second!B178="", "",Second!B178)</f>
        <v/>
      </c>
      <c r="C425" s="66" t="str">
        <f>IF(Second!C178="", "",Second!C178)</f>
        <v/>
      </c>
      <c r="D425" s="66" t="str">
        <f>IF(Second!D178="", "",Second!D178)</f>
        <v/>
      </c>
      <c r="E425" s="66" t="str">
        <f>IF(Second!E178="", "",Second!E178)</f>
        <v/>
      </c>
      <c r="F425" s="66" t="str">
        <f>IF(Second!F178="", "",Second!F178)</f>
        <v/>
      </c>
      <c r="G425" s="66" t="str">
        <f>IF(Second!G178="", "",Second!G178)</f>
        <v/>
      </c>
      <c r="H425" s="66" t="str">
        <f>IF(Second!H178="", "",Second!H178)</f>
        <v/>
      </c>
      <c r="I425" s="66" t="str">
        <f>IF(Second!I178="", "",Second!I178)</f>
        <v/>
      </c>
      <c r="J425" s="66" t="str">
        <f>IF(Second!J178="", "",Second!J178)</f>
        <v/>
      </c>
      <c r="K425" s="86" t="str">
        <f>IF(Second!K178="", "",Second!K178)</f>
        <v/>
      </c>
      <c r="M425" s="67" t="str">
        <f t="shared" si="20"/>
        <v/>
      </c>
      <c r="N425" s="76" t="str">
        <f t="shared" si="21"/>
        <v/>
      </c>
      <c r="O425" s="33">
        <f t="shared" si="19"/>
        <v>0</v>
      </c>
    </row>
    <row r="426" spans="1:15" x14ac:dyDescent="0.25">
      <c r="A426" s="64" t="s">
        <v>204</v>
      </c>
      <c r="B426" s="79" t="str">
        <f>IF(Second!B179="", "",Second!B179)</f>
        <v/>
      </c>
      <c r="C426" s="66" t="str">
        <f>IF(Second!C179="", "",Second!C179)</f>
        <v/>
      </c>
      <c r="D426" s="66" t="str">
        <f>IF(Second!D179="", "",Second!D179)</f>
        <v/>
      </c>
      <c r="E426" s="66" t="str">
        <f>IF(Second!E179="", "",Second!E179)</f>
        <v/>
      </c>
      <c r="F426" s="66" t="str">
        <f>IF(Second!F179="", "",Second!F179)</f>
        <v/>
      </c>
      <c r="G426" s="66" t="str">
        <f>IF(Second!G179="", "",Second!G179)</f>
        <v/>
      </c>
      <c r="H426" s="66" t="str">
        <f>IF(Second!H179="", "",Second!H179)</f>
        <v/>
      </c>
      <c r="I426" s="66" t="str">
        <f>IF(Second!I179="", "",Second!I179)</f>
        <v/>
      </c>
      <c r="J426" s="66" t="str">
        <f>IF(Second!J179="", "",Second!J179)</f>
        <v/>
      </c>
      <c r="K426" s="86" t="str">
        <f>IF(Second!K179="", "",Second!K179)</f>
        <v/>
      </c>
      <c r="M426" s="67" t="str">
        <f t="shared" si="20"/>
        <v/>
      </c>
      <c r="N426" s="76" t="str">
        <f t="shared" si="21"/>
        <v/>
      </c>
      <c r="O426" s="33">
        <f t="shared" si="19"/>
        <v>0</v>
      </c>
    </row>
    <row r="427" spans="1:15" x14ac:dyDescent="0.25">
      <c r="A427" s="64" t="s">
        <v>204</v>
      </c>
      <c r="B427" s="79" t="str">
        <f>IF(Second!B180="", "",Second!B180)</f>
        <v/>
      </c>
      <c r="C427" s="66" t="str">
        <f>IF(Second!C180="", "",Second!C180)</f>
        <v/>
      </c>
      <c r="D427" s="66" t="str">
        <f>IF(Second!D180="", "",Second!D180)</f>
        <v/>
      </c>
      <c r="E427" s="66" t="str">
        <f>IF(Second!E180="", "",Second!E180)</f>
        <v/>
      </c>
      <c r="F427" s="66" t="str">
        <f>IF(Second!F180="", "",Second!F180)</f>
        <v/>
      </c>
      <c r="G427" s="66" t="str">
        <f>IF(Second!G180="", "",Second!G180)</f>
        <v/>
      </c>
      <c r="H427" s="66" t="str">
        <f>IF(Second!H180="", "",Second!H180)</f>
        <v/>
      </c>
      <c r="I427" s="66" t="str">
        <f>IF(Second!I180="", "",Second!I180)</f>
        <v/>
      </c>
      <c r="J427" s="66" t="str">
        <f>IF(Second!J180="", "",Second!J180)</f>
        <v/>
      </c>
      <c r="K427" s="86" t="str">
        <f>IF(Second!K180="", "",Second!K180)</f>
        <v/>
      </c>
      <c r="M427" s="67" t="str">
        <f t="shared" si="20"/>
        <v/>
      </c>
      <c r="N427" s="76" t="str">
        <f t="shared" si="21"/>
        <v/>
      </c>
      <c r="O427" s="33">
        <f t="shared" si="19"/>
        <v>0</v>
      </c>
    </row>
    <row r="428" spans="1:15" x14ac:dyDescent="0.25">
      <c r="A428" s="64" t="s">
        <v>204</v>
      </c>
      <c r="B428" s="79" t="str">
        <f>IF(Second!B181="", "",Second!B181)</f>
        <v/>
      </c>
      <c r="C428" s="66" t="str">
        <f>IF(Second!C181="", "",Second!C181)</f>
        <v/>
      </c>
      <c r="D428" s="66" t="str">
        <f>IF(Second!D181="", "",Second!D181)</f>
        <v/>
      </c>
      <c r="E428" s="66" t="str">
        <f>IF(Second!E181="", "",Second!E181)</f>
        <v/>
      </c>
      <c r="F428" s="66" t="str">
        <f>IF(Second!F181="", "",Second!F181)</f>
        <v/>
      </c>
      <c r="G428" s="66" t="str">
        <f>IF(Second!G181="", "",Second!G181)</f>
        <v/>
      </c>
      <c r="H428" s="66" t="str">
        <f>IF(Second!H181="", "",Second!H181)</f>
        <v/>
      </c>
      <c r="I428" s="66" t="str">
        <f>IF(Second!I181="", "",Second!I181)</f>
        <v/>
      </c>
      <c r="J428" s="66" t="str">
        <f>IF(Second!J181="", "",Second!J181)</f>
        <v/>
      </c>
      <c r="K428" s="86" t="str">
        <f>IF(Second!K181="", "",Second!K181)</f>
        <v/>
      </c>
      <c r="M428" s="67" t="str">
        <f t="shared" si="20"/>
        <v/>
      </c>
      <c r="N428" s="76" t="str">
        <f t="shared" si="21"/>
        <v/>
      </c>
      <c r="O428" s="33">
        <f t="shared" si="19"/>
        <v>0</v>
      </c>
    </row>
    <row r="429" spans="1:15" x14ac:dyDescent="0.25">
      <c r="A429" s="64" t="s">
        <v>204</v>
      </c>
      <c r="B429" s="79" t="str">
        <f>IF(Second!B182="", "",Second!B182)</f>
        <v/>
      </c>
      <c r="C429" s="66" t="str">
        <f>IF(Second!C182="", "",Second!C182)</f>
        <v/>
      </c>
      <c r="D429" s="66" t="str">
        <f>IF(Second!D182="", "",Second!D182)</f>
        <v/>
      </c>
      <c r="E429" s="66" t="str">
        <f>IF(Second!E182="", "",Second!E182)</f>
        <v/>
      </c>
      <c r="F429" s="66" t="str">
        <f>IF(Second!F182="", "",Second!F182)</f>
        <v/>
      </c>
      <c r="G429" s="66" t="str">
        <f>IF(Second!G182="", "",Second!G182)</f>
        <v/>
      </c>
      <c r="H429" s="66" t="str">
        <f>IF(Second!H182="", "",Second!H182)</f>
        <v/>
      </c>
      <c r="I429" s="66" t="str">
        <f>IF(Second!I182="", "",Second!I182)</f>
        <v/>
      </c>
      <c r="J429" s="66" t="str">
        <f>IF(Second!J182="", "",Second!J182)</f>
        <v/>
      </c>
      <c r="K429" s="86" t="str">
        <f>IF(Second!K182="", "",Second!K182)</f>
        <v/>
      </c>
      <c r="M429" s="67" t="str">
        <f t="shared" si="20"/>
        <v/>
      </c>
      <c r="N429" s="76" t="str">
        <f t="shared" si="21"/>
        <v/>
      </c>
      <c r="O429" s="33">
        <f t="shared" si="19"/>
        <v>0</v>
      </c>
    </row>
    <row r="430" spans="1:15" x14ac:dyDescent="0.25">
      <c r="A430" s="64" t="s">
        <v>204</v>
      </c>
      <c r="B430" s="79" t="str">
        <f>IF(Second!B183="", "",Second!B183)</f>
        <v/>
      </c>
      <c r="C430" s="66" t="str">
        <f>IF(Second!C183="", "",Second!C183)</f>
        <v/>
      </c>
      <c r="D430" s="66" t="str">
        <f>IF(Second!D183="", "",Second!D183)</f>
        <v/>
      </c>
      <c r="E430" s="66" t="str">
        <f>IF(Second!E183="", "",Second!E183)</f>
        <v/>
      </c>
      <c r="F430" s="66" t="str">
        <f>IF(Second!F183="", "",Second!F183)</f>
        <v/>
      </c>
      <c r="G430" s="66" t="str">
        <f>IF(Second!G183="", "",Second!G183)</f>
        <v/>
      </c>
      <c r="H430" s="66" t="str">
        <f>IF(Second!H183="", "",Second!H183)</f>
        <v/>
      </c>
      <c r="I430" s="66" t="str">
        <f>IF(Second!I183="", "",Second!I183)</f>
        <v/>
      </c>
      <c r="J430" s="66" t="str">
        <f>IF(Second!J183="", "",Second!J183)</f>
        <v/>
      </c>
      <c r="K430" s="86" t="str">
        <f>IF(Second!K183="", "",Second!K183)</f>
        <v/>
      </c>
      <c r="M430" s="67" t="str">
        <f t="shared" si="20"/>
        <v/>
      </c>
      <c r="N430" s="76" t="str">
        <f t="shared" si="21"/>
        <v/>
      </c>
      <c r="O430" s="33">
        <f t="shared" si="19"/>
        <v>0</v>
      </c>
    </row>
    <row r="431" spans="1:15" x14ac:dyDescent="0.25">
      <c r="A431" s="64" t="s">
        <v>204</v>
      </c>
      <c r="B431" s="79" t="str">
        <f>IF(Second!B184="", "",Second!B184)</f>
        <v/>
      </c>
      <c r="C431" s="66" t="str">
        <f>IF(Second!C184="", "",Second!C184)</f>
        <v/>
      </c>
      <c r="D431" s="66" t="str">
        <f>IF(Second!D184="", "",Second!D184)</f>
        <v/>
      </c>
      <c r="E431" s="66" t="str">
        <f>IF(Second!E184="", "",Second!E184)</f>
        <v/>
      </c>
      <c r="F431" s="66" t="str">
        <f>IF(Second!F184="", "",Second!F184)</f>
        <v/>
      </c>
      <c r="G431" s="66" t="str">
        <f>IF(Second!G184="", "",Second!G184)</f>
        <v/>
      </c>
      <c r="H431" s="66" t="str">
        <f>IF(Second!H184="", "",Second!H184)</f>
        <v/>
      </c>
      <c r="I431" s="66" t="str">
        <f>IF(Second!I184="", "",Second!I184)</f>
        <v/>
      </c>
      <c r="J431" s="66" t="str">
        <f>IF(Second!J184="", "",Second!J184)</f>
        <v/>
      </c>
      <c r="K431" s="86" t="str">
        <f>IF(Second!K184="", "",Second!K184)</f>
        <v/>
      </c>
      <c r="M431" s="67" t="str">
        <f t="shared" si="20"/>
        <v/>
      </c>
      <c r="N431" s="76" t="str">
        <f t="shared" si="21"/>
        <v/>
      </c>
      <c r="O431" s="33">
        <f t="shared" si="19"/>
        <v>0</v>
      </c>
    </row>
    <row r="432" spans="1:15" x14ac:dyDescent="0.25">
      <c r="A432" s="64" t="s">
        <v>204</v>
      </c>
      <c r="B432" s="79" t="str">
        <f>IF(Second!B185="", "",Second!B185)</f>
        <v/>
      </c>
      <c r="C432" s="66" t="str">
        <f>IF(Second!C185="", "",Second!C185)</f>
        <v/>
      </c>
      <c r="D432" s="66" t="str">
        <f>IF(Second!D185="", "",Second!D185)</f>
        <v/>
      </c>
      <c r="E432" s="66" t="str">
        <f>IF(Second!E185="", "",Second!E185)</f>
        <v/>
      </c>
      <c r="F432" s="66" t="str">
        <f>IF(Second!F185="", "",Second!F185)</f>
        <v/>
      </c>
      <c r="G432" s="66" t="str">
        <f>IF(Second!G185="", "",Second!G185)</f>
        <v/>
      </c>
      <c r="H432" s="66" t="str">
        <f>IF(Second!H185="", "",Second!H185)</f>
        <v/>
      </c>
      <c r="I432" s="66" t="str">
        <f>IF(Second!I185="", "",Second!I185)</f>
        <v/>
      </c>
      <c r="J432" s="66" t="str">
        <f>IF(Second!J185="", "",Second!J185)</f>
        <v/>
      </c>
      <c r="K432" s="86" t="str">
        <f>IF(Second!K185="", "",Second!K185)</f>
        <v/>
      </c>
      <c r="M432" s="67" t="str">
        <f t="shared" si="20"/>
        <v/>
      </c>
      <c r="N432" s="76" t="str">
        <f t="shared" si="21"/>
        <v/>
      </c>
      <c r="O432" s="33">
        <f t="shared" si="19"/>
        <v>0</v>
      </c>
    </row>
    <row r="433" spans="1:15" x14ac:dyDescent="0.25">
      <c r="A433" s="64" t="s">
        <v>204</v>
      </c>
      <c r="B433" s="79" t="str">
        <f>IF(Second!B186="", "",Second!B186)</f>
        <v/>
      </c>
      <c r="C433" s="66" t="str">
        <f>IF(Second!C186="", "",Second!C186)</f>
        <v/>
      </c>
      <c r="D433" s="66" t="str">
        <f>IF(Second!D186="", "",Second!D186)</f>
        <v/>
      </c>
      <c r="E433" s="66" t="str">
        <f>IF(Second!E186="", "",Second!E186)</f>
        <v/>
      </c>
      <c r="F433" s="66" t="str">
        <f>IF(Second!F186="", "",Second!F186)</f>
        <v/>
      </c>
      <c r="G433" s="66" t="str">
        <f>IF(Second!G186="", "",Second!G186)</f>
        <v/>
      </c>
      <c r="H433" s="66" t="str">
        <f>IF(Second!H186="", "",Second!H186)</f>
        <v/>
      </c>
      <c r="I433" s="66" t="str">
        <f>IF(Second!I186="", "",Second!I186)</f>
        <v/>
      </c>
      <c r="J433" s="66" t="str">
        <f>IF(Second!J186="", "",Second!J186)</f>
        <v/>
      </c>
      <c r="K433" s="86" t="str">
        <f>IF(Second!K186="", "",Second!K186)</f>
        <v/>
      </c>
      <c r="M433" s="67" t="str">
        <f t="shared" si="20"/>
        <v/>
      </c>
      <c r="N433" s="76" t="str">
        <f t="shared" si="21"/>
        <v/>
      </c>
      <c r="O433" s="33">
        <f t="shared" si="19"/>
        <v>0</v>
      </c>
    </row>
    <row r="434" spans="1:15" x14ac:dyDescent="0.25">
      <c r="A434" s="64" t="s">
        <v>204</v>
      </c>
      <c r="B434" s="79" t="str">
        <f>IF(Second!B187="", "",Second!B187)</f>
        <v/>
      </c>
      <c r="C434" s="66" t="str">
        <f>IF(Second!C187="", "",Second!C187)</f>
        <v/>
      </c>
      <c r="D434" s="66" t="str">
        <f>IF(Second!D187="", "",Second!D187)</f>
        <v/>
      </c>
      <c r="E434" s="66" t="str">
        <f>IF(Second!E187="", "",Second!E187)</f>
        <v/>
      </c>
      <c r="F434" s="66" t="str">
        <f>IF(Second!F187="", "",Second!F187)</f>
        <v/>
      </c>
      <c r="G434" s="66" t="str">
        <f>IF(Second!G187="", "",Second!G187)</f>
        <v/>
      </c>
      <c r="H434" s="66" t="str">
        <f>IF(Second!H187="", "",Second!H187)</f>
        <v/>
      </c>
      <c r="I434" s="66" t="str">
        <f>IF(Second!I187="", "",Second!I187)</f>
        <v/>
      </c>
      <c r="J434" s="66" t="str">
        <f>IF(Second!J187="", "",Second!J187)</f>
        <v/>
      </c>
      <c r="K434" s="86" t="str">
        <f>IF(Second!K187="", "",Second!K187)</f>
        <v/>
      </c>
      <c r="M434" s="67" t="str">
        <f t="shared" si="20"/>
        <v/>
      </c>
      <c r="N434" s="76" t="str">
        <f t="shared" si="21"/>
        <v/>
      </c>
      <c r="O434" s="33">
        <f t="shared" si="19"/>
        <v>0</v>
      </c>
    </row>
    <row r="435" spans="1:15" x14ac:dyDescent="0.25">
      <c r="A435" s="64" t="s">
        <v>204</v>
      </c>
      <c r="B435" s="79" t="str">
        <f>IF(Second!B188="", "",Second!B188)</f>
        <v/>
      </c>
      <c r="C435" s="66" t="str">
        <f>IF(Second!C188="", "",Second!C188)</f>
        <v/>
      </c>
      <c r="D435" s="66" t="str">
        <f>IF(Second!D188="", "",Second!D188)</f>
        <v/>
      </c>
      <c r="E435" s="66" t="str">
        <f>IF(Second!E188="", "",Second!E188)</f>
        <v/>
      </c>
      <c r="F435" s="66" t="str">
        <f>IF(Second!F188="", "",Second!F188)</f>
        <v/>
      </c>
      <c r="G435" s="66" t="str">
        <f>IF(Second!G188="", "",Second!G188)</f>
        <v/>
      </c>
      <c r="H435" s="66" t="str">
        <f>IF(Second!H188="", "",Second!H188)</f>
        <v/>
      </c>
      <c r="I435" s="66" t="str">
        <f>IF(Second!I188="", "",Second!I188)</f>
        <v/>
      </c>
      <c r="J435" s="66" t="str">
        <f>IF(Second!J188="", "",Second!J188)</f>
        <v/>
      </c>
      <c r="K435" s="86" t="str">
        <f>IF(Second!K188="", "",Second!K188)</f>
        <v/>
      </c>
      <c r="M435" s="67" t="str">
        <f t="shared" si="20"/>
        <v/>
      </c>
      <c r="N435" s="76" t="str">
        <f t="shared" si="21"/>
        <v/>
      </c>
      <c r="O435" s="33">
        <f t="shared" si="19"/>
        <v>0</v>
      </c>
    </row>
    <row r="436" spans="1:15" x14ac:dyDescent="0.25">
      <c r="A436" s="64" t="s">
        <v>204</v>
      </c>
      <c r="B436" s="79" t="str">
        <f>IF(Second!B189="", "",Second!B189)</f>
        <v/>
      </c>
      <c r="C436" s="66" t="str">
        <f>IF(Second!C189="", "",Second!C189)</f>
        <v/>
      </c>
      <c r="D436" s="66" t="str">
        <f>IF(Second!D189="", "",Second!D189)</f>
        <v/>
      </c>
      <c r="E436" s="66" t="str">
        <f>IF(Second!E189="", "",Second!E189)</f>
        <v/>
      </c>
      <c r="F436" s="66" t="str">
        <f>IF(Second!F189="", "",Second!F189)</f>
        <v/>
      </c>
      <c r="G436" s="66" t="str">
        <f>IF(Second!G189="", "",Second!G189)</f>
        <v/>
      </c>
      <c r="H436" s="66" t="str">
        <f>IF(Second!H189="", "",Second!H189)</f>
        <v/>
      </c>
      <c r="I436" s="66" t="str">
        <f>IF(Second!I189="", "",Second!I189)</f>
        <v/>
      </c>
      <c r="J436" s="66" t="str">
        <f>IF(Second!J189="", "",Second!J189)</f>
        <v/>
      </c>
      <c r="K436" s="86" t="str">
        <f>IF(Second!K189="", "",Second!K189)</f>
        <v/>
      </c>
      <c r="M436" s="67" t="str">
        <f t="shared" si="20"/>
        <v/>
      </c>
      <c r="N436" s="76" t="str">
        <f t="shared" si="21"/>
        <v/>
      </c>
      <c r="O436" s="33">
        <f t="shared" si="19"/>
        <v>0</v>
      </c>
    </row>
    <row r="437" spans="1:15" x14ac:dyDescent="0.25">
      <c r="A437" s="64" t="s">
        <v>204</v>
      </c>
      <c r="B437" s="79" t="str">
        <f>IF(Second!B190="", "",Second!B190)</f>
        <v/>
      </c>
      <c r="C437" s="66" t="str">
        <f>IF(Second!C190="", "",Second!C190)</f>
        <v/>
      </c>
      <c r="D437" s="66" t="str">
        <f>IF(Second!D190="", "",Second!D190)</f>
        <v/>
      </c>
      <c r="E437" s="66" t="str">
        <f>IF(Second!E190="", "",Second!E190)</f>
        <v/>
      </c>
      <c r="F437" s="66" t="str">
        <f>IF(Second!F190="", "",Second!F190)</f>
        <v/>
      </c>
      <c r="G437" s="66" t="str">
        <f>IF(Second!G190="", "",Second!G190)</f>
        <v/>
      </c>
      <c r="H437" s="66" t="str">
        <f>IF(Second!H190="", "",Second!H190)</f>
        <v/>
      </c>
      <c r="I437" s="66" t="str">
        <f>IF(Second!I190="", "",Second!I190)</f>
        <v/>
      </c>
      <c r="J437" s="66" t="str">
        <f>IF(Second!J190="", "",Second!J190)</f>
        <v/>
      </c>
      <c r="K437" s="86" t="str">
        <f>IF(Second!K190="", "",Second!K190)</f>
        <v/>
      </c>
      <c r="M437" s="67" t="str">
        <f t="shared" si="20"/>
        <v/>
      </c>
      <c r="N437" s="76" t="str">
        <f t="shared" si="21"/>
        <v/>
      </c>
      <c r="O437" s="33">
        <f t="shared" si="19"/>
        <v>0</v>
      </c>
    </row>
    <row r="438" spans="1:15" x14ac:dyDescent="0.25">
      <c r="A438" s="64" t="s">
        <v>204</v>
      </c>
      <c r="B438" s="79" t="str">
        <f>IF(Second!B191="", "",Second!B191)</f>
        <v/>
      </c>
      <c r="C438" s="66" t="str">
        <f>IF(Second!C191="", "",Second!C191)</f>
        <v/>
      </c>
      <c r="D438" s="66" t="str">
        <f>IF(Second!D191="", "",Second!D191)</f>
        <v/>
      </c>
      <c r="E438" s="66" t="str">
        <f>IF(Second!E191="", "",Second!E191)</f>
        <v/>
      </c>
      <c r="F438" s="66" t="str">
        <f>IF(Second!F191="", "",Second!F191)</f>
        <v/>
      </c>
      <c r="G438" s="66" t="str">
        <f>IF(Second!G191="", "",Second!G191)</f>
        <v/>
      </c>
      <c r="H438" s="66" t="str">
        <f>IF(Second!H191="", "",Second!H191)</f>
        <v/>
      </c>
      <c r="I438" s="66" t="str">
        <f>IF(Second!I191="", "",Second!I191)</f>
        <v/>
      </c>
      <c r="J438" s="66" t="str">
        <f>IF(Second!J191="", "",Second!J191)</f>
        <v/>
      </c>
      <c r="K438" s="86" t="str">
        <f>IF(Second!K191="", "",Second!K191)</f>
        <v/>
      </c>
      <c r="M438" s="67" t="str">
        <f t="shared" si="20"/>
        <v/>
      </c>
      <c r="N438" s="76" t="str">
        <f t="shared" si="21"/>
        <v/>
      </c>
      <c r="O438" s="33">
        <f t="shared" si="19"/>
        <v>0</v>
      </c>
    </row>
    <row r="439" spans="1:15" x14ac:dyDescent="0.25">
      <c r="A439" s="64" t="s">
        <v>204</v>
      </c>
      <c r="B439" s="79" t="str">
        <f>IF(Second!B192="", "",Second!B192)</f>
        <v/>
      </c>
      <c r="C439" s="66" t="str">
        <f>IF(Second!C192="", "",Second!C192)</f>
        <v/>
      </c>
      <c r="D439" s="66" t="str">
        <f>IF(Second!D192="", "",Second!D192)</f>
        <v/>
      </c>
      <c r="E439" s="66" t="str">
        <f>IF(Second!E192="", "",Second!E192)</f>
        <v/>
      </c>
      <c r="F439" s="66" t="str">
        <f>IF(Second!F192="", "",Second!F192)</f>
        <v/>
      </c>
      <c r="G439" s="66" t="str">
        <f>IF(Second!G192="", "",Second!G192)</f>
        <v/>
      </c>
      <c r="H439" s="66" t="str">
        <f>IF(Second!H192="", "",Second!H192)</f>
        <v/>
      </c>
      <c r="I439" s="66" t="str">
        <f>IF(Second!I192="", "",Second!I192)</f>
        <v/>
      </c>
      <c r="J439" s="66" t="str">
        <f>IF(Second!J192="", "",Second!J192)</f>
        <v/>
      </c>
      <c r="K439" s="86" t="str">
        <f>IF(Second!K192="", "",Second!K192)</f>
        <v/>
      </c>
      <c r="M439" s="67" t="str">
        <f t="shared" si="20"/>
        <v/>
      </c>
      <c r="N439" s="76" t="str">
        <f t="shared" si="21"/>
        <v/>
      </c>
      <c r="O439" s="33">
        <f t="shared" si="19"/>
        <v>0</v>
      </c>
    </row>
    <row r="440" spans="1:15" x14ac:dyDescent="0.25">
      <c r="A440" s="64" t="s">
        <v>204</v>
      </c>
      <c r="B440" s="79" t="str">
        <f>IF(Second!B193="", "",Second!B193)</f>
        <v/>
      </c>
      <c r="C440" s="66" t="str">
        <f>IF(Second!C193="", "",Second!C193)</f>
        <v/>
      </c>
      <c r="D440" s="66" t="str">
        <f>IF(Second!D193="", "",Second!D193)</f>
        <v/>
      </c>
      <c r="E440" s="66" t="str">
        <f>IF(Second!E193="", "",Second!E193)</f>
        <v/>
      </c>
      <c r="F440" s="66" t="str">
        <f>IF(Second!F193="", "",Second!F193)</f>
        <v/>
      </c>
      <c r="G440" s="66" t="str">
        <f>IF(Second!G193="", "",Second!G193)</f>
        <v/>
      </c>
      <c r="H440" s="66" t="str">
        <f>IF(Second!H193="", "",Second!H193)</f>
        <v/>
      </c>
      <c r="I440" s="66" t="str">
        <f>IF(Second!I193="", "",Second!I193)</f>
        <v/>
      </c>
      <c r="J440" s="66" t="str">
        <f>IF(Second!J193="", "",Second!J193)</f>
        <v/>
      </c>
      <c r="K440" s="86" t="str">
        <f>IF(Second!K193="", "",Second!K193)</f>
        <v/>
      </c>
      <c r="M440" s="67" t="str">
        <f t="shared" si="20"/>
        <v/>
      </c>
      <c r="N440" s="76" t="str">
        <f t="shared" si="21"/>
        <v/>
      </c>
      <c r="O440" s="33">
        <f t="shared" si="19"/>
        <v>0</v>
      </c>
    </row>
    <row r="441" spans="1:15" x14ac:dyDescent="0.25">
      <c r="A441" s="64" t="s">
        <v>204</v>
      </c>
      <c r="B441" s="79" t="str">
        <f>IF(Second!B194="", "",Second!B194)</f>
        <v/>
      </c>
      <c r="C441" s="66" t="str">
        <f>IF(Second!C194="", "",Second!C194)</f>
        <v/>
      </c>
      <c r="D441" s="66" t="str">
        <f>IF(Second!D194="", "",Second!D194)</f>
        <v/>
      </c>
      <c r="E441" s="66" t="str">
        <f>IF(Second!E194="", "",Second!E194)</f>
        <v/>
      </c>
      <c r="F441" s="66" t="str">
        <f>IF(Second!F194="", "",Second!F194)</f>
        <v/>
      </c>
      <c r="G441" s="66" t="str">
        <f>IF(Second!G194="", "",Second!G194)</f>
        <v/>
      </c>
      <c r="H441" s="66" t="str">
        <f>IF(Second!H194="", "",Second!H194)</f>
        <v/>
      </c>
      <c r="I441" s="66" t="str">
        <f>IF(Second!I194="", "",Second!I194)</f>
        <v/>
      </c>
      <c r="J441" s="66" t="str">
        <f>IF(Second!J194="", "",Second!J194)</f>
        <v/>
      </c>
      <c r="K441" s="86" t="str">
        <f>IF(Second!K194="", "",Second!K194)</f>
        <v/>
      </c>
      <c r="M441" s="67" t="str">
        <f t="shared" si="20"/>
        <v/>
      </c>
      <c r="N441" s="76" t="str">
        <f t="shared" si="21"/>
        <v/>
      </c>
      <c r="O441" s="33">
        <f t="shared" si="19"/>
        <v>0</v>
      </c>
    </row>
    <row r="442" spans="1:15" x14ac:dyDescent="0.25">
      <c r="A442" s="64" t="s">
        <v>204</v>
      </c>
      <c r="B442" s="79" t="str">
        <f>IF(Second!B195="", "",Second!B195)</f>
        <v/>
      </c>
      <c r="C442" s="66" t="str">
        <f>IF(Second!C195="", "",Second!C195)</f>
        <v/>
      </c>
      <c r="D442" s="66" t="str">
        <f>IF(Second!D195="", "",Second!D195)</f>
        <v/>
      </c>
      <c r="E442" s="66" t="str">
        <f>IF(Second!E195="", "",Second!E195)</f>
        <v/>
      </c>
      <c r="F442" s="66" t="str">
        <f>IF(Second!F195="", "",Second!F195)</f>
        <v/>
      </c>
      <c r="G442" s="66" t="str">
        <f>IF(Second!G195="", "",Second!G195)</f>
        <v/>
      </c>
      <c r="H442" s="66" t="str">
        <f>IF(Second!H195="", "",Second!H195)</f>
        <v/>
      </c>
      <c r="I442" s="66" t="str">
        <f>IF(Second!I195="", "",Second!I195)</f>
        <v/>
      </c>
      <c r="J442" s="66" t="str">
        <f>IF(Second!J195="", "",Second!J195)</f>
        <v/>
      </c>
      <c r="K442" s="86" t="str">
        <f>IF(Second!K195="", "",Second!K195)</f>
        <v/>
      </c>
      <c r="M442" s="67" t="str">
        <f t="shared" si="20"/>
        <v/>
      </c>
      <c r="N442" s="76" t="str">
        <f t="shared" si="21"/>
        <v/>
      </c>
      <c r="O442" s="33">
        <f t="shared" si="19"/>
        <v>0</v>
      </c>
    </row>
    <row r="443" spans="1:15" x14ac:dyDescent="0.25">
      <c r="A443" s="64" t="s">
        <v>204</v>
      </c>
      <c r="B443" s="79" t="str">
        <f>IF(Second!B196="", "",Second!B196)</f>
        <v/>
      </c>
      <c r="C443" s="66" t="str">
        <f>IF(Second!C196="", "",Second!C196)</f>
        <v/>
      </c>
      <c r="D443" s="66" t="str">
        <f>IF(Second!D196="", "",Second!D196)</f>
        <v/>
      </c>
      <c r="E443" s="66" t="str">
        <f>IF(Second!E196="", "",Second!E196)</f>
        <v/>
      </c>
      <c r="F443" s="66" t="str">
        <f>IF(Second!F196="", "",Second!F196)</f>
        <v/>
      </c>
      <c r="G443" s="66" t="str">
        <f>IF(Second!G196="", "",Second!G196)</f>
        <v/>
      </c>
      <c r="H443" s="66" t="str">
        <f>IF(Second!H196="", "",Second!H196)</f>
        <v/>
      </c>
      <c r="I443" s="66" t="str">
        <f>IF(Second!I196="", "",Second!I196)</f>
        <v/>
      </c>
      <c r="J443" s="66" t="str">
        <f>IF(Second!J196="", "",Second!J196)</f>
        <v/>
      </c>
      <c r="K443" s="86" t="str">
        <f>IF(Second!K196="", "",Second!K196)</f>
        <v/>
      </c>
      <c r="M443" s="67" t="str">
        <f t="shared" si="20"/>
        <v/>
      </c>
      <c r="N443" s="76" t="str">
        <f t="shared" si="21"/>
        <v/>
      </c>
      <c r="O443" s="33">
        <f t="shared" si="19"/>
        <v>0</v>
      </c>
    </row>
    <row r="444" spans="1:15" x14ac:dyDescent="0.25">
      <c r="A444" s="64" t="s">
        <v>204</v>
      </c>
      <c r="B444" s="79" t="str">
        <f>IF(Second!B197="", "",Second!B197)</f>
        <v/>
      </c>
      <c r="C444" s="66" t="str">
        <f>IF(Second!C197="", "",Second!C197)</f>
        <v/>
      </c>
      <c r="D444" s="66" t="str">
        <f>IF(Second!D197="", "",Second!D197)</f>
        <v/>
      </c>
      <c r="E444" s="66" t="str">
        <f>IF(Second!E197="", "",Second!E197)</f>
        <v/>
      </c>
      <c r="F444" s="66" t="str">
        <f>IF(Second!F197="", "",Second!F197)</f>
        <v/>
      </c>
      <c r="G444" s="66" t="str">
        <f>IF(Second!G197="", "",Second!G197)</f>
        <v/>
      </c>
      <c r="H444" s="66" t="str">
        <f>IF(Second!H197="", "",Second!H197)</f>
        <v/>
      </c>
      <c r="I444" s="66" t="str">
        <f>IF(Second!I197="", "",Second!I197)</f>
        <v/>
      </c>
      <c r="J444" s="66" t="str">
        <f>IF(Second!J197="", "",Second!J197)</f>
        <v/>
      </c>
      <c r="K444" s="86" t="str">
        <f>IF(Second!K197="", "",Second!K197)</f>
        <v/>
      </c>
      <c r="M444" s="67" t="str">
        <f t="shared" si="20"/>
        <v/>
      </c>
      <c r="N444" s="76" t="str">
        <f t="shared" si="21"/>
        <v/>
      </c>
      <c r="O444" s="33">
        <f t="shared" si="19"/>
        <v>0</v>
      </c>
    </row>
    <row r="445" spans="1:15" x14ac:dyDescent="0.25">
      <c r="A445" s="64" t="s">
        <v>204</v>
      </c>
      <c r="B445" s="79" t="str">
        <f>IF(Second!B198="", "",Second!B198)</f>
        <v/>
      </c>
      <c r="C445" s="66" t="str">
        <f>IF(Second!C198="", "",Second!C198)</f>
        <v/>
      </c>
      <c r="D445" s="66" t="str">
        <f>IF(Second!D198="", "",Second!D198)</f>
        <v/>
      </c>
      <c r="E445" s="66" t="str">
        <f>IF(Second!E198="", "",Second!E198)</f>
        <v/>
      </c>
      <c r="F445" s="66" t="str">
        <f>IF(Second!F198="", "",Second!F198)</f>
        <v/>
      </c>
      <c r="G445" s="66" t="str">
        <f>IF(Second!G198="", "",Second!G198)</f>
        <v/>
      </c>
      <c r="H445" s="66" t="str">
        <f>IF(Second!H198="", "",Second!H198)</f>
        <v/>
      </c>
      <c r="I445" s="66" t="str">
        <f>IF(Second!I198="", "",Second!I198)</f>
        <v/>
      </c>
      <c r="J445" s="66" t="str">
        <f>IF(Second!J198="", "",Second!J198)</f>
        <v/>
      </c>
      <c r="K445" s="86" t="str">
        <f>IF(Second!K198="", "",Second!K198)</f>
        <v/>
      </c>
      <c r="M445" s="67" t="str">
        <f t="shared" si="20"/>
        <v/>
      </c>
      <c r="N445" s="76" t="str">
        <f t="shared" si="21"/>
        <v/>
      </c>
      <c r="O445" s="33">
        <f t="shared" si="19"/>
        <v>0</v>
      </c>
    </row>
    <row r="446" spans="1:15" x14ac:dyDescent="0.25">
      <c r="A446" s="64" t="s">
        <v>204</v>
      </c>
      <c r="B446" s="79" t="str">
        <f>IF(Second!B199="", "",Second!B199)</f>
        <v/>
      </c>
      <c r="C446" s="66" t="str">
        <f>IF(Second!C199="", "",Second!C199)</f>
        <v/>
      </c>
      <c r="D446" s="66" t="str">
        <f>IF(Second!D199="", "",Second!D199)</f>
        <v/>
      </c>
      <c r="E446" s="66" t="str">
        <f>IF(Second!E199="", "",Second!E199)</f>
        <v/>
      </c>
      <c r="F446" s="66" t="str">
        <f>IF(Second!F199="", "",Second!F199)</f>
        <v/>
      </c>
      <c r="G446" s="66" t="str">
        <f>IF(Second!G199="", "",Second!G199)</f>
        <v/>
      </c>
      <c r="H446" s="66" t="str">
        <f>IF(Second!H199="", "",Second!H199)</f>
        <v/>
      </c>
      <c r="I446" s="66" t="str">
        <f>IF(Second!I199="", "",Second!I199)</f>
        <v/>
      </c>
      <c r="J446" s="66" t="str">
        <f>IF(Second!J199="", "",Second!J199)</f>
        <v/>
      </c>
      <c r="K446" s="86" t="str">
        <f>IF(Second!K199="", "",Second!K199)</f>
        <v/>
      </c>
      <c r="M446" s="67" t="str">
        <f t="shared" si="20"/>
        <v/>
      </c>
      <c r="N446" s="76" t="str">
        <f t="shared" si="21"/>
        <v/>
      </c>
      <c r="O446" s="33">
        <f t="shared" si="19"/>
        <v>0</v>
      </c>
    </row>
    <row r="447" spans="1:15" x14ac:dyDescent="0.25">
      <c r="A447" s="64" t="s">
        <v>204</v>
      </c>
      <c r="B447" s="79" t="str">
        <f>IF(Second!B200="", "",Second!B200)</f>
        <v/>
      </c>
      <c r="C447" s="66" t="str">
        <f>IF(Second!C200="", "",Second!C200)</f>
        <v/>
      </c>
      <c r="D447" s="66" t="str">
        <f>IF(Second!D200="", "",Second!D200)</f>
        <v/>
      </c>
      <c r="E447" s="66" t="str">
        <f>IF(Second!E200="", "",Second!E200)</f>
        <v/>
      </c>
      <c r="F447" s="66" t="str">
        <f>IF(Second!F200="", "",Second!F200)</f>
        <v/>
      </c>
      <c r="G447" s="66" t="str">
        <f>IF(Second!G200="", "",Second!G200)</f>
        <v/>
      </c>
      <c r="H447" s="66" t="str">
        <f>IF(Second!H200="", "",Second!H200)</f>
        <v/>
      </c>
      <c r="I447" s="66" t="str">
        <f>IF(Second!I200="", "",Second!I200)</f>
        <v/>
      </c>
      <c r="J447" s="66" t="str">
        <f>IF(Second!J200="", "",Second!J200)</f>
        <v/>
      </c>
      <c r="K447" s="86" t="str">
        <f>IF(Second!K200="", "",Second!K200)</f>
        <v/>
      </c>
      <c r="M447" s="67" t="str">
        <f t="shared" si="20"/>
        <v/>
      </c>
      <c r="N447" s="76" t="str">
        <f t="shared" si="21"/>
        <v/>
      </c>
      <c r="O447" s="33">
        <f t="shared" si="19"/>
        <v>0</v>
      </c>
    </row>
    <row r="448" spans="1:15" x14ac:dyDescent="0.25">
      <c r="A448" s="64" t="s">
        <v>204</v>
      </c>
      <c r="B448" s="79" t="str">
        <f>IF(Second!B201="", "",Second!B201)</f>
        <v/>
      </c>
      <c r="C448" s="66" t="str">
        <f>IF(Second!C201="", "",Second!C201)</f>
        <v/>
      </c>
      <c r="D448" s="66" t="str">
        <f>IF(Second!D201="", "",Second!D201)</f>
        <v/>
      </c>
      <c r="E448" s="66" t="str">
        <f>IF(Second!E201="", "",Second!E201)</f>
        <v/>
      </c>
      <c r="F448" s="66" t="str">
        <f>IF(Second!F201="", "",Second!F201)</f>
        <v/>
      </c>
      <c r="G448" s="66" t="str">
        <f>IF(Second!G201="", "",Second!G201)</f>
        <v/>
      </c>
      <c r="H448" s="66" t="str">
        <f>IF(Second!H201="", "",Second!H201)</f>
        <v/>
      </c>
      <c r="I448" s="66" t="str">
        <f>IF(Second!I201="", "",Second!I201)</f>
        <v/>
      </c>
      <c r="J448" s="66" t="str">
        <f>IF(Second!J201="", "",Second!J201)</f>
        <v/>
      </c>
      <c r="K448" s="86" t="str">
        <f>IF(Second!K201="", "",Second!K201)</f>
        <v/>
      </c>
      <c r="M448" s="67" t="str">
        <f t="shared" si="20"/>
        <v/>
      </c>
      <c r="N448" s="76" t="str">
        <f t="shared" si="21"/>
        <v/>
      </c>
      <c r="O448" s="33">
        <f t="shared" si="19"/>
        <v>0</v>
      </c>
    </row>
    <row r="449" spans="1:15" x14ac:dyDescent="0.25">
      <c r="A449" s="64" t="s">
        <v>204</v>
      </c>
      <c r="B449" s="79" t="str">
        <f>IF(Second!B202="", "",Second!B202)</f>
        <v/>
      </c>
      <c r="C449" s="66" t="str">
        <f>IF(Second!C202="", "",Second!C202)</f>
        <v/>
      </c>
      <c r="D449" s="66" t="str">
        <f>IF(Second!D202="", "",Second!D202)</f>
        <v/>
      </c>
      <c r="E449" s="66" t="str">
        <f>IF(Second!E202="", "",Second!E202)</f>
        <v/>
      </c>
      <c r="F449" s="66" t="str">
        <f>IF(Second!F202="", "",Second!F202)</f>
        <v/>
      </c>
      <c r="G449" s="66" t="str">
        <f>IF(Second!G202="", "",Second!G202)</f>
        <v/>
      </c>
      <c r="H449" s="66" t="str">
        <f>IF(Second!H202="", "",Second!H202)</f>
        <v/>
      </c>
      <c r="I449" s="66" t="str">
        <f>IF(Second!I202="", "",Second!I202)</f>
        <v/>
      </c>
      <c r="J449" s="66" t="str">
        <f>IF(Second!J202="", "",Second!J202)</f>
        <v/>
      </c>
      <c r="K449" s="86" t="str">
        <f>IF(Second!K202="", "",Second!K202)</f>
        <v/>
      </c>
      <c r="M449" s="67" t="str">
        <f t="shared" si="20"/>
        <v/>
      </c>
      <c r="N449" s="76" t="str">
        <f t="shared" si="21"/>
        <v/>
      </c>
      <c r="O449" s="33">
        <f t="shared" si="19"/>
        <v>0</v>
      </c>
    </row>
    <row r="450" spans="1:15" x14ac:dyDescent="0.25">
      <c r="A450" s="64" t="s">
        <v>204</v>
      </c>
      <c r="B450" s="79" t="str">
        <f>IF(Second!B203="", "",Second!B203)</f>
        <v/>
      </c>
      <c r="C450" s="66" t="str">
        <f>IF(Second!C203="", "",Second!C203)</f>
        <v/>
      </c>
      <c r="D450" s="66" t="str">
        <f>IF(Second!D203="", "",Second!D203)</f>
        <v/>
      </c>
      <c r="E450" s="66" t="str">
        <f>IF(Second!E203="", "",Second!E203)</f>
        <v/>
      </c>
      <c r="F450" s="66" t="str">
        <f>IF(Second!F203="", "",Second!F203)</f>
        <v/>
      </c>
      <c r="G450" s="66" t="str">
        <f>IF(Second!G203="", "",Second!G203)</f>
        <v/>
      </c>
      <c r="H450" s="66" t="str">
        <f>IF(Second!H203="", "",Second!H203)</f>
        <v/>
      </c>
      <c r="I450" s="66" t="str">
        <f>IF(Second!I203="", "",Second!I203)</f>
        <v/>
      </c>
      <c r="J450" s="66" t="str">
        <f>IF(Second!J203="", "",Second!J203)</f>
        <v/>
      </c>
      <c r="K450" s="86" t="str">
        <f>IF(Second!K203="", "",Second!K203)</f>
        <v/>
      </c>
      <c r="M450" s="67" t="str">
        <f t="shared" si="20"/>
        <v/>
      </c>
      <c r="N450" s="76" t="str">
        <f t="shared" si="21"/>
        <v/>
      </c>
      <c r="O450" s="33">
        <f t="shared" ref="O450:O513" si="22">SUM(M450:N450)</f>
        <v>0</v>
      </c>
    </row>
    <row r="451" spans="1:15" x14ac:dyDescent="0.25">
      <c r="A451" s="64" t="s">
        <v>204</v>
      </c>
      <c r="B451" s="79" t="str">
        <f>IF(Second!B204="", "",Second!B204)</f>
        <v/>
      </c>
      <c r="C451" s="66" t="str">
        <f>IF(Second!C204="", "",Second!C204)</f>
        <v/>
      </c>
      <c r="D451" s="66" t="str">
        <f>IF(Second!D204="", "",Second!D204)</f>
        <v/>
      </c>
      <c r="E451" s="66" t="str">
        <f>IF(Second!E204="", "",Second!E204)</f>
        <v/>
      </c>
      <c r="F451" s="66" t="str">
        <f>IF(Second!F204="", "",Second!F204)</f>
        <v/>
      </c>
      <c r="G451" s="66" t="str">
        <f>IF(Second!G204="", "",Second!G204)</f>
        <v/>
      </c>
      <c r="H451" s="66" t="str">
        <f>IF(Second!H204="", "",Second!H204)</f>
        <v/>
      </c>
      <c r="I451" s="66" t="str">
        <f>IF(Second!I204="", "",Second!I204)</f>
        <v/>
      </c>
      <c r="J451" s="66" t="str">
        <f>IF(Second!J204="", "",Second!J204)</f>
        <v/>
      </c>
      <c r="K451" s="86" t="str">
        <f>IF(Second!K204="", "",Second!K204)</f>
        <v/>
      </c>
      <c r="M451" s="67" t="str">
        <f t="shared" ref="M451:M514" si="23">IF(C451="PwC",(7-COUNTIF(B451:H451,"")),"")</f>
        <v/>
      </c>
      <c r="N451" s="76" t="str">
        <f t="shared" ref="N451:N514" si="24">IF(C451="Carer",(7-COUNTIF(B451:H451,"")),"")</f>
        <v/>
      </c>
      <c r="O451" s="33">
        <f t="shared" si="22"/>
        <v>0</v>
      </c>
    </row>
    <row r="452" spans="1:15" x14ac:dyDescent="0.25">
      <c r="A452" s="64" t="s">
        <v>204</v>
      </c>
      <c r="B452" s="79" t="str">
        <f>IF(Second!B205="", "",Second!B205)</f>
        <v/>
      </c>
      <c r="C452" s="66" t="str">
        <f>IF(Second!C205="", "",Second!C205)</f>
        <v/>
      </c>
      <c r="D452" s="66" t="str">
        <f>IF(Second!D205="", "",Second!D205)</f>
        <v/>
      </c>
      <c r="E452" s="66" t="str">
        <f>IF(Second!E205="", "",Second!E205)</f>
        <v/>
      </c>
      <c r="F452" s="66" t="str">
        <f>IF(Second!F205="", "",Second!F205)</f>
        <v/>
      </c>
      <c r="G452" s="66" t="str">
        <f>IF(Second!G205="", "",Second!G205)</f>
        <v/>
      </c>
      <c r="H452" s="66" t="str">
        <f>IF(Second!H205="", "",Second!H205)</f>
        <v/>
      </c>
      <c r="I452" s="66" t="str">
        <f>IF(Second!I205="", "",Second!I205)</f>
        <v/>
      </c>
      <c r="J452" s="66" t="str">
        <f>IF(Second!J205="", "",Second!J205)</f>
        <v/>
      </c>
      <c r="K452" s="86" t="str">
        <f>IF(Second!K205="", "",Second!K205)</f>
        <v/>
      </c>
      <c r="M452" s="67" t="str">
        <f t="shared" si="23"/>
        <v/>
      </c>
      <c r="N452" s="76" t="str">
        <f t="shared" si="24"/>
        <v/>
      </c>
      <c r="O452" s="33">
        <f t="shared" si="22"/>
        <v>0</v>
      </c>
    </row>
    <row r="453" spans="1:15" x14ac:dyDescent="0.25">
      <c r="A453" s="64" t="s">
        <v>204</v>
      </c>
      <c r="B453" s="79" t="str">
        <f>IF(Second!B206="", "",Second!B206)</f>
        <v/>
      </c>
      <c r="C453" s="66" t="str">
        <f>IF(Second!C206="", "",Second!C206)</f>
        <v/>
      </c>
      <c r="D453" s="66" t="str">
        <f>IF(Second!D206="", "",Second!D206)</f>
        <v/>
      </c>
      <c r="E453" s="66" t="str">
        <f>IF(Second!E206="", "",Second!E206)</f>
        <v/>
      </c>
      <c r="F453" s="66" t="str">
        <f>IF(Second!F206="", "",Second!F206)</f>
        <v/>
      </c>
      <c r="G453" s="66" t="str">
        <f>IF(Second!G206="", "",Second!G206)</f>
        <v/>
      </c>
      <c r="H453" s="66" t="str">
        <f>IF(Second!H206="", "",Second!H206)</f>
        <v/>
      </c>
      <c r="I453" s="66" t="str">
        <f>IF(Second!I206="", "",Second!I206)</f>
        <v/>
      </c>
      <c r="J453" s="66" t="str">
        <f>IF(Second!J206="", "",Second!J206)</f>
        <v/>
      </c>
      <c r="K453" s="86" t="str">
        <f>IF(Second!K206="", "",Second!K206)</f>
        <v/>
      </c>
      <c r="M453" s="67" t="str">
        <f t="shared" si="23"/>
        <v/>
      </c>
      <c r="N453" s="76" t="str">
        <f t="shared" si="24"/>
        <v/>
      </c>
      <c r="O453" s="33">
        <f t="shared" si="22"/>
        <v>0</v>
      </c>
    </row>
    <row r="454" spans="1:15" x14ac:dyDescent="0.25">
      <c r="A454" s="64" t="s">
        <v>204</v>
      </c>
      <c r="B454" s="79" t="str">
        <f>IF(Second!B207="", "",Second!B207)</f>
        <v/>
      </c>
      <c r="C454" s="66" t="str">
        <f>IF(Second!C207="", "",Second!C207)</f>
        <v/>
      </c>
      <c r="D454" s="66" t="str">
        <f>IF(Second!D207="", "",Second!D207)</f>
        <v/>
      </c>
      <c r="E454" s="66" t="str">
        <f>IF(Second!E207="", "",Second!E207)</f>
        <v/>
      </c>
      <c r="F454" s="66" t="str">
        <f>IF(Second!F207="", "",Second!F207)</f>
        <v/>
      </c>
      <c r="G454" s="66" t="str">
        <f>IF(Second!G207="", "",Second!G207)</f>
        <v/>
      </c>
      <c r="H454" s="66" t="str">
        <f>IF(Second!H207="", "",Second!H207)</f>
        <v/>
      </c>
      <c r="I454" s="66" t="str">
        <f>IF(Second!I207="", "",Second!I207)</f>
        <v/>
      </c>
      <c r="J454" s="66" t="str">
        <f>IF(Second!J207="", "",Second!J207)</f>
        <v/>
      </c>
      <c r="K454" s="86" t="str">
        <f>IF(Second!K207="", "",Second!K207)</f>
        <v/>
      </c>
      <c r="M454" s="67" t="str">
        <f t="shared" si="23"/>
        <v/>
      </c>
      <c r="N454" s="76" t="str">
        <f t="shared" si="24"/>
        <v/>
      </c>
      <c r="O454" s="33">
        <f t="shared" si="22"/>
        <v>0</v>
      </c>
    </row>
    <row r="455" spans="1:15" x14ac:dyDescent="0.25">
      <c r="A455" s="64" t="s">
        <v>204</v>
      </c>
      <c r="B455" s="79" t="str">
        <f>IF(Second!B208="", "",Second!B208)</f>
        <v/>
      </c>
      <c r="C455" s="66" t="str">
        <f>IF(Second!C208="", "",Second!C208)</f>
        <v/>
      </c>
      <c r="D455" s="66" t="str">
        <f>IF(Second!D208="", "",Second!D208)</f>
        <v/>
      </c>
      <c r="E455" s="66" t="str">
        <f>IF(Second!E208="", "",Second!E208)</f>
        <v/>
      </c>
      <c r="F455" s="66" t="str">
        <f>IF(Second!F208="", "",Second!F208)</f>
        <v/>
      </c>
      <c r="G455" s="66" t="str">
        <f>IF(Second!G208="", "",Second!G208)</f>
        <v/>
      </c>
      <c r="H455" s="66" t="str">
        <f>IF(Second!H208="", "",Second!H208)</f>
        <v/>
      </c>
      <c r="I455" s="66" t="str">
        <f>IF(Second!I208="", "",Second!I208)</f>
        <v/>
      </c>
      <c r="J455" s="66" t="str">
        <f>IF(Second!J208="", "",Second!J208)</f>
        <v/>
      </c>
      <c r="K455" s="86" t="str">
        <f>IF(Second!K208="", "",Second!K208)</f>
        <v/>
      </c>
      <c r="M455" s="67" t="str">
        <f t="shared" si="23"/>
        <v/>
      </c>
      <c r="N455" s="76" t="str">
        <f t="shared" si="24"/>
        <v/>
      </c>
      <c r="O455" s="33">
        <f t="shared" si="22"/>
        <v>0</v>
      </c>
    </row>
    <row r="456" spans="1:15" x14ac:dyDescent="0.25">
      <c r="A456" s="64" t="s">
        <v>204</v>
      </c>
      <c r="B456" s="79" t="str">
        <f>IF(Second!B209="", "",Second!B209)</f>
        <v/>
      </c>
      <c r="C456" s="66" t="str">
        <f>IF(Second!C209="", "",Second!C209)</f>
        <v/>
      </c>
      <c r="D456" s="66" t="str">
        <f>IF(Second!D209="", "",Second!D209)</f>
        <v/>
      </c>
      <c r="E456" s="66" t="str">
        <f>IF(Second!E209="", "",Second!E209)</f>
        <v/>
      </c>
      <c r="F456" s="66" t="str">
        <f>IF(Second!F209="", "",Second!F209)</f>
        <v/>
      </c>
      <c r="G456" s="66" t="str">
        <f>IF(Second!G209="", "",Second!G209)</f>
        <v/>
      </c>
      <c r="H456" s="66" t="str">
        <f>IF(Second!H209="", "",Second!H209)</f>
        <v/>
      </c>
      <c r="I456" s="66" t="str">
        <f>IF(Second!I209="", "",Second!I209)</f>
        <v/>
      </c>
      <c r="J456" s="66" t="str">
        <f>IF(Second!J209="", "",Second!J209)</f>
        <v/>
      </c>
      <c r="K456" s="86" t="str">
        <f>IF(Second!K209="", "",Second!K209)</f>
        <v/>
      </c>
      <c r="M456" s="67" t="str">
        <f t="shared" si="23"/>
        <v/>
      </c>
      <c r="N456" s="76" t="str">
        <f t="shared" si="24"/>
        <v/>
      </c>
      <c r="O456" s="33">
        <f t="shared" si="22"/>
        <v>0</v>
      </c>
    </row>
    <row r="457" spans="1:15" x14ac:dyDescent="0.25">
      <c r="A457" s="64" t="s">
        <v>204</v>
      </c>
      <c r="B457" s="79" t="str">
        <f>IF(Second!B210="", "",Second!B210)</f>
        <v/>
      </c>
      <c r="C457" s="66" t="str">
        <f>IF(Second!C210="", "",Second!C210)</f>
        <v/>
      </c>
      <c r="D457" s="66" t="str">
        <f>IF(Second!D210="", "",Second!D210)</f>
        <v/>
      </c>
      <c r="E457" s="66" t="str">
        <f>IF(Second!E210="", "",Second!E210)</f>
        <v/>
      </c>
      <c r="F457" s="66" t="str">
        <f>IF(Second!F210="", "",Second!F210)</f>
        <v/>
      </c>
      <c r="G457" s="66" t="str">
        <f>IF(Second!G210="", "",Second!G210)</f>
        <v/>
      </c>
      <c r="H457" s="66" t="str">
        <f>IF(Second!H210="", "",Second!H210)</f>
        <v/>
      </c>
      <c r="I457" s="66" t="str">
        <f>IF(Second!I210="", "",Second!I210)</f>
        <v/>
      </c>
      <c r="J457" s="66" t="str">
        <f>IF(Second!J210="", "",Second!J210)</f>
        <v/>
      </c>
      <c r="K457" s="86" t="str">
        <f>IF(Second!K210="", "",Second!K210)</f>
        <v/>
      </c>
      <c r="M457" s="67" t="str">
        <f t="shared" si="23"/>
        <v/>
      </c>
      <c r="N457" s="76" t="str">
        <f t="shared" si="24"/>
        <v/>
      </c>
      <c r="O457" s="33">
        <f t="shared" si="22"/>
        <v>0</v>
      </c>
    </row>
    <row r="458" spans="1:15" x14ac:dyDescent="0.25">
      <c r="A458" s="64" t="s">
        <v>204</v>
      </c>
      <c r="B458" s="79" t="str">
        <f>IF(Second!B211="", "",Second!B211)</f>
        <v/>
      </c>
      <c r="C458" s="66" t="str">
        <f>IF(Second!C211="", "",Second!C211)</f>
        <v/>
      </c>
      <c r="D458" s="66" t="str">
        <f>IF(Second!D211="", "",Second!D211)</f>
        <v/>
      </c>
      <c r="E458" s="66" t="str">
        <f>IF(Second!E211="", "",Second!E211)</f>
        <v/>
      </c>
      <c r="F458" s="66" t="str">
        <f>IF(Second!F211="", "",Second!F211)</f>
        <v/>
      </c>
      <c r="G458" s="66" t="str">
        <f>IF(Second!G211="", "",Second!G211)</f>
        <v/>
      </c>
      <c r="H458" s="66" t="str">
        <f>IF(Second!H211="", "",Second!H211)</f>
        <v/>
      </c>
      <c r="I458" s="66" t="str">
        <f>IF(Second!I211="", "",Second!I211)</f>
        <v/>
      </c>
      <c r="J458" s="66" t="str">
        <f>IF(Second!J211="", "",Second!J211)</f>
        <v/>
      </c>
      <c r="K458" s="86" t="str">
        <f>IF(Second!K211="", "",Second!K211)</f>
        <v/>
      </c>
      <c r="M458" s="67" t="str">
        <f t="shared" si="23"/>
        <v/>
      </c>
      <c r="N458" s="76" t="str">
        <f t="shared" si="24"/>
        <v/>
      </c>
      <c r="O458" s="33">
        <f t="shared" si="22"/>
        <v>0</v>
      </c>
    </row>
    <row r="459" spans="1:15" x14ac:dyDescent="0.25">
      <c r="A459" s="64" t="s">
        <v>204</v>
      </c>
      <c r="B459" s="79" t="str">
        <f>IF(Second!B212="", "",Second!B212)</f>
        <v/>
      </c>
      <c r="C459" s="66" t="str">
        <f>IF(Second!C212="", "",Second!C212)</f>
        <v/>
      </c>
      <c r="D459" s="66" t="str">
        <f>IF(Second!D212="", "",Second!D212)</f>
        <v/>
      </c>
      <c r="E459" s="66" t="str">
        <f>IF(Second!E212="", "",Second!E212)</f>
        <v/>
      </c>
      <c r="F459" s="66" t="str">
        <f>IF(Second!F212="", "",Second!F212)</f>
        <v/>
      </c>
      <c r="G459" s="66" t="str">
        <f>IF(Second!G212="", "",Second!G212)</f>
        <v/>
      </c>
      <c r="H459" s="66" t="str">
        <f>IF(Second!H212="", "",Second!H212)</f>
        <v/>
      </c>
      <c r="I459" s="66" t="str">
        <f>IF(Second!I212="", "",Second!I212)</f>
        <v/>
      </c>
      <c r="J459" s="66" t="str">
        <f>IF(Second!J212="", "",Second!J212)</f>
        <v/>
      </c>
      <c r="K459" s="86" t="str">
        <f>IF(Second!K212="", "",Second!K212)</f>
        <v/>
      </c>
      <c r="M459" s="67" t="str">
        <f t="shared" si="23"/>
        <v/>
      </c>
      <c r="N459" s="76" t="str">
        <f t="shared" si="24"/>
        <v/>
      </c>
      <c r="O459" s="33">
        <f t="shared" si="22"/>
        <v>0</v>
      </c>
    </row>
    <row r="460" spans="1:15" x14ac:dyDescent="0.25">
      <c r="A460" s="64" t="s">
        <v>204</v>
      </c>
      <c r="B460" s="79" t="str">
        <f>IF(Second!B213="", "",Second!B213)</f>
        <v/>
      </c>
      <c r="C460" s="66" t="str">
        <f>IF(Second!C213="", "",Second!C213)</f>
        <v/>
      </c>
      <c r="D460" s="66" t="str">
        <f>IF(Second!D213="", "",Second!D213)</f>
        <v/>
      </c>
      <c r="E460" s="66" t="str">
        <f>IF(Second!E213="", "",Second!E213)</f>
        <v/>
      </c>
      <c r="F460" s="66" t="str">
        <f>IF(Second!F213="", "",Second!F213)</f>
        <v/>
      </c>
      <c r="G460" s="66" t="str">
        <f>IF(Second!G213="", "",Second!G213)</f>
        <v/>
      </c>
      <c r="H460" s="66" t="str">
        <f>IF(Second!H213="", "",Second!H213)</f>
        <v/>
      </c>
      <c r="I460" s="66" t="str">
        <f>IF(Second!I213="", "",Second!I213)</f>
        <v/>
      </c>
      <c r="J460" s="66" t="str">
        <f>IF(Second!J213="", "",Second!J213)</f>
        <v/>
      </c>
      <c r="K460" s="86" t="str">
        <f>IF(Second!K213="", "",Second!K213)</f>
        <v/>
      </c>
      <c r="M460" s="67" t="str">
        <f t="shared" si="23"/>
        <v/>
      </c>
      <c r="N460" s="76" t="str">
        <f t="shared" si="24"/>
        <v/>
      </c>
      <c r="O460" s="33">
        <f t="shared" si="22"/>
        <v>0</v>
      </c>
    </row>
    <row r="461" spans="1:15" x14ac:dyDescent="0.25">
      <c r="A461" s="64" t="s">
        <v>204</v>
      </c>
      <c r="B461" s="79" t="str">
        <f>IF(Second!B214="", "",Second!B214)</f>
        <v/>
      </c>
      <c r="C461" s="66" t="str">
        <f>IF(Second!C214="", "",Second!C214)</f>
        <v/>
      </c>
      <c r="D461" s="66" t="str">
        <f>IF(Second!D214="", "",Second!D214)</f>
        <v/>
      </c>
      <c r="E461" s="66" t="str">
        <f>IF(Second!E214="", "",Second!E214)</f>
        <v/>
      </c>
      <c r="F461" s="66" t="str">
        <f>IF(Second!F214="", "",Second!F214)</f>
        <v/>
      </c>
      <c r="G461" s="66" t="str">
        <f>IF(Second!G214="", "",Second!G214)</f>
        <v/>
      </c>
      <c r="H461" s="66" t="str">
        <f>IF(Second!H214="", "",Second!H214)</f>
        <v/>
      </c>
      <c r="I461" s="66" t="str">
        <f>IF(Second!I214="", "",Second!I214)</f>
        <v/>
      </c>
      <c r="J461" s="66" t="str">
        <f>IF(Second!J214="", "",Second!J214)</f>
        <v/>
      </c>
      <c r="K461" s="86" t="str">
        <f>IF(Second!K214="", "",Second!K214)</f>
        <v/>
      </c>
      <c r="M461" s="67" t="str">
        <f t="shared" si="23"/>
        <v/>
      </c>
      <c r="N461" s="76" t="str">
        <f t="shared" si="24"/>
        <v/>
      </c>
      <c r="O461" s="33">
        <f t="shared" si="22"/>
        <v>0</v>
      </c>
    </row>
    <row r="462" spans="1:15" x14ac:dyDescent="0.25">
      <c r="A462" s="64" t="s">
        <v>204</v>
      </c>
      <c r="B462" s="79" t="str">
        <f>IF(Second!B215="", "",Second!B215)</f>
        <v/>
      </c>
      <c r="C462" s="66" t="str">
        <f>IF(Second!C215="", "",Second!C215)</f>
        <v/>
      </c>
      <c r="D462" s="66" t="str">
        <f>IF(Second!D215="", "",Second!D215)</f>
        <v/>
      </c>
      <c r="E462" s="66" t="str">
        <f>IF(Second!E215="", "",Second!E215)</f>
        <v/>
      </c>
      <c r="F462" s="66" t="str">
        <f>IF(Second!F215="", "",Second!F215)</f>
        <v/>
      </c>
      <c r="G462" s="66" t="str">
        <f>IF(Second!G215="", "",Second!G215)</f>
        <v/>
      </c>
      <c r="H462" s="66" t="str">
        <f>IF(Second!H215="", "",Second!H215)</f>
        <v/>
      </c>
      <c r="I462" s="66" t="str">
        <f>IF(Second!I215="", "",Second!I215)</f>
        <v/>
      </c>
      <c r="J462" s="66" t="str">
        <f>IF(Second!J215="", "",Second!J215)</f>
        <v/>
      </c>
      <c r="K462" s="86" t="str">
        <f>IF(Second!K215="", "",Second!K215)</f>
        <v/>
      </c>
      <c r="M462" s="67" t="str">
        <f t="shared" si="23"/>
        <v/>
      </c>
      <c r="N462" s="76" t="str">
        <f t="shared" si="24"/>
        <v/>
      </c>
      <c r="O462" s="33">
        <f t="shared" si="22"/>
        <v>0</v>
      </c>
    </row>
    <row r="463" spans="1:15" x14ac:dyDescent="0.25">
      <c r="A463" s="64" t="s">
        <v>204</v>
      </c>
      <c r="B463" s="79" t="str">
        <f>IF(Second!B216="", "",Second!B216)</f>
        <v/>
      </c>
      <c r="C463" s="66" t="str">
        <f>IF(Second!C216="", "",Second!C216)</f>
        <v/>
      </c>
      <c r="D463" s="66" t="str">
        <f>IF(Second!D216="", "",Second!D216)</f>
        <v/>
      </c>
      <c r="E463" s="66" t="str">
        <f>IF(Second!E216="", "",Second!E216)</f>
        <v/>
      </c>
      <c r="F463" s="66" t="str">
        <f>IF(Second!F216="", "",Second!F216)</f>
        <v/>
      </c>
      <c r="G463" s="66" t="str">
        <f>IF(Second!G216="", "",Second!G216)</f>
        <v/>
      </c>
      <c r="H463" s="66" t="str">
        <f>IF(Second!H216="", "",Second!H216)</f>
        <v/>
      </c>
      <c r="I463" s="66" t="str">
        <f>IF(Second!I216="", "",Second!I216)</f>
        <v/>
      </c>
      <c r="J463" s="66" t="str">
        <f>IF(Second!J216="", "",Second!J216)</f>
        <v/>
      </c>
      <c r="K463" s="86" t="str">
        <f>IF(Second!K216="", "",Second!K216)</f>
        <v/>
      </c>
      <c r="M463" s="67" t="str">
        <f t="shared" si="23"/>
        <v/>
      </c>
      <c r="N463" s="76" t="str">
        <f t="shared" si="24"/>
        <v/>
      </c>
      <c r="O463" s="33">
        <f t="shared" si="22"/>
        <v>0</v>
      </c>
    </row>
    <row r="464" spans="1:15" x14ac:dyDescent="0.25">
      <c r="A464" s="64" t="s">
        <v>204</v>
      </c>
      <c r="B464" s="79" t="str">
        <f>IF(Second!B217="", "",Second!B217)</f>
        <v/>
      </c>
      <c r="C464" s="66" t="str">
        <f>IF(Second!C217="", "",Second!C217)</f>
        <v/>
      </c>
      <c r="D464" s="66" t="str">
        <f>IF(Second!D217="", "",Second!D217)</f>
        <v/>
      </c>
      <c r="E464" s="66" t="str">
        <f>IF(Second!E217="", "",Second!E217)</f>
        <v/>
      </c>
      <c r="F464" s="66" t="str">
        <f>IF(Second!F217="", "",Second!F217)</f>
        <v/>
      </c>
      <c r="G464" s="66" t="str">
        <f>IF(Second!G217="", "",Second!G217)</f>
        <v/>
      </c>
      <c r="H464" s="66" t="str">
        <f>IF(Second!H217="", "",Second!H217)</f>
        <v/>
      </c>
      <c r="I464" s="66" t="str">
        <f>IF(Second!I217="", "",Second!I217)</f>
        <v/>
      </c>
      <c r="J464" s="66" t="str">
        <f>IF(Second!J217="", "",Second!J217)</f>
        <v/>
      </c>
      <c r="K464" s="86" t="str">
        <f>IF(Second!K217="", "",Second!K217)</f>
        <v/>
      </c>
      <c r="M464" s="67" t="str">
        <f t="shared" si="23"/>
        <v/>
      </c>
      <c r="N464" s="76" t="str">
        <f t="shared" si="24"/>
        <v/>
      </c>
      <c r="O464" s="33">
        <f t="shared" si="22"/>
        <v>0</v>
      </c>
    </row>
    <row r="465" spans="1:15" x14ac:dyDescent="0.25">
      <c r="A465" s="64" t="s">
        <v>204</v>
      </c>
      <c r="B465" s="79" t="str">
        <f>IF(Second!B218="", "",Second!B218)</f>
        <v/>
      </c>
      <c r="C465" s="66" t="str">
        <f>IF(Second!C218="", "",Second!C218)</f>
        <v/>
      </c>
      <c r="D465" s="66" t="str">
        <f>IF(Second!D218="", "",Second!D218)</f>
        <v/>
      </c>
      <c r="E465" s="66" t="str">
        <f>IF(Second!E218="", "",Second!E218)</f>
        <v/>
      </c>
      <c r="F465" s="66" t="str">
        <f>IF(Second!F218="", "",Second!F218)</f>
        <v/>
      </c>
      <c r="G465" s="66" t="str">
        <f>IF(Second!G218="", "",Second!G218)</f>
        <v/>
      </c>
      <c r="H465" s="66" t="str">
        <f>IF(Second!H218="", "",Second!H218)</f>
        <v/>
      </c>
      <c r="I465" s="66" t="str">
        <f>IF(Second!I218="", "",Second!I218)</f>
        <v/>
      </c>
      <c r="J465" s="66" t="str">
        <f>IF(Second!J218="", "",Second!J218)</f>
        <v/>
      </c>
      <c r="K465" s="86" t="str">
        <f>IF(Second!K218="", "",Second!K218)</f>
        <v/>
      </c>
      <c r="M465" s="67" t="str">
        <f t="shared" si="23"/>
        <v/>
      </c>
      <c r="N465" s="76" t="str">
        <f t="shared" si="24"/>
        <v/>
      </c>
      <c r="O465" s="33">
        <f t="shared" si="22"/>
        <v>0</v>
      </c>
    </row>
    <row r="466" spans="1:15" x14ac:dyDescent="0.25">
      <c r="A466" s="64" t="s">
        <v>204</v>
      </c>
      <c r="B466" s="79" t="str">
        <f>IF(Second!B219="", "",Second!B219)</f>
        <v/>
      </c>
      <c r="C466" s="66" t="str">
        <f>IF(Second!C219="", "",Second!C219)</f>
        <v/>
      </c>
      <c r="D466" s="66" t="str">
        <f>IF(Second!D219="", "",Second!D219)</f>
        <v/>
      </c>
      <c r="E466" s="66" t="str">
        <f>IF(Second!E219="", "",Second!E219)</f>
        <v/>
      </c>
      <c r="F466" s="66" t="str">
        <f>IF(Second!F219="", "",Second!F219)</f>
        <v/>
      </c>
      <c r="G466" s="66" t="str">
        <f>IF(Second!G219="", "",Second!G219)</f>
        <v/>
      </c>
      <c r="H466" s="66" t="str">
        <f>IF(Second!H219="", "",Second!H219)</f>
        <v/>
      </c>
      <c r="I466" s="66" t="str">
        <f>IF(Second!I219="", "",Second!I219)</f>
        <v/>
      </c>
      <c r="J466" s="66" t="str">
        <f>IF(Second!J219="", "",Second!J219)</f>
        <v/>
      </c>
      <c r="K466" s="86" t="str">
        <f>IF(Second!K219="", "",Second!K219)</f>
        <v/>
      </c>
      <c r="M466" s="67" t="str">
        <f t="shared" si="23"/>
        <v/>
      </c>
      <c r="N466" s="76" t="str">
        <f t="shared" si="24"/>
        <v/>
      </c>
      <c r="O466" s="33">
        <f t="shared" si="22"/>
        <v>0</v>
      </c>
    </row>
    <row r="467" spans="1:15" x14ac:dyDescent="0.25">
      <c r="A467" s="64" t="s">
        <v>204</v>
      </c>
      <c r="B467" s="79" t="str">
        <f>IF(Second!B220="", "",Second!B220)</f>
        <v/>
      </c>
      <c r="C467" s="66" t="str">
        <f>IF(Second!C220="", "",Second!C220)</f>
        <v/>
      </c>
      <c r="D467" s="66" t="str">
        <f>IF(Second!D220="", "",Second!D220)</f>
        <v/>
      </c>
      <c r="E467" s="66" t="str">
        <f>IF(Second!E220="", "",Second!E220)</f>
        <v/>
      </c>
      <c r="F467" s="66" t="str">
        <f>IF(Second!F220="", "",Second!F220)</f>
        <v/>
      </c>
      <c r="G467" s="66" t="str">
        <f>IF(Second!G220="", "",Second!G220)</f>
        <v/>
      </c>
      <c r="H467" s="66" t="str">
        <f>IF(Second!H220="", "",Second!H220)</f>
        <v/>
      </c>
      <c r="I467" s="66" t="str">
        <f>IF(Second!I220="", "",Second!I220)</f>
        <v/>
      </c>
      <c r="J467" s="66" t="str">
        <f>IF(Second!J220="", "",Second!J220)</f>
        <v/>
      </c>
      <c r="K467" s="86" t="str">
        <f>IF(Second!K220="", "",Second!K220)</f>
        <v/>
      </c>
      <c r="M467" s="67" t="str">
        <f t="shared" si="23"/>
        <v/>
      </c>
      <c r="N467" s="76" t="str">
        <f t="shared" si="24"/>
        <v/>
      </c>
      <c r="O467" s="33">
        <f t="shared" si="22"/>
        <v>0</v>
      </c>
    </row>
    <row r="468" spans="1:15" x14ac:dyDescent="0.25">
      <c r="A468" s="64" t="s">
        <v>204</v>
      </c>
      <c r="B468" s="79" t="str">
        <f>IF(Second!B221="", "",Second!B221)</f>
        <v/>
      </c>
      <c r="C468" s="66" t="str">
        <f>IF(Second!C221="", "",Second!C221)</f>
        <v/>
      </c>
      <c r="D468" s="66" t="str">
        <f>IF(Second!D221="", "",Second!D221)</f>
        <v/>
      </c>
      <c r="E468" s="66" t="str">
        <f>IF(Second!E221="", "",Second!E221)</f>
        <v/>
      </c>
      <c r="F468" s="66" t="str">
        <f>IF(Second!F221="", "",Second!F221)</f>
        <v/>
      </c>
      <c r="G468" s="66" t="str">
        <f>IF(Second!G221="", "",Second!G221)</f>
        <v/>
      </c>
      <c r="H468" s="66" t="str">
        <f>IF(Second!H221="", "",Second!H221)</f>
        <v/>
      </c>
      <c r="I468" s="66" t="str">
        <f>IF(Second!I221="", "",Second!I221)</f>
        <v/>
      </c>
      <c r="J468" s="66" t="str">
        <f>IF(Second!J221="", "",Second!J221)</f>
        <v/>
      </c>
      <c r="K468" s="86" t="str">
        <f>IF(Second!K221="", "",Second!K221)</f>
        <v/>
      </c>
      <c r="M468" s="67" t="str">
        <f t="shared" si="23"/>
        <v/>
      </c>
      <c r="N468" s="76" t="str">
        <f t="shared" si="24"/>
        <v/>
      </c>
      <c r="O468" s="33">
        <f t="shared" si="22"/>
        <v>0</v>
      </c>
    </row>
    <row r="469" spans="1:15" x14ac:dyDescent="0.25">
      <c r="A469" s="64" t="s">
        <v>204</v>
      </c>
      <c r="B469" s="79" t="str">
        <f>IF(Second!B222="", "",Second!B222)</f>
        <v/>
      </c>
      <c r="C469" s="66" t="str">
        <f>IF(Second!C222="", "",Second!C222)</f>
        <v/>
      </c>
      <c r="D469" s="66" t="str">
        <f>IF(Second!D222="", "",Second!D222)</f>
        <v/>
      </c>
      <c r="E469" s="66" t="str">
        <f>IF(Second!E222="", "",Second!E222)</f>
        <v/>
      </c>
      <c r="F469" s="66" t="str">
        <f>IF(Second!F222="", "",Second!F222)</f>
        <v/>
      </c>
      <c r="G469" s="66" t="str">
        <f>IF(Second!G222="", "",Second!G222)</f>
        <v/>
      </c>
      <c r="H469" s="66" t="str">
        <f>IF(Second!H222="", "",Second!H222)</f>
        <v/>
      </c>
      <c r="I469" s="66" t="str">
        <f>IF(Second!I222="", "",Second!I222)</f>
        <v/>
      </c>
      <c r="J469" s="66" t="str">
        <f>IF(Second!J222="", "",Second!J222)</f>
        <v/>
      </c>
      <c r="K469" s="86" t="str">
        <f>IF(Second!K222="", "",Second!K222)</f>
        <v/>
      </c>
      <c r="M469" s="67" t="str">
        <f t="shared" si="23"/>
        <v/>
      </c>
      <c r="N469" s="76" t="str">
        <f t="shared" si="24"/>
        <v/>
      </c>
      <c r="O469" s="33">
        <f t="shared" si="22"/>
        <v>0</v>
      </c>
    </row>
    <row r="470" spans="1:15" x14ac:dyDescent="0.25">
      <c r="A470" s="64" t="s">
        <v>204</v>
      </c>
      <c r="B470" s="79" t="str">
        <f>IF(Second!B223="", "",Second!B223)</f>
        <v/>
      </c>
      <c r="C470" s="66" t="str">
        <f>IF(Second!C223="", "",Second!C223)</f>
        <v/>
      </c>
      <c r="D470" s="66" t="str">
        <f>IF(Second!D223="", "",Second!D223)</f>
        <v/>
      </c>
      <c r="E470" s="66" t="str">
        <f>IF(Second!E223="", "",Second!E223)</f>
        <v/>
      </c>
      <c r="F470" s="66" t="str">
        <f>IF(Second!F223="", "",Second!F223)</f>
        <v/>
      </c>
      <c r="G470" s="66" t="str">
        <f>IF(Second!G223="", "",Second!G223)</f>
        <v/>
      </c>
      <c r="H470" s="66" t="str">
        <f>IF(Second!H223="", "",Second!H223)</f>
        <v/>
      </c>
      <c r="I470" s="66" t="str">
        <f>IF(Second!I223="", "",Second!I223)</f>
        <v/>
      </c>
      <c r="J470" s="66" t="str">
        <f>IF(Second!J223="", "",Second!J223)</f>
        <v/>
      </c>
      <c r="K470" s="86" t="str">
        <f>IF(Second!K223="", "",Second!K223)</f>
        <v/>
      </c>
      <c r="M470" s="67" t="str">
        <f t="shared" si="23"/>
        <v/>
      </c>
      <c r="N470" s="76" t="str">
        <f t="shared" si="24"/>
        <v/>
      </c>
      <c r="O470" s="33">
        <f t="shared" si="22"/>
        <v>0</v>
      </c>
    </row>
    <row r="471" spans="1:15" x14ac:dyDescent="0.25">
      <c r="A471" s="64" t="s">
        <v>204</v>
      </c>
      <c r="B471" s="79" t="str">
        <f>IF(Second!B224="", "",Second!B224)</f>
        <v/>
      </c>
      <c r="C471" s="66" t="str">
        <f>IF(Second!C224="", "",Second!C224)</f>
        <v/>
      </c>
      <c r="D471" s="66" t="str">
        <f>IF(Second!D224="", "",Second!D224)</f>
        <v/>
      </c>
      <c r="E471" s="66" t="str">
        <f>IF(Second!E224="", "",Second!E224)</f>
        <v/>
      </c>
      <c r="F471" s="66" t="str">
        <f>IF(Second!F224="", "",Second!F224)</f>
        <v/>
      </c>
      <c r="G471" s="66" t="str">
        <f>IF(Second!G224="", "",Second!G224)</f>
        <v/>
      </c>
      <c r="H471" s="66" t="str">
        <f>IF(Second!H224="", "",Second!H224)</f>
        <v/>
      </c>
      <c r="I471" s="66" t="str">
        <f>IF(Second!I224="", "",Second!I224)</f>
        <v/>
      </c>
      <c r="J471" s="66" t="str">
        <f>IF(Second!J224="", "",Second!J224)</f>
        <v/>
      </c>
      <c r="K471" s="86" t="str">
        <f>IF(Second!K224="", "",Second!K224)</f>
        <v/>
      </c>
      <c r="M471" s="67" t="str">
        <f t="shared" si="23"/>
        <v/>
      </c>
      <c r="N471" s="76" t="str">
        <f t="shared" si="24"/>
        <v/>
      </c>
      <c r="O471" s="33">
        <f t="shared" si="22"/>
        <v>0</v>
      </c>
    </row>
    <row r="472" spans="1:15" x14ac:dyDescent="0.25">
      <c r="A472" s="64" t="s">
        <v>204</v>
      </c>
      <c r="B472" s="79" t="str">
        <f>IF(Second!B225="", "",Second!B225)</f>
        <v/>
      </c>
      <c r="C472" s="66" t="str">
        <f>IF(Second!C225="", "",Second!C225)</f>
        <v/>
      </c>
      <c r="D472" s="66" t="str">
        <f>IF(Second!D225="", "",Second!D225)</f>
        <v/>
      </c>
      <c r="E472" s="66" t="str">
        <f>IF(Second!E225="", "",Second!E225)</f>
        <v/>
      </c>
      <c r="F472" s="66" t="str">
        <f>IF(Second!F225="", "",Second!F225)</f>
        <v/>
      </c>
      <c r="G472" s="66" t="str">
        <f>IF(Second!G225="", "",Second!G225)</f>
        <v/>
      </c>
      <c r="H472" s="66" t="str">
        <f>IF(Second!H225="", "",Second!H225)</f>
        <v/>
      </c>
      <c r="I472" s="66" t="str">
        <f>IF(Second!I225="", "",Second!I225)</f>
        <v/>
      </c>
      <c r="J472" s="66" t="str">
        <f>IF(Second!J225="", "",Second!J225)</f>
        <v/>
      </c>
      <c r="K472" s="86" t="str">
        <f>IF(Second!K225="", "",Second!K225)</f>
        <v/>
      </c>
      <c r="M472" s="67" t="str">
        <f t="shared" si="23"/>
        <v/>
      </c>
      <c r="N472" s="76" t="str">
        <f t="shared" si="24"/>
        <v/>
      </c>
      <c r="O472" s="33">
        <f t="shared" si="22"/>
        <v>0</v>
      </c>
    </row>
    <row r="473" spans="1:15" x14ac:dyDescent="0.25">
      <c r="A473" s="64" t="s">
        <v>204</v>
      </c>
      <c r="B473" s="79" t="str">
        <f>IF(Second!B226="", "",Second!B226)</f>
        <v/>
      </c>
      <c r="C473" s="66" t="str">
        <f>IF(Second!C226="", "",Second!C226)</f>
        <v/>
      </c>
      <c r="D473" s="66" t="str">
        <f>IF(Second!D226="", "",Second!D226)</f>
        <v/>
      </c>
      <c r="E473" s="66" t="str">
        <f>IF(Second!E226="", "",Second!E226)</f>
        <v/>
      </c>
      <c r="F473" s="66" t="str">
        <f>IF(Second!F226="", "",Second!F226)</f>
        <v/>
      </c>
      <c r="G473" s="66" t="str">
        <f>IF(Second!G226="", "",Second!G226)</f>
        <v/>
      </c>
      <c r="H473" s="66" t="str">
        <f>IF(Second!H226="", "",Second!H226)</f>
        <v/>
      </c>
      <c r="I473" s="66" t="str">
        <f>IF(Second!I226="", "",Second!I226)</f>
        <v/>
      </c>
      <c r="J473" s="66" t="str">
        <f>IF(Second!J226="", "",Second!J226)</f>
        <v/>
      </c>
      <c r="K473" s="86" t="str">
        <f>IF(Second!K226="", "",Second!K226)</f>
        <v/>
      </c>
      <c r="M473" s="67" t="str">
        <f t="shared" si="23"/>
        <v/>
      </c>
      <c r="N473" s="76" t="str">
        <f t="shared" si="24"/>
        <v/>
      </c>
      <c r="O473" s="33">
        <f t="shared" si="22"/>
        <v>0</v>
      </c>
    </row>
    <row r="474" spans="1:15" x14ac:dyDescent="0.25">
      <c r="A474" s="64" t="s">
        <v>204</v>
      </c>
      <c r="B474" s="79" t="str">
        <f>IF(Second!B227="", "",Second!B227)</f>
        <v/>
      </c>
      <c r="C474" s="66" t="str">
        <f>IF(Second!C227="", "",Second!C227)</f>
        <v/>
      </c>
      <c r="D474" s="66" t="str">
        <f>IF(Second!D227="", "",Second!D227)</f>
        <v/>
      </c>
      <c r="E474" s="66" t="str">
        <f>IF(Second!E227="", "",Second!E227)</f>
        <v/>
      </c>
      <c r="F474" s="66" t="str">
        <f>IF(Second!F227="", "",Second!F227)</f>
        <v/>
      </c>
      <c r="G474" s="66" t="str">
        <f>IF(Second!G227="", "",Second!G227)</f>
        <v/>
      </c>
      <c r="H474" s="66" t="str">
        <f>IF(Second!H227="", "",Second!H227)</f>
        <v/>
      </c>
      <c r="I474" s="66" t="str">
        <f>IF(Second!I227="", "",Second!I227)</f>
        <v/>
      </c>
      <c r="J474" s="66" t="str">
        <f>IF(Second!J227="", "",Second!J227)</f>
        <v/>
      </c>
      <c r="K474" s="86" t="str">
        <f>IF(Second!K227="", "",Second!K227)</f>
        <v/>
      </c>
      <c r="M474" s="67" t="str">
        <f t="shared" si="23"/>
        <v/>
      </c>
      <c r="N474" s="76" t="str">
        <f t="shared" si="24"/>
        <v/>
      </c>
      <c r="O474" s="33">
        <f t="shared" si="22"/>
        <v>0</v>
      </c>
    </row>
    <row r="475" spans="1:15" x14ac:dyDescent="0.25">
      <c r="A475" s="64" t="s">
        <v>204</v>
      </c>
      <c r="B475" s="79" t="str">
        <f>IF(Second!B228="", "",Second!B228)</f>
        <v/>
      </c>
      <c r="C475" s="66" t="str">
        <f>IF(Second!C228="", "",Second!C228)</f>
        <v/>
      </c>
      <c r="D475" s="66" t="str">
        <f>IF(Second!D228="", "",Second!D228)</f>
        <v/>
      </c>
      <c r="E475" s="66" t="str">
        <f>IF(Second!E228="", "",Second!E228)</f>
        <v/>
      </c>
      <c r="F475" s="66" t="str">
        <f>IF(Second!F228="", "",Second!F228)</f>
        <v/>
      </c>
      <c r="G475" s="66" t="str">
        <f>IF(Second!G228="", "",Second!G228)</f>
        <v/>
      </c>
      <c r="H475" s="66" t="str">
        <f>IF(Second!H228="", "",Second!H228)</f>
        <v/>
      </c>
      <c r="I475" s="66" t="str">
        <f>IF(Second!I228="", "",Second!I228)</f>
        <v/>
      </c>
      <c r="J475" s="66" t="str">
        <f>IF(Second!J228="", "",Second!J228)</f>
        <v/>
      </c>
      <c r="K475" s="86" t="str">
        <f>IF(Second!K228="", "",Second!K228)</f>
        <v/>
      </c>
      <c r="M475" s="67" t="str">
        <f t="shared" si="23"/>
        <v/>
      </c>
      <c r="N475" s="76" t="str">
        <f t="shared" si="24"/>
        <v/>
      </c>
      <c r="O475" s="33">
        <f t="shared" si="22"/>
        <v>0</v>
      </c>
    </row>
    <row r="476" spans="1:15" x14ac:dyDescent="0.25">
      <c r="A476" s="64" t="s">
        <v>204</v>
      </c>
      <c r="B476" s="79" t="str">
        <f>IF(Second!B229="", "",Second!B229)</f>
        <v/>
      </c>
      <c r="C476" s="66" t="str">
        <f>IF(Second!C229="", "",Second!C229)</f>
        <v/>
      </c>
      <c r="D476" s="66" t="str">
        <f>IF(Second!D229="", "",Second!D229)</f>
        <v/>
      </c>
      <c r="E476" s="66" t="str">
        <f>IF(Second!E229="", "",Second!E229)</f>
        <v/>
      </c>
      <c r="F476" s="66" t="str">
        <f>IF(Second!F229="", "",Second!F229)</f>
        <v/>
      </c>
      <c r="G476" s="66" t="str">
        <f>IF(Second!G229="", "",Second!G229)</f>
        <v/>
      </c>
      <c r="H476" s="66" t="str">
        <f>IF(Second!H229="", "",Second!H229)</f>
        <v/>
      </c>
      <c r="I476" s="66" t="str">
        <f>IF(Second!I229="", "",Second!I229)</f>
        <v/>
      </c>
      <c r="J476" s="66" t="str">
        <f>IF(Second!J229="", "",Second!J229)</f>
        <v/>
      </c>
      <c r="K476" s="86" t="str">
        <f>IF(Second!K229="", "",Second!K229)</f>
        <v/>
      </c>
      <c r="M476" s="67" t="str">
        <f t="shared" si="23"/>
        <v/>
      </c>
      <c r="N476" s="76" t="str">
        <f t="shared" si="24"/>
        <v/>
      </c>
      <c r="O476" s="33">
        <f t="shared" si="22"/>
        <v>0</v>
      </c>
    </row>
    <row r="477" spans="1:15" x14ac:dyDescent="0.25">
      <c r="A477" s="64" t="s">
        <v>204</v>
      </c>
      <c r="B477" s="79" t="str">
        <f>IF(Second!B230="", "",Second!B230)</f>
        <v/>
      </c>
      <c r="C477" s="66" t="str">
        <f>IF(Second!C230="", "",Second!C230)</f>
        <v/>
      </c>
      <c r="D477" s="66" t="str">
        <f>IF(Second!D230="", "",Second!D230)</f>
        <v/>
      </c>
      <c r="E477" s="66" t="str">
        <f>IF(Second!E230="", "",Second!E230)</f>
        <v/>
      </c>
      <c r="F477" s="66" t="str">
        <f>IF(Second!F230="", "",Second!F230)</f>
        <v/>
      </c>
      <c r="G477" s="66" t="str">
        <f>IF(Second!G230="", "",Second!G230)</f>
        <v/>
      </c>
      <c r="H477" s="66" t="str">
        <f>IF(Second!H230="", "",Second!H230)</f>
        <v/>
      </c>
      <c r="I477" s="66" t="str">
        <f>IF(Second!I230="", "",Second!I230)</f>
        <v/>
      </c>
      <c r="J477" s="66" t="str">
        <f>IF(Second!J230="", "",Second!J230)</f>
        <v/>
      </c>
      <c r="K477" s="86" t="str">
        <f>IF(Second!K230="", "",Second!K230)</f>
        <v/>
      </c>
      <c r="M477" s="67" t="str">
        <f t="shared" si="23"/>
        <v/>
      </c>
      <c r="N477" s="76" t="str">
        <f t="shared" si="24"/>
        <v/>
      </c>
      <c r="O477" s="33">
        <f t="shared" si="22"/>
        <v>0</v>
      </c>
    </row>
    <row r="478" spans="1:15" x14ac:dyDescent="0.25">
      <c r="A478" s="64" t="s">
        <v>204</v>
      </c>
      <c r="B478" s="79" t="str">
        <f>IF(Second!B231="", "",Second!B231)</f>
        <v/>
      </c>
      <c r="C478" s="66" t="str">
        <f>IF(Second!C231="", "",Second!C231)</f>
        <v/>
      </c>
      <c r="D478" s="66" t="str">
        <f>IF(Second!D231="", "",Second!D231)</f>
        <v/>
      </c>
      <c r="E478" s="66" t="str">
        <f>IF(Second!E231="", "",Second!E231)</f>
        <v/>
      </c>
      <c r="F478" s="66" t="str">
        <f>IF(Second!F231="", "",Second!F231)</f>
        <v/>
      </c>
      <c r="G478" s="66" t="str">
        <f>IF(Second!G231="", "",Second!G231)</f>
        <v/>
      </c>
      <c r="H478" s="66" t="str">
        <f>IF(Second!H231="", "",Second!H231)</f>
        <v/>
      </c>
      <c r="I478" s="66" t="str">
        <f>IF(Second!I231="", "",Second!I231)</f>
        <v/>
      </c>
      <c r="J478" s="66" t="str">
        <f>IF(Second!J231="", "",Second!J231)</f>
        <v/>
      </c>
      <c r="K478" s="86" t="str">
        <f>IF(Second!K231="", "",Second!K231)</f>
        <v/>
      </c>
      <c r="M478" s="67" t="str">
        <f t="shared" si="23"/>
        <v/>
      </c>
      <c r="N478" s="76" t="str">
        <f t="shared" si="24"/>
        <v/>
      </c>
      <c r="O478" s="33">
        <f t="shared" si="22"/>
        <v>0</v>
      </c>
    </row>
    <row r="479" spans="1:15" x14ac:dyDescent="0.25">
      <c r="A479" s="64" t="s">
        <v>204</v>
      </c>
      <c r="B479" s="79" t="str">
        <f>IF(Second!B232="", "",Second!B232)</f>
        <v/>
      </c>
      <c r="C479" s="66" t="str">
        <f>IF(Second!C232="", "",Second!C232)</f>
        <v/>
      </c>
      <c r="D479" s="66" t="str">
        <f>IF(Second!D232="", "",Second!D232)</f>
        <v/>
      </c>
      <c r="E479" s="66" t="str">
        <f>IF(Second!E232="", "",Second!E232)</f>
        <v/>
      </c>
      <c r="F479" s="66" t="str">
        <f>IF(Second!F232="", "",Second!F232)</f>
        <v/>
      </c>
      <c r="G479" s="66" t="str">
        <f>IF(Second!G232="", "",Second!G232)</f>
        <v/>
      </c>
      <c r="H479" s="66" t="str">
        <f>IF(Second!H232="", "",Second!H232)</f>
        <v/>
      </c>
      <c r="I479" s="66" t="str">
        <f>IF(Second!I232="", "",Second!I232)</f>
        <v/>
      </c>
      <c r="J479" s="66" t="str">
        <f>IF(Second!J232="", "",Second!J232)</f>
        <v/>
      </c>
      <c r="K479" s="86" t="str">
        <f>IF(Second!K232="", "",Second!K232)</f>
        <v/>
      </c>
      <c r="M479" s="67" t="str">
        <f t="shared" si="23"/>
        <v/>
      </c>
      <c r="N479" s="76" t="str">
        <f t="shared" si="24"/>
        <v/>
      </c>
      <c r="O479" s="33">
        <f t="shared" si="22"/>
        <v>0</v>
      </c>
    </row>
    <row r="480" spans="1:15" x14ac:dyDescent="0.25">
      <c r="A480" s="64" t="s">
        <v>204</v>
      </c>
      <c r="B480" s="79" t="str">
        <f>IF(Second!B233="", "",Second!B233)</f>
        <v/>
      </c>
      <c r="C480" s="66" t="str">
        <f>IF(Second!C233="", "",Second!C233)</f>
        <v/>
      </c>
      <c r="D480" s="66" t="str">
        <f>IF(Second!D233="", "",Second!D233)</f>
        <v/>
      </c>
      <c r="E480" s="66" t="str">
        <f>IF(Second!E233="", "",Second!E233)</f>
        <v/>
      </c>
      <c r="F480" s="66" t="str">
        <f>IF(Second!F233="", "",Second!F233)</f>
        <v/>
      </c>
      <c r="G480" s="66" t="str">
        <f>IF(Second!G233="", "",Second!G233)</f>
        <v/>
      </c>
      <c r="H480" s="66" t="str">
        <f>IF(Second!H233="", "",Second!H233)</f>
        <v/>
      </c>
      <c r="I480" s="66" t="str">
        <f>IF(Second!I233="", "",Second!I233)</f>
        <v/>
      </c>
      <c r="J480" s="66" t="str">
        <f>IF(Second!J233="", "",Second!J233)</f>
        <v/>
      </c>
      <c r="K480" s="86" t="str">
        <f>IF(Second!K233="", "",Second!K233)</f>
        <v/>
      </c>
      <c r="M480" s="67" t="str">
        <f t="shared" si="23"/>
        <v/>
      </c>
      <c r="N480" s="76" t="str">
        <f t="shared" si="24"/>
        <v/>
      </c>
      <c r="O480" s="33">
        <f t="shared" si="22"/>
        <v>0</v>
      </c>
    </row>
    <row r="481" spans="1:15" x14ac:dyDescent="0.25">
      <c r="A481" s="64" t="s">
        <v>204</v>
      </c>
      <c r="B481" s="79" t="str">
        <f>IF(Second!B234="", "",Second!B234)</f>
        <v/>
      </c>
      <c r="C481" s="66" t="str">
        <f>IF(Second!C234="", "",Second!C234)</f>
        <v/>
      </c>
      <c r="D481" s="66" t="str">
        <f>IF(Second!D234="", "",Second!D234)</f>
        <v/>
      </c>
      <c r="E481" s="66" t="str">
        <f>IF(Second!E234="", "",Second!E234)</f>
        <v/>
      </c>
      <c r="F481" s="66" t="str">
        <f>IF(Second!F234="", "",Second!F234)</f>
        <v/>
      </c>
      <c r="G481" s="66" t="str">
        <f>IF(Second!G234="", "",Second!G234)</f>
        <v/>
      </c>
      <c r="H481" s="66" t="str">
        <f>IF(Second!H234="", "",Second!H234)</f>
        <v/>
      </c>
      <c r="I481" s="66" t="str">
        <f>IF(Second!I234="", "",Second!I234)</f>
        <v/>
      </c>
      <c r="J481" s="66" t="str">
        <f>IF(Second!J234="", "",Second!J234)</f>
        <v/>
      </c>
      <c r="K481" s="86" t="str">
        <f>IF(Second!K234="", "",Second!K234)</f>
        <v/>
      </c>
      <c r="M481" s="67" t="str">
        <f t="shared" si="23"/>
        <v/>
      </c>
      <c r="N481" s="76" t="str">
        <f t="shared" si="24"/>
        <v/>
      </c>
      <c r="O481" s="33">
        <f t="shared" si="22"/>
        <v>0</v>
      </c>
    </row>
    <row r="482" spans="1:15" x14ac:dyDescent="0.25">
      <c r="A482" s="64" t="s">
        <v>204</v>
      </c>
      <c r="B482" s="79" t="str">
        <f>IF(Second!B235="", "",Second!B235)</f>
        <v/>
      </c>
      <c r="C482" s="66" t="str">
        <f>IF(Second!C235="", "",Second!C235)</f>
        <v/>
      </c>
      <c r="D482" s="66" t="str">
        <f>IF(Second!D235="", "",Second!D235)</f>
        <v/>
      </c>
      <c r="E482" s="66" t="str">
        <f>IF(Second!E235="", "",Second!E235)</f>
        <v/>
      </c>
      <c r="F482" s="66" t="str">
        <f>IF(Second!F235="", "",Second!F235)</f>
        <v/>
      </c>
      <c r="G482" s="66" t="str">
        <f>IF(Second!G235="", "",Second!G235)</f>
        <v/>
      </c>
      <c r="H482" s="66" t="str">
        <f>IF(Second!H235="", "",Second!H235)</f>
        <v/>
      </c>
      <c r="I482" s="66" t="str">
        <f>IF(Second!I235="", "",Second!I235)</f>
        <v/>
      </c>
      <c r="J482" s="66" t="str">
        <f>IF(Second!J235="", "",Second!J235)</f>
        <v/>
      </c>
      <c r="K482" s="86" t="str">
        <f>IF(Second!K235="", "",Second!K235)</f>
        <v/>
      </c>
      <c r="M482" s="67" t="str">
        <f t="shared" si="23"/>
        <v/>
      </c>
      <c r="N482" s="76" t="str">
        <f t="shared" si="24"/>
        <v/>
      </c>
      <c r="O482" s="33">
        <f t="shared" si="22"/>
        <v>0</v>
      </c>
    </row>
    <row r="483" spans="1:15" x14ac:dyDescent="0.25">
      <c r="A483" s="64" t="s">
        <v>204</v>
      </c>
      <c r="B483" s="79" t="str">
        <f>IF(Second!B236="", "",Second!B236)</f>
        <v/>
      </c>
      <c r="C483" s="66" t="str">
        <f>IF(Second!C236="", "",Second!C236)</f>
        <v/>
      </c>
      <c r="D483" s="66" t="str">
        <f>IF(Second!D236="", "",Second!D236)</f>
        <v/>
      </c>
      <c r="E483" s="66" t="str">
        <f>IF(Second!E236="", "",Second!E236)</f>
        <v/>
      </c>
      <c r="F483" s="66" t="str">
        <f>IF(Second!F236="", "",Second!F236)</f>
        <v/>
      </c>
      <c r="G483" s="66" t="str">
        <f>IF(Second!G236="", "",Second!G236)</f>
        <v/>
      </c>
      <c r="H483" s="66" t="str">
        <f>IF(Second!H236="", "",Second!H236)</f>
        <v/>
      </c>
      <c r="I483" s="66" t="str">
        <f>IF(Second!I236="", "",Second!I236)</f>
        <v/>
      </c>
      <c r="J483" s="66" t="str">
        <f>IF(Second!J236="", "",Second!J236)</f>
        <v/>
      </c>
      <c r="K483" s="86" t="str">
        <f>IF(Second!K236="", "",Second!K236)</f>
        <v/>
      </c>
      <c r="M483" s="67" t="str">
        <f t="shared" si="23"/>
        <v/>
      </c>
      <c r="N483" s="76" t="str">
        <f t="shared" si="24"/>
        <v/>
      </c>
      <c r="O483" s="33">
        <f t="shared" si="22"/>
        <v>0</v>
      </c>
    </row>
    <row r="484" spans="1:15" x14ac:dyDescent="0.25">
      <c r="A484" s="64" t="s">
        <v>204</v>
      </c>
      <c r="B484" s="79" t="str">
        <f>IF(Second!B237="", "",Second!B237)</f>
        <v/>
      </c>
      <c r="C484" s="66" t="str">
        <f>IF(Second!C237="", "",Second!C237)</f>
        <v/>
      </c>
      <c r="D484" s="66" t="str">
        <f>IF(Second!D237="", "",Second!D237)</f>
        <v/>
      </c>
      <c r="E484" s="66" t="str">
        <f>IF(Second!E237="", "",Second!E237)</f>
        <v/>
      </c>
      <c r="F484" s="66" t="str">
        <f>IF(Second!F237="", "",Second!F237)</f>
        <v/>
      </c>
      <c r="G484" s="66" t="str">
        <f>IF(Second!G237="", "",Second!G237)</f>
        <v/>
      </c>
      <c r="H484" s="66" t="str">
        <f>IF(Second!H237="", "",Second!H237)</f>
        <v/>
      </c>
      <c r="I484" s="66" t="str">
        <f>IF(Second!I237="", "",Second!I237)</f>
        <v/>
      </c>
      <c r="J484" s="66" t="str">
        <f>IF(Second!J237="", "",Second!J237)</f>
        <v/>
      </c>
      <c r="K484" s="86" t="str">
        <f>IF(Second!K237="", "",Second!K237)</f>
        <v/>
      </c>
      <c r="M484" s="67" t="str">
        <f t="shared" si="23"/>
        <v/>
      </c>
      <c r="N484" s="76" t="str">
        <f t="shared" si="24"/>
        <v/>
      </c>
      <c r="O484" s="33">
        <f t="shared" si="22"/>
        <v>0</v>
      </c>
    </row>
    <row r="485" spans="1:15" x14ac:dyDescent="0.25">
      <c r="A485" s="64" t="s">
        <v>204</v>
      </c>
      <c r="B485" s="79" t="str">
        <f>IF(Second!B238="", "",Second!B238)</f>
        <v/>
      </c>
      <c r="C485" s="66" t="str">
        <f>IF(Second!C238="", "",Second!C238)</f>
        <v/>
      </c>
      <c r="D485" s="66" t="str">
        <f>IF(Second!D238="", "",Second!D238)</f>
        <v/>
      </c>
      <c r="E485" s="66" t="str">
        <f>IF(Second!E238="", "",Second!E238)</f>
        <v/>
      </c>
      <c r="F485" s="66" t="str">
        <f>IF(Second!F238="", "",Second!F238)</f>
        <v/>
      </c>
      <c r="G485" s="66" t="str">
        <f>IF(Second!G238="", "",Second!G238)</f>
        <v/>
      </c>
      <c r="H485" s="66" t="str">
        <f>IF(Second!H238="", "",Second!H238)</f>
        <v/>
      </c>
      <c r="I485" s="66" t="str">
        <f>IF(Second!I238="", "",Second!I238)</f>
        <v/>
      </c>
      <c r="J485" s="66" t="str">
        <f>IF(Second!J238="", "",Second!J238)</f>
        <v/>
      </c>
      <c r="K485" s="86" t="str">
        <f>IF(Second!K238="", "",Second!K238)</f>
        <v/>
      </c>
      <c r="M485" s="67" t="str">
        <f t="shared" si="23"/>
        <v/>
      </c>
      <c r="N485" s="76" t="str">
        <f t="shared" si="24"/>
        <v/>
      </c>
      <c r="O485" s="33">
        <f t="shared" si="22"/>
        <v>0</v>
      </c>
    </row>
    <row r="486" spans="1:15" x14ac:dyDescent="0.25">
      <c r="A486" s="64" t="s">
        <v>204</v>
      </c>
      <c r="B486" s="79" t="str">
        <f>IF(Second!B239="", "",Second!B239)</f>
        <v/>
      </c>
      <c r="C486" s="66" t="str">
        <f>IF(Second!C239="", "",Second!C239)</f>
        <v/>
      </c>
      <c r="D486" s="66" t="str">
        <f>IF(Second!D239="", "",Second!D239)</f>
        <v/>
      </c>
      <c r="E486" s="66" t="str">
        <f>IF(Second!E239="", "",Second!E239)</f>
        <v/>
      </c>
      <c r="F486" s="66" t="str">
        <f>IF(Second!F239="", "",Second!F239)</f>
        <v/>
      </c>
      <c r="G486" s="66" t="str">
        <f>IF(Second!G239="", "",Second!G239)</f>
        <v/>
      </c>
      <c r="H486" s="66" t="str">
        <f>IF(Second!H239="", "",Second!H239)</f>
        <v/>
      </c>
      <c r="I486" s="66" t="str">
        <f>IF(Second!I239="", "",Second!I239)</f>
        <v/>
      </c>
      <c r="J486" s="66" t="str">
        <f>IF(Second!J239="", "",Second!J239)</f>
        <v/>
      </c>
      <c r="K486" s="86" t="str">
        <f>IF(Second!K239="", "",Second!K239)</f>
        <v/>
      </c>
      <c r="M486" s="67" t="str">
        <f t="shared" si="23"/>
        <v/>
      </c>
      <c r="N486" s="76" t="str">
        <f t="shared" si="24"/>
        <v/>
      </c>
      <c r="O486" s="33">
        <f t="shared" si="22"/>
        <v>0</v>
      </c>
    </row>
    <row r="487" spans="1:15" x14ac:dyDescent="0.25">
      <c r="A487" s="64" t="s">
        <v>204</v>
      </c>
      <c r="B487" s="79" t="str">
        <f>IF(Second!B240="", "",Second!B240)</f>
        <v/>
      </c>
      <c r="C487" s="66" t="str">
        <f>IF(Second!C240="", "",Second!C240)</f>
        <v/>
      </c>
      <c r="D487" s="66" t="str">
        <f>IF(Second!D240="", "",Second!D240)</f>
        <v/>
      </c>
      <c r="E487" s="66" t="str">
        <f>IF(Second!E240="", "",Second!E240)</f>
        <v/>
      </c>
      <c r="F487" s="66" t="str">
        <f>IF(Second!F240="", "",Second!F240)</f>
        <v/>
      </c>
      <c r="G487" s="66" t="str">
        <f>IF(Second!G240="", "",Second!G240)</f>
        <v/>
      </c>
      <c r="H487" s="66" t="str">
        <f>IF(Second!H240="", "",Second!H240)</f>
        <v/>
      </c>
      <c r="I487" s="66" t="str">
        <f>IF(Second!I240="", "",Second!I240)</f>
        <v/>
      </c>
      <c r="J487" s="66" t="str">
        <f>IF(Second!J240="", "",Second!J240)</f>
        <v/>
      </c>
      <c r="K487" s="86" t="str">
        <f>IF(Second!K240="", "",Second!K240)</f>
        <v/>
      </c>
      <c r="M487" s="67" t="str">
        <f t="shared" si="23"/>
        <v/>
      </c>
      <c r="N487" s="76" t="str">
        <f t="shared" si="24"/>
        <v/>
      </c>
      <c r="O487" s="33">
        <f t="shared" si="22"/>
        <v>0</v>
      </c>
    </row>
    <row r="488" spans="1:15" x14ac:dyDescent="0.25">
      <c r="A488" s="64" t="s">
        <v>204</v>
      </c>
      <c r="B488" s="79" t="str">
        <f>IF(Second!B241="", "",Second!B241)</f>
        <v/>
      </c>
      <c r="C488" s="66" t="str">
        <f>IF(Second!C241="", "",Second!C241)</f>
        <v/>
      </c>
      <c r="D488" s="66" t="str">
        <f>IF(Second!D241="", "",Second!D241)</f>
        <v/>
      </c>
      <c r="E488" s="66" t="str">
        <f>IF(Second!E241="", "",Second!E241)</f>
        <v/>
      </c>
      <c r="F488" s="66" t="str">
        <f>IF(Second!F241="", "",Second!F241)</f>
        <v/>
      </c>
      <c r="G488" s="66" t="str">
        <f>IF(Second!G241="", "",Second!G241)</f>
        <v/>
      </c>
      <c r="H488" s="66" t="str">
        <f>IF(Second!H241="", "",Second!H241)</f>
        <v/>
      </c>
      <c r="I488" s="66" t="str">
        <f>IF(Second!I241="", "",Second!I241)</f>
        <v/>
      </c>
      <c r="J488" s="66" t="str">
        <f>IF(Second!J241="", "",Second!J241)</f>
        <v/>
      </c>
      <c r="K488" s="86" t="str">
        <f>IF(Second!K241="", "",Second!K241)</f>
        <v/>
      </c>
      <c r="M488" s="67" t="str">
        <f t="shared" si="23"/>
        <v/>
      </c>
      <c r="N488" s="76" t="str">
        <f t="shared" si="24"/>
        <v/>
      </c>
      <c r="O488" s="33">
        <f t="shared" si="22"/>
        <v>0</v>
      </c>
    </row>
    <row r="489" spans="1:15" x14ac:dyDescent="0.25">
      <c r="A489" s="64" t="s">
        <v>204</v>
      </c>
      <c r="B489" s="79" t="str">
        <f>IF(Second!B242="", "",Second!B242)</f>
        <v/>
      </c>
      <c r="C489" s="66" t="str">
        <f>IF(Second!C242="", "",Second!C242)</f>
        <v/>
      </c>
      <c r="D489" s="66" t="str">
        <f>IF(Second!D242="", "",Second!D242)</f>
        <v/>
      </c>
      <c r="E489" s="66" t="str">
        <f>IF(Second!E242="", "",Second!E242)</f>
        <v/>
      </c>
      <c r="F489" s="66" t="str">
        <f>IF(Second!F242="", "",Second!F242)</f>
        <v/>
      </c>
      <c r="G489" s="66" t="str">
        <f>IF(Second!G242="", "",Second!G242)</f>
        <v/>
      </c>
      <c r="H489" s="66" t="str">
        <f>IF(Second!H242="", "",Second!H242)</f>
        <v/>
      </c>
      <c r="I489" s="66" t="str">
        <f>IF(Second!I242="", "",Second!I242)</f>
        <v/>
      </c>
      <c r="J489" s="66" t="str">
        <f>IF(Second!J242="", "",Second!J242)</f>
        <v/>
      </c>
      <c r="K489" s="86" t="str">
        <f>IF(Second!K242="", "",Second!K242)</f>
        <v/>
      </c>
      <c r="M489" s="67" t="str">
        <f t="shared" si="23"/>
        <v/>
      </c>
      <c r="N489" s="76" t="str">
        <f t="shared" si="24"/>
        <v/>
      </c>
      <c r="O489" s="33">
        <f t="shared" si="22"/>
        <v>0</v>
      </c>
    </row>
    <row r="490" spans="1:15" x14ac:dyDescent="0.25">
      <c r="A490" s="64" t="s">
        <v>204</v>
      </c>
      <c r="B490" s="79" t="str">
        <f>IF(Second!B243="", "",Second!B243)</f>
        <v/>
      </c>
      <c r="C490" s="66" t="str">
        <f>IF(Second!C243="", "",Second!C243)</f>
        <v/>
      </c>
      <c r="D490" s="66" t="str">
        <f>IF(Second!D243="", "",Second!D243)</f>
        <v/>
      </c>
      <c r="E490" s="66" t="str">
        <f>IF(Second!E243="", "",Second!E243)</f>
        <v/>
      </c>
      <c r="F490" s="66" t="str">
        <f>IF(Second!F243="", "",Second!F243)</f>
        <v/>
      </c>
      <c r="G490" s="66" t="str">
        <f>IF(Second!G243="", "",Second!G243)</f>
        <v/>
      </c>
      <c r="H490" s="66" t="str">
        <f>IF(Second!H243="", "",Second!H243)</f>
        <v/>
      </c>
      <c r="I490" s="66" t="str">
        <f>IF(Second!I243="", "",Second!I243)</f>
        <v/>
      </c>
      <c r="J490" s="66" t="str">
        <f>IF(Second!J243="", "",Second!J243)</f>
        <v/>
      </c>
      <c r="K490" s="86" t="str">
        <f>IF(Second!K243="", "",Second!K243)</f>
        <v/>
      </c>
      <c r="M490" s="67" t="str">
        <f t="shared" si="23"/>
        <v/>
      </c>
      <c r="N490" s="76" t="str">
        <f t="shared" si="24"/>
        <v/>
      </c>
      <c r="O490" s="33">
        <f t="shared" si="22"/>
        <v>0</v>
      </c>
    </row>
    <row r="491" spans="1:15" x14ac:dyDescent="0.25">
      <c r="A491" s="64" t="s">
        <v>204</v>
      </c>
      <c r="B491" s="79" t="str">
        <f>IF(Second!B244="", "",Second!B244)</f>
        <v/>
      </c>
      <c r="C491" s="66" t="str">
        <f>IF(Second!C244="", "",Second!C244)</f>
        <v/>
      </c>
      <c r="D491" s="66" t="str">
        <f>IF(Second!D244="", "",Second!D244)</f>
        <v/>
      </c>
      <c r="E491" s="66" t="str">
        <f>IF(Second!E244="", "",Second!E244)</f>
        <v/>
      </c>
      <c r="F491" s="66" t="str">
        <f>IF(Second!F244="", "",Second!F244)</f>
        <v/>
      </c>
      <c r="G491" s="66" t="str">
        <f>IF(Second!G244="", "",Second!G244)</f>
        <v/>
      </c>
      <c r="H491" s="66" t="str">
        <f>IF(Second!H244="", "",Second!H244)</f>
        <v/>
      </c>
      <c r="I491" s="66" t="str">
        <f>IF(Second!I244="", "",Second!I244)</f>
        <v/>
      </c>
      <c r="J491" s="66" t="str">
        <f>IF(Second!J244="", "",Second!J244)</f>
        <v/>
      </c>
      <c r="K491" s="86" t="str">
        <f>IF(Second!K244="", "",Second!K244)</f>
        <v/>
      </c>
      <c r="M491" s="67" t="str">
        <f t="shared" si="23"/>
        <v/>
      </c>
      <c r="N491" s="76" t="str">
        <f t="shared" si="24"/>
        <v/>
      </c>
      <c r="O491" s="33">
        <f t="shared" si="22"/>
        <v>0</v>
      </c>
    </row>
    <row r="492" spans="1:15" x14ac:dyDescent="0.25">
      <c r="A492" s="64" t="s">
        <v>204</v>
      </c>
      <c r="B492" s="79" t="str">
        <f>IF(Second!B245="", "",Second!B245)</f>
        <v/>
      </c>
      <c r="C492" s="66" t="str">
        <f>IF(Second!C245="", "",Second!C245)</f>
        <v/>
      </c>
      <c r="D492" s="66" t="str">
        <f>IF(Second!D245="", "",Second!D245)</f>
        <v/>
      </c>
      <c r="E492" s="66" t="str">
        <f>IF(Second!E245="", "",Second!E245)</f>
        <v/>
      </c>
      <c r="F492" s="66" t="str">
        <f>IF(Second!F245="", "",Second!F245)</f>
        <v/>
      </c>
      <c r="G492" s="66" t="str">
        <f>IF(Second!G245="", "",Second!G245)</f>
        <v/>
      </c>
      <c r="H492" s="66" t="str">
        <f>IF(Second!H245="", "",Second!H245)</f>
        <v/>
      </c>
      <c r="I492" s="66" t="str">
        <f>IF(Second!I245="", "",Second!I245)</f>
        <v/>
      </c>
      <c r="J492" s="66" t="str">
        <f>IF(Second!J245="", "",Second!J245)</f>
        <v/>
      </c>
      <c r="K492" s="86" t="str">
        <f>IF(Second!K245="", "",Second!K245)</f>
        <v/>
      </c>
      <c r="M492" s="67" t="str">
        <f t="shared" si="23"/>
        <v/>
      </c>
      <c r="N492" s="76" t="str">
        <f t="shared" si="24"/>
        <v/>
      </c>
      <c r="O492" s="33">
        <f t="shared" si="22"/>
        <v>0</v>
      </c>
    </row>
    <row r="493" spans="1:15" x14ac:dyDescent="0.25">
      <c r="A493" s="64" t="s">
        <v>204</v>
      </c>
      <c r="B493" s="79" t="str">
        <f>IF(Second!B246="", "",Second!B246)</f>
        <v/>
      </c>
      <c r="C493" s="66" t="str">
        <f>IF(Second!C246="", "",Second!C246)</f>
        <v/>
      </c>
      <c r="D493" s="66" t="str">
        <f>IF(Second!D246="", "",Second!D246)</f>
        <v/>
      </c>
      <c r="E493" s="66" t="str">
        <f>IF(Second!E246="", "",Second!E246)</f>
        <v/>
      </c>
      <c r="F493" s="66" t="str">
        <f>IF(Second!F246="", "",Second!F246)</f>
        <v/>
      </c>
      <c r="G493" s="66" t="str">
        <f>IF(Second!G246="", "",Second!G246)</f>
        <v/>
      </c>
      <c r="H493" s="66" t="str">
        <f>IF(Second!H246="", "",Second!H246)</f>
        <v/>
      </c>
      <c r="I493" s="66" t="str">
        <f>IF(Second!I246="", "",Second!I246)</f>
        <v/>
      </c>
      <c r="J493" s="66" t="str">
        <f>IF(Second!J246="", "",Second!J246)</f>
        <v/>
      </c>
      <c r="K493" s="86" t="str">
        <f>IF(Second!K246="", "",Second!K246)</f>
        <v/>
      </c>
      <c r="M493" s="67" t="str">
        <f t="shared" si="23"/>
        <v/>
      </c>
      <c r="N493" s="76" t="str">
        <f t="shared" si="24"/>
        <v/>
      </c>
      <c r="O493" s="33">
        <f t="shared" si="22"/>
        <v>0</v>
      </c>
    </row>
    <row r="494" spans="1:15" x14ac:dyDescent="0.25">
      <c r="A494" s="64" t="s">
        <v>204</v>
      </c>
      <c r="B494" s="79" t="str">
        <f>IF(Second!B247="", "",Second!B247)</f>
        <v/>
      </c>
      <c r="C494" s="66" t="str">
        <f>IF(Second!C247="", "",Second!C247)</f>
        <v/>
      </c>
      <c r="D494" s="66" t="str">
        <f>IF(Second!D247="", "",Second!D247)</f>
        <v/>
      </c>
      <c r="E494" s="66" t="str">
        <f>IF(Second!E247="", "",Second!E247)</f>
        <v/>
      </c>
      <c r="F494" s="66" t="str">
        <f>IF(Second!F247="", "",Second!F247)</f>
        <v/>
      </c>
      <c r="G494" s="66" t="str">
        <f>IF(Second!G247="", "",Second!G247)</f>
        <v/>
      </c>
      <c r="H494" s="66" t="str">
        <f>IF(Second!H247="", "",Second!H247)</f>
        <v/>
      </c>
      <c r="I494" s="66" t="str">
        <f>IF(Second!I247="", "",Second!I247)</f>
        <v/>
      </c>
      <c r="J494" s="66" t="str">
        <f>IF(Second!J247="", "",Second!J247)</f>
        <v/>
      </c>
      <c r="K494" s="86" t="str">
        <f>IF(Second!K247="", "",Second!K247)</f>
        <v/>
      </c>
      <c r="M494" s="67" t="str">
        <f t="shared" si="23"/>
        <v/>
      </c>
      <c r="N494" s="76" t="str">
        <f t="shared" si="24"/>
        <v/>
      </c>
      <c r="O494" s="33">
        <f t="shared" si="22"/>
        <v>0</v>
      </c>
    </row>
    <row r="495" spans="1:15" x14ac:dyDescent="0.25">
      <c r="A495" s="64" t="s">
        <v>204</v>
      </c>
      <c r="B495" s="79" t="str">
        <f>IF(Second!B248="", "",Second!B248)</f>
        <v/>
      </c>
      <c r="C495" s="66" t="str">
        <f>IF(Second!C248="", "",Second!C248)</f>
        <v/>
      </c>
      <c r="D495" s="66" t="str">
        <f>IF(Second!D248="", "",Second!D248)</f>
        <v/>
      </c>
      <c r="E495" s="66" t="str">
        <f>IF(Second!E248="", "",Second!E248)</f>
        <v/>
      </c>
      <c r="F495" s="66" t="str">
        <f>IF(Second!F248="", "",Second!F248)</f>
        <v/>
      </c>
      <c r="G495" s="66" t="str">
        <f>IF(Second!G248="", "",Second!G248)</f>
        <v/>
      </c>
      <c r="H495" s="66" t="str">
        <f>IF(Second!H248="", "",Second!H248)</f>
        <v/>
      </c>
      <c r="I495" s="66" t="str">
        <f>IF(Second!I248="", "",Second!I248)</f>
        <v/>
      </c>
      <c r="J495" s="66" t="str">
        <f>IF(Second!J248="", "",Second!J248)</f>
        <v/>
      </c>
      <c r="K495" s="86" t="str">
        <f>IF(Second!K248="", "",Second!K248)</f>
        <v/>
      </c>
      <c r="M495" s="67" t="str">
        <f t="shared" si="23"/>
        <v/>
      </c>
      <c r="N495" s="76" t="str">
        <f t="shared" si="24"/>
        <v/>
      </c>
      <c r="O495" s="33">
        <f t="shared" si="22"/>
        <v>0</v>
      </c>
    </row>
    <row r="496" spans="1:15" x14ac:dyDescent="0.25">
      <c r="A496" s="64" t="s">
        <v>204</v>
      </c>
      <c r="B496" s="79" t="str">
        <f>IF(Second!B249="", "",Second!B249)</f>
        <v/>
      </c>
      <c r="C496" s="66" t="str">
        <f>IF(Second!C249="", "",Second!C249)</f>
        <v/>
      </c>
      <c r="D496" s="66" t="str">
        <f>IF(Second!D249="", "",Second!D249)</f>
        <v/>
      </c>
      <c r="E496" s="66" t="str">
        <f>IF(Second!E249="", "",Second!E249)</f>
        <v/>
      </c>
      <c r="F496" s="66" t="str">
        <f>IF(Second!F249="", "",Second!F249)</f>
        <v/>
      </c>
      <c r="G496" s="66" t="str">
        <f>IF(Second!G249="", "",Second!G249)</f>
        <v/>
      </c>
      <c r="H496" s="66" t="str">
        <f>IF(Second!H249="", "",Second!H249)</f>
        <v/>
      </c>
      <c r="I496" s="66" t="str">
        <f>IF(Second!I249="", "",Second!I249)</f>
        <v/>
      </c>
      <c r="J496" s="66" t="str">
        <f>IF(Second!J249="", "",Second!J249)</f>
        <v/>
      </c>
      <c r="K496" s="86" t="str">
        <f>IF(Second!K249="", "",Second!K249)</f>
        <v/>
      </c>
      <c r="M496" s="67" t="str">
        <f t="shared" si="23"/>
        <v/>
      </c>
      <c r="N496" s="76" t="str">
        <f t="shared" si="24"/>
        <v/>
      </c>
      <c r="O496" s="33">
        <f t="shared" si="22"/>
        <v>0</v>
      </c>
    </row>
    <row r="497" spans="1:15" x14ac:dyDescent="0.25">
      <c r="A497" s="64" t="s">
        <v>204</v>
      </c>
      <c r="B497" s="79" t="str">
        <f>IF(Second!B250="", "",Second!B250)</f>
        <v/>
      </c>
      <c r="C497" s="66" t="str">
        <f>IF(Second!C250="", "",Second!C250)</f>
        <v/>
      </c>
      <c r="D497" s="66" t="str">
        <f>IF(Second!D250="", "",Second!D250)</f>
        <v/>
      </c>
      <c r="E497" s="66" t="str">
        <f>IF(Second!E250="", "",Second!E250)</f>
        <v/>
      </c>
      <c r="F497" s="66" t="str">
        <f>IF(Second!F250="", "",Second!F250)</f>
        <v/>
      </c>
      <c r="G497" s="66" t="str">
        <f>IF(Second!G250="", "",Second!G250)</f>
        <v/>
      </c>
      <c r="H497" s="66" t="str">
        <f>IF(Second!H250="", "",Second!H250)</f>
        <v/>
      </c>
      <c r="I497" s="66" t="str">
        <f>IF(Second!I250="", "",Second!I250)</f>
        <v/>
      </c>
      <c r="J497" s="66" t="str">
        <f>IF(Second!J250="", "",Second!J250)</f>
        <v/>
      </c>
      <c r="K497" s="86" t="str">
        <f>IF(Second!K250="", "",Second!K250)</f>
        <v/>
      </c>
      <c r="M497" s="67" t="str">
        <f t="shared" si="23"/>
        <v/>
      </c>
      <c r="N497" s="76" t="str">
        <f t="shared" si="24"/>
        <v/>
      </c>
      <c r="O497" s="33">
        <f t="shared" si="22"/>
        <v>0</v>
      </c>
    </row>
    <row r="498" spans="1:15" x14ac:dyDescent="0.25">
      <c r="A498" s="64" t="s">
        <v>204</v>
      </c>
      <c r="B498" s="79" t="str">
        <f>IF(Second!B251="", "",Second!B251)</f>
        <v/>
      </c>
      <c r="C498" s="66" t="str">
        <f>IF(Second!C251="", "",Second!C251)</f>
        <v/>
      </c>
      <c r="D498" s="66" t="str">
        <f>IF(Second!D251="", "",Second!D251)</f>
        <v/>
      </c>
      <c r="E498" s="66" t="str">
        <f>IF(Second!E251="", "",Second!E251)</f>
        <v/>
      </c>
      <c r="F498" s="66" t="str">
        <f>IF(Second!F251="", "",Second!F251)</f>
        <v/>
      </c>
      <c r="G498" s="66" t="str">
        <f>IF(Second!G251="", "",Second!G251)</f>
        <v/>
      </c>
      <c r="H498" s="66" t="str">
        <f>IF(Second!H251="", "",Second!H251)</f>
        <v/>
      </c>
      <c r="I498" s="66" t="str">
        <f>IF(Second!I251="", "",Second!I251)</f>
        <v/>
      </c>
      <c r="J498" s="66" t="str">
        <f>IF(Second!J251="", "",Second!J251)</f>
        <v/>
      </c>
      <c r="K498" s="86" t="str">
        <f>IF(Second!K251="", "",Second!K251)</f>
        <v/>
      </c>
      <c r="M498" s="67" t="str">
        <f t="shared" si="23"/>
        <v/>
      </c>
      <c r="N498" s="76" t="str">
        <f t="shared" si="24"/>
        <v/>
      </c>
      <c r="O498" s="33">
        <f t="shared" si="22"/>
        <v>0</v>
      </c>
    </row>
    <row r="499" spans="1:15" x14ac:dyDescent="0.25">
      <c r="A499" s="64" t="s">
        <v>204</v>
      </c>
      <c r="B499" s="79" t="str">
        <f>IF(Second!B252="", "",Second!B252)</f>
        <v/>
      </c>
      <c r="C499" s="66" t="str">
        <f>IF(Second!C252="", "",Second!C252)</f>
        <v/>
      </c>
      <c r="D499" s="66" t="str">
        <f>IF(Second!D252="", "",Second!D252)</f>
        <v/>
      </c>
      <c r="E499" s="66" t="str">
        <f>IF(Second!E252="", "",Second!E252)</f>
        <v/>
      </c>
      <c r="F499" s="66" t="str">
        <f>IF(Second!F252="", "",Second!F252)</f>
        <v/>
      </c>
      <c r="G499" s="66" t="str">
        <f>IF(Second!G252="", "",Second!G252)</f>
        <v/>
      </c>
      <c r="H499" s="66" t="str">
        <f>IF(Second!H252="", "",Second!H252)</f>
        <v/>
      </c>
      <c r="I499" s="66" t="str">
        <f>IF(Second!I252="", "",Second!I252)</f>
        <v/>
      </c>
      <c r="J499" s="66" t="str">
        <f>IF(Second!J252="", "",Second!J252)</f>
        <v/>
      </c>
      <c r="K499" s="86" t="str">
        <f>IF(Second!K252="", "",Second!K252)</f>
        <v/>
      </c>
      <c r="M499" s="67" t="str">
        <f t="shared" si="23"/>
        <v/>
      </c>
      <c r="N499" s="76" t="str">
        <f t="shared" si="24"/>
        <v/>
      </c>
      <c r="O499" s="33">
        <f t="shared" si="22"/>
        <v>0</v>
      </c>
    </row>
    <row r="500" spans="1:15" x14ac:dyDescent="0.25">
      <c r="A500" s="64" t="s">
        <v>204</v>
      </c>
      <c r="B500" s="79" t="str">
        <f>IF(Second!B253="", "",Second!B253)</f>
        <v/>
      </c>
      <c r="C500" s="66" t="str">
        <f>IF(Second!C253="", "",Second!C253)</f>
        <v/>
      </c>
      <c r="D500" s="66" t="str">
        <f>IF(Second!D253="", "",Second!D253)</f>
        <v/>
      </c>
      <c r="E500" s="66" t="str">
        <f>IF(Second!E253="", "",Second!E253)</f>
        <v/>
      </c>
      <c r="F500" s="66" t="str">
        <f>IF(Second!F253="", "",Second!F253)</f>
        <v/>
      </c>
      <c r="G500" s="66" t="str">
        <f>IF(Second!G253="", "",Second!G253)</f>
        <v/>
      </c>
      <c r="H500" s="66" t="str">
        <f>IF(Second!H253="", "",Second!H253)</f>
        <v/>
      </c>
      <c r="I500" s="66" t="str">
        <f>IF(Second!I253="", "",Second!I253)</f>
        <v/>
      </c>
      <c r="J500" s="66" t="str">
        <f>IF(Second!J253="", "",Second!J253)</f>
        <v/>
      </c>
      <c r="K500" s="86" t="str">
        <f>IF(Second!K253="", "",Second!K253)</f>
        <v/>
      </c>
      <c r="M500" s="67" t="str">
        <f t="shared" si="23"/>
        <v/>
      </c>
      <c r="N500" s="76" t="str">
        <f t="shared" si="24"/>
        <v/>
      </c>
      <c r="O500" s="33">
        <f t="shared" si="22"/>
        <v>0</v>
      </c>
    </row>
    <row r="501" spans="1:15" ht="15.75" thickBot="1" x14ac:dyDescent="0.3">
      <c r="A501" s="68" t="s">
        <v>204</v>
      </c>
      <c r="B501" s="80" t="str">
        <f>IF(Second!B254="", "",Second!B254)</f>
        <v/>
      </c>
      <c r="C501" s="70" t="str">
        <f>IF(Second!C254="", "",Second!C254)</f>
        <v/>
      </c>
      <c r="D501" s="70" t="str">
        <f>IF(Second!D254="", "",Second!D254)</f>
        <v/>
      </c>
      <c r="E501" s="70" t="str">
        <f>IF(Second!E254="", "",Second!E254)</f>
        <v/>
      </c>
      <c r="F501" s="70" t="str">
        <f>IF(Second!F254="", "",Second!F254)</f>
        <v/>
      </c>
      <c r="G501" s="70" t="str">
        <f>IF(Second!G254="", "",Second!G254)</f>
        <v/>
      </c>
      <c r="H501" s="70" t="str">
        <f>IF(Second!H254="", "",Second!H254)</f>
        <v/>
      </c>
      <c r="I501" s="70" t="str">
        <f>IF(Second!I254="", "",Second!I254)</f>
        <v/>
      </c>
      <c r="J501" s="70" t="str">
        <f>IF(Second!J254="", "",Second!J254)</f>
        <v/>
      </c>
      <c r="K501" s="90" t="str">
        <f>IF(Second!K254="", "",Second!K254)</f>
        <v/>
      </c>
      <c r="L501" s="91"/>
      <c r="M501" s="71" t="str">
        <f t="shared" si="23"/>
        <v/>
      </c>
      <c r="N501" s="77" t="str">
        <f t="shared" si="24"/>
        <v/>
      </c>
      <c r="O501" s="33">
        <f t="shared" si="22"/>
        <v>0</v>
      </c>
    </row>
    <row r="502" spans="1:15" x14ac:dyDescent="0.25">
      <c r="A502" s="64" t="s">
        <v>178</v>
      </c>
      <c r="B502" s="79" t="str">
        <f>IF(Third!B5="", "",Third!B5)</f>
        <v/>
      </c>
      <c r="C502" s="66" t="str">
        <f>IF(Third!C5="", "",Third!C5)</f>
        <v/>
      </c>
      <c r="D502" s="66" t="str">
        <f>IF(Third!D5="", "",Third!D5)</f>
        <v/>
      </c>
      <c r="E502" s="66" t="str">
        <f>IF(Third!E5="", "",Third!E5)</f>
        <v/>
      </c>
      <c r="F502" s="66" t="str">
        <f>IF(Third!F5="", "",Third!F5)</f>
        <v/>
      </c>
      <c r="G502" s="66" t="str">
        <f>IF(Third!G5="", "",Third!G5)</f>
        <v/>
      </c>
      <c r="H502" s="66" t="str">
        <f>IF(Third!H5="", "",Third!H5)</f>
        <v/>
      </c>
      <c r="I502" s="66" t="str">
        <f>IF(Third!I5="", "",Third!I5)</f>
        <v/>
      </c>
      <c r="J502" s="66" t="str">
        <f>IF(Third!J5="", "",Third!J5)</f>
        <v/>
      </c>
      <c r="K502" s="86" t="str">
        <f>IF(Third!K5="", "",Third!K5)</f>
        <v/>
      </c>
      <c r="M502" s="67" t="str">
        <f>IF(C502="PwC",(7-COUNTIF(B502:H502,"")),"")</f>
        <v/>
      </c>
      <c r="N502" s="76" t="str">
        <f>IF(C502="Carer",(7-COUNTIF(B502:H502,"")),"")</f>
        <v/>
      </c>
      <c r="O502" s="33">
        <f t="shared" si="22"/>
        <v>0</v>
      </c>
    </row>
    <row r="503" spans="1:15" x14ac:dyDescent="0.25">
      <c r="A503" s="64" t="s">
        <v>178</v>
      </c>
      <c r="B503" s="79" t="str">
        <f>IF(Third!B6="", "",Third!B6)</f>
        <v/>
      </c>
      <c r="C503" s="66" t="str">
        <f>IF(Third!C6="", "",Third!C6)</f>
        <v/>
      </c>
      <c r="D503" s="66" t="str">
        <f>IF(Third!D6="", "",Third!D6)</f>
        <v/>
      </c>
      <c r="E503" s="66" t="str">
        <f>IF(Third!E6="", "",Third!E6)</f>
        <v/>
      </c>
      <c r="F503" s="66" t="str">
        <f>IF(Third!F6="", "",Third!F6)</f>
        <v/>
      </c>
      <c r="G503" s="66" t="str">
        <f>IF(Third!G6="", "",Third!G6)</f>
        <v/>
      </c>
      <c r="H503" s="66" t="str">
        <f>IF(Third!H6="", "",Third!H6)</f>
        <v/>
      </c>
      <c r="I503" s="66" t="str">
        <f>IF(Third!I6="", "",Third!I6)</f>
        <v/>
      </c>
      <c r="J503" s="66" t="str">
        <f>IF(Third!J6="", "",Third!J6)</f>
        <v/>
      </c>
      <c r="K503" s="86" t="str">
        <f>IF(Third!K6="", "",Third!K6)</f>
        <v/>
      </c>
      <c r="M503" s="67" t="str">
        <f t="shared" si="23"/>
        <v/>
      </c>
      <c r="N503" s="76" t="str">
        <f t="shared" si="24"/>
        <v/>
      </c>
      <c r="O503" s="33">
        <f t="shared" si="22"/>
        <v>0</v>
      </c>
    </row>
    <row r="504" spans="1:15" x14ac:dyDescent="0.25">
      <c r="A504" s="64" t="s">
        <v>178</v>
      </c>
      <c r="B504" s="79" t="str">
        <f>IF(Third!B7="", "",Third!B7)</f>
        <v/>
      </c>
      <c r="C504" s="66" t="str">
        <f>IF(Third!C7="", "",Third!C7)</f>
        <v/>
      </c>
      <c r="D504" s="66" t="str">
        <f>IF(Third!D7="", "",Third!D7)</f>
        <v/>
      </c>
      <c r="E504" s="66" t="str">
        <f>IF(Third!E7="", "",Third!E7)</f>
        <v/>
      </c>
      <c r="F504" s="66" t="str">
        <f>IF(Third!F7="", "",Third!F7)</f>
        <v/>
      </c>
      <c r="G504" s="66" t="str">
        <f>IF(Third!G7="", "",Third!G7)</f>
        <v/>
      </c>
      <c r="H504" s="66" t="str">
        <f>IF(Third!H7="", "",Third!H7)</f>
        <v/>
      </c>
      <c r="I504" s="66" t="str">
        <f>IF(Third!I7="", "",Third!I7)</f>
        <v/>
      </c>
      <c r="J504" s="66" t="str">
        <f>IF(Third!J7="", "",Third!J7)</f>
        <v/>
      </c>
      <c r="K504" s="86" t="str">
        <f>IF(Third!K7="", "",Third!K7)</f>
        <v/>
      </c>
      <c r="M504" s="67" t="str">
        <f t="shared" si="23"/>
        <v/>
      </c>
      <c r="N504" s="76" t="str">
        <f t="shared" si="24"/>
        <v/>
      </c>
      <c r="O504" s="33">
        <f t="shared" si="22"/>
        <v>0</v>
      </c>
    </row>
    <row r="505" spans="1:15" x14ac:dyDescent="0.25">
      <c r="A505" s="64" t="s">
        <v>178</v>
      </c>
      <c r="B505" s="79" t="str">
        <f>IF(Third!B8="", "",Third!B8)</f>
        <v/>
      </c>
      <c r="C505" s="66" t="str">
        <f>IF(Third!C8="", "",Third!C8)</f>
        <v/>
      </c>
      <c r="D505" s="66" t="str">
        <f>IF(Third!D8="", "",Third!D8)</f>
        <v/>
      </c>
      <c r="E505" s="66" t="str">
        <f>IF(Third!E8="", "",Third!E8)</f>
        <v/>
      </c>
      <c r="F505" s="66" t="str">
        <f>IF(Third!F8="", "",Third!F8)</f>
        <v/>
      </c>
      <c r="G505" s="66" t="str">
        <f>IF(Third!G8="", "",Third!G8)</f>
        <v/>
      </c>
      <c r="H505" s="66" t="str">
        <f>IF(Third!H8="", "",Third!H8)</f>
        <v/>
      </c>
      <c r="I505" s="66" t="str">
        <f>IF(Third!I8="", "",Third!I8)</f>
        <v/>
      </c>
      <c r="J505" s="66" t="str">
        <f>IF(Third!J8="", "",Third!J8)</f>
        <v/>
      </c>
      <c r="K505" s="86" t="str">
        <f>IF(Third!K8="", "",Third!K8)</f>
        <v/>
      </c>
      <c r="M505" s="67" t="str">
        <f t="shared" si="23"/>
        <v/>
      </c>
      <c r="N505" s="76" t="str">
        <f t="shared" si="24"/>
        <v/>
      </c>
      <c r="O505" s="33">
        <f t="shared" si="22"/>
        <v>0</v>
      </c>
    </row>
    <row r="506" spans="1:15" x14ac:dyDescent="0.25">
      <c r="A506" s="64" t="s">
        <v>178</v>
      </c>
      <c r="B506" s="79" t="str">
        <f>IF(Third!B9="", "",Third!B9)</f>
        <v/>
      </c>
      <c r="C506" s="66" t="str">
        <f>IF(Third!C9="", "",Third!C9)</f>
        <v/>
      </c>
      <c r="D506" s="66" t="str">
        <f>IF(Third!D9="", "",Third!D9)</f>
        <v/>
      </c>
      <c r="E506" s="66" t="str">
        <f>IF(Third!E9="", "",Third!E9)</f>
        <v/>
      </c>
      <c r="F506" s="66" t="str">
        <f>IF(Third!F9="", "",Third!F9)</f>
        <v/>
      </c>
      <c r="G506" s="66" t="str">
        <f>IF(Third!G9="", "",Third!G9)</f>
        <v/>
      </c>
      <c r="H506" s="66" t="str">
        <f>IF(Third!H9="", "",Third!H9)</f>
        <v/>
      </c>
      <c r="I506" s="66" t="str">
        <f>IF(Third!I9="", "",Third!I9)</f>
        <v/>
      </c>
      <c r="J506" s="66" t="str">
        <f>IF(Third!J9="", "",Third!J9)</f>
        <v/>
      </c>
      <c r="K506" s="86" t="str">
        <f>IF(Third!K9="", "",Third!K9)</f>
        <v/>
      </c>
      <c r="M506" s="67" t="str">
        <f t="shared" si="23"/>
        <v/>
      </c>
      <c r="N506" s="76" t="str">
        <f t="shared" si="24"/>
        <v/>
      </c>
      <c r="O506" s="33">
        <f t="shared" si="22"/>
        <v>0</v>
      </c>
    </row>
    <row r="507" spans="1:15" x14ac:dyDescent="0.25">
      <c r="A507" s="64" t="s">
        <v>178</v>
      </c>
      <c r="B507" s="79" t="str">
        <f>IF(Third!B10="", "",Third!B10)</f>
        <v/>
      </c>
      <c r="C507" s="66" t="str">
        <f>IF(Third!C10="", "",Third!C10)</f>
        <v/>
      </c>
      <c r="D507" s="66" t="str">
        <f>IF(Third!D10="", "",Third!D10)</f>
        <v/>
      </c>
      <c r="E507" s="66" t="str">
        <f>IF(Third!E10="", "",Third!E10)</f>
        <v/>
      </c>
      <c r="F507" s="66" t="str">
        <f>IF(Third!F10="", "",Third!F10)</f>
        <v/>
      </c>
      <c r="G507" s="66" t="str">
        <f>IF(Third!G10="", "",Third!G10)</f>
        <v/>
      </c>
      <c r="H507" s="66" t="str">
        <f>IF(Third!H10="", "",Third!H10)</f>
        <v/>
      </c>
      <c r="I507" s="66" t="str">
        <f>IF(Third!I10="", "",Third!I10)</f>
        <v/>
      </c>
      <c r="J507" s="66" t="str">
        <f>IF(Third!J10="", "",Third!J10)</f>
        <v/>
      </c>
      <c r="K507" s="86" t="str">
        <f>IF(Third!K10="", "",Third!K10)</f>
        <v/>
      </c>
      <c r="M507" s="67" t="str">
        <f t="shared" si="23"/>
        <v/>
      </c>
      <c r="N507" s="76" t="str">
        <f t="shared" si="24"/>
        <v/>
      </c>
      <c r="O507" s="33">
        <f t="shared" si="22"/>
        <v>0</v>
      </c>
    </row>
    <row r="508" spans="1:15" x14ac:dyDescent="0.25">
      <c r="A508" s="64" t="s">
        <v>178</v>
      </c>
      <c r="B508" s="79" t="str">
        <f>IF(Third!B11="", "",Third!B11)</f>
        <v/>
      </c>
      <c r="C508" s="66" t="str">
        <f>IF(Third!C11="", "",Third!C11)</f>
        <v/>
      </c>
      <c r="D508" s="66" t="str">
        <f>IF(Third!D11="", "",Third!D11)</f>
        <v/>
      </c>
      <c r="E508" s="66" t="str">
        <f>IF(Third!E11="", "",Third!E11)</f>
        <v/>
      </c>
      <c r="F508" s="66" t="str">
        <f>IF(Third!F11="", "",Third!F11)</f>
        <v/>
      </c>
      <c r="G508" s="66" t="str">
        <f>IF(Third!G11="", "",Third!G11)</f>
        <v/>
      </c>
      <c r="H508" s="66" t="str">
        <f>IF(Third!H11="", "",Third!H11)</f>
        <v/>
      </c>
      <c r="I508" s="66" t="str">
        <f>IF(Third!I11="", "",Third!I11)</f>
        <v/>
      </c>
      <c r="J508" s="66" t="str">
        <f>IF(Third!J11="", "",Third!J11)</f>
        <v/>
      </c>
      <c r="K508" s="86" t="str">
        <f>IF(Third!K11="", "",Third!K11)</f>
        <v/>
      </c>
      <c r="M508" s="67" t="str">
        <f t="shared" si="23"/>
        <v/>
      </c>
      <c r="N508" s="76" t="str">
        <f t="shared" si="24"/>
        <v/>
      </c>
      <c r="O508" s="33">
        <f t="shared" si="22"/>
        <v>0</v>
      </c>
    </row>
    <row r="509" spans="1:15" x14ac:dyDescent="0.25">
      <c r="A509" s="64" t="s">
        <v>178</v>
      </c>
      <c r="B509" s="79" t="str">
        <f>IF(Third!B12="", "",Third!B12)</f>
        <v/>
      </c>
      <c r="C509" s="66" t="str">
        <f>IF(Third!C12="", "",Third!C12)</f>
        <v/>
      </c>
      <c r="D509" s="66" t="str">
        <f>IF(Third!D12="", "",Third!D12)</f>
        <v/>
      </c>
      <c r="E509" s="66" t="str">
        <f>IF(Third!E12="", "",Third!E12)</f>
        <v/>
      </c>
      <c r="F509" s="66" t="str">
        <f>IF(Third!F12="", "",Third!F12)</f>
        <v/>
      </c>
      <c r="G509" s="66" t="str">
        <f>IF(Third!G12="", "",Third!G12)</f>
        <v/>
      </c>
      <c r="H509" s="66" t="str">
        <f>IF(Third!H12="", "",Third!H12)</f>
        <v/>
      </c>
      <c r="I509" s="66" t="str">
        <f>IF(Third!I12="", "",Third!I12)</f>
        <v/>
      </c>
      <c r="J509" s="66" t="str">
        <f>IF(Third!J12="", "",Third!J12)</f>
        <v/>
      </c>
      <c r="K509" s="86" t="str">
        <f>IF(Third!K12="", "",Third!K12)</f>
        <v/>
      </c>
      <c r="M509" s="67" t="str">
        <f t="shared" si="23"/>
        <v/>
      </c>
      <c r="N509" s="76" t="str">
        <f t="shared" si="24"/>
        <v/>
      </c>
      <c r="O509" s="33">
        <f t="shared" si="22"/>
        <v>0</v>
      </c>
    </row>
    <row r="510" spans="1:15" x14ac:dyDescent="0.25">
      <c r="A510" s="64" t="s">
        <v>178</v>
      </c>
      <c r="B510" s="79" t="str">
        <f>IF(Third!B13="", "",Third!B13)</f>
        <v/>
      </c>
      <c r="C510" s="66" t="str">
        <f>IF(Third!C13="", "",Third!C13)</f>
        <v/>
      </c>
      <c r="D510" s="66" t="str">
        <f>IF(Third!D13="", "",Third!D13)</f>
        <v/>
      </c>
      <c r="E510" s="66" t="str">
        <f>IF(Third!E13="", "",Third!E13)</f>
        <v/>
      </c>
      <c r="F510" s="66" t="str">
        <f>IF(Third!F13="", "",Third!F13)</f>
        <v/>
      </c>
      <c r="G510" s="66" t="str">
        <f>IF(Third!G13="", "",Third!G13)</f>
        <v/>
      </c>
      <c r="H510" s="66" t="str">
        <f>IF(Third!H13="", "",Third!H13)</f>
        <v/>
      </c>
      <c r="I510" s="66" t="str">
        <f>IF(Third!I13="", "",Third!I13)</f>
        <v/>
      </c>
      <c r="J510" s="66" t="str">
        <f>IF(Third!J13="", "",Third!J13)</f>
        <v/>
      </c>
      <c r="K510" s="86" t="str">
        <f>IF(Third!K13="", "",Third!K13)</f>
        <v/>
      </c>
      <c r="M510" s="67" t="str">
        <f t="shared" si="23"/>
        <v/>
      </c>
      <c r="N510" s="76" t="str">
        <f t="shared" si="24"/>
        <v/>
      </c>
      <c r="O510" s="33">
        <f t="shared" si="22"/>
        <v>0</v>
      </c>
    </row>
    <row r="511" spans="1:15" x14ac:dyDescent="0.25">
      <c r="A511" s="64" t="s">
        <v>178</v>
      </c>
      <c r="B511" s="79" t="str">
        <f>IF(Third!B14="", "",Third!B14)</f>
        <v/>
      </c>
      <c r="C511" s="66" t="str">
        <f>IF(Third!C14="", "",Third!C14)</f>
        <v/>
      </c>
      <c r="D511" s="66" t="str">
        <f>IF(Third!D14="", "",Third!D14)</f>
        <v/>
      </c>
      <c r="E511" s="66" t="str">
        <f>IF(Third!E14="", "",Third!E14)</f>
        <v/>
      </c>
      <c r="F511" s="66" t="str">
        <f>IF(Third!F14="", "",Third!F14)</f>
        <v/>
      </c>
      <c r="G511" s="66" t="str">
        <f>IF(Third!G14="", "",Third!G14)</f>
        <v/>
      </c>
      <c r="H511" s="66" t="str">
        <f>IF(Third!H14="", "",Third!H14)</f>
        <v/>
      </c>
      <c r="I511" s="66" t="str">
        <f>IF(Third!I14="", "",Third!I14)</f>
        <v/>
      </c>
      <c r="J511" s="66" t="str">
        <f>IF(Third!J14="", "",Third!J14)</f>
        <v/>
      </c>
      <c r="K511" s="86" t="str">
        <f>IF(Third!K14="", "",Third!K14)</f>
        <v/>
      </c>
      <c r="M511" s="67" t="str">
        <f t="shared" si="23"/>
        <v/>
      </c>
      <c r="N511" s="76" t="str">
        <f t="shared" si="24"/>
        <v/>
      </c>
      <c r="O511" s="33">
        <f t="shared" si="22"/>
        <v>0</v>
      </c>
    </row>
    <row r="512" spans="1:15" x14ac:dyDescent="0.25">
      <c r="A512" s="64" t="s">
        <v>178</v>
      </c>
      <c r="B512" s="79" t="str">
        <f>IF(Third!B15="", "",Third!B15)</f>
        <v/>
      </c>
      <c r="C512" s="66" t="str">
        <f>IF(Third!C15="", "",Third!C15)</f>
        <v/>
      </c>
      <c r="D512" s="66" t="str">
        <f>IF(Third!D15="", "",Third!D15)</f>
        <v/>
      </c>
      <c r="E512" s="66" t="str">
        <f>IF(Third!E15="", "",Third!E15)</f>
        <v/>
      </c>
      <c r="F512" s="66" t="str">
        <f>IF(Third!F15="", "",Third!F15)</f>
        <v/>
      </c>
      <c r="G512" s="66" t="str">
        <f>IF(Third!G15="", "",Third!G15)</f>
        <v/>
      </c>
      <c r="H512" s="66" t="str">
        <f>IF(Third!H15="", "",Third!H15)</f>
        <v/>
      </c>
      <c r="I512" s="66" t="str">
        <f>IF(Third!I15="", "",Third!I15)</f>
        <v/>
      </c>
      <c r="J512" s="66" t="str">
        <f>IF(Third!J15="", "",Third!J15)</f>
        <v/>
      </c>
      <c r="K512" s="86" t="str">
        <f>IF(Third!K15="", "",Third!K15)</f>
        <v/>
      </c>
      <c r="M512" s="67" t="str">
        <f t="shared" si="23"/>
        <v/>
      </c>
      <c r="N512" s="76" t="str">
        <f t="shared" si="24"/>
        <v/>
      </c>
      <c r="O512" s="33">
        <f t="shared" si="22"/>
        <v>0</v>
      </c>
    </row>
    <row r="513" spans="1:15" x14ac:dyDescent="0.25">
      <c r="A513" s="64" t="s">
        <v>178</v>
      </c>
      <c r="B513" s="79" t="str">
        <f>IF(Third!B16="", "",Third!B16)</f>
        <v/>
      </c>
      <c r="C513" s="66" t="str">
        <f>IF(Third!C16="", "",Third!C16)</f>
        <v/>
      </c>
      <c r="D513" s="66" t="str">
        <f>IF(Third!D16="", "",Third!D16)</f>
        <v/>
      </c>
      <c r="E513" s="66" t="str">
        <f>IF(Third!E16="", "",Third!E16)</f>
        <v/>
      </c>
      <c r="F513" s="66" t="str">
        <f>IF(Third!F16="", "",Third!F16)</f>
        <v/>
      </c>
      <c r="G513" s="66" t="str">
        <f>IF(Third!G16="", "",Third!G16)</f>
        <v/>
      </c>
      <c r="H513" s="66" t="str">
        <f>IF(Third!H16="", "",Third!H16)</f>
        <v/>
      </c>
      <c r="I513" s="66" t="str">
        <f>IF(Third!I16="", "",Third!I16)</f>
        <v/>
      </c>
      <c r="J513" s="66" t="str">
        <f>IF(Third!J16="", "",Third!J16)</f>
        <v/>
      </c>
      <c r="K513" s="86" t="str">
        <f>IF(Third!K16="", "",Third!K16)</f>
        <v/>
      </c>
      <c r="M513" s="67" t="str">
        <f t="shared" si="23"/>
        <v/>
      </c>
      <c r="N513" s="76" t="str">
        <f t="shared" si="24"/>
        <v/>
      </c>
      <c r="O513" s="33">
        <f t="shared" si="22"/>
        <v>0</v>
      </c>
    </row>
    <row r="514" spans="1:15" x14ac:dyDescent="0.25">
      <c r="A514" s="64" t="s">
        <v>178</v>
      </c>
      <c r="B514" s="79" t="str">
        <f>IF(Third!B17="", "",Third!B17)</f>
        <v/>
      </c>
      <c r="C514" s="66" t="str">
        <f>IF(Third!C17="", "",Third!C17)</f>
        <v/>
      </c>
      <c r="D514" s="66" t="str">
        <f>IF(Third!D17="", "",Third!D17)</f>
        <v/>
      </c>
      <c r="E514" s="66" t="str">
        <f>IF(Third!E17="", "",Third!E17)</f>
        <v/>
      </c>
      <c r="F514" s="66" t="str">
        <f>IF(Third!F17="", "",Third!F17)</f>
        <v/>
      </c>
      <c r="G514" s="66" t="str">
        <f>IF(Third!G17="", "",Third!G17)</f>
        <v/>
      </c>
      <c r="H514" s="66" t="str">
        <f>IF(Third!H17="", "",Third!H17)</f>
        <v/>
      </c>
      <c r="I514" s="66" t="str">
        <f>IF(Third!I17="", "",Third!I17)</f>
        <v/>
      </c>
      <c r="J514" s="66" t="str">
        <f>IF(Third!J17="", "",Third!J17)</f>
        <v/>
      </c>
      <c r="K514" s="86" t="str">
        <f>IF(Third!K17="", "",Third!K17)</f>
        <v/>
      </c>
      <c r="M514" s="67" t="str">
        <f t="shared" si="23"/>
        <v/>
      </c>
      <c r="N514" s="76" t="str">
        <f t="shared" si="24"/>
        <v/>
      </c>
      <c r="O514" s="33">
        <f t="shared" ref="O514:O577" si="25">SUM(M514:N514)</f>
        <v>0</v>
      </c>
    </row>
    <row r="515" spans="1:15" x14ac:dyDescent="0.25">
      <c r="A515" s="64" t="s">
        <v>178</v>
      </c>
      <c r="B515" s="79" t="str">
        <f>IF(Third!B18="", "",Third!B18)</f>
        <v/>
      </c>
      <c r="C515" s="66" t="str">
        <f>IF(Third!C18="", "",Third!C18)</f>
        <v/>
      </c>
      <c r="D515" s="66" t="str">
        <f>IF(Third!D18="", "",Third!D18)</f>
        <v/>
      </c>
      <c r="E515" s="66" t="str">
        <f>IF(Third!E18="", "",Third!E18)</f>
        <v/>
      </c>
      <c r="F515" s="66" t="str">
        <f>IF(Third!F18="", "",Third!F18)</f>
        <v/>
      </c>
      <c r="G515" s="66" t="str">
        <f>IF(Third!G18="", "",Third!G18)</f>
        <v/>
      </c>
      <c r="H515" s="66" t="str">
        <f>IF(Third!H18="", "",Third!H18)</f>
        <v/>
      </c>
      <c r="I515" s="66" t="str">
        <f>IF(Third!I18="", "",Third!I18)</f>
        <v/>
      </c>
      <c r="J515" s="66" t="str">
        <f>IF(Third!J18="", "",Third!J18)</f>
        <v/>
      </c>
      <c r="K515" s="86" t="str">
        <f>IF(Third!K18="", "",Third!K18)</f>
        <v/>
      </c>
      <c r="M515" s="67" t="str">
        <f t="shared" ref="M515:M578" si="26">IF(C515="PwC",(7-COUNTIF(B515:H515,"")),"")</f>
        <v/>
      </c>
      <c r="N515" s="76" t="str">
        <f t="shared" ref="N515:N578" si="27">IF(C515="Carer",(7-COUNTIF(B515:H515,"")),"")</f>
        <v/>
      </c>
      <c r="O515" s="33">
        <f t="shared" si="25"/>
        <v>0</v>
      </c>
    </row>
    <row r="516" spans="1:15" x14ac:dyDescent="0.25">
      <c r="A516" s="64" t="s">
        <v>178</v>
      </c>
      <c r="B516" s="79" t="str">
        <f>IF(Third!B19="", "",Third!B19)</f>
        <v/>
      </c>
      <c r="C516" s="66" t="str">
        <f>IF(Third!C19="", "",Third!C19)</f>
        <v/>
      </c>
      <c r="D516" s="66" t="str">
        <f>IF(Third!D19="", "",Third!D19)</f>
        <v/>
      </c>
      <c r="E516" s="66" t="str">
        <f>IF(Third!E19="", "",Third!E19)</f>
        <v/>
      </c>
      <c r="F516" s="66" t="str">
        <f>IF(Third!F19="", "",Third!F19)</f>
        <v/>
      </c>
      <c r="G516" s="66" t="str">
        <f>IF(Third!G19="", "",Third!G19)</f>
        <v/>
      </c>
      <c r="H516" s="66" t="str">
        <f>IF(Third!H19="", "",Third!H19)</f>
        <v/>
      </c>
      <c r="I516" s="66" t="str">
        <f>IF(Third!I19="", "",Third!I19)</f>
        <v/>
      </c>
      <c r="J516" s="66" t="str">
        <f>IF(Third!J19="", "",Third!J19)</f>
        <v/>
      </c>
      <c r="K516" s="86" t="str">
        <f>IF(Third!K19="", "",Third!K19)</f>
        <v/>
      </c>
      <c r="M516" s="67" t="str">
        <f t="shared" si="26"/>
        <v/>
      </c>
      <c r="N516" s="76" t="str">
        <f t="shared" si="27"/>
        <v/>
      </c>
      <c r="O516" s="33">
        <f t="shared" si="25"/>
        <v>0</v>
      </c>
    </row>
    <row r="517" spans="1:15" x14ac:dyDescent="0.25">
      <c r="A517" s="64" t="s">
        <v>178</v>
      </c>
      <c r="B517" s="79" t="str">
        <f>IF(Third!B20="", "",Third!B20)</f>
        <v/>
      </c>
      <c r="C517" s="66" t="str">
        <f>IF(Third!C20="", "",Third!C20)</f>
        <v/>
      </c>
      <c r="D517" s="66" t="str">
        <f>IF(Third!D20="", "",Third!D20)</f>
        <v/>
      </c>
      <c r="E517" s="66" t="str">
        <f>IF(Third!E20="", "",Third!E20)</f>
        <v/>
      </c>
      <c r="F517" s="66" t="str">
        <f>IF(Third!F20="", "",Third!F20)</f>
        <v/>
      </c>
      <c r="G517" s="66" t="str">
        <f>IF(Third!G20="", "",Third!G20)</f>
        <v/>
      </c>
      <c r="H517" s="66" t="str">
        <f>IF(Third!H20="", "",Third!H20)</f>
        <v/>
      </c>
      <c r="I517" s="66" t="str">
        <f>IF(Third!I20="", "",Third!I20)</f>
        <v/>
      </c>
      <c r="J517" s="66" t="str">
        <f>IF(Third!J20="", "",Third!J20)</f>
        <v/>
      </c>
      <c r="K517" s="86" t="str">
        <f>IF(Third!K20="", "",Third!K20)</f>
        <v/>
      </c>
      <c r="M517" s="67" t="str">
        <f t="shared" si="26"/>
        <v/>
      </c>
      <c r="N517" s="76" t="str">
        <f t="shared" si="27"/>
        <v/>
      </c>
      <c r="O517" s="33">
        <f t="shared" si="25"/>
        <v>0</v>
      </c>
    </row>
    <row r="518" spans="1:15" x14ac:dyDescent="0.25">
      <c r="A518" s="64" t="s">
        <v>178</v>
      </c>
      <c r="B518" s="79" t="str">
        <f>IF(Third!B21="", "",Third!B21)</f>
        <v/>
      </c>
      <c r="C518" s="66" t="str">
        <f>IF(Third!C21="", "",Third!C21)</f>
        <v/>
      </c>
      <c r="D518" s="66" t="str">
        <f>IF(Third!D21="", "",Third!D21)</f>
        <v/>
      </c>
      <c r="E518" s="66" t="str">
        <f>IF(Third!E21="", "",Third!E21)</f>
        <v/>
      </c>
      <c r="F518" s="66" t="str">
        <f>IF(Third!F21="", "",Third!F21)</f>
        <v/>
      </c>
      <c r="G518" s="66" t="str">
        <f>IF(Third!G21="", "",Third!G21)</f>
        <v/>
      </c>
      <c r="H518" s="66" t="str">
        <f>IF(Third!H21="", "",Third!H21)</f>
        <v/>
      </c>
      <c r="I518" s="66" t="str">
        <f>IF(Third!I21="", "",Third!I21)</f>
        <v/>
      </c>
      <c r="J518" s="66" t="str">
        <f>IF(Third!J21="", "",Third!J21)</f>
        <v/>
      </c>
      <c r="K518" s="86" t="str">
        <f>IF(Third!K21="", "",Third!K21)</f>
        <v/>
      </c>
      <c r="M518" s="67" t="str">
        <f t="shared" si="26"/>
        <v/>
      </c>
      <c r="N518" s="76" t="str">
        <f t="shared" si="27"/>
        <v/>
      </c>
      <c r="O518" s="33">
        <f t="shared" si="25"/>
        <v>0</v>
      </c>
    </row>
    <row r="519" spans="1:15" x14ac:dyDescent="0.25">
      <c r="A519" s="64" t="s">
        <v>178</v>
      </c>
      <c r="B519" s="79" t="str">
        <f>IF(Third!B22="", "",Third!B22)</f>
        <v/>
      </c>
      <c r="C519" s="66" t="str">
        <f>IF(Third!C22="", "",Third!C22)</f>
        <v/>
      </c>
      <c r="D519" s="66" t="str">
        <f>IF(Third!D22="", "",Third!D22)</f>
        <v/>
      </c>
      <c r="E519" s="66" t="str">
        <f>IF(Third!E22="", "",Third!E22)</f>
        <v/>
      </c>
      <c r="F519" s="66" t="str">
        <f>IF(Third!F22="", "",Third!F22)</f>
        <v/>
      </c>
      <c r="G519" s="66" t="str">
        <f>IF(Third!G22="", "",Third!G22)</f>
        <v/>
      </c>
      <c r="H519" s="66" t="str">
        <f>IF(Third!H22="", "",Third!H22)</f>
        <v/>
      </c>
      <c r="I519" s="66" t="str">
        <f>IF(Third!I22="", "",Third!I22)</f>
        <v/>
      </c>
      <c r="J519" s="66" t="str">
        <f>IF(Third!J22="", "",Third!J22)</f>
        <v/>
      </c>
      <c r="K519" s="86" t="str">
        <f>IF(Third!K22="", "",Third!K22)</f>
        <v/>
      </c>
      <c r="M519" s="67" t="str">
        <f t="shared" si="26"/>
        <v/>
      </c>
      <c r="N519" s="76" t="str">
        <f t="shared" si="27"/>
        <v/>
      </c>
      <c r="O519" s="33">
        <f t="shared" si="25"/>
        <v>0</v>
      </c>
    </row>
    <row r="520" spans="1:15" x14ac:dyDescent="0.25">
      <c r="A520" s="64" t="s">
        <v>178</v>
      </c>
      <c r="B520" s="79" t="str">
        <f>IF(Third!B23="", "",Third!B23)</f>
        <v/>
      </c>
      <c r="C520" s="66" t="str">
        <f>IF(Third!C23="", "",Third!C23)</f>
        <v/>
      </c>
      <c r="D520" s="66" t="str">
        <f>IF(Third!D23="", "",Third!D23)</f>
        <v/>
      </c>
      <c r="E520" s="66" t="str">
        <f>IF(Third!E23="", "",Third!E23)</f>
        <v/>
      </c>
      <c r="F520" s="66" t="str">
        <f>IF(Third!F23="", "",Third!F23)</f>
        <v/>
      </c>
      <c r="G520" s="66" t="str">
        <f>IF(Third!G23="", "",Third!G23)</f>
        <v/>
      </c>
      <c r="H520" s="66" t="str">
        <f>IF(Third!H23="", "",Third!H23)</f>
        <v/>
      </c>
      <c r="I520" s="66" t="str">
        <f>IF(Third!I23="", "",Third!I23)</f>
        <v/>
      </c>
      <c r="J520" s="66" t="str">
        <f>IF(Third!J23="", "",Third!J23)</f>
        <v/>
      </c>
      <c r="K520" s="86" t="str">
        <f>IF(Third!K23="", "",Third!K23)</f>
        <v/>
      </c>
      <c r="M520" s="67" t="str">
        <f t="shared" si="26"/>
        <v/>
      </c>
      <c r="N520" s="76" t="str">
        <f t="shared" si="27"/>
        <v/>
      </c>
      <c r="O520" s="33">
        <f t="shared" si="25"/>
        <v>0</v>
      </c>
    </row>
    <row r="521" spans="1:15" x14ac:dyDescent="0.25">
      <c r="A521" s="64" t="s">
        <v>178</v>
      </c>
      <c r="B521" s="79" t="str">
        <f>IF(Third!B24="", "",Third!B24)</f>
        <v/>
      </c>
      <c r="C521" s="66" t="str">
        <f>IF(Third!C24="", "",Third!C24)</f>
        <v/>
      </c>
      <c r="D521" s="66" t="str">
        <f>IF(Third!D24="", "",Third!D24)</f>
        <v/>
      </c>
      <c r="E521" s="66" t="str">
        <f>IF(Third!E24="", "",Third!E24)</f>
        <v/>
      </c>
      <c r="F521" s="66" t="str">
        <f>IF(Third!F24="", "",Third!F24)</f>
        <v/>
      </c>
      <c r="G521" s="66" t="str">
        <f>IF(Third!G24="", "",Third!G24)</f>
        <v/>
      </c>
      <c r="H521" s="66" t="str">
        <f>IF(Third!H24="", "",Third!H24)</f>
        <v/>
      </c>
      <c r="I521" s="66" t="str">
        <f>IF(Third!I24="", "",Third!I24)</f>
        <v/>
      </c>
      <c r="J521" s="66" t="str">
        <f>IF(Third!J24="", "",Third!J24)</f>
        <v/>
      </c>
      <c r="K521" s="86" t="str">
        <f>IF(Third!K24="", "",Third!K24)</f>
        <v/>
      </c>
      <c r="M521" s="67" t="str">
        <f t="shared" si="26"/>
        <v/>
      </c>
      <c r="N521" s="76" t="str">
        <f t="shared" si="27"/>
        <v/>
      </c>
      <c r="O521" s="33">
        <f t="shared" si="25"/>
        <v>0</v>
      </c>
    </row>
    <row r="522" spans="1:15" x14ac:dyDescent="0.25">
      <c r="A522" s="64" t="s">
        <v>178</v>
      </c>
      <c r="B522" s="79" t="str">
        <f>IF(Third!B25="", "",Third!B25)</f>
        <v/>
      </c>
      <c r="C522" s="66" t="str">
        <f>IF(Third!C25="", "",Third!C25)</f>
        <v/>
      </c>
      <c r="D522" s="66" t="str">
        <f>IF(Third!D25="", "",Third!D25)</f>
        <v/>
      </c>
      <c r="E522" s="66" t="str">
        <f>IF(Third!E25="", "",Third!E25)</f>
        <v/>
      </c>
      <c r="F522" s="66" t="str">
        <f>IF(Third!F25="", "",Third!F25)</f>
        <v/>
      </c>
      <c r="G522" s="66" t="str">
        <f>IF(Third!G25="", "",Third!G25)</f>
        <v/>
      </c>
      <c r="H522" s="66" t="str">
        <f>IF(Third!H25="", "",Third!H25)</f>
        <v/>
      </c>
      <c r="I522" s="66" t="str">
        <f>IF(Third!I25="", "",Third!I25)</f>
        <v/>
      </c>
      <c r="J522" s="66" t="str">
        <f>IF(Third!J25="", "",Third!J25)</f>
        <v/>
      </c>
      <c r="K522" s="86" t="str">
        <f>IF(Third!K25="", "",Third!K25)</f>
        <v/>
      </c>
      <c r="M522" s="67" t="str">
        <f t="shared" si="26"/>
        <v/>
      </c>
      <c r="N522" s="76" t="str">
        <f t="shared" si="27"/>
        <v/>
      </c>
      <c r="O522" s="33">
        <f t="shared" si="25"/>
        <v>0</v>
      </c>
    </row>
    <row r="523" spans="1:15" x14ac:dyDescent="0.25">
      <c r="A523" s="64" t="s">
        <v>178</v>
      </c>
      <c r="B523" s="79" t="str">
        <f>IF(Third!B26="", "",Third!B26)</f>
        <v/>
      </c>
      <c r="C523" s="66" t="str">
        <f>IF(Third!C26="", "",Third!C26)</f>
        <v/>
      </c>
      <c r="D523" s="66" t="str">
        <f>IF(Third!D26="", "",Third!D26)</f>
        <v/>
      </c>
      <c r="E523" s="66" t="str">
        <f>IF(Third!E26="", "",Third!E26)</f>
        <v/>
      </c>
      <c r="F523" s="66" t="str">
        <f>IF(Third!F26="", "",Third!F26)</f>
        <v/>
      </c>
      <c r="G523" s="66" t="str">
        <f>IF(Third!G26="", "",Third!G26)</f>
        <v/>
      </c>
      <c r="H523" s="66" t="str">
        <f>IF(Third!H26="", "",Third!H26)</f>
        <v/>
      </c>
      <c r="I523" s="66" t="str">
        <f>IF(Third!I26="", "",Third!I26)</f>
        <v/>
      </c>
      <c r="J523" s="66" t="str">
        <f>IF(Third!J26="", "",Third!J26)</f>
        <v/>
      </c>
      <c r="K523" s="86" t="str">
        <f>IF(Third!K26="", "",Third!K26)</f>
        <v/>
      </c>
      <c r="M523" s="67" t="str">
        <f t="shared" si="26"/>
        <v/>
      </c>
      <c r="N523" s="76" t="str">
        <f t="shared" si="27"/>
        <v/>
      </c>
      <c r="O523" s="33">
        <f t="shared" si="25"/>
        <v>0</v>
      </c>
    </row>
    <row r="524" spans="1:15" x14ac:dyDescent="0.25">
      <c r="A524" s="64" t="s">
        <v>178</v>
      </c>
      <c r="B524" s="79" t="str">
        <f>IF(Third!B27="", "",Third!B27)</f>
        <v/>
      </c>
      <c r="C524" s="66" t="str">
        <f>IF(Third!C27="", "",Third!C27)</f>
        <v/>
      </c>
      <c r="D524" s="66" t="str">
        <f>IF(Third!D27="", "",Third!D27)</f>
        <v/>
      </c>
      <c r="E524" s="66" t="str">
        <f>IF(Third!E27="", "",Third!E27)</f>
        <v/>
      </c>
      <c r="F524" s="66" t="str">
        <f>IF(Third!F27="", "",Third!F27)</f>
        <v/>
      </c>
      <c r="G524" s="66" t="str">
        <f>IF(Third!G27="", "",Third!G27)</f>
        <v/>
      </c>
      <c r="H524" s="66" t="str">
        <f>IF(Third!H27="", "",Third!H27)</f>
        <v/>
      </c>
      <c r="I524" s="66" t="str">
        <f>IF(Third!I27="", "",Third!I27)</f>
        <v/>
      </c>
      <c r="J524" s="66" t="str">
        <f>IF(Third!J27="", "",Third!J27)</f>
        <v/>
      </c>
      <c r="K524" s="86" t="str">
        <f>IF(Third!K27="", "",Third!K27)</f>
        <v/>
      </c>
      <c r="M524" s="67" t="str">
        <f t="shared" si="26"/>
        <v/>
      </c>
      <c r="N524" s="76" t="str">
        <f t="shared" si="27"/>
        <v/>
      </c>
      <c r="O524" s="33">
        <f t="shared" si="25"/>
        <v>0</v>
      </c>
    </row>
    <row r="525" spans="1:15" x14ac:dyDescent="0.25">
      <c r="A525" s="64" t="s">
        <v>178</v>
      </c>
      <c r="B525" s="79" t="str">
        <f>IF(Third!B28="", "",Third!B28)</f>
        <v/>
      </c>
      <c r="C525" s="66" t="str">
        <f>IF(Third!C28="", "",Third!C28)</f>
        <v/>
      </c>
      <c r="D525" s="66" t="str">
        <f>IF(Third!D28="", "",Third!D28)</f>
        <v/>
      </c>
      <c r="E525" s="66" t="str">
        <f>IF(Third!E28="", "",Third!E28)</f>
        <v/>
      </c>
      <c r="F525" s="66" t="str">
        <f>IF(Third!F28="", "",Third!F28)</f>
        <v/>
      </c>
      <c r="G525" s="66" t="str">
        <f>IF(Third!G28="", "",Third!G28)</f>
        <v/>
      </c>
      <c r="H525" s="66" t="str">
        <f>IF(Third!H28="", "",Third!H28)</f>
        <v/>
      </c>
      <c r="I525" s="66" t="str">
        <f>IF(Third!I28="", "",Third!I28)</f>
        <v/>
      </c>
      <c r="J525" s="66" t="str">
        <f>IF(Third!J28="", "",Third!J28)</f>
        <v/>
      </c>
      <c r="K525" s="86" t="str">
        <f>IF(Third!K28="", "",Third!K28)</f>
        <v/>
      </c>
      <c r="M525" s="67" t="str">
        <f t="shared" si="26"/>
        <v/>
      </c>
      <c r="N525" s="76" t="str">
        <f t="shared" si="27"/>
        <v/>
      </c>
      <c r="O525" s="33">
        <f t="shared" si="25"/>
        <v>0</v>
      </c>
    </row>
    <row r="526" spans="1:15" x14ac:dyDescent="0.25">
      <c r="A526" s="64" t="s">
        <v>178</v>
      </c>
      <c r="B526" s="79" t="str">
        <f>IF(Third!B29="", "",Third!B29)</f>
        <v/>
      </c>
      <c r="C526" s="66" t="str">
        <f>IF(Third!C29="", "",Third!C29)</f>
        <v/>
      </c>
      <c r="D526" s="66" t="str">
        <f>IF(Third!D29="", "",Third!D29)</f>
        <v/>
      </c>
      <c r="E526" s="66" t="str">
        <f>IF(Third!E29="", "",Third!E29)</f>
        <v/>
      </c>
      <c r="F526" s="66" t="str">
        <f>IF(Third!F29="", "",Third!F29)</f>
        <v/>
      </c>
      <c r="G526" s="66" t="str">
        <f>IF(Third!G29="", "",Third!G29)</f>
        <v/>
      </c>
      <c r="H526" s="66" t="str">
        <f>IF(Third!H29="", "",Third!H29)</f>
        <v/>
      </c>
      <c r="I526" s="66" t="str">
        <f>IF(Third!I29="", "",Third!I29)</f>
        <v/>
      </c>
      <c r="J526" s="66" t="str">
        <f>IF(Third!J29="", "",Third!J29)</f>
        <v/>
      </c>
      <c r="K526" s="86" t="str">
        <f>IF(Third!K29="", "",Third!K29)</f>
        <v/>
      </c>
      <c r="M526" s="67" t="str">
        <f t="shared" si="26"/>
        <v/>
      </c>
      <c r="N526" s="76" t="str">
        <f t="shared" si="27"/>
        <v/>
      </c>
      <c r="O526" s="33">
        <f t="shared" si="25"/>
        <v>0</v>
      </c>
    </row>
    <row r="527" spans="1:15" x14ac:dyDescent="0.25">
      <c r="A527" s="64" t="s">
        <v>178</v>
      </c>
      <c r="B527" s="79" t="str">
        <f>IF(Third!B30="", "",Third!B30)</f>
        <v/>
      </c>
      <c r="C527" s="66" t="str">
        <f>IF(Third!C30="", "",Third!C30)</f>
        <v/>
      </c>
      <c r="D527" s="66" t="str">
        <f>IF(Third!D30="", "",Third!D30)</f>
        <v/>
      </c>
      <c r="E527" s="66" t="str">
        <f>IF(Third!E30="", "",Third!E30)</f>
        <v/>
      </c>
      <c r="F527" s="66" t="str">
        <f>IF(Third!F30="", "",Third!F30)</f>
        <v/>
      </c>
      <c r="G527" s="66" t="str">
        <f>IF(Third!G30="", "",Third!G30)</f>
        <v/>
      </c>
      <c r="H527" s="66" t="str">
        <f>IF(Third!H30="", "",Third!H30)</f>
        <v/>
      </c>
      <c r="I527" s="66" t="str">
        <f>IF(Third!I30="", "",Third!I30)</f>
        <v/>
      </c>
      <c r="J527" s="66" t="str">
        <f>IF(Third!J30="", "",Third!J30)</f>
        <v/>
      </c>
      <c r="K527" s="86" t="str">
        <f>IF(Third!K30="", "",Third!K30)</f>
        <v/>
      </c>
      <c r="M527" s="67" t="str">
        <f t="shared" si="26"/>
        <v/>
      </c>
      <c r="N527" s="76" t="str">
        <f t="shared" si="27"/>
        <v/>
      </c>
      <c r="O527" s="33">
        <f t="shared" si="25"/>
        <v>0</v>
      </c>
    </row>
    <row r="528" spans="1:15" x14ac:dyDescent="0.25">
      <c r="A528" s="64" t="s">
        <v>178</v>
      </c>
      <c r="B528" s="79" t="str">
        <f>IF(Third!B31="", "",Third!B31)</f>
        <v/>
      </c>
      <c r="C528" s="66" t="str">
        <f>IF(Third!C31="", "",Third!C31)</f>
        <v/>
      </c>
      <c r="D528" s="66" t="str">
        <f>IF(Third!D31="", "",Third!D31)</f>
        <v/>
      </c>
      <c r="E528" s="66" t="str">
        <f>IF(Third!E31="", "",Third!E31)</f>
        <v/>
      </c>
      <c r="F528" s="66" t="str">
        <f>IF(Third!F31="", "",Third!F31)</f>
        <v/>
      </c>
      <c r="G528" s="66" t="str">
        <f>IF(Third!G31="", "",Third!G31)</f>
        <v/>
      </c>
      <c r="H528" s="66" t="str">
        <f>IF(Third!H31="", "",Third!H31)</f>
        <v/>
      </c>
      <c r="I528" s="66" t="str">
        <f>IF(Third!I31="", "",Third!I31)</f>
        <v/>
      </c>
      <c r="J528" s="66" t="str">
        <f>IF(Third!J31="", "",Third!J31)</f>
        <v/>
      </c>
      <c r="K528" s="86" t="str">
        <f>IF(Third!K31="", "",Third!K31)</f>
        <v/>
      </c>
      <c r="M528" s="67" t="str">
        <f t="shared" si="26"/>
        <v/>
      </c>
      <c r="N528" s="76" t="str">
        <f t="shared" si="27"/>
        <v/>
      </c>
      <c r="O528" s="33">
        <f t="shared" si="25"/>
        <v>0</v>
      </c>
    </row>
    <row r="529" spans="1:15" x14ac:dyDescent="0.25">
      <c r="A529" s="64" t="s">
        <v>178</v>
      </c>
      <c r="B529" s="79" t="str">
        <f>IF(Third!B32="", "",Third!B32)</f>
        <v/>
      </c>
      <c r="C529" s="66" t="str">
        <f>IF(Third!C32="", "",Third!C32)</f>
        <v/>
      </c>
      <c r="D529" s="66" t="str">
        <f>IF(Third!D32="", "",Third!D32)</f>
        <v/>
      </c>
      <c r="E529" s="66" t="str">
        <f>IF(Third!E32="", "",Third!E32)</f>
        <v/>
      </c>
      <c r="F529" s="66" t="str">
        <f>IF(Third!F32="", "",Third!F32)</f>
        <v/>
      </c>
      <c r="G529" s="66" t="str">
        <f>IF(Third!G32="", "",Third!G32)</f>
        <v/>
      </c>
      <c r="H529" s="66" t="str">
        <f>IF(Third!H32="", "",Third!H32)</f>
        <v/>
      </c>
      <c r="I529" s="66" t="str">
        <f>IF(Third!I32="", "",Third!I32)</f>
        <v/>
      </c>
      <c r="J529" s="66" t="str">
        <f>IF(Third!J32="", "",Third!J32)</f>
        <v/>
      </c>
      <c r="K529" s="86" t="str">
        <f>IF(Third!K32="", "",Third!K32)</f>
        <v/>
      </c>
      <c r="M529" s="67" t="str">
        <f t="shared" si="26"/>
        <v/>
      </c>
      <c r="N529" s="76" t="str">
        <f t="shared" si="27"/>
        <v/>
      </c>
      <c r="O529" s="33">
        <f t="shared" si="25"/>
        <v>0</v>
      </c>
    </row>
    <row r="530" spans="1:15" x14ac:dyDescent="0.25">
      <c r="A530" s="64" t="s">
        <v>178</v>
      </c>
      <c r="B530" s="79" t="str">
        <f>IF(Third!B33="", "",Third!B33)</f>
        <v/>
      </c>
      <c r="C530" s="66" t="str">
        <f>IF(Third!C33="", "",Third!C33)</f>
        <v/>
      </c>
      <c r="D530" s="66" t="str">
        <f>IF(Third!D33="", "",Third!D33)</f>
        <v/>
      </c>
      <c r="E530" s="66" t="str">
        <f>IF(Third!E33="", "",Third!E33)</f>
        <v/>
      </c>
      <c r="F530" s="66" t="str">
        <f>IF(Third!F33="", "",Third!F33)</f>
        <v/>
      </c>
      <c r="G530" s="66" t="str">
        <f>IF(Third!G33="", "",Third!G33)</f>
        <v/>
      </c>
      <c r="H530" s="66" t="str">
        <f>IF(Third!H33="", "",Third!H33)</f>
        <v/>
      </c>
      <c r="I530" s="66" t="str">
        <f>IF(Third!I33="", "",Third!I33)</f>
        <v/>
      </c>
      <c r="J530" s="66" t="str">
        <f>IF(Third!J33="", "",Third!J33)</f>
        <v/>
      </c>
      <c r="K530" s="86" t="str">
        <f>IF(Third!K33="", "",Third!K33)</f>
        <v/>
      </c>
      <c r="M530" s="67" t="str">
        <f t="shared" si="26"/>
        <v/>
      </c>
      <c r="N530" s="76" t="str">
        <f t="shared" si="27"/>
        <v/>
      </c>
      <c r="O530" s="33">
        <f t="shared" si="25"/>
        <v>0</v>
      </c>
    </row>
    <row r="531" spans="1:15" x14ac:dyDescent="0.25">
      <c r="A531" s="64" t="s">
        <v>178</v>
      </c>
      <c r="B531" s="79" t="str">
        <f>IF(Third!B34="", "",Third!B34)</f>
        <v/>
      </c>
      <c r="C531" s="66" t="str">
        <f>IF(Third!C34="", "",Third!C34)</f>
        <v/>
      </c>
      <c r="D531" s="66" t="str">
        <f>IF(Third!D34="", "",Third!D34)</f>
        <v/>
      </c>
      <c r="E531" s="66" t="str">
        <f>IF(Third!E34="", "",Third!E34)</f>
        <v/>
      </c>
      <c r="F531" s="66" t="str">
        <f>IF(Third!F34="", "",Third!F34)</f>
        <v/>
      </c>
      <c r="G531" s="66" t="str">
        <f>IF(Third!G34="", "",Third!G34)</f>
        <v/>
      </c>
      <c r="H531" s="66" t="str">
        <f>IF(Third!H34="", "",Third!H34)</f>
        <v/>
      </c>
      <c r="I531" s="66" t="str">
        <f>IF(Third!I34="", "",Third!I34)</f>
        <v/>
      </c>
      <c r="J531" s="66" t="str">
        <f>IF(Third!J34="", "",Third!J34)</f>
        <v/>
      </c>
      <c r="K531" s="86" t="str">
        <f>IF(Third!K34="", "",Third!K34)</f>
        <v/>
      </c>
      <c r="M531" s="67" t="str">
        <f t="shared" si="26"/>
        <v/>
      </c>
      <c r="N531" s="76" t="str">
        <f t="shared" si="27"/>
        <v/>
      </c>
      <c r="O531" s="33">
        <f t="shared" si="25"/>
        <v>0</v>
      </c>
    </row>
    <row r="532" spans="1:15" x14ac:dyDescent="0.25">
      <c r="A532" s="64" t="s">
        <v>178</v>
      </c>
      <c r="B532" s="79" t="str">
        <f>IF(Third!B35="", "",Third!B35)</f>
        <v/>
      </c>
      <c r="C532" s="66" t="str">
        <f>IF(Third!C35="", "",Third!C35)</f>
        <v/>
      </c>
      <c r="D532" s="66" t="str">
        <f>IF(Third!D35="", "",Third!D35)</f>
        <v/>
      </c>
      <c r="E532" s="66" t="str">
        <f>IF(Third!E35="", "",Third!E35)</f>
        <v/>
      </c>
      <c r="F532" s="66" t="str">
        <f>IF(Third!F35="", "",Third!F35)</f>
        <v/>
      </c>
      <c r="G532" s="66" t="str">
        <f>IF(Third!G35="", "",Third!G35)</f>
        <v/>
      </c>
      <c r="H532" s="66" t="str">
        <f>IF(Third!H35="", "",Third!H35)</f>
        <v/>
      </c>
      <c r="I532" s="66" t="str">
        <f>IF(Third!I35="", "",Third!I35)</f>
        <v/>
      </c>
      <c r="J532" s="66" t="str">
        <f>IF(Third!J35="", "",Third!J35)</f>
        <v/>
      </c>
      <c r="K532" s="86" t="str">
        <f>IF(Third!K35="", "",Third!K35)</f>
        <v/>
      </c>
      <c r="M532" s="67" t="str">
        <f t="shared" si="26"/>
        <v/>
      </c>
      <c r="N532" s="76" t="str">
        <f t="shared" si="27"/>
        <v/>
      </c>
      <c r="O532" s="33">
        <f t="shared" si="25"/>
        <v>0</v>
      </c>
    </row>
    <row r="533" spans="1:15" x14ac:dyDescent="0.25">
      <c r="A533" s="64" t="s">
        <v>178</v>
      </c>
      <c r="B533" s="79" t="str">
        <f>IF(Third!B36="", "",Third!B36)</f>
        <v/>
      </c>
      <c r="C533" s="66" t="str">
        <f>IF(Third!C36="", "",Third!C36)</f>
        <v/>
      </c>
      <c r="D533" s="66" t="str">
        <f>IF(Third!D36="", "",Third!D36)</f>
        <v/>
      </c>
      <c r="E533" s="66" t="str">
        <f>IF(Third!E36="", "",Third!E36)</f>
        <v/>
      </c>
      <c r="F533" s="66" t="str">
        <f>IF(Third!F36="", "",Third!F36)</f>
        <v/>
      </c>
      <c r="G533" s="66" t="str">
        <f>IF(Third!G36="", "",Third!G36)</f>
        <v/>
      </c>
      <c r="H533" s="66" t="str">
        <f>IF(Third!H36="", "",Third!H36)</f>
        <v/>
      </c>
      <c r="I533" s="66" t="str">
        <f>IF(Third!I36="", "",Third!I36)</f>
        <v/>
      </c>
      <c r="J533" s="66" t="str">
        <f>IF(Third!J36="", "",Third!J36)</f>
        <v/>
      </c>
      <c r="K533" s="86" t="str">
        <f>IF(Third!K36="", "",Third!K36)</f>
        <v/>
      </c>
      <c r="M533" s="67" t="str">
        <f t="shared" si="26"/>
        <v/>
      </c>
      <c r="N533" s="76" t="str">
        <f t="shared" si="27"/>
        <v/>
      </c>
      <c r="O533" s="33">
        <f t="shared" si="25"/>
        <v>0</v>
      </c>
    </row>
    <row r="534" spans="1:15" x14ac:dyDescent="0.25">
      <c r="A534" s="64" t="s">
        <v>178</v>
      </c>
      <c r="B534" s="79" t="str">
        <f>IF(Third!B37="", "",Third!B37)</f>
        <v/>
      </c>
      <c r="C534" s="66" t="str">
        <f>IF(Third!C37="", "",Third!C37)</f>
        <v/>
      </c>
      <c r="D534" s="66" t="str">
        <f>IF(Third!D37="", "",Third!D37)</f>
        <v/>
      </c>
      <c r="E534" s="66" t="str">
        <f>IF(Third!E37="", "",Third!E37)</f>
        <v/>
      </c>
      <c r="F534" s="66" t="str">
        <f>IF(Third!F37="", "",Third!F37)</f>
        <v/>
      </c>
      <c r="G534" s="66" t="str">
        <f>IF(Third!G37="", "",Third!G37)</f>
        <v/>
      </c>
      <c r="H534" s="66" t="str">
        <f>IF(Third!H37="", "",Third!H37)</f>
        <v/>
      </c>
      <c r="I534" s="66" t="str">
        <f>IF(Third!I37="", "",Third!I37)</f>
        <v/>
      </c>
      <c r="J534" s="66" t="str">
        <f>IF(Third!J37="", "",Third!J37)</f>
        <v/>
      </c>
      <c r="K534" s="86" t="str">
        <f>IF(Third!K37="", "",Third!K37)</f>
        <v/>
      </c>
      <c r="M534" s="67" t="str">
        <f t="shared" si="26"/>
        <v/>
      </c>
      <c r="N534" s="76" t="str">
        <f t="shared" si="27"/>
        <v/>
      </c>
      <c r="O534" s="33">
        <f t="shared" si="25"/>
        <v>0</v>
      </c>
    </row>
    <row r="535" spans="1:15" x14ac:dyDescent="0.25">
      <c r="A535" s="64" t="s">
        <v>178</v>
      </c>
      <c r="B535" s="79" t="str">
        <f>IF(Third!B38="", "",Third!B38)</f>
        <v/>
      </c>
      <c r="C535" s="66" t="str">
        <f>IF(Third!C38="", "",Third!C38)</f>
        <v/>
      </c>
      <c r="D535" s="66" t="str">
        <f>IF(Third!D38="", "",Third!D38)</f>
        <v/>
      </c>
      <c r="E535" s="66" t="str">
        <f>IF(Third!E38="", "",Third!E38)</f>
        <v/>
      </c>
      <c r="F535" s="66" t="str">
        <f>IF(Third!F38="", "",Third!F38)</f>
        <v/>
      </c>
      <c r="G535" s="66" t="str">
        <f>IF(Third!G38="", "",Third!G38)</f>
        <v/>
      </c>
      <c r="H535" s="66" t="str">
        <f>IF(Third!H38="", "",Third!H38)</f>
        <v/>
      </c>
      <c r="I535" s="66" t="str">
        <f>IF(Third!I38="", "",Third!I38)</f>
        <v/>
      </c>
      <c r="J535" s="66" t="str">
        <f>IF(Third!J38="", "",Third!J38)</f>
        <v/>
      </c>
      <c r="K535" s="86" t="str">
        <f>IF(Third!K38="", "",Third!K38)</f>
        <v/>
      </c>
      <c r="M535" s="67" t="str">
        <f t="shared" si="26"/>
        <v/>
      </c>
      <c r="N535" s="76" t="str">
        <f t="shared" si="27"/>
        <v/>
      </c>
      <c r="O535" s="33">
        <f t="shared" si="25"/>
        <v>0</v>
      </c>
    </row>
    <row r="536" spans="1:15" x14ac:dyDescent="0.25">
      <c r="A536" s="64" t="s">
        <v>178</v>
      </c>
      <c r="B536" s="79" t="str">
        <f>IF(Third!B39="", "",Third!B39)</f>
        <v/>
      </c>
      <c r="C536" s="66" t="str">
        <f>IF(Third!C39="", "",Third!C39)</f>
        <v/>
      </c>
      <c r="D536" s="66" t="str">
        <f>IF(Third!D39="", "",Third!D39)</f>
        <v/>
      </c>
      <c r="E536" s="66" t="str">
        <f>IF(Third!E39="", "",Third!E39)</f>
        <v/>
      </c>
      <c r="F536" s="66" t="str">
        <f>IF(Third!F39="", "",Third!F39)</f>
        <v/>
      </c>
      <c r="G536" s="66" t="str">
        <f>IF(Third!G39="", "",Third!G39)</f>
        <v/>
      </c>
      <c r="H536" s="66" t="str">
        <f>IF(Third!H39="", "",Third!H39)</f>
        <v/>
      </c>
      <c r="I536" s="66" t="str">
        <f>IF(Third!I39="", "",Third!I39)</f>
        <v/>
      </c>
      <c r="J536" s="66" t="str">
        <f>IF(Third!J39="", "",Third!J39)</f>
        <v/>
      </c>
      <c r="K536" s="86" t="str">
        <f>IF(Third!K39="", "",Third!K39)</f>
        <v/>
      </c>
      <c r="M536" s="67" t="str">
        <f t="shared" si="26"/>
        <v/>
      </c>
      <c r="N536" s="76" t="str">
        <f t="shared" si="27"/>
        <v/>
      </c>
      <c r="O536" s="33">
        <f t="shared" si="25"/>
        <v>0</v>
      </c>
    </row>
    <row r="537" spans="1:15" x14ac:dyDescent="0.25">
      <c r="A537" s="64" t="s">
        <v>178</v>
      </c>
      <c r="B537" s="79" t="str">
        <f>IF(Third!B40="", "",Third!B40)</f>
        <v/>
      </c>
      <c r="C537" s="66" t="str">
        <f>IF(Third!C40="", "",Third!C40)</f>
        <v/>
      </c>
      <c r="D537" s="66" t="str">
        <f>IF(Third!D40="", "",Third!D40)</f>
        <v/>
      </c>
      <c r="E537" s="66" t="str">
        <f>IF(Third!E40="", "",Third!E40)</f>
        <v/>
      </c>
      <c r="F537" s="66" t="str">
        <f>IF(Third!F40="", "",Third!F40)</f>
        <v/>
      </c>
      <c r="G537" s="66" t="str">
        <f>IF(Third!G40="", "",Third!G40)</f>
        <v/>
      </c>
      <c r="H537" s="66" t="str">
        <f>IF(Third!H40="", "",Third!H40)</f>
        <v/>
      </c>
      <c r="I537" s="66" t="str">
        <f>IF(Third!I40="", "",Third!I40)</f>
        <v/>
      </c>
      <c r="J537" s="66" t="str">
        <f>IF(Third!J40="", "",Third!J40)</f>
        <v/>
      </c>
      <c r="K537" s="86" t="str">
        <f>IF(Third!K40="", "",Third!K40)</f>
        <v/>
      </c>
      <c r="M537" s="67" t="str">
        <f t="shared" si="26"/>
        <v/>
      </c>
      <c r="N537" s="76" t="str">
        <f t="shared" si="27"/>
        <v/>
      </c>
      <c r="O537" s="33">
        <f t="shared" si="25"/>
        <v>0</v>
      </c>
    </row>
    <row r="538" spans="1:15" x14ac:dyDescent="0.25">
      <c r="A538" s="64" t="s">
        <v>178</v>
      </c>
      <c r="B538" s="79" t="str">
        <f>IF(Third!B41="", "",Third!B41)</f>
        <v/>
      </c>
      <c r="C538" s="66" t="str">
        <f>IF(Third!C41="", "",Third!C41)</f>
        <v/>
      </c>
      <c r="D538" s="66" t="str">
        <f>IF(Third!D41="", "",Third!D41)</f>
        <v/>
      </c>
      <c r="E538" s="66" t="str">
        <f>IF(Third!E41="", "",Third!E41)</f>
        <v/>
      </c>
      <c r="F538" s="66" t="str">
        <f>IF(Third!F41="", "",Third!F41)</f>
        <v/>
      </c>
      <c r="G538" s="66" t="str">
        <f>IF(Third!G41="", "",Third!G41)</f>
        <v/>
      </c>
      <c r="H538" s="66" t="str">
        <f>IF(Third!H41="", "",Third!H41)</f>
        <v/>
      </c>
      <c r="I538" s="66" t="str">
        <f>IF(Third!I41="", "",Third!I41)</f>
        <v/>
      </c>
      <c r="J538" s="66" t="str">
        <f>IF(Third!J41="", "",Third!J41)</f>
        <v/>
      </c>
      <c r="K538" s="86" t="str">
        <f>IF(Third!K41="", "",Third!K41)</f>
        <v/>
      </c>
      <c r="M538" s="67" t="str">
        <f t="shared" si="26"/>
        <v/>
      </c>
      <c r="N538" s="76" t="str">
        <f t="shared" si="27"/>
        <v/>
      </c>
      <c r="O538" s="33">
        <f t="shared" si="25"/>
        <v>0</v>
      </c>
    </row>
    <row r="539" spans="1:15" x14ac:dyDescent="0.25">
      <c r="A539" s="64" t="s">
        <v>178</v>
      </c>
      <c r="B539" s="79" t="str">
        <f>IF(Third!B42="", "",Third!B42)</f>
        <v/>
      </c>
      <c r="C539" s="66" t="str">
        <f>IF(Third!C42="", "",Third!C42)</f>
        <v/>
      </c>
      <c r="D539" s="66" t="str">
        <f>IF(Third!D42="", "",Third!D42)</f>
        <v/>
      </c>
      <c r="E539" s="66" t="str">
        <f>IF(Third!E42="", "",Third!E42)</f>
        <v/>
      </c>
      <c r="F539" s="66" t="str">
        <f>IF(Third!F42="", "",Third!F42)</f>
        <v/>
      </c>
      <c r="G539" s="66" t="str">
        <f>IF(Third!G42="", "",Third!G42)</f>
        <v/>
      </c>
      <c r="H539" s="66" t="str">
        <f>IF(Third!H42="", "",Third!H42)</f>
        <v/>
      </c>
      <c r="I539" s="66" t="str">
        <f>IF(Third!I42="", "",Third!I42)</f>
        <v/>
      </c>
      <c r="J539" s="66" t="str">
        <f>IF(Third!J42="", "",Third!J42)</f>
        <v/>
      </c>
      <c r="K539" s="86" t="str">
        <f>IF(Third!K42="", "",Third!K42)</f>
        <v/>
      </c>
      <c r="M539" s="67" t="str">
        <f t="shared" si="26"/>
        <v/>
      </c>
      <c r="N539" s="76" t="str">
        <f t="shared" si="27"/>
        <v/>
      </c>
      <c r="O539" s="33">
        <f t="shared" si="25"/>
        <v>0</v>
      </c>
    </row>
    <row r="540" spans="1:15" x14ac:dyDescent="0.25">
      <c r="A540" s="64" t="s">
        <v>178</v>
      </c>
      <c r="B540" s="79" t="str">
        <f>IF(Third!B43="", "",Third!B43)</f>
        <v/>
      </c>
      <c r="C540" s="66" t="str">
        <f>IF(Third!C43="", "",Third!C43)</f>
        <v/>
      </c>
      <c r="D540" s="66" t="str">
        <f>IF(Third!D43="", "",Third!D43)</f>
        <v/>
      </c>
      <c r="E540" s="66" t="str">
        <f>IF(Third!E43="", "",Third!E43)</f>
        <v/>
      </c>
      <c r="F540" s="66" t="str">
        <f>IF(Third!F43="", "",Third!F43)</f>
        <v/>
      </c>
      <c r="G540" s="66" t="str">
        <f>IF(Third!G43="", "",Third!G43)</f>
        <v/>
      </c>
      <c r="H540" s="66" t="str">
        <f>IF(Third!H43="", "",Third!H43)</f>
        <v/>
      </c>
      <c r="I540" s="66" t="str">
        <f>IF(Third!I43="", "",Third!I43)</f>
        <v/>
      </c>
      <c r="J540" s="66" t="str">
        <f>IF(Third!J43="", "",Third!J43)</f>
        <v/>
      </c>
      <c r="K540" s="86" t="str">
        <f>IF(Third!K43="", "",Third!K43)</f>
        <v/>
      </c>
      <c r="M540" s="67" t="str">
        <f t="shared" si="26"/>
        <v/>
      </c>
      <c r="N540" s="76" t="str">
        <f t="shared" si="27"/>
        <v/>
      </c>
      <c r="O540" s="33">
        <f t="shared" si="25"/>
        <v>0</v>
      </c>
    </row>
    <row r="541" spans="1:15" x14ac:dyDescent="0.25">
      <c r="A541" s="64" t="s">
        <v>178</v>
      </c>
      <c r="B541" s="79" t="str">
        <f>IF(Third!B44="", "",Third!B44)</f>
        <v/>
      </c>
      <c r="C541" s="66" t="str">
        <f>IF(Third!C44="", "",Third!C44)</f>
        <v/>
      </c>
      <c r="D541" s="66" t="str">
        <f>IF(Third!D44="", "",Third!D44)</f>
        <v/>
      </c>
      <c r="E541" s="66" t="str">
        <f>IF(Third!E44="", "",Third!E44)</f>
        <v/>
      </c>
      <c r="F541" s="66" t="str">
        <f>IF(Third!F44="", "",Third!F44)</f>
        <v/>
      </c>
      <c r="G541" s="66" t="str">
        <f>IF(Third!G44="", "",Third!G44)</f>
        <v/>
      </c>
      <c r="H541" s="66" t="str">
        <f>IF(Third!H44="", "",Third!H44)</f>
        <v/>
      </c>
      <c r="I541" s="66" t="str">
        <f>IF(Third!I44="", "",Third!I44)</f>
        <v/>
      </c>
      <c r="J541" s="66" t="str">
        <f>IF(Third!J44="", "",Third!J44)</f>
        <v/>
      </c>
      <c r="K541" s="86" t="str">
        <f>IF(Third!K44="", "",Third!K44)</f>
        <v/>
      </c>
      <c r="M541" s="67" t="str">
        <f t="shared" si="26"/>
        <v/>
      </c>
      <c r="N541" s="76" t="str">
        <f t="shared" si="27"/>
        <v/>
      </c>
      <c r="O541" s="33">
        <f t="shared" si="25"/>
        <v>0</v>
      </c>
    </row>
    <row r="542" spans="1:15" x14ac:dyDescent="0.25">
      <c r="A542" s="64" t="s">
        <v>178</v>
      </c>
      <c r="B542" s="79" t="str">
        <f>IF(Third!B45="", "",Third!B45)</f>
        <v/>
      </c>
      <c r="C542" s="66" t="str">
        <f>IF(Third!C45="", "",Third!C45)</f>
        <v/>
      </c>
      <c r="D542" s="66" t="str">
        <f>IF(Third!D45="", "",Third!D45)</f>
        <v/>
      </c>
      <c r="E542" s="66" t="str">
        <f>IF(Third!E45="", "",Third!E45)</f>
        <v/>
      </c>
      <c r="F542" s="66" t="str">
        <f>IF(Third!F45="", "",Third!F45)</f>
        <v/>
      </c>
      <c r="G542" s="66" t="str">
        <f>IF(Third!G45="", "",Third!G45)</f>
        <v/>
      </c>
      <c r="H542" s="66" t="str">
        <f>IF(Third!H45="", "",Third!H45)</f>
        <v/>
      </c>
      <c r="I542" s="66" t="str">
        <f>IF(Third!I45="", "",Third!I45)</f>
        <v/>
      </c>
      <c r="J542" s="66" t="str">
        <f>IF(Third!J45="", "",Third!J45)</f>
        <v/>
      </c>
      <c r="K542" s="86" t="str">
        <f>IF(Third!K45="", "",Third!K45)</f>
        <v/>
      </c>
      <c r="M542" s="67" t="str">
        <f t="shared" si="26"/>
        <v/>
      </c>
      <c r="N542" s="76" t="str">
        <f t="shared" si="27"/>
        <v/>
      </c>
      <c r="O542" s="33">
        <f t="shared" si="25"/>
        <v>0</v>
      </c>
    </row>
    <row r="543" spans="1:15" x14ac:dyDescent="0.25">
      <c r="A543" s="64" t="s">
        <v>178</v>
      </c>
      <c r="B543" s="79" t="str">
        <f>IF(Third!B46="", "",Third!B46)</f>
        <v/>
      </c>
      <c r="C543" s="66" t="str">
        <f>IF(Third!C46="", "",Third!C46)</f>
        <v/>
      </c>
      <c r="D543" s="66" t="str">
        <f>IF(Third!D46="", "",Third!D46)</f>
        <v/>
      </c>
      <c r="E543" s="66" t="str">
        <f>IF(Third!E46="", "",Third!E46)</f>
        <v/>
      </c>
      <c r="F543" s="66" t="str">
        <f>IF(Third!F46="", "",Third!F46)</f>
        <v/>
      </c>
      <c r="G543" s="66" t="str">
        <f>IF(Third!G46="", "",Third!G46)</f>
        <v/>
      </c>
      <c r="H543" s="66" t="str">
        <f>IF(Third!H46="", "",Third!H46)</f>
        <v/>
      </c>
      <c r="I543" s="66" t="str">
        <f>IF(Third!I46="", "",Third!I46)</f>
        <v/>
      </c>
      <c r="J543" s="66" t="str">
        <f>IF(Third!J46="", "",Third!J46)</f>
        <v/>
      </c>
      <c r="K543" s="86" t="str">
        <f>IF(Third!K46="", "",Third!K46)</f>
        <v/>
      </c>
      <c r="M543" s="67" t="str">
        <f t="shared" si="26"/>
        <v/>
      </c>
      <c r="N543" s="76" t="str">
        <f t="shared" si="27"/>
        <v/>
      </c>
      <c r="O543" s="33">
        <f t="shared" si="25"/>
        <v>0</v>
      </c>
    </row>
    <row r="544" spans="1:15" x14ac:dyDescent="0.25">
      <c r="A544" s="64" t="s">
        <v>178</v>
      </c>
      <c r="B544" s="79" t="str">
        <f>IF(Third!B47="", "",Third!B47)</f>
        <v/>
      </c>
      <c r="C544" s="66" t="str">
        <f>IF(Third!C47="", "",Third!C47)</f>
        <v/>
      </c>
      <c r="D544" s="66" t="str">
        <f>IF(Third!D47="", "",Third!D47)</f>
        <v/>
      </c>
      <c r="E544" s="66" t="str">
        <f>IF(Third!E47="", "",Third!E47)</f>
        <v/>
      </c>
      <c r="F544" s="66" t="str">
        <f>IF(Third!F47="", "",Third!F47)</f>
        <v/>
      </c>
      <c r="G544" s="66" t="str">
        <f>IF(Third!G47="", "",Third!G47)</f>
        <v/>
      </c>
      <c r="H544" s="66" t="str">
        <f>IF(Third!H47="", "",Third!H47)</f>
        <v/>
      </c>
      <c r="I544" s="66" t="str">
        <f>IF(Third!I47="", "",Third!I47)</f>
        <v/>
      </c>
      <c r="J544" s="66" t="str">
        <f>IF(Third!J47="", "",Third!J47)</f>
        <v/>
      </c>
      <c r="K544" s="86" t="str">
        <f>IF(Third!K47="", "",Third!K47)</f>
        <v/>
      </c>
      <c r="M544" s="67" t="str">
        <f t="shared" si="26"/>
        <v/>
      </c>
      <c r="N544" s="76" t="str">
        <f t="shared" si="27"/>
        <v/>
      </c>
      <c r="O544" s="33">
        <f t="shared" si="25"/>
        <v>0</v>
      </c>
    </row>
    <row r="545" spans="1:15" x14ac:dyDescent="0.25">
      <c r="A545" s="64" t="s">
        <v>178</v>
      </c>
      <c r="B545" s="79" t="str">
        <f>IF(Third!B48="", "",Third!B48)</f>
        <v/>
      </c>
      <c r="C545" s="66" t="str">
        <f>IF(Third!C48="", "",Third!C48)</f>
        <v/>
      </c>
      <c r="D545" s="66" t="str">
        <f>IF(Third!D48="", "",Third!D48)</f>
        <v/>
      </c>
      <c r="E545" s="66" t="str">
        <f>IF(Third!E48="", "",Third!E48)</f>
        <v/>
      </c>
      <c r="F545" s="66" t="str">
        <f>IF(Third!F48="", "",Third!F48)</f>
        <v/>
      </c>
      <c r="G545" s="66" t="str">
        <f>IF(Third!G48="", "",Third!G48)</f>
        <v/>
      </c>
      <c r="H545" s="66" t="str">
        <f>IF(Third!H48="", "",Third!H48)</f>
        <v/>
      </c>
      <c r="I545" s="66" t="str">
        <f>IF(Third!I48="", "",Third!I48)</f>
        <v/>
      </c>
      <c r="J545" s="66" t="str">
        <f>IF(Third!J48="", "",Third!J48)</f>
        <v/>
      </c>
      <c r="K545" s="86" t="str">
        <f>IF(Third!K48="", "",Third!K48)</f>
        <v/>
      </c>
      <c r="M545" s="67" t="str">
        <f t="shared" si="26"/>
        <v/>
      </c>
      <c r="N545" s="76" t="str">
        <f t="shared" si="27"/>
        <v/>
      </c>
      <c r="O545" s="33">
        <f t="shared" si="25"/>
        <v>0</v>
      </c>
    </row>
    <row r="546" spans="1:15" x14ac:dyDescent="0.25">
      <c r="A546" s="64" t="s">
        <v>178</v>
      </c>
      <c r="B546" s="79" t="str">
        <f>IF(Third!B49="", "",Third!B49)</f>
        <v/>
      </c>
      <c r="C546" s="66" t="str">
        <f>IF(Third!C49="", "",Third!C49)</f>
        <v/>
      </c>
      <c r="D546" s="66" t="str">
        <f>IF(Third!D49="", "",Third!D49)</f>
        <v/>
      </c>
      <c r="E546" s="66" t="str">
        <f>IF(Third!E49="", "",Third!E49)</f>
        <v/>
      </c>
      <c r="F546" s="66" t="str">
        <f>IF(Third!F49="", "",Third!F49)</f>
        <v/>
      </c>
      <c r="G546" s="66" t="str">
        <f>IF(Third!G49="", "",Third!G49)</f>
        <v/>
      </c>
      <c r="H546" s="66" t="str">
        <f>IF(Third!H49="", "",Third!H49)</f>
        <v/>
      </c>
      <c r="I546" s="66" t="str">
        <f>IF(Third!I49="", "",Third!I49)</f>
        <v/>
      </c>
      <c r="J546" s="66" t="str">
        <f>IF(Third!J49="", "",Third!J49)</f>
        <v/>
      </c>
      <c r="K546" s="86" t="str">
        <f>IF(Third!K49="", "",Third!K49)</f>
        <v/>
      </c>
      <c r="M546" s="67" t="str">
        <f t="shared" si="26"/>
        <v/>
      </c>
      <c r="N546" s="76" t="str">
        <f t="shared" si="27"/>
        <v/>
      </c>
      <c r="O546" s="33">
        <f t="shared" si="25"/>
        <v>0</v>
      </c>
    </row>
    <row r="547" spans="1:15" x14ac:dyDescent="0.25">
      <c r="A547" s="64" t="s">
        <v>178</v>
      </c>
      <c r="B547" s="79" t="str">
        <f>IF(Third!B50="", "",Third!B50)</f>
        <v/>
      </c>
      <c r="C547" s="66" t="str">
        <f>IF(Third!C50="", "",Third!C50)</f>
        <v/>
      </c>
      <c r="D547" s="66" t="str">
        <f>IF(Third!D50="", "",Third!D50)</f>
        <v/>
      </c>
      <c r="E547" s="66" t="str">
        <f>IF(Third!E50="", "",Third!E50)</f>
        <v/>
      </c>
      <c r="F547" s="66" t="str">
        <f>IF(Third!F50="", "",Third!F50)</f>
        <v/>
      </c>
      <c r="G547" s="66" t="str">
        <f>IF(Third!G50="", "",Third!G50)</f>
        <v/>
      </c>
      <c r="H547" s="66" t="str">
        <f>IF(Third!H50="", "",Third!H50)</f>
        <v/>
      </c>
      <c r="I547" s="66" t="str">
        <f>IF(Third!I50="", "",Third!I50)</f>
        <v/>
      </c>
      <c r="J547" s="66" t="str">
        <f>IF(Third!J50="", "",Third!J50)</f>
        <v/>
      </c>
      <c r="K547" s="86" t="str">
        <f>IF(Third!K50="", "",Third!K50)</f>
        <v/>
      </c>
      <c r="M547" s="67" t="str">
        <f t="shared" si="26"/>
        <v/>
      </c>
      <c r="N547" s="76" t="str">
        <f t="shared" si="27"/>
        <v/>
      </c>
      <c r="O547" s="33">
        <f t="shared" si="25"/>
        <v>0</v>
      </c>
    </row>
    <row r="548" spans="1:15" x14ac:dyDescent="0.25">
      <c r="A548" s="64" t="s">
        <v>178</v>
      </c>
      <c r="B548" s="79" t="str">
        <f>IF(Third!B51="", "",Third!B51)</f>
        <v/>
      </c>
      <c r="C548" s="66" t="str">
        <f>IF(Third!C51="", "",Third!C51)</f>
        <v/>
      </c>
      <c r="D548" s="66" t="str">
        <f>IF(Third!D51="", "",Third!D51)</f>
        <v/>
      </c>
      <c r="E548" s="66" t="str">
        <f>IF(Third!E51="", "",Third!E51)</f>
        <v/>
      </c>
      <c r="F548" s="66" t="str">
        <f>IF(Third!F51="", "",Third!F51)</f>
        <v/>
      </c>
      <c r="G548" s="66" t="str">
        <f>IF(Third!G51="", "",Third!G51)</f>
        <v/>
      </c>
      <c r="H548" s="66" t="str">
        <f>IF(Third!H51="", "",Third!H51)</f>
        <v/>
      </c>
      <c r="I548" s="66" t="str">
        <f>IF(Third!I51="", "",Third!I51)</f>
        <v/>
      </c>
      <c r="J548" s="66" t="str">
        <f>IF(Third!J51="", "",Third!J51)</f>
        <v/>
      </c>
      <c r="K548" s="86" t="str">
        <f>IF(Third!K51="", "",Third!K51)</f>
        <v/>
      </c>
      <c r="M548" s="67" t="str">
        <f t="shared" si="26"/>
        <v/>
      </c>
      <c r="N548" s="76" t="str">
        <f t="shared" si="27"/>
        <v/>
      </c>
      <c r="O548" s="33">
        <f t="shared" si="25"/>
        <v>0</v>
      </c>
    </row>
    <row r="549" spans="1:15" x14ac:dyDescent="0.25">
      <c r="A549" s="64" t="s">
        <v>178</v>
      </c>
      <c r="B549" s="79" t="str">
        <f>IF(Third!B52="", "",Third!B52)</f>
        <v/>
      </c>
      <c r="C549" s="66" t="str">
        <f>IF(Third!C52="", "",Third!C52)</f>
        <v/>
      </c>
      <c r="D549" s="66" t="str">
        <f>IF(Third!D52="", "",Third!D52)</f>
        <v/>
      </c>
      <c r="E549" s="66" t="str">
        <f>IF(Third!E52="", "",Third!E52)</f>
        <v/>
      </c>
      <c r="F549" s="66" t="str">
        <f>IF(Third!F52="", "",Third!F52)</f>
        <v/>
      </c>
      <c r="G549" s="66" t="str">
        <f>IF(Third!G52="", "",Third!G52)</f>
        <v/>
      </c>
      <c r="H549" s="66" t="str">
        <f>IF(Third!H52="", "",Third!H52)</f>
        <v/>
      </c>
      <c r="I549" s="66" t="str">
        <f>IF(Third!I52="", "",Third!I52)</f>
        <v/>
      </c>
      <c r="J549" s="66" t="str">
        <f>IF(Third!J52="", "",Third!J52)</f>
        <v/>
      </c>
      <c r="K549" s="86" t="str">
        <f>IF(Third!K52="", "",Third!K52)</f>
        <v/>
      </c>
      <c r="M549" s="67" t="str">
        <f t="shared" si="26"/>
        <v/>
      </c>
      <c r="N549" s="76" t="str">
        <f t="shared" si="27"/>
        <v/>
      </c>
      <c r="O549" s="33">
        <f t="shared" si="25"/>
        <v>0</v>
      </c>
    </row>
    <row r="550" spans="1:15" x14ac:dyDescent="0.25">
      <c r="A550" s="64" t="s">
        <v>178</v>
      </c>
      <c r="B550" s="79" t="str">
        <f>IF(Third!B53="", "",Third!B53)</f>
        <v/>
      </c>
      <c r="C550" s="66" t="str">
        <f>IF(Third!C53="", "",Third!C53)</f>
        <v/>
      </c>
      <c r="D550" s="66" t="str">
        <f>IF(Third!D53="", "",Third!D53)</f>
        <v/>
      </c>
      <c r="E550" s="66" t="str">
        <f>IF(Third!E53="", "",Third!E53)</f>
        <v/>
      </c>
      <c r="F550" s="66" t="str">
        <f>IF(Third!F53="", "",Third!F53)</f>
        <v/>
      </c>
      <c r="G550" s="66" t="str">
        <f>IF(Third!G53="", "",Third!G53)</f>
        <v/>
      </c>
      <c r="H550" s="66" t="str">
        <f>IF(Third!H53="", "",Third!H53)</f>
        <v/>
      </c>
      <c r="I550" s="66" t="str">
        <f>IF(Third!I53="", "",Third!I53)</f>
        <v/>
      </c>
      <c r="J550" s="66" t="str">
        <f>IF(Third!J53="", "",Third!J53)</f>
        <v/>
      </c>
      <c r="K550" s="86" t="str">
        <f>IF(Third!K53="", "",Third!K53)</f>
        <v/>
      </c>
      <c r="M550" s="67" t="str">
        <f t="shared" si="26"/>
        <v/>
      </c>
      <c r="N550" s="76" t="str">
        <f t="shared" si="27"/>
        <v/>
      </c>
      <c r="O550" s="33">
        <f t="shared" si="25"/>
        <v>0</v>
      </c>
    </row>
    <row r="551" spans="1:15" x14ac:dyDescent="0.25">
      <c r="A551" s="64" t="s">
        <v>178</v>
      </c>
      <c r="B551" s="79" t="str">
        <f>IF(Third!B54="", "",Third!B54)</f>
        <v/>
      </c>
      <c r="C551" s="66" t="str">
        <f>IF(Third!C54="", "",Third!C54)</f>
        <v/>
      </c>
      <c r="D551" s="66" t="str">
        <f>IF(Third!D54="", "",Third!D54)</f>
        <v/>
      </c>
      <c r="E551" s="66" t="str">
        <f>IF(Third!E54="", "",Third!E54)</f>
        <v/>
      </c>
      <c r="F551" s="66" t="str">
        <f>IF(Third!F54="", "",Third!F54)</f>
        <v/>
      </c>
      <c r="G551" s="66" t="str">
        <f>IF(Third!G54="", "",Third!G54)</f>
        <v/>
      </c>
      <c r="H551" s="66" t="str">
        <f>IF(Third!H54="", "",Third!H54)</f>
        <v/>
      </c>
      <c r="I551" s="66" t="str">
        <f>IF(Third!I54="", "",Third!I54)</f>
        <v/>
      </c>
      <c r="J551" s="66" t="str">
        <f>IF(Third!J54="", "",Third!J54)</f>
        <v/>
      </c>
      <c r="K551" s="86" t="str">
        <f>IF(Third!K54="", "",Third!K54)</f>
        <v/>
      </c>
      <c r="M551" s="67" t="str">
        <f t="shared" si="26"/>
        <v/>
      </c>
      <c r="N551" s="76" t="str">
        <f t="shared" si="27"/>
        <v/>
      </c>
      <c r="O551" s="33">
        <f t="shared" si="25"/>
        <v>0</v>
      </c>
    </row>
    <row r="552" spans="1:15" x14ac:dyDescent="0.25">
      <c r="A552" s="64" t="s">
        <v>178</v>
      </c>
      <c r="B552" s="79" t="str">
        <f>IF(Third!B55="", "",Third!B55)</f>
        <v/>
      </c>
      <c r="C552" s="66" t="str">
        <f>IF(Third!C55="", "",Third!C55)</f>
        <v/>
      </c>
      <c r="D552" s="66" t="str">
        <f>IF(Third!D55="", "",Third!D55)</f>
        <v/>
      </c>
      <c r="E552" s="66" t="str">
        <f>IF(Third!E55="", "",Third!E55)</f>
        <v/>
      </c>
      <c r="F552" s="66" t="str">
        <f>IF(Third!F55="", "",Third!F55)</f>
        <v/>
      </c>
      <c r="G552" s="66" t="str">
        <f>IF(Third!G55="", "",Third!G55)</f>
        <v/>
      </c>
      <c r="H552" s="66" t="str">
        <f>IF(Third!H55="", "",Third!H55)</f>
        <v/>
      </c>
      <c r="I552" s="66" t="str">
        <f>IF(Third!I55="", "",Third!I55)</f>
        <v/>
      </c>
      <c r="J552" s="66" t="str">
        <f>IF(Third!J55="", "",Third!J55)</f>
        <v/>
      </c>
      <c r="K552" s="86" t="str">
        <f>IF(Third!K55="", "",Third!K55)</f>
        <v/>
      </c>
      <c r="M552" s="67" t="str">
        <f t="shared" si="26"/>
        <v/>
      </c>
      <c r="N552" s="76" t="str">
        <f t="shared" si="27"/>
        <v/>
      </c>
      <c r="O552" s="33">
        <f t="shared" si="25"/>
        <v>0</v>
      </c>
    </row>
    <row r="553" spans="1:15" x14ac:dyDescent="0.25">
      <c r="A553" s="64" t="s">
        <v>178</v>
      </c>
      <c r="B553" s="79" t="str">
        <f>IF(Third!B56="", "",Third!B56)</f>
        <v/>
      </c>
      <c r="C553" s="66" t="str">
        <f>IF(Third!C56="", "",Third!C56)</f>
        <v/>
      </c>
      <c r="D553" s="66" t="str">
        <f>IF(Third!D56="", "",Third!D56)</f>
        <v/>
      </c>
      <c r="E553" s="66" t="str">
        <f>IF(Third!E56="", "",Third!E56)</f>
        <v/>
      </c>
      <c r="F553" s="66" t="str">
        <f>IF(Third!F56="", "",Third!F56)</f>
        <v/>
      </c>
      <c r="G553" s="66" t="str">
        <f>IF(Third!G56="", "",Third!G56)</f>
        <v/>
      </c>
      <c r="H553" s="66" t="str">
        <f>IF(Third!H56="", "",Third!H56)</f>
        <v/>
      </c>
      <c r="I553" s="66" t="str">
        <f>IF(Third!I56="", "",Third!I56)</f>
        <v/>
      </c>
      <c r="J553" s="66" t="str">
        <f>IF(Third!J56="", "",Third!J56)</f>
        <v/>
      </c>
      <c r="K553" s="86" t="str">
        <f>IF(Third!K56="", "",Third!K56)</f>
        <v/>
      </c>
      <c r="M553" s="67" t="str">
        <f t="shared" si="26"/>
        <v/>
      </c>
      <c r="N553" s="76" t="str">
        <f t="shared" si="27"/>
        <v/>
      </c>
      <c r="O553" s="33">
        <f t="shared" si="25"/>
        <v>0</v>
      </c>
    </row>
    <row r="554" spans="1:15" x14ac:dyDescent="0.25">
      <c r="A554" s="64" t="s">
        <v>178</v>
      </c>
      <c r="B554" s="79" t="str">
        <f>IF(Third!B57="", "",Third!B57)</f>
        <v/>
      </c>
      <c r="C554" s="66" t="str">
        <f>IF(Third!C57="", "",Third!C57)</f>
        <v/>
      </c>
      <c r="D554" s="66" t="str">
        <f>IF(Third!D57="", "",Third!D57)</f>
        <v/>
      </c>
      <c r="E554" s="66" t="str">
        <f>IF(Third!E57="", "",Third!E57)</f>
        <v/>
      </c>
      <c r="F554" s="66" t="str">
        <f>IF(Third!F57="", "",Third!F57)</f>
        <v/>
      </c>
      <c r="G554" s="66" t="str">
        <f>IF(Third!G57="", "",Third!G57)</f>
        <v/>
      </c>
      <c r="H554" s="66" t="str">
        <f>IF(Third!H57="", "",Third!H57)</f>
        <v/>
      </c>
      <c r="I554" s="66" t="str">
        <f>IF(Third!I57="", "",Third!I57)</f>
        <v/>
      </c>
      <c r="J554" s="66" t="str">
        <f>IF(Third!J57="", "",Third!J57)</f>
        <v/>
      </c>
      <c r="K554" s="86" t="str">
        <f>IF(Third!K57="", "",Third!K57)</f>
        <v/>
      </c>
      <c r="M554" s="67" t="str">
        <f t="shared" si="26"/>
        <v/>
      </c>
      <c r="N554" s="76" t="str">
        <f t="shared" si="27"/>
        <v/>
      </c>
      <c r="O554" s="33">
        <f t="shared" si="25"/>
        <v>0</v>
      </c>
    </row>
    <row r="555" spans="1:15" x14ac:dyDescent="0.25">
      <c r="A555" s="64" t="s">
        <v>178</v>
      </c>
      <c r="B555" s="79" t="str">
        <f>IF(Third!B58="", "",Third!B58)</f>
        <v/>
      </c>
      <c r="C555" s="66" t="str">
        <f>IF(Third!C58="", "",Third!C58)</f>
        <v/>
      </c>
      <c r="D555" s="66" t="str">
        <f>IF(Third!D58="", "",Third!D58)</f>
        <v/>
      </c>
      <c r="E555" s="66" t="str">
        <f>IF(Third!E58="", "",Third!E58)</f>
        <v/>
      </c>
      <c r="F555" s="66" t="str">
        <f>IF(Third!F58="", "",Third!F58)</f>
        <v/>
      </c>
      <c r="G555" s="66" t="str">
        <f>IF(Third!G58="", "",Third!G58)</f>
        <v/>
      </c>
      <c r="H555" s="66" t="str">
        <f>IF(Third!H58="", "",Third!H58)</f>
        <v/>
      </c>
      <c r="I555" s="66" t="str">
        <f>IF(Third!I58="", "",Third!I58)</f>
        <v/>
      </c>
      <c r="J555" s="66" t="str">
        <f>IF(Third!J58="", "",Third!J58)</f>
        <v/>
      </c>
      <c r="K555" s="86" t="str">
        <f>IF(Third!K58="", "",Third!K58)</f>
        <v/>
      </c>
      <c r="M555" s="67" t="str">
        <f t="shared" si="26"/>
        <v/>
      </c>
      <c r="N555" s="76" t="str">
        <f t="shared" si="27"/>
        <v/>
      </c>
      <c r="O555" s="33">
        <f t="shared" si="25"/>
        <v>0</v>
      </c>
    </row>
    <row r="556" spans="1:15" x14ac:dyDescent="0.25">
      <c r="A556" s="64" t="s">
        <v>178</v>
      </c>
      <c r="B556" s="79" t="str">
        <f>IF(Third!B59="", "",Third!B59)</f>
        <v/>
      </c>
      <c r="C556" s="66" t="str">
        <f>IF(Third!C59="", "",Third!C59)</f>
        <v/>
      </c>
      <c r="D556" s="66" t="str">
        <f>IF(Third!D59="", "",Third!D59)</f>
        <v/>
      </c>
      <c r="E556" s="66" t="str">
        <f>IF(Third!E59="", "",Third!E59)</f>
        <v/>
      </c>
      <c r="F556" s="66" t="str">
        <f>IF(Third!F59="", "",Third!F59)</f>
        <v/>
      </c>
      <c r="G556" s="66" t="str">
        <f>IF(Third!G59="", "",Third!G59)</f>
        <v/>
      </c>
      <c r="H556" s="66" t="str">
        <f>IF(Third!H59="", "",Third!H59)</f>
        <v/>
      </c>
      <c r="I556" s="66" t="str">
        <f>IF(Third!I59="", "",Third!I59)</f>
        <v/>
      </c>
      <c r="J556" s="66" t="str">
        <f>IF(Third!J59="", "",Third!J59)</f>
        <v/>
      </c>
      <c r="K556" s="86" t="str">
        <f>IF(Third!K59="", "",Third!K59)</f>
        <v/>
      </c>
      <c r="M556" s="67" t="str">
        <f t="shared" si="26"/>
        <v/>
      </c>
      <c r="N556" s="76" t="str">
        <f t="shared" si="27"/>
        <v/>
      </c>
      <c r="O556" s="33">
        <f t="shared" si="25"/>
        <v>0</v>
      </c>
    </row>
    <row r="557" spans="1:15" x14ac:dyDescent="0.25">
      <c r="A557" s="64" t="s">
        <v>178</v>
      </c>
      <c r="B557" s="79" t="str">
        <f>IF(Third!B60="", "",Third!B60)</f>
        <v/>
      </c>
      <c r="C557" s="66" t="str">
        <f>IF(Third!C60="", "",Third!C60)</f>
        <v/>
      </c>
      <c r="D557" s="66" t="str">
        <f>IF(Third!D60="", "",Third!D60)</f>
        <v/>
      </c>
      <c r="E557" s="66" t="str">
        <f>IF(Third!E60="", "",Third!E60)</f>
        <v/>
      </c>
      <c r="F557" s="66" t="str">
        <f>IF(Third!F60="", "",Third!F60)</f>
        <v/>
      </c>
      <c r="G557" s="66" t="str">
        <f>IF(Third!G60="", "",Third!G60)</f>
        <v/>
      </c>
      <c r="H557" s="66" t="str">
        <f>IF(Third!H60="", "",Third!H60)</f>
        <v/>
      </c>
      <c r="I557" s="66" t="str">
        <f>IF(Third!I60="", "",Third!I60)</f>
        <v/>
      </c>
      <c r="J557" s="66" t="str">
        <f>IF(Third!J60="", "",Third!J60)</f>
        <v/>
      </c>
      <c r="K557" s="86" t="str">
        <f>IF(Third!K60="", "",Third!K60)</f>
        <v/>
      </c>
      <c r="M557" s="67" t="str">
        <f t="shared" si="26"/>
        <v/>
      </c>
      <c r="N557" s="76" t="str">
        <f t="shared" si="27"/>
        <v/>
      </c>
      <c r="O557" s="33">
        <f t="shared" si="25"/>
        <v>0</v>
      </c>
    </row>
    <row r="558" spans="1:15" x14ac:dyDescent="0.25">
      <c r="A558" s="64" t="s">
        <v>178</v>
      </c>
      <c r="B558" s="79" t="str">
        <f>IF(Third!B61="", "",Third!B61)</f>
        <v/>
      </c>
      <c r="C558" s="66" t="str">
        <f>IF(Third!C61="", "",Third!C61)</f>
        <v/>
      </c>
      <c r="D558" s="66" t="str">
        <f>IF(Third!D61="", "",Third!D61)</f>
        <v/>
      </c>
      <c r="E558" s="66" t="str">
        <f>IF(Third!E61="", "",Third!E61)</f>
        <v/>
      </c>
      <c r="F558" s="66" t="str">
        <f>IF(Third!F61="", "",Third!F61)</f>
        <v/>
      </c>
      <c r="G558" s="66" t="str">
        <f>IF(Third!G61="", "",Third!G61)</f>
        <v/>
      </c>
      <c r="H558" s="66" t="str">
        <f>IF(Third!H61="", "",Third!H61)</f>
        <v/>
      </c>
      <c r="I558" s="66" t="str">
        <f>IF(Third!I61="", "",Third!I61)</f>
        <v/>
      </c>
      <c r="J558" s="66" t="str">
        <f>IF(Third!J61="", "",Third!J61)</f>
        <v/>
      </c>
      <c r="K558" s="86" t="str">
        <f>IF(Third!K61="", "",Third!K61)</f>
        <v/>
      </c>
      <c r="M558" s="67" t="str">
        <f t="shared" si="26"/>
        <v/>
      </c>
      <c r="N558" s="76" t="str">
        <f t="shared" si="27"/>
        <v/>
      </c>
      <c r="O558" s="33">
        <f t="shared" si="25"/>
        <v>0</v>
      </c>
    </row>
    <row r="559" spans="1:15" x14ac:dyDescent="0.25">
      <c r="A559" s="64" t="s">
        <v>178</v>
      </c>
      <c r="B559" s="79" t="str">
        <f>IF(Third!B62="", "",Third!B62)</f>
        <v/>
      </c>
      <c r="C559" s="66" t="str">
        <f>IF(Third!C62="", "",Third!C62)</f>
        <v/>
      </c>
      <c r="D559" s="66" t="str">
        <f>IF(Third!D62="", "",Third!D62)</f>
        <v/>
      </c>
      <c r="E559" s="66" t="str">
        <f>IF(Third!E62="", "",Third!E62)</f>
        <v/>
      </c>
      <c r="F559" s="66" t="str">
        <f>IF(Third!F62="", "",Third!F62)</f>
        <v/>
      </c>
      <c r="G559" s="66" t="str">
        <f>IF(Third!G62="", "",Third!G62)</f>
        <v/>
      </c>
      <c r="H559" s="66" t="str">
        <f>IF(Third!H62="", "",Third!H62)</f>
        <v/>
      </c>
      <c r="I559" s="66" t="str">
        <f>IF(Third!I62="", "",Third!I62)</f>
        <v/>
      </c>
      <c r="J559" s="66" t="str">
        <f>IF(Third!J62="", "",Third!J62)</f>
        <v/>
      </c>
      <c r="K559" s="86" t="str">
        <f>IF(Third!K62="", "",Third!K62)</f>
        <v/>
      </c>
      <c r="M559" s="67" t="str">
        <f t="shared" si="26"/>
        <v/>
      </c>
      <c r="N559" s="76" t="str">
        <f t="shared" si="27"/>
        <v/>
      </c>
      <c r="O559" s="33">
        <f t="shared" si="25"/>
        <v>0</v>
      </c>
    </row>
    <row r="560" spans="1:15" x14ac:dyDescent="0.25">
      <c r="A560" s="64" t="s">
        <v>178</v>
      </c>
      <c r="B560" s="79" t="str">
        <f>IF(Third!B63="", "",Third!B63)</f>
        <v/>
      </c>
      <c r="C560" s="66" t="str">
        <f>IF(Third!C63="", "",Third!C63)</f>
        <v/>
      </c>
      <c r="D560" s="66" t="str">
        <f>IF(Third!D63="", "",Third!D63)</f>
        <v/>
      </c>
      <c r="E560" s="66" t="str">
        <f>IF(Third!E63="", "",Third!E63)</f>
        <v/>
      </c>
      <c r="F560" s="66" t="str">
        <f>IF(Third!F63="", "",Third!F63)</f>
        <v/>
      </c>
      <c r="G560" s="66" t="str">
        <f>IF(Third!G63="", "",Third!G63)</f>
        <v/>
      </c>
      <c r="H560" s="66" t="str">
        <f>IF(Third!H63="", "",Third!H63)</f>
        <v/>
      </c>
      <c r="I560" s="66" t="str">
        <f>IF(Third!I63="", "",Third!I63)</f>
        <v/>
      </c>
      <c r="J560" s="66" t="str">
        <f>IF(Third!J63="", "",Third!J63)</f>
        <v/>
      </c>
      <c r="K560" s="86" t="str">
        <f>IF(Third!K63="", "",Third!K63)</f>
        <v/>
      </c>
      <c r="M560" s="67" t="str">
        <f t="shared" si="26"/>
        <v/>
      </c>
      <c r="N560" s="76" t="str">
        <f t="shared" si="27"/>
        <v/>
      </c>
      <c r="O560" s="33">
        <f t="shared" si="25"/>
        <v>0</v>
      </c>
    </row>
    <row r="561" spans="1:15" x14ac:dyDescent="0.25">
      <c r="A561" s="64" t="s">
        <v>178</v>
      </c>
      <c r="B561" s="79" t="str">
        <f>IF(Third!B64="", "",Third!B64)</f>
        <v/>
      </c>
      <c r="C561" s="66" t="str">
        <f>IF(Third!C64="", "",Third!C64)</f>
        <v/>
      </c>
      <c r="D561" s="66" t="str">
        <f>IF(Third!D64="", "",Third!D64)</f>
        <v/>
      </c>
      <c r="E561" s="66" t="str">
        <f>IF(Third!E64="", "",Third!E64)</f>
        <v/>
      </c>
      <c r="F561" s="66" t="str">
        <f>IF(Third!F64="", "",Third!F64)</f>
        <v/>
      </c>
      <c r="G561" s="66" t="str">
        <f>IF(Third!G64="", "",Third!G64)</f>
        <v/>
      </c>
      <c r="H561" s="66" t="str">
        <f>IF(Third!H64="", "",Third!H64)</f>
        <v/>
      </c>
      <c r="I561" s="66" t="str">
        <f>IF(Third!I64="", "",Third!I64)</f>
        <v/>
      </c>
      <c r="J561" s="66" t="str">
        <f>IF(Third!J64="", "",Third!J64)</f>
        <v/>
      </c>
      <c r="K561" s="86" t="str">
        <f>IF(Third!K64="", "",Third!K64)</f>
        <v/>
      </c>
      <c r="M561" s="67" t="str">
        <f t="shared" si="26"/>
        <v/>
      </c>
      <c r="N561" s="76" t="str">
        <f t="shared" si="27"/>
        <v/>
      </c>
      <c r="O561" s="33">
        <f t="shared" si="25"/>
        <v>0</v>
      </c>
    </row>
    <row r="562" spans="1:15" x14ac:dyDescent="0.25">
      <c r="A562" s="64" t="s">
        <v>178</v>
      </c>
      <c r="B562" s="79" t="str">
        <f>IF(Third!B65="", "",Third!B65)</f>
        <v/>
      </c>
      <c r="C562" s="66" t="str">
        <f>IF(Third!C65="", "",Third!C65)</f>
        <v/>
      </c>
      <c r="D562" s="66" t="str">
        <f>IF(Third!D65="", "",Third!D65)</f>
        <v/>
      </c>
      <c r="E562" s="66" t="str">
        <f>IF(Third!E65="", "",Third!E65)</f>
        <v/>
      </c>
      <c r="F562" s="66" t="str">
        <f>IF(Third!F65="", "",Third!F65)</f>
        <v/>
      </c>
      <c r="G562" s="66" t="str">
        <f>IF(Third!G65="", "",Third!G65)</f>
        <v/>
      </c>
      <c r="H562" s="66" t="str">
        <f>IF(Third!H65="", "",Third!H65)</f>
        <v/>
      </c>
      <c r="I562" s="66" t="str">
        <f>IF(Third!I65="", "",Third!I65)</f>
        <v/>
      </c>
      <c r="J562" s="66" t="str">
        <f>IF(Third!J65="", "",Third!J65)</f>
        <v/>
      </c>
      <c r="K562" s="86" t="str">
        <f>IF(Third!K65="", "",Third!K65)</f>
        <v/>
      </c>
      <c r="M562" s="67" t="str">
        <f t="shared" si="26"/>
        <v/>
      </c>
      <c r="N562" s="76" t="str">
        <f t="shared" si="27"/>
        <v/>
      </c>
      <c r="O562" s="33">
        <f t="shared" si="25"/>
        <v>0</v>
      </c>
    </row>
    <row r="563" spans="1:15" x14ac:dyDescent="0.25">
      <c r="A563" s="64" t="s">
        <v>178</v>
      </c>
      <c r="B563" s="79" t="str">
        <f>IF(Third!B66="", "",Third!B66)</f>
        <v/>
      </c>
      <c r="C563" s="66" t="str">
        <f>IF(Third!C66="", "",Third!C66)</f>
        <v/>
      </c>
      <c r="D563" s="66" t="str">
        <f>IF(Third!D66="", "",Third!D66)</f>
        <v/>
      </c>
      <c r="E563" s="66" t="str">
        <f>IF(Third!E66="", "",Third!E66)</f>
        <v/>
      </c>
      <c r="F563" s="66" t="str">
        <f>IF(Third!F66="", "",Third!F66)</f>
        <v/>
      </c>
      <c r="G563" s="66" t="str">
        <f>IF(Third!G66="", "",Third!G66)</f>
        <v/>
      </c>
      <c r="H563" s="66" t="str">
        <f>IF(Third!H66="", "",Third!H66)</f>
        <v/>
      </c>
      <c r="I563" s="66" t="str">
        <f>IF(Third!I66="", "",Third!I66)</f>
        <v/>
      </c>
      <c r="J563" s="66" t="str">
        <f>IF(Third!J66="", "",Third!J66)</f>
        <v/>
      </c>
      <c r="K563" s="86" t="str">
        <f>IF(Third!K66="", "",Third!K66)</f>
        <v/>
      </c>
      <c r="M563" s="67" t="str">
        <f t="shared" si="26"/>
        <v/>
      </c>
      <c r="N563" s="76" t="str">
        <f t="shared" si="27"/>
        <v/>
      </c>
      <c r="O563" s="33">
        <f t="shared" si="25"/>
        <v>0</v>
      </c>
    </row>
    <row r="564" spans="1:15" x14ac:dyDescent="0.25">
      <c r="A564" s="64" t="s">
        <v>178</v>
      </c>
      <c r="B564" s="79" t="str">
        <f>IF(Third!B67="", "",Third!B67)</f>
        <v/>
      </c>
      <c r="C564" s="66" t="str">
        <f>IF(Third!C67="", "",Third!C67)</f>
        <v/>
      </c>
      <c r="D564" s="66" t="str">
        <f>IF(Third!D67="", "",Third!D67)</f>
        <v/>
      </c>
      <c r="E564" s="66" t="str">
        <f>IF(Third!E67="", "",Third!E67)</f>
        <v/>
      </c>
      <c r="F564" s="66" t="str">
        <f>IF(Third!F67="", "",Third!F67)</f>
        <v/>
      </c>
      <c r="G564" s="66" t="str">
        <f>IF(Third!G67="", "",Third!G67)</f>
        <v/>
      </c>
      <c r="H564" s="66" t="str">
        <f>IF(Third!H67="", "",Third!H67)</f>
        <v/>
      </c>
      <c r="I564" s="66" t="str">
        <f>IF(Third!I67="", "",Third!I67)</f>
        <v/>
      </c>
      <c r="J564" s="66" t="str">
        <f>IF(Third!J67="", "",Third!J67)</f>
        <v/>
      </c>
      <c r="K564" s="86" t="str">
        <f>IF(Third!K67="", "",Third!K67)</f>
        <v/>
      </c>
      <c r="M564" s="67" t="str">
        <f t="shared" si="26"/>
        <v/>
      </c>
      <c r="N564" s="76" t="str">
        <f t="shared" si="27"/>
        <v/>
      </c>
      <c r="O564" s="33">
        <f t="shared" si="25"/>
        <v>0</v>
      </c>
    </row>
    <row r="565" spans="1:15" x14ac:dyDescent="0.25">
      <c r="A565" s="64" t="s">
        <v>178</v>
      </c>
      <c r="B565" s="79" t="str">
        <f>IF(Third!B68="", "",Third!B68)</f>
        <v/>
      </c>
      <c r="C565" s="66" t="str">
        <f>IF(Third!C68="", "",Third!C68)</f>
        <v/>
      </c>
      <c r="D565" s="66" t="str">
        <f>IF(Third!D68="", "",Third!D68)</f>
        <v/>
      </c>
      <c r="E565" s="66" t="str">
        <f>IF(Third!E68="", "",Third!E68)</f>
        <v/>
      </c>
      <c r="F565" s="66" t="str">
        <f>IF(Third!F68="", "",Third!F68)</f>
        <v/>
      </c>
      <c r="G565" s="66" t="str">
        <f>IF(Third!G68="", "",Third!G68)</f>
        <v/>
      </c>
      <c r="H565" s="66" t="str">
        <f>IF(Third!H68="", "",Third!H68)</f>
        <v/>
      </c>
      <c r="I565" s="66" t="str">
        <f>IF(Third!I68="", "",Third!I68)</f>
        <v/>
      </c>
      <c r="J565" s="66" t="str">
        <f>IF(Third!J68="", "",Third!J68)</f>
        <v/>
      </c>
      <c r="K565" s="86" t="str">
        <f>IF(Third!K68="", "",Third!K68)</f>
        <v/>
      </c>
      <c r="M565" s="67" t="str">
        <f t="shared" si="26"/>
        <v/>
      </c>
      <c r="N565" s="76" t="str">
        <f t="shared" si="27"/>
        <v/>
      </c>
      <c r="O565" s="33">
        <f t="shared" si="25"/>
        <v>0</v>
      </c>
    </row>
    <row r="566" spans="1:15" x14ac:dyDescent="0.25">
      <c r="A566" s="64" t="s">
        <v>178</v>
      </c>
      <c r="B566" s="79" t="str">
        <f>IF(Third!B69="", "",Third!B69)</f>
        <v/>
      </c>
      <c r="C566" s="66" t="str">
        <f>IF(Third!C69="", "",Third!C69)</f>
        <v/>
      </c>
      <c r="D566" s="66" t="str">
        <f>IF(Third!D69="", "",Third!D69)</f>
        <v/>
      </c>
      <c r="E566" s="66" t="str">
        <f>IF(Third!E69="", "",Third!E69)</f>
        <v/>
      </c>
      <c r="F566" s="66" t="str">
        <f>IF(Third!F69="", "",Third!F69)</f>
        <v/>
      </c>
      <c r="G566" s="66" t="str">
        <f>IF(Third!G69="", "",Third!G69)</f>
        <v/>
      </c>
      <c r="H566" s="66" t="str">
        <f>IF(Third!H69="", "",Third!H69)</f>
        <v/>
      </c>
      <c r="I566" s="66" t="str">
        <f>IF(Third!I69="", "",Third!I69)</f>
        <v/>
      </c>
      <c r="J566" s="66" t="str">
        <f>IF(Third!J69="", "",Third!J69)</f>
        <v/>
      </c>
      <c r="K566" s="86" t="str">
        <f>IF(Third!K69="", "",Third!K69)</f>
        <v/>
      </c>
      <c r="M566" s="67" t="str">
        <f t="shared" si="26"/>
        <v/>
      </c>
      <c r="N566" s="76" t="str">
        <f t="shared" si="27"/>
        <v/>
      </c>
      <c r="O566" s="33">
        <f t="shared" si="25"/>
        <v>0</v>
      </c>
    </row>
    <row r="567" spans="1:15" x14ac:dyDescent="0.25">
      <c r="A567" s="64" t="s">
        <v>178</v>
      </c>
      <c r="B567" s="79" t="str">
        <f>IF(Third!B70="", "",Third!B70)</f>
        <v/>
      </c>
      <c r="C567" s="66" t="str">
        <f>IF(Third!C70="", "",Third!C70)</f>
        <v/>
      </c>
      <c r="D567" s="66" t="str">
        <f>IF(Third!D70="", "",Third!D70)</f>
        <v/>
      </c>
      <c r="E567" s="66" t="str">
        <f>IF(Third!E70="", "",Third!E70)</f>
        <v/>
      </c>
      <c r="F567" s="66" t="str">
        <f>IF(Third!F70="", "",Third!F70)</f>
        <v/>
      </c>
      <c r="G567" s="66" t="str">
        <f>IF(Third!G70="", "",Third!G70)</f>
        <v/>
      </c>
      <c r="H567" s="66" t="str">
        <f>IF(Third!H70="", "",Third!H70)</f>
        <v/>
      </c>
      <c r="I567" s="66" t="str">
        <f>IF(Third!I70="", "",Third!I70)</f>
        <v/>
      </c>
      <c r="J567" s="66" t="str">
        <f>IF(Third!J70="", "",Third!J70)</f>
        <v/>
      </c>
      <c r="K567" s="86" t="str">
        <f>IF(Third!K70="", "",Third!K70)</f>
        <v/>
      </c>
      <c r="M567" s="67" t="str">
        <f t="shared" si="26"/>
        <v/>
      </c>
      <c r="N567" s="76" t="str">
        <f t="shared" si="27"/>
        <v/>
      </c>
      <c r="O567" s="33">
        <f t="shared" si="25"/>
        <v>0</v>
      </c>
    </row>
    <row r="568" spans="1:15" x14ac:dyDescent="0.25">
      <c r="A568" s="64" t="s">
        <v>178</v>
      </c>
      <c r="B568" s="79" t="str">
        <f>IF(Third!B71="", "",Third!B71)</f>
        <v/>
      </c>
      <c r="C568" s="66" t="str">
        <f>IF(Third!C71="", "",Third!C71)</f>
        <v/>
      </c>
      <c r="D568" s="66" t="str">
        <f>IF(Third!D71="", "",Third!D71)</f>
        <v/>
      </c>
      <c r="E568" s="66" t="str">
        <f>IF(Third!E71="", "",Third!E71)</f>
        <v/>
      </c>
      <c r="F568" s="66" t="str">
        <f>IF(Third!F71="", "",Third!F71)</f>
        <v/>
      </c>
      <c r="G568" s="66" t="str">
        <f>IF(Third!G71="", "",Third!G71)</f>
        <v/>
      </c>
      <c r="H568" s="66" t="str">
        <f>IF(Third!H71="", "",Third!H71)</f>
        <v/>
      </c>
      <c r="I568" s="66" t="str">
        <f>IF(Third!I71="", "",Third!I71)</f>
        <v/>
      </c>
      <c r="J568" s="66" t="str">
        <f>IF(Third!J71="", "",Third!J71)</f>
        <v/>
      </c>
      <c r="K568" s="86" t="str">
        <f>IF(Third!K71="", "",Third!K71)</f>
        <v/>
      </c>
      <c r="M568" s="67" t="str">
        <f t="shared" si="26"/>
        <v/>
      </c>
      <c r="N568" s="76" t="str">
        <f t="shared" si="27"/>
        <v/>
      </c>
      <c r="O568" s="33">
        <f t="shared" si="25"/>
        <v>0</v>
      </c>
    </row>
    <row r="569" spans="1:15" x14ac:dyDescent="0.25">
      <c r="A569" s="64" t="s">
        <v>178</v>
      </c>
      <c r="B569" s="79" t="str">
        <f>IF(Third!B72="", "",Third!B72)</f>
        <v/>
      </c>
      <c r="C569" s="66" t="str">
        <f>IF(Third!C72="", "",Third!C72)</f>
        <v/>
      </c>
      <c r="D569" s="66" t="str">
        <f>IF(Third!D72="", "",Third!D72)</f>
        <v/>
      </c>
      <c r="E569" s="66" t="str">
        <f>IF(Third!E72="", "",Third!E72)</f>
        <v/>
      </c>
      <c r="F569" s="66" t="str">
        <f>IF(Third!F72="", "",Third!F72)</f>
        <v/>
      </c>
      <c r="G569" s="66" t="str">
        <f>IF(Third!G72="", "",Third!G72)</f>
        <v/>
      </c>
      <c r="H569" s="66" t="str">
        <f>IF(Third!H72="", "",Third!H72)</f>
        <v/>
      </c>
      <c r="I569" s="66" t="str">
        <f>IF(Third!I72="", "",Third!I72)</f>
        <v/>
      </c>
      <c r="J569" s="66" t="str">
        <f>IF(Third!J72="", "",Third!J72)</f>
        <v/>
      </c>
      <c r="K569" s="86" t="str">
        <f>IF(Third!K72="", "",Third!K72)</f>
        <v/>
      </c>
      <c r="M569" s="67" t="str">
        <f t="shared" si="26"/>
        <v/>
      </c>
      <c r="N569" s="76" t="str">
        <f t="shared" si="27"/>
        <v/>
      </c>
      <c r="O569" s="33">
        <f t="shared" si="25"/>
        <v>0</v>
      </c>
    </row>
    <row r="570" spans="1:15" x14ac:dyDescent="0.25">
      <c r="A570" s="64" t="s">
        <v>178</v>
      </c>
      <c r="B570" s="79" t="str">
        <f>IF(Third!B73="", "",Third!B73)</f>
        <v/>
      </c>
      <c r="C570" s="66" t="str">
        <f>IF(Third!C73="", "",Third!C73)</f>
        <v/>
      </c>
      <c r="D570" s="66" t="str">
        <f>IF(Third!D73="", "",Third!D73)</f>
        <v/>
      </c>
      <c r="E570" s="66" t="str">
        <f>IF(Third!E73="", "",Third!E73)</f>
        <v/>
      </c>
      <c r="F570" s="66" t="str">
        <f>IF(Third!F73="", "",Third!F73)</f>
        <v/>
      </c>
      <c r="G570" s="66" t="str">
        <f>IF(Third!G73="", "",Third!G73)</f>
        <v/>
      </c>
      <c r="H570" s="66" t="str">
        <f>IF(Third!H73="", "",Third!H73)</f>
        <v/>
      </c>
      <c r="I570" s="66" t="str">
        <f>IF(Third!I73="", "",Third!I73)</f>
        <v/>
      </c>
      <c r="J570" s="66" t="str">
        <f>IF(Third!J73="", "",Third!J73)</f>
        <v/>
      </c>
      <c r="K570" s="86" t="str">
        <f>IF(Third!K73="", "",Third!K73)</f>
        <v/>
      </c>
      <c r="M570" s="67" t="str">
        <f t="shared" si="26"/>
        <v/>
      </c>
      <c r="N570" s="76" t="str">
        <f t="shared" si="27"/>
        <v/>
      </c>
      <c r="O570" s="33">
        <f t="shared" si="25"/>
        <v>0</v>
      </c>
    </row>
    <row r="571" spans="1:15" x14ac:dyDescent="0.25">
      <c r="A571" s="64" t="s">
        <v>178</v>
      </c>
      <c r="B571" s="79" t="str">
        <f>IF(Third!B74="", "",Third!B74)</f>
        <v/>
      </c>
      <c r="C571" s="66" t="str">
        <f>IF(Third!C74="", "",Third!C74)</f>
        <v/>
      </c>
      <c r="D571" s="66" t="str">
        <f>IF(Third!D74="", "",Third!D74)</f>
        <v/>
      </c>
      <c r="E571" s="66" t="str">
        <f>IF(Third!E74="", "",Third!E74)</f>
        <v/>
      </c>
      <c r="F571" s="66" t="str">
        <f>IF(Third!F74="", "",Third!F74)</f>
        <v/>
      </c>
      <c r="G571" s="66" t="str">
        <f>IF(Third!G74="", "",Third!G74)</f>
        <v/>
      </c>
      <c r="H571" s="66" t="str">
        <f>IF(Third!H74="", "",Third!H74)</f>
        <v/>
      </c>
      <c r="I571" s="66" t="str">
        <f>IF(Third!I74="", "",Third!I74)</f>
        <v/>
      </c>
      <c r="J571" s="66" t="str">
        <f>IF(Third!J74="", "",Third!J74)</f>
        <v/>
      </c>
      <c r="K571" s="86" t="str">
        <f>IF(Third!K74="", "",Third!K74)</f>
        <v/>
      </c>
      <c r="M571" s="67" t="str">
        <f t="shared" si="26"/>
        <v/>
      </c>
      <c r="N571" s="76" t="str">
        <f t="shared" si="27"/>
        <v/>
      </c>
      <c r="O571" s="33">
        <f t="shared" si="25"/>
        <v>0</v>
      </c>
    </row>
    <row r="572" spans="1:15" x14ac:dyDescent="0.25">
      <c r="A572" s="64" t="s">
        <v>178</v>
      </c>
      <c r="B572" s="79" t="str">
        <f>IF(Third!B75="", "",Third!B75)</f>
        <v/>
      </c>
      <c r="C572" s="66" t="str">
        <f>IF(Third!C75="", "",Third!C75)</f>
        <v/>
      </c>
      <c r="D572" s="66" t="str">
        <f>IF(Third!D75="", "",Third!D75)</f>
        <v/>
      </c>
      <c r="E572" s="66" t="str">
        <f>IF(Third!E75="", "",Third!E75)</f>
        <v/>
      </c>
      <c r="F572" s="66" t="str">
        <f>IF(Third!F75="", "",Third!F75)</f>
        <v/>
      </c>
      <c r="G572" s="66" t="str">
        <f>IF(Third!G75="", "",Third!G75)</f>
        <v/>
      </c>
      <c r="H572" s="66" t="str">
        <f>IF(Third!H75="", "",Third!H75)</f>
        <v/>
      </c>
      <c r="I572" s="66" t="str">
        <f>IF(Third!I75="", "",Third!I75)</f>
        <v/>
      </c>
      <c r="J572" s="66" t="str">
        <f>IF(Third!J75="", "",Third!J75)</f>
        <v/>
      </c>
      <c r="K572" s="86" t="str">
        <f>IF(Third!K75="", "",Third!K75)</f>
        <v/>
      </c>
      <c r="M572" s="67" t="str">
        <f t="shared" si="26"/>
        <v/>
      </c>
      <c r="N572" s="76" t="str">
        <f t="shared" si="27"/>
        <v/>
      </c>
      <c r="O572" s="33">
        <f t="shared" si="25"/>
        <v>0</v>
      </c>
    </row>
    <row r="573" spans="1:15" x14ac:dyDescent="0.25">
      <c r="A573" s="64" t="s">
        <v>178</v>
      </c>
      <c r="B573" s="79" t="str">
        <f>IF(Third!B76="", "",Third!B76)</f>
        <v/>
      </c>
      <c r="C573" s="66" t="str">
        <f>IF(Third!C76="", "",Third!C76)</f>
        <v/>
      </c>
      <c r="D573" s="66" t="str">
        <f>IF(Third!D76="", "",Third!D76)</f>
        <v/>
      </c>
      <c r="E573" s="66" t="str">
        <f>IF(Third!E76="", "",Third!E76)</f>
        <v/>
      </c>
      <c r="F573" s="66" t="str">
        <f>IF(Third!F76="", "",Third!F76)</f>
        <v/>
      </c>
      <c r="G573" s="66" t="str">
        <f>IF(Third!G76="", "",Third!G76)</f>
        <v/>
      </c>
      <c r="H573" s="66" t="str">
        <f>IF(Third!H76="", "",Third!H76)</f>
        <v/>
      </c>
      <c r="I573" s="66" t="str">
        <f>IF(Third!I76="", "",Third!I76)</f>
        <v/>
      </c>
      <c r="J573" s="66" t="str">
        <f>IF(Third!J76="", "",Third!J76)</f>
        <v/>
      </c>
      <c r="K573" s="86" t="str">
        <f>IF(Third!K76="", "",Third!K76)</f>
        <v/>
      </c>
      <c r="M573" s="67" t="str">
        <f t="shared" si="26"/>
        <v/>
      </c>
      <c r="N573" s="76" t="str">
        <f t="shared" si="27"/>
        <v/>
      </c>
      <c r="O573" s="33">
        <f t="shared" si="25"/>
        <v>0</v>
      </c>
    </row>
    <row r="574" spans="1:15" x14ac:dyDescent="0.25">
      <c r="A574" s="64" t="s">
        <v>178</v>
      </c>
      <c r="B574" s="79" t="str">
        <f>IF(Third!B77="", "",Third!B77)</f>
        <v/>
      </c>
      <c r="C574" s="66" t="str">
        <f>IF(Third!C77="", "",Third!C77)</f>
        <v/>
      </c>
      <c r="D574" s="66" t="str">
        <f>IF(Third!D77="", "",Third!D77)</f>
        <v/>
      </c>
      <c r="E574" s="66" t="str">
        <f>IF(Third!E77="", "",Third!E77)</f>
        <v/>
      </c>
      <c r="F574" s="66" t="str">
        <f>IF(Third!F77="", "",Third!F77)</f>
        <v/>
      </c>
      <c r="G574" s="66" t="str">
        <f>IF(Third!G77="", "",Third!G77)</f>
        <v/>
      </c>
      <c r="H574" s="66" t="str">
        <f>IF(Third!H77="", "",Third!H77)</f>
        <v/>
      </c>
      <c r="I574" s="66" t="str">
        <f>IF(Third!I77="", "",Third!I77)</f>
        <v/>
      </c>
      <c r="J574" s="66" t="str">
        <f>IF(Third!J77="", "",Third!J77)</f>
        <v/>
      </c>
      <c r="K574" s="86" t="str">
        <f>IF(Third!K77="", "",Third!K77)</f>
        <v/>
      </c>
      <c r="M574" s="67" t="str">
        <f t="shared" si="26"/>
        <v/>
      </c>
      <c r="N574" s="76" t="str">
        <f t="shared" si="27"/>
        <v/>
      </c>
      <c r="O574" s="33">
        <f t="shared" si="25"/>
        <v>0</v>
      </c>
    </row>
    <row r="575" spans="1:15" x14ac:dyDescent="0.25">
      <c r="A575" s="64" t="s">
        <v>178</v>
      </c>
      <c r="B575" s="79" t="str">
        <f>IF(Third!B78="", "",Third!B78)</f>
        <v/>
      </c>
      <c r="C575" s="66" t="str">
        <f>IF(Third!C78="", "",Third!C78)</f>
        <v/>
      </c>
      <c r="D575" s="66" t="str">
        <f>IF(Third!D78="", "",Third!D78)</f>
        <v/>
      </c>
      <c r="E575" s="66" t="str">
        <f>IF(Third!E78="", "",Third!E78)</f>
        <v/>
      </c>
      <c r="F575" s="66" t="str">
        <f>IF(Third!F78="", "",Third!F78)</f>
        <v/>
      </c>
      <c r="G575" s="66" t="str">
        <f>IF(Third!G78="", "",Third!G78)</f>
        <v/>
      </c>
      <c r="H575" s="66" t="str">
        <f>IF(Third!H78="", "",Third!H78)</f>
        <v/>
      </c>
      <c r="I575" s="66" t="str">
        <f>IF(Third!I78="", "",Third!I78)</f>
        <v/>
      </c>
      <c r="J575" s="66" t="str">
        <f>IF(Third!J78="", "",Third!J78)</f>
        <v/>
      </c>
      <c r="K575" s="86" t="str">
        <f>IF(Third!K78="", "",Third!K78)</f>
        <v/>
      </c>
      <c r="M575" s="67" t="str">
        <f t="shared" si="26"/>
        <v/>
      </c>
      <c r="N575" s="76" t="str">
        <f t="shared" si="27"/>
        <v/>
      </c>
      <c r="O575" s="33">
        <f t="shared" si="25"/>
        <v>0</v>
      </c>
    </row>
    <row r="576" spans="1:15" x14ac:dyDescent="0.25">
      <c r="A576" s="64" t="s">
        <v>178</v>
      </c>
      <c r="B576" s="79" t="str">
        <f>IF(Third!B79="", "",Third!B79)</f>
        <v/>
      </c>
      <c r="C576" s="66" t="str">
        <f>IF(Third!C79="", "",Third!C79)</f>
        <v/>
      </c>
      <c r="D576" s="66" t="str">
        <f>IF(Third!D79="", "",Third!D79)</f>
        <v/>
      </c>
      <c r="E576" s="66" t="str">
        <f>IF(Third!E79="", "",Third!E79)</f>
        <v/>
      </c>
      <c r="F576" s="66" t="str">
        <f>IF(Third!F79="", "",Third!F79)</f>
        <v/>
      </c>
      <c r="G576" s="66" t="str">
        <f>IF(Third!G79="", "",Third!G79)</f>
        <v/>
      </c>
      <c r="H576" s="66" t="str">
        <f>IF(Third!H79="", "",Third!H79)</f>
        <v/>
      </c>
      <c r="I576" s="66" t="str">
        <f>IF(Third!I79="", "",Third!I79)</f>
        <v/>
      </c>
      <c r="J576" s="66" t="str">
        <f>IF(Third!J79="", "",Third!J79)</f>
        <v/>
      </c>
      <c r="K576" s="86" t="str">
        <f>IF(Third!K79="", "",Third!K79)</f>
        <v/>
      </c>
      <c r="M576" s="67" t="str">
        <f t="shared" si="26"/>
        <v/>
      </c>
      <c r="N576" s="76" t="str">
        <f t="shared" si="27"/>
        <v/>
      </c>
      <c r="O576" s="33">
        <f t="shared" si="25"/>
        <v>0</v>
      </c>
    </row>
    <row r="577" spans="1:15" x14ac:dyDescent="0.25">
      <c r="A577" s="64" t="s">
        <v>178</v>
      </c>
      <c r="B577" s="79" t="str">
        <f>IF(Third!B80="", "",Third!B80)</f>
        <v/>
      </c>
      <c r="C577" s="66" t="str">
        <f>IF(Third!C80="", "",Third!C80)</f>
        <v/>
      </c>
      <c r="D577" s="66" t="str">
        <f>IF(Third!D80="", "",Third!D80)</f>
        <v/>
      </c>
      <c r="E577" s="66" t="str">
        <f>IF(Third!E80="", "",Third!E80)</f>
        <v/>
      </c>
      <c r="F577" s="66" t="str">
        <f>IF(Third!F80="", "",Third!F80)</f>
        <v/>
      </c>
      <c r="G577" s="66" t="str">
        <f>IF(Third!G80="", "",Third!G80)</f>
        <v/>
      </c>
      <c r="H577" s="66" t="str">
        <f>IF(Third!H80="", "",Third!H80)</f>
        <v/>
      </c>
      <c r="I577" s="66" t="str">
        <f>IF(Third!I80="", "",Third!I80)</f>
        <v/>
      </c>
      <c r="J577" s="66" t="str">
        <f>IF(Third!J80="", "",Third!J80)</f>
        <v/>
      </c>
      <c r="K577" s="86" t="str">
        <f>IF(Third!K80="", "",Third!K80)</f>
        <v/>
      </c>
      <c r="M577" s="67" t="str">
        <f t="shared" si="26"/>
        <v/>
      </c>
      <c r="N577" s="76" t="str">
        <f t="shared" si="27"/>
        <v/>
      </c>
      <c r="O577" s="33">
        <f t="shared" si="25"/>
        <v>0</v>
      </c>
    </row>
    <row r="578" spans="1:15" x14ac:dyDescent="0.25">
      <c r="A578" s="64" t="s">
        <v>178</v>
      </c>
      <c r="B578" s="79" t="str">
        <f>IF(Third!B81="", "",Third!B81)</f>
        <v/>
      </c>
      <c r="C578" s="66" t="str">
        <f>IF(Third!C81="", "",Third!C81)</f>
        <v/>
      </c>
      <c r="D578" s="66" t="str">
        <f>IF(Third!D81="", "",Third!D81)</f>
        <v/>
      </c>
      <c r="E578" s="66" t="str">
        <f>IF(Third!E81="", "",Third!E81)</f>
        <v/>
      </c>
      <c r="F578" s="66" t="str">
        <f>IF(Third!F81="", "",Third!F81)</f>
        <v/>
      </c>
      <c r="G578" s="66" t="str">
        <f>IF(Third!G81="", "",Third!G81)</f>
        <v/>
      </c>
      <c r="H578" s="66" t="str">
        <f>IF(Third!H81="", "",Third!H81)</f>
        <v/>
      </c>
      <c r="I578" s="66" t="str">
        <f>IF(Third!I81="", "",Third!I81)</f>
        <v/>
      </c>
      <c r="J578" s="66" t="str">
        <f>IF(Third!J81="", "",Third!J81)</f>
        <v/>
      </c>
      <c r="K578" s="86" t="str">
        <f>IF(Third!K81="", "",Third!K81)</f>
        <v/>
      </c>
      <c r="M578" s="67" t="str">
        <f t="shared" si="26"/>
        <v/>
      </c>
      <c r="N578" s="76" t="str">
        <f t="shared" si="27"/>
        <v/>
      </c>
      <c r="O578" s="33">
        <f t="shared" ref="O578:O641" si="28">SUM(M578:N578)</f>
        <v>0</v>
      </c>
    </row>
    <row r="579" spans="1:15" x14ac:dyDescent="0.25">
      <c r="A579" s="64" t="s">
        <v>178</v>
      </c>
      <c r="B579" s="79" t="str">
        <f>IF(Third!B82="", "",Third!B82)</f>
        <v/>
      </c>
      <c r="C579" s="66" t="str">
        <f>IF(Third!C82="", "",Third!C82)</f>
        <v/>
      </c>
      <c r="D579" s="66" t="str">
        <f>IF(Third!D82="", "",Third!D82)</f>
        <v/>
      </c>
      <c r="E579" s="66" t="str">
        <f>IF(Third!E82="", "",Third!E82)</f>
        <v/>
      </c>
      <c r="F579" s="66" t="str">
        <f>IF(Third!F82="", "",Third!F82)</f>
        <v/>
      </c>
      <c r="G579" s="66" t="str">
        <f>IF(Third!G82="", "",Third!G82)</f>
        <v/>
      </c>
      <c r="H579" s="66" t="str">
        <f>IF(Third!H82="", "",Third!H82)</f>
        <v/>
      </c>
      <c r="I579" s="66" t="str">
        <f>IF(Third!I82="", "",Third!I82)</f>
        <v/>
      </c>
      <c r="J579" s="66" t="str">
        <f>IF(Third!J82="", "",Third!J82)</f>
        <v/>
      </c>
      <c r="K579" s="86" t="str">
        <f>IF(Third!K82="", "",Third!K82)</f>
        <v/>
      </c>
      <c r="M579" s="67" t="str">
        <f t="shared" ref="M579:M642" si="29">IF(C579="PwC",(7-COUNTIF(B579:H579,"")),"")</f>
        <v/>
      </c>
      <c r="N579" s="76" t="str">
        <f t="shared" ref="N579:N642" si="30">IF(C579="Carer",(7-COUNTIF(B579:H579,"")),"")</f>
        <v/>
      </c>
      <c r="O579" s="33">
        <f t="shared" si="28"/>
        <v>0</v>
      </c>
    </row>
    <row r="580" spans="1:15" x14ac:dyDescent="0.25">
      <c r="A580" s="64" t="s">
        <v>178</v>
      </c>
      <c r="B580" s="79" t="str">
        <f>IF(Third!B83="", "",Third!B83)</f>
        <v/>
      </c>
      <c r="C580" s="66" t="str">
        <f>IF(Third!C83="", "",Third!C83)</f>
        <v/>
      </c>
      <c r="D580" s="66" t="str">
        <f>IF(Third!D83="", "",Third!D83)</f>
        <v/>
      </c>
      <c r="E580" s="66" t="str">
        <f>IF(Third!E83="", "",Third!E83)</f>
        <v/>
      </c>
      <c r="F580" s="66" t="str">
        <f>IF(Third!F83="", "",Third!F83)</f>
        <v/>
      </c>
      <c r="G580" s="66" t="str">
        <f>IF(Third!G83="", "",Third!G83)</f>
        <v/>
      </c>
      <c r="H580" s="66" t="str">
        <f>IF(Third!H83="", "",Third!H83)</f>
        <v/>
      </c>
      <c r="I580" s="66" t="str">
        <f>IF(Third!I83="", "",Third!I83)</f>
        <v/>
      </c>
      <c r="J580" s="66" t="str">
        <f>IF(Third!J83="", "",Third!J83)</f>
        <v/>
      </c>
      <c r="K580" s="86" t="str">
        <f>IF(Third!K83="", "",Third!K83)</f>
        <v/>
      </c>
      <c r="M580" s="67" t="str">
        <f t="shared" si="29"/>
        <v/>
      </c>
      <c r="N580" s="76" t="str">
        <f t="shared" si="30"/>
        <v/>
      </c>
      <c r="O580" s="33">
        <f t="shared" si="28"/>
        <v>0</v>
      </c>
    </row>
    <row r="581" spans="1:15" x14ac:dyDescent="0.25">
      <c r="A581" s="64" t="s">
        <v>178</v>
      </c>
      <c r="B581" s="79" t="str">
        <f>IF(Third!B84="", "",Third!B84)</f>
        <v/>
      </c>
      <c r="C581" s="66" t="str">
        <f>IF(Third!C84="", "",Third!C84)</f>
        <v/>
      </c>
      <c r="D581" s="66" t="str">
        <f>IF(Third!D84="", "",Third!D84)</f>
        <v/>
      </c>
      <c r="E581" s="66" t="str">
        <f>IF(Third!E84="", "",Third!E84)</f>
        <v/>
      </c>
      <c r="F581" s="66" t="str">
        <f>IF(Third!F84="", "",Third!F84)</f>
        <v/>
      </c>
      <c r="G581" s="66" t="str">
        <f>IF(Third!G84="", "",Third!G84)</f>
        <v/>
      </c>
      <c r="H581" s="66" t="str">
        <f>IF(Third!H84="", "",Third!H84)</f>
        <v/>
      </c>
      <c r="I581" s="66" t="str">
        <f>IF(Third!I84="", "",Third!I84)</f>
        <v/>
      </c>
      <c r="J581" s="66" t="str">
        <f>IF(Third!J84="", "",Third!J84)</f>
        <v/>
      </c>
      <c r="K581" s="86" t="str">
        <f>IF(Third!K84="", "",Third!K84)</f>
        <v/>
      </c>
      <c r="M581" s="67" t="str">
        <f t="shared" si="29"/>
        <v/>
      </c>
      <c r="N581" s="76" t="str">
        <f t="shared" si="30"/>
        <v/>
      </c>
      <c r="O581" s="33">
        <f t="shared" si="28"/>
        <v>0</v>
      </c>
    </row>
    <row r="582" spans="1:15" x14ac:dyDescent="0.25">
      <c r="A582" s="64" t="s">
        <v>178</v>
      </c>
      <c r="B582" s="79" t="str">
        <f>IF(Third!B85="", "",Third!B85)</f>
        <v/>
      </c>
      <c r="C582" s="66" t="str">
        <f>IF(Third!C85="", "",Third!C85)</f>
        <v/>
      </c>
      <c r="D582" s="66" t="str">
        <f>IF(Third!D85="", "",Third!D85)</f>
        <v/>
      </c>
      <c r="E582" s="66" t="str">
        <f>IF(Third!E85="", "",Third!E85)</f>
        <v/>
      </c>
      <c r="F582" s="66" t="str">
        <f>IF(Third!F85="", "",Third!F85)</f>
        <v/>
      </c>
      <c r="G582" s="66" t="str">
        <f>IF(Third!G85="", "",Third!G85)</f>
        <v/>
      </c>
      <c r="H582" s="66" t="str">
        <f>IF(Third!H85="", "",Third!H85)</f>
        <v/>
      </c>
      <c r="I582" s="66" t="str">
        <f>IF(Third!I85="", "",Third!I85)</f>
        <v/>
      </c>
      <c r="J582" s="66" t="str">
        <f>IF(Third!J85="", "",Third!J85)</f>
        <v/>
      </c>
      <c r="K582" s="86" t="str">
        <f>IF(Third!K85="", "",Third!K85)</f>
        <v/>
      </c>
      <c r="M582" s="67" t="str">
        <f t="shared" si="29"/>
        <v/>
      </c>
      <c r="N582" s="76" t="str">
        <f t="shared" si="30"/>
        <v/>
      </c>
      <c r="O582" s="33">
        <f t="shared" si="28"/>
        <v>0</v>
      </c>
    </row>
    <row r="583" spans="1:15" x14ac:dyDescent="0.25">
      <c r="A583" s="64" t="s">
        <v>178</v>
      </c>
      <c r="B583" s="79" t="str">
        <f>IF(Third!B86="", "",Third!B86)</f>
        <v/>
      </c>
      <c r="C583" s="66" t="str">
        <f>IF(Third!C86="", "",Third!C86)</f>
        <v/>
      </c>
      <c r="D583" s="66" t="str">
        <f>IF(Third!D86="", "",Third!D86)</f>
        <v/>
      </c>
      <c r="E583" s="66" t="str">
        <f>IF(Third!E86="", "",Third!E86)</f>
        <v/>
      </c>
      <c r="F583" s="66" t="str">
        <f>IF(Third!F86="", "",Third!F86)</f>
        <v/>
      </c>
      <c r="G583" s="66" t="str">
        <f>IF(Third!G86="", "",Third!G86)</f>
        <v/>
      </c>
      <c r="H583" s="66" t="str">
        <f>IF(Third!H86="", "",Third!H86)</f>
        <v/>
      </c>
      <c r="I583" s="66" t="str">
        <f>IF(Third!I86="", "",Third!I86)</f>
        <v/>
      </c>
      <c r="J583" s="66" t="str">
        <f>IF(Third!J86="", "",Third!J86)</f>
        <v/>
      </c>
      <c r="K583" s="86" t="str">
        <f>IF(Third!K86="", "",Third!K86)</f>
        <v/>
      </c>
      <c r="M583" s="67" t="str">
        <f t="shared" si="29"/>
        <v/>
      </c>
      <c r="N583" s="76" t="str">
        <f t="shared" si="30"/>
        <v/>
      </c>
      <c r="O583" s="33">
        <f t="shared" si="28"/>
        <v>0</v>
      </c>
    </row>
    <row r="584" spans="1:15" x14ac:dyDescent="0.25">
      <c r="A584" s="64" t="s">
        <v>178</v>
      </c>
      <c r="B584" s="79" t="str">
        <f>IF(Third!B87="", "",Third!B87)</f>
        <v/>
      </c>
      <c r="C584" s="66" t="str">
        <f>IF(Third!C87="", "",Third!C87)</f>
        <v/>
      </c>
      <c r="D584" s="66" t="str">
        <f>IF(Third!D87="", "",Third!D87)</f>
        <v/>
      </c>
      <c r="E584" s="66" t="str">
        <f>IF(Third!E87="", "",Third!E87)</f>
        <v/>
      </c>
      <c r="F584" s="66" t="str">
        <f>IF(Third!F87="", "",Third!F87)</f>
        <v/>
      </c>
      <c r="G584" s="66" t="str">
        <f>IF(Third!G87="", "",Third!G87)</f>
        <v/>
      </c>
      <c r="H584" s="66" t="str">
        <f>IF(Third!H87="", "",Third!H87)</f>
        <v/>
      </c>
      <c r="I584" s="66" t="str">
        <f>IF(Third!I87="", "",Third!I87)</f>
        <v/>
      </c>
      <c r="J584" s="66" t="str">
        <f>IF(Third!J87="", "",Third!J87)</f>
        <v/>
      </c>
      <c r="K584" s="86" t="str">
        <f>IF(Third!K87="", "",Third!K87)</f>
        <v/>
      </c>
      <c r="M584" s="67" t="str">
        <f t="shared" si="29"/>
        <v/>
      </c>
      <c r="N584" s="76" t="str">
        <f t="shared" si="30"/>
        <v/>
      </c>
      <c r="O584" s="33">
        <f t="shared" si="28"/>
        <v>0</v>
      </c>
    </row>
    <row r="585" spans="1:15" x14ac:dyDescent="0.25">
      <c r="A585" s="64" t="s">
        <v>178</v>
      </c>
      <c r="B585" s="79" t="str">
        <f>IF(Third!B88="", "",Third!B88)</f>
        <v/>
      </c>
      <c r="C585" s="66" t="str">
        <f>IF(Third!C88="", "",Third!C88)</f>
        <v/>
      </c>
      <c r="D585" s="66" t="str">
        <f>IF(Third!D88="", "",Third!D88)</f>
        <v/>
      </c>
      <c r="E585" s="66" t="str">
        <f>IF(Third!E88="", "",Third!E88)</f>
        <v/>
      </c>
      <c r="F585" s="66" t="str">
        <f>IF(Third!F88="", "",Third!F88)</f>
        <v/>
      </c>
      <c r="G585" s="66" t="str">
        <f>IF(Third!G88="", "",Third!G88)</f>
        <v/>
      </c>
      <c r="H585" s="66" t="str">
        <f>IF(Third!H88="", "",Third!H88)</f>
        <v/>
      </c>
      <c r="I585" s="66" t="str">
        <f>IF(Third!I88="", "",Third!I88)</f>
        <v/>
      </c>
      <c r="J585" s="66" t="str">
        <f>IF(Third!J88="", "",Third!J88)</f>
        <v/>
      </c>
      <c r="K585" s="86" t="str">
        <f>IF(Third!K88="", "",Third!K88)</f>
        <v/>
      </c>
      <c r="M585" s="67" t="str">
        <f t="shared" si="29"/>
        <v/>
      </c>
      <c r="N585" s="76" t="str">
        <f t="shared" si="30"/>
        <v/>
      </c>
      <c r="O585" s="33">
        <f t="shared" si="28"/>
        <v>0</v>
      </c>
    </row>
    <row r="586" spans="1:15" x14ac:dyDescent="0.25">
      <c r="A586" s="64" t="s">
        <v>178</v>
      </c>
      <c r="B586" s="79" t="str">
        <f>IF(Third!B89="", "",Third!B89)</f>
        <v/>
      </c>
      <c r="C586" s="66" t="str">
        <f>IF(Third!C89="", "",Third!C89)</f>
        <v/>
      </c>
      <c r="D586" s="66" t="str">
        <f>IF(Third!D89="", "",Third!D89)</f>
        <v/>
      </c>
      <c r="E586" s="66" t="str">
        <f>IF(Third!E89="", "",Third!E89)</f>
        <v/>
      </c>
      <c r="F586" s="66" t="str">
        <f>IF(Third!F89="", "",Third!F89)</f>
        <v/>
      </c>
      <c r="G586" s="66" t="str">
        <f>IF(Third!G89="", "",Third!G89)</f>
        <v/>
      </c>
      <c r="H586" s="66" t="str">
        <f>IF(Third!H89="", "",Third!H89)</f>
        <v/>
      </c>
      <c r="I586" s="66" t="str">
        <f>IF(Third!I89="", "",Third!I89)</f>
        <v/>
      </c>
      <c r="J586" s="66" t="str">
        <f>IF(Third!J89="", "",Third!J89)</f>
        <v/>
      </c>
      <c r="K586" s="86" t="str">
        <f>IF(Third!K89="", "",Third!K89)</f>
        <v/>
      </c>
      <c r="M586" s="67" t="str">
        <f t="shared" si="29"/>
        <v/>
      </c>
      <c r="N586" s="76" t="str">
        <f t="shared" si="30"/>
        <v/>
      </c>
      <c r="O586" s="33">
        <f t="shared" si="28"/>
        <v>0</v>
      </c>
    </row>
    <row r="587" spans="1:15" x14ac:dyDescent="0.25">
      <c r="A587" s="64" t="s">
        <v>178</v>
      </c>
      <c r="B587" s="79" t="str">
        <f>IF(Third!B90="", "",Third!B90)</f>
        <v/>
      </c>
      <c r="C587" s="66" t="str">
        <f>IF(Third!C90="", "",Third!C90)</f>
        <v/>
      </c>
      <c r="D587" s="66" t="str">
        <f>IF(Third!D90="", "",Third!D90)</f>
        <v/>
      </c>
      <c r="E587" s="66" t="str">
        <f>IF(Third!E90="", "",Third!E90)</f>
        <v/>
      </c>
      <c r="F587" s="66" t="str">
        <f>IF(Third!F90="", "",Third!F90)</f>
        <v/>
      </c>
      <c r="G587" s="66" t="str">
        <f>IF(Third!G90="", "",Third!G90)</f>
        <v/>
      </c>
      <c r="H587" s="66" t="str">
        <f>IF(Third!H90="", "",Third!H90)</f>
        <v/>
      </c>
      <c r="I587" s="66" t="str">
        <f>IF(Third!I90="", "",Third!I90)</f>
        <v/>
      </c>
      <c r="J587" s="66" t="str">
        <f>IF(Third!J90="", "",Third!J90)</f>
        <v/>
      </c>
      <c r="K587" s="86" t="str">
        <f>IF(Third!K90="", "",Third!K90)</f>
        <v/>
      </c>
      <c r="M587" s="67" t="str">
        <f t="shared" si="29"/>
        <v/>
      </c>
      <c r="N587" s="76" t="str">
        <f t="shared" si="30"/>
        <v/>
      </c>
      <c r="O587" s="33">
        <f t="shared" si="28"/>
        <v>0</v>
      </c>
    </row>
    <row r="588" spans="1:15" x14ac:dyDescent="0.25">
      <c r="A588" s="64" t="s">
        <v>178</v>
      </c>
      <c r="B588" s="79" t="str">
        <f>IF(Third!B91="", "",Third!B91)</f>
        <v/>
      </c>
      <c r="C588" s="66" t="str">
        <f>IF(Third!C91="", "",Third!C91)</f>
        <v/>
      </c>
      <c r="D588" s="66" t="str">
        <f>IF(Third!D91="", "",Third!D91)</f>
        <v/>
      </c>
      <c r="E588" s="66" t="str">
        <f>IF(Third!E91="", "",Third!E91)</f>
        <v/>
      </c>
      <c r="F588" s="66" t="str">
        <f>IF(Third!F91="", "",Third!F91)</f>
        <v/>
      </c>
      <c r="G588" s="66" t="str">
        <f>IF(Third!G91="", "",Third!G91)</f>
        <v/>
      </c>
      <c r="H588" s="66" t="str">
        <f>IF(Third!H91="", "",Third!H91)</f>
        <v/>
      </c>
      <c r="I588" s="66" t="str">
        <f>IF(Third!I91="", "",Third!I91)</f>
        <v/>
      </c>
      <c r="J588" s="66" t="str">
        <f>IF(Third!J91="", "",Third!J91)</f>
        <v/>
      </c>
      <c r="K588" s="86" t="str">
        <f>IF(Third!K91="", "",Third!K91)</f>
        <v/>
      </c>
      <c r="M588" s="67" t="str">
        <f t="shared" si="29"/>
        <v/>
      </c>
      <c r="N588" s="76" t="str">
        <f t="shared" si="30"/>
        <v/>
      </c>
      <c r="O588" s="33">
        <f t="shared" si="28"/>
        <v>0</v>
      </c>
    </row>
    <row r="589" spans="1:15" x14ac:dyDescent="0.25">
      <c r="A589" s="64" t="s">
        <v>178</v>
      </c>
      <c r="B589" s="79" t="str">
        <f>IF(Third!B92="", "",Third!B92)</f>
        <v/>
      </c>
      <c r="C589" s="66" t="str">
        <f>IF(Third!C92="", "",Third!C92)</f>
        <v/>
      </c>
      <c r="D589" s="66" t="str">
        <f>IF(Third!D92="", "",Third!D92)</f>
        <v/>
      </c>
      <c r="E589" s="66" t="str">
        <f>IF(Third!E92="", "",Third!E92)</f>
        <v/>
      </c>
      <c r="F589" s="66" t="str">
        <f>IF(Third!F92="", "",Third!F92)</f>
        <v/>
      </c>
      <c r="G589" s="66" t="str">
        <f>IF(Third!G92="", "",Third!G92)</f>
        <v/>
      </c>
      <c r="H589" s="66" t="str">
        <f>IF(Third!H92="", "",Third!H92)</f>
        <v/>
      </c>
      <c r="I589" s="66" t="str">
        <f>IF(Third!I92="", "",Third!I92)</f>
        <v/>
      </c>
      <c r="J589" s="66" t="str">
        <f>IF(Third!J92="", "",Third!J92)</f>
        <v/>
      </c>
      <c r="K589" s="86" t="str">
        <f>IF(Third!K92="", "",Third!K92)</f>
        <v/>
      </c>
      <c r="M589" s="67" t="str">
        <f t="shared" si="29"/>
        <v/>
      </c>
      <c r="N589" s="76" t="str">
        <f t="shared" si="30"/>
        <v/>
      </c>
      <c r="O589" s="33">
        <f t="shared" si="28"/>
        <v>0</v>
      </c>
    </row>
    <row r="590" spans="1:15" x14ac:dyDescent="0.25">
      <c r="A590" s="64" t="s">
        <v>178</v>
      </c>
      <c r="B590" s="79" t="str">
        <f>IF(Third!B93="", "",Third!B93)</f>
        <v/>
      </c>
      <c r="C590" s="66" t="str">
        <f>IF(Third!C93="", "",Third!C93)</f>
        <v/>
      </c>
      <c r="D590" s="66" t="str">
        <f>IF(Third!D93="", "",Third!D93)</f>
        <v/>
      </c>
      <c r="E590" s="66" t="str">
        <f>IF(Third!E93="", "",Third!E93)</f>
        <v/>
      </c>
      <c r="F590" s="66" t="str">
        <f>IF(Third!F93="", "",Third!F93)</f>
        <v/>
      </c>
      <c r="G590" s="66" t="str">
        <f>IF(Third!G93="", "",Third!G93)</f>
        <v/>
      </c>
      <c r="H590" s="66" t="str">
        <f>IF(Third!H93="", "",Third!H93)</f>
        <v/>
      </c>
      <c r="I590" s="66" t="str">
        <f>IF(Third!I93="", "",Third!I93)</f>
        <v/>
      </c>
      <c r="J590" s="66" t="str">
        <f>IF(Third!J93="", "",Third!J93)</f>
        <v/>
      </c>
      <c r="K590" s="86" t="str">
        <f>IF(Third!K93="", "",Third!K93)</f>
        <v/>
      </c>
      <c r="M590" s="67" t="str">
        <f t="shared" si="29"/>
        <v/>
      </c>
      <c r="N590" s="76" t="str">
        <f t="shared" si="30"/>
        <v/>
      </c>
      <c r="O590" s="33">
        <f t="shared" si="28"/>
        <v>0</v>
      </c>
    </row>
    <row r="591" spans="1:15" x14ac:dyDescent="0.25">
      <c r="A591" s="64" t="s">
        <v>178</v>
      </c>
      <c r="B591" s="79" t="str">
        <f>IF(Third!B94="", "",Third!B94)</f>
        <v/>
      </c>
      <c r="C591" s="66" t="str">
        <f>IF(Third!C94="", "",Third!C94)</f>
        <v/>
      </c>
      <c r="D591" s="66" t="str">
        <f>IF(Third!D94="", "",Third!D94)</f>
        <v/>
      </c>
      <c r="E591" s="66" t="str">
        <f>IF(Third!E94="", "",Third!E94)</f>
        <v/>
      </c>
      <c r="F591" s="66" t="str">
        <f>IF(Third!F94="", "",Third!F94)</f>
        <v/>
      </c>
      <c r="G591" s="66" t="str">
        <f>IF(Third!G94="", "",Third!G94)</f>
        <v/>
      </c>
      <c r="H591" s="66" t="str">
        <f>IF(Third!H94="", "",Third!H94)</f>
        <v/>
      </c>
      <c r="I591" s="66" t="str">
        <f>IF(Third!I94="", "",Third!I94)</f>
        <v/>
      </c>
      <c r="J591" s="66" t="str">
        <f>IF(Third!J94="", "",Third!J94)</f>
        <v/>
      </c>
      <c r="K591" s="86" t="str">
        <f>IF(Third!K94="", "",Third!K94)</f>
        <v/>
      </c>
      <c r="M591" s="67" t="str">
        <f t="shared" si="29"/>
        <v/>
      </c>
      <c r="N591" s="76" t="str">
        <f t="shared" si="30"/>
        <v/>
      </c>
      <c r="O591" s="33">
        <f t="shared" si="28"/>
        <v>0</v>
      </c>
    </row>
    <row r="592" spans="1:15" x14ac:dyDescent="0.25">
      <c r="A592" s="64" t="s">
        <v>178</v>
      </c>
      <c r="B592" s="79" t="str">
        <f>IF(Third!B95="", "",Third!B95)</f>
        <v/>
      </c>
      <c r="C592" s="66" t="str">
        <f>IF(Third!C95="", "",Third!C95)</f>
        <v/>
      </c>
      <c r="D592" s="66" t="str">
        <f>IF(Third!D95="", "",Third!D95)</f>
        <v/>
      </c>
      <c r="E592" s="66" t="str">
        <f>IF(Third!E95="", "",Third!E95)</f>
        <v/>
      </c>
      <c r="F592" s="66" t="str">
        <f>IF(Third!F95="", "",Third!F95)</f>
        <v/>
      </c>
      <c r="G592" s="66" t="str">
        <f>IF(Third!G95="", "",Third!G95)</f>
        <v/>
      </c>
      <c r="H592" s="66" t="str">
        <f>IF(Third!H95="", "",Third!H95)</f>
        <v/>
      </c>
      <c r="I592" s="66" t="str">
        <f>IF(Third!I95="", "",Third!I95)</f>
        <v/>
      </c>
      <c r="J592" s="66" t="str">
        <f>IF(Third!J95="", "",Third!J95)</f>
        <v/>
      </c>
      <c r="K592" s="86" t="str">
        <f>IF(Third!K95="", "",Third!K95)</f>
        <v/>
      </c>
      <c r="M592" s="67" t="str">
        <f t="shared" si="29"/>
        <v/>
      </c>
      <c r="N592" s="76" t="str">
        <f t="shared" si="30"/>
        <v/>
      </c>
      <c r="O592" s="33">
        <f t="shared" si="28"/>
        <v>0</v>
      </c>
    </row>
    <row r="593" spans="1:15" x14ac:dyDescent="0.25">
      <c r="A593" s="64" t="s">
        <v>178</v>
      </c>
      <c r="B593" s="79" t="str">
        <f>IF(Third!B96="", "",Third!B96)</f>
        <v/>
      </c>
      <c r="C593" s="66" t="str">
        <f>IF(Third!C96="", "",Third!C96)</f>
        <v/>
      </c>
      <c r="D593" s="66" t="str">
        <f>IF(Third!D96="", "",Third!D96)</f>
        <v/>
      </c>
      <c r="E593" s="66" t="str">
        <f>IF(Third!E96="", "",Third!E96)</f>
        <v/>
      </c>
      <c r="F593" s="66" t="str">
        <f>IF(Third!F96="", "",Third!F96)</f>
        <v/>
      </c>
      <c r="G593" s="66" t="str">
        <f>IF(Third!G96="", "",Third!G96)</f>
        <v/>
      </c>
      <c r="H593" s="66" t="str">
        <f>IF(Third!H96="", "",Third!H96)</f>
        <v/>
      </c>
      <c r="I593" s="66" t="str">
        <f>IF(Third!I96="", "",Third!I96)</f>
        <v/>
      </c>
      <c r="J593" s="66" t="str">
        <f>IF(Third!J96="", "",Third!J96)</f>
        <v/>
      </c>
      <c r="K593" s="86" t="str">
        <f>IF(Third!K96="", "",Third!K96)</f>
        <v/>
      </c>
      <c r="M593" s="67" t="str">
        <f t="shared" si="29"/>
        <v/>
      </c>
      <c r="N593" s="76" t="str">
        <f t="shared" si="30"/>
        <v/>
      </c>
      <c r="O593" s="33">
        <f t="shared" si="28"/>
        <v>0</v>
      </c>
    </row>
    <row r="594" spans="1:15" x14ac:dyDescent="0.25">
      <c r="A594" s="64" t="s">
        <v>178</v>
      </c>
      <c r="B594" s="79" t="str">
        <f>IF(Third!B97="", "",Third!B97)</f>
        <v/>
      </c>
      <c r="C594" s="66" t="str">
        <f>IF(Third!C97="", "",Third!C97)</f>
        <v/>
      </c>
      <c r="D594" s="66" t="str">
        <f>IF(Third!D97="", "",Third!D97)</f>
        <v/>
      </c>
      <c r="E594" s="66" t="str">
        <f>IF(Third!E97="", "",Third!E97)</f>
        <v/>
      </c>
      <c r="F594" s="66" t="str">
        <f>IF(Third!F97="", "",Third!F97)</f>
        <v/>
      </c>
      <c r="G594" s="66" t="str">
        <f>IF(Third!G97="", "",Third!G97)</f>
        <v/>
      </c>
      <c r="H594" s="66" t="str">
        <f>IF(Third!H97="", "",Third!H97)</f>
        <v/>
      </c>
      <c r="I594" s="66" t="str">
        <f>IF(Third!I97="", "",Third!I97)</f>
        <v/>
      </c>
      <c r="J594" s="66" t="str">
        <f>IF(Third!J97="", "",Third!J97)</f>
        <v/>
      </c>
      <c r="K594" s="86" t="str">
        <f>IF(Third!K97="", "",Third!K97)</f>
        <v/>
      </c>
      <c r="M594" s="67" t="str">
        <f t="shared" si="29"/>
        <v/>
      </c>
      <c r="N594" s="76" t="str">
        <f t="shared" si="30"/>
        <v/>
      </c>
      <c r="O594" s="33">
        <f t="shared" si="28"/>
        <v>0</v>
      </c>
    </row>
    <row r="595" spans="1:15" x14ac:dyDescent="0.25">
      <c r="A595" s="64" t="s">
        <v>178</v>
      </c>
      <c r="B595" s="79" t="str">
        <f>IF(Third!B98="", "",Third!B98)</f>
        <v/>
      </c>
      <c r="C595" s="66" t="str">
        <f>IF(Third!C98="", "",Third!C98)</f>
        <v/>
      </c>
      <c r="D595" s="66" t="str">
        <f>IF(Third!D98="", "",Third!D98)</f>
        <v/>
      </c>
      <c r="E595" s="66" t="str">
        <f>IF(Third!E98="", "",Third!E98)</f>
        <v/>
      </c>
      <c r="F595" s="66" t="str">
        <f>IF(Third!F98="", "",Third!F98)</f>
        <v/>
      </c>
      <c r="G595" s="66" t="str">
        <f>IF(Third!G98="", "",Third!G98)</f>
        <v/>
      </c>
      <c r="H595" s="66" t="str">
        <f>IF(Third!H98="", "",Third!H98)</f>
        <v/>
      </c>
      <c r="I595" s="66" t="str">
        <f>IF(Third!I98="", "",Third!I98)</f>
        <v/>
      </c>
      <c r="J595" s="66" t="str">
        <f>IF(Third!J98="", "",Third!J98)</f>
        <v/>
      </c>
      <c r="K595" s="86" t="str">
        <f>IF(Third!K98="", "",Third!K98)</f>
        <v/>
      </c>
      <c r="M595" s="67" t="str">
        <f t="shared" si="29"/>
        <v/>
      </c>
      <c r="N595" s="76" t="str">
        <f t="shared" si="30"/>
        <v/>
      </c>
      <c r="O595" s="33">
        <f t="shared" si="28"/>
        <v>0</v>
      </c>
    </row>
    <row r="596" spans="1:15" x14ac:dyDescent="0.25">
      <c r="A596" s="64" t="s">
        <v>178</v>
      </c>
      <c r="B596" s="79" t="str">
        <f>IF(Third!B99="", "",Third!B99)</f>
        <v/>
      </c>
      <c r="C596" s="66" t="str">
        <f>IF(Third!C99="", "",Third!C99)</f>
        <v/>
      </c>
      <c r="D596" s="66" t="str">
        <f>IF(Third!D99="", "",Third!D99)</f>
        <v/>
      </c>
      <c r="E596" s="66" t="str">
        <f>IF(Third!E99="", "",Third!E99)</f>
        <v/>
      </c>
      <c r="F596" s="66" t="str">
        <f>IF(Third!F99="", "",Third!F99)</f>
        <v/>
      </c>
      <c r="G596" s="66" t="str">
        <f>IF(Third!G99="", "",Third!G99)</f>
        <v/>
      </c>
      <c r="H596" s="66" t="str">
        <f>IF(Third!H99="", "",Third!H99)</f>
        <v/>
      </c>
      <c r="I596" s="66" t="str">
        <f>IF(Third!I99="", "",Third!I99)</f>
        <v/>
      </c>
      <c r="J596" s="66" t="str">
        <f>IF(Third!J99="", "",Third!J99)</f>
        <v/>
      </c>
      <c r="K596" s="86" t="str">
        <f>IF(Third!K99="", "",Third!K99)</f>
        <v/>
      </c>
      <c r="M596" s="67" t="str">
        <f t="shared" si="29"/>
        <v/>
      </c>
      <c r="N596" s="76" t="str">
        <f t="shared" si="30"/>
        <v/>
      </c>
      <c r="O596" s="33">
        <f t="shared" si="28"/>
        <v>0</v>
      </c>
    </row>
    <row r="597" spans="1:15" x14ac:dyDescent="0.25">
      <c r="A597" s="64" t="s">
        <v>178</v>
      </c>
      <c r="B597" s="79" t="str">
        <f>IF(Third!B100="", "",Third!B100)</f>
        <v/>
      </c>
      <c r="C597" s="66" t="str">
        <f>IF(Third!C100="", "",Third!C100)</f>
        <v/>
      </c>
      <c r="D597" s="66" t="str">
        <f>IF(Third!D100="", "",Third!D100)</f>
        <v/>
      </c>
      <c r="E597" s="66" t="str">
        <f>IF(Third!E100="", "",Third!E100)</f>
        <v/>
      </c>
      <c r="F597" s="66" t="str">
        <f>IF(Third!F100="", "",Third!F100)</f>
        <v/>
      </c>
      <c r="G597" s="66" t="str">
        <f>IF(Third!G100="", "",Third!G100)</f>
        <v/>
      </c>
      <c r="H597" s="66" t="str">
        <f>IF(Third!H100="", "",Third!H100)</f>
        <v/>
      </c>
      <c r="I597" s="66" t="str">
        <f>IF(Third!I100="", "",Third!I100)</f>
        <v/>
      </c>
      <c r="J597" s="66" t="str">
        <f>IF(Third!J100="", "",Third!J100)</f>
        <v/>
      </c>
      <c r="K597" s="86" t="str">
        <f>IF(Third!K100="", "",Third!K100)</f>
        <v/>
      </c>
      <c r="M597" s="67" t="str">
        <f t="shared" si="29"/>
        <v/>
      </c>
      <c r="N597" s="76" t="str">
        <f t="shared" si="30"/>
        <v/>
      </c>
      <c r="O597" s="33">
        <f t="shared" si="28"/>
        <v>0</v>
      </c>
    </row>
    <row r="598" spans="1:15" x14ac:dyDescent="0.25">
      <c r="A598" s="64" t="s">
        <v>178</v>
      </c>
      <c r="B598" s="79" t="str">
        <f>IF(Third!B101="", "",Third!B101)</f>
        <v/>
      </c>
      <c r="C598" s="66" t="str">
        <f>IF(Third!C101="", "",Third!C101)</f>
        <v/>
      </c>
      <c r="D598" s="66" t="str">
        <f>IF(Third!D101="", "",Third!D101)</f>
        <v/>
      </c>
      <c r="E598" s="66" t="str">
        <f>IF(Third!E101="", "",Third!E101)</f>
        <v/>
      </c>
      <c r="F598" s="66" t="str">
        <f>IF(Third!F101="", "",Third!F101)</f>
        <v/>
      </c>
      <c r="G598" s="66" t="str">
        <f>IF(Third!G101="", "",Third!G101)</f>
        <v/>
      </c>
      <c r="H598" s="66" t="str">
        <f>IF(Third!H101="", "",Third!H101)</f>
        <v/>
      </c>
      <c r="I598" s="66" t="str">
        <f>IF(Third!I101="", "",Third!I101)</f>
        <v/>
      </c>
      <c r="J598" s="66" t="str">
        <f>IF(Third!J101="", "",Third!J101)</f>
        <v/>
      </c>
      <c r="K598" s="86" t="str">
        <f>IF(Third!K101="", "",Third!K101)</f>
        <v/>
      </c>
      <c r="M598" s="67" t="str">
        <f t="shared" si="29"/>
        <v/>
      </c>
      <c r="N598" s="76" t="str">
        <f t="shared" si="30"/>
        <v/>
      </c>
      <c r="O598" s="33">
        <f t="shared" si="28"/>
        <v>0</v>
      </c>
    </row>
    <row r="599" spans="1:15" x14ac:dyDescent="0.25">
      <c r="A599" s="64" t="s">
        <v>178</v>
      </c>
      <c r="B599" s="79" t="str">
        <f>IF(Third!B102="", "",Third!B102)</f>
        <v/>
      </c>
      <c r="C599" s="66" t="str">
        <f>IF(Third!C102="", "",Third!C102)</f>
        <v/>
      </c>
      <c r="D599" s="66" t="str">
        <f>IF(Third!D102="", "",Third!D102)</f>
        <v/>
      </c>
      <c r="E599" s="66" t="str">
        <f>IF(Third!E102="", "",Third!E102)</f>
        <v/>
      </c>
      <c r="F599" s="66" t="str">
        <f>IF(Third!F102="", "",Third!F102)</f>
        <v/>
      </c>
      <c r="G599" s="66" t="str">
        <f>IF(Third!G102="", "",Third!G102)</f>
        <v/>
      </c>
      <c r="H599" s="66" t="str">
        <f>IF(Third!H102="", "",Third!H102)</f>
        <v/>
      </c>
      <c r="I599" s="66" t="str">
        <f>IF(Third!I102="", "",Third!I102)</f>
        <v/>
      </c>
      <c r="J599" s="66" t="str">
        <f>IF(Third!J102="", "",Third!J102)</f>
        <v/>
      </c>
      <c r="K599" s="86" t="str">
        <f>IF(Third!K102="", "",Third!K102)</f>
        <v/>
      </c>
      <c r="M599" s="67" t="str">
        <f t="shared" si="29"/>
        <v/>
      </c>
      <c r="N599" s="76" t="str">
        <f t="shared" si="30"/>
        <v/>
      </c>
      <c r="O599" s="33">
        <f t="shared" si="28"/>
        <v>0</v>
      </c>
    </row>
    <row r="600" spans="1:15" x14ac:dyDescent="0.25">
      <c r="A600" s="64" t="s">
        <v>178</v>
      </c>
      <c r="B600" s="79" t="str">
        <f>IF(Third!B103="", "",Third!B103)</f>
        <v/>
      </c>
      <c r="C600" s="66" t="str">
        <f>IF(Third!C103="", "",Third!C103)</f>
        <v/>
      </c>
      <c r="D600" s="66" t="str">
        <f>IF(Third!D103="", "",Third!D103)</f>
        <v/>
      </c>
      <c r="E600" s="66" t="str">
        <f>IF(Third!E103="", "",Third!E103)</f>
        <v/>
      </c>
      <c r="F600" s="66" t="str">
        <f>IF(Third!F103="", "",Third!F103)</f>
        <v/>
      </c>
      <c r="G600" s="66" t="str">
        <f>IF(Third!G103="", "",Third!G103)</f>
        <v/>
      </c>
      <c r="H600" s="66" t="str">
        <f>IF(Third!H103="", "",Third!H103)</f>
        <v/>
      </c>
      <c r="I600" s="66" t="str">
        <f>IF(Third!I103="", "",Third!I103)</f>
        <v/>
      </c>
      <c r="J600" s="66" t="str">
        <f>IF(Third!J103="", "",Third!J103)</f>
        <v/>
      </c>
      <c r="K600" s="86" t="str">
        <f>IF(Third!K103="", "",Third!K103)</f>
        <v/>
      </c>
      <c r="M600" s="67" t="str">
        <f t="shared" si="29"/>
        <v/>
      </c>
      <c r="N600" s="76" t="str">
        <f t="shared" si="30"/>
        <v/>
      </c>
      <c r="O600" s="33">
        <f t="shared" si="28"/>
        <v>0</v>
      </c>
    </row>
    <row r="601" spans="1:15" x14ac:dyDescent="0.25">
      <c r="A601" s="64" t="s">
        <v>178</v>
      </c>
      <c r="B601" s="79" t="str">
        <f>IF(Third!B104="", "",Third!B104)</f>
        <v/>
      </c>
      <c r="C601" s="66" t="str">
        <f>IF(Third!C104="", "",Third!C104)</f>
        <v/>
      </c>
      <c r="D601" s="66" t="str">
        <f>IF(Third!D104="", "",Third!D104)</f>
        <v/>
      </c>
      <c r="E601" s="66" t="str">
        <f>IF(Third!E104="", "",Third!E104)</f>
        <v/>
      </c>
      <c r="F601" s="66" t="str">
        <f>IF(Third!F104="", "",Third!F104)</f>
        <v/>
      </c>
      <c r="G601" s="66" t="str">
        <f>IF(Third!G104="", "",Third!G104)</f>
        <v/>
      </c>
      <c r="H601" s="66" t="str">
        <f>IF(Third!H104="", "",Third!H104)</f>
        <v/>
      </c>
      <c r="I601" s="66" t="str">
        <f>IF(Third!I104="", "",Third!I104)</f>
        <v/>
      </c>
      <c r="J601" s="66" t="str">
        <f>IF(Third!J104="", "",Third!J104)</f>
        <v/>
      </c>
      <c r="K601" s="86" t="str">
        <f>IF(Third!K104="", "",Third!K104)</f>
        <v/>
      </c>
      <c r="M601" s="67" t="str">
        <f t="shared" si="29"/>
        <v/>
      </c>
      <c r="N601" s="76" t="str">
        <f t="shared" si="30"/>
        <v/>
      </c>
      <c r="O601" s="33">
        <f t="shared" si="28"/>
        <v>0</v>
      </c>
    </row>
    <row r="602" spans="1:15" x14ac:dyDescent="0.25">
      <c r="A602" s="64" t="s">
        <v>178</v>
      </c>
      <c r="B602" s="79" t="str">
        <f>IF(Third!B105="", "",Third!B105)</f>
        <v/>
      </c>
      <c r="C602" s="66" t="str">
        <f>IF(Third!C105="", "",Third!C105)</f>
        <v/>
      </c>
      <c r="D602" s="66" t="str">
        <f>IF(Third!D105="", "",Third!D105)</f>
        <v/>
      </c>
      <c r="E602" s="66" t="str">
        <f>IF(Third!E105="", "",Third!E105)</f>
        <v/>
      </c>
      <c r="F602" s="66" t="str">
        <f>IF(Third!F105="", "",Third!F105)</f>
        <v/>
      </c>
      <c r="G602" s="66" t="str">
        <f>IF(Third!G105="", "",Third!G105)</f>
        <v/>
      </c>
      <c r="H602" s="66" t="str">
        <f>IF(Third!H105="", "",Third!H105)</f>
        <v/>
      </c>
      <c r="I602" s="66" t="str">
        <f>IF(Third!I105="", "",Third!I105)</f>
        <v/>
      </c>
      <c r="J602" s="66" t="str">
        <f>IF(Third!J105="", "",Third!J105)</f>
        <v/>
      </c>
      <c r="K602" s="86" t="str">
        <f>IF(Third!K105="", "",Third!K105)</f>
        <v/>
      </c>
      <c r="M602" s="67" t="str">
        <f t="shared" si="29"/>
        <v/>
      </c>
      <c r="N602" s="76" t="str">
        <f t="shared" si="30"/>
        <v/>
      </c>
      <c r="O602" s="33">
        <f t="shared" si="28"/>
        <v>0</v>
      </c>
    </row>
    <row r="603" spans="1:15" x14ac:dyDescent="0.25">
      <c r="A603" s="64" t="s">
        <v>178</v>
      </c>
      <c r="B603" s="79" t="str">
        <f>IF(Third!B106="", "",Third!B106)</f>
        <v/>
      </c>
      <c r="C603" s="66" t="str">
        <f>IF(Third!C106="", "",Third!C106)</f>
        <v/>
      </c>
      <c r="D603" s="66" t="str">
        <f>IF(Third!D106="", "",Third!D106)</f>
        <v/>
      </c>
      <c r="E603" s="66" t="str">
        <f>IF(Third!E106="", "",Third!E106)</f>
        <v/>
      </c>
      <c r="F603" s="66" t="str">
        <f>IF(Third!F106="", "",Third!F106)</f>
        <v/>
      </c>
      <c r="G603" s="66" t="str">
        <f>IF(Third!G106="", "",Third!G106)</f>
        <v/>
      </c>
      <c r="H603" s="66" t="str">
        <f>IF(Third!H106="", "",Third!H106)</f>
        <v/>
      </c>
      <c r="I603" s="66" t="str">
        <f>IF(Third!I106="", "",Third!I106)</f>
        <v/>
      </c>
      <c r="J603" s="66" t="str">
        <f>IF(Third!J106="", "",Third!J106)</f>
        <v/>
      </c>
      <c r="K603" s="86" t="str">
        <f>IF(Third!K106="", "",Third!K106)</f>
        <v/>
      </c>
      <c r="M603" s="67" t="str">
        <f t="shared" si="29"/>
        <v/>
      </c>
      <c r="N603" s="76" t="str">
        <f t="shared" si="30"/>
        <v/>
      </c>
      <c r="O603" s="33">
        <f t="shared" si="28"/>
        <v>0</v>
      </c>
    </row>
    <row r="604" spans="1:15" x14ac:dyDescent="0.25">
      <c r="A604" s="64" t="s">
        <v>178</v>
      </c>
      <c r="B604" s="79" t="str">
        <f>IF(Third!B107="", "",Third!B107)</f>
        <v/>
      </c>
      <c r="C604" s="66" t="str">
        <f>IF(Third!C107="", "",Third!C107)</f>
        <v/>
      </c>
      <c r="D604" s="66" t="str">
        <f>IF(Third!D107="", "",Third!D107)</f>
        <v/>
      </c>
      <c r="E604" s="66" t="str">
        <f>IF(Third!E107="", "",Third!E107)</f>
        <v/>
      </c>
      <c r="F604" s="66" t="str">
        <f>IF(Third!F107="", "",Third!F107)</f>
        <v/>
      </c>
      <c r="G604" s="66" t="str">
        <f>IF(Third!G107="", "",Third!G107)</f>
        <v/>
      </c>
      <c r="H604" s="66" t="str">
        <f>IF(Third!H107="", "",Third!H107)</f>
        <v/>
      </c>
      <c r="I604" s="66" t="str">
        <f>IF(Third!I107="", "",Third!I107)</f>
        <v/>
      </c>
      <c r="J604" s="66" t="str">
        <f>IF(Third!J107="", "",Third!J107)</f>
        <v/>
      </c>
      <c r="K604" s="86" t="str">
        <f>IF(Third!K107="", "",Third!K107)</f>
        <v/>
      </c>
      <c r="M604" s="67" t="str">
        <f t="shared" si="29"/>
        <v/>
      </c>
      <c r="N604" s="76" t="str">
        <f t="shared" si="30"/>
        <v/>
      </c>
      <c r="O604" s="33">
        <f t="shared" si="28"/>
        <v>0</v>
      </c>
    </row>
    <row r="605" spans="1:15" x14ac:dyDescent="0.25">
      <c r="A605" s="64" t="s">
        <v>178</v>
      </c>
      <c r="B605" s="79" t="str">
        <f>IF(Third!B108="", "",Third!B108)</f>
        <v/>
      </c>
      <c r="C605" s="66" t="str">
        <f>IF(Third!C108="", "",Third!C108)</f>
        <v/>
      </c>
      <c r="D605" s="66" t="str">
        <f>IF(Third!D108="", "",Third!D108)</f>
        <v/>
      </c>
      <c r="E605" s="66" t="str">
        <f>IF(Third!E108="", "",Third!E108)</f>
        <v/>
      </c>
      <c r="F605" s="66" t="str">
        <f>IF(Third!F108="", "",Third!F108)</f>
        <v/>
      </c>
      <c r="G605" s="66" t="str">
        <f>IF(Third!G108="", "",Third!G108)</f>
        <v/>
      </c>
      <c r="H605" s="66" t="str">
        <f>IF(Third!H108="", "",Third!H108)</f>
        <v/>
      </c>
      <c r="I605" s="66" t="str">
        <f>IF(Third!I108="", "",Third!I108)</f>
        <v/>
      </c>
      <c r="J605" s="66" t="str">
        <f>IF(Third!J108="", "",Third!J108)</f>
        <v/>
      </c>
      <c r="K605" s="86" t="str">
        <f>IF(Third!K108="", "",Third!K108)</f>
        <v/>
      </c>
      <c r="M605" s="67" t="str">
        <f t="shared" si="29"/>
        <v/>
      </c>
      <c r="N605" s="76" t="str">
        <f t="shared" si="30"/>
        <v/>
      </c>
      <c r="O605" s="33">
        <f t="shared" si="28"/>
        <v>0</v>
      </c>
    </row>
    <row r="606" spans="1:15" x14ac:dyDescent="0.25">
      <c r="A606" s="64" t="s">
        <v>178</v>
      </c>
      <c r="B606" s="79" t="str">
        <f>IF(Third!B109="", "",Third!B109)</f>
        <v/>
      </c>
      <c r="C606" s="66" t="str">
        <f>IF(Third!C109="", "",Third!C109)</f>
        <v/>
      </c>
      <c r="D606" s="66" t="str">
        <f>IF(Third!D109="", "",Third!D109)</f>
        <v/>
      </c>
      <c r="E606" s="66" t="str">
        <f>IF(Third!E109="", "",Third!E109)</f>
        <v/>
      </c>
      <c r="F606" s="66" t="str">
        <f>IF(Third!F109="", "",Third!F109)</f>
        <v/>
      </c>
      <c r="G606" s="66" t="str">
        <f>IF(Third!G109="", "",Third!G109)</f>
        <v/>
      </c>
      <c r="H606" s="66" t="str">
        <f>IF(Third!H109="", "",Third!H109)</f>
        <v/>
      </c>
      <c r="I606" s="66" t="str">
        <f>IF(Third!I109="", "",Third!I109)</f>
        <v/>
      </c>
      <c r="J606" s="66" t="str">
        <f>IF(Third!J109="", "",Third!J109)</f>
        <v/>
      </c>
      <c r="K606" s="86" t="str">
        <f>IF(Third!K109="", "",Third!K109)</f>
        <v/>
      </c>
      <c r="M606" s="67" t="str">
        <f t="shared" si="29"/>
        <v/>
      </c>
      <c r="N606" s="76" t="str">
        <f t="shared" si="30"/>
        <v/>
      </c>
      <c r="O606" s="33">
        <f t="shared" si="28"/>
        <v>0</v>
      </c>
    </row>
    <row r="607" spans="1:15" x14ac:dyDescent="0.25">
      <c r="A607" s="64" t="s">
        <v>178</v>
      </c>
      <c r="B607" s="79" t="str">
        <f>IF(Third!B110="", "",Third!B110)</f>
        <v/>
      </c>
      <c r="C607" s="66" t="str">
        <f>IF(Third!C110="", "",Third!C110)</f>
        <v/>
      </c>
      <c r="D607" s="66" t="str">
        <f>IF(Third!D110="", "",Third!D110)</f>
        <v/>
      </c>
      <c r="E607" s="66" t="str">
        <f>IF(Third!E110="", "",Third!E110)</f>
        <v/>
      </c>
      <c r="F607" s="66" t="str">
        <f>IF(Third!F110="", "",Third!F110)</f>
        <v/>
      </c>
      <c r="G607" s="66" t="str">
        <f>IF(Third!G110="", "",Third!G110)</f>
        <v/>
      </c>
      <c r="H607" s="66" t="str">
        <f>IF(Third!H110="", "",Third!H110)</f>
        <v/>
      </c>
      <c r="I607" s="66" t="str">
        <f>IF(Third!I110="", "",Third!I110)</f>
        <v/>
      </c>
      <c r="J607" s="66" t="str">
        <f>IF(Third!J110="", "",Third!J110)</f>
        <v/>
      </c>
      <c r="K607" s="86" t="str">
        <f>IF(Third!K110="", "",Third!K110)</f>
        <v/>
      </c>
      <c r="M607" s="67" t="str">
        <f t="shared" si="29"/>
        <v/>
      </c>
      <c r="N607" s="76" t="str">
        <f t="shared" si="30"/>
        <v/>
      </c>
      <c r="O607" s="33">
        <f t="shared" si="28"/>
        <v>0</v>
      </c>
    </row>
    <row r="608" spans="1:15" x14ac:dyDescent="0.25">
      <c r="A608" s="64" t="s">
        <v>178</v>
      </c>
      <c r="B608" s="79" t="str">
        <f>IF(Third!B111="", "",Third!B111)</f>
        <v/>
      </c>
      <c r="C608" s="66" t="str">
        <f>IF(Third!C111="", "",Third!C111)</f>
        <v/>
      </c>
      <c r="D608" s="66" t="str">
        <f>IF(Third!D111="", "",Third!D111)</f>
        <v/>
      </c>
      <c r="E608" s="66" t="str">
        <f>IF(Third!E111="", "",Third!E111)</f>
        <v/>
      </c>
      <c r="F608" s="66" t="str">
        <f>IF(Third!F111="", "",Third!F111)</f>
        <v/>
      </c>
      <c r="G608" s="66" t="str">
        <f>IF(Third!G111="", "",Third!G111)</f>
        <v/>
      </c>
      <c r="H608" s="66" t="str">
        <f>IF(Third!H111="", "",Third!H111)</f>
        <v/>
      </c>
      <c r="I608" s="66" t="str">
        <f>IF(Third!I111="", "",Third!I111)</f>
        <v/>
      </c>
      <c r="J608" s="66" t="str">
        <f>IF(Third!J111="", "",Third!J111)</f>
        <v/>
      </c>
      <c r="K608" s="86" t="str">
        <f>IF(Third!K111="", "",Third!K111)</f>
        <v/>
      </c>
      <c r="M608" s="67" t="str">
        <f t="shared" si="29"/>
        <v/>
      </c>
      <c r="N608" s="76" t="str">
        <f t="shared" si="30"/>
        <v/>
      </c>
      <c r="O608" s="33">
        <f t="shared" si="28"/>
        <v>0</v>
      </c>
    </row>
    <row r="609" spans="1:15" x14ac:dyDescent="0.25">
      <c r="A609" s="64" t="s">
        <v>178</v>
      </c>
      <c r="B609" s="79" t="str">
        <f>IF(Third!B112="", "",Third!B112)</f>
        <v/>
      </c>
      <c r="C609" s="66" t="str">
        <f>IF(Third!C112="", "",Third!C112)</f>
        <v/>
      </c>
      <c r="D609" s="66" t="str">
        <f>IF(Third!D112="", "",Third!D112)</f>
        <v/>
      </c>
      <c r="E609" s="66" t="str">
        <f>IF(Third!E112="", "",Third!E112)</f>
        <v/>
      </c>
      <c r="F609" s="66" t="str">
        <f>IF(Third!F112="", "",Third!F112)</f>
        <v/>
      </c>
      <c r="G609" s="66" t="str">
        <f>IF(Third!G112="", "",Third!G112)</f>
        <v/>
      </c>
      <c r="H609" s="66" t="str">
        <f>IF(Third!H112="", "",Third!H112)</f>
        <v/>
      </c>
      <c r="I609" s="66" t="str">
        <f>IF(Third!I112="", "",Third!I112)</f>
        <v/>
      </c>
      <c r="J609" s="66" t="str">
        <f>IF(Third!J112="", "",Third!J112)</f>
        <v/>
      </c>
      <c r="K609" s="86" t="str">
        <f>IF(Third!K112="", "",Third!K112)</f>
        <v/>
      </c>
      <c r="M609" s="67" t="str">
        <f t="shared" si="29"/>
        <v/>
      </c>
      <c r="N609" s="76" t="str">
        <f t="shared" si="30"/>
        <v/>
      </c>
      <c r="O609" s="33">
        <f t="shared" si="28"/>
        <v>0</v>
      </c>
    </row>
    <row r="610" spans="1:15" x14ac:dyDescent="0.25">
      <c r="A610" s="64" t="s">
        <v>178</v>
      </c>
      <c r="B610" s="79" t="str">
        <f>IF(Third!B113="", "",Third!B113)</f>
        <v/>
      </c>
      <c r="C610" s="66" t="str">
        <f>IF(Third!C113="", "",Third!C113)</f>
        <v/>
      </c>
      <c r="D610" s="66" t="str">
        <f>IF(Third!D113="", "",Third!D113)</f>
        <v/>
      </c>
      <c r="E610" s="66" t="str">
        <f>IF(Third!E113="", "",Third!E113)</f>
        <v/>
      </c>
      <c r="F610" s="66" t="str">
        <f>IF(Third!F113="", "",Third!F113)</f>
        <v/>
      </c>
      <c r="G610" s="66" t="str">
        <f>IF(Third!G113="", "",Third!G113)</f>
        <v/>
      </c>
      <c r="H610" s="66" t="str">
        <f>IF(Third!H113="", "",Third!H113)</f>
        <v/>
      </c>
      <c r="I610" s="66" t="str">
        <f>IF(Third!I113="", "",Third!I113)</f>
        <v/>
      </c>
      <c r="J610" s="66" t="str">
        <f>IF(Third!J113="", "",Third!J113)</f>
        <v/>
      </c>
      <c r="K610" s="86" t="str">
        <f>IF(Third!K113="", "",Third!K113)</f>
        <v/>
      </c>
      <c r="M610" s="67" t="str">
        <f t="shared" si="29"/>
        <v/>
      </c>
      <c r="N610" s="76" t="str">
        <f t="shared" si="30"/>
        <v/>
      </c>
      <c r="O610" s="33">
        <f t="shared" si="28"/>
        <v>0</v>
      </c>
    </row>
    <row r="611" spans="1:15" x14ac:dyDescent="0.25">
      <c r="A611" s="64" t="s">
        <v>178</v>
      </c>
      <c r="B611" s="79" t="str">
        <f>IF(Third!B114="", "",Third!B114)</f>
        <v/>
      </c>
      <c r="C611" s="66" t="str">
        <f>IF(Third!C114="", "",Third!C114)</f>
        <v/>
      </c>
      <c r="D611" s="66" t="str">
        <f>IF(Third!D114="", "",Third!D114)</f>
        <v/>
      </c>
      <c r="E611" s="66" t="str">
        <f>IF(Third!E114="", "",Third!E114)</f>
        <v/>
      </c>
      <c r="F611" s="66" t="str">
        <f>IF(Third!F114="", "",Third!F114)</f>
        <v/>
      </c>
      <c r="G611" s="66" t="str">
        <f>IF(Third!G114="", "",Third!G114)</f>
        <v/>
      </c>
      <c r="H611" s="66" t="str">
        <f>IF(Third!H114="", "",Third!H114)</f>
        <v/>
      </c>
      <c r="I611" s="66" t="str">
        <f>IF(Third!I114="", "",Third!I114)</f>
        <v/>
      </c>
      <c r="J611" s="66" t="str">
        <f>IF(Third!J114="", "",Third!J114)</f>
        <v/>
      </c>
      <c r="K611" s="86" t="str">
        <f>IF(Third!K114="", "",Third!K114)</f>
        <v/>
      </c>
      <c r="M611" s="67" t="str">
        <f t="shared" si="29"/>
        <v/>
      </c>
      <c r="N611" s="76" t="str">
        <f t="shared" si="30"/>
        <v/>
      </c>
      <c r="O611" s="33">
        <f t="shared" si="28"/>
        <v>0</v>
      </c>
    </row>
    <row r="612" spans="1:15" x14ac:dyDescent="0.25">
      <c r="A612" s="64" t="s">
        <v>178</v>
      </c>
      <c r="B612" s="79" t="str">
        <f>IF(Third!B115="", "",Third!B115)</f>
        <v/>
      </c>
      <c r="C612" s="66" t="str">
        <f>IF(Third!C115="", "",Third!C115)</f>
        <v/>
      </c>
      <c r="D612" s="66" t="str">
        <f>IF(Third!D115="", "",Third!D115)</f>
        <v/>
      </c>
      <c r="E612" s="66" t="str">
        <f>IF(Third!E115="", "",Third!E115)</f>
        <v/>
      </c>
      <c r="F612" s="66" t="str">
        <f>IF(Third!F115="", "",Third!F115)</f>
        <v/>
      </c>
      <c r="G612" s="66" t="str">
        <f>IF(Third!G115="", "",Third!G115)</f>
        <v/>
      </c>
      <c r="H612" s="66" t="str">
        <f>IF(Third!H115="", "",Third!H115)</f>
        <v/>
      </c>
      <c r="I612" s="66" t="str">
        <f>IF(Third!I115="", "",Third!I115)</f>
        <v/>
      </c>
      <c r="J612" s="66" t="str">
        <f>IF(Third!J115="", "",Third!J115)</f>
        <v/>
      </c>
      <c r="K612" s="86" t="str">
        <f>IF(Third!K115="", "",Third!K115)</f>
        <v/>
      </c>
      <c r="M612" s="67" t="str">
        <f t="shared" si="29"/>
        <v/>
      </c>
      <c r="N612" s="76" t="str">
        <f t="shared" si="30"/>
        <v/>
      </c>
      <c r="O612" s="33">
        <f t="shared" si="28"/>
        <v>0</v>
      </c>
    </row>
    <row r="613" spans="1:15" x14ac:dyDescent="0.25">
      <c r="A613" s="64" t="s">
        <v>178</v>
      </c>
      <c r="B613" s="79" t="str">
        <f>IF(Third!B116="", "",Third!B116)</f>
        <v/>
      </c>
      <c r="C613" s="66" t="str">
        <f>IF(Third!C116="", "",Third!C116)</f>
        <v/>
      </c>
      <c r="D613" s="66" t="str">
        <f>IF(Third!D116="", "",Third!D116)</f>
        <v/>
      </c>
      <c r="E613" s="66" t="str">
        <f>IF(Third!E116="", "",Third!E116)</f>
        <v/>
      </c>
      <c r="F613" s="66" t="str">
        <f>IF(Third!F116="", "",Third!F116)</f>
        <v/>
      </c>
      <c r="G613" s="66" t="str">
        <f>IF(Third!G116="", "",Third!G116)</f>
        <v/>
      </c>
      <c r="H613" s="66" t="str">
        <f>IF(Third!H116="", "",Third!H116)</f>
        <v/>
      </c>
      <c r="I613" s="66" t="str">
        <f>IF(Third!I116="", "",Third!I116)</f>
        <v/>
      </c>
      <c r="J613" s="66" t="str">
        <f>IF(Third!J116="", "",Third!J116)</f>
        <v/>
      </c>
      <c r="K613" s="86" t="str">
        <f>IF(Third!K116="", "",Third!K116)</f>
        <v/>
      </c>
      <c r="M613" s="67" t="str">
        <f t="shared" si="29"/>
        <v/>
      </c>
      <c r="N613" s="76" t="str">
        <f t="shared" si="30"/>
        <v/>
      </c>
      <c r="O613" s="33">
        <f t="shared" si="28"/>
        <v>0</v>
      </c>
    </row>
    <row r="614" spans="1:15" x14ac:dyDescent="0.25">
      <c r="A614" s="64" t="s">
        <v>178</v>
      </c>
      <c r="B614" s="79" t="str">
        <f>IF(Third!B117="", "",Third!B117)</f>
        <v/>
      </c>
      <c r="C614" s="66" t="str">
        <f>IF(Third!C117="", "",Third!C117)</f>
        <v/>
      </c>
      <c r="D614" s="66" t="str">
        <f>IF(Third!D117="", "",Third!D117)</f>
        <v/>
      </c>
      <c r="E614" s="66" t="str">
        <f>IF(Third!E117="", "",Third!E117)</f>
        <v/>
      </c>
      <c r="F614" s="66" t="str">
        <f>IF(Third!F117="", "",Third!F117)</f>
        <v/>
      </c>
      <c r="G614" s="66" t="str">
        <f>IF(Third!G117="", "",Third!G117)</f>
        <v/>
      </c>
      <c r="H614" s="66" t="str">
        <f>IF(Third!H117="", "",Third!H117)</f>
        <v/>
      </c>
      <c r="I614" s="66" t="str">
        <f>IF(Third!I117="", "",Third!I117)</f>
        <v/>
      </c>
      <c r="J614" s="66" t="str">
        <f>IF(Third!J117="", "",Third!J117)</f>
        <v/>
      </c>
      <c r="K614" s="86" t="str">
        <f>IF(Third!K117="", "",Third!K117)</f>
        <v/>
      </c>
      <c r="M614" s="67" t="str">
        <f t="shared" si="29"/>
        <v/>
      </c>
      <c r="N614" s="76" t="str">
        <f t="shared" si="30"/>
        <v/>
      </c>
      <c r="O614" s="33">
        <f t="shared" si="28"/>
        <v>0</v>
      </c>
    </row>
    <row r="615" spans="1:15" x14ac:dyDescent="0.25">
      <c r="A615" s="64" t="s">
        <v>178</v>
      </c>
      <c r="B615" s="79" t="str">
        <f>IF(Third!B118="", "",Third!B118)</f>
        <v/>
      </c>
      <c r="C615" s="66" t="str">
        <f>IF(Third!C118="", "",Third!C118)</f>
        <v/>
      </c>
      <c r="D615" s="66" t="str">
        <f>IF(Third!D118="", "",Third!D118)</f>
        <v/>
      </c>
      <c r="E615" s="66" t="str">
        <f>IF(Third!E118="", "",Third!E118)</f>
        <v/>
      </c>
      <c r="F615" s="66" t="str">
        <f>IF(Third!F118="", "",Third!F118)</f>
        <v/>
      </c>
      <c r="G615" s="66" t="str">
        <f>IF(Third!G118="", "",Third!G118)</f>
        <v/>
      </c>
      <c r="H615" s="66" t="str">
        <f>IF(Third!H118="", "",Third!H118)</f>
        <v/>
      </c>
      <c r="I615" s="66" t="str">
        <f>IF(Third!I118="", "",Third!I118)</f>
        <v/>
      </c>
      <c r="J615" s="66" t="str">
        <f>IF(Third!J118="", "",Third!J118)</f>
        <v/>
      </c>
      <c r="K615" s="86" t="str">
        <f>IF(Third!K118="", "",Third!K118)</f>
        <v/>
      </c>
      <c r="M615" s="67" t="str">
        <f t="shared" si="29"/>
        <v/>
      </c>
      <c r="N615" s="76" t="str">
        <f t="shared" si="30"/>
        <v/>
      </c>
      <c r="O615" s="33">
        <f t="shared" si="28"/>
        <v>0</v>
      </c>
    </row>
    <row r="616" spans="1:15" x14ac:dyDescent="0.25">
      <c r="A616" s="64" t="s">
        <v>178</v>
      </c>
      <c r="B616" s="79" t="str">
        <f>IF(Third!B119="", "",Third!B119)</f>
        <v/>
      </c>
      <c r="C616" s="66" t="str">
        <f>IF(Third!C119="", "",Third!C119)</f>
        <v/>
      </c>
      <c r="D616" s="66" t="str">
        <f>IF(Third!D119="", "",Third!D119)</f>
        <v/>
      </c>
      <c r="E616" s="66" t="str">
        <f>IF(Third!E119="", "",Third!E119)</f>
        <v/>
      </c>
      <c r="F616" s="66" t="str">
        <f>IF(Third!F119="", "",Third!F119)</f>
        <v/>
      </c>
      <c r="G616" s="66" t="str">
        <f>IF(Third!G119="", "",Third!G119)</f>
        <v/>
      </c>
      <c r="H616" s="66" t="str">
        <f>IF(Third!H119="", "",Third!H119)</f>
        <v/>
      </c>
      <c r="I616" s="66" t="str">
        <f>IF(Third!I119="", "",Third!I119)</f>
        <v/>
      </c>
      <c r="J616" s="66" t="str">
        <f>IF(Third!J119="", "",Third!J119)</f>
        <v/>
      </c>
      <c r="K616" s="86" t="str">
        <f>IF(Third!K119="", "",Third!K119)</f>
        <v/>
      </c>
      <c r="M616" s="67" t="str">
        <f t="shared" si="29"/>
        <v/>
      </c>
      <c r="N616" s="76" t="str">
        <f t="shared" si="30"/>
        <v/>
      </c>
      <c r="O616" s="33">
        <f t="shared" si="28"/>
        <v>0</v>
      </c>
    </row>
    <row r="617" spans="1:15" x14ac:dyDescent="0.25">
      <c r="A617" s="64" t="s">
        <v>178</v>
      </c>
      <c r="B617" s="79" t="str">
        <f>IF(Third!B120="", "",Third!B120)</f>
        <v/>
      </c>
      <c r="C617" s="66" t="str">
        <f>IF(Third!C120="", "",Third!C120)</f>
        <v/>
      </c>
      <c r="D617" s="66" t="str">
        <f>IF(Third!D120="", "",Third!D120)</f>
        <v/>
      </c>
      <c r="E617" s="66" t="str">
        <f>IF(Third!E120="", "",Third!E120)</f>
        <v/>
      </c>
      <c r="F617" s="66" t="str">
        <f>IF(Third!F120="", "",Third!F120)</f>
        <v/>
      </c>
      <c r="G617" s="66" t="str">
        <f>IF(Third!G120="", "",Third!G120)</f>
        <v/>
      </c>
      <c r="H617" s="66" t="str">
        <f>IF(Third!H120="", "",Third!H120)</f>
        <v/>
      </c>
      <c r="I617" s="66" t="str">
        <f>IF(Third!I120="", "",Third!I120)</f>
        <v/>
      </c>
      <c r="J617" s="66" t="str">
        <f>IF(Third!J120="", "",Third!J120)</f>
        <v/>
      </c>
      <c r="K617" s="86" t="str">
        <f>IF(Third!K120="", "",Third!K120)</f>
        <v/>
      </c>
      <c r="M617" s="67" t="str">
        <f t="shared" si="29"/>
        <v/>
      </c>
      <c r="N617" s="76" t="str">
        <f t="shared" si="30"/>
        <v/>
      </c>
      <c r="O617" s="33">
        <f t="shared" si="28"/>
        <v>0</v>
      </c>
    </row>
    <row r="618" spans="1:15" x14ac:dyDescent="0.25">
      <c r="A618" s="64" t="s">
        <v>178</v>
      </c>
      <c r="B618" s="79" t="str">
        <f>IF(Third!B121="", "",Third!B121)</f>
        <v/>
      </c>
      <c r="C618" s="66" t="str">
        <f>IF(Third!C121="", "",Third!C121)</f>
        <v/>
      </c>
      <c r="D618" s="66" t="str">
        <f>IF(Third!D121="", "",Third!D121)</f>
        <v/>
      </c>
      <c r="E618" s="66" t="str">
        <f>IF(Third!E121="", "",Third!E121)</f>
        <v/>
      </c>
      <c r="F618" s="66" t="str">
        <f>IF(Third!F121="", "",Third!F121)</f>
        <v/>
      </c>
      <c r="G618" s="66" t="str">
        <f>IF(Third!G121="", "",Third!G121)</f>
        <v/>
      </c>
      <c r="H618" s="66" t="str">
        <f>IF(Third!H121="", "",Third!H121)</f>
        <v/>
      </c>
      <c r="I618" s="66" t="str">
        <f>IF(Third!I121="", "",Third!I121)</f>
        <v/>
      </c>
      <c r="J618" s="66" t="str">
        <f>IF(Third!J121="", "",Third!J121)</f>
        <v/>
      </c>
      <c r="K618" s="86" t="str">
        <f>IF(Third!K121="", "",Third!K121)</f>
        <v/>
      </c>
      <c r="M618" s="67" t="str">
        <f t="shared" si="29"/>
        <v/>
      </c>
      <c r="N618" s="76" t="str">
        <f t="shared" si="30"/>
        <v/>
      </c>
      <c r="O618" s="33">
        <f t="shared" si="28"/>
        <v>0</v>
      </c>
    </row>
    <row r="619" spans="1:15" x14ac:dyDescent="0.25">
      <c r="A619" s="64" t="s">
        <v>178</v>
      </c>
      <c r="B619" s="79" t="str">
        <f>IF(Third!B122="", "",Third!B122)</f>
        <v/>
      </c>
      <c r="C619" s="66" t="str">
        <f>IF(Third!C122="", "",Third!C122)</f>
        <v/>
      </c>
      <c r="D619" s="66" t="str">
        <f>IF(Third!D122="", "",Third!D122)</f>
        <v/>
      </c>
      <c r="E619" s="66" t="str">
        <f>IF(Third!E122="", "",Third!E122)</f>
        <v/>
      </c>
      <c r="F619" s="66" t="str">
        <f>IF(Third!F122="", "",Third!F122)</f>
        <v/>
      </c>
      <c r="G619" s="66" t="str">
        <f>IF(Third!G122="", "",Third!G122)</f>
        <v/>
      </c>
      <c r="H619" s="66" t="str">
        <f>IF(Third!H122="", "",Third!H122)</f>
        <v/>
      </c>
      <c r="I619" s="66" t="str">
        <f>IF(Third!I122="", "",Third!I122)</f>
        <v/>
      </c>
      <c r="J619" s="66" t="str">
        <f>IF(Third!J122="", "",Third!J122)</f>
        <v/>
      </c>
      <c r="K619" s="86" t="str">
        <f>IF(Third!K122="", "",Third!K122)</f>
        <v/>
      </c>
      <c r="M619" s="67" t="str">
        <f t="shared" si="29"/>
        <v/>
      </c>
      <c r="N619" s="76" t="str">
        <f t="shared" si="30"/>
        <v/>
      </c>
      <c r="O619" s="33">
        <f t="shared" si="28"/>
        <v>0</v>
      </c>
    </row>
    <row r="620" spans="1:15" x14ac:dyDescent="0.25">
      <c r="A620" s="64" t="s">
        <v>178</v>
      </c>
      <c r="B620" s="79" t="str">
        <f>IF(Third!B123="", "",Third!B123)</f>
        <v/>
      </c>
      <c r="C620" s="66" t="str">
        <f>IF(Third!C123="", "",Third!C123)</f>
        <v/>
      </c>
      <c r="D620" s="66" t="str">
        <f>IF(Third!D123="", "",Third!D123)</f>
        <v/>
      </c>
      <c r="E620" s="66" t="str">
        <f>IF(Third!E123="", "",Third!E123)</f>
        <v/>
      </c>
      <c r="F620" s="66" t="str">
        <f>IF(Third!F123="", "",Third!F123)</f>
        <v/>
      </c>
      <c r="G620" s="66" t="str">
        <f>IF(Third!G123="", "",Third!G123)</f>
        <v/>
      </c>
      <c r="H620" s="66" t="str">
        <f>IF(Third!H123="", "",Third!H123)</f>
        <v/>
      </c>
      <c r="I620" s="66" t="str">
        <f>IF(Third!I123="", "",Third!I123)</f>
        <v/>
      </c>
      <c r="J620" s="66" t="str">
        <f>IF(Third!J123="", "",Third!J123)</f>
        <v/>
      </c>
      <c r="K620" s="86" t="str">
        <f>IF(Third!K123="", "",Third!K123)</f>
        <v/>
      </c>
      <c r="M620" s="67" t="str">
        <f t="shared" si="29"/>
        <v/>
      </c>
      <c r="N620" s="76" t="str">
        <f t="shared" si="30"/>
        <v/>
      </c>
      <c r="O620" s="33">
        <f t="shared" si="28"/>
        <v>0</v>
      </c>
    </row>
    <row r="621" spans="1:15" x14ac:dyDescent="0.25">
      <c r="A621" s="64" t="s">
        <v>178</v>
      </c>
      <c r="B621" s="79" t="str">
        <f>IF(Third!B124="", "",Third!B124)</f>
        <v/>
      </c>
      <c r="C621" s="66" t="str">
        <f>IF(Third!C124="", "",Third!C124)</f>
        <v/>
      </c>
      <c r="D621" s="66" t="str">
        <f>IF(Third!D124="", "",Third!D124)</f>
        <v/>
      </c>
      <c r="E621" s="66" t="str">
        <f>IF(Third!E124="", "",Third!E124)</f>
        <v/>
      </c>
      <c r="F621" s="66" t="str">
        <f>IF(Third!F124="", "",Third!F124)</f>
        <v/>
      </c>
      <c r="G621" s="66" t="str">
        <f>IF(Third!G124="", "",Third!G124)</f>
        <v/>
      </c>
      <c r="H621" s="66" t="str">
        <f>IF(Third!H124="", "",Third!H124)</f>
        <v/>
      </c>
      <c r="I621" s="66" t="str">
        <f>IF(Third!I124="", "",Third!I124)</f>
        <v/>
      </c>
      <c r="J621" s="66" t="str">
        <f>IF(Third!J124="", "",Third!J124)</f>
        <v/>
      </c>
      <c r="K621" s="86" t="str">
        <f>IF(Third!K124="", "",Third!K124)</f>
        <v/>
      </c>
      <c r="M621" s="67" t="str">
        <f t="shared" si="29"/>
        <v/>
      </c>
      <c r="N621" s="76" t="str">
        <f t="shared" si="30"/>
        <v/>
      </c>
      <c r="O621" s="33">
        <f t="shared" si="28"/>
        <v>0</v>
      </c>
    </row>
    <row r="622" spans="1:15" x14ac:dyDescent="0.25">
      <c r="A622" s="64" t="s">
        <v>178</v>
      </c>
      <c r="B622" s="79" t="str">
        <f>IF(Third!B125="", "",Third!B125)</f>
        <v/>
      </c>
      <c r="C622" s="66" t="str">
        <f>IF(Third!C125="", "",Third!C125)</f>
        <v/>
      </c>
      <c r="D622" s="66" t="str">
        <f>IF(Third!D125="", "",Third!D125)</f>
        <v/>
      </c>
      <c r="E622" s="66" t="str">
        <f>IF(Third!E125="", "",Third!E125)</f>
        <v/>
      </c>
      <c r="F622" s="66" t="str">
        <f>IF(Third!F125="", "",Third!F125)</f>
        <v/>
      </c>
      <c r="G622" s="66" t="str">
        <f>IF(Third!G125="", "",Third!G125)</f>
        <v/>
      </c>
      <c r="H622" s="66" t="str">
        <f>IF(Third!H125="", "",Third!H125)</f>
        <v/>
      </c>
      <c r="I622" s="66" t="str">
        <f>IF(Third!I125="", "",Third!I125)</f>
        <v/>
      </c>
      <c r="J622" s="66" t="str">
        <f>IF(Third!J125="", "",Third!J125)</f>
        <v/>
      </c>
      <c r="K622" s="86" t="str">
        <f>IF(Third!K125="", "",Third!K125)</f>
        <v/>
      </c>
      <c r="M622" s="67" t="str">
        <f t="shared" si="29"/>
        <v/>
      </c>
      <c r="N622" s="76" t="str">
        <f t="shared" si="30"/>
        <v/>
      </c>
      <c r="O622" s="33">
        <f t="shared" si="28"/>
        <v>0</v>
      </c>
    </row>
    <row r="623" spans="1:15" x14ac:dyDescent="0.25">
      <c r="A623" s="64" t="s">
        <v>178</v>
      </c>
      <c r="B623" s="79" t="str">
        <f>IF(Third!B126="", "",Third!B126)</f>
        <v/>
      </c>
      <c r="C623" s="66" t="str">
        <f>IF(Third!C126="", "",Third!C126)</f>
        <v/>
      </c>
      <c r="D623" s="66" t="str">
        <f>IF(Third!D126="", "",Third!D126)</f>
        <v/>
      </c>
      <c r="E623" s="66" t="str">
        <f>IF(Third!E126="", "",Third!E126)</f>
        <v/>
      </c>
      <c r="F623" s="66" t="str">
        <f>IF(Third!F126="", "",Third!F126)</f>
        <v/>
      </c>
      <c r="G623" s="66" t="str">
        <f>IF(Third!G126="", "",Third!G126)</f>
        <v/>
      </c>
      <c r="H623" s="66" t="str">
        <f>IF(Third!H126="", "",Third!H126)</f>
        <v/>
      </c>
      <c r="I623" s="66" t="str">
        <f>IF(Third!I126="", "",Third!I126)</f>
        <v/>
      </c>
      <c r="J623" s="66" t="str">
        <f>IF(Third!J126="", "",Third!J126)</f>
        <v/>
      </c>
      <c r="K623" s="86" t="str">
        <f>IF(Third!K126="", "",Third!K126)</f>
        <v/>
      </c>
      <c r="M623" s="67" t="str">
        <f t="shared" si="29"/>
        <v/>
      </c>
      <c r="N623" s="76" t="str">
        <f t="shared" si="30"/>
        <v/>
      </c>
      <c r="O623" s="33">
        <f t="shared" si="28"/>
        <v>0</v>
      </c>
    </row>
    <row r="624" spans="1:15" x14ac:dyDescent="0.25">
      <c r="A624" s="64" t="s">
        <v>178</v>
      </c>
      <c r="B624" s="79" t="str">
        <f>IF(Third!B127="", "",Third!B127)</f>
        <v/>
      </c>
      <c r="C624" s="66" t="str">
        <f>IF(Third!C127="", "",Third!C127)</f>
        <v/>
      </c>
      <c r="D624" s="66" t="str">
        <f>IF(Third!D127="", "",Third!D127)</f>
        <v/>
      </c>
      <c r="E624" s="66" t="str">
        <f>IF(Third!E127="", "",Third!E127)</f>
        <v/>
      </c>
      <c r="F624" s="66" t="str">
        <f>IF(Third!F127="", "",Third!F127)</f>
        <v/>
      </c>
      <c r="G624" s="66" t="str">
        <f>IF(Third!G127="", "",Third!G127)</f>
        <v/>
      </c>
      <c r="H624" s="66" t="str">
        <f>IF(Third!H127="", "",Third!H127)</f>
        <v/>
      </c>
      <c r="I624" s="66" t="str">
        <f>IF(Third!I127="", "",Third!I127)</f>
        <v/>
      </c>
      <c r="J624" s="66" t="str">
        <f>IF(Third!J127="", "",Third!J127)</f>
        <v/>
      </c>
      <c r="K624" s="86" t="str">
        <f>IF(Third!K127="", "",Third!K127)</f>
        <v/>
      </c>
      <c r="M624" s="67" t="str">
        <f t="shared" si="29"/>
        <v/>
      </c>
      <c r="N624" s="76" t="str">
        <f t="shared" si="30"/>
        <v/>
      </c>
      <c r="O624" s="33">
        <f t="shared" si="28"/>
        <v>0</v>
      </c>
    </row>
    <row r="625" spans="1:15" x14ac:dyDescent="0.25">
      <c r="A625" s="64" t="s">
        <v>178</v>
      </c>
      <c r="B625" s="79" t="str">
        <f>IF(Third!B128="", "",Third!B128)</f>
        <v/>
      </c>
      <c r="C625" s="66" t="str">
        <f>IF(Third!C128="", "",Third!C128)</f>
        <v/>
      </c>
      <c r="D625" s="66" t="str">
        <f>IF(Third!D128="", "",Third!D128)</f>
        <v/>
      </c>
      <c r="E625" s="66" t="str">
        <f>IF(Third!E128="", "",Third!E128)</f>
        <v/>
      </c>
      <c r="F625" s="66" t="str">
        <f>IF(Third!F128="", "",Third!F128)</f>
        <v/>
      </c>
      <c r="G625" s="66" t="str">
        <f>IF(Third!G128="", "",Third!G128)</f>
        <v/>
      </c>
      <c r="H625" s="66" t="str">
        <f>IF(Third!H128="", "",Third!H128)</f>
        <v/>
      </c>
      <c r="I625" s="66" t="str">
        <f>IF(Third!I128="", "",Third!I128)</f>
        <v/>
      </c>
      <c r="J625" s="66" t="str">
        <f>IF(Third!J128="", "",Third!J128)</f>
        <v/>
      </c>
      <c r="K625" s="86" t="str">
        <f>IF(Third!K128="", "",Third!K128)</f>
        <v/>
      </c>
      <c r="M625" s="67" t="str">
        <f t="shared" si="29"/>
        <v/>
      </c>
      <c r="N625" s="76" t="str">
        <f t="shared" si="30"/>
        <v/>
      </c>
      <c r="O625" s="33">
        <f t="shared" si="28"/>
        <v>0</v>
      </c>
    </row>
    <row r="626" spans="1:15" x14ac:dyDescent="0.25">
      <c r="A626" s="64" t="s">
        <v>178</v>
      </c>
      <c r="B626" s="79" t="str">
        <f>IF(Third!B129="", "",Third!B129)</f>
        <v/>
      </c>
      <c r="C626" s="66" t="str">
        <f>IF(Third!C129="", "",Third!C129)</f>
        <v/>
      </c>
      <c r="D626" s="66" t="str">
        <f>IF(Third!D129="", "",Third!D129)</f>
        <v/>
      </c>
      <c r="E626" s="66" t="str">
        <f>IF(Third!E129="", "",Third!E129)</f>
        <v/>
      </c>
      <c r="F626" s="66" t="str">
        <f>IF(Third!F129="", "",Third!F129)</f>
        <v/>
      </c>
      <c r="G626" s="66" t="str">
        <f>IF(Third!G129="", "",Third!G129)</f>
        <v/>
      </c>
      <c r="H626" s="66" t="str">
        <f>IF(Third!H129="", "",Third!H129)</f>
        <v/>
      </c>
      <c r="I626" s="66" t="str">
        <f>IF(Third!I129="", "",Third!I129)</f>
        <v/>
      </c>
      <c r="J626" s="66" t="str">
        <f>IF(Third!J129="", "",Third!J129)</f>
        <v/>
      </c>
      <c r="K626" s="86" t="str">
        <f>IF(Third!K129="", "",Third!K129)</f>
        <v/>
      </c>
      <c r="M626" s="67" t="str">
        <f t="shared" si="29"/>
        <v/>
      </c>
      <c r="N626" s="76" t="str">
        <f t="shared" si="30"/>
        <v/>
      </c>
      <c r="O626" s="33">
        <f t="shared" si="28"/>
        <v>0</v>
      </c>
    </row>
    <row r="627" spans="1:15" x14ac:dyDescent="0.25">
      <c r="A627" s="64" t="s">
        <v>178</v>
      </c>
      <c r="B627" s="79" t="str">
        <f>IF(Third!B130="", "",Third!B130)</f>
        <v/>
      </c>
      <c r="C627" s="66" t="str">
        <f>IF(Third!C130="", "",Third!C130)</f>
        <v/>
      </c>
      <c r="D627" s="66" t="str">
        <f>IF(Third!D130="", "",Third!D130)</f>
        <v/>
      </c>
      <c r="E627" s="66" t="str">
        <f>IF(Third!E130="", "",Third!E130)</f>
        <v/>
      </c>
      <c r="F627" s="66" t="str">
        <f>IF(Third!F130="", "",Third!F130)</f>
        <v/>
      </c>
      <c r="G627" s="66" t="str">
        <f>IF(Third!G130="", "",Third!G130)</f>
        <v/>
      </c>
      <c r="H627" s="66" t="str">
        <f>IF(Third!H130="", "",Third!H130)</f>
        <v/>
      </c>
      <c r="I627" s="66" t="str">
        <f>IF(Third!I130="", "",Third!I130)</f>
        <v/>
      </c>
      <c r="J627" s="66" t="str">
        <f>IF(Third!J130="", "",Third!J130)</f>
        <v/>
      </c>
      <c r="K627" s="86" t="str">
        <f>IF(Third!K130="", "",Third!K130)</f>
        <v/>
      </c>
      <c r="M627" s="67" t="str">
        <f t="shared" si="29"/>
        <v/>
      </c>
      <c r="N627" s="76" t="str">
        <f t="shared" si="30"/>
        <v/>
      </c>
      <c r="O627" s="33">
        <f t="shared" si="28"/>
        <v>0</v>
      </c>
    </row>
    <row r="628" spans="1:15" x14ac:dyDescent="0.25">
      <c r="A628" s="64" t="s">
        <v>178</v>
      </c>
      <c r="B628" s="79" t="str">
        <f>IF(Third!B131="", "",Third!B131)</f>
        <v/>
      </c>
      <c r="C628" s="66" t="str">
        <f>IF(Third!C131="", "",Third!C131)</f>
        <v/>
      </c>
      <c r="D628" s="66" t="str">
        <f>IF(Third!D131="", "",Third!D131)</f>
        <v/>
      </c>
      <c r="E628" s="66" t="str">
        <f>IF(Third!E131="", "",Third!E131)</f>
        <v/>
      </c>
      <c r="F628" s="66" t="str">
        <f>IF(Third!F131="", "",Third!F131)</f>
        <v/>
      </c>
      <c r="G628" s="66" t="str">
        <f>IF(Third!G131="", "",Third!G131)</f>
        <v/>
      </c>
      <c r="H628" s="66" t="str">
        <f>IF(Third!H131="", "",Third!H131)</f>
        <v/>
      </c>
      <c r="I628" s="66" t="str">
        <f>IF(Third!I131="", "",Third!I131)</f>
        <v/>
      </c>
      <c r="J628" s="66" t="str">
        <f>IF(Third!J131="", "",Third!J131)</f>
        <v/>
      </c>
      <c r="K628" s="86" t="str">
        <f>IF(Third!K131="", "",Third!K131)</f>
        <v/>
      </c>
      <c r="M628" s="67" t="str">
        <f t="shared" si="29"/>
        <v/>
      </c>
      <c r="N628" s="76" t="str">
        <f t="shared" si="30"/>
        <v/>
      </c>
      <c r="O628" s="33">
        <f t="shared" si="28"/>
        <v>0</v>
      </c>
    </row>
    <row r="629" spans="1:15" x14ac:dyDescent="0.25">
      <c r="A629" s="64" t="s">
        <v>178</v>
      </c>
      <c r="B629" s="79" t="str">
        <f>IF(Third!B132="", "",Third!B132)</f>
        <v/>
      </c>
      <c r="C629" s="66" t="str">
        <f>IF(Third!C132="", "",Third!C132)</f>
        <v/>
      </c>
      <c r="D629" s="66" t="str">
        <f>IF(Third!D132="", "",Third!D132)</f>
        <v/>
      </c>
      <c r="E629" s="66" t="str">
        <f>IF(Third!E132="", "",Third!E132)</f>
        <v/>
      </c>
      <c r="F629" s="66" t="str">
        <f>IF(Third!F132="", "",Third!F132)</f>
        <v/>
      </c>
      <c r="G629" s="66" t="str">
        <f>IF(Third!G132="", "",Third!G132)</f>
        <v/>
      </c>
      <c r="H629" s="66" t="str">
        <f>IF(Third!H132="", "",Third!H132)</f>
        <v/>
      </c>
      <c r="I629" s="66" t="str">
        <f>IF(Third!I132="", "",Third!I132)</f>
        <v/>
      </c>
      <c r="J629" s="66" t="str">
        <f>IF(Third!J132="", "",Third!J132)</f>
        <v/>
      </c>
      <c r="K629" s="86" t="str">
        <f>IF(Third!K132="", "",Third!K132)</f>
        <v/>
      </c>
      <c r="M629" s="67" t="str">
        <f t="shared" si="29"/>
        <v/>
      </c>
      <c r="N629" s="76" t="str">
        <f t="shared" si="30"/>
        <v/>
      </c>
      <c r="O629" s="33">
        <f t="shared" si="28"/>
        <v>0</v>
      </c>
    </row>
    <row r="630" spans="1:15" x14ac:dyDescent="0.25">
      <c r="A630" s="64" t="s">
        <v>178</v>
      </c>
      <c r="B630" s="79" t="str">
        <f>IF(Third!B133="", "",Third!B133)</f>
        <v/>
      </c>
      <c r="C630" s="66" t="str">
        <f>IF(Third!C133="", "",Third!C133)</f>
        <v/>
      </c>
      <c r="D630" s="66" t="str">
        <f>IF(Third!D133="", "",Third!D133)</f>
        <v/>
      </c>
      <c r="E630" s="66" t="str">
        <f>IF(Third!E133="", "",Third!E133)</f>
        <v/>
      </c>
      <c r="F630" s="66" t="str">
        <f>IF(Third!F133="", "",Third!F133)</f>
        <v/>
      </c>
      <c r="G630" s="66" t="str">
        <f>IF(Third!G133="", "",Third!G133)</f>
        <v/>
      </c>
      <c r="H630" s="66" t="str">
        <f>IF(Third!H133="", "",Third!H133)</f>
        <v/>
      </c>
      <c r="I630" s="66" t="str">
        <f>IF(Third!I133="", "",Third!I133)</f>
        <v/>
      </c>
      <c r="J630" s="66" t="str">
        <f>IF(Third!J133="", "",Third!J133)</f>
        <v/>
      </c>
      <c r="K630" s="86" t="str">
        <f>IF(Third!K133="", "",Third!K133)</f>
        <v/>
      </c>
      <c r="M630" s="67" t="str">
        <f t="shared" si="29"/>
        <v/>
      </c>
      <c r="N630" s="76" t="str">
        <f t="shared" si="30"/>
        <v/>
      </c>
      <c r="O630" s="33">
        <f t="shared" si="28"/>
        <v>0</v>
      </c>
    </row>
    <row r="631" spans="1:15" x14ac:dyDescent="0.25">
      <c r="A631" s="64" t="s">
        <v>178</v>
      </c>
      <c r="B631" s="79" t="str">
        <f>IF(Third!B134="", "",Third!B134)</f>
        <v/>
      </c>
      <c r="C631" s="66" t="str">
        <f>IF(Third!C134="", "",Third!C134)</f>
        <v/>
      </c>
      <c r="D631" s="66" t="str">
        <f>IF(Third!D134="", "",Third!D134)</f>
        <v/>
      </c>
      <c r="E631" s="66" t="str">
        <f>IF(Third!E134="", "",Third!E134)</f>
        <v/>
      </c>
      <c r="F631" s="66" t="str">
        <f>IF(Third!F134="", "",Third!F134)</f>
        <v/>
      </c>
      <c r="G631" s="66" t="str">
        <f>IF(Third!G134="", "",Third!G134)</f>
        <v/>
      </c>
      <c r="H631" s="66" t="str">
        <f>IF(Third!H134="", "",Third!H134)</f>
        <v/>
      </c>
      <c r="I631" s="66" t="str">
        <f>IF(Third!I134="", "",Third!I134)</f>
        <v/>
      </c>
      <c r="J631" s="66" t="str">
        <f>IF(Third!J134="", "",Third!J134)</f>
        <v/>
      </c>
      <c r="K631" s="86" t="str">
        <f>IF(Third!K134="", "",Third!K134)</f>
        <v/>
      </c>
      <c r="M631" s="67" t="str">
        <f t="shared" si="29"/>
        <v/>
      </c>
      <c r="N631" s="76" t="str">
        <f t="shared" si="30"/>
        <v/>
      </c>
      <c r="O631" s="33">
        <f t="shared" si="28"/>
        <v>0</v>
      </c>
    </row>
    <row r="632" spans="1:15" x14ac:dyDescent="0.25">
      <c r="A632" s="64" t="s">
        <v>178</v>
      </c>
      <c r="B632" s="79" t="str">
        <f>IF(Third!B135="", "",Third!B135)</f>
        <v/>
      </c>
      <c r="C632" s="66" t="str">
        <f>IF(Third!C135="", "",Third!C135)</f>
        <v/>
      </c>
      <c r="D632" s="66" t="str">
        <f>IF(Third!D135="", "",Third!D135)</f>
        <v/>
      </c>
      <c r="E632" s="66" t="str">
        <f>IF(Third!E135="", "",Third!E135)</f>
        <v/>
      </c>
      <c r="F632" s="66" t="str">
        <f>IF(Third!F135="", "",Third!F135)</f>
        <v/>
      </c>
      <c r="G632" s="66" t="str">
        <f>IF(Third!G135="", "",Third!G135)</f>
        <v/>
      </c>
      <c r="H632" s="66" t="str">
        <f>IF(Third!H135="", "",Third!H135)</f>
        <v/>
      </c>
      <c r="I632" s="66" t="str">
        <f>IF(Third!I135="", "",Third!I135)</f>
        <v/>
      </c>
      <c r="J632" s="66" t="str">
        <f>IF(Third!J135="", "",Third!J135)</f>
        <v/>
      </c>
      <c r="K632" s="86" t="str">
        <f>IF(Third!K135="", "",Third!K135)</f>
        <v/>
      </c>
      <c r="M632" s="67" t="str">
        <f t="shared" si="29"/>
        <v/>
      </c>
      <c r="N632" s="76" t="str">
        <f t="shared" si="30"/>
        <v/>
      </c>
      <c r="O632" s="33">
        <f t="shared" si="28"/>
        <v>0</v>
      </c>
    </row>
    <row r="633" spans="1:15" x14ac:dyDescent="0.25">
      <c r="A633" s="64" t="s">
        <v>178</v>
      </c>
      <c r="B633" s="79" t="str">
        <f>IF(Third!B136="", "",Third!B136)</f>
        <v/>
      </c>
      <c r="C633" s="66" t="str">
        <f>IF(Third!C136="", "",Third!C136)</f>
        <v/>
      </c>
      <c r="D633" s="66" t="str">
        <f>IF(Third!D136="", "",Third!D136)</f>
        <v/>
      </c>
      <c r="E633" s="66" t="str">
        <f>IF(Third!E136="", "",Third!E136)</f>
        <v/>
      </c>
      <c r="F633" s="66" t="str">
        <f>IF(Third!F136="", "",Third!F136)</f>
        <v/>
      </c>
      <c r="G633" s="66" t="str">
        <f>IF(Third!G136="", "",Third!G136)</f>
        <v/>
      </c>
      <c r="H633" s="66" t="str">
        <f>IF(Third!H136="", "",Third!H136)</f>
        <v/>
      </c>
      <c r="I633" s="66" t="str">
        <f>IF(Third!I136="", "",Third!I136)</f>
        <v/>
      </c>
      <c r="J633" s="66" t="str">
        <f>IF(Third!J136="", "",Third!J136)</f>
        <v/>
      </c>
      <c r="K633" s="86" t="str">
        <f>IF(Third!K136="", "",Third!K136)</f>
        <v/>
      </c>
      <c r="M633" s="67" t="str">
        <f t="shared" si="29"/>
        <v/>
      </c>
      <c r="N633" s="76" t="str">
        <f t="shared" si="30"/>
        <v/>
      </c>
      <c r="O633" s="33">
        <f t="shared" si="28"/>
        <v>0</v>
      </c>
    </row>
    <row r="634" spans="1:15" x14ac:dyDescent="0.25">
      <c r="A634" s="64" t="s">
        <v>178</v>
      </c>
      <c r="B634" s="79" t="str">
        <f>IF(Third!B137="", "",Third!B137)</f>
        <v/>
      </c>
      <c r="C634" s="66" t="str">
        <f>IF(Third!C137="", "",Third!C137)</f>
        <v/>
      </c>
      <c r="D634" s="66" t="str">
        <f>IF(Third!D137="", "",Third!D137)</f>
        <v/>
      </c>
      <c r="E634" s="66" t="str">
        <f>IF(Third!E137="", "",Third!E137)</f>
        <v/>
      </c>
      <c r="F634" s="66" t="str">
        <f>IF(Third!F137="", "",Third!F137)</f>
        <v/>
      </c>
      <c r="G634" s="66" t="str">
        <f>IF(Third!G137="", "",Third!G137)</f>
        <v/>
      </c>
      <c r="H634" s="66" t="str">
        <f>IF(Third!H137="", "",Third!H137)</f>
        <v/>
      </c>
      <c r="I634" s="66" t="str">
        <f>IF(Third!I137="", "",Third!I137)</f>
        <v/>
      </c>
      <c r="J634" s="66" t="str">
        <f>IF(Third!J137="", "",Third!J137)</f>
        <v/>
      </c>
      <c r="K634" s="86" t="str">
        <f>IF(Third!K137="", "",Third!K137)</f>
        <v/>
      </c>
      <c r="M634" s="67" t="str">
        <f t="shared" si="29"/>
        <v/>
      </c>
      <c r="N634" s="76" t="str">
        <f t="shared" si="30"/>
        <v/>
      </c>
      <c r="O634" s="33">
        <f t="shared" si="28"/>
        <v>0</v>
      </c>
    </row>
    <row r="635" spans="1:15" x14ac:dyDescent="0.25">
      <c r="A635" s="64" t="s">
        <v>178</v>
      </c>
      <c r="B635" s="79" t="str">
        <f>IF(Third!B138="", "",Third!B138)</f>
        <v/>
      </c>
      <c r="C635" s="66" t="str">
        <f>IF(Third!C138="", "",Third!C138)</f>
        <v/>
      </c>
      <c r="D635" s="66" t="str">
        <f>IF(Third!D138="", "",Third!D138)</f>
        <v/>
      </c>
      <c r="E635" s="66" t="str">
        <f>IF(Third!E138="", "",Third!E138)</f>
        <v/>
      </c>
      <c r="F635" s="66" t="str">
        <f>IF(Third!F138="", "",Third!F138)</f>
        <v/>
      </c>
      <c r="G635" s="66" t="str">
        <f>IF(Third!G138="", "",Third!G138)</f>
        <v/>
      </c>
      <c r="H635" s="66" t="str">
        <f>IF(Third!H138="", "",Third!H138)</f>
        <v/>
      </c>
      <c r="I635" s="66" t="str">
        <f>IF(Third!I138="", "",Third!I138)</f>
        <v/>
      </c>
      <c r="J635" s="66" t="str">
        <f>IF(Third!J138="", "",Third!J138)</f>
        <v/>
      </c>
      <c r="K635" s="86" t="str">
        <f>IF(Third!K138="", "",Third!K138)</f>
        <v/>
      </c>
      <c r="M635" s="67" t="str">
        <f t="shared" si="29"/>
        <v/>
      </c>
      <c r="N635" s="76" t="str">
        <f t="shared" si="30"/>
        <v/>
      </c>
      <c r="O635" s="33">
        <f t="shared" si="28"/>
        <v>0</v>
      </c>
    </row>
    <row r="636" spans="1:15" x14ac:dyDescent="0.25">
      <c r="A636" s="64" t="s">
        <v>178</v>
      </c>
      <c r="B636" s="79" t="str">
        <f>IF(Third!B139="", "",Third!B139)</f>
        <v/>
      </c>
      <c r="C636" s="66" t="str">
        <f>IF(Third!C139="", "",Third!C139)</f>
        <v/>
      </c>
      <c r="D636" s="66" t="str">
        <f>IF(Third!D139="", "",Third!D139)</f>
        <v/>
      </c>
      <c r="E636" s="66" t="str">
        <f>IF(Third!E139="", "",Third!E139)</f>
        <v/>
      </c>
      <c r="F636" s="66" t="str">
        <f>IF(Third!F139="", "",Third!F139)</f>
        <v/>
      </c>
      <c r="G636" s="66" t="str">
        <f>IF(Third!G139="", "",Third!G139)</f>
        <v/>
      </c>
      <c r="H636" s="66" t="str">
        <f>IF(Third!H139="", "",Third!H139)</f>
        <v/>
      </c>
      <c r="I636" s="66" t="str">
        <f>IF(Third!I139="", "",Third!I139)</f>
        <v/>
      </c>
      <c r="J636" s="66" t="str">
        <f>IF(Third!J139="", "",Third!J139)</f>
        <v/>
      </c>
      <c r="K636" s="86" t="str">
        <f>IF(Third!K139="", "",Third!K139)</f>
        <v/>
      </c>
      <c r="M636" s="67" t="str">
        <f t="shared" si="29"/>
        <v/>
      </c>
      <c r="N636" s="76" t="str">
        <f t="shared" si="30"/>
        <v/>
      </c>
      <c r="O636" s="33">
        <f t="shared" si="28"/>
        <v>0</v>
      </c>
    </row>
    <row r="637" spans="1:15" x14ac:dyDescent="0.25">
      <c r="A637" s="64" t="s">
        <v>178</v>
      </c>
      <c r="B637" s="79" t="str">
        <f>IF(Third!B140="", "",Third!B140)</f>
        <v/>
      </c>
      <c r="C637" s="66" t="str">
        <f>IF(Third!C140="", "",Third!C140)</f>
        <v/>
      </c>
      <c r="D637" s="66" t="str">
        <f>IF(Third!D140="", "",Third!D140)</f>
        <v/>
      </c>
      <c r="E637" s="66" t="str">
        <f>IF(Third!E140="", "",Third!E140)</f>
        <v/>
      </c>
      <c r="F637" s="66" t="str">
        <f>IF(Third!F140="", "",Third!F140)</f>
        <v/>
      </c>
      <c r="G637" s="66" t="str">
        <f>IF(Third!G140="", "",Third!G140)</f>
        <v/>
      </c>
      <c r="H637" s="66" t="str">
        <f>IF(Third!H140="", "",Third!H140)</f>
        <v/>
      </c>
      <c r="I637" s="66" t="str">
        <f>IF(Third!I140="", "",Third!I140)</f>
        <v/>
      </c>
      <c r="J637" s="66" t="str">
        <f>IF(Third!J140="", "",Third!J140)</f>
        <v/>
      </c>
      <c r="K637" s="86" t="str">
        <f>IF(Third!K140="", "",Third!K140)</f>
        <v/>
      </c>
      <c r="M637" s="67" t="str">
        <f t="shared" si="29"/>
        <v/>
      </c>
      <c r="N637" s="76" t="str">
        <f t="shared" si="30"/>
        <v/>
      </c>
      <c r="O637" s="33">
        <f t="shared" si="28"/>
        <v>0</v>
      </c>
    </row>
    <row r="638" spans="1:15" x14ac:dyDescent="0.25">
      <c r="A638" s="64" t="s">
        <v>178</v>
      </c>
      <c r="B638" s="79" t="str">
        <f>IF(Third!B141="", "",Third!B141)</f>
        <v/>
      </c>
      <c r="C638" s="66" t="str">
        <f>IF(Third!C141="", "",Third!C141)</f>
        <v/>
      </c>
      <c r="D638" s="66" t="str">
        <f>IF(Third!D141="", "",Third!D141)</f>
        <v/>
      </c>
      <c r="E638" s="66" t="str">
        <f>IF(Third!E141="", "",Third!E141)</f>
        <v/>
      </c>
      <c r="F638" s="66" t="str">
        <f>IF(Third!F141="", "",Third!F141)</f>
        <v/>
      </c>
      <c r="G638" s="66" t="str">
        <f>IF(Third!G141="", "",Third!G141)</f>
        <v/>
      </c>
      <c r="H638" s="66" t="str">
        <f>IF(Third!H141="", "",Third!H141)</f>
        <v/>
      </c>
      <c r="I638" s="66" t="str">
        <f>IF(Third!I141="", "",Third!I141)</f>
        <v/>
      </c>
      <c r="J638" s="66" t="str">
        <f>IF(Third!J141="", "",Third!J141)</f>
        <v/>
      </c>
      <c r="K638" s="86" t="str">
        <f>IF(Third!K141="", "",Third!K141)</f>
        <v/>
      </c>
      <c r="M638" s="67" t="str">
        <f t="shared" si="29"/>
        <v/>
      </c>
      <c r="N638" s="76" t="str">
        <f t="shared" si="30"/>
        <v/>
      </c>
      <c r="O638" s="33">
        <f t="shared" si="28"/>
        <v>0</v>
      </c>
    </row>
    <row r="639" spans="1:15" x14ac:dyDescent="0.25">
      <c r="A639" s="64" t="s">
        <v>178</v>
      </c>
      <c r="B639" s="79" t="str">
        <f>IF(Third!B142="", "",Third!B142)</f>
        <v/>
      </c>
      <c r="C639" s="66" t="str">
        <f>IF(Third!C142="", "",Third!C142)</f>
        <v/>
      </c>
      <c r="D639" s="66" t="str">
        <f>IF(Third!D142="", "",Third!D142)</f>
        <v/>
      </c>
      <c r="E639" s="66" t="str">
        <f>IF(Third!E142="", "",Third!E142)</f>
        <v/>
      </c>
      <c r="F639" s="66" t="str">
        <f>IF(Third!F142="", "",Third!F142)</f>
        <v/>
      </c>
      <c r="G639" s="66" t="str">
        <f>IF(Third!G142="", "",Third!G142)</f>
        <v/>
      </c>
      <c r="H639" s="66" t="str">
        <f>IF(Third!H142="", "",Third!H142)</f>
        <v/>
      </c>
      <c r="I639" s="66" t="str">
        <f>IF(Third!I142="", "",Third!I142)</f>
        <v/>
      </c>
      <c r="J639" s="66" t="str">
        <f>IF(Third!J142="", "",Third!J142)</f>
        <v/>
      </c>
      <c r="K639" s="86" t="str">
        <f>IF(Third!K142="", "",Third!K142)</f>
        <v/>
      </c>
      <c r="M639" s="67" t="str">
        <f t="shared" si="29"/>
        <v/>
      </c>
      <c r="N639" s="76" t="str">
        <f t="shared" si="30"/>
        <v/>
      </c>
      <c r="O639" s="33">
        <f t="shared" si="28"/>
        <v>0</v>
      </c>
    </row>
    <row r="640" spans="1:15" x14ac:dyDescent="0.25">
      <c r="A640" s="64" t="s">
        <v>178</v>
      </c>
      <c r="B640" s="79" t="str">
        <f>IF(Third!B143="", "",Third!B143)</f>
        <v/>
      </c>
      <c r="C640" s="66" t="str">
        <f>IF(Third!C143="", "",Third!C143)</f>
        <v/>
      </c>
      <c r="D640" s="66" t="str">
        <f>IF(Third!D143="", "",Third!D143)</f>
        <v/>
      </c>
      <c r="E640" s="66" t="str">
        <f>IF(Third!E143="", "",Third!E143)</f>
        <v/>
      </c>
      <c r="F640" s="66" t="str">
        <f>IF(Third!F143="", "",Third!F143)</f>
        <v/>
      </c>
      <c r="G640" s="66" t="str">
        <f>IF(Third!G143="", "",Third!G143)</f>
        <v/>
      </c>
      <c r="H640" s="66" t="str">
        <f>IF(Third!H143="", "",Third!H143)</f>
        <v/>
      </c>
      <c r="I640" s="66" t="str">
        <f>IF(Third!I143="", "",Third!I143)</f>
        <v/>
      </c>
      <c r="J640" s="66" t="str">
        <f>IF(Third!J143="", "",Third!J143)</f>
        <v/>
      </c>
      <c r="K640" s="86" t="str">
        <f>IF(Third!K143="", "",Third!K143)</f>
        <v/>
      </c>
      <c r="M640" s="67" t="str">
        <f t="shared" si="29"/>
        <v/>
      </c>
      <c r="N640" s="76" t="str">
        <f t="shared" si="30"/>
        <v/>
      </c>
      <c r="O640" s="33">
        <f t="shared" si="28"/>
        <v>0</v>
      </c>
    </row>
    <row r="641" spans="1:15" x14ac:dyDescent="0.25">
      <c r="A641" s="64" t="s">
        <v>178</v>
      </c>
      <c r="B641" s="79" t="str">
        <f>IF(Third!B144="", "",Third!B144)</f>
        <v/>
      </c>
      <c r="C641" s="66" t="str">
        <f>IF(Third!C144="", "",Third!C144)</f>
        <v/>
      </c>
      <c r="D641" s="66" t="str">
        <f>IF(Third!D144="", "",Third!D144)</f>
        <v/>
      </c>
      <c r="E641" s="66" t="str">
        <f>IF(Third!E144="", "",Third!E144)</f>
        <v/>
      </c>
      <c r="F641" s="66" t="str">
        <f>IF(Third!F144="", "",Third!F144)</f>
        <v/>
      </c>
      <c r="G641" s="66" t="str">
        <f>IF(Third!G144="", "",Third!G144)</f>
        <v/>
      </c>
      <c r="H641" s="66" t="str">
        <f>IF(Third!H144="", "",Third!H144)</f>
        <v/>
      </c>
      <c r="I641" s="66" t="str">
        <f>IF(Third!I144="", "",Third!I144)</f>
        <v/>
      </c>
      <c r="J641" s="66" t="str">
        <f>IF(Third!J144="", "",Third!J144)</f>
        <v/>
      </c>
      <c r="K641" s="86" t="str">
        <f>IF(Third!K144="", "",Third!K144)</f>
        <v/>
      </c>
      <c r="M641" s="67" t="str">
        <f t="shared" si="29"/>
        <v/>
      </c>
      <c r="N641" s="76" t="str">
        <f t="shared" si="30"/>
        <v/>
      </c>
      <c r="O641" s="33">
        <f t="shared" si="28"/>
        <v>0</v>
      </c>
    </row>
    <row r="642" spans="1:15" x14ac:dyDescent="0.25">
      <c r="A642" s="64" t="s">
        <v>178</v>
      </c>
      <c r="B642" s="79" t="str">
        <f>IF(Third!B145="", "",Third!B145)</f>
        <v/>
      </c>
      <c r="C642" s="66" t="str">
        <f>IF(Third!C145="", "",Third!C145)</f>
        <v/>
      </c>
      <c r="D642" s="66" t="str">
        <f>IF(Third!D145="", "",Third!D145)</f>
        <v/>
      </c>
      <c r="E642" s="66" t="str">
        <f>IF(Third!E145="", "",Third!E145)</f>
        <v/>
      </c>
      <c r="F642" s="66" t="str">
        <f>IF(Third!F145="", "",Third!F145)</f>
        <v/>
      </c>
      <c r="G642" s="66" t="str">
        <f>IF(Third!G145="", "",Third!G145)</f>
        <v/>
      </c>
      <c r="H642" s="66" t="str">
        <f>IF(Third!H145="", "",Third!H145)</f>
        <v/>
      </c>
      <c r="I642" s="66" t="str">
        <f>IF(Third!I145="", "",Third!I145)</f>
        <v/>
      </c>
      <c r="J642" s="66" t="str">
        <f>IF(Third!J145="", "",Third!J145)</f>
        <v/>
      </c>
      <c r="K642" s="86" t="str">
        <f>IF(Third!K145="", "",Third!K145)</f>
        <v/>
      </c>
      <c r="M642" s="67" t="str">
        <f t="shared" si="29"/>
        <v/>
      </c>
      <c r="N642" s="76" t="str">
        <f t="shared" si="30"/>
        <v/>
      </c>
      <c r="O642" s="33">
        <f t="shared" ref="O642:O705" si="31">SUM(M642:N642)</f>
        <v>0</v>
      </c>
    </row>
    <row r="643" spans="1:15" x14ac:dyDescent="0.25">
      <c r="A643" s="64" t="s">
        <v>178</v>
      </c>
      <c r="B643" s="79" t="str">
        <f>IF(Third!B146="", "",Third!B146)</f>
        <v/>
      </c>
      <c r="C643" s="66" t="str">
        <f>IF(Third!C146="", "",Third!C146)</f>
        <v/>
      </c>
      <c r="D643" s="66" t="str">
        <f>IF(Third!D146="", "",Third!D146)</f>
        <v/>
      </c>
      <c r="E643" s="66" t="str">
        <f>IF(Third!E146="", "",Third!E146)</f>
        <v/>
      </c>
      <c r="F643" s="66" t="str">
        <f>IF(Third!F146="", "",Third!F146)</f>
        <v/>
      </c>
      <c r="G643" s="66" t="str">
        <f>IF(Third!G146="", "",Third!G146)</f>
        <v/>
      </c>
      <c r="H643" s="66" t="str">
        <f>IF(Third!H146="", "",Third!H146)</f>
        <v/>
      </c>
      <c r="I643" s="66" t="str">
        <f>IF(Third!I146="", "",Third!I146)</f>
        <v/>
      </c>
      <c r="J643" s="66" t="str">
        <f>IF(Third!J146="", "",Third!J146)</f>
        <v/>
      </c>
      <c r="K643" s="86" t="str">
        <f>IF(Third!K146="", "",Third!K146)</f>
        <v/>
      </c>
      <c r="M643" s="67" t="str">
        <f t="shared" ref="M643:M706" si="32">IF(C643="PwC",(7-COUNTIF(B643:H643,"")),"")</f>
        <v/>
      </c>
      <c r="N643" s="76" t="str">
        <f t="shared" ref="N643:N706" si="33">IF(C643="Carer",(7-COUNTIF(B643:H643,"")),"")</f>
        <v/>
      </c>
      <c r="O643" s="33">
        <f t="shared" si="31"/>
        <v>0</v>
      </c>
    </row>
    <row r="644" spans="1:15" x14ac:dyDescent="0.25">
      <c r="A644" s="64" t="s">
        <v>178</v>
      </c>
      <c r="B644" s="79" t="str">
        <f>IF(Third!B147="", "",Third!B147)</f>
        <v/>
      </c>
      <c r="C644" s="66" t="str">
        <f>IF(Third!C147="", "",Third!C147)</f>
        <v/>
      </c>
      <c r="D644" s="66" t="str">
        <f>IF(Third!D147="", "",Third!D147)</f>
        <v/>
      </c>
      <c r="E644" s="66" t="str">
        <f>IF(Third!E147="", "",Third!E147)</f>
        <v/>
      </c>
      <c r="F644" s="66" t="str">
        <f>IF(Third!F147="", "",Third!F147)</f>
        <v/>
      </c>
      <c r="G644" s="66" t="str">
        <f>IF(Third!G147="", "",Third!G147)</f>
        <v/>
      </c>
      <c r="H644" s="66" t="str">
        <f>IF(Third!H147="", "",Third!H147)</f>
        <v/>
      </c>
      <c r="I644" s="66" t="str">
        <f>IF(Third!I147="", "",Third!I147)</f>
        <v/>
      </c>
      <c r="J644" s="66" t="str">
        <f>IF(Third!J147="", "",Third!J147)</f>
        <v/>
      </c>
      <c r="K644" s="86" t="str">
        <f>IF(Third!K147="", "",Third!K147)</f>
        <v/>
      </c>
      <c r="M644" s="67" t="str">
        <f t="shared" si="32"/>
        <v/>
      </c>
      <c r="N644" s="76" t="str">
        <f t="shared" si="33"/>
        <v/>
      </c>
      <c r="O644" s="33">
        <f t="shared" si="31"/>
        <v>0</v>
      </c>
    </row>
    <row r="645" spans="1:15" x14ac:dyDescent="0.25">
      <c r="A645" s="64" t="s">
        <v>178</v>
      </c>
      <c r="B645" s="79" t="str">
        <f>IF(Third!B148="", "",Third!B148)</f>
        <v/>
      </c>
      <c r="C645" s="66" t="str">
        <f>IF(Third!C148="", "",Third!C148)</f>
        <v/>
      </c>
      <c r="D645" s="66" t="str">
        <f>IF(Third!D148="", "",Third!D148)</f>
        <v/>
      </c>
      <c r="E645" s="66" t="str">
        <f>IF(Third!E148="", "",Third!E148)</f>
        <v/>
      </c>
      <c r="F645" s="66" t="str">
        <f>IF(Third!F148="", "",Third!F148)</f>
        <v/>
      </c>
      <c r="G645" s="66" t="str">
        <f>IF(Third!G148="", "",Third!G148)</f>
        <v/>
      </c>
      <c r="H645" s="66" t="str">
        <f>IF(Third!H148="", "",Third!H148)</f>
        <v/>
      </c>
      <c r="I645" s="66" t="str">
        <f>IF(Third!I148="", "",Third!I148)</f>
        <v/>
      </c>
      <c r="J645" s="66" t="str">
        <f>IF(Third!J148="", "",Third!J148)</f>
        <v/>
      </c>
      <c r="K645" s="86" t="str">
        <f>IF(Third!K148="", "",Third!K148)</f>
        <v/>
      </c>
      <c r="M645" s="67" t="str">
        <f t="shared" si="32"/>
        <v/>
      </c>
      <c r="N645" s="76" t="str">
        <f t="shared" si="33"/>
        <v/>
      </c>
      <c r="O645" s="33">
        <f t="shared" si="31"/>
        <v>0</v>
      </c>
    </row>
    <row r="646" spans="1:15" x14ac:dyDescent="0.25">
      <c r="A646" s="64" t="s">
        <v>178</v>
      </c>
      <c r="B646" s="79" t="str">
        <f>IF(Third!B149="", "",Third!B149)</f>
        <v/>
      </c>
      <c r="C646" s="66" t="str">
        <f>IF(Third!C149="", "",Third!C149)</f>
        <v/>
      </c>
      <c r="D646" s="66" t="str">
        <f>IF(Third!D149="", "",Third!D149)</f>
        <v/>
      </c>
      <c r="E646" s="66" t="str">
        <f>IF(Third!E149="", "",Third!E149)</f>
        <v/>
      </c>
      <c r="F646" s="66" t="str">
        <f>IF(Third!F149="", "",Third!F149)</f>
        <v/>
      </c>
      <c r="G646" s="66" t="str">
        <f>IF(Third!G149="", "",Third!G149)</f>
        <v/>
      </c>
      <c r="H646" s="66" t="str">
        <f>IF(Third!H149="", "",Third!H149)</f>
        <v/>
      </c>
      <c r="I646" s="66" t="str">
        <f>IF(Third!I149="", "",Third!I149)</f>
        <v/>
      </c>
      <c r="J646" s="66" t="str">
        <f>IF(Third!J149="", "",Third!J149)</f>
        <v/>
      </c>
      <c r="K646" s="86" t="str">
        <f>IF(Third!K149="", "",Third!K149)</f>
        <v/>
      </c>
      <c r="M646" s="67" t="str">
        <f t="shared" si="32"/>
        <v/>
      </c>
      <c r="N646" s="76" t="str">
        <f t="shared" si="33"/>
        <v/>
      </c>
      <c r="O646" s="33">
        <f t="shared" si="31"/>
        <v>0</v>
      </c>
    </row>
    <row r="647" spans="1:15" x14ac:dyDescent="0.25">
      <c r="A647" s="64" t="s">
        <v>178</v>
      </c>
      <c r="B647" s="79" t="str">
        <f>IF(Third!B150="", "",Third!B150)</f>
        <v/>
      </c>
      <c r="C647" s="66" t="str">
        <f>IF(Third!C150="", "",Third!C150)</f>
        <v/>
      </c>
      <c r="D647" s="66" t="str">
        <f>IF(Third!D150="", "",Third!D150)</f>
        <v/>
      </c>
      <c r="E647" s="66" t="str">
        <f>IF(Third!E150="", "",Third!E150)</f>
        <v/>
      </c>
      <c r="F647" s="66" t="str">
        <f>IF(Third!F150="", "",Third!F150)</f>
        <v/>
      </c>
      <c r="G647" s="66" t="str">
        <f>IF(Third!G150="", "",Third!G150)</f>
        <v/>
      </c>
      <c r="H647" s="66" t="str">
        <f>IF(Third!H150="", "",Third!H150)</f>
        <v/>
      </c>
      <c r="I647" s="66" t="str">
        <f>IF(Third!I150="", "",Third!I150)</f>
        <v/>
      </c>
      <c r="J647" s="66" t="str">
        <f>IF(Third!J150="", "",Third!J150)</f>
        <v/>
      </c>
      <c r="K647" s="86" t="str">
        <f>IF(Third!K150="", "",Third!K150)</f>
        <v/>
      </c>
      <c r="M647" s="67" t="str">
        <f t="shared" si="32"/>
        <v/>
      </c>
      <c r="N647" s="76" t="str">
        <f t="shared" si="33"/>
        <v/>
      </c>
      <c r="O647" s="33">
        <f t="shared" si="31"/>
        <v>0</v>
      </c>
    </row>
    <row r="648" spans="1:15" x14ac:dyDescent="0.25">
      <c r="A648" s="64" t="s">
        <v>178</v>
      </c>
      <c r="B648" s="79" t="str">
        <f>IF(Third!B151="", "",Third!B151)</f>
        <v/>
      </c>
      <c r="C648" s="66" t="str">
        <f>IF(Third!C151="", "",Third!C151)</f>
        <v/>
      </c>
      <c r="D648" s="66" t="str">
        <f>IF(Third!D151="", "",Third!D151)</f>
        <v/>
      </c>
      <c r="E648" s="66" t="str">
        <f>IF(Third!E151="", "",Third!E151)</f>
        <v/>
      </c>
      <c r="F648" s="66" t="str">
        <f>IF(Third!F151="", "",Third!F151)</f>
        <v/>
      </c>
      <c r="G648" s="66" t="str">
        <f>IF(Third!G151="", "",Third!G151)</f>
        <v/>
      </c>
      <c r="H648" s="66" t="str">
        <f>IF(Third!H151="", "",Third!H151)</f>
        <v/>
      </c>
      <c r="I648" s="66" t="str">
        <f>IF(Third!I151="", "",Third!I151)</f>
        <v/>
      </c>
      <c r="J648" s="66" t="str">
        <f>IF(Third!J151="", "",Third!J151)</f>
        <v/>
      </c>
      <c r="K648" s="86" t="str">
        <f>IF(Third!K151="", "",Third!K151)</f>
        <v/>
      </c>
      <c r="M648" s="67" t="str">
        <f t="shared" si="32"/>
        <v/>
      </c>
      <c r="N648" s="76" t="str">
        <f t="shared" si="33"/>
        <v/>
      </c>
      <c r="O648" s="33">
        <f t="shared" si="31"/>
        <v>0</v>
      </c>
    </row>
    <row r="649" spans="1:15" x14ac:dyDescent="0.25">
      <c r="A649" s="64" t="s">
        <v>178</v>
      </c>
      <c r="B649" s="79" t="str">
        <f>IF(Third!B152="", "",Third!B152)</f>
        <v/>
      </c>
      <c r="C649" s="66" t="str">
        <f>IF(Third!C152="", "",Third!C152)</f>
        <v/>
      </c>
      <c r="D649" s="66" t="str">
        <f>IF(Third!D152="", "",Third!D152)</f>
        <v/>
      </c>
      <c r="E649" s="66" t="str">
        <f>IF(Third!E152="", "",Third!E152)</f>
        <v/>
      </c>
      <c r="F649" s="66" t="str">
        <f>IF(Third!F152="", "",Third!F152)</f>
        <v/>
      </c>
      <c r="G649" s="66" t="str">
        <f>IF(Third!G152="", "",Third!G152)</f>
        <v/>
      </c>
      <c r="H649" s="66" t="str">
        <f>IF(Third!H152="", "",Third!H152)</f>
        <v/>
      </c>
      <c r="I649" s="66" t="str">
        <f>IF(Third!I152="", "",Third!I152)</f>
        <v/>
      </c>
      <c r="J649" s="66" t="str">
        <f>IF(Third!J152="", "",Third!J152)</f>
        <v/>
      </c>
      <c r="K649" s="86" t="str">
        <f>IF(Third!K152="", "",Third!K152)</f>
        <v/>
      </c>
      <c r="M649" s="67" t="str">
        <f t="shared" si="32"/>
        <v/>
      </c>
      <c r="N649" s="76" t="str">
        <f t="shared" si="33"/>
        <v/>
      </c>
      <c r="O649" s="33">
        <f t="shared" si="31"/>
        <v>0</v>
      </c>
    </row>
    <row r="650" spans="1:15" x14ac:dyDescent="0.25">
      <c r="A650" s="64" t="s">
        <v>178</v>
      </c>
      <c r="B650" s="79" t="str">
        <f>IF(Third!B153="", "",Third!B153)</f>
        <v/>
      </c>
      <c r="C650" s="66" t="str">
        <f>IF(Third!C153="", "",Third!C153)</f>
        <v/>
      </c>
      <c r="D650" s="66" t="str">
        <f>IF(Third!D153="", "",Third!D153)</f>
        <v/>
      </c>
      <c r="E650" s="66" t="str">
        <f>IF(Third!E153="", "",Third!E153)</f>
        <v/>
      </c>
      <c r="F650" s="66" t="str">
        <f>IF(Third!F153="", "",Third!F153)</f>
        <v/>
      </c>
      <c r="G650" s="66" t="str">
        <f>IF(Third!G153="", "",Third!G153)</f>
        <v/>
      </c>
      <c r="H650" s="66" t="str">
        <f>IF(Third!H153="", "",Third!H153)</f>
        <v/>
      </c>
      <c r="I650" s="66" t="str">
        <f>IF(Third!I153="", "",Third!I153)</f>
        <v/>
      </c>
      <c r="J650" s="66" t="str">
        <f>IF(Third!J153="", "",Third!J153)</f>
        <v/>
      </c>
      <c r="K650" s="86" t="str">
        <f>IF(Third!K153="", "",Third!K153)</f>
        <v/>
      </c>
      <c r="M650" s="67" t="str">
        <f t="shared" si="32"/>
        <v/>
      </c>
      <c r="N650" s="76" t="str">
        <f t="shared" si="33"/>
        <v/>
      </c>
      <c r="O650" s="33">
        <f t="shared" si="31"/>
        <v>0</v>
      </c>
    </row>
    <row r="651" spans="1:15" x14ac:dyDescent="0.25">
      <c r="A651" s="64" t="s">
        <v>178</v>
      </c>
      <c r="B651" s="79" t="str">
        <f>IF(Third!B154="", "",Third!B154)</f>
        <v/>
      </c>
      <c r="C651" s="66" t="str">
        <f>IF(Third!C154="", "",Third!C154)</f>
        <v/>
      </c>
      <c r="D651" s="66" t="str">
        <f>IF(Third!D154="", "",Third!D154)</f>
        <v/>
      </c>
      <c r="E651" s="66" t="str">
        <f>IF(Third!E154="", "",Third!E154)</f>
        <v/>
      </c>
      <c r="F651" s="66" t="str">
        <f>IF(Third!F154="", "",Third!F154)</f>
        <v/>
      </c>
      <c r="G651" s="66" t="str">
        <f>IF(Third!G154="", "",Third!G154)</f>
        <v/>
      </c>
      <c r="H651" s="66" t="str">
        <f>IF(Third!H154="", "",Third!H154)</f>
        <v/>
      </c>
      <c r="I651" s="66" t="str">
        <f>IF(Third!I154="", "",Third!I154)</f>
        <v/>
      </c>
      <c r="J651" s="66" t="str">
        <f>IF(Third!J154="", "",Third!J154)</f>
        <v/>
      </c>
      <c r="K651" s="86" t="str">
        <f>IF(Third!K154="", "",Third!K154)</f>
        <v/>
      </c>
      <c r="M651" s="67" t="str">
        <f t="shared" si="32"/>
        <v/>
      </c>
      <c r="N651" s="76" t="str">
        <f t="shared" si="33"/>
        <v/>
      </c>
      <c r="O651" s="33">
        <f t="shared" si="31"/>
        <v>0</v>
      </c>
    </row>
    <row r="652" spans="1:15" x14ac:dyDescent="0.25">
      <c r="A652" s="64" t="s">
        <v>178</v>
      </c>
      <c r="B652" s="79" t="str">
        <f>IF(Third!B155="", "",Third!B155)</f>
        <v/>
      </c>
      <c r="C652" s="66" t="str">
        <f>IF(Third!C155="", "",Third!C155)</f>
        <v/>
      </c>
      <c r="D652" s="66" t="str">
        <f>IF(Third!D155="", "",Third!D155)</f>
        <v/>
      </c>
      <c r="E652" s="66" t="str">
        <f>IF(Third!E155="", "",Third!E155)</f>
        <v/>
      </c>
      <c r="F652" s="66" t="str">
        <f>IF(Third!F155="", "",Third!F155)</f>
        <v/>
      </c>
      <c r="G652" s="66" t="str">
        <f>IF(Third!G155="", "",Third!G155)</f>
        <v/>
      </c>
      <c r="H652" s="66" t="str">
        <f>IF(Third!H155="", "",Third!H155)</f>
        <v/>
      </c>
      <c r="I652" s="66" t="str">
        <f>IF(Third!I155="", "",Third!I155)</f>
        <v/>
      </c>
      <c r="J652" s="66" t="str">
        <f>IF(Third!J155="", "",Third!J155)</f>
        <v/>
      </c>
      <c r="K652" s="86" t="str">
        <f>IF(Third!K155="", "",Third!K155)</f>
        <v/>
      </c>
      <c r="M652" s="67" t="str">
        <f t="shared" si="32"/>
        <v/>
      </c>
      <c r="N652" s="76" t="str">
        <f t="shared" si="33"/>
        <v/>
      </c>
      <c r="O652" s="33">
        <f t="shared" si="31"/>
        <v>0</v>
      </c>
    </row>
    <row r="653" spans="1:15" x14ac:dyDescent="0.25">
      <c r="A653" s="64" t="s">
        <v>178</v>
      </c>
      <c r="B653" s="79" t="str">
        <f>IF(Third!B156="", "",Third!B156)</f>
        <v/>
      </c>
      <c r="C653" s="66" t="str">
        <f>IF(Third!C156="", "",Third!C156)</f>
        <v/>
      </c>
      <c r="D653" s="66" t="str">
        <f>IF(Third!D156="", "",Third!D156)</f>
        <v/>
      </c>
      <c r="E653" s="66" t="str">
        <f>IF(Third!E156="", "",Third!E156)</f>
        <v/>
      </c>
      <c r="F653" s="66" t="str">
        <f>IF(Third!F156="", "",Third!F156)</f>
        <v/>
      </c>
      <c r="G653" s="66" t="str">
        <f>IF(Third!G156="", "",Third!G156)</f>
        <v/>
      </c>
      <c r="H653" s="66" t="str">
        <f>IF(Third!H156="", "",Third!H156)</f>
        <v/>
      </c>
      <c r="I653" s="66" t="str">
        <f>IF(Third!I156="", "",Third!I156)</f>
        <v/>
      </c>
      <c r="J653" s="66" t="str">
        <f>IF(Third!J156="", "",Third!J156)</f>
        <v/>
      </c>
      <c r="K653" s="86" t="str">
        <f>IF(Third!K156="", "",Third!K156)</f>
        <v/>
      </c>
      <c r="M653" s="67" t="str">
        <f t="shared" si="32"/>
        <v/>
      </c>
      <c r="N653" s="76" t="str">
        <f t="shared" si="33"/>
        <v/>
      </c>
      <c r="O653" s="33">
        <f t="shared" si="31"/>
        <v>0</v>
      </c>
    </row>
    <row r="654" spans="1:15" x14ac:dyDescent="0.25">
      <c r="A654" s="64" t="s">
        <v>178</v>
      </c>
      <c r="B654" s="79" t="str">
        <f>IF(Third!B157="", "",Third!B157)</f>
        <v/>
      </c>
      <c r="C654" s="66" t="str">
        <f>IF(Third!C157="", "",Third!C157)</f>
        <v/>
      </c>
      <c r="D654" s="66" t="str">
        <f>IF(Third!D157="", "",Third!D157)</f>
        <v/>
      </c>
      <c r="E654" s="66" t="str">
        <f>IF(Third!E157="", "",Third!E157)</f>
        <v/>
      </c>
      <c r="F654" s="66" t="str">
        <f>IF(Third!F157="", "",Third!F157)</f>
        <v/>
      </c>
      <c r="G654" s="66" t="str">
        <f>IF(Third!G157="", "",Third!G157)</f>
        <v/>
      </c>
      <c r="H654" s="66" t="str">
        <f>IF(Third!H157="", "",Third!H157)</f>
        <v/>
      </c>
      <c r="I654" s="66" t="str">
        <f>IF(Third!I157="", "",Third!I157)</f>
        <v/>
      </c>
      <c r="J654" s="66" t="str">
        <f>IF(Third!J157="", "",Third!J157)</f>
        <v/>
      </c>
      <c r="K654" s="86" t="str">
        <f>IF(Third!K157="", "",Third!K157)</f>
        <v/>
      </c>
      <c r="M654" s="67" t="str">
        <f t="shared" si="32"/>
        <v/>
      </c>
      <c r="N654" s="76" t="str">
        <f t="shared" si="33"/>
        <v/>
      </c>
      <c r="O654" s="33">
        <f t="shared" si="31"/>
        <v>0</v>
      </c>
    </row>
    <row r="655" spans="1:15" x14ac:dyDescent="0.25">
      <c r="A655" s="64" t="s">
        <v>178</v>
      </c>
      <c r="B655" s="79" t="str">
        <f>IF(Third!B158="", "",Third!B158)</f>
        <v/>
      </c>
      <c r="C655" s="66" t="str">
        <f>IF(Third!C158="", "",Third!C158)</f>
        <v/>
      </c>
      <c r="D655" s="66" t="str">
        <f>IF(Third!D158="", "",Third!D158)</f>
        <v/>
      </c>
      <c r="E655" s="66" t="str">
        <f>IF(Third!E158="", "",Third!E158)</f>
        <v/>
      </c>
      <c r="F655" s="66" t="str">
        <f>IF(Third!F158="", "",Third!F158)</f>
        <v/>
      </c>
      <c r="G655" s="66" t="str">
        <f>IF(Third!G158="", "",Third!G158)</f>
        <v/>
      </c>
      <c r="H655" s="66" t="str">
        <f>IF(Third!H158="", "",Third!H158)</f>
        <v/>
      </c>
      <c r="I655" s="66" t="str">
        <f>IF(Third!I158="", "",Third!I158)</f>
        <v/>
      </c>
      <c r="J655" s="66" t="str">
        <f>IF(Third!J158="", "",Third!J158)</f>
        <v/>
      </c>
      <c r="K655" s="86" t="str">
        <f>IF(Third!K158="", "",Third!K158)</f>
        <v/>
      </c>
      <c r="M655" s="67" t="str">
        <f t="shared" si="32"/>
        <v/>
      </c>
      <c r="N655" s="76" t="str">
        <f t="shared" si="33"/>
        <v/>
      </c>
      <c r="O655" s="33">
        <f t="shared" si="31"/>
        <v>0</v>
      </c>
    </row>
    <row r="656" spans="1:15" x14ac:dyDescent="0.25">
      <c r="A656" s="64" t="s">
        <v>178</v>
      </c>
      <c r="B656" s="79" t="str">
        <f>IF(Third!B159="", "",Third!B159)</f>
        <v/>
      </c>
      <c r="C656" s="66" t="str">
        <f>IF(Third!C159="", "",Third!C159)</f>
        <v/>
      </c>
      <c r="D656" s="66" t="str">
        <f>IF(Third!D159="", "",Third!D159)</f>
        <v/>
      </c>
      <c r="E656" s="66" t="str">
        <f>IF(Third!E159="", "",Third!E159)</f>
        <v/>
      </c>
      <c r="F656" s="66" t="str">
        <f>IF(Third!F159="", "",Third!F159)</f>
        <v/>
      </c>
      <c r="G656" s="66" t="str">
        <f>IF(Third!G159="", "",Third!G159)</f>
        <v/>
      </c>
      <c r="H656" s="66" t="str">
        <f>IF(Third!H159="", "",Third!H159)</f>
        <v/>
      </c>
      <c r="I656" s="66" t="str">
        <f>IF(Third!I159="", "",Third!I159)</f>
        <v/>
      </c>
      <c r="J656" s="66" t="str">
        <f>IF(Third!J159="", "",Third!J159)</f>
        <v/>
      </c>
      <c r="K656" s="86" t="str">
        <f>IF(Third!K159="", "",Third!K159)</f>
        <v/>
      </c>
      <c r="M656" s="67" t="str">
        <f t="shared" si="32"/>
        <v/>
      </c>
      <c r="N656" s="76" t="str">
        <f t="shared" si="33"/>
        <v/>
      </c>
      <c r="O656" s="33">
        <f t="shared" si="31"/>
        <v>0</v>
      </c>
    </row>
    <row r="657" spans="1:15" x14ac:dyDescent="0.25">
      <c r="A657" s="64" t="s">
        <v>178</v>
      </c>
      <c r="B657" s="79" t="str">
        <f>IF(Third!B160="", "",Third!B160)</f>
        <v/>
      </c>
      <c r="C657" s="66" t="str">
        <f>IF(Third!C160="", "",Third!C160)</f>
        <v/>
      </c>
      <c r="D657" s="66" t="str">
        <f>IF(Third!D160="", "",Third!D160)</f>
        <v/>
      </c>
      <c r="E657" s="66" t="str">
        <f>IF(Third!E160="", "",Third!E160)</f>
        <v/>
      </c>
      <c r="F657" s="66" t="str">
        <f>IF(Third!F160="", "",Third!F160)</f>
        <v/>
      </c>
      <c r="G657" s="66" t="str">
        <f>IF(Third!G160="", "",Third!G160)</f>
        <v/>
      </c>
      <c r="H657" s="66" t="str">
        <f>IF(Third!H160="", "",Third!H160)</f>
        <v/>
      </c>
      <c r="I657" s="66" t="str">
        <f>IF(Third!I160="", "",Third!I160)</f>
        <v/>
      </c>
      <c r="J657" s="66" t="str">
        <f>IF(Third!J160="", "",Third!J160)</f>
        <v/>
      </c>
      <c r="K657" s="86" t="str">
        <f>IF(Third!K160="", "",Third!K160)</f>
        <v/>
      </c>
      <c r="M657" s="67" t="str">
        <f t="shared" si="32"/>
        <v/>
      </c>
      <c r="N657" s="76" t="str">
        <f t="shared" si="33"/>
        <v/>
      </c>
      <c r="O657" s="33">
        <f t="shared" si="31"/>
        <v>0</v>
      </c>
    </row>
    <row r="658" spans="1:15" x14ac:dyDescent="0.25">
      <c r="A658" s="64" t="s">
        <v>178</v>
      </c>
      <c r="B658" s="79" t="str">
        <f>IF(Third!B161="", "",Third!B161)</f>
        <v/>
      </c>
      <c r="C658" s="66" t="str">
        <f>IF(Third!C161="", "",Third!C161)</f>
        <v/>
      </c>
      <c r="D658" s="66" t="str">
        <f>IF(Third!D161="", "",Third!D161)</f>
        <v/>
      </c>
      <c r="E658" s="66" t="str">
        <f>IF(Third!E161="", "",Third!E161)</f>
        <v/>
      </c>
      <c r="F658" s="66" t="str">
        <f>IF(Third!F161="", "",Third!F161)</f>
        <v/>
      </c>
      <c r="G658" s="66" t="str">
        <f>IF(Third!G161="", "",Third!G161)</f>
        <v/>
      </c>
      <c r="H658" s="66" t="str">
        <f>IF(Third!H161="", "",Third!H161)</f>
        <v/>
      </c>
      <c r="I658" s="66" t="str">
        <f>IF(Third!I161="", "",Third!I161)</f>
        <v/>
      </c>
      <c r="J658" s="66" t="str">
        <f>IF(Third!J161="", "",Third!J161)</f>
        <v/>
      </c>
      <c r="K658" s="86" t="str">
        <f>IF(Third!K161="", "",Third!K161)</f>
        <v/>
      </c>
      <c r="M658" s="67" t="str">
        <f t="shared" si="32"/>
        <v/>
      </c>
      <c r="N658" s="76" t="str">
        <f t="shared" si="33"/>
        <v/>
      </c>
      <c r="O658" s="33">
        <f t="shared" si="31"/>
        <v>0</v>
      </c>
    </row>
    <row r="659" spans="1:15" x14ac:dyDescent="0.25">
      <c r="A659" s="64" t="s">
        <v>178</v>
      </c>
      <c r="B659" s="79" t="str">
        <f>IF(Third!B162="", "",Third!B162)</f>
        <v/>
      </c>
      <c r="C659" s="66" t="str">
        <f>IF(Third!C162="", "",Third!C162)</f>
        <v/>
      </c>
      <c r="D659" s="66" t="str">
        <f>IF(Third!D162="", "",Third!D162)</f>
        <v/>
      </c>
      <c r="E659" s="66" t="str">
        <f>IF(Third!E162="", "",Third!E162)</f>
        <v/>
      </c>
      <c r="F659" s="66" t="str">
        <f>IF(Third!F162="", "",Third!F162)</f>
        <v/>
      </c>
      <c r="G659" s="66" t="str">
        <f>IF(Third!G162="", "",Third!G162)</f>
        <v/>
      </c>
      <c r="H659" s="66" t="str">
        <f>IF(Third!H162="", "",Third!H162)</f>
        <v/>
      </c>
      <c r="I659" s="66" t="str">
        <f>IF(Third!I162="", "",Third!I162)</f>
        <v/>
      </c>
      <c r="J659" s="66" t="str">
        <f>IF(Third!J162="", "",Third!J162)</f>
        <v/>
      </c>
      <c r="K659" s="86" t="str">
        <f>IF(Third!K162="", "",Third!K162)</f>
        <v/>
      </c>
      <c r="M659" s="67" t="str">
        <f t="shared" si="32"/>
        <v/>
      </c>
      <c r="N659" s="76" t="str">
        <f t="shared" si="33"/>
        <v/>
      </c>
      <c r="O659" s="33">
        <f t="shared" si="31"/>
        <v>0</v>
      </c>
    </row>
    <row r="660" spans="1:15" x14ac:dyDescent="0.25">
      <c r="A660" s="64" t="s">
        <v>178</v>
      </c>
      <c r="B660" s="79" t="str">
        <f>IF(Third!B163="", "",Third!B163)</f>
        <v/>
      </c>
      <c r="C660" s="66" t="str">
        <f>IF(Third!C163="", "",Third!C163)</f>
        <v/>
      </c>
      <c r="D660" s="66" t="str">
        <f>IF(Third!D163="", "",Third!D163)</f>
        <v/>
      </c>
      <c r="E660" s="66" t="str">
        <f>IF(Third!E163="", "",Third!E163)</f>
        <v/>
      </c>
      <c r="F660" s="66" t="str">
        <f>IF(Third!F163="", "",Third!F163)</f>
        <v/>
      </c>
      <c r="G660" s="66" t="str">
        <f>IF(Third!G163="", "",Third!G163)</f>
        <v/>
      </c>
      <c r="H660" s="66" t="str">
        <f>IF(Third!H163="", "",Third!H163)</f>
        <v/>
      </c>
      <c r="I660" s="66" t="str">
        <f>IF(Third!I163="", "",Third!I163)</f>
        <v/>
      </c>
      <c r="J660" s="66" t="str">
        <f>IF(Third!J163="", "",Third!J163)</f>
        <v/>
      </c>
      <c r="K660" s="86" t="str">
        <f>IF(Third!K163="", "",Third!K163)</f>
        <v/>
      </c>
      <c r="M660" s="67" t="str">
        <f t="shared" si="32"/>
        <v/>
      </c>
      <c r="N660" s="76" t="str">
        <f t="shared" si="33"/>
        <v/>
      </c>
      <c r="O660" s="33">
        <f t="shared" si="31"/>
        <v>0</v>
      </c>
    </row>
    <row r="661" spans="1:15" x14ac:dyDescent="0.25">
      <c r="A661" s="64" t="s">
        <v>178</v>
      </c>
      <c r="B661" s="79" t="str">
        <f>IF(Third!B164="", "",Third!B164)</f>
        <v/>
      </c>
      <c r="C661" s="66" t="str">
        <f>IF(Third!C164="", "",Third!C164)</f>
        <v/>
      </c>
      <c r="D661" s="66" t="str">
        <f>IF(Third!D164="", "",Third!D164)</f>
        <v/>
      </c>
      <c r="E661" s="66" t="str">
        <f>IF(Third!E164="", "",Third!E164)</f>
        <v/>
      </c>
      <c r="F661" s="66" t="str">
        <f>IF(Third!F164="", "",Third!F164)</f>
        <v/>
      </c>
      <c r="G661" s="66" t="str">
        <f>IF(Third!G164="", "",Third!G164)</f>
        <v/>
      </c>
      <c r="H661" s="66" t="str">
        <f>IF(Third!H164="", "",Third!H164)</f>
        <v/>
      </c>
      <c r="I661" s="66" t="str">
        <f>IF(Third!I164="", "",Third!I164)</f>
        <v/>
      </c>
      <c r="J661" s="66" t="str">
        <f>IF(Third!J164="", "",Third!J164)</f>
        <v/>
      </c>
      <c r="K661" s="86" t="str">
        <f>IF(Third!K164="", "",Third!K164)</f>
        <v/>
      </c>
      <c r="M661" s="67" t="str">
        <f t="shared" si="32"/>
        <v/>
      </c>
      <c r="N661" s="76" t="str">
        <f t="shared" si="33"/>
        <v/>
      </c>
      <c r="O661" s="33">
        <f t="shared" si="31"/>
        <v>0</v>
      </c>
    </row>
    <row r="662" spans="1:15" x14ac:dyDescent="0.25">
      <c r="A662" s="64" t="s">
        <v>178</v>
      </c>
      <c r="B662" s="79" t="str">
        <f>IF(Third!B165="", "",Third!B165)</f>
        <v/>
      </c>
      <c r="C662" s="66" t="str">
        <f>IF(Third!C165="", "",Third!C165)</f>
        <v/>
      </c>
      <c r="D662" s="66" t="str">
        <f>IF(Third!D165="", "",Third!D165)</f>
        <v/>
      </c>
      <c r="E662" s="66" t="str">
        <f>IF(Third!E165="", "",Third!E165)</f>
        <v/>
      </c>
      <c r="F662" s="66" t="str">
        <f>IF(Third!F165="", "",Third!F165)</f>
        <v/>
      </c>
      <c r="G662" s="66" t="str">
        <f>IF(Third!G165="", "",Third!G165)</f>
        <v/>
      </c>
      <c r="H662" s="66" t="str">
        <f>IF(Third!H165="", "",Third!H165)</f>
        <v/>
      </c>
      <c r="I662" s="66" t="str">
        <f>IF(Third!I165="", "",Third!I165)</f>
        <v/>
      </c>
      <c r="J662" s="66" t="str">
        <f>IF(Third!J165="", "",Third!J165)</f>
        <v/>
      </c>
      <c r="K662" s="86" t="str">
        <f>IF(Third!K165="", "",Third!K165)</f>
        <v/>
      </c>
      <c r="M662" s="67" t="str">
        <f t="shared" si="32"/>
        <v/>
      </c>
      <c r="N662" s="76" t="str">
        <f t="shared" si="33"/>
        <v/>
      </c>
      <c r="O662" s="33">
        <f t="shared" si="31"/>
        <v>0</v>
      </c>
    </row>
    <row r="663" spans="1:15" x14ac:dyDescent="0.25">
      <c r="A663" s="64" t="s">
        <v>178</v>
      </c>
      <c r="B663" s="79" t="str">
        <f>IF(Third!B166="", "",Third!B166)</f>
        <v/>
      </c>
      <c r="C663" s="66" t="str">
        <f>IF(Third!C166="", "",Third!C166)</f>
        <v/>
      </c>
      <c r="D663" s="66" t="str">
        <f>IF(Third!D166="", "",Third!D166)</f>
        <v/>
      </c>
      <c r="E663" s="66" t="str">
        <f>IF(Third!E166="", "",Third!E166)</f>
        <v/>
      </c>
      <c r="F663" s="66" t="str">
        <f>IF(Third!F166="", "",Third!F166)</f>
        <v/>
      </c>
      <c r="G663" s="66" t="str">
        <f>IF(Third!G166="", "",Third!G166)</f>
        <v/>
      </c>
      <c r="H663" s="66" t="str">
        <f>IF(Third!H166="", "",Third!H166)</f>
        <v/>
      </c>
      <c r="I663" s="66" t="str">
        <f>IF(Third!I166="", "",Third!I166)</f>
        <v/>
      </c>
      <c r="J663" s="66" t="str">
        <f>IF(Third!J166="", "",Third!J166)</f>
        <v/>
      </c>
      <c r="K663" s="86" t="str">
        <f>IF(Third!K166="", "",Third!K166)</f>
        <v/>
      </c>
      <c r="M663" s="67" t="str">
        <f t="shared" si="32"/>
        <v/>
      </c>
      <c r="N663" s="76" t="str">
        <f t="shared" si="33"/>
        <v/>
      </c>
      <c r="O663" s="33">
        <f t="shared" si="31"/>
        <v>0</v>
      </c>
    </row>
    <row r="664" spans="1:15" x14ac:dyDescent="0.25">
      <c r="A664" s="64" t="s">
        <v>178</v>
      </c>
      <c r="B664" s="79" t="str">
        <f>IF(Third!B167="", "",Third!B167)</f>
        <v/>
      </c>
      <c r="C664" s="66" t="str">
        <f>IF(Third!C167="", "",Third!C167)</f>
        <v/>
      </c>
      <c r="D664" s="66" t="str">
        <f>IF(Third!D167="", "",Third!D167)</f>
        <v/>
      </c>
      <c r="E664" s="66" t="str">
        <f>IF(Third!E167="", "",Third!E167)</f>
        <v/>
      </c>
      <c r="F664" s="66" t="str">
        <f>IF(Third!F167="", "",Third!F167)</f>
        <v/>
      </c>
      <c r="G664" s="66" t="str">
        <f>IF(Third!G167="", "",Third!G167)</f>
        <v/>
      </c>
      <c r="H664" s="66" t="str">
        <f>IF(Third!H167="", "",Third!H167)</f>
        <v/>
      </c>
      <c r="I664" s="66" t="str">
        <f>IF(Third!I167="", "",Third!I167)</f>
        <v/>
      </c>
      <c r="J664" s="66" t="str">
        <f>IF(Third!J167="", "",Third!J167)</f>
        <v/>
      </c>
      <c r="K664" s="86" t="str">
        <f>IF(Third!K167="", "",Third!K167)</f>
        <v/>
      </c>
      <c r="M664" s="67" t="str">
        <f t="shared" si="32"/>
        <v/>
      </c>
      <c r="N664" s="76" t="str">
        <f t="shared" si="33"/>
        <v/>
      </c>
      <c r="O664" s="33">
        <f t="shared" si="31"/>
        <v>0</v>
      </c>
    </row>
    <row r="665" spans="1:15" x14ac:dyDescent="0.25">
      <c r="A665" s="64" t="s">
        <v>178</v>
      </c>
      <c r="B665" s="79" t="str">
        <f>IF(Third!B168="", "",Third!B168)</f>
        <v/>
      </c>
      <c r="C665" s="66" t="str">
        <f>IF(Third!C168="", "",Third!C168)</f>
        <v/>
      </c>
      <c r="D665" s="66" t="str">
        <f>IF(Third!D168="", "",Third!D168)</f>
        <v/>
      </c>
      <c r="E665" s="66" t="str">
        <f>IF(Third!E168="", "",Third!E168)</f>
        <v/>
      </c>
      <c r="F665" s="66" t="str">
        <f>IF(Third!F168="", "",Third!F168)</f>
        <v/>
      </c>
      <c r="G665" s="66" t="str">
        <f>IF(Third!G168="", "",Third!G168)</f>
        <v/>
      </c>
      <c r="H665" s="66" t="str">
        <f>IF(Third!H168="", "",Third!H168)</f>
        <v/>
      </c>
      <c r="I665" s="66" t="str">
        <f>IF(Third!I168="", "",Third!I168)</f>
        <v/>
      </c>
      <c r="J665" s="66" t="str">
        <f>IF(Third!J168="", "",Third!J168)</f>
        <v/>
      </c>
      <c r="K665" s="86" t="str">
        <f>IF(Third!K168="", "",Third!K168)</f>
        <v/>
      </c>
      <c r="M665" s="67" t="str">
        <f t="shared" si="32"/>
        <v/>
      </c>
      <c r="N665" s="76" t="str">
        <f t="shared" si="33"/>
        <v/>
      </c>
      <c r="O665" s="33">
        <f t="shared" si="31"/>
        <v>0</v>
      </c>
    </row>
    <row r="666" spans="1:15" x14ac:dyDescent="0.25">
      <c r="A666" s="64" t="s">
        <v>178</v>
      </c>
      <c r="B666" s="79" t="str">
        <f>IF(Third!B169="", "",Third!B169)</f>
        <v/>
      </c>
      <c r="C666" s="66" t="str">
        <f>IF(Third!C169="", "",Third!C169)</f>
        <v/>
      </c>
      <c r="D666" s="66" t="str">
        <f>IF(Third!D169="", "",Third!D169)</f>
        <v/>
      </c>
      <c r="E666" s="66" t="str">
        <f>IF(Third!E169="", "",Third!E169)</f>
        <v/>
      </c>
      <c r="F666" s="66" t="str">
        <f>IF(Third!F169="", "",Third!F169)</f>
        <v/>
      </c>
      <c r="G666" s="66" t="str">
        <f>IF(Third!G169="", "",Third!G169)</f>
        <v/>
      </c>
      <c r="H666" s="66" t="str">
        <f>IF(Third!H169="", "",Third!H169)</f>
        <v/>
      </c>
      <c r="I666" s="66" t="str">
        <f>IF(Third!I169="", "",Third!I169)</f>
        <v/>
      </c>
      <c r="J666" s="66" t="str">
        <f>IF(Third!J169="", "",Third!J169)</f>
        <v/>
      </c>
      <c r="K666" s="86" t="str">
        <f>IF(Third!K169="", "",Third!K169)</f>
        <v/>
      </c>
      <c r="M666" s="67" t="str">
        <f t="shared" si="32"/>
        <v/>
      </c>
      <c r="N666" s="76" t="str">
        <f t="shared" si="33"/>
        <v/>
      </c>
      <c r="O666" s="33">
        <f t="shared" si="31"/>
        <v>0</v>
      </c>
    </row>
    <row r="667" spans="1:15" x14ac:dyDescent="0.25">
      <c r="A667" s="64" t="s">
        <v>178</v>
      </c>
      <c r="B667" s="79" t="str">
        <f>IF(Third!B170="", "",Third!B170)</f>
        <v/>
      </c>
      <c r="C667" s="66" t="str">
        <f>IF(Third!C170="", "",Third!C170)</f>
        <v/>
      </c>
      <c r="D667" s="66" t="str">
        <f>IF(Third!D170="", "",Third!D170)</f>
        <v/>
      </c>
      <c r="E667" s="66" t="str">
        <f>IF(Third!E170="", "",Third!E170)</f>
        <v/>
      </c>
      <c r="F667" s="66" t="str">
        <f>IF(Third!F170="", "",Third!F170)</f>
        <v/>
      </c>
      <c r="G667" s="66" t="str">
        <f>IF(Third!G170="", "",Third!G170)</f>
        <v/>
      </c>
      <c r="H667" s="66" t="str">
        <f>IF(Third!H170="", "",Third!H170)</f>
        <v/>
      </c>
      <c r="I667" s="66" t="str">
        <f>IF(Third!I170="", "",Third!I170)</f>
        <v/>
      </c>
      <c r="J667" s="66" t="str">
        <f>IF(Third!J170="", "",Third!J170)</f>
        <v/>
      </c>
      <c r="K667" s="86" t="str">
        <f>IF(Third!K170="", "",Third!K170)</f>
        <v/>
      </c>
      <c r="M667" s="67" t="str">
        <f t="shared" si="32"/>
        <v/>
      </c>
      <c r="N667" s="76" t="str">
        <f t="shared" si="33"/>
        <v/>
      </c>
      <c r="O667" s="33">
        <f t="shared" si="31"/>
        <v>0</v>
      </c>
    </row>
    <row r="668" spans="1:15" x14ac:dyDescent="0.25">
      <c r="A668" s="64" t="s">
        <v>178</v>
      </c>
      <c r="B668" s="79" t="str">
        <f>IF(Third!B171="", "",Third!B171)</f>
        <v/>
      </c>
      <c r="C668" s="66" t="str">
        <f>IF(Third!C171="", "",Third!C171)</f>
        <v/>
      </c>
      <c r="D668" s="66" t="str">
        <f>IF(Third!D171="", "",Third!D171)</f>
        <v/>
      </c>
      <c r="E668" s="66" t="str">
        <f>IF(Third!E171="", "",Third!E171)</f>
        <v/>
      </c>
      <c r="F668" s="66" t="str">
        <f>IF(Third!F171="", "",Third!F171)</f>
        <v/>
      </c>
      <c r="G668" s="66" t="str">
        <f>IF(Third!G171="", "",Third!G171)</f>
        <v/>
      </c>
      <c r="H668" s="66" t="str">
        <f>IF(Third!H171="", "",Third!H171)</f>
        <v/>
      </c>
      <c r="I668" s="66" t="str">
        <f>IF(Third!I171="", "",Third!I171)</f>
        <v/>
      </c>
      <c r="J668" s="66" t="str">
        <f>IF(Third!J171="", "",Third!J171)</f>
        <v/>
      </c>
      <c r="K668" s="86" t="str">
        <f>IF(Third!K171="", "",Third!K171)</f>
        <v/>
      </c>
      <c r="M668" s="67" t="str">
        <f t="shared" si="32"/>
        <v/>
      </c>
      <c r="N668" s="76" t="str">
        <f t="shared" si="33"/>
        <v/>
      </c>
      <c r="O668" s="33">
        <f t="shared" si="31"/>
        <v>0</v>
      </c>
    </row>
    <row r="669" spans="1:15" x14ac:dyDescent="0.25">
      <c r="A669" s="64" t="s">
        <v>178</v>
      </c>
      <c r="B669" s="79" t="str">
        <f>IF(Third!B172="", "",Third!B172)</f>
        <v/>
      </c>
      <c r="C669" s="66" t="str">
        <f>IF(Third!C172="", "",Third!C172)</f>
        <v/>
      </c>
      <c r="D669" s="66" t="str">
        <f>IF(Third!D172="", "",Third!D172)</f>
        <v/>
      </c>
      <c r="E669" s="66" t="str">
        <f>IF(Third!E172="", "",Third!E172)</f>
        <v/>
      </c>
      <c r="F669" s="66" t="str">
        <f>IF(Third!F172="", "",Third!F172)</f>
        <v/>
      </c>
      <c r="G669" s="66" t="str">
        <f>IF(Third!G172="", "",Third!G172)</f>
        <v/>
      </c>
      <c r="H669" s="66" t="str">
        <f>IF(Third!H172="", "",Third!H172)</f>
        <v/>
      </c>
      <c r="I669" s="66" t="str">
        <f>IF(Third!I172="", "",Third!I172)</f>
        <v/>
      </c>
      <c r="J669" s="66" t="str">
        <f>IF(Third!J172="", "",Third!J172)</f>
        <v/>
      </c>
      <c r="K669" s="86" t="str">
        <f>IF(Third!K172="", "",Third!K172)</f>
        <v/>
      </c>
      <c r="M669" s="67" t="str">
        <f t="shared" si="32"/>
        <v/>
      </c>
      <c r="N669" s="76" t="str">
        <f t="shared" si="33"/>
        <v/>
      </c>
      <c r="O669" s="33">
        <f t="shared" si="31"/>
        <v>0</v>
      </c>
    </row>
    <row r="670" spans="1:15" x14ac:dyDescent="0.25">
      <c r="A670" s="64" t="s">
        <v>178</v>
      </c>
      <c r="B670" s="79" t="str">
        <f>IF(Third!B173="", "",Third!B173)</f>
        <v/>
      </c>
      <c r="C670" s="66" t="str">
        <f>IF(Third!C173="", "",Third!C173)</f>
        <v/>
      </c>
      <c r="D670" s="66" t="str">
        <f>IF(Third!D173="", "",Third!D173)</f>
        <v/>
      </c>
      <c r="E670" s="66" t="str">
        <f>IF(Third!E173="", "",Third!E173)</f>
        <v/>
      </c>
      <c r="F670" s="66" t="str">
        <f>IF(Third!F173="", "",Third!F173)</f>
        <v/>
      </c>
      <c r="G670" s="66" t="str">
        <f>IF(Third!G173="", "",Third!G173)</f>
        <v/>
      </c>
      <c r="H670" s="66" t="str">
        <f>IF(Third!H173="", "",Third!H173)</f>
        <v/>
      </c>
      <c r="I670" s="66" t="str">
        <f>IF(Third!I173="", "",Third!I173)</f>
        <v/>
      </c>
      <c r="J670" s="66" t="str">
        <f>IF(Third!J173="", "",Third!J173)</f>
        <v/>
      </c>
      <c r="K670" s="86" t="str">
        <f>IF(Third!K173="", "",Third!K173)</f>
        <v/>
      </c>
      <c r="M670" s="67" t="str">
        <f t="shared" si="32"/>
        <v/>
      </c>
      <c r="N670" s="76" t="str">
        <f t="shared" si="33"/>
        <v/>
      </c>
      <c r="O670" s="33">
        <f t="shared" si="31"/>
        <v>0</v>
      </c>
    </row>
    <row r="671" spans="1:15" x14ac:dyDescent="0.25">
      <c r="A671" s="64" t="s">
        <v>178</v>
      </c>
      <c r="B671" s="79" t="str">
        <f>IF(Third!B174="", "",Third!B174)</f>
        <v/>
      </c>
      <c r="C671" s="66" t="str">
        <f>IF(Third!C174="", "",Third!C174)</f>
        <v/>
      </c>
      <c r="D671" s="66" t="str">
        <f>IF(Third!D174="", "",Third!D174)</f>
        <v/>
      </c>
      <c r="E671" s="66" t="str">
        <f>IF(Third!E174="", "",Third!E174)</f>
        <v/>
      </c>
      <c r="F671" s="66" t="str">
        <f>IF(Third!F174="", "",Third!F174)</f>
        <v/>
      </c>
      <c r="G671" s="66" t="str">
        <f>IF(Third!G174="", "",Third!G174)</f>
        <v/>
      </c>
      <c r="H671" s="66" t="str">
        <f>IF(Third!H174="", "",Third!H174)</f>
        <v/>
      </c>
      <c r="I671" s="66" t="str">
        <f>IF(Third!I174="", "",Third!I174)</f>
        <v/>
      </c>
      <c r="J671" s="66" t="str">
        <f>IF(Third!J174="", "",Third!J174)</f>
        <v/>
      </c>
      <c r="K671" s="86" t="str">
        <f>IF(Third!K174="", "",Third!K174)</f>
        <v/>
      </c>
      <c r="M671" s="67" t="str">
        <f t="shared" si="32"/>
        <v/>
      </c>
      <c r="N671" s="76" t="str">
        <f t="shared" si="33"/>
        <v/>
      </c>
      <c r="O671" s="33">
        <f t="shared" si="31"/>
        <v>0</v>
      </c>
    </row>
    <row r="672" spans="1:15" x14ac:dyDescent="0.25">
      <c r="A672" s="64" t="s">
        <v>178</v>
      </c>
      <c r="B672" s="79" t="str">
        <f>IF(Third!B175="", "",Third!B175)</f>
        <v/>
      </c>
      <c r="C672" s="66" t="str">
        <f>IF(Third!C175="", "",Third!C175)</f>
        <v/>
      </c>
      <c r="D672" s="66" t="str">
        <f>IF(Third!D175="", "",Third!D175)</f>
        <v/>
      </c>
      <c r="E672" s="66" t="str">
        <f>IF(Third!E175="", "",Third!E175)</f>
        <v/>
      </c>
      <c r="F672" s="66" t="str">
        <f>IF(Third!F175="", "",Third!F175)</f>
        <v/>
      </c>
      <c r="G672" s="66" t="str">
        <f>IF(Third!G175="", "",Third!G175)</f>
        <v/>
      </c>
      <c r="H672" s="66" t="str">
        <f>IF(Third!H175="", "",Third!H175)</f>
        <v/>
      </c>
      <c r="I672" s="66" t="str">
        <f>IF(Third!I175="", "",Third!I175)</f>
        <v/>
      </c>
      <c r="J672" s="66" t="str">
        <f>IF(Third!J175="", "",Third!J175)</f>
        <v/>
      </c>
      <c r="K672" s="86" t="str">
        <f>IF(Third!K175="", "",Third!K175)</f>
        <v/>
      </c>
      <c r="M672" s="67" t="str">
        <f t="shared" si="32"/>
        <v/>
      </c>
      <c r="N672" s="76" t="str">
        <f t="shared" si="33"/>
        <v/>
      </c>
      <c r="O672" s="33">
        <f t="shared" si="31"/>
        <v>0</v>
      </c>
    </row>
    <row r="673" spans="1:15" x14ac:dyDescent="0.25">
      <c r="A673" s="64" t="s">
        <v>178</v>
      </c>
      <c r="B673" s="79" t="str">
        <f>IF(Third!B176="", "",Third!B176)</f>
        <v/>
      </c>
      <c r="C673" s="66" t="str">
        <f>IF(Third!C176="", "",Third!C176)</f>
        <v/>
      </c>
      <c r="D673" s="66" t="str">
        <f>IF(Third!D176="", "",Third!D176)</f>
        <v/>
      </c>
      <c r="E673" s="66" t="str">
        <f>IF(Third!E176="", "",Third!E176)</f>
        <v/>
      </c>
      <c r="F673" s="66" t="str">
        <f>IF(Third!F176="", "",Third!F176)</f>
        <v/>
      </c>
      <c r="G673" s="66" t="str">
        <f>IF(Third!G176="", "",Third!G176)</f>
        <v/>
      </c>
      <c r="H673" s="66" t="str">
        <f>IF(Third!H176="", "",Third!H176)</f>
        <v/>
      </c>
      <c r="I673" s="66" t="str">
        <f>IF(Third!I176="", "",Third!I176)</f>
        <v/>
      </c>
      <c r="J673" s="66" t="str">
        <f>IF(Third!J176="", "",Third!J176)</f>
        <v/>
      </c>
      <c r="K673" s="86" t="str">
        <f>IF(Third!K176="", "",Third!K176)</f>
        <v/>
      </c>
      <c r="M673" s="67" t="str">
        <f t="shared" si="32"/>
        <v/>
      </c>
      <c r="N673" s="76" t="str">
        <f t="shared" si="33"/>
        <v/>
      </c>
      <c r="O673" s="33">
        <f t="shared" si="31"/>
        <v>0</v>
      </c>
    </row>
    <row r="674" spans="1:15" x14ac:dyDescent="0.25">
      <c r="A674" s="64" t="s">
        <v>178</v>
      </c>
      <c r="B674" s="79" t="str">
        <f>IF(Third!B177="", "",Third!B177)</f>
        <v/>
      </c>
      <c r="C674" s="66" t="str">
        <f>IF(Third!C177="", "",Third!C177)</f>
        <v/>
      </c>
      <c r="D674" s="66" t="str">
        <f>IF(Third!D177="", "",Third!D177)</f>
        <v/>
      </c>
      <c r="E674" s="66" t="str">
        <f>IF(Third!E177="", "",Third!E177)</f>
        <v/>
      </c>
      <c r="F674" s="66" t="str">
        <f>IF(Third!F177="", "",Third!F177)</f>
        <v/>
      </c>
      <c r="G674" s="66" t="str">
        <f>IF(Third!G177="", "",Third!G177)</f>
        <v/>
      </c>
      <c r="H674" s="66" t="str">
        <f>IF(Third!H177="", "",Third!H177)</f>
        <v/>
      </c>
      <c r="I674" s="66" t="str">
        <f>IF(Third!I177="", "",Third!I177)</f>
        <v/>
      </c>
      <c r="J674" s="66" t="str">
        <f>IF(Third!J177="", "",Third!J177)</f>
        <v/>
      </c>
      <c r="K674" s="86" t="str">
        <f>IF(Third!K177="", "",Third!K177)</f>
        <v/>
      </c>
      <c r="M674" s="67" t="str">
        <f t="shared" si="32"/>
        <v/>
      </c>
      <c r="N674" s="76" t="str">
        <f t="shared" si="33"/>
        <v/>
      </c>
      <c r="O674" s="33">
        <f t="shared" si="31"/>
        <v>0</v>
      </c>
    </row>
    <row r="675" spans="1:15" x14ac:dyDescent="0.25">
      <c r="A675" s="64" t="s">
        <v>178</v>
      </c>
      <c r="B675" s="79" t="str">
        <f>IF(Third!B178="", "",Third!B178)</f>
        <v/>
      </c>
      <c r="C675" s="66" t="str">
        <f>IF(Third!C178="", "",Third!C178)</f>
        <v/>
      </c>
      <c r="D675" s="66" t="str">
        <f>IF(Third!D178="", "",Third!D178)</f>
        <v/>
      </c>
      <c r="E675" s="66" t="str">
        <f>IF(Third!E178="", "",Third!E178)</f>
        <v/>
      </c>
      <c r="F675" s="66" t="str">
        <f>IF(Third!F178="", "",Third!F178)</f>
        <v/>
      </c>
      <c r="G675" s="66" t="str">
        <f>IF(Third!G178="", "",Third!G178)</f>
        <v/>
      </c>
      <c r="H675" s="66" t="str">
        <f>IF(Third!H178="", "",Third!H178)</f>
        <v/>
      </c>
      <c r="I675" s="66" t="str">
        <f>IF(Third!I178="", "",Third!I178)</f>
        <v/>
      </c>
      <c r="J675" s="66" t="str">
        <f>IF(Third!J178="", "",Third!J178)</f>
        <v/>
      </c>
      <c r="K675" s="86" t="str">
        <f>IF(Third!K178="", "",Third!K178)</f>
        <v/>
      </c>
      <c r="M675" s="67" t="str">
        <f t="shared" si="32"/>
        <v/>
      </c>
      <c r="N675" s="76" t="str">
        <f t="shared" si="33"/>
        <v/>
      </c>
      <c r="O675" s="33">
        <f t="shared" si="31"/>
        <v>0</v>
      </c>
    </row>
    <row r="676" spans="1:15" x14ac:dyDescent="0.25">
      <c r="A676" s="64" t="s">
        <v>178</v>
      </c>
      <c r="B676" s="79" t="str">
        <f>IF(Third!B179="", "",Third!B179)</f>
        <v/>
      </c>
      <c r="C676" s="66" t="str">
        <f>IF(Third!C179="", "",Third!C179)</f>
        <v/>
      </c>
      <c r="D676" s="66" t="str">
        <f>IF(Third!D179="", "",Third!D179)</f>
        <v/>
      </c>
      <c r="E676" s="66" t="str">
        <f>IF(Third!E179="", "",Third!E179)</f>
        <v/>
      </c>
      <c r="F676" s="66" t="str">
        <f>IF(Third!F179="", "",Third!F179)</f>
        <v/>
      </c>
      <c r="G676" s="66" t="str">
        <f>IF(Third!G179="", "",Third!G179)</f>
        <v/>
      </c>
      <c r="H676" s="66" t="str">
        <f>IF(Third!H179="", "",Third!H179)</f>
        <v/>
      </c>
      <c r="I676" s="66" t="str">
        <f>IF(Third!I179="", "",Third!I179)</f>
        <v/>
      </c>
      <c r="J676" s="66" t="str">
        <f>IF(Third!J179="", "",Third!J179)</f>
        <v/>
      </c>
      <c r="K676" s="86" t="str">
        <f>IF(Third!K179="", "",Third!K179)</f>
        <v/>
      </c>
      <c r="M676" s="67" t="str">
        <f t="shared" si="32"/>
        <v/>
      </c>
      <c r="N676" s="76" t="str">
        <f t="shared" si="33"/>
        <v/>
      </c>
      <c r="O676" s="33">
        <f t="shared" si="31"/>
        <v>0</v>
      </c>
    </row>
    <row r="677" spans="1:15" x14ac:dyDescent="0.25">
      <c r="A677" s="64" t="s">
        <v>178</v>
      </c>
      <c r="B677" s="79" t="str">
        <f>IF(Third!B180="", "",Third!B180)</f>
        <v/>
      </c>
      <c r="C677" s="66" t="str">
        <f>IF(Third!C180="", "",Third!C180)</f>
        <v/>
      </c>
      <c r="D677" s="66" t="str">
        <f>IF(Third!D180="", "",Third!D180)</f>
        <v/>
      </c>
      <c r="E677" s="66" t="str">
        <f>IF(Third!E180="", "",Third!E180)</f>
        <v/>
      </c>
      <c r="F677" s="66" t="str">
        <f>IF(Third!F180="", "",Third!F180)</f>
        <v/>
      </c>
      <c r="G677" s="66" t="str">
        <f>IF(Third!G180="", "",Third!G180)</f>
        <v/>
      </c>
      <c r="H677" s="66" t="str">
        <f>IF(Third!H180="", "",Third!H180)</f>
        <v/>
      </c>
      <c r="I677" s="66" t="str">
        <f>IF(Third!I180="", "",Third!I180)</f>
        <v/>
      </c>
      <c r="J677" s="66" t="str">
        <f>IF(Third!J180="", "",Third!J180)</f>
        <v/>
      </c>
      <c r="K677" s="86" t="str">
        <f>IF(Third!K180="", "",Third!K180)</f>
        <v/>
      </c>
      <c r="M677" s="67" t="str">
        <f t="shared" si="32"/>
        <v/>
      </c>
      <c r="N677" s="76" t="str">
        <f t="shared" si="33"/>
        <v/>
      </c>
      <c r="O677" s="33">
        <f t="shared" si="31"/>
        <v>0</v>
      </c>
    </row>
    <row r="678" spans="1:15" x14ac:dyDescent="0.25">
      <c r="A678" s="64" t="s">
        <v>178</v>
      </c>
      <c r="B678" s="79" t="str">
        <f>IF(Third!B181="", "",Third!B181)</f>
        <v/>
      </c>
      <c r="C678" s="66" t="str">
        <f>IF(Third!C181="", "",Third!C181)</f>
        <v/>
      </c>
      <c r="D678" s="66" t="str">
        <f>IF(Third!D181="", "",Third!D181)</f>
        <v/>
      </c>
      <c r="E678" s="66" t="str">
        <f>IF(Third!E181="", "",Third!E181)</f>
        <v/>
      </c>
      <c r="F678" s="66" t="str">
        <f>IF(Third!F181="", "",Third!F181)</f>
        <v/>
      </c>
      <c r="G678" s="66" t="str">
        <f>IF(Third!G181="", "",Third!G181)</f>
        <v/>
      </c>
      <c r="H678" s="66" t="str">
        <f>IF(Third!H181="", "",Third!H181)</f>
        <v/>
      </c>
      <c r="I678" s="66" t="str">
        <f>IF(Third!I181="", "",Third!I181)</f>
        <v/>
      </c>
      <c r="J678" s="66" t="str">
        <f>IF(Third!J181="", "",Third!J181)</f>
        <v/>
      </c>
      <c r="K678" s="86" t="str">
        <f>IF(Third!K181="", "",Third!K181)</f>
        <v/>
      </c>
      <c r="M678" s="67" t="str">
        <f t="shared" si="32"/>
        <v/>
      </c>
      <c r="N678" s="76" t="str">
        <f t="shared" si="33"/>
        <v/>
      </c>
      <c r="O678" s="33">
        <f t="shared" si="31"/>
        <v>0</v>
      </c>
    </row>
    <row r="679" spans="1:15" x14ac:dyDescent="0.25">
      <c r="A679" s="64" t="s">
        <v>178</v>
      </c>
      <c r="B679" s="79" t="str">
        <f>IF(Third!B182="", "",Third!B182)</f>
        <v/>
      </c>
      <c r="C679" s="66" t="str">
        <f>IF(Third!C182="", "",Third!C182)</f>
        <v/>
      </c>
      <c r="D679" s="66" t="str">
        <f>IF(Third!D182="", "",Third!D182)</f>
        <v/>
      </c>
      <c r="E679" s="66" t="str">
        <f>IF(Third!E182="", "",Third!E182)</f>
        <v/>
      </c>
      <c r="F679" s="66" t="str">
        <f>IF(Third!F182="", "",Third!F182)</f>
        <v/>
      </c>
      <c r="G679" s="66" t="str">
        <f>IF(Third!G182="", "",Third!G182)</f>
        <v/>
      </c>
      <c r="H679" s="66" t="str">
        <f>IF(Third!H182="", "",Third!H182)</f>
        <v/>
      </c>
      <c r="I679" s="66" t="str">
        <f>IF(Third!I182="", "",Third!I182)</f>
        <v/>
      </c>
      <c r="J679" s="66" t="str">
        <f>IF(Third!J182="", "",Third!J182)</f>
        <v/>
      </c>
      <c r="K679" s="86" t="str">
        <f>IF(Third!K182="", "",Third!K182)</f>
        <v/>
      </c>
      <c r="M679" s="67" t="str">
        <f t="shared" si="32"/>
        <v/>
      </c>
      <c r="N679" s="76" t="str">
        <f t="shared" si="33"/>
        <v/>
      </c>
      <c r="O679" s="33">
        <f t="shared" si="31"/>
        <v>0</v>
      </c>
    </row>
    <row r="680" spans="1:15" x14ac:dyDescent="0.25">
      <c r="A680" s="64" t="s">
        <v>178</v>
      </c>
      <c r="B680" s="79" t="str">
        <f>IF(Third!B183="", "",Third!B183)</f>
        <v/>
      </c>
      <c r="C680" s="66" t="str">
        <f>IF(Third!C183="", "",Third!C183)</f>
        <v/>
      </c>
      <c r="D680" s="66" t="str">
        <f>IF(Third!D183="", "",Third!D183)</f>
        <v/>
      </c>
      <c r="E680" s="66" t="str">
        <f>IF(Third!E183="", "",Third!E183)</f>
        <v/>
      </c>
      <c r="F680" s="66" t="str">
        <f>IF(Third!F183="", "",Third!F183)</f>
        <v/>
      </c>
      <c r="G680" s="66" t="str">
        <f>IF(Third!G183="", "",Third!G183)</f>
        <v/>
      </c>
      <c r="H680" s="66" t="str">
        <f>IF(Third!H183="", "",Third!H183)</f>
        <v/>
      </c>
      <c r="I680" s="66" t="str">
        <f>IF(Third!I183="", "",Third!I183)</f>
        <v/>
      </c>
      <c r="J680" s="66" t="str">
        <f>IF(Third!J183="", "",Third!J183)</f>
        <v/>
      </c>
      <c r="K680" s="86" t="str">
        <f>IF(Third!K183="", "",Third!K183)</f>
        <v/>
      </c>
      <c r="M680" s="67" t="str">
        <f t="shared" si="32"/>
        <v/>
      </c>
      <c r="N680" s="76" t="str">
        <f t="shared" si="33"/>
        <v/>
      </c>
      <c r="O680" s="33">
        <f t="shared" si="31"/>
        <v>0</v>
      </c>
    </row>
    <row r="681" spans="1:15" x14ac:dyDescent="0.25">
      <c r="A681" s="64" t="s">
        <v>178</v>
      </c>
      <c r="B681" s="79" t="str">
        <f>IF(Third!B184="", "",Third!B184)</f>
        <v/>
      </c>
      <c r="C681" s="66" t="str">
        <f>IF(Third!C184="", "",Third!C184)</f>
        <v/>
      </c>
      <c r="D681" s="66" t="str">
        <f>IF(Third!D184="", "",Third!D184)</f>
        <v/>
      </c>
      <c r="E681" s="66" t="str">
        <f>IF(Third!E184="", "",Third!E184)</f>
        <v/>
      </c>
      <c r="F681" s="66" t="str">
        <f>IF(Third!F184="", "",Third!F184)</f>
        <v/>
      </c>
      <c r="G681" s="66" t="str">
        <f>IF(Third!G184="", "",Third!G184)</f>
        <v/>
      </c>
      <c r="H681" s="66" t="str">
        <f>IF(Third!H184="", "",Third!H184)</f>
        <v/>
      </c>
      <c r="I681" s="66" t="str">
        <f>IF(Third!I184="", "",Third!I184)</f>
        <v/>
      </c>
      <c r="J681" s="66" t="str">
        <f>IF(Third!J184="", "",Third!J184)</f>
        <v/>
      </c>
      <c r="K681" s="86" t="str">
        <f>IF(Third!K184="", "",Third!K184)</f>
        <v/>
      </c>
      <c r="M681" s="67" t="str">
        <f t="shared" si="32"/>
        <v/>
      </c>
      <c r="N681" s="76" t="str">
        <f t="shared" si="33"/>
        <v/>
      </c>
      <c r="O681" s="33">
        <f t="shared" si="31"/>
        <v>0</v>
      </c>
    </row>
    <row r="682" spans="1:15" x14ac:dyDescent="0.25">
      <c r="A682" s="64" t="s">
        <v>178</v>
      </c>
      <c r="B682" s="79" t="str">
        <f>IF(Third!B185="", "",Third!B185)</f>
        <v/>
      </c>
      <c r="C682" s="66" t="str">
        <f>IF(Third!C185="", "",Third!C185)</f>
        <v/>
      </c>
      <c r="D682" s="66" t="str">
        <f>IF(Third!D185="", "",Third!D185)</f>
        <v/>
      </c>
      <c r="E682" s="66" t="str">
        <f>IF(Third!E185="", "",Third!E185)</f>
        <v/>
      </c>
      <c r="F682" s="66" t="str">
        <f>IF(Third!F185="", "",Third!F185)</f>
        <v/>
      </c>
      <c r="G682" s="66" t="str">
        <f>IF(Third!G185="", "",Third!G185)</f>
        <v/>
      </c>
      <c r="H682" s="66" t="str">
        <f>IF(Third!H185="", "",Third!H185)</f>
        <v/>
      </c>
      <c r="I682" s="66" t="str">
        <f>IF(Third!I185="", "",Third!I185)</f>
        <v/>
      </c>
      <c r="J682" s="66" t="str">
        <f>IF(Third!J185="", "",Third!J185)</f>
        <v/>
      </c>
      <c r="K682" s="86" t="str">
        <f>IF(Third!K185="", "",Third!K185)</f>
        <v/>
      </c>
      <c r="M682" s="67" t="str">
        <f t="shared" si="32"/>
        <v/>
      </c>
      <c r="N682" s="76" t="str">
        <f t="shared" si="33"/>
        <v/>
      </c>
      <c r="O682" s="33">
        <f t="shared" si="31"/>
        <v>0</v>
      </c>
    </row>
    <row r="683" spans="1:15" x14ac:dyDescent="0.25">
      <c r="A683" s="64" t="s">
        <v>178</v>
      </c>
      <c r="B683" s="79" t="str">
        <f>IF(Third!B186="", "",Third!B186)</f>
        <v/>
      </c>
      <c r="C683" s="66" t="str">
        <f>IF(Third!C186="", "",Third!C186)</f>
        <v/>
      </c>
      <c r="D683" s="66" t="str">
        <f>IF(Third!D186="", "",Third!D186)</f>
        <v/>
      </c>
      <c r="E683" s="66" t="str">
        <f>IF(Third!E186="", "",Third!E186)</f>
        <v/>
      </c>
      <c r="F683" s="66" t="str">
        <f>IF(Third!F186="", "",Third!F186)</f>
        <v/>
      </c>
      <c r="G683" s="66" t="str">
        <f>IF(Third!G186="", "",Third!G186)</f>
        <v/>
      </c>
      <c r="H683" s="66" t="str">
        <f>IF(Third!H186="", "",Third!H186)</f>
        <v/>
      </c>
      <c r="I683" s="66" t="str">
        <f>IF(Third!I186="", "",Third!I186)</f>
        <v/>
      </c>
      <c r="J683" s="66" t="str">
        <f>IF(Third!J186="", "",Third!J186)</f>
        <v/>
      </c>
      <c r="K683" s="86" t="str">
        <f>IF(Third!K186="", "",Third!K186)</f>
        <v/>
      </c>
      <c r="M683" s="67" t="str">
        <f t="shared" si="32"/>
        <v/>
      </c>
      <c r="N683" s="76" t="str">
        <f t="shared" si="33"/>
        <v/>
      </c>
      <c r="O683" s="33">
        <f t="shared" si="31"/>
        <v>0</v>
      </c>
    </row>
    <row r="684" spans="1:15" x14ac:dyDescent="0.25">
      <c r="A684" s="64" t="s">
        <v>178</v>
      </c>
      <c r="B684" s="79" t="str">
        <f>IF(Third!B187="", "",Third!B187)</f>
        <v/>
      </c>
      <c r="C684" s="66" t="str">
        <f>IF(Third!C187="", "",Third!C187)</f>
        <v/>
      </c>
      <c r="D684" s="66" t="str">
        <f>IF(Third!D187="", "",Third!D187)</f>
        <v/>
      </c>
      <c r="E684" s="66" t="str">
        <f>IF(Third!E187="", "",Third!E187)</f>
        <v/>
      </c>
      <c r="F684" s="66" t="str">
        <f>IF(Third!F187="", "",Third!F187)</f>
        <v/>
      </c>
      <c r="G684" s="66" t="str">
        <f>IF(Third!G187="", "",Third!G187)</f>
        <v/>
      </c>
      <c r="H684" s="66" t="str">
        <f>IF(Third!H187="", "",Third!H187)</f>
        <v/>
      </c>
      <c r="I684" s="66" t="str">
        <f>IF(Third!I187="", "",Third!I187)</f>
        <v/>
      </c>
      <c r="J684" s="66" t="str">
        <f>IF(Third!J187="", "",Third!J187)</f>
        <v/>
      </c>
      <c r="K684" s="86" t="str">
        <f>IF(Third!K187="", "",Third!K187)</f>
        <v/>
      </c>
      <c r="M684" s="67" t="str">
        <f t="shared" si="32"/>
        <v/>
      </c>
      <c r="N684" s="76" t="str">
        <f t="shared" si="33"/>
        <v/>
      </c>
      <c r="O684" s="33">
        <f t="shared" si="31"/>
        <v>0</v>
      </c>
    </row>
    <row r="685" spans="1:15" x14ac:dyDescent="0.25">
      <c r="A685" s="64" t="s">
        <v>178</v>
      </c>
      <c r="B685" s="79" t="str">
        <f>IF(Third!B188="", "",Third!B188)</f>
        <v/>
      </c>
      <c r="C685" s="66" t="str">
        <f>IF(Third!C188="", "",Third!C188)</f>
        <v/>
      </c>
      <c r="D685" s="66" t="str">
        <f>IF(Third!D188="", "",Third!D188)</f>
        <v/>
      </c>
      <c r="E685" s="66" t="str">
        <f>IF(Third!E188="", "",Third!E188)</f>
        <v/>
      </c>
      <c r="F685" s="66" t="str">
        <f>IF(Third!F188="", "",Third!F188)</f>
        <v/>
      </c>
      <c r="G685" s="66" t="str">
        <f>IF(Third!G188="", "",Third!G188)</f>
        <v/>
      </c>
      <c r="H685" s="66" t="str">
        <f>IF(Third!H188="", "",Third!H188)</f>
        <v/>
      </c>
      <c r="I685" s="66" t="str">
        <f>IF(Third!I188="", "",Third!I188)</f>
        <v/>
      </c>
      <c r="J685" s="66" t="str">
        <f>IF(Third!J188="", "",Third!J188)</f>
        <v/>
      </c>
      <c r="K685" s="86" t="str">
        <f>IF(Third!K188="", "",Third!K188)</f>
        <v/>
      </c>
      <c r="M685" s="67" t="str">
        <f t="shared" si="32"/>
        <v/>
      </c>
      <c r="N685" s="76" t="str">
        <f t="shared" si="33"/>
        <v/>
      </c>
      <c r="O685" s="33">
        <f t="shared" si="31"/>
        <v>0</v>
      </c>
    </row>
    <row r="686" spans="1:15" x14ac:dyDescent="0.25">
      <c r="A686" s="64" t="s">
        <v>178</v>
      </c>
      <c r="B686" s="79" t="str">
        <f>IF(Third!B189="", "",Third!B189)</f>
        <v/>
      </c>
      <c r="C686" s="66" t="str">
        <f>IF(Third!C189="", "",Third!C189)</f>
        <v/>
      </c>
      <c r="D686" s="66" t="str">
        <f>IF(Third!D189="", "",Third!D189)</f>
        <v/>
      </c>
      <c r="E686" s="66" t="str">
        <f>IF(Third!E189="", "",Third!E189)</f>
        <v/>
      </c>
      <c r="F686" s="66" t="str">
        <f>IF(Third!F189="", "",Third!F189)</f>
        <v/>
      </c>
      <c r="G686" s="66" t="str">
        <f>IF(Third!G189="", "",Third!G189)</f>
        <v/>
      </c>
      <c r="H686" s="66" t="str">
        <f>IF(Third!H189="", "",Third!H189)</f>
        <v/>
      </c>
      <c r="I686" s="66" t="str">
        <f>IF(Third!I189="", "",Third!I189)</f>
        <v/>
      </c>
      <c r="J686" s="66" t="str">
        <f>IF(Third!J189="", "",Third!J189)</f>
        <v/>
      </c>
      <c r="K686" s="86" t="str">
        <f>IF(Third!K189="", "",Third!K189)</f>
        <v/>
      </c>
      <c r="M686" s="67" t="str">
        <f t="shared" si="32"/>
        <v/>
      </c>
      <c r="N686" s="76" t="str">
        <f t="shared" si="33"/>
        <v/>
      </c>
      <c r="O686" s="33">
        <f t="shared" si="31"/>
        <v>0</v>
      </c>
    </row>
    <row r="687" spans="1:15" x14ac:dyDescent="0.25">
      <c r="A687" s="64" t="s">
        <v>178</v>
      </c>
      <c r="B687" s="79" t="str">
        <f>IF(Third!B190="", "",Third!B190)</f>
        <v/>
      </c>
      <c r="C687" s="66" t="str">
        <f>IF(Third!C190="", "",Third!C190)</f>
        <v/>
      </c>
      <c r="D687" s="66" t="str">
        <f>IF(Third!D190="", "",Third!D190)</f>
        <v/>
      </c>
      <c r="E687" s="66" t="str">
        <f>IF(Third!E190="", "",Third!E190)</f>
        <v/>
      </c>
      <c r="F687" s="66" t="str">
        <f>IF(Third!F190="", "",Third!F190)</f>
        <v/>
      </c>
      <c r="G687" s="66" t="str">
        <f>IF(Third!G190="", "",Third!G190)</f>
        <v/>
      </c>
      <c r="H687" s="66" t="str">
        <f>IF(Third!H190="", "",Third!H190)</f>
        <v/>
      </c>
      <c r="I687" s="66" t="str">
        <f>IF(Third!I190="", "",Third!I190)</f>
        <v/>
      </c>
      <c r="J687" s="66" t="str">
        <f>IF(Third!J190="", "",Third!J190)</f>
        <v/>
      </c>
      <c r="K687" s="86" t="str">
        <f>IF(Third!K190="", "",Third!K190)</f>
        <v/>
      </c>
      <c r="M687" s="67" t="str">
        <f t="shared" si="32"/>
        <v/>
      </c>
      <c r="N687" s="76" t="str">
        <f t="shared" si="33"/>
        <v/>
      </c>
      <c r="O687" s="33">
        <f t="shared" si="31"/>
        <v>0</v>
      </c>
    </row>
    <row r="688" spans="1:15" x14ac:dyDescent="0.25">
      <c r="A688" s="64" t="s">
        <v>178</v>
      </c>
      <c r="B688" s="79" t="str">
        <f>IF(Third!B191="", "",Third!B191)</f>
        <v/>
      </c>
      <c r="C688" s="66" t="str">
        <f>IF(Third!C191="", "",Third!C191)</f>
        <v/>
      </c>
      <c r="D688" s="66" t="str">
        <f>IF(Third!D191="", "",Third!D191)</f>
        <v/>
      </c>
      <c r="E688" s="66" t="str">
        <f>IF(Third!E191="", "",Third!E191)</f>
        <v/>
      </c>
      <c r="F688" s="66" t="str">
        <f>IF(Third!F191="", "",Third!F191)</f>
        <v/>
      </c>
      <c r="G688" s="66" t="str">
        <f>IF(Third!G191="", "",Third!G191)</f>
        <v/>
      </c>
      <c r="H688" s="66" t="str">
        <f>IF(Third!H191="", "",Third!H191)</f>
        <v/>
      </c>
      <c r="I688" s="66" t="str">
        <f>IF(Third!I191="", "",Third!I191)</f>
        <v/>
      </c>
      <c r="J688" s="66" t="str">
        <f>IF(Third!J191="", "",Third!J191)</f>
        <v/>
      </c>
      <c r="K688" s="86" t="str">
        <f>IF(Third!K191="", "",Third!K191)</f>
        <v/>
      </c>
      <c r="M688" s="67" t="str">
        <f t="shared" si="32"/>
        <v/>
      </c>
      <c r="N688" s="76" t="str">
        <f t="shared" si="33"/>
        <v/>
      </c>
      <c r="O688" s="33">
        <f t="shared" si="31"/>
        <v>0</v>
      </c>
    </row>
    <row r="689" spans="1:15" x14ac:dyDescent="0.25">
      <c r="A689" s="64" t="s">
        <v>178</v>
      </c>
      <c r="B689" s="79" t="str">
        <f>IF(Third!B192="", "",Third!B192)</f>
        <v/>
      </c>
      <c r="C689" s="66" t="str">
        <f>IF(Third!C192="", "",Third!C192)</f>
        <v/>
      </c>
      <c r="D689" s="66" t="str">
        <f>IF(Third!D192="", "",Third!D192)</f>
        <v/>
      </c>
      <c r="E689" s="66" t="str">
        <f>IF(Third!E192="", "",Third!E192)</f>
        <v/>
      </c>
      <c r="F689" s="66" t="str">
        <f>IF(Third!F192="", "",Third!F192)</f>
        <v/>
      </c>
      <c r="G689" s="66" t="str">
        <f>IF(Third!G192="", "",Third!G192)</f>
        <v/>
      </c>
      <c r="H689" s="66" t="str">
        <f>IF(Third!H192="", "",Third!H192)</f>
        <v/>
      </c>
      <c r="I689" s="66" t="str">
        <f>IF(Third!I192="", "",Third!I192)</f>
        <v/>
      </c>
      <c r="J689" s="66" t="str">
        <f>IF(Third!J192="", "",Third!J192)</f>
        <v/>
      </c>
      <c r="K689" s="86" t="str">
        <f>IF(Third!K192="", "",Third!K192)</f>
        <v/>
      </c>
      <c r="M689" s="67" t="str">
        <f t="shared" si="32"/>
        <v/>
      </c>
      <c r="N689" s="76" t="str">
        <f t="shared" si="33"/>
        <v/>
      </c>
      <c r="O689" s="33">
        <f t="shared" si="31"/>
        <v>0</v>
      </c>
    </row>
    <row r="690" spans="1:15" x14ac:dyDescent="0.25">
      <c r="A690" s="64" t="s">
        <v>178</v>
      </c>
      <c r="B690" s="79" t="str">
        <f>IF(Third!B193="", "",Third!B193)</f>
        <v/>
      </c>
      <c r="C690" s="66" t="str">
        <f>IF(Third!C193="", "",Third!C193)</f>
        <v/>
      </c>
      <c r="D690" s="66" t="str">
        <f>IF(Third!D193="", "",Third!D193)</f>
        <v/>
      </c>
      <c r="E690" s="66" t="str">
        <f>IF(Third!E193="", "",Third!E193)</f>
        <v/>
      </c>
      <c r="F690" s="66" t="str">
        <f>IF(Third!F193="", "",Third!F193)</f>
        <v/>
      </c>
      <c r="G690" s="66" t="str">
        <f>IF(Third!G193="", "",Third!G193)</f>
        <v/>
      </c>
      <c r="H690" s="66" t="str">
        <f>IF(Third!H193="", "",Third!H193)</f>
        <v/>
      </c>
      <c r="I690" s="66" t="str">
        <f>IF(Third!I193="", "",Third!I193)</f>
        <v/>
      </c>
      <c r="J690" s="66" t="str">
        <f>IF(Third!J193="", "",Third!J193)</f>
        <v/>
      </c>
      <c r="K690" s="86" t="str">
        <f>IF(Third!K193="", "",Third!K193)</f>
        <v/>
      </c>
      <c r="M690" s="67" t="str">
        <f t="shared" si="32"/>
        <v/>
      </c>
      <c r="N690" s="76" t="str">
        <f t="shared" si="33"/>
        <v/>
      </c>
      <c r="O690" s="33">
        <f t="shared" si="31"/>
        <v>0</v>
      </c>
    </row>
    <row r="691" spans="1:15" x14ac:dyDescent="0.25">
      <c r="A691" s="64" t="s">
        <v>178</v>
      </c>
      <c r="B691" s="79" t="str">
        <f>IF(Third!B194="", "",Third!B194)</f>
        <v/>
      </c>
      <c r="C691" s="66" t="str">
        <f>IF(Third!C194="", "",Third!C194)</f>
        <v/>
      </c>
      <c r="D691" s="66" t="str">
        <f>IF(Third!D194="", "",Third!D194)</f>
        <v/>
      </c>
      <c r="E691" s="66" t="str">
        <f>IF(Third!E194="", "",Third!E194)</f>
        <v/>
      </c>
      <c r="F691" s="66" t="str">
        <f>IF(Third!F194="", "",Third!F194)</f>
        <v/>
      </c>
      <c r="G691" s="66" t="str">
        <f>IF(Third!G194="", "",Third!G194)</f>
        <v/>
      </c>
      <c r="H691" s="66" t="str">
        <f>IF(Third!H194="", "",Third!H194)</f>
        <v/>
      </c>
      <c r="I691" s="66" t="str">
        <f>IF(Third!I194="", "",Third!I194)</f>
        <v/>
      </c>
      <c r="J691" s="66" t="str">
        <f>IF(Third!J194="", "",Third!J194)</f>
        <v/>
      </c>
      <c r="K691" s="86" t="str">
        <f>IF(Third!K194="", "",Third!K194)</f>
        <v/>
      </c>
      <c r="M691" s="67" t="str">
        <f t="shared" si="32"/>
        <v/>
      </c>
      <c r="N691" s="76" t="str">
        <f t="shared" si="33"/>
        <v/>
      </c>
      <c r="O691" s="33">
        <f t="shared" si="31"/>
        <v>0</v>
      </c>
    </row>
    <row r="692" spans="1:15" x14ac:dyDescent="0.25">
      <c r="A692" s="64" t="s">
        <v>178</v>
      </c>
      <c r="B692" s="79" t="str">
        <f>IF(Third!B195="", "",Third!B195)</f>
        <v/>
      </c>
      <c r="C692" s="66" t="str">
        <f>IF(Third!C195="", "",Third!C195)</f>
        <v/>
      </c>
      <c r="D692" s="66" t="str">
        <f>IF(Third!D195="", "",Third!D195)</f>
        <v/>
      </c>
      <c r="E692" s="66" t="str">
        <f>IF(Third!E195="", "",Third!E195)</f>
        <v/>
      </c>
      <c r="F692" s="66" t="str">
        <f>IF(Third!F195="", "",Third!F195)</f>
        <v/>
      </c>
      <c r="G692" s="66" t="str">
        <f>IF(Third!G195="", "",Third!G195)</f>
        <v/>
      </c>
      <c r="H692" s="66" t="str">
        <f>IF(Third!H195="", "",Third!H195)</f>
        <v/>
      </c>
      <c r="I692" s="66" t="str">
        <f>IF(Third!I195="", "",Third!I195)</f>
        <v/>
      </c>
      <c r="J692" s="66" t="str">
        <f>IF(Third!J195="", "",Third!J195)</f>
        <v/>
      </c>
      <c r="K692" s="86" t="str">
        <f>IF(Third!K195="", "",Third!K195)</f>
        <v/>
      </c>
      <c r="M692" s="67" t="str">
        <f t="shared" si="32"/>
        <v/>
      </c>
      <c r="N692" s="76" t="str">
        <f t="shared" si="33"/>
        <v/>
      </c>
      <c r="O692" s="33">
        <f t="shared" si="31"/>
        <v>0</v>
      </c>
    </row>
    <row r="693" spans="1:15" x14ac:dyDescent="0.25">
      <c r="A693" s="64" t="s">
        <v>178</v>
      </c>
      <c r="B693" s="79" t="str">
        <f>IF(Third!B196="", "",Third!B196)</f>
        <v/>
      </c>
      <c r="C693" s="66" t="str">
        <f>IF(Third!C196="", "",Third!C196)</f>
        <v/>
      </c>
      <c r="D693" s="66" t="str">
        <f>IF(Third!D196="", "",Third!D196)</f>
        <v/>
      </c>
      <c r="E693" s="66" t="str">
        <f>IF(Third!E196="", "",Third!E196)</f>
        <v/>
      </c>
      <c r="F693" s="66" t="str">
        <f>IF(Third!F196="", "",Third!F196)</f>
        <v/>
      </c>
      <c r="G693" s="66" t="str">
        <f>IF(Third!G196="", "",Third!G196)</f>
        <v/>
      </c>
      <c r="H693" s="66" t="str">
        <f>IF(Third!H196="", "",Third!H196)</f>
        <v/>
      </c>
      <c r="I693" s="66" t="str">
        <f>IF(Third!I196="", "",Third!I196)</f>
        <v/>
      </c>
      <c r="J693" s="66" t="str">
        <f>IF(Third!J196="", "",Third!J196)</f>
        <v/>
      </c>
      <c r="K693" s="86" t="str">
        <f>IF(Third!K196="", "",Third!K196)</f>
        <v/>
      </c>
      <c r="M693" s="67" t="str">
        <f t="shared" si="32"/>
        <v/>
      </c>
      <c r="N693" s="76" t="str">
        <f t="shared" si="33"/>
        <v/>
      </c>
      <c r="O693" s="33">
        <f t="shared" si="31"/>
        <v>0</v>
      </c>
    </row>
    <row r="694" spans="1:15" x14ac:dyDescent="0.25">
      <c r="A694" s="64" t="s">
        <v>178</v>
      </c>
      <c r="B694" s="79" t="str">
        <f>IF(Third!B197="", "",Third!B197)</f>
        <v/>
      </c>
      <c r="C694" s="66" t="str">
        <f>IF(Third!C197="", "",Third!C197)</f>
        <v/>
      </c>
      <c r="D694" s="66" t="str">
        <f>IF(Third!D197="", "",Third!D197)</f>
        <v/>
      </c>
      <c r="E694" s="66" t="str">
        <f>IF(Third!E197="", "",Third!E197)</f>
        <v/>
      </c>
      <c r="F694" s="66" t="str">
        <f>IF(Third!F197="", "",Third!F197)</f>
        <v/>
      </c>
      <c r="G694" s="66" t="str">
        <f>IF(Third!G197="", "",Third!G197)</f>
        <v/>
      </c>
      <c r="H694" s="66" t="str">
        <f>IF(Third!H197="", "",Third!H197)</f>
        <v/>
      </c>
      <c r="I694" s="66" t="str">
        <f>IF(Third!I197="", "",Third!I197)</f>
        <v/>
      </c>
      <c r="J694" s="66" t="str">
        <f>IF(Third!J197="", "",Third!J197)</f>
        <v/>
      </c>
      <c r="K694" s="86" t="str">
        <f>IF(Third!K197="", "",Third!K197)</f>
        <v/>
      </c>
      <c r="M694" s="67" t="str">
        <f t="shared" si="32"/>
        <v/>
      </c>
      <c r="N694" s="76" t="str">
        <f t="shared" si="33"/>
        <v/>
      </c>
      <c r="O694" s="33">
        <f t="shared" si="31"/>
        <v>0</v>
      </c>
    </row>
    <row r="695" spans="1:15" x14ac:dyDescent="0.25">
      <c r="A695" s="64" t="s">
        <v>178</v>
      </c>
      <c r="B695" s="79" t="str">
        <f>IF(Third!B198="", "",Third!B198)</f>
        <v/>
      </c>
      <c r="C695" s="66" t="str">
        <f>IF(Third!C198="", "",Third!C198)</f>
        <v/>
      </c>
      <c r="D695" s="66" t="str">
        <f>IF(Third!D198="", "",Third!D198)</f>
        <v/>
      </c>
      <c r="E695" s="66" t="str">
        <f>IF(Third!E198="", "",Third!E198)</f>
        <v/>
      </c>
      <c r="F695" s="66" t="str">
        <f>IF(Third!F198="", "",Third!F198)</f>
        <v/>
      </c>
      <c r="G695" s="66" t="str">
        <f>IF(Third!G198="", "",Third!G198)</f>
        <v/>
      </c>
      <c r="H695" s="66" t="str">
        <f>IF(Third!H198="", "",Third!H198)</f>
        <v/>
      </c>
      <c r="I695" s="66" t="str">
        <f>IF(Third!I198="", "",Third!I198)</f>
        <v/>
      </c>
      <c r="J695" s="66" t="str">
        <f>IF(Third!J198="", "",Third!J198)</f>
        <v/>
      </c>
      <c r="K695" s="86" t="str">
        <f>IF(Third!K198="", "",Third!K198)</f>
        <v/>
      </c>
      <c r="M695" s="67" t="str">
        <f t="shared" si="32"/>
        <v/>
      </c>
      <c r="N695" s="76" t="str">
        <f t="shared" si="33"/>
        <v/>
      </c>
      <c r="O695" s="33">
        <f t="shared" si="31"/>
        <v>0</v>
      </c>
    </row>
    <row r="696" spans="1:15" x14ac:dyDescent="0.25">
      <c r="A696" s="64" t="s">
        <v>178</v>
      </c>
      <c r="B696" s="79" t="str">
        <f>IF(Third!B199="", "",Third!B199)</f>
        <v/>
      </c>
      <c r="C696" s="66" t="str">
        <f>IF(Third!C199="", "",Third!C199)</f>
        <v/>
      </c>
      <c r="D696" s="66" t="str">
        <f>IF(Third!D199="", "",Third!D199)</f>
        <v/>
      </c>
      <c r="E696" s="66" t="str">
        <f>IF(Third!E199="", "",Third!E199)</f>
        <v/>
      </c>
      <c r="F696" s="66" t="str">
        <f>IF(Third!F199="", "",Third!F199)</f>
        <v/>
      </c>
      <c r="G696" s="66" t="str">
        <f>IF(Third!G199="", "",Third!G199)</f>
        <v/>
      </c>
      <c r="H696" s="66" t="str">
        <f>IF(Third!H199="", "",Third!H199)</f>
        <v/>
      </c>
      <c r="I696" s="66" t="str">
        <f>IF(Third!I199="", "",Third!I199)</f>
        <v/>
      </c>
      <c r="J696" s="66" t="str">
        <f>IF(Third!J199="", "",Third!J199)</f>
        <v/>
      </c>
      <c r="K696" s="86" t="str">
        <f>IF(Third!K199="", "",Third!K199)</f>
        <v/>
      </c>
      <c r="M696" s="67" t="str">
        <f t="shared" si="32"/>
        <v/>
      </c>
      <c r="N696" s="76" t="str">
        <f t="shared" si="33"/>
        <v/>
      </c>
      <c r="O696" s="33">
        <f t="shared" si="31"/>
        <v>0</v>
      </c>
    </row>
    <row r="697" spans="1:15" x14ac:dyDescent="0.25">
      <c r="A697" s="64" t="s">
        <v>178</v>
      </c>
      <c r="B697" s="79" t="str">
        <f>IF(Third!B200="", "",Third!B200)</f>
        <v/>
      </c>
      <c r="C697" s="66" t="str">
        <f>IF(Third!C200="", "",Third!C200)</f>
        <v/>
      </c>
      <c r="D697" s="66" t="str">
        <f>IF(Third!D200="", "",Third!D200)</f>
        <v/>
      </c>
      <c r="E697" s="66" t="str">
        <f>IF(Third!E200="", "",Third!E200)</f>
        <v/>
      </c>
      <c r="F697" s="66" t="str">
        <f>IF(Third!F200="", "",Third!F200)</f>
        <v/>
      </c>
      <c r="G697" s="66" t="str">
        <f>IF(Third!G200="", "",Third!G200)</f>
        <v/>
      </c>
      <c r="H697" s="66" t="str">
        <f>IF(Third!H200="", "",Third!H200)</f>
        <v/>
      </c>
      <c r="I697" s="66" t="str">
        <f>IF(Third!I200="", "",Third!I200)</f>
        <v/>
      </c>
      <c r="J697" s="66" t="str">
        <f>IF(Third!J200="", "",Third!J200)</f>
        <v/>
      </c>
      <c r="K697" s="86" t="str">
        <f>IF(Third!K200="", "",Third!K200)</f>
        <v/>
      </c>
      <c r="M697" s="67" t="str">
        <f t="shared" si="32"/>
        <v/>
      </c>
      <c r="N697" s="76" t="str">
        <f t="shared" si="33"/>
        <v/>
      </c>
      <c r="O697" s="33">
        <f t="shared" si="31"/>
        <v>0</v>
      </c>
    </row>
    <row r="698" spans="1:15" x14ac:dyDescent="0.25">
      <c r="A698" s="64" t="s">
        <v>178</v>
      </c>
      <c r="B698" s="79" t="str">
        <f>IF(Third!B201="", "",Third!B201)</f>
        <v/>
      </c>
      <c r="C698" s="66" t="str">
        <f>IF(Third!C201="", "",Third!C201)</f>
        <v/>
      </c>
      <c r="D698" s="66" t="str">
        <f>IF(Third!D201="", "",Third!D201)</f>
        <v/>
      </c>
      <c r="E698" s="66" t="str">
        <f>IF(Third!E201="", "",Third!E201)</f>
        <v/>
      </c>
      <c r="F698" s="66" t="str">
        <f>IF(Third!F201="", "",Third!F201)</f>
        <v/>
      </c>
      <c r="G698" s="66" t="str">
        <f>IF(Third!G201="", "",Third!G201)</f>
        <v/>
      </c>
      <c r="H698" s="66" t="str">
        <f>IF(Third!H201="", "",Third!H201)</f>
        <v/>
      </c>
      <c r="I698" s="66" t="str">
        <f>IF(Third!I201="", "",Third!I201)</f>
        <v/>
      </c>
      <c r="J698" s="66" t="str">
        <f>IF(Third!J201="", "",Third!J201)</f>
        <v/>
      </c>
      <c r="K698" s="86" t="str">
        <f>IF(Third!K201="", "",Third!K201)</f>
        <v/>
      </c>
      <c r="M698" s="67" t="str">
        <f t="shared" si="32"/>
        <v/>
      </c>
      <c r="N698" s="76" t="str">
        <f t="shared" si="33"/>
        <v/>
      </c>
      <c r="O698" s="33">
        <f t="shared" si="31"/>
        <v>0</v>
      </c>
    </row>
    <row r="699" spans="1:15" x14ac:dyDescent="0.25">
      <c r="A699" s="64" t="s">
        <v>178</v>
      </c>
      <c r="B699" s="79" t="str">
        <f>IF(Third!B202="", "",Third!B202)</f>
        <v/>
      </c>
      <c r="C699" s="66" t="str">
        <f>IF(Third!C202="", "",Third!C202)</f>
        <v/>
      </c>
      <c r="D699" s="66" t="str">
        <f>IF(Third!D202="", "",Third!D202)</f>
        <v/>
      </c>
      <c r="E699" s="66" t="str">
        <f>IF(Third!E202="", "",Third!E202)</f>
        <v/>
      </c>
      <c r="F699" s="66" t="str">
        <f>IF(Third!F202="", "",Third!F202)</f>
        <v/>
      </c>
      <c r="G699" s="66" t="str">
        <f>IF(Third!G202="", "",Third!G202)</f>
        <v/>
      </c>
      <c r="H699" s="66" t="str">
        <f>IF(Third!H202="", "",Third!H202)</f>
        <v/>
      </c>
      <c r="I699" s="66" t="str">
        <f>IF(Third!I202="", "",Third!I202)</f>
        <v/>
      </c>
      <c r="J699" s="66" t="str">
        <f>IF(Third!J202="", "",Third!J202)</f>
        <v/>
      </c>
      <c r="K699" s="86" t="str">
        <f>IF(Third!K202="", "",Third!K202)</f>
        <v/>
      </c>
      <c r="M699" s="67" t="str">
        <f t="shared" si="32"/>
        <v/>
      </c>
      <c r="N699" s="76" t="str">
        <f t="shared" si="33"/>
        <v/>
      </c>
      <c r="O699" s="33">
        <f t="shared" si="31"/>
        <v>0</v>
      </c>
    </row>
    <row r="700" spans="1:15" x14ac:dyDescent="0.25">
      <c r="A700" s="64" t="s">
        <v>178</v>
      </c>
      <c r="B700" s="79" t="str">
        <f>IF(Third!B203="", "",Third!B203)</f>
        <v/>
      </c>
      <c r="C700" s="66" t="str">
        <f>IF(Third!C203="", "",Third!C203)</f>
        <v/>
      </c>
      <c r="D700" s="66" t="str">
        <f>IF(Third!D203="", "",Third!D203)</f>
        <v/>
      </c>
      <c r="E700" s="66" t="str">
        <f>IF(Third!E203="", "",Third!E203)</f>
        <v/>
      </c>
      <c r="F700" s="66" t="str">
        <f>IF(Third!F203="", "",Third!F203)</f>
        <v/>
      </c>
      <c r="G700" s="66" t="str">
        <f>IF(Third!G203="", "",Third!G203)</f>
        <v/>
      </c>
      <c r="H700" s="66" t="str">
        <f>IF(Third!H203="", "",Third!H203)</f>
        <v/>
      </c>
      <c r="I700" s="66" t="str">
        <f>IF(Third!I203="", "",Third!I203)</f>
        <v/>
      </c>
      <c r="J700" s="66" t="str">
        <f>IF(Third!J203="", "",Third!J203)</f>
        <v/>
      </c>
      <c r="K700" s="86" t="str">
        <f>IF(Third!K203="", "",Third!K203)</f>
        <v/>
      </c>
      <c r="M700" s="67" t="str">
        <f t="shared" si="32"/>
        <v/>
      </c>
      <c r="N700" s="76" t="str">
        <f t="shared" si="33"/>
        <v/>
      </c>
      <c r="O700" s="33">
        <f t="shared" si="31"/>
        <v>0</v>
      </c>
    </row>
    <row r="701" spans="1:15" x14ac:dyDescent="0.25">
      <c r="A701" s="64" t="s">
        <v>178</v>
      </c>
      <c r="B701" s="79" t="str">
        <f>IF(Third!B204="", "",Third!B204)</f>
        <v/>
      </c>
      <c r="C701" s="66" t="str">
        <f>IF(Third!C204="", "",Third!C204)</f>
        <v/>
      </c>
      <c r="D701" s="66" t="str">
        <f>IF(Third!D204="", "",Third!D204)</f>
        <v/>
      </c>
      <c r="E701" s="66" t="str">
        <f>IF(Third!E204="", "",Third!E204)</f>
        <v/>
      </c>
      <c r="F701" s="66" t="str">
        <f>IF(Third!F204="", "",Third!F204)</f>
        <v/>
      </c>
      <c r="G701" s="66" t="str">
        <f>IF(Third!G204="", "",Third!G204)</f>
        <v/>
      </c>
      <c r="H701" s="66" t="str">
        <f>IF(Third!H204="", "",Third!H204)</f>
        <v/>
      </c>
      <c r="I701" s="66" t="str">
        <f>IF(Third!I204="", "",Third!I204)</f>
        <v/>
      </c>
      <c r="J701" s="66" t="str">
        <f>IF(Third!J204="", "",Third!J204)</f>
        <v/>
      </c>
      <c r="K701" s="86" t="str">
        <f>IF(Third!K204="", "",Third!K204)</f>
        <v/>
      </c>
      <c r="M701" s="67" t="str">
        <f t="shared" si="32"/>
        <v/>
      </c>
      <c r="N701" s="76" t="str">
        <f t="shared" si="33"/>
        <v/>
      </c>
      <c r="O701" s="33">
        <f t="shared" si="31"/>
        <v>0</v>
      </c>
    </row>
    <row r="702" spans="1:15" x14ac:dyDescent="0.25">
      <c r="A702" s="64" t="s">
        <v>178</v>
      </c>
      <c r="B702" s="79" t="str">
        <f>IF(Third!B205="", "",Third!B205)</f>
        <v/>
      </c>
      <c r="C702" s="66" t="str">
        <f>IF(Third!C205="", "",Third!C205)</f>
        <v/>
      </c>
      <c r="D702" s="66" t="str">
        <f>IF(Third!D205="", "",Third!D205)</f>
        <v/>
      </c>
      <c r="E702" s="66" t="str">
        <f>IF(Third!E205="", "",Third!E205)</f>
        <v/>
      </c>
      <c r="F702" s="66" t="str">
        <f>IF(Third!F205="", "",Third!F205)</f>
        <v/>
      </c>
      <c r="G702" s="66" t="str">
        <f>IF(Third!G205="", "",Third!G205)</f>
        <v/>
      </c>
      <c r="H702" s="66" t="str">
        <f>IF(Third!H205="", "",Third!H205)</f>
        <v/>
      </c>
      <c r="I702" s="66" t="str">
        <f>IF(Third!I205="", "",Third!I205)</f>
        <v/>
      </c>
      <c r="J702" s="66" t="str">
        <f>IF(Third!J205="", "",Third!J205)</f>
        <v/>
      </c>
      <c r="K702" s="86" t="str">
        <f>IF(Third!K205="", "",Third!K205)</f>
        <v/>
      </c>
      <c r="M702" s="67" t="str">
        <f t="shared" si="32"/>
        <v/>
      </c>
      <c r="N702" s="76" t="str">
        <f t="shared" si="33"/>
        <v/>
      </c>
      <c r="O702" s="33">
        <f t="shared" si="31"/>
        <v>0</v>
      </c>
    </row>
    <row r="703" spans="1:15" x14ac:dyDescent="0.25">
      <c r="A703" s="64" t="s">
        <v>178</v>
      </c>
      <c r="B703" s="79" t="str">
        <f>IF(Third!B206="", "",Third!B206)</f>
        <v/>
      </c>
      <c r="C703" s="66" t="str">
        <f>IF(Third!C206="", "",Third!C206)</f>
        <v/>
      </c>
      <c r="D703" s="66" t="str">
        <f>IF(Third!D206="", "",Third!D206)</f>
        <v/>
      </c>
      <c r="E703" s="66" t="str">
        <f>IF(Third!E206="", "",Third!E206)</f>
        <v/>
      </c>
      <c r="F703" s="66" t="str">
        <f>IF(Third!F206="", "",Third!F206)</f>
        <v/>
      </c>
      <c r="G703" s="66" t="str">
        <f>IF(Third!G206="", "",Third!G206)</f>
        <v/>
      </c>
      <c r="H703" s="66" t="str">
        <f>IF(Third!H206="", "",Third!H206)</f>
        <v/>
      </c>
      <c r="I703" s="66" t="str">
        <f>IF(Third!I206="", "",Third!I206)</f>
        <v/>
      </c>
      <c r="J703" s="66" t="str">
        <f>IF(Third!J206="", "",Third!J206)</f>
        <v/>
      </c>
      <c r="K703" s="86" t="str">
        <f>IF(Third!K206="", "",Third!K206)</f>
        <v/>
      </c>
      <c r="M703" s="67" t="str">
        <f t="shared" si="32"/>
        <v/>
      </c>
      <c r="N703" s="76" t="str">
        <f t="shared" si="33"/>
        <v/>
      </c>
      <c r="O703" s="33">
        <f t="shared" si="31"/>
        <v>0</v>
      </c>
    </row>
    <row r="704" spans="1:15" x14ac:dyDescent="0.25">
      <c r="A704" s="64" t="s">
        <v>178</v>
      </c>
      <c r="B704" s="79" t="str">
        <f>IF(Third!B207="", "",Third!B207)</f>
        <v/>
      </c>
      <c r="C704" s="66" t="str">
        <f>IF(Third!C207="", "",Third!C207)</f>
        <v/>
      </c>
      <c r="D704" s="66" t="str">
        <f>IF(Third!D207="", "",Third!D207)</f>
        <v/>
      </c>
      <c r="E704" s="66" t="str">
        <f>IF(Third!E207="", "",Third!E207)</f>
        <v/>
      </c>
      <c r="F704" s="66" t="str">
        <f>IF(Third!F207="", "",Third!F207)</f>
        <v/>
      </c>
      <c r="G704" s="66" t="str">
        <f>IF(Third!G207="", "",Third!G207)</f>
        <v/>
      </c>
      <c r="H704" s="66" t="str">
        <f>IF(Third!H207="", "",Third!H207)</f>
        <v/>
      </c>
      <c r="I704" s="66" t="str">
        <f>IF(Third!I207="", "",Third!I207)</f>
        <v/>
      </c>
      <c r="J704" s="66" t="str">
        <f>IF(Third!J207="", "",Third!J207)</f>
        <v/>
      </c>
      <c r="K704" s="86" t="str">
        <f>IF(Third!K207="", "",Third!K207)</f>
        <v/>
      </c>
      <c r="M704" s="67" t="str">
        <f t="shared" si="32"/>
        <v/>
      </c>
      <c r="N704" s="76" t="str">
        <f t="shared" si="33"/>
        <v/>
      </c>
      <c r="O704" s="33">
        <f t="shared" si="31"/>
        <v>0</v>
      </c>
    </row>
    <row r="705" spans="1:15" x14ac:dyDescent="0.25">
      <c r="A705" s="64" t="s">
        <v>178</v>
      </c>
      <c r="B705" s="79" t="str">
        <f>IF(Third!B208="", "",Third!B208)</f>
        <v/>
      </c>
      <c r="C705" s="66" t="str">
        <f>IF(Third!C208="", "",Third!C208)</f>
        <v/>
      </c>
      <c r="D705" s="66" t="str">
        <f>IF(Third!D208="", "",Third!D208)</f>
        <v/>
      </c>
      <c r="E705" s="66" t="str">
        <f>IF(Third!E208="", "",Third!E208)</f>
        <v/>
      </c>
      <c r="F705" s="66" t="str">
        <f>IF(Third!F208="", "",Third!F208)</f>
        <v/>
      </c>
      <c r="G705" s="66" t="str">
        <f>IF(Third!G208="", "",Third!G208)</f>
        <v/>
      </c>
      <c r="H705" s="66" t="str">
        <f>IF(Third!H208="", "",Third!H208)</f>
        <v/>
      </c>
      <c r="I705" s="66" t="str">
        <f>IF(Third!I208="", "",Third!I208)</f>
        <v/>
      </c>
      <c r="J705" s="66" t="str">
        <f>IF(Third!J208="", "",Third!J208)</f>
        <v/>
      </c>
      <c r="K705" s="86" t="str">
        <f>IF(Third!K208="", "",Third!K208)</f>
        <v/>
      </c>
      <c r="M705" s="67" t="str">
        <f t="shared" si="32"/>
        <v/>
      </c>
      <c r="N705" s="76" t="str">
        <f t="shared" si="33"/>
        <v/>
      </c>
      <c r="O705" s="33">
        <f t="shared" si="31"/>
        <v>0</v>
      </c>
    </row>
    <row r="706" spans="1:15" x14ac:dyDescent="0.25">
      <c r="A706" s="64" t="s">
        <v>178</v>
      </c>
      <c r="B706" s="79" t="str">
        <f>IF(Third!B209="", "",Third!B209)</f>
        <v/>
      </c>
      <c r="C706" s="66" t="str">
        <f>IF(Third!C209="", "",Third!C209)</f>
        <v/>
      </c>
      <c r="D706" s="66" t="str">
        <f>IF(Third!D209="", "",Third!D209)</f>
        <v/>
      </c>
      <c r="E706" s="66" t="str">
        <f>IF(Third!E209="", "",Third!E209)</f>
        <v/>
      </c>
      <c r="F706" s="66" t="str">
        <f>IF(Third!F209="", "",Third!F209)</f>
        <v/>
      </c>
      <c r="G706" s="66" t="str">
        <f>IF(Third!G209="", "",Third!G209)</f>
        <v/>
      </c>
      <c r="H706" s="66" t="str">
        <f>IF(Third!H209="", "",Third!H209)</f>
        <v/>
      </c>
      <c r="I706" s="66" t="str">
        <f>IF(Third!I209="", "",Third!I209)</f>
        <v/>
      </c>
      <c r="J706" s="66" t="str">
        <f>IF(Third!J209="", "",Third!J209)</f>
        <v/>
      </c>
      <c r="K706" s="86" t="str">
        <f>IF(Third!K209="", "",Third!K209)</f>
        <v/>
      </c>
      <c r="M706" s="67" t="str">
        <f t="shared" si="32"/>
        <v/>
      </c>
      <c r="N706" s="76" t="str">
        <f t="shared" si="33"/>
        <v/>
      </c>
      <c r="O706" s="33">
        <f t="shared" ref="O706:O769" si="34">SUM(M706:N706)</f>
        <v>0</v>
      </c>
    </row>
    <row r="707" spans="1:15" x14ac:dyDescent="0.25">
      <c r="A707" s="64" t="s">
        <v>178</v>
      </c>
      <c r="B707" s="79" t="str">
        <f>IF(Third!B210="", "",Third!B210)</f>
        <v/>
      </c>
      <c r="C707" s="66" t="str">
        <f>IF(Third!C210="", "",Third!C210)</f>
        <v/>
      </c>
      <c r="D707" s="66" t="str">
        <f>IF(Third!D210="", "",Third!D210)</f>
        <v/>
      </c>
      <c r="E707" s="66" t="str">
        <f>IF(Third!E210="", "",Third!E210)</f>
        <v/>
      </c>
      <c r="F707" s="66" t="str">
        <f>IF(Third!F210="", "",Third!F210)</f>
        <v/>
      </c>
      <c r="G707" s="66" t="str">
        <f>IF(Third!G210="", "",Third!G210)</f>
        <v/>
      </c>
      <c r="H707" s="66" t="str">
        <f>IF(Third!H210="", "",Third!H210)</f>
        <v/>
      </c>
      <c r="I707" s="66" t="str">
        <f>IF(Third!I210="", "",Third!I210)</f>
        <v/>
      </c>
      <c r="J707" s="66" t="str">
        <f>IF(Third!J210="", "",Third!J210)</f>
        <v/>
      </c>
      <c r="K707" s="86" t="str">
        <f>IF(Third!K210="", "",Third!K210)</f>
        <v/>
      </c>
      <c r="M707" s="67" t="str">
        <f t="shared" ref="M707:M770" si="35">IF(C707="PwC",(7-COUNTIF(B707:H707,"")),"")</f>
        <v/>
      </c>
      <c r="N707" s="76" t="str">
        <f t="shared" ref="N707:N770" si="36">IF(C707="Carer",(7-COUNTIF(B707:H707,"")),"")</f>
        <v/>
      </c>
      <c r="O707" s="33">
        <f t="shared" si="34"/>
        <v>0</v>
      </c>
    </row>
    <row r="708" spans="1:15" x14ac:dyDescent="0.25">
      <c r="A708" s="64" t="s">
        <v>178</v>
      </c>
      <c r="B708" s="79" t="str">
        <f>IF(Third!B211="", "",Third!B211)</f>
        <v/>
      </c>
      <c r="C708" s="66" t="str">
        <f>IF(Third!C211="", "",Third!C211)</f>
        <v/>
      </c>
      <c r="D708" s="66" t="str">
        <f>IF(Third!D211="", "",Third!D211)</f>
        <v/>
      </c>
      <c r="E708" s="66" t="str">
        <f>IF(Third!E211="", "",Third!E211)</f>
        <v/>
      </c>
      <c r="F708" s="66" t="str">
        <f>IF(Third!F211="", "",Third!F211)</f>
        <v/>
      </c>
      <c r="G708" s="66" t="str">
        <f>IF(Third!G211="", "",Third!G211)</f>
        <v/>
      </c>
      <c r="H708" s="66" t="str">
        <f>IF(Third!H211="", "",Third!H211)</f>
        <v/>
      </c>
      <c r="I708" s="66" t="str">
        <f>IF(Third!I211="", "",Third!I211)</f>
        <v/>
      </c>
      <c r="J708" s="66" t="str">
        <f>IF(Third!J211="", "",Third!J211)</f>
        <v/>
      </c>
      <c r="K708" s="86" t="str">
        <f>IF(Third!K211="", "",Third!K211)</f>
        <v/>
      </c>
      <c r="M708" s="67" t="str">
        <f t="shared" si="35"/>
        <v/>
      </c>
      <c r="N708" s="76" t="str">
        <f t="shared" si="36"/>
        <v/>
      </c>
      <c r="O708" s="33">
        <f t="shared" si="34"/>
        <v>0</v>
      </c>
    </row>
    <row r="709" spans="1:15" x14ac:dyDescent="0.25">
      <c r="A709" s="64" t="s">
        <v>178</v>
      </c>
      <c r="B709" s="79" t="str">
        <f>IF(Third!B212="", "",Third!B212)</f>
        <v/>
      </c>
      <c r="C709" s="66" t="str">
        <f>IF(Third!C212="", "",Third!C212)</f>
        <v/>
      </c>
      <c r="D709" s="66" t="str">
        <f>IF(Third!D212="", "",Third!D212)</f>
        <v/>
      </c>
      <c r="E709" s="66" t="str">
        <f>IF(Third!E212="", "",Third!E212)</f>
        <v/>
      </c>
      <c r="F709" s="66" t="str">
        <f>IF(Third!F212="", "",Third!F212)</f>
        <v/>
      </c>
      <c r="G709" s="66" t="str">
        <f>IF(Third!G212="", "",Third!G212)</f>
        <v/>
      </c>
      <c r="H709" s="66" t="str">
        <f>IF(Third!H212="", "",Third!H212)</f>
        <v/>
      </c>
      <c r="I709" s="66" t="str">
        <f>IF(Third!I212="", "",Third!I212)</f>
        <v/>
      </c>
      <c r="J709" s="66" t="str">
        <f>IF(Third!J212="", "",Third!J212)</f>
        <v/>
      </c>
      <c r="K709" s="86" t="str">
        <f>IF(Third!K212="", "",Third!K212)</f>
        <v/>
      </c>
      <c r="M709" s="67" t="str">
        <f t="shared" si="35"/>
        <v/>
      </c>
      <c r="N709" s="76" t="str">
        <f t="shared" si="36"/>
        <v/>
      </c>
      <c r="O709" s="33">
        <f t="shared" si="34"/>
        <v>0</v>
      </c>
    </row>
    <row r="710" spans="1:15" x14ac:dyDescent="0.25">
      <c r="A710" s="64" t="s">
        <v>178</v>
      </c>
      <c r="B710" s="79" t="str">
        <f>IF(Third!B213="", "",Third!B213)</f>
        <v/>
      </c>
      <c r="C710" s="66" t="str">
        <f>IF(Third!C213="", "",Third!C213)</f>
        <v/>
      </c>
      <c r="D710" s="66" t="str">
        <f>IF(Third!D213="", "",Third!D213)</f>
        <v/>
      </c>
      <c r="E710" s="66" t="str">
        <f>IF(Third!E213="", "",Third!E213)</f>
        <v/>
      </c>
      <c r="F710" s="66" t="str">
        <f>IF(Third!F213="", "",Third!F213)</f>
        <v/>
      </c>
      <c r="G710" s="66" t="str">
        <f>IF(Third!G213="", "",Third!G213)</f>
        <v/>
      </c>
      <c r="H710" s="66" t="str">
        <f>IF(Third!H213="", "",Third!H213)</f>
        <v/>
      </c>
      <c r="I710" s="66" t="str">
        <f>IF(Third!I213="", "",Third!I213)</f>
        <v/>
      </c>
      <c r="J710" s="66" t="str">
        <f>IF(Third!J213="", "",Third!J213)</f>
        <v/>
      </c>
      <c r="K710" s="86" t="str">
        <f>IF(Third!K213="", "",Third!K213)</f>
        <v/>
      </c>
      <c r="M710" s="67" t="str">
        <f t="shared" si="35"/>
        <v/>
      </c>
      <c r="N710" s="76" t="str">
        <f t="shared" si="36"/>
        <v/>
      </c>
      <c r="O710" s="33">
        <f t="shared" si="34"/>
        <v>0</v>
      </c>
    </row>
    <row r="711" spans="1:15" x14ac:dyDescent="0.25">
      <c r="A711" s="64" t="s">
        <v>178</v>
      </c>
      <c r="B711" s="79" t="str">
        <f>IF(Third!B214="", "",Third!B214)</f>
        <v/>
      </c>
      <c r="C711" s="66" t="str">
        <f>IF(Third!C214="", "",Third!C214)</f>
        <v/>
      </c>
      <c r="D711" s="66" t="str">
        <f>IF(Third!D214="", "",Third!D214)</f>
        <v/>
      </c>
      <c r="E711" s="66" t="str">
        <f>IF(Third!E214="", "",Third!E214)</f>
        <v/>
      </c>
      <c r="F711" s="66" t="str">
        <f>IF(Third!F214="", "",Third!F214)</f>
        <v/>
      </c>
      <c r="G711" s="66" t="str">
        <f>IF(Third!G214="", "",Third!G214)</f>
        <v/>
      </c>
      <c r="H711" s="66" t="str">
        <f>IF(Third!H214="", "",Third!H214)</f>
        <v/>
      </c>
      <c r="I711" s="66" t="str">
        <f>IF(Third!I214="", "",Third!I214)</f>
        <v/>
      </c>
      <c r="J711" s="66" t="str">
        <f>IF(Third!J214="", "",Third!J214)</f>
        <v/>
      </c>
      <c r="K711" s="86" t="str">
        <f>IF(Third!K214="", "",Third!K214)</f>
        <v/>
      </c>
      <c r="M711" s="67" t="str">
        <f t="shared" si="35"/>
        <v/>
      </c>
      <c r="N711" s="76" t="str">
        <f t="shared" si="36"/>
        <v/>
      </c>
      <c r="O711" s="33">
        <f t="shared" si="34"/>
        <v>0</v>
      </c>
    </row>
    <row r="712" spans="1:15" x14ac:dyDescent="0.25">
      <c r="A712" s="64" t="s">
        <v>178</v>
      </c>
      <c r="B712" s="79" t="str">
        <f>IF(Third!B215="", "",Third!B215)</f>
        <v/>
      </c>
      <c r="C712" s="66" t="str">
        <f>IF(Third!C215="", "",Third!C215)</f>
        <v/>
      </c>
      <c r="D712" s="66" t="str">
        <f>IF(Third!D215="", "",Third!D215)</f>
        <v/>
      </c>
      <c r="E712" s="66" t="str">
        <f>IF(Third!E215="", "",Third!E215)</f>
        <v/>
      </c>
      <c r="F712" s="66" t="str">
        <f>IF(Third!F215="", "",Third!F215)</f>
        <v/>
      </c>
      <c r="G712" s="66" t="str">
        <f>IF(Third!G215="", "",Third!G215)</f>
        <v/>
      </c>
      <c r="H712" s="66" t="str">
        <f>IF(Third!H215="", "",Third!H215)</f>
        <v/>
      </c>
      <c r="I712" s="66" t="str">
        <f>IF(Third!I215="", "",Third!I215)</f>
        <v/>
      </c>
      <c r="J712" s="66" t="str">
        <f>IF(Third!J215="", "",Third!J215)</f>
        <v/>
      </c>
      <c r="K712" s="86" t="str">
        <f>IF(Third!K215="", "",Third!K215)</f>
        <v/>
      </c>
      <c r="M712" s="67" t="str">
        <f t="shared" si="35"/>
        <v/>
      </c>
      <c r="N712" s="76" t="str">
        <f t="shared" si="36"/>
        <v/>
      </c>
      <c r="O712" s="33">
        <f t="shared" si="34"/>
        <v>0</v>
      </c>
    </row>
    <row r="713" spans="1:15" x14ac:dyDescent="0.25">
      <c r="A713" s="64" t="s">
        <v>178</v>
      </c>
      <c r="B713" s="79" t="str">
        <f>IF(Third!B216="", "",Third!B216)</f>
        <v/>
      </c>
      <c r="C713" s="66" t="str">
        <f>IF(Third!C216="", "",Third!C216)</f>
        <v/>
      </c>
      <c r="D713" s="66" t="str">
        <f>IF(Third!D216="", "",Third!D216)</f>
        <v/>
      </c>
      <c r="E713" s="66" t="str">
        <f>IF(Third!E216="", "",Third!E216)</f>
        <v/>
      </c>
      <c r="F713" s="66" t="str">
        <f>IF(Third!F216="", "",Third!F216)</f>
        <v/>
      </c>
      <c r="G713" s="66" t="str">
        <f>IF(Third!G216="", "",Third!G216)</f>
        <v/>
      </c>
      <c r="H713" s="66" t="str">
        <f>IF(Third!H216="", "",Third!H216)</f>
        <v/>
      </c>
      <c r="I713" s="66" t="str">
        <f>IF(Third!I216="", "",Third!I216)</f>
        <v/>
      </c>
      <c r="J713" s="66" t="str">
        <f>IF(Third!J216="", "",Third!J216)</f>
        <v/>
      </c>
      <c r="K713" s="86" t="str">
        <f>IF(Third!K216="", "",Third!K216)</f>
        <v/>
      </c>
      <c r="M713" s="67" t="str">
        <f t="shared" si="35"/>
        <v/>
      </c>
      <c r="N713" s="76" t="str">
        <f t="shared" si="36"/>
        <v/>
      </c>
      <c r="O713" s="33">
        <f t="shared" si="34"/>
        <v>0</v>
      </c>
    </row>
    <row r="714" spans="1:15" x14ac:dyDescent="0.25">
      <c r="A714" s="64" t="s">
        <v>178</v>
      </c>
      <c r="B714" s="79" t="str">
        <f>IF(Third!B217="", "",Third!B217)</f>
        <v/>
      </c>
      <c r="C714" s="66" t="str">
        <f>IF(Third!C217="", "",Third!C217)</f>
        <v/>
      </c>
      <c r="D714" s="66" t="str">
        <f>IF(Third!D217="", "",Third!D217)</f>
        <v/>
      </c>
      <c r="E714" s="66" t="str">
        <f>IF(Third!E217="", "",Third!E217)</f>
        <v/>
      </c>
      <c r="F714" s="66" t="str">
        <f>IF(Third!F217="", "",Third!F217)</f>
        <v/>
      </c>
      <c r="G714" s="66" t="str">
        <f>IF(Third!G217="", "",Third!G217)</f>
        <v/>
      </c>
      <c r="H714" s="66" t="str">
        <f>IF(Third!H217="", "",Third!H217)</f>
        <v/>
      </c>
      <c r="I714" s="66" t="str">
        <f>IF(Third!I217="", "",Third!I217)</f>
        <v/>
      </c>
      <c r="J714" s="66" t="str">
        <f>IF(Third!J217="", "",Third!J217)</f>
        <v/>
      </c>
      <c r="K714" s="86" t="str">
        <f>IF(Third!K217="", "",Third!K217)</f>
        <v/>
      </c>
      <c r="M714" s="67" t="str">
        <f t="shared" si="35"/>
        <v/>
      </c>
      <c r="N714" s="76" t="str">
        <f t="shared" si="36"/>
        <v/>
      </c>
      <c r="O714" s="33">
        <f t="shared" si="34"/>
        <v>0</v>
      </c>
    </row>
    <row r="715" spans="1:15" x14ac:dyDescent="0.25">
      <c r="A715" s="64" t="s">
        <v>178</v>
      </c>
      <c r="B715" s="79" t="str">
        <f>IF(Third!B218="", "",Third!B218)</f>
        <v/>
      </c>
      <c r="C715" s="66" t="str">
        <f>IF(Third!C218="", "",Third!C218)</f>
        <v/>
      </c>
      <c r="D715" s="66" t="str">
        <f>IF(Third!D218="", "",Third!D218)</f>
        <v/>
      </c>
      <c r="E715" s="66" t="str">
        <f>IF(Third!E218="", "",Third!E218)</f>
        <v/>
      </c>
      <c r="F715" s="66" t="str">
        <f>IF(Third!F218="", "",Third!F218)</f>
        <v/>
      </c>
      <c r="G715" s="66" t="str">
        <f>IF(Third!G218="", "",Third!G218)</f>
        <v/>
      </c>
      <c r="H715" s="66" t="str">
        <f>IF(Third!H218="", "",Third!H218)</f>
        <v/>
      </c>
      <c r="I715" s="66" t="str">
        <f>IF(Third!I218="", "",Third!I218)</f>
        <v/>
      </c>
      <c r="J715" s="66" t="str">
        <f>IF(Third!J218="", "",Third!J218)</f>
        <v/>
      </c>
      <c r="K715" s="86" t="str">
        <f>IF(Third!K218="", "",Third!K218)</f>
        <v/>
      </c>
      <c r="M715" s="67" t="str">
        <f t="shared" si="35"/>
        <v/>
      </c>
      <c r="N715" s="76" t="str">
        <f t="shared" si="36"/>
        <v/>
      </c>
      <c r="O715" s="33">
        <f t="shared" si="34"/>
        <v>0</v>
      </c>
    </row>
    <row r="716" spans="1:15" x14ac:dyDescent="0.25">
      <c r="A716" s="64" t="s">
        <v>178</v>
      </c>
      <c r="B716" s="79" t="str">
        <f>IF(Third!B219="", "",Third!B219)</f>
        <v/>
      </c>
      <c r="C716" s="66" t="str">
        <f>IF(Third!C219="", "",Third!C219)</f>
        <v/>
      </c>
      <c r="D716" s="66" t="str">
        <f>IF(Third!D219="", "",Third!D219)</f>
        <v/>
      </c>
      <c r="E716" s="66" t="str">
        <f>IF(Third!E219="", "",Third!E219)</f>
        <v/>
      </c>
      <c r="F716" s="66" t="str">
        <f>IF(Third!F219="", "",Third!F219)</f>
        <v/>
      </c>
      <c r="G716" s="66" t="str">
        <f>IF(Third!G219="", "",Third!G219)</f>
        <v/>
      </c>
      <c r="H716" s="66" t="str">
        <f>IF(Third!H219="", "",Third!H219)</f>
        <v/>
      </c>
      <c r="I716" s="66" t="str">
        <f>IF(Third!I219="", "",Third!I219)</f>
        <v/>
      </c>
      <c r="J716" s="66" t="str">
        <f>IF(Third!J219="", "",Third!J219)</f>
        <v/>
      </c>
      <c r="K716" s="86" t="str">
        <f>IF(Third!K219="", "",Third!K219)</f>
        <v/>
      </c>
      <c r="M716" s="67" t="str">
        <f t="shared" si="35"/>
        <v/>
      </c>
      <c r="N716" s="76" t="str">
        <f t="shared" si="36"/>
        <v/>
      </c>
      <c r="O716" s="33">
        <f t="shared" si="34"/>
        <v>0</v>
      </c>
    </row>
    <row r="717" spans="1:15" x14ac:dyDescent="0.25">
      <c r="A717" s="64" t="s">
        <v>178</v>
      </c>
      <c r="B717" s="79" t="str">
        <f>IF(Third!B220="", "",Third!B220)</f>
        <v/>
      </c>
      <c r="C717" s="66" t="str">
        <f>IF(Third!C220="", "",Third!C220)</f>
        <v/>
      </c>
      <c r="D717" s="66" t="str">
        <f>IF(Third!D220="", "",Third!D220)</f>
        <v/>
      </c>
      <c r="E717" s="66" t="str">
        <f>IF(Third!E220="", "",Third!E220)</f>
        <v/>
      </c>
      <c r="F717" s="66" t="str">
        <f>IF(Third!F220="", "",Third!F220)</f>
        <v/>
      </c>
      <c r="G717" s="66" t="str">
        <f>IF(Third!G220="", "",Third!G220)</f>
        <v/>
      </c>
      <c r="H717" s="66" t="str">
        <f>IF(Third!H220="", "",Third!H220)</f>
        <v/>
      </c>
      <c r="I717" s="66" t="str">
        <f>IF(Third!I220="", "",Third!I220)</f>
        <v/>
      </c>
      <c r="J717" s="66" t="str">
        <f>IF(Third!J220="", "",Third!J220)</f>
        <v/>
      </c>
      <c r="K717" s="86" t="str">
        <f>IF(Third!K220="", "",Third!K220)</f>
        <v/>
      </c>
      <c r="M717" s="67" t="str">
        <f t="shared" si="35"/>
        <v/>
      </c>
      <c r="N717" s="76" t="str">
        <f t="shared" si="36"/>
        <v/>
      </c>
      <c r="O717" s="33">
        <f t="shared" si="34"/>
        <v>0</v>
      </c>
    </row>
    <row r="718" spans="1:15" x14ac:dyDescent="0.25">
      <c r="A718" s="64" t="s">
        <v>178</v>
      </c>
      <c r="B718" s="79" t="str">
        <f>IF(Third!B221="", "",Third!B221)</f>
        <v/>
      </c>
      <c r="C718" s="66" t="str">
        <f>IF(Third!C221="", "",Third!C221)</f>
        <v/>
      </c>
      <c r="D718" s="66" t="str">
        <f>IF(Third!D221="", "",Third!D221)</f>
        <v/>
      </c>
      <c r="E718" s="66" t="str">
        <f>IF(Third!E221="", "",Third!E221)</f>
        <v/>
      </c>
      <c r="F718" s="66" t="str">
        <f>IF(Third!F221="", "",Third!F221)</f>
        <v/>
      </c>
      <c r="G718" s="66" t="str">
        <f>IF(Third!G221="", "",Third!G221)</f>
        <v/>
      </c>
      <c r="H718" s="66" t="str">
        <f>IF(Third!H221="", "",Third!H221)</f>
        <v/>
      </c>
      <c r="I718" s="66" t="str">
        <f>IF(Third!I221="", "",Third!I221)</f>
        <v/>
      </c>
      <c r="J718" s="66" t="str">
        <f>IF(Third!J221="", "",Third!J221)</f>
        <v/>
      </c>
      <c r="K718" s="86" t="str">
        <f>IF(Third!K221="", "",Third!K221)</f>
        <v/>
      </c>
      <c r="M718" s="67" t="str">
        <f t="shared" si="35"/>
        <v/>
      </c>
      <c r="N718" s="76" t="str">
        <f t="shared" si="36"/>
        <v/>
      </c>
      <c r="O718" s="33">
        <f t="shared" si="34"/>
        <v>0</v>
      </c>
    </row>
    <row r="719" spans="1:15" x14ac:dyDescent="0.25">
      <c r="A719" s="64" t="s">
        <v>178</v>
      </c>
      <c r="B719" s="79" t="str">
        <f>IF(Third!B222="", "",Third!B222)</f>
        <v/>
      </c>
      <c r="C719" s="66" t="str">
        <f>IF(Third!C222="", "",Third!C222)</f>
        <v/>
      </c>
      <c r="D719" s="66" t="str">
        <f>IF(Third!D222="", "",Third!D222)</f>
        <v/>
      </c>
      <c r="E719" s="66" t="str">
        <f>IF(Third!E222="", "",Third!E222)</f>
        <v/>
      </c>
      <c r="F719" s="66" t="str">
        <f>IF(Third!F222="", "",Third!F222)</f>
        <v/>
      </c>
      <c r="G719" s="66" t="str">
        <f>IF(Third!G222="", "",Third!G222)</f>
        <v/>
      </c>
      <c r="H719" s="66" t="str">
        <f>IF(Third!H222="", "",Third!H222)</f>
        <v/>
      </c>
      <c r="I719" s="66" t="str">
        <f>IF(Third!I222="", "",Third!I222)</f>
        <v/>
      </c>
      <c r="J719" s="66" t="str">
        <f>IF(Third!J222="", "",Third!J222)</f>
        <v/>
      </c>
      <c r="K719" s="86" t="str">
        <f>IF(Third!K222="", "",Third!K222)</f>
        <v/>
      </c>
      <c r="M719" s="67" t="str">
        <f t="shared" si="35"/>
        <v/>
      </c>
      <c r="N719" s="76" t="str">
        <f t="shared" si="36"/>
        <v/>
      </c>
      <c r="O719" s="33">
        <f t="shared" si="34"/>
        <v>0</v>
      </c>
    </row>
    <row r="720" spans="1:15" x14ac:dyDescent="0.25">
      <c r="A720" s="64" t="s">
        <v>178</v>
      </c>
      <c r="B720" s="79" t="str">
        <f>IF(Third!B223="", "",Third!B223)</f>
        <v/>
      </c>
      <c r="C720" s="66" t="str">
        <f>IF(Third!C223="", "",Third!C223)</f>
        <v/>
      </c>
      <c r="D720" s="66" t="str">
        <f>IF(Third!D223="", "",Third!D223)</f>
        <v/>
      </c>
      <c r="E720" s="66" t="str">
        <f>IF(Third!E223="", "",Third!E223)</f>
        <v/>
      </c>
      <c r="F720" s="66" t="str">
        <f>IF(Third!F223="", "",Third!F223)</f>
        <v/>
      </c>
      <c r="G720" s="66" t="str">
        <f>IF(Third!G223="", "",Third!G223)</f>
        <v/>
      </c>
      <c r="H720" s="66" t="str">
        <f>IF(Third!H223="", "",Third!H223)</f>
        <v/>
      </c>
      <c r="I720" s="66" t="str">
        <f>IF(Third!I223="", "",Third!I223)</f>
        <v/>
      </c>
      <c r="J720" s="66" t="str">
        <f>IF(Third!J223="", "",Third!J223)</f>
        <v/>
      </c>
      <c r="K720" s="86" t="str">
        <f>IF(Third!K223="", "",Third!K223)</f>
        <v/>
      </c>
      <c r="M720" s="67" t="str">
        <f t="shared" si="35"/>
        <v/>
      </c>
      <c r="N720" s="76" t="str">
        <f t="shared" si="36"/>
        <v/>
      </c>
      <c r="O720" s="33">
        <f t="shared" si="34"/>
        <v>0</v>
      </c>
    </row>
    <row r="721" spans="1:15" x14ac:dyDescent="0.25">
      <c r="A721" s="64" t="s">
        <v>178</v>
      </c>
      <c r="B721" s="79" t="str">
        <f>IF(Third!B224="", "",Third!B224)</f>
        <v/>
      </c>
      <c r="C721" s="66" t="str">
        <f>IF(Third!C224="", "",Third!C224)</f>
        <v/>
      </c>
      <c r="D721" s="66" t="str">
        <f>IF(Third!D224="", "",Third!D224)</f>
        <v/>
      </c>
      <c r="E721" s="66" t="str">
        <f>IF(Third!E224="", "",Third!E224)</f>
        <v/>
      </c>
      <c r="F721" s="66" t="str">
        <f>IF(Third!F224="", "",Third!F224)</f>
        <v/>
      </c>
      <c r="G721" s="66" t="str">
        <f>IF(Third!G224="", "",Third!G224)</f>
        <v/>
      </c>
      <c r="H721" s="66" t="str">
        <f>IF(Third!H224="", "",Third!H224)</f>
        <v/>
      </c>
      <c r="I721" s="66" t="str">
        <f>IF(Third!I224="", "",Third!I224)</f>
        <v/>
      </c>
      <c r="J721" s="66" t="str">
        <f>IF(Third!J224="", "",Third!J224)</f>
        <v/>
      </c>
      <c r="K721" s="86" t="str">
        <f>IF(Third!K224="", "",Third!K224)</f>
        <v/>
      </c>
      <c r="M721" s="67" t="str">
        <f t="shared" si="35"/>
        <v/>
      </c>
      <c r="N721" s="76" t="str">
        <f t="shared" si="36"/>
        <v/>
      </c>
      <c r="O721" s="33">
        <f t="shared" si="34"/>
        <v>0</v>
      </c>
    </row>
    <row r="722" spans="1:15" x14ac:dyDescent="0.25">
      <c r="A722" s="64" t="s">
        <v>178</v>
      </c>
      <c r="B722" s="79" t="str">
        <f>IF(Third!B225="", "",Third!B225)</f>
        <v/>
      </c>
      <c r="C722" s="66" t="str">
        <f>IF(Third!C225="", "",Third!C225)</f>
        <v/>
      </c>
      <c r="D722" s="66" t="str">
        <f>IF(Third!D225="", "",Third!D225)</f>
        <v/>
      </c>
      <c r="E722" s="66" t="str">
        <f>IF(Third!E225="", "",Third!E225)</f>
        <v/>
      </c>
      <c r="F722" s="66" t="str">
        <f>IF(Third!F225="", "",Third!F225)</f>
        <v/>
      </c>
      <c r="G722" s="66" t="str">
        <f>IF(Third!G225="", "",Third!G225)</f>
        <v/>
      </c>
      <c r="H722" s="66" t="str">
        <f>IF(Third!H225="", "",Third!H225)</f>
        <v/>
      </c>
      <c r="I722" s="66" t="str">
        <f>IF(Third!I225="", "",Third!I225)</f>
        <v/>
      </c>
      <c r="J722" s="66" t="str">
        <f>IF(Third!J225="", "",Third!J225)</f>
        <v/>
      </c>
      <c r="K722" s="86" t="str">
        <f>IF(Third!K225="", "",Third!K225)</f>
        <v/>
      </c>
      <c r="M722" s="67" t="str">
        <f t="shared" si="35"/>
        <v/>
      </c>
      <c r="N722" s="76" t="str">
        <f t="shared" si="36"/>
        <v/>
      </c>
      <c r="O722" s="33">
        <f t="shared" si="34"/>
        <v>0</v>
      </c>
    </row>
    <row r="723" spans="1:15" x14ac:dyDescent="0.25">
      <c r="A723" s="64" t="s">
        <v>178</v>
      </c>
      <c r="B723" s="79" t="str">
        <f>IF(Third!B226="", "",Third!B226)</f>
        <v/>
      </c>
      <c r="C723" s="66" t="str">
        <f>IF(Third!C226="", "",Third!C226)</f>
        <v/>
      </c>
      <c r="D723" s="66" t="str">
        <f>IF(Third!D226="", "",Third!D226)</f>
        <v/>
      </c>
      <c r="E723" s="66" t="str">
        <f>IF(Third!E226="", "",Third!E226)</f>
        <v/>
      </c>
      <c r="F723" s="66" t="str">
        <f>IF(Third!F226="", "",Third!F226)</f>
        <v/>
      </c>
      <c r="G723" s="66" t="str">
        <f>IF(Third!G226="", "",Third!G226)</f>
        <v/>
      </c>
      <c r="H723" s="66" t="str">
        <f>IF(Third!H226="", "",Third!H226)</f>
        <v/>
      </c>
      <c r="I723" s="66" t="str">
        <f>IF(Third!I226="", "",Third!I226)</f>
        <v/>
      </c>
      <c r="J723" s="66" t="str">
        <f>IF(Third!J226="", "",Third!J226)</f>
        <v/>
      </c>
      <c r="K723" s="86" t="str">
        <f>IF(Third!K226="", "",Third!K226)</f>
        <v/>
      </c>
      <c r="M723" s="67" t="str">
        <f t="shared" si="35"/>
        <v/>
      </c>
      <c r="N723" s="76" t="str">
        <f t="shared" si="36"/>
        <v/>
      </c>
      <c r="O723" s="33">
        <f t="shared" si="34"/>
        <v>0</v>
      </c>
    </row>
    <row r="724" spans="1:15" x14ac:dyDescent="0.25">
      <c r="A724" s="64" t="s">
        <v>178</v>
      </c>
      <c r="B724" s="79" t="str">
        <f>IF(Third!B227="", "",Third!B227)</f>
        <v/>
      </c>
      <c r="C724" s="66" t="str">
        <f>IF(Third!C227="", "",Third!C227)</f>
        <v/>
      </c>
      <c r="D724" s="66" t="str">
        <f>IF(Third!D227="", "",Third!D227)</f>
        <v/>
      </c>
      <c r="E724" s="66" t="str">
        <f>IF(Third!E227="", "",Third!E227)</f>
        <v/>
      </c>
      <c r="F724" s="66" t="str">
        <f>IF(Third!F227="", "",Third!F227)</f>
        <v/>
      </c>
      <c r="G724" s="66" t="str">
        <f>IF(Third!G227="", "",Third!G227)</f>
        <v/>
      </c>
      <c r="H724" s="66" t="str">
        <f>IF(Third!H227="", "",Third!H227)</f>
        <v/>
      </c>
      <c r="I724" s="66" t="str">
        <f>IF(Third!I227="", "",Third!I227)</f>
        <v/>
      </c>
      <c r="J724" s="66" t="str">
        <f>IF(Third!J227="", "",Third!J227)</f>
        <v/>
      </c>
      <c r="K724" s="86" t="str">
        <f>IF(Third!K227="", "",Third!K227)</f>
        <v/>
      </c>
      <c r="M724" s="67" t="str">
        <f t="shared" si="35"/>
        <v/>
      </c>
      <c r="N724" s="76" t="str">
        <f t="shared" si="36"/>
        <v/>
      </c>
      <c r="O724" s="33">
        <f t="shared" si="34"/>
        <v>0</v>
      </c>
    </row>
    <row r="725" spans="1:15" x14ac:dyDescent="0.25">
      <c r="A725" s="64" t="s">
        <v>178</v>
      </c>
      <c r="B725" s="79" t="str">
        <f>IF(Third!B228="", "",Third!B228)</f>
        <v/>
      </c>
      <c r="C725" s="66" t="str">
        <f>IF(Third!C228="", "",Third!C228)</f>
        <v/>
      </c>
      <c r="D725" s="66" t="str">
        <f>IF(Third!D228="", "",Third!D228)</f>
        <v/>
      </c>
      <c r="E725" s="66" t="str">
        <f>IF(Third!E228="", "",Third!E228)</f>
        <v/>
      </c>
      <c r="F725" s="66" t="str">
        <f>IF(Third!F228="", "",Third!F228)</f>
        <v/>
      </c>
      <c r="G725" s="66" t="str">
        <f>IF(Third!G228="", "",Third!G228)</f>
        <v/>
      </c>
      <c r="H725" s="66" t="str">
        <f>IF(Third!H228="", "",Third!H228)</f>
        <v/>
      </c>
      <c r="I725" s="66" t="str">
        <f>IF(Third!I228="", "",Third!I228)</f>
        <v/>
      </c>
      <c r="J725" s="66" t="str">
        <f>IF(Third!J228="", "",Third!J228)</f>
        <v/>
      </c>
      <c r="K725" s="86" t="str">
        <f>IF(Third!K228="", "",Third!K228)</f>
        <v/>
      </c>
      <c r="M725" s="67" t="str">
        <f t="shared" si="35"/>
        <v/>
      </c>
      <c r="N725" s="76" t="str">
        <f t="shared" si="36"/>
        <v/>
      </c>
      <c r="O725" s="33">
        <f t="shared" si="34"/>
        <v>0</v>
      </c>
    </row>
    <row r="726" spans="1:15" x14ac:dyDescent="0.25">
      <c r="A726" s="64" t="s">
        <v>178</v>
      </c>
      <c r="B726" s="79" t="str">
        <f>IF(Third!B229="", "",Third!B229)</f>
        <v/>
      </c>
      <c r="C726" s="66" t="str">
        <f>IF(Third!C229="", "",Third!C229)</f>
        <v/>
      </c>
      <c r="D726" s="66" t="str">
        <f>IF(Third!D229="", "",Third!D229)</f>
        <v/>
      </c>
      <c r="E726" s="66" t="str">
        <f>IF(Third!E229="", "",Third!E229)</f>
        <v/>
      </c>
      <c r="F726" s="66" t="str">
        <f>IF(Third!F229="", "",Third!F229)</f>
        <v/>
      </c>
      <c r="G726" s="66" t="str">
        <f>IF(Third!G229="", "",Third!G229)</f>
        <v/>
      </c>
      <c r="H726" s="66" t="str">
        <f>IF(Third!H229="", "",Third!H229)</f>
        <v/>
      </c>
      <c r="I726" s="66" t="str">
        <f>IF(Third!I229="", "",Third!I229)</f>
        <v/>
      </c>
      <c r="J726" s="66" t="str">
        <f>IF(Third!J229="", "",Third!J229)</f>
        <v/>
      </c>
      <c r="K726" s="86" t="str">
        <f>IF(Third!K229="", "",Third!K229)</f>
        <v/>
      </c>
      <c r="M726" s="67" t="str">
        <f t="shared" si="35"/>
        <v/>
      </c>
      <c r="N726" s="76" t="str">
        <f t="shared" si="36"/>
        <v/>
      </c>
      <c r="O726" s="33">
        <f t="shared" si="34"/>
        <v>0</v>
      </c>
    </row>
    <row r="727" spans="1:15" x14ac:dyDescent="0.25">
      <c r="A727" s="64" t="s">
        <v>178</v>
      </c>
      <c r="B727" s="79" t="str">
        <f>IF(Third!B230="", "",Third!B230)</f>
        <v/>
      </c>
      <c r="C727" s="66" t="str">
        <f>IF(Third!C230="", "",Third!C230)</f>
        <v/>
      </c>
      <c r="D727" s="66" t="str">
        <f>IF(Third!D230="", "",Third!D230)</f>
        <v/>
      </c>
      <c r="E727" s="66" t="str">
        <f>IF(Third!E230="", "",Third!E230)</f>
        <v/>
      </c>
      <c r="F727" s="66" t="str">
        <f>IF(Third!F230="", "",Third!F230)</f>
        <v/>
      </c>
      <c r="G727" s="66" t="str">
        <f>IF(Third!G230="", "",Third!G230)</f>
        <v/>
      </c>
      <c r="H727" s="66" t="str">
        <f>IF(Third!H230="", "",Third!H230)</f>
        <v/>
      </c>
      <c r="I727" s="66" t="str">
        <f>IF(Third!I230="", "",Third!I230)</f>
        <v/>
      </c>
      <c r="J727" s="66" t="str">
        <f>IF(Third!J230="", "",Third!J230)</f>
        <v/>
      </c>
      <c r="K727" s="86" t="str">
        <f>IF(Third!K230="", "",Third!K230)</f>
        <v/>
      </c>
      <c r="M727" s="67" t="str">
        <f t="shared" si="35"/>
        <v/>
      </c>
      <c r="N727" s="76" t="str">
        <f t="shared" si="36"/>
        <v/>
      </c>
      <c r="O727" s="33">
        <f t="shared" si="34"/>
        <v>0</v>
      </c>
    </row>
    <row r="728" spans="1:15" x14ac:dyDescent="0.25">
      <c r="A728" s="64" t="s">
        <v>178</v>
      </c>
      <c r="B728" s="79" t="str">
        <f>IF(Third!B231="", "",Third!B231)</f>
        <v/>
      </c>
      <c r="C728" s="66" t="str">
        <f>IF(Third!C231="", "",Third!C231)</f>
        <v/>
      </c>
      <c r="D728" s="66" t="str">
        <f>IF(Third!D231="", "",Third!D231)</f>
        <v/>
      </c>
      <c r="E728" s="66" t="str">
        <f>IF(Third!E231="", "",Third!E231)</f>
        <v/>
      </c>
      <c r="F728" s="66" t="str">
        <f>IF(Third!F231="", "",Third!F231)</f>
        <v/>
      </c>
      <c r="G728" s="66" t="str">
        <f>IF(Third!G231="", "",Third!G231)</f>
        <v/>
      </c>
      <c r="H728" s="66" t="str">
        <f>IF(Third!H231="", "",Third!H231)</f>
        <v/>
      </c>
      <c r="I728" s="66" t="str">
        <f>IF(Third!I231="", "",Third!I231)</f>
        <v/>
      </c>
      <c r="J728" s="66" t="str">
        <f>IF(Third!J231="", "",Third!J231)</f>
        <v/>
      </c>
      <c r="K728" s="86" t="str">
        <f>IF(Third!K231="", "",Third!K231)</f>
        <v/>
      </c>
      <c r="M728" s="67" t="str">
        <f t="shared" si="35"/>
        <v/>
      </c>
      <c r="N728" s="76" t="str">
        <f t="shared" si="36"/>
        <v/>
      </c>
      <c r="O728" s="33">
        <f t="shared" si="34"/>
        <v>0</v>
      </c>
    </row>
    <row r="729" spans="1:15" x14ac:dyDescent="0.25">
      <c r="A729" s="64" t="s">
        <v>178</v>
      </c>
      <c r="B729" s="79" t="str">
        <f>IF(Third!B232="", "",Third!B232)</f>
        <v/>
      </c>
      <c r="C729" s="66" t="str">
        <f>IF(Third!C232="", "",Third!C232)</f>
        <v/>
      </c>
      <c r="D729" s="66" t="str">
        <f>IF(Third!D232="", "",Third!D232)</f>
        <v/>
      </c>
      <c r="E729" s="66" t="str">
        <f>IF(Third!E232="", "",Third!E232)</f>
        <v/>
      </c>
      <c r="F729" s="66" t="str">
        <f>IF(Third!F232="", "",Third!F232)</f>
        <v/>
      </c>
      <c r="G729" s="66" t="str">
        <f>IF(Third!G232="", "",Third!G232)</f>
        <v/>
      </c>
      <c r="H729" s="66" t="str">
        <f>IF(Third!H232="", "",Third!H232)</f>
        <v/>
      </c>
      <c r="I729" s="66" t="str">
        <f>IF(Third!I232="", "",Third!I232)</f>
        <v/>
      </c>
      <c r="J729" s="66" t="str">
        <f>IF(Third!J232="", "",Third!J232)</f>
        <v/>
      </c>
      <c r="K729" s="86" t="str">
        <f>IF(Third!K232="", "",Third!K232)</f>
        <v/>
      </c>
      <c r="M729" s="67" t="str">
        <f t="shared" si="35"/>
        <v/>
      </c>
      <c r="N729" s="76" t="str">
        <f t="shared" si="36"/>
        <v/>
      </c>
      <c r="O729" s="33">
        <f t="shared" si="34"/>
        <v>0</v>
      </c>
    </row>
    <row r="730" spans="1:15" x14ac:dyDescent="0.25">
      <c r="A730" s="64" t="s">
        <v>178</v>
      </c>
      <c r="B730" s="79" t="str">
        <f>IF(Third!B233="", "",Third!B233)</f>
        <v/>
      </c>
      <c r="C730" s="66" t="str">
        <f>IF(Third!C233="", "",Third!C233)</f>
        <v/>
      </c>
      <c r="D730" s="66" t="str">
        <f>IF(Third!D233="", "",Third!D233)</f>
        <v/>
      </c>
      <c r="E730" s="66" t="str">
        <f>IF(Third!E233="", "",Third!E233)</f>
        <v/>
      </c>
      <c r="F730" s="66" t="str">
        <f>IF(Third!F233="", "",Third!F233)</f>
        <v/>
      </c>
      <c r="G730" s="66" t="str">
        <f>IF(Third!G233="", "",Third!G233)</f>
        <v/>
      </c>
      <c r="H730" s="66" t="str">
        <f>IF(Third!H233="", "",Third!H233)</f>
        <v/>
      </c>
      <c r="I730" s="66" t="str">
        <f>IF(Third!I233="", "",Third!I233)</f>
        <v/>
      </c>
      <c r="J730" s="66" t="str">
        <f>IF(Third!J233="", "",Third!J233)</f>
        <v/>
      </c>
      <c r="K730" s="86" t="str">
        <f>IF(Third!K233="", "",Third!K233)</f>
        <v/>
      </c>
      <c r="M730" s="67" t="str">
        <f t="shared" si="35"/>
        <v/>
      </c>
      <c r="N730" s="76" t="str">
        <f t="shared" si="36"/>
        <v/>
      </c>
      <c r="O730" s="33">
        <f t="shared" si="34"/>
        <v>0</v>
      </c>
    </row>
    <row r="731" spans="1:15" x14ac:dyDescent="0.25">
      <c r="A731" s="64" t="s">
        <v>178</v>
      </c>
      <c r="B731" s="79" t="str">
        <f>IF(Third!B234="", "",Third!B234)</f>
        <v/>
      </c>
      <c r="C731" s="66" t="str">
        <f>IF(Third!C234="", "",Third!C234)</f>
        <v/>
      </c>
      <c r="D731" s="66" t="str">
        <f>IF(Third!D234="", "",Third!D234)</f>
        <v/>
      </c>
      <c r="E731" s="66" t="str">
        <f>IF(Third!E234="", "",Third!E234)</f>
        <v/>
      </c>
      <c r="F731" s="66" t="str">
        <f>IF(Third!F234="", "",Third!F234)</f>
        <v/>
      </c>
      <c r="G731" s="66" t="str">
        <f>IF(Third!G234="", "",Third!G234)</f>
        <v/>
      </c>
      <c r="H731" s="66" t="str">
        <f>IF(Third!H234="", "",Third!H234)</f>
        <v/>
      </c>
      <c r="I731" s="66" t="str">
        <f>IF(Third!I234="", "",Third!I234)</f>
        <v/>
      </c>
      <c r="J731" s="66" t="str">
        <f>IF(Third!J234="", "",Third!J234)</f>
        <v/>
      </c>
      <c r="K731" s="86" t="str">
        <f>IF(Third!K234="", "",Third!K234)</f>
        <v/>
      </c>
      <c r="M731" s="67" t="str">
        <f t="shared" si="35"/>
        <v/>
      </c>
      <c r="N731" s="76" t="str">
        <f t="shared" si="36"/>
        <v/>
      </c>
      <c r="O731" s="33">
        <f t="shared" si="34"/>
        <v>0</v>
      </c>
    </row>
    <row r="732" spans="1:15" x14ac:dyDescent="0.25">
      <c r="A732" s="64" t="s">
        <v>178</v>
      </c>
      <c r="B732" s="79" t="str">
        <f>IF(Third!B235="", "",Third!B235)</f>
        <v/>
      </c>
      <c r="C732" s="66" t="str">
        <f>IF(Third!C235="", "",Third!C235)</f>
        <v/>
      </c>
      <c r="D732" s="66" t="str">
        <f>IF(Third!D235="", "",Third!D235)</f>
        <v/>
      </c>
      <c r="E732" s="66" t="str">
        <f>IF(Third!E235="", "",Third!E235)</f>
        <v/>
      </c>
      <c r="F732" s="66" t="str">
        <f>IF(Third!F235="", "",Third!F235)</f>
        <v/>
      </c>
      <c r="G732" s="66" t="str">
        <f>IF(Third!G235="", "",Third!G235)</f>
        <v/>
      </c>
      <c r="H732" s="66" t="str">
        <f>IF(Third!H235="", "",Third!H235)</f>
        <v/>
      </c>
      <c r="I732" s="66" t="str">
        <f>IF(Third!I235="", "",Third!I235)</f>
        <v/>
      </c>
      <c r="J732" s="66" t="str">
        <f>IF(Third!J235="", "",Third!J235)</f>
        <v/>
      </c>
      <c r="K732" s="86" t="str">
        <f>IF(Third!K235="", "",Third!K235)</f>
        <v/>
      </c>
      <c r="M732" s="67" t="str">
        <f t="shared" si="35"/>
        <v/>
      </c>
      <c r="N732" s="76" t="str">
        <f t="shared" si="36"/>
        <v/>
      </c>
      <c r="O732" s="33">
        <f t="shared" si="34"/>
        <v>0</v>
      </c>
    </row>
    <row r="733" spans="1:15" x14ac:dyDescent="0.25">
      <c r="A733" s="64" t="s">
        <v>178</v>
      </c>
      <c r="B733" s="79" t="str">
        <f>IF(Third!B236="", "",Third!B236)</f>
        <v/>
      </c>
      <c r="C733" s="66" t="str">
        <f>IF(Third!C236="", "",Third!C236)</f>
        <v/>
      </c>
      <c r="D733" s="66" t="str">
        <f>IF(Third!D236="", "",Third!D236)</f>
        <v/>
      </c>
      <c r="E733" s="66" t="str">
        <f>IF(Third!E236="", "",Third!E236)</f>
        <v/>
      </c>
      <c r="F733" s="66" t="str">
        <f>IF(Third!F236="", "",Third!F236)</f>
        <v/>
      </c>
      <c r="G733" s="66" t="str">
        <f>IF(Third!G236="", "",Third!G236)</f>
        <v/>
      </c>
      <c r="H733" s="66" t="str">
        <f>IF(Third!H236="", "",Third!H236)</f>
        <v/>
      </c>
      <c r="I733" s="66" t="str">
        <f>IF(Third!I236="", "",Third!I236)</f>
        <v/>
      </c>
      <c r="J733" s="66" t="str">
        <f>IF(Third!J236="", "",Third!J236)</f>
        <v/>
      </c>
      <c r="K733" s="86" t="str">
        <f>IF(Third!K236="", "",Third!K236)</f>
        <v/>
      </c>
      <c r="M733" s="67" t="str">
        <f t="shared" si="35"/>
        <v/>
      </c>
      <c r="N733" s="76" t="str">
        <f t="shared" si="36"/>
        <v/>
      </c>
      <c r="O733" s="33">
        <f t="shared" si="34"/>
        <v>0</v>
      </c>
    </row>
    <row r="734" spans="1:15" x14ac:dyDescent="0.25">
      <c r="A734" s="64" t="s">
        <v>178</v>
      </c>
      <c r="B734" s="79" t="str">
        <f>IF(Third!B237="", "",Third!B237)</f>
        <v/>
      </c>
      <c r="C734" s="66" t="str">
        <f>IF(Third!C237="", "",Third!C237)</f>
        <v/>
      </c>
      <c r="D734" s="66" t="str">
        <f>IF(Third!D237="", "",Third!D237)</f>
        <v/>
      </c>
      <c r="E734" s="66" t="str">
        <f>IF(Third!E237="", "",Third!E237)</f>
        <v/>
      </c>
      <c r="F734" s="66" t="str">
        <f>IF(Third!F237="", "",Third!F237)</f>
        <v/>
      </c>
      <c r="G734" s="66" t="str">
        <f>IF(Third!G237="", "",Third!G237)</f>
        <v/>
      </c>
      <c r="H734" s="66" t="str">
        <f>IF(Third!H237="", "",Third!H237)</f>
        <v/>
      </c>
      <c r="I734" s="66" t="str">
        <f>IF(Third!I237="", "",Third!I237)</f>
        <v/>
      </c>
      <c r="J734" s="66" t="str">
        <f>IF(Third!J237="", "",Third!J237)</f>
        <v/>
      </c>
      <c r="K734" s="86" t="str">
        <f>IF(Third!K237="", "",Third!K237)</f>
        <v/>
      </c>
      <c r="M734" s="67" t="str">
        <f t="shared" si="35"/>
        <v/>
      </c>
      <c r="N734" s="76" t="str">
        <f t="shared" si="36"/>
        <v/>
      </c>
      <c r="O734" s="33">
        <f t="shared" si="34"/>
        <v>0</v>
      </c>
    </row>
    <row r="735" spans="1:15" x14ac:dyDescent="0.25">
      <c r="A735" s="64" t="s">
        <v>178</v>
      </c>
      <c r="B735" s="79" t="str">
        <f>IF(Third!B238="", "",Third!B238)</f>
        <v/>
      </c>
      <c r="C735" s="66" t="str">
        <f>IF(Third!C238="", "",Third!C238)</f>
        <v/>
      </c>
      <c r="D735" s="66" t="str">
        <f>IF(Third!D238="", "",Third!D238)</f>
        <v/>
      </c>
      <c r="E735" s="66" t="str">
        <f>IF(Third!E238="", "",Third!E238)</f>
        <v/>
      </c>
      <c r="F735" s="66" t="str">
        <f>IF(Third!F238="", "",Third!F238)</f>
        <v/>
      </c>
      <c r="G735" s="66" t="str">
        <f>IF(Third!G238="", "",Third!G238)</f>
        <v/>
      </c>
      <c r="H735" s="66" t="str">
        <f>IF(Third!H238="", "",Third!H238)</f>
        <v/>
      </c>
      <c r="I735" s="66" t="str">
        <f>IF(Third!I238="", "",Third!I238)</f>
        <v/>
      </c>
      <c r="J735" s="66" t="str">
        <f>IF(Third!J238="", "",Third!J238)</f>
        <v/>
      </c>
      <c r="K735" s="86" t="str">
        <f>IF(Third!K238="", "",Third!K238)</f>
        <v/>
      </c>
      <c r="M735" s="67" t="str">
        <f t="shared" si="35"/>
        <v/>
      </c>
      <c r="N735" s="76" t="str">
        <f t="shared" si="36"/>
        <v/>
      </c>
      <c r="O735" s="33">
        <f t="shared" si="34"/>
        <v>0</v>
      </c>
    </row>
    <row r="736" spans="1:15" x14ac:dyDescent="0.25">
      <c r="A736" s="64" t="s">
        <v>178</v>
      </c>
      <c r="B736" s="79" t="str">
        <f>IF(Third!B239="", "",Third!B239)</f>
        <v/>
      </c>
      <c r="C736" s="66" t="str">
        <f>IF(Third!C239="", "",Third!C239)</f>
        <v/>
      </c>
      <c r="D736" s="66" t="str">
        <f>IF(Third!D239="", "",Third!D239)</f>
        <v/>
      </c>
      <c r="E736" s="66" t="str">
        <f>IF(Third!E239="", "",Third!E239)</f>
        <v/>
      </c>
      <c r="F736" s="66" t="str">
        <f>IF(Third!F239="", "",Third!F239)</f>
        <v/>
      </c>
      <c r="G736" s="66" t="str">
        <f>IF(Third!G239="", "",Third!G239)</f>
        <v/>
      </c>
      <c r="H736" s="66" t="str">
        <f>IF(Third!H239="", "",Third!H239)</f>
        <v/>
      </c>
      <c r="I736" s="66" t="str">
        <f>IF(Third!I239="", "",Third!I239)</f>
        <v/>
      </c>
      <c r="J736" s="66" t="str">
        <f>IF(Third!J239="", "",Third!J239)</f>
        <v/>
      </c>
      <c r="K736" s="86" t="str">
        <f>IF(Third!K239="", "",Third!K239)</f>
        <v/>
      </c>
      <c r="M736" s="67" t="str">
        <f t="shared" si="35"/>
        <v/>
      </c>
      <c r="N736" s="76" t="str">
        <f t="shared" si="36"/>
        <v/>
      </c>
      <c r="O736" s="33">
        <f t="shared" si="34"/>
        <v>0</v>
      </c>
    </row>
    <row r="737" spans="1:15" x14ac:dyDescent="0.25">
      <c r="A737" s="64" t="s">
        <v>178</v>
      </c>
      <c r="B737" s="79" t="str">
        <f>IF(Third!B240="", "",Third!B240)</f>
        <v/>
      </c>
      <c r="C737" s="66" t="str">
        <f>IF(Third!C240="", "",Third!C240)</f>
        <v/>
      </c>
      <c r="D737" s="66" t="str">
        <f>IF(Third!D240="", "",Third!D240)</f>
        <v/>
      </c>
      <c r="E737" s="66" t="str">
        <f>IF(Third!E240="", "",Third!E240)</f>
        <v/>
      </c>
      <c r="F737" s="66" t="str">
        <f>IF(Third!F240="", "",Third!F240)</f>
        <v/>
      </c>
      <c r="G737" s="66" t="str">
        <f>IF(Third!G240="", "",Third!G240)</f>
        <v/>
      </c>
      <c r="H737" s="66" t="str">
        <f>IF(Third!H240="", "",Third!H240)</f>
        <v/>
      </c>
      <c r="I737" s="66" t="str">
        <f>IF(Third!I240="", "",Third!I240)</f>
        <v/>
      </c>
      <c r="J737" s="66" t="str">
        <f>IF(Third!J240="", "",Third!J240)</f>
        <v/>
      </c>
      <c r="K737" s="86" t="str">
        <f>IF(Third!K240="", "",Third!K240)</f>
        <v/>
      </c>
      <c r="M737" s="67" t="str">
        <f t="shared" si="35"/>
        <v/>
      </c>
      <c r="N737" s="76" t="str">
        <f t="shared" si="36"/>
        <v/>
      </c>
      <c r="O737" s="33">
        <f t="shared" si="34"/>
        <v>0</v>
      </c>
    </row>
    <row r="738" spans="1:15" x14ac:dyDescent="0.25">
      <c r="A738" s="64" t="s">
        <v>178</v>
      </c>
      <c r="B738" s="79" t="str">
        <f>IF(Third!B241="", "",Third!B241)</f>
        <v/>
      </c>
      <c r="C738" s="66" t="str">
        <f>IF(Third!C241="", "",Third!C241)</f>
        <v/>
      </c>
      <c r="D738" s="66" t="str">
        <f>IF(Third!D241="", "",Third!D241)</f>
        <v/>
      </c>
      <c r="E738" s="66" t="str">
        <f>IF(Third!E241="", "",Third!E241)</f>
        <v/>
      </c>
      <c r="F738" s="66" t="str">
        <f>IF(Third!F241="", "",Third!F241)</f>
        <v/>
      </c>
      <c r="G738" s="66" t="str">
        <f>IF(Third!G241="", "",Third!G241)</f>
        <v/>
      </c>
      <c r="H738" s="66" t="str">
        <f>IF(Third!H241="", "",Third!H241)</f>
        <v/>
      </c>
      <c r="I738" s="66" t="str">
        <f>IF(Third!I241="", "",Third!I241)</f>
        <v/>
      </c>
      <c r="J738" s="66" t="str">
        <f>IF(Third!J241="", "",Third!J241)</f>
        <v/>
      </c>
      <c r="K738" s="86" t="str">
        <f>IF(Third!K241="", "",Third!K241)</f>
        <v/>
      </c>
      <c r="M738" s="67" t="str">
        <f t="shared" si="35"/>
        <v/>
      </c>
      <c r="N738" s="76" t="str">
        <f t="shared" si="36"/>
        <v/>
      </c>
      <c r="O738" s="33">
        <f t="shared" si="34"/>
        <v>0</v>
      </c>
    </row>
    <row r="739" spans="1:15" x14ac:dyDescent="0.25">
      <c r="A739" s="64" t="s">
        <v>178</v>
      </c>
      <c r="B739" s="79" t="str">
        <f>IF(Third!B242="", "",Third!B242)</f>
        <v/>
      </c>
      <c r="C739" s="66" t="str">
        <f>IF(Third!C242="", "",Third!C242)</f>
        <v/>
      </c>
      <c r="D739" s="66" t="str">
        <f>IF(Third!D242="", "",Third!D242)</f>
        <v/>
      </c>
      <c r="E739" s="66" t="str">
        <f>IF(Third!E242="", "",Third!E242)</f>
        <v/>
      </c>
      <c r="F739" s="66" t="str">
        <f>IF(Third!F242="", "",Third!F242)</f>
        <v/>
      </c>
      <c r="G739" s="66" t="str">
        <f>IF(Third!G242="", "",Third!G242)</f>
        <v/>
      </c>
      <c r="H739" s="66" t="str">
        <f>IF(Third!H242="", "",Third!H242)</f>
        <v/>
      </c>
      <c r="I739" s="66" t="str">
        <f>IF(Third!I242="", "",Third!I242)</f>
        <v/>
      </c>
      <c r="J739" s="66" t="str">
        <f>IF(Third!J242="", "",Third!J242)</f>
        <v/>
      </c>
      <c r="K739" s="86" t="str">
        <f>IF(Third!K242="", "",Third!K242)</f>
        <v/>
      </c>
      <c r="M739" s="67" t="str">
        <f t="shared" si="35"/>
        <v/>
      </c>
      <c r="N739" s="76" t="str">
        <f t="shared" si="36"/>
        <v/>
      </c>
      <c r="O739" s="33">
        <f t="shared" si="34"/>
        <v>0</v>
      </c>
    </row>
    <row r="740" spans="1:15" x14ac:dyDescent="0.25">
      <c r="A740" s="64" t="s">
        <v>178</v>
      </c>
      <c r="B740" s="79" t="str">
        <f>IF(Third!B243="", "",Third!B243)</f>
        <v/>
      </c>
      <c r="C740" s="66" t="str">
        <f>IF(Third!C243="", "",Third!C243)</f>
        <v/>
      </c>
      <c r="D740" s="66" t="str">
        <f>IF(Third!D243="", "",Third!D243)</f>
        <v/>
      </c>
      <c r="E740" s="66" t="str">
        <f>IF(Third!E243="", "",Third!E243)</f>
        <v/>
      </c>
      <c r="F740" s="66" t="str">
        <f>IF(Third!F243="", "",Third!F243)</f>
        <v/>
      </c>
      <c r="G740" s="66" t="str">
        <f>IF(Third!G243="", "",Third!G243)</f>
        <v/>
      </c>
      <c r="H740" s="66" t="str">
        <f>IF(Third!H243="", "",Third!H243)</f>
        <v/>
      </c>
      <c r="I740" s="66" t="str">
        <f>IF(Third!I243="", "",Third!I243)</f>
        <v/>
      </c>
      <c r="J740" s="66" t="str">
        <f>IF(Third!J243="", "",Third!J243)</f>
        <v/>
      </c>
      <c r="K740" s="86" t="str">
        <f>IF(Third!K243="", "",Third!K243)</f>
        <v/>
      </c>
      <c r="M740" s="67" t="str">
        <f t="shared" si="35"/>
        <v/>
      </c>
      <c r="N740" s="76" t="str">
        <f t="shared" si="36"/>
        <v/>
      </c>
      <c r="O740" s="33">
        <f t="shared" si="34"/>
        <v>0</v>
      </c>
    </row>
    <row r="741" spans="1:15" x14ac:dyDescent="0.25">
      <c r="A741" s="64" t="s">
        <v>178</v>
      </c>
      <c r="B741" s="79" t="str">
        <f>IF(Third!B244="", "",Third!B244)</f>
        <v/>
      </c>
      <c r="C741" s="66" t="str">
        <f>IF(Third!C244="", "",Third!C244)</f>
        <v/>
      </c>
      <c r="D741" s="66" t="str">
        <f>IF(Third!D244="", "",Third!D244)</f>
        <v/>
      </c>
      <c r="E741" s="66" t="str">
        <f>IF(Third!E244="", "",Third!E244)</f>
        <v/>
      </c>
      <c r="F741" s="66" t="str">
        <f>IF(Third!F244="", "",Third!F244)</f>
        <v/>
      </c>
      <c r="G741" s="66" t="str">
        <f>IF(Third!G244="", "",Third!G244)</f>
        <v/>
      </c>
      <c r="H741" s="66" t="str">
        <f>IF(Third!H244="", "",Third!H244)</f>
        <v/>
      </c>
      <c r="I741" s="66" t="str">
        <f>IF(Third!I244="", "",Third!I244)</f>
        <v/>
      </c>
      <c r="J741" s="66" t="str">
        <f>IF(Third!J244="", "",Third!J244)</f>
        <v/>
      </c>
      <c r="K741" s="86" t="str">
        <f>IF(Third!K244="", "",Third!K244)</f>
        <v/>
      </c>
      <c r="M741" s="67" t="str">
        <f t="shared" si="35"/>
        <v/>
      </c>
      <c r="N741" s="76" t="str">
        <f t="shared" si="36"/>
        <v/>
      </c>
      <c r="O741" s="33">
        <f t="shared" si="34"/>
        <v>0</v>
      </c>
    </row>
    <row r="742" spans="1:15" x14ac:dyDescent="0.25">
      <c r="A742" s="64" t="s">
        <v>178</v>
      </c>
      <c r="B742" s="79" t="str">
        <f>IF(Third!B245="", "",Third!B245)</f>
        <v/>
      </c>
      <c r="C742" s="66" t="str">
        <f>IF(Third!C245="", "",Third!C245)</f>
        <v/>
      </c>
      <c r="D742" s="66" t="str">
        <f>IF(Third!D245="", "",Third!D245)</f>
        <v/>
      </c>
      <c r="E742" s="66" t="str">
        <f>IF(Third!E245="", "",Third!E245)</f>
        <v/>
      </c>
      <c r="F742" s="66" t="str">
        <f>IF(Third!F245="", "",Third!F245)</f>
        <v/>
      </c>
      <c r="G742" s="66" t="str">
        <f>IF(Third!G245="", "",Third!G245)</f>
        <v/>
      </c>
      <c r="H742" s="66" t="str">
        <f>IF(Third!H245="", "",Third!H245)</f>
        <v/>
      </c>
      <c r="I742" s="66" t="str">
        <f>IF(Third!I245="", "",Third!I245)</f>
        <v/>
      </c>
      <c r="J742" s="66" t="str">
        <f>IF(Third!J245="", "",Third!J245)</f>
        <v/>
      </c>
      <c r="K742" s="86" t="str">
        <f>IF(Third!K245="", "",Third!K245)</f>
        <v/>
      </c>
      <c r="M742" s="67" t="str">
        <f t="shared" si="35"/>
        <v/>
      </c>
      <c r="N742" s="76" t="str">
        <f t="shared" si="36"/>
        <v/>
      </c>
      <c r="O742" s="33">
        <f t="shared" si="34"/>
        <v>0</v>
      </c>
    </row>
    <row r="743" spans="1:15" x14ac:dyDescent="0.25">
      <c r="A743" s="64" t="s">
        <v>178</v>
      </c>
      <c r="B743" s="79" t="str">
        <f>IF(Third!B246="", "",Third!B246)</f>
        <v/>
      </c>
      <c r="C743" s="66" t="str">
        <f>IF(Third!C246="", "",Third!C246)</f>
        <v/>
      </c>
      <c r="D743" s="66" t="str">
        <f>IF(Third!D246="", "",Third!D246)</f>
        <v/>
      </c>
      <c r="E743" s="66" t="str">
        <f>IF(Third!E246="", "",Third!E246)</f>
        <v/>
      </c>
      <c r="F743" s="66" t="str">
        <f>IF(Third!F246="", "",Third!F246)</f>
        <v/>
      </c>
      <c r="G743" s="66" t="str">
        <f>IF(Third!G246="", "",Third!G246)</f>
        <v/>
      </c>
      <c r="H743" s="66" t="str">
        <f>IF(Third!H246="", "",Third!H246)</f>
        <v/>
      </c>
      <c r="I743" s="66" t="str">
        <f>IF(Third!I246="", "",Third!I246)</f>
        <v/>
      </c>
      <c r="J743" s="66" t="str">
        <f>IF(Third!J246="", "",Third!J246)</f>
        <v/>
      </c>
      <c r="K743" s="86" t="str">
        <f>IF(Third!K246="", "",Third!K246)</f>
        <v/>
      </c>
      <c r="M743" s="67" t="str">
        <f t="shared" si="35"/>
        <v/>
      </c>
      <c r="N743" s="76" t="str">
        <f t="shared" si="36"/>
        <v/>
      </c>
      <c r="O743" s="33">
        <f t="shared" si="34"/>
        <v>0</v>
      </c>
    </row>
    <row r="744" spans="1:15" x14ac:dyDescent="0.25">
      <c r="A744" s="64" t="s">
        <v>178</v>
      </c>
      <c r="B744" s="79" t="str">
        <f>IF(Third!B247="", "",Third!B247)</f>
        <v/>
      </c>
      <c r="C744" s="66" t="str">
        <f>IF(Third!C247="", "",Third!C247)</f>
        <v/>
      </c>
      <c r="D744" s="66" t="str">
        <f>IF(Third!D247="", "",Third!D247)</f>
        <v/>
      </c>
      <c r="E744" s="66" t="str">
        <f>IF(Third!E247="", "",Third!E247)</f>
        <v/>
      </c>
      <c r="F744" s="66" t="str">
        <f>IF(Third!F247="", "",Third!F247)</f>
        <v/>
      </c>
      <c r="G744" s="66" t="str">
        <f>IF(Third!G247="", "",Third!G247)</f>
        <v/>
      </c>
      <c r="H744" s="66" t="str">
        <f>IF(Third!H247="", "",Third!H247)</f>
        <v/>
      </c>
      <c r="I744" s="66" t="str">
        <f>IF(Third!I247="", "",Third!I247)</f>
        <v/>
      </c>
      <c r="J744" s="66" t="str">
        <f>IF(Third!J247="", "",Third!J247)</f>
        <v/>
      </c>
      <c r="K744" s="86" t="str">
        <f>IF(Third!K247="", "",Third!K247)</f>
        <v/>
      </c>
      <c r="M744" s="67" t="str">
        <f t="shared" si="35"/>
        <v/>
      </c>
      <c r="N744" s="76" t="str">
        <f t="shared" si="36"/>
        <v/>
      </c>
      <c r="O744" s="33">
        <f t="shared" si="34"/>
        <v>0</v>
      </c>
    </row>
    <row r="745" spans="1:15" x14ac:dyDescent="0.25">
      <c r="A745" s="64" t="s">
        <v>178</v>
      </c>
      <c r="B745" s="79" t="str">
        <f>IF(Third!B248="", "",Third!B248)</f>
        <v/>
      </c>
      <c r="C745" s="66" t="str">
        <f>IF(Third!C248="", "",Third!C248)</f>
        <v/>
      </c>
      <c r="D745" s="66" t="str">
        <f>IF(Third!D248="", "",Third!D248)</f>
        <v/>
      </c>
      <c r="E745" s="66" t="str">
        <f>IF(Third!E248="", "",Third!E248)</f>
        <v/>
      </c>
      <c r="F745" s="66" t="str">
        <f>IF(Third!F248="", "",Third!F248)</f>
        <v/>
      </c>
      <c r="G745" s="66" t="str">
        <f>IF(Third!G248="", "",Third!G248)</f>
        <v/>
      </c>
      <c r="H745" s="66" t="str">
        <f>IF(Third!H248="", "",Third!H248)</f>
        <v/>
      </c>
      <c r="I745" s="66" t="str">
        <f>IF(Third!I248="", "",Third!I248)</f>
        <v/>
      </c>
      <c r="J745" s="66" t="str">
        <f>IF(Third!J248="", "",Third!J248)</f>
        <v/>
      </c>
      <c r="K745" s="86" t="str">
        <f>IF(Third!K248="", "",Third!K248)</f>
        <v/>
      </c>
      <c r="M745" s="67" t="str">
        <f t="shared" si="35"/>
        <v/>
      </c>
      <c r="N745" s="76" t="str">
        <f t="shared" si="36"/>
        <v/>
      </c>
      <c r="O745" s="33">
        <f t="shared" si="34"/>
        <v>0</v>
      </c>
    </row>
    <row r="746" spans="1:15" x14ac:dyDescent="0.25">
      <c r="A746" s="64" t="s">
        <v>178</v>
      </c>
      <c r="B746" s="79" t="str">
        <f>IF(Third!B249="", "",Third!B249)</f>
        <v/>
      </c>
      <c r="C746" s="66" t="str">
        <f>IF(Third!C249="", "",Third!C249)</f>
        <v/>
      </c>
      <c r="D746" s="66" t="str">
        <f>IF(Third!D249="", "",Third!D249)</f>
        <v/>
      </c>
      <c r="E746" s="66" t="str">
        <f>IF(Third!E249="", "",Third!E249)</f>
        <v/>
      </c>
      <c r="F746" s="66" t="str">
        <f>IF(Third!F249="", "",Third!F249)</f>
        <v/>
      </c>
      <c r="G746" s="66" t="str">
        <f>IF(Third!G249="", "",Third!G249)</f>
        <v/>
      </c>
      <c r="H746" s="66" t="str">
        <f>IF(Third!H249="", "",Third!H249)</f>
        <v/>
      </c>
      <c r="I746" s="66" t="str">
        <f>IF(Third!I249="", "",Third!I249)</f>
        <v/>
      </c>
      <c r="J746" s="66" t="str">
        <f>IF(Third!J249="", "",Third!J249)</f>
        <v/>
      </c>
      <c r="K746" s="86" t="str">
        <f>IF(Third!K249="", "",Third!K249)</f>
        <v/>
      </c>
      <c r="M746" s="67" t="str">
        <f t="shared" si="35"/>
        <v/>
      </c>
      <c r="N746" s="76" t="str">
        <f t="shared" si="36"/>
        <v/>
      </c>
      <c r="O746" s="33">
        <f t="shared" si="34"/>
        <v>0</v>
      </c>
    </row>
    <row r="747" spans="1:15" x14ac:dyDescent="0.25">
      <c r="A747" s="64" t="s">
        <v>178</v>
      </c>
      <c r="B747" s="79" t="str">
        <f>IF(Third!B250="", "",Third!B250)</f>
        <v/>
      </c>
      <c r="C747" s="66" t="str">
        <f>IF(Third!C250="", "",Third!C250)</f>
        <v/>
      </c>
      <c r="D747" s="66" t="str">
        <f>IF(Third!D250="", "",Third!D250)</f>
        <v/>
      </c>
      <c r="E747" s="66" t="str">
        <f>IF(Third!E250="", "",Third!E250)</f>
        <v/>
      </c>
      <c r="F747" s="66" t="str">
        <f>IF(Third!F250="", "",Third!F250)</f>
        <v/>
      </c>
      <c r="G747" s="66" t="str">
        <f>IF(Third!G250="", "",Third!G250)</f>
        <v/>
      </c>
      <c r="H747" s="66" t="str">
        <f>IF(Third!H250="", "",Third!H250)</f>
        <v/>
      </c>
      <c r="I747" s="66" t="str">
        <f>IF(Third!I250="", "",Third!I250)</f>
        <v/>
      </c>
      <c r="J747" s="66" t="str">
        <f>IF(Third!J250="", "",Third!J250)</f>
        <v/>
      </c>
      <c r="K747" s="86" t="str">
        <f>IF(Third!K250="", "",Third!K250)</f>
        <v/>
      </c>
      <c r="M747" s="67" t="str">
        <f t="shared" si="35"/>
        <v/>
      </c>
      <c r="N747" s="76" t="str">
        <f t="shared" si="36"/>
        <v/>
      </c>
      <c r="O747" s="33">
        <f t="shared" si="34"/>
        <v>0</v>
      </c>
    </row>
    <row r="748" spans="1:15" x14ac:dyDescent="0.25">
      <c r="A748" s="64" t="s">
        <v>178</v>
      </c>
      <c r="B748" s="79" t="str">
        <f>IF(Third!B251="", "",Third!B251)</f>
        <v/>
      </c>
      <c r="C748" s="66" t="str">
        <f>IF(Third!C251="", "",Third!C251)</f>
        <v/>
      </c>
      <c r="D748" s="66" t="str">
        <f>IF(Third!D251="", "",Third!D251)</f>
        <v/>
      </c>
      <c r="E748" s="66" t="str">
        <f>IF(Third!E251="", "",Third!E251)</f>
        <v/>
      </c>
      <c r="F748" s="66" t="str">
        <f>IF(Third!F251="", "",Third!F251)</f>
        <v/>
      </c>
      <c r="G748" s="66" t="str">
        <f>IF(Third!G251="", "",Third!G251)</f>
        <v/>
      </c>
      <c r="H748" s="66" t="str">
        <f>IF(Third!H251="", "",Third!H251)</f>
        <v/>
      </c>
      <c r="I748" s="66" t="str">
        <f>IF(Third!I251="", "",Third!I251)</f>
        <v/>
      </c>
      <c r="J748" s="66" t="str">
        <f>IF(Third!J251="", "",Third!J251)</f>
        <v/>
      </c>
      <c r="K748" s="86" t="str">
        <f>IF(Third!K251="", "",Third!K251)</f>
        <v/>
      </c>
      <c r="M748" s="67" t="str">
        <f t="shared" si="35"/>
        <v/>
      </c>
      <c r="N748" s="76" t="str">
        <f t="shared" si="36"/>
        <v/>
      </c>
      <c r="O748" s="33">
        <f t="shared" si="34"/>
        <v>0</v>
      </c>
    </row>
    <row r="749" spans="1:15" x14ac:dyDescent="0.25">
      <c r="A749" s="64" t="s">
        <v>178</v>
      </c>
      <c r="B749" s="79" t="str">
        <f>IF(Third!B252="", "",Third!B252)</f>
        <v/>
      </c>
      <c r="C749" s="66" t="str">
        <f>IF(Third!C252="", "",Third!C252)</f>
        <v/>
      </c>
      <c r="D749" s="66" t="str">
        <f>IF(Third!D252="", "",Third!D252)</f>
        <v/>
      </c>
      <c r="E749" s="66" t="str">
        <f>IF(Third!E252="", "",Third!E252)</f>
        <v/>
      </c>
      <c r="F749" s="66" t="str">
        <f>IF(Third!F252="", "",Third!F252)</f>
        <v/>
      </c>
      <c r="G749" s="66" t="str">
        <f>IF(Third!G252="", "",Third!G252)</f>
        <v/>
      </c>
      <c r="H749" s="66" t="str">
        <f>IF(Third!H252="", "",Third!H252)</f>
        <v/>
      </c>
      <c r="I749" s="66" t="str">
        <f>IF(Third!I252="", "",Third!I252)</f>
        <v/>
      </c>
      <c r="J749" s="66" t="str">
        <f>IF(Third!J252="", "",Third!J252)</f>
        <v/>
      </c>
      <c r="K749" s="86" t="str">
        <f>IF(Third!K252="", "",Third!K252)</f>
        <v/>
      </c>
      <c r="M749" s="67" t="str">
        <f t="shared" si="35"/>
        <v/>
      </c>
      <c r="N749" s="76" t="str">
        <f t="shared" si="36"/>
        <v/>
      </c>
      <c r="O749" s="33">
        <f t="shared" si="34"/>
        <v>0</v>
      </c>
    </row>
    <row r="750" spans="1:15" x14ac:dyDescent="0.25">
      <c r="A750" s="64" t="s">
        <v>178</v>
      </c>
      <c r="B750" s="79" t="str">
        <f>IF(Third!B253="", "",Third!B253)</f>
        <v/>
      </c>
      <c r="C750" s="66" t="str">
        <f>IF(Third!C253="", "",Third!C253)</f>
        <v/>
      </c>
      <c r="D750" s="66" t="str">
        <f>IF(Third!D253="", "",Third!D253)</f>
        <v/>
      </c>
      <c r="E750" s="66" t="str">
        <f>IF(Third!E253="", "",Third!E253)</f>
        <v/>
      </c>
      <c r="F750" s="66" t="str">
        <f>IF(Third!F253="", "",Third!F253)</f>
        <v/>
      </c>
      <c r="G750" s="66" t="str">
        <f>IF(Third!G253="", "",Third!G253)</f>
        <v/>
      </c>
      <c r="H750" s="66" t="str">
        <f>IF(Third!H253="", "",Third!H253)</f>
        <v/>
      </c>
      <c r="I750" s="66" t="str">
        <f>IF(Third!I253="", "",Third!I253)</f>
        <v/>
      </c>
      <c r="J750" s="66" t="str">
        <f>IF(Third!J253="", "",Third!J253)</f>
        <v/>
      </c>
      <c r="K750" s="86" t="str">
        <f>IF(Third!K253="", "",Third!K253)</f>
        <v/>
      </c>
      <c r="M750" s="67" t="str">
        <f t="shared" si="35"/>
        <v/>
      </c>
      <c r="N750" s="76" t="str">
        <f t="shared" si="36"/>
        <v/>
      </c>
      <c r="O750" s="33">
        <f t="shared" si="34"/>
        <v>0</v>
      </c>
    </row>
    <row r="751" spans="1:15" ht="15.75" thickBot="1" x14ac:dyDescent="0.3">
      <c r="A751" s="68" t="s">
        <v>178</v>
      </c>
      <c r="B751" s="80" t="str">
        <f>IF(Third!B254="", "",Third!B254)</f>
        <v/>
      </c>
      <c r="C751" s="70" t="str">
        <f>IF(Third!C254="", "",Third!C254)</f>
        <v/>
      </c>
      <c r="D751" s="70" t="str">
        <f>IF(Third!D254="", "",Third!D254)</f>
        <v/>
      </c>
      <c r="E751" s="70" t="str">
        <f>IF(Third!E254="", "",Third!E254)</f>
        <v/>
      </c>
      <c r="F751" s="70" t="str">
        <f>IF(Third!F254="", "",Third!F254)</f>
        <v/>
      </c>
      <c r="G751" s="70" t="str">
        <f>IF(Third!G254="", "",Third!G254)</f>
        <v/>
      </c>
      <c r="H751" s="70" t="str">
        <f>IF(Third!H254="", "",Third!H254)</f>
        <v/>
      </c>
      <c r="I751" s="70" t="str">
        <f>IF(Third!I254="", "",Third!I254)</f>
        <v/>
      </c>
      <c r="J751" s="70" t="str">
        <f>IF(Third!J254="", "",Third!J254)</f>
        <v/>
      </c>
      <c r="K751" s="90" t="str">
        <f>IF(Third!K254="", "",Third!K254)</f>
        <v/>
      </c>
      <c r="L751" s="91"/>
      <c r="M751" s="71" t="str">
        <f t="shared" si="35"/>
        <v/>
      </c>
      <c r="N751" s="77" t="str">
        <f t="shared" si="36"/>
        <v/>
      </c>
      <c r="O751" s="33">
        <f t="shared" si="34"/>
        <v>0</v>
      </c>
    </row>
    <row r="752" spans="1:15" x14ac:dyDescent="0.25">
      <c r="A752" s="64" t="s">
        <v>179</v>
      </c>
      <c r="B752" s="79" t="str">
        <f>IF(Fourth!B5="", "",Fourth!B5)</f>
        <v>CSS</v>
      </c>
      <c r="C752" s="66" t="str">
        <f>IF(Fourth!C5="", "",Fourth!C5)</f>
        <v>PwC</v>
      </c>
      <c r="D752" s="66" t="str">
        <f>IF(Fourth!D5="", "",Fourth!D5)</f>
        <v>Returning</v>
      </c>
      <c r="E752" s="66" t="str">
        <f>IF(Fourth!E5="", "",Fourth!E5)</f>
        <v>Female</v>
      </c>
      <c r="F752" s="66" t="str">
        <f>IF(Fourth!F5="", "",Fourth!F5)</f>
        <v>Brain/CNS</v>
      </c>
      <c r="G752" s="66" t="str">
        <f>IF(Fourth!G5="", "",Fourth!G5)</f>
        <v>Non-Curative Intent</v>
      </c>
      <c r="H752" s="66" t="str">
        <f>IF(Fourth!H5="", "",Fourth!H5)</f>
        <v>Drop-In</v>
      </c>
      <c r="I752" s="66" t="str">
        <f>IF(Fourth!I5="", "",Fourth!I5)</f>
        <v/>
      </c>
      <c r="J752" s="66" t="str">
        <f>IF(Fourth!J5="", "",Fourth!J5)</f>
        <v/>
      </c>
      <c r="K752" s="86" t="str">
        <f>IF(Fourth!K5="", "",Fourth!K5)</f>
        <v/>
      </c>
      <c r="M752" s="67">
        <f t="shared" si="35"/>
        <v>7</v>
      </c>
      <c r="N752" s="76" t="str">
        <f t="shared" si="36"/>
        <v/>
      </c>
      <c r="O752" s="33">
        <f t="shared" si="34"/>
        <v>7</v>
      </c>
    </row>
    <row r="753" spans="1:15" x14ac:dyDescent="0.25">
      <c r="A753" s="64" t="s">
        <v>179</v>
      </c>
      <c r="B753" s="79" t="str">
        <f>IF(Fourth!B6="", "",Fourth!B6)</f>
        <v>CSS</v>
      </c>
      <c r="C753" s="66" t="str">
        <f>IF(Fourth!C6="", "",Fourth!C6)</f>
        <v>Carer</v>
      </c>
      <c r="D753" s="66" t="str">
        <f>IF(Fourth!D6="", "",Fourth!D6)</f>
        <v>Returning</v>
      </c>
      <c r="E753" s="66" t="str">
        <f>IF(Fourth!E6="", "",Fourth!E6)</f>
        <v>Female</v>
      </c>
      <c r="F753" s="66" t="str">
        <f>IF(Fourth!F6="", "",Fourth!F6)</f>
        <v>Brain/CNS</v>
      </c>
      <c r="G753" s="66" t="str">
        <f>IF(Fourth!G6="", "",Fourth!G6)</f>
        <v>Non-Curative Intent</v>
      </c>
      <c r="H753" s="66" t="str">
        <f>IF(Fourth!H6="", "",Fourth!H6)</f>
        <v>Drop-In</v>
      </c>
      <c r="I753" s="66" t="str">
        <f>IF(Fourth!I6="", "",Fourth!I6)</f>
        <v/>
      </c>
      <c r="J753" s="66" t="str">
        <f>IF(Fourth!J6="", "",Fourth!J6)</f>
        <v/>
      </c>
      <c r="K753" s="86" t="str">
        <f>IF(Fourth!K6="", "",Fourth!K6)</f>
        <v/>
      </c>
      <c r="M753" s="67" t="str">
        <f t="shared" si="35"/>
        <v/>
      </c>
      <c r="N753" s="76">
        <f t="shared" si="36"/>
        <v>7</v>
      </c>
      <c r="O753" s="33">
        <f t="shared" si="34"/>
        <v>7</v>
      </c>
    </row>
    <row r="754" spans="1:15" x14ac:dyDescent="0.25">
      <c r="A754" s="64" t="s">
        <v>179</v>
      </c>
      <c r="B754" s="79" t="str">
        <f>IF(Fourth!B7="", "",Fourth!B7)</f>
        <v>CSS</v>
      </c>
      <c r="C754" s="66" t="str">
        <f>IF(Fourth!C7="", "",Fourth!C7)</f>
        <v>Carer</v>
      </c>
      <c r="D754" s="66" t="str">
        <f>IF(Fourth!D7="", "",Fourth!D7)</f>
        <v>Returning</v>
      </c>
      <c r="E754" s="66" t="str">
        <f>IF(Fourth!E7="", "",Fourth!E7)</f>
        <v>Male</v>
      </c>
      <c r="F754" s="66" t="str">
        <f>IF(Fourth!F7="", "",Fourth!F7)</f>
        <v>Brain/CNS</v>
      </c>
      <c r="G754" s="66" t="str">
        <f>IF(Fourth!G7="", "",Fourth!G7)</f>
        <v>Non-Curative Intent</v>
      </c>
      <c r="H754" s="66" t="str">
        <f>IF(Fourth!H7="", "",Fourth!H7)</f>
        <v>Drop-In</v>
      </c>
      <c r="I754" s="66" t="str">
        <f>IF(Fourth!I7="", "",Fourth!I7)</f>
        <v/>
      </c>
      <c r="J754" s="66" t="str">
        <f>IF(Fourth!J7="", "",Fourth!J7)</f>
        <v/>
      </c>
      <c r="K754" s="86" t="str">
        <f>IF(Fourth!K7="", "",Fourth!K7)</f>
        <v/>
      </c>
      <c r="M754" s="67" t="str">
        <f t="shared" si="35"/>
        <v/>
      </c>
      <c r="N754" s="76">
        <f t="shared" si="36"/>
        <v>7</v>
      </c>
      <c r="O754" s="33">
        <f t="shared" si="34"/>
        <v>7</v>
      </c>
    </row>
    <row r="755" spans="1:15" x14ac:dyDescent="0.25">
      <c r="A755" s="64" t="s">
        <v>179</v>
      </c>
      <c r="B755" s="79" t="str">
        <f>IF(Fourth!B8="", "",Fourth!B8)</f>
        <v>CSS</v>
      </c>
      <c r="C755" s="66" t="str">
        <f>IF(Fourth!C8="", "",Fourth!C8)</f>
        <v>Carer</v>
      </c>
      <c r="D755" s="66" t="str">
        <f>IF(Fourth!D8="", "",Fourth!D8)</f>
        <v>Returning</v>
      </c>
      <c r="E755" s="66" t="str">
        <f>IF(Fourth!E8="", "",Fourth!E8)</f>
        <v>Female</v>
      </c>
      <c r="F755" s="66" t="str">
        <f>IF(Fourth!F8="", "",Fourth!F8)</f>
        <v>Lung</v>
      </c>
      <c r="G755" s="66" t="str">
        <f>IF(Fourth!G8="", "",Fourth!G8)</f>
        <v>Bereaved</v>
      </c>
      <c r="H755" s="66" t="str">
        <f>IF(Fourth!H8="", "",Fourth!H8)</f>
        <v>Drop-In</v>
      </c>
      <c r="I755" s="66" t="str">
        <f>IF(Fourth!I8="", "",Fourth!I8)</f>
        <v/>
      </c>
      <c r="J755" s="66" t="str">
        <f>IF(Fourth!J8="", "",Fourth!J8)</f>
        <v/>
      </c>
      <c r="K755" s="86" t="str">
        <f>IF(Fourth!K8="", "",Fourth!K8)</f>
        <v/>
      </c>
      <c r="M755" s="67" t="str">
        <f t="shared" si="35"/>
        <v/>
      </c>
      <c r="N755" s="76">
        <f t="shared" si="36"/>
        <v>7</v>
      </c>
      <c r="O755" s="33">
        <f t="shared" si="34"/>
        <v>7</v>
      </c>
    </row>
    <row r="756" spans="1:15" x14ac:dyDescent="0.25">
      <c r="A756" s="64" t="s">
        <v>179</v>
      </c>
      <c r="B756" s="79" t="str">
        <f>IF(Fourth!B9="", "",Fourth!B9)</f>
        <v>CSS</v>
      </c>
      <c r="C756" s="66" t="str">
        <f>IF(Fourth!C9="", "",Fourth!C9)</f>
        <v>PwC</v>
      </c>
      <c r="D756" s="66" t="str">
        <f>IF(Fourth!D9="", "",Fourth!D9)</f>
        <v>Returning</v>
      </c>
      <c r="E756" s="66" t="str">
        <f>IF(Fourth!E9="", "",Fourth!E9)</f>
        <v>Female</v>
      </c>
      <c r="F756" s="66" t="str">
        <f>IF(Fourth!F9="", "",Fourth!F9)</f>
        <v>Breast</v>
      </c>
      <c r="G756" s="66" t="str">
        <f>IF(Fourth!G9="", "",Fourth!G9)</f>
        <v>Post Treatment - Curative Intent</v>
      </c>
      <c r="H756" s="66" t="str">
        <f>IF(Fourth!H9="", "",Fourth!H9)</f>
        <v>Programme</v>
      </c>
      <c r="I756" s="66" t="str">
        <f>IF(Fourth!I9="", "",Fourth!I9)</f>
        <v>Relaxation</v>
      </c>
      <c r="J756" s="66" t="str">
        <f>IF(Fourth!J9="", "",Fourth!J9)</f>
        <v/>
      </c>
      <c r="K756" s="86" t="str">
        <f>IF(Fourth!K9="", "",Fourth!K9)</f>
        <v/>
      </c>
      <c r="M756" s="67">
        <f t="shared" si="35"/>
        <v>7</v>
      </c>
      <c r="N756" s="76" t="str">
        <f t="shared" si="36"/>
        <v/>
      </c>
      <c r="O756" s="33">
        <f t="shared" si="34"/>
        <v>7</v>
      </c>
    </row>
    <row r="757" spans="1:15" x14ac:dyDescent="0.25">
      <c r="A757" s="64" t="s">
        <v>179</v>
      </c>
      <c r="B757" s="79" t="str">
        <f>IF(Fourth!B10="", "",Fourth!B10)</f>
        <v>CSS</v>
      </c>
      <c r="C757" s="66" t="str">
        <f>IF(Fourth!C10="", "",Fourth!C10)</f>
        <v>PwC</v>
      </c>
      <c r="D757" s="66" t="str">
        <f>IF(Fourth!D10="", "",Fourth!D10)</f>
        <v>Returning</v>
      </c>
      <c r="E757" s="66" t="str">
        <f>IF(Fourth!E10="", "",Fourth!E10)</f>
        <v>Female</v>
      </c>
      <c r="F757" s="66" t="str">
        <f>IF(Fourth!F10="", "",Fourth!F10)</f>
        <v>Breast</v>
      </c>
      <c r="G757" s="66" t="str">
        <f>IF(Fourth!G10="", "",Fourth!G10)</f>
        <v>Non-Curative Intent</v>
      </c>
      <c r="H757" s="66" t="str">
        <f>IF(Fourth!H10="", "",Fourth!H10)</f>
        <v>Programme</v>
      </c>
      <c r="I757" s="66" t="str">
        <f>IF(Fourth!I10="", "",Fourth!I10)</f>
        <v>Relaxation</v>
      </c>
      <c r="J757" s="66" t="str">
        <f>IF(Fourth!J10="", "",Fourth!J10)</f>
        <v/>
      </c>
      <c r="K757" s="86" t="str">
        <f>IF(Fourth!K10="", "",Fourth!K10)</f>
        <v/>
      </c>
      <c r="M757" s="67">
        <f t="shared" si="35"/>
        <v>7</v>
      </c>
      <c r="N757" s="76" t="str">
        <f t="shared" si="36"/>
        <v/>
      </c>
      <c r="O757" s="33">
        <f t="shared" si="34"/>
        <v>7</v>
      </c>
    </row>
    <row r="758" spans="1:15" x14ac:dyDescent="0.25">
      <c r="A758" s="64" t="s">
        <v>179</v>
      </c>
      <c r="B758" s="79" t="str">
        <f>IF(Fourth!B11="", "",Fourth!B11)</f>
        <v>CSS</v>
      </c>
      <c r="C758" s="66" t="str">
        <f>IF(Fourth!C11="", "",Fourth!C11)</f>
        <v>Carer</v>
      </c>
      <c r="D758" s="66" t="str">
        <f>IF(Fourth!D11="", "",Fourth!D11)</f>
        <v>Returning</v>
      </c>
      <c r="E758" s="66" t="str">
        <f>IF(Fourth!E11="", "",Fourth!E11)</f>
        <v>Female</v>
      </c>
      <c r="F758" s="66" t="str">
        <f>IF(Fourth!F11="", "",Fourth!F11)</f>
        <v>Not Stated</v>
      </c>
      <c r="G758" s="66" t="str">
        <f>IF(Fourth!G11="", "",Fourth!G11)</f>
        <v>Not Stated</v>
      </c>
      <c r="H758" s="66" t="str">
        <f>IF(Fourth!H11="", "",Fourth!H11)</f>
        <v>Programme</v>
      </c>
      <c r="I758" s="66" t="str">
        <f>IF(Fourth!I11="", "",Fourth!I11)</f>
        <v>Relaxation</v>
      </c>
      <c r="J758" s="66" t="str">
        <f>IF(Fourth!J11="", "",Fourth!J11)</f>
        <v/>
      </c>
      <c r="K758" s="86" t="str">
        <f>IF(Fourth!K11="", "",Fourth!K11)</f>
        <v/>
      </c>
      <c r="M758" s="67" t="str">
        <f t="shared" si="35"/>
        <v/>
      </c>
      <c r="N758" s="76">
        <f t="shared" si="36"/>
        <v>7</v>
      </c>
      <c r="O758" s="33">
        <f t="shared" si="34"/>
        <v>7</v>
      </c>
    </row>
    <row r="759" spans="1:15" x14ac:dyDescent="0.25">
      <c r="A759" s="64" t="s">
        <v>179</v>
      </c>
      <c r="B759" s="79" t="str">
        <f>IF(Fourth!B12="", "",Fourth!B12)</f>
        <v>CSS</v>
      </c>
      <c r="C759" s="66" t="str">
        <f>IF(Fourth!C12="", "",Fourth!C12)</f>
        <v>PwC</v>
      </c>
      <c r="D759" s="66" t="str">
        <f>IF(Fourth!D12="", "",Fourth!D12)</f>
        <v>Returning</v>
      </c>
      <c r="E759" s="66" t="str">
        <f>IF(Fourth!E12="", "",Fourth!E12)</f>
        <v>Female</v>
      </c>
      <c r="F759" s="66" t="str">
        <f>IF(Fourth!F12="", "",Fourth!F12)</f>
        <v>Breast</v>
      </c>
      <c r="G759" s="66" t="str">
        <f>IF(Fourth!G12="", "",Fourth!G12)</f>
        <v>Post Treatment - Curative Intent</v>
      </c>
      <c r="H759" s="66" t="str">
        <f>IF(Fourth!H12="", "",Fourth!H12)</f>
        <v>Programme</v>
      </c>
      <c r="I759" s="66" t="str">
        <f>IF(Fourth!I12="", "",Fourth!I12)</f>
        <v>Relaxation</v>
      </c>
      <c r="J759" s="66" t="str">
        <f>IF(Fourth!J12="", "",Fourth!J12)</f>
        <v/>
      </c>
      <c r="K759" s="86" t="str">
        <f>IF(Fourth!K12="", "",Fourth!K12)</f>
        <v/>
      </c>
      <c r="M759" s="67">
        <f t="shared" si="35"/>
        <v>7</v>
      </c>
      <c r="N759" s="76" t="str">
        <f t="shared" si="36"/>
        <v/>
      </c>
      <c r="O759" s="33">
        <f t="shared" si="34"/>
        <v>7</v>
      </c>
    </row>
    <row r="760" spans="1:15" x14ac:dyDescent="0.25">
      <c r="A760" s="64" t="s">
        <v>179</v>
      </c>
      <c r="B760" s="79" t="str">
        <f>IF(Fourth!B13="", "",Fourth!B13)</f>
        <v>CSS</v>
      </c>
      <c r="C760" s="66" t="str">
        <f>IF(Fourth!C13="", "",Fourth!C13)</f>
        <v>PwC</v>
      </c>
      <c r="D760" s="66" t="str">
        <f>IF(Fourth!D13="", "",Fourth!D13)</f>
        <v>Returning</v>
      </c>
      <c r="E760" s="66" t="str">
        <f>IF(Fourth!E13="", "",Fourth!E13)</f>
        <v>Male</v>
      </c>
      <c r="F760" s="66" t="str">
        <f>IF(Fourth!F13="", "",Fourth!F13)</f>
        <v>Prostate</v>
      </c>
      <c r="G760" s="66" t="str">
        <f>IF(Fourth!G13="", "",Fourth!G13)</f>
        <v>Non-Curative Intent</v>
      </c>
      <c r="H760" s="66" t="str">
        <f>IF(Fourth!H13="", "",Fourth!H13)</f>
        <v>Programme</v>
      </c>
      <c r="I760" s="66" t="str">
        <f>IF(Fourth!I13="", "",Fourth!I13)</f>
        <v>Relaxation</v>
      </c>
      <c r="J760" s="66" t="str">
        <f>IF(Fourth!J13="", "",Fourth!J13)</f>
        <v/>
      </c>
      <c r="K760" s="86" t="str">
        <f>IF(Fourth!K13="", "",Fourth!K13)</f>
        <v/>
      </c>
      <c r="M760" s="67">
        <f t="shared" si="35"/>
        <v>7</v>
      </c>
      <c r="N760" s="76" t="str">
        <f t="shared" si="36"/>
        <v/>
      </c>
      <c r="O760" s="33">
        <f t="shared" si="34"/>
        <v>7</v>
      </c>
    </row>
    <row r="761" spans="1:15" x14ac:dyDescent="0.25">
      <c r="A761" s="64" t="s">
        <v>179</v>
      </c>
      <c r="B761" s="79" t="str">
        <f>IF(Fourth!B14="", "",Fourth!B14)</f>
        <v>CSS</v>
      </c>
      <c r="C761" s="66" t="str">
        <f>IF(Fourth!C14="", "",Fourth!C14)</f>
        <v>PwC</v>
      </c>
      <c r="D761" s="66" t="str">
        <f>IF(Fourth!D14="", "",Fourth!D14)</f>
        <v>Returning</v>
      </c>
      <c r="E761" s="66" t="str">
        <f>IF(Fourth!E14="", "",Fourth!E14)</f>
        <v>Female</v>
      </c>
      <c r="F761" s="66" t="str">
        <f>IF(Fourth!F14="", "",Fourth!F14)</f>
        <v>Breast</v>
      </c>
      <c r="G761" s="66" t="str">
        <f>IF(Fourth!G14="", "",Fourth!G14)</f>
        <v>Post Treatment - Curative Intent</v>
      </c>
      <c r="H761" s="66" t="str">
        <f>IF(Fourth!H14="", "",Fourth!H14)</f>
        <v>Programme</v>
      </c>
      <c r="I761" s="66" t="str">
        <f>IF(Fourth!I14="", "",Fourth!I14)</f>
        <v>Relaxation</v>
      </c>
      <c r="J761" s="66" t="str">
        <f>IF(Fourth!J14="", "",Fourth!J14)</f>
        <v/>
      </c>
      <c r="K761" s="86" t="str">
        <f>IF(Fourth!K14="", "",Fourth!K14)</f>
        <v/>
      </c>
      <c r="M761" s="67">
        <f t="shared" si="35"/>
        <v>7</v>
      </c>
      <c r="N761" s="76" t="str">
        <f t="shared" si="36"/>
        <v/>
      </c>
      <c r="O761" s="33">
        <f t="shared" si="34"/>
        <v>7</v>
      </c>
    </row>
    <row r="762" spans="1:15" x14ac:dyDescent="0.25">
      <c r="A762" s="64" t="s">
        <v>179</v>
      </c>
      <c r="B762" s="79" t="str">
        <f>IF(Fourth!B15="", "",Fourth!B15)</f>
        <v>CSS</v>
      </c>
      <c r="C762" s="66" t="str">
        <f>IF(Fourth!C15="", "",Fourth!C15)</f>
        <v>PwC</v>
      </c>
      <c r="D762" s="66" t="str">
        <f>IF(Fourth!D15="", "",Fourth!D15)</f>
        <v>Returning</v>
      </c>
      <c r="E762" s="66" t="str">
        <f>IF(Fourth!E15="", "",Fourth!E15)</f>
        <v>Female</v>
      </c>
      <c r="F762" s="66" t="str">
        <f>IF(Fourth!F15="", "",Fourth!F15)</f>
        <v>Rare</v>
      </c>
      <c r="G762" s="66" t="str">
        <f>IF(Fourth!G15="", "",Fourth!G15)</f>
        <v>Non-Curative Intent</v>
      </c>
      <c r="H762" s="66" t="str">
        <f>IF(Fourth!H15="", "",Fourth!H15)</f>
        <v>Programme</v>
      </c>
      <c r="I762" s="66" t="str">
        <f>IF(Fourth!I15="", "",Fourth!I15)</f>
        <v>Relaxation</v>
      </c>
      <c r="J762" s="66" t="str">
        <f>IF(Fourth!J15="", "",Fourth!J15)</f>
        <v/>
      </c>
      <c r="K762" s="86" t="str">
        <f>IF(Fourth!K15="", "",Fourth!K15)</f>
        <v/>
      </c>
      <c r="M762" s="67">
        <f t="shared" si="35"/>
        <v>7</v>
      </c>
      <c r="N762" s="76" t="str">
        <f t="shared" si="36"/>
        <v/>
      </c>
      <c r="O762" s="33">
        <f t="shared" si="34"/>
        <v>7</v>
      </c>
    </row>
    <row r="763" spans="1:15" x14ac:dyDescent="0.25">
      <c r="A763" s="64" t="s">
        <v>179</v>
      </c>
      <c r="B763" s="79" t="str">
        <f>IF(Fourth!B16="", "",Fourth!B16)</f>
        <v>CSS</v>
      </c>
      <c r="C763" s="66" t="str">
        <f>IF(Fourth!C16="", "",Fourth!C16)</f>
        <v>Professional</v>
      </c>
      <c r="D763" s="66" t="str">
        <f>IF(Fourth!D16="", "",Fourth!D16)</f>
        <v/>
      </c>
      <c r="E763" s="66" t="str">
        <f>IF(Fourth!E16="", "",Fourth!E16)</f>
        <v/>
      </c>
      <c r="F763" s="66" t="str">
        <f>IF(Fourth!F16="", "",Fourth!F16)</f>
        <v/>
      </c>
      <c r="G763" s="66" t="str">
        <f>IF(Fourth!G16="", "",Fourth!G16)</f>
        <v/>
      </c>
      <c r="H763" s="66" t="str">
        <f>IF(Fourth!H16="", "",Fourth!H16)</f>
        <v/>
      </c>
      <c r="I763" s="66" t="str">
        <f>IF(Fourth!I16="", "",Fourth!I16)</f>
        <v/>
      </c>
      <c r="J763" s="66" t="str">
        <f>IF(Fourth!J16="", "",Fourth!J16)</f>
        <v/>
      </c>
      <c r="K763" s="86" t="str">
        <f>IF(Fourth!K16="", "",Fourth!K16)</f>
        <v/>
      </c>
      <c r="M763" s="67" t="str">
        <f t="shared" si="35"/>
        <v/>
      </c>
      <c r="N763" s="76" t="str">
        <f t="shared" si="36"/>
        <v/>
      </c>
      <c r="O763" s="33">
        <f t="shared" si="34"/>
        <v>0</v>
      </c>
    </row>
    <row r="764" spans="1:15" x14ac:dyDescent="0.25">
      <c r="A764" s="64" t="s">
        <v>179</v>
      </c>
      <c r="B764" s="79" t="str">
        <f>IF(Fourth!B17="", "",Fourth!B17)</f>
        <v>Centre Head</v>
      </c>
      <c r="C764" s="66" t="str">
        <f>IF(Fourth!C17="", "",Fourth!C17)</f>
        <v>PwC</v>
      </c>
      <c r="D764" s="66" t="str">
        <f>IF(Fourth!D17="", "",Fourth!D17)</f>
        <v>New</v>
      </c>
      <c r="E764" s="66" t="str">
        <f>IF(Fourth!E17="", "",Fourth!E17)</f>
        <v>Male</v>
      </c>
      <c r="F764" s="66" t="str">
        <f>IF(Fourth!F17="", "",Fourth!F17)</f>
        <v>Lung</v>
      </c>
      <c r="G764" s="66" t="str">
        <f>IF(Fourth!G17="", "",Fourth!G17)</f>
        <v>Not Stated</v>
      </c>
      <c r="H764" s="66" t="str">
        <f>IF(Fourth!H17="", "",Fourth!H17)</f>
        <v>Drop-In</v>
      </c>
      <c r="I764" s="66" t="str">
        <f>IF(Fourth!I17="", "",Fourth!I17)</f>
        <v/>
      </c>
      <c r="J764" s="66" t="str">
        <f>IF(Fourth!J17="", "",Fourth!J17)</f>
        <v/>
      </c>
      <c r="K764" s="86" t="str">
        <f>IF(Fourth!K17="", "",Fourth!K17)</f>
        <v/>
      </c>
      <c r="M764" s="67">
        <f t="shared" si="35"/>
        <v>7</v>
      </c>
      <c r="N764" s="76" t="str">
        <f t="shared" si="36"/>
        <v/>
      </c>
      <c r="O764" s="33">
        <f t="shared" si="34"/>
        <v>7</v>
      </c>
    </row>
    <row r="765" spans="1:15" x14ac:dyDescent="0.25">
      <c r="A765" s="64" t="s">
        <v>179</v>
      </c>
      <c r="B765" s="79" t="str">
        <f>IF(Fourth!B18="", "",Fourth!B18)</f>
        <v>Centre Head</v>
      </c>
      <c r="C765" s="66" t="str">
        <f>IF(Fourth!C18="", "",Fourth!C18)</f>
        <v>Carer</v>
      </c>
      <c r="D765" s="66" t="str">
        <f>IF(Fourth!D18="", "",Fourth!D18)</f>
        <v>New</v>
      </c>
      <c r="E765" s="66" t="str">
        <f>IF(Fourth!E18="", "",Fourth!E18)</f>
        <v>Female</v>
      </c>
      <c r="F765" s="66" t="str">
        <f>IF(Fourth!F18="", "",Fourth!F18)</f>
        <v>Lung</v>
      </c>
      <c r="G765" s="66" t="str">
        <f>IF(Fourth!G18="", "",Fourth!G18)</f>
        <v>Not Stated</v>
      </c>
      <c r="H765" s="66" t="str">
        <f>IF(Fourth!H18="", "",Fourth!H18)</f>
        <v>Drop-In</v>
      </c>
      <c r="I765" s="66" t="str">
        <f>IF(Fourth!I18="", "",Fourth!I18)</f>
        <v/>
      </c>
      <c r="J765" s="66" t="str">
        <f>IF(Fourth!J18="", "",Fourth!J18)</f>
        <v/>
      </c>
      <c r="K765" s="86" t="str">
        <f>IF(Fourth!K18="", "",Fourth!K18)</f>
        <v/>
      </c>
      <c r="M765" s="67" t="str">
        <f t="shared" si="35"/>
        <v/>
      </c>
      <c r="N765" s="76">
        <f t="shared" si="36"/>
        <v>7</v>
      </c>
      <c r="O765" s="33">
        <f t="shared" si="34"/>
        <v>7</v>
      </c>
    </row>
    <row r="766" spans="1:15" x14ac:dyDescent="0.25">
      <c r="A766" s="64" t="s">
        <v>179</v>
      </c>
      <c r="B766" s="79" t="str">
        <f>IF(Fourth!B19="", "",Fourth!B19)</f>
        <v>Centre Head</v>
      </c>
      <c r="C766" s="66" t="str">
        <f>IF(Fourth!C19="", "",Fourth!C19)</f>
        <v>Carer</v>
      </c>
      <c r="D766" s="66" t="str">
        <f>IF(Fourth!D19="", "",Fourth!D19)</f>
        <v>New</v>
      </c>
      <c r="E766" s="66" t="str">
        <f>IF(Fourth!E19="", "",Fourth!E19)</f>
        <v>Female</v>
      </c>
      <c r="F766" s="66" t="str">
        <f>IF(Fourth!F19="", "",Fourth!F19)</f>
        <v>Lung</v>
      </c>
      <c r="G766" s="66" t="str">
        <f>IF(Fourth!G19="", "",Fourth!G19)</f>
        <v>Not Stated</v>
      </c>
      <c r="H766" s="66" t="str">
        <f>IF(Fourth!H19="", "",Fourth!H19)</f>
        <v>Drop-In</v>
      </c>
      <c r="I766" s="66" t="str">
        <f>IF(Fourth!I19="", "",Fourth!I19)</f>
        <v/>
      </c>
      <c r="J766" s="66" t="str">
        <f>IF(Fourth!J19="", "",Fourth!J19)</f>
        <v/>
      </c>
      <c r="K766" s="86" t="str">
        <f>IF(Fourth!K19="", "",Fourth!K19)</f>
        <v/>
      </c>
      <c r="M766" s="67" t="str">
        <f t="shared" si="35"/>
        <v/>
      </c>
      <c r="N766" s="76">
        <f t="shared" si="36"/>
        <v>7</v>
      </c>
      <c r="O766" s="33">
        <f t="shared" si="34"/>
        <v>7</v>
      </c>
    </row>
    <row r="767" spans="1:15" x14ac:dyDescent="0.25">
      <c r="A767" s="64" t="s">
        <v>179</v>
      </c>
      <c r="B767" s="79" t="str">
        <f>IF(Fourth!B20="", "",Fourth!B20)</f>
        <v>Centre Head</v>
      </c>
      <c r="C767" s="66" t="str">
        <f>IF(Fourth!C20="", "",Fourth!C20)</f>
        <v>PwC</v>
      </c>
      <c r="D767" s="66" t="str">
        <f>IF(Fourth!D20="", "",Fourth!D20)</f>
        <v>Returning</v>
      </c>
      <c r="E767" s="66" t="str">
        <f>IF(Fourth!E20="", "",Fourth!E20)</f>
        <v>Female</v>
      </c>
      <c r="F767" s="66" t="str">
        <f>IF(Fourth!F20="", "",Fourth!F20)</f>
        <v>Breast</v>
      </c>
      <c r="G767" s="66" t="str">
        <f>IF(Fourth!G20="", "",Fourth!G20)</f>
        <v>Not Stated</v>
      </c>
      <c r="H767" s="66" t="str">
        <f>IF(Fourth!H20="", "",Fourth!H20)</f>
        <v>Drop-In</v>
      </c>
      <c r="I767" s="66" t="str">
        <f>IF(Fourth!I20="", "",Fourth!I20)</f>
        <v/>
      </c>
      <c r="J767" s="66" t="str">
        <f>IF(Fourth!J20="", "",Fourth!J20)</f>
        <v/>
      </c>
      <c r="K767" s="86" t="str">
        <f>IF(Fourth!K20="", "",Fourth!K20)</f>
        <v/>
      </c>
      <c r="M767" s="67">
        <f t="shared" si="35"/>
        <v>7</v>
      </c>
      <c r="N767" s="76" t="str">
        <f t="shared" si="36"/>
        <v/>
      </c>
      <c r="O767" s="33">
        <f t="shared" si="34"/>
        <v>7</v>
      </c>
    </row>
    <row r="768" spans="1:15" x14ac:dyDescent="0.25">
      <c r="A768" s="64" t="s">
        <v>179</v>
      </c>
      <c r="B768" s="79" t="str">
        <f>IF(Fourth!B21="", "",Fourth!B21)</f>
        <v>Centre Head</v>
      </c>
      <c r="C768" s="66" t="str">
        <f>IF(Fourth!C21="", "",Fourth!C21)</f>
        <v>PwC</v>
      </c>
      <c r="D768" s="66" t="str">
        <f>IF(Fourth!D21="", "",Fourth!D21)</f>
        <v>Returning</v>
      </c>
      <c r="E768" s="66" t="str">
        <f>IF(Fourth!E21="", "",Fourth!E21)</f>
        <v>Male</v>
      </c>
      <c r="F768" s="66" t="str">
        <f>IF(Fourth!F21="", "",Fourth!F21)</f>
        <v>Head/Neck</v>
      </c>
      <c r="G768" s="66" t="str">
        <f>IF(Fourth!G21="", "",Fourth!G21)</f>
        <v>Not Stated</v>
      </c>
      <c r="H768" s="66" t="str">
        <f>IF(Fourth!H21="", "",Fourth!H21)</f>
        <v>Drop-In</v>
      </c>
      <c r="I768" s="66" t="str">
        <f>IF(Fourth!I21="", "",Fourth!I21)</f>
        <v/>
      </c>
      <c r="J768" s="66" t="str">
        <f>IF(Fourth!J21="", "",Fourth!J21)</f>
        <v/>
      </c>
      <c r="K768" s="86" t="str">
        <f>IF(Fourth!K21="", "",Fourth!K21)</f>
        <v/>
      </c>
      <c r="M768" s="67">
        <f t="shared" si="35"/>
        <v>7</v>
      </c>
      <c r="N768" s="76" t="str">
        <f t="shared" si="36"/>
        <v/>
      </c>
      <c r="O768" s="33">
        <f t="shared" si="34"/>
        <v>7</v>
      </c>
    </row>
    <row r="769" spans="1:15" x14ac:dyDescent="0.25">
      <c r="A769" s="64" t="s">
        <v>179</v>
      </c>
      <c r="B769" s="79" t="str">
        <f>IF(Fourth!B22="", "",Fourth!B22)</f>
        <v>Centre Head</v>
      </c>
      <c r="C769" s="66" t="str">
        <f>IF(Fourth!C22="", "",Fourth!C22)</f>
        <v>Carer</v>
      </c>
      <c r="D769" s="66" t="str">
        <f>IF(Fourth!D22="", "",Fourth!D22)</f>
        <v>Returning</v>
      </c>
      <c r="E769" s="66" t="str">
        <f>IF(Fourth!E22="", "",Fourth!E22)</f>
        <v>Female</v>
      </c>
      <c r="F769" s="66" t="str">
        <f>IF(Fourth!F22="", "",Fourth!F22)</f>
        <v>Head/Neck</v>
      </c>
      <c r="G769" s="66" t="str">
        <f>IF(Fourth!G22="", "",Fourth!G22)</f>
        <v>Not Stated</v>
      </c>
      <c r="H769" s="66" t="str">
        <f>IF(Fourth!H22="", "",Fourth!H22)</f>
        <v>Drop-In</v>
      </c>
      <c r="I769" s="66" t="str">
        <f>IF(Fourth!I22="", "",Fourth!I22)</f>
        <v/>
      </c>
      <c r="J769" s="66" t="str">
        <f>IF(Fourth!J22="", "",Fourth!J22)</f>
        <v/>
      </c>
      <c r="K769" s="86" t="str">
        <f>IF(Fourth!K22="", "",Fourth!K22)</f>
        <v/>
      </c>
      <c r="M769" s="67" t="str">
        <f t="shared" si="35"/>
        <v/>
      </c>
      <c r="N769" s="76">
        <f t="shared" si="36"/>
        <v>7</v>
      </c>
      <c r="O769" s="33">
        <f t="shared" si="34"/>
        <v>7</v>
      </c>
    </row>
    <row r="770" spans="1:15" x14ac:dyDescent="0.25">
      <c r="A770" s="64" t="s">
        <v>179</v>
      </c>
      <c r="B770" s="79" t="str">
        <f>IF(Fourth!B23="", "",Fourth!B23)</f>
        <v>Centre Head</v>
      </c>
      <c r="C770" s="66" t="str">
        <f>IF(Fourth!C23="", "",Fourth!C23)</f>
        <v>PwC</v>
      </c>
      <c r="D770" s="66" t="str">
        <f>IF(Fourth!D23="", "",Fourth!D23)</f>
        <v>Returning</v>
      </c>
      <c r="E770" s="66" t="str">
        <f>IF(Fourth!E23="", "",Fourth!E23)</f>
        <v>Male</v>
      </c>
      <c r="F770" s="66" t="str">
        <f>IF(Fourth!F23="", "",Fourth!F23)</f>
        <v>Brain/CNS</v>
      </c>
      <c r="G770" s="66" t="str">
        <f>IF(Fourth!G23="", "",Fourth!G23)</f>
        <v>Non-Curative Intent</v>
      </c>
      <c r="H770" s="66" t="str">
        <f>IF(Fourth!H23="", "",Fourth!H23)</f>
        <v>Booked</v>
      </c>
      <c r="I770" s="66" t="str">
        <f>IF(Fourth!I23="", "",Fourth!I23)</f>
        <v>Psych Support - Individual</v>
      </c>
      <c r="J770" s="66" t="str">
        <f>IF(Fourth!J23="", "",Fourth!J23)</f>
        <v/>
      </c>
      <c r="K770" s="86" t="str">
        <f>IF(Fourth!K23="", "",Fourth!K23)</f>
        <v/>
      </c>
      <c r="M770" s="67">
        <f t="shared" si="35"/>
        <v>7</v>
      </c>
      <c r="N770" s="76" t="str">
        <f t="shared" si="36"/>
        <v/>
      </c>
      <c r="O770" s="33">
        <f t="shared" ref="O770:O833" si="37">SUM(M770:N770)</f>
        <v>7</v>
      </c>
    </row>
    <row r="771" spans="1:15" x14ac:dyDescent="0.25">
      <c r="A771" s="64" t="s">
        <v>179</v>
      </c>
      <c r="B771" s="79" t="str">
        <f>IF(Fourth!B24="", "",Fourth!B24)</f>
        <v>Centre Head</v>
      </c>
      <c r="C771" s="66" t="str">
        <f>IF(Fourth!C24="", "",Fourth!C24)</f>
        <v>Carer</v>
      </c>
      <c r="D771" s="66" t="str">
        <f>IF(Fourth!D24="", "",Fourth!D24)</f>
        <v>Returning</v>
      </c>
      <c r="E771" s="66" t="str">
        <f>IF(Fourth!E24="", "",Fourth!E24)</f>
        <v>Female</v>
      </c>
      <c r="F771" s="66" t="str">
        <f>IF(Fourth!F24="", "",Fourth!F24)</f>
        <v>Brain/CNS</v>
      </c>
      <c r="G771" s="66" t="str">
        <f>IF(Fourth!G24="", "",Fourth!G24)</f>
        <v>Non-Curative Intent</v>
      </c>
      <c r="H771" s="66" t="str">
        <f>IF(Fourth!H24="", "",Fourth!H24)</f>
        <v>Drop-In</v>
      </c>
      <c r="I771" s="66" t="str">
        <f>IF(Fourth!I24="", "",Fourth!I24)</f>
        <v/>
      </c>
      <c r="J771" s="66" t="str">
        <f>IF(Fourth!J24="", "",Fourth!J24)</f>
        <v/>
      </c>
      <c r="K771" s="86" t="str">
        <f>IF(Fourth!K24="", "",Fourth!K24)</f>
        <v/>
      </c>
      <c r="M771" s="67" t="str">
        <f t="shared" ref="M771:M834" si="38">IF(C771="PwC",(7-COUNTIF(B771:H771,"")),"")</f>
        <v/>
      </c>
      <c r="N771" s="76">
        <f t="shared" ref="N771:N834" si="39">IF(C771="Carer",(7-COUNTIF(B771:H771,"")),"")</f>
        <v>7</v>
      </c>
      <c r="O771" s="33">
        <f t="shared" si="37"/>
        <v>7</v>
      </c>
    </row>
    <row r="772" spans="1:15" x14ac:dyDescent="0.25">
      <c r="A772" s="64" t="s">
        <v>179</v>
      </c>
      <c r="B772" s="79" t="str">
        <f>IF(Fourth!B25="", "",Fourth!B25)</f>
        <v>Centre Head</v>
      </c>
      <c r="C772" s="66" t="str">
        <f>IF(Fourth!C25="", "",Fourth!C25)</f>
        <v>PwC</v>
      </c>
      <c r="D772" s="66" t="str">
        <f>IF(Fourth!D25="", "",Fourth!D25)</f>
        <v>Returning</v>
      </c>
      <c r="E772" s="66" t="str">
        <f>IF(Fourth!E25="", "",Fourth!E25)</f>
        <v>Female</v>
      </c>
      <c r="F772" s="66" t="str">
        <f>IF(Fourth!F25="", "",Fourth!F25)</f>
        <v>Haemat</v>
      </c>
      <c r="G772" s="66" t="str">
        <f>IF(Fourth!G25="", "",Fourth!G25)</f>
        <v>Post Treatment - Curative Intent</v>
      </c>
      <c r="H772" s="66" t="str">
        <f>IF(Fourth!H25="", "",Fourth!H25)</f>
        <v>Booked</v>
      </c>
      <c r="I772" s="66" t="str">
        <f>IF(Fourth!I25="", "",Fourth!I25)</f>
        <v>Psych Support - Individual</v>
      </c>
      <c r="J772" s="66" t="str">
        <f>IF(Fourth!J25="", "",Fourth!J25)</f>
        <v/>
      </c>
      <c r="K772" s="86" t="str">
        <f>IF(Fourth!K25="", "",Fourth!K25)</f>
        <v/>
      </c>
      <c r="M772" s="67">
        <f t="shared" si="38"/>
        <v>7</v>
      </c>
      <c r="N772" s="76" t="str">
        <f t="shared" si="39"/>
        <v/>
      </c>
      <c r="O772" s="33">
        <f t="shared" si="37"/>
        <v>7</v>
      </c>
    </row>
    <row r="773" spans="1:15" x14ac:dyDescent="0.25">
      <c r="A773" s="64" t="s">
        <v>179</v>
      </c>
      <c r="B773" s="79" t="str">
        <f>IF(Fourth!B26="", "",Fourth!B26)</f>
        <v>Centre Head</v>
      </c>
      <c r="C773" s="66" t="str">
        <f>IF(Fourth!C26="", "",Fourth!C26)</f>
        <v>PwC</v>
      </c>
      <c r="D773" s="66" t="str">
        <f>IF(Fourth!D26="", "",Fourth!D26)</f>
        <v>Returning</v>
      </c>
      <c r="E773" s="66" t="str">
        <f>IF(Fourth!E26="", "",Fourth!E26)</f>
        <v>Female</v>
      </c>
      <c r="F773" s="66" t="str">
        <f>IF(Fourth!F26="", "",Fourth!F26)</f>
        <v>Lung</v>
      </c>
      <c r="G773" s="66" t="str">
        <f>IF(Fourth!G26="", "",Fourth!G26)</f>
        <v>Post Treatment - Curative Intent</v>
      </c>
      <c r="H773" s="66" t="str">
        <f>IF(Fourth!H26="", "",Fourth!H26)</f>
        <v>Booked</v>
      </c>
      <c r="I773" s="66" t="str">
        <f>IF(Fourth!I26="", "",Fourth!I26)</f>
        <v>Psych Support - Individual</v>
      </c>
      <c r="J773" s="66" t="str">
        <f>IF(Fourth!J26="", "",Fourth!J26)</f>
        <v/>
      </c>
      <c r="K773" s="86" t="str">
        <f>IF(Fourth!K26="", "",Fourth!K26)</f>
        <v/>
      </c>
      <c r="M773" s="67">
        <f t="shared" si="38"/>
        <v>7</v>
      </c>
      <c r="N773" s="76" t="str">
        <f t="shared" si="39"/>
        <v/>
      </c>
      <c r="O773" s="33">
        <f t="shared" si="37"/>
        <v>7</v>
      </c>
    </row>
    <row r="774" spans="1:15" x14ac:dyDescent="0.25">
      <c r="A774" s="64" t="s">
        <v>179</v>
      </c>
      <c r="B774" s="79" t="str">
        <f>IF(Fourth!B27="", "",Fourth!B27)</f>
        <v>Centre Head</v>
      </c>
      <c r="C774" s="66" t="str">
        <f>IF(Fourth!C27="", "",Fourth!C27)</f>
        <v>PwC</v>
      </c>
      <c r="D774" s="66" t="str">
        <f>IF(Fourth!D27="", "",Fourth!D27)</f>
        <v>Returning</v>
      </c>
      <c r="E774" s="66" t="str">
        <f>IF(Fourth!E27="", "",Fourth!E27)</f>
        <v>Male</v>
      </c>
      <c r="F774" s="66" t="str">
        <f>IF(Fourth!F27="", "",Fourth!F27)</f>
        <v>Lower GI</v>
      </c>
      <c r="G774" s="66" t="str">
        <f>IF(Fourth!G27="", "",Fourth!G27)</f>
        <v>Curative Intent</v>
      </c>
      <c r="H774" s="66" t="str">
        <f>IF(Fourth!H27="", "",Fourth!H27)</f>
        <v>Drop-In</v>
      </c>
      <c r="I774" s="66" t="str">
        <f>IF(Fourth!I27="", "",Fourth!I27)</f>
        <v/>
      </c>
      <c r="J774" s="66" t="str">
        <f>IF(Fourth!J27="", "",Fourth!J27)</f>
        <v/>
      </c>
      <c r="K774" s="86" t="str">
        <f>IF(Fourth!K27="", "",Fourth!K27)</f>
        <v/>
      </c>
      <c r="M774" s="67">
        <f t="shared" si="38"/>
        <v>7</v>
      </c>
      <c r="N774" s="76" t="str">
        <f t="shared" si="39"/>
        <v/>
      </c>
      <c r="O774" s="33">
        <f t="shared" si="37"/>
        <v>7</v>
      </c>
    </row>
    <row r="775" spans="1:15" x14ac:dyDescent="0.25">
      <c r="A775" s="64" t="s">
        <v>179</v>
      </c>
      <c r="B775" s="79" t="str">
        <f>IF(Fourth!B28="", "",Fourth!B28)</f>
        <v>Centre Head</v>
      </c>
      <c r="C775" s="66" t="str">
        <f>IF(Fourth!C28="", "",Fourth!C28)</f>
        <v>Carer</v>
      </c>
      <c r="D775" s="66" t="str">
        <f>IF(Fourth!D28="", "",Fourth!D28)</f>
        <v>Returning</v>
      </c>
      <c r="E775" s="66" t="str">
        <f>IF(Fourth!E28="", "",Fourth!E28)</f>
        <v>Female</v>
      </c>
      <c r="F775" s="66" t="str">
        <f>IF(Fourth!F28="", "",Fourth!F28)</f>
        <v>Lower GI</v>
      </c>
      <c r="G775" s="66" t="str">
        <f>IF(Fourth!G28="", "",Fourth!G28)</f>
        <v>Curative Intent</v>
      </c>
      <c r="H775" s="66" t="str">
        <f>IF(Fourth!H28="", "",Fourth!H28)</f>
        <v>Drop-In</v>
      </c>
      <c r="I775" s="66" t="str">
        <f>IF(Fourth!I28="", "",Fourth!I28)</f>
        <v/>
      </c>
      <c r="J775" s="66" t="str">
        <f>IF(Fourth!J28="", "",Fourth!J28)</f>
        <v/>
      </c>
      <c r="K775" s="86" t="str">
        <f>IF(Fourth!K28="", "",Fourth!K28)</f>
        <v/>
      </c>
      <c r="M775" s="67" t="str">
        <f t="shared" si="38"/>
        <v/>
      </c>
      <c r="N775" s="76">
        <f t="shared" si="39"/>
        <v>7</v>
      </c>
      <c r="O775" s="33">
        <f t="shared" si="37"/>
        <v>7</v>
      </c>
    </row>
    <row r="776" spans="1:15" x14ac:dyDescent="0.25">
      <c r="A776" s="64" t="s">
        <v>179</v>
      </c>
      <c r="B776" s="79" t="str">
        <f>IF(Fourth!B29="", "",Fourth!B29)</f>
        <v>Centre Head</v>
      </c>
      <c r="C776" s="66" t="str">
        <f>IF(Fourth!C29="", "",Fourth!C29)</f>
        <v>PwC</v>
      </c>
      <c r="D776" s="66" t="str">
        <f>IF(Fourth!D29="", "",Fourth!D29)</f>
        <v>Returning</v>
      </c>
      <c r="E776" s="66" t="str">
        <f>IF(Fourth!E29="", "",Fourth!E29)</f>
        <v>Female</v>
      </c>
      <c r="F776" s="66" t="str">
        <f>IF(Fourth!F29="", "",Fourth!F29)</f>
        <v>Brain/CNS</v>
      </c>
      <c r="G776" s="66" t="str">
        <f>IF(Fourth!G29="", "",Fourth!G29)</f>
        <v>Non-Curative Intent</v>
      </c>
      <c r="H776" s="66" t="str">
        <f>IF(Fourth!H29="", "",Fourth!H29)</f>
        <v>Drop-In</v>
      </c>
      <c r="I776" s="66" t="str">
        <f>IF(Fourth!I29="", "",Fourth!I29)</f>
        <v/>
      </c>
      <c r="J776" s="66" t="str">
        <f>IF(Fourth!J29="", "",Fourth!J29)</f>
        <v/>
      </c>
      <c r="K776" s="86" t="str">
        <f>IF(Fourth!K29="", "",Fourth!K29)</f>
        <v/>
      </c>
      <c r="M776" s="67">
        <f t="shared" si="38"/>
        <v>7</v>
      </c>
      <c r="N776" s="76" t="str">
        <f t="shared" si="39"/>
        <v/>
      </c>
      <c r="O776" s="33">
        <f t="shared" si="37"/>
        <v>7</v>
      </c>
    </row>
    <row r="777" spans="1:15" x14ac:dyDescent="0.25">
      <c r="A777" s="64" t="s">
        <v>179</v>
      </c>
      <c r="B777" s="79" t="str">
        <f>IF(Fourth!B30="", "",Fourth!B30)</f>
        <v>Centre Head</v>
      </c>
      <c r="C777" s="66" t="str">
        <f>IF(Fourth!C30="", "",Fourth!C30)</f>
        <v>Carer</v>
      </c>
      <c r="D777" s="66" t="str">
        <f>IF(Fourth!D30="", "",Fourth!D30)</f>
        <v>Returning</v>
      </c>
      <c r="E777" s="66" t="str">
        <f>IF(Fourth!E30="", "",Fourth!E30)</f>
        <v>Male</v>
      </c>
      <c r="F777" s="66" t="str">
        <f>IF(Fourth!F30="", "",Fourth!F30)</f>
        <v>Brain/CNS</v>
      </c>
      <c r="G777" s="66" t="str">
        <f>IF(Fourth!G30="", "",Fourth!G30)</f>
        <v>Non-Curative Intent</v>
      </c>
      <c r="H777" s="66" t="str">
        <f>IF(Fourth!H30="", "",Fourth!H30)</f>
        <v>Drop-In</v>
      </c>
      <c r="I777" s="66" t="str">
        <f>IF(Fourth!I30="", "",Fourth!I30)</f>
        <v/>
      </c>
      <c r="J777" s="66" t="str">
        <f>IF(Fourth!J30="", "",Fourth!J30)</f>
        <v/>
      </c>
      <c r="K777" s="86" t="str">
        <f>IF(Fourth!K30="", "",Fourth!K30)</f>
        <v/>
      </c>
      <c r="M777" s="67" t="str">
        <f t="shared" si="38"/>
        <v/>
      </c>
      <c r="N777" s="76">
        <f t="shared" si="39"/>
        <v>7</v>
      </c>
      <c r="O777" s="33">
        <f t="shared" si="37"/>
        <v>7</v>
      </c>
    </row>
    <row r="778" spans="1:15" x14ac:dyDescent="0.25">
      <c r="A778" s="64" t="s">
        <v>179</v>
      </c>
      <c r="B778" s="79" t="str">
        <f>IF(Fourth!B31="", "",Fourth!B31)</f>
        <v>Centre Head</v>
      </c>
      <c r="C778" s="66" t="str">
        <f>IF(Fourth!C31="", "",Fourth!C31)</f>
        <v>Carer</v>
      </c>
      <c r="D778" s="66" t="str">
        <f>IF(Fourth!D31="", "",Fourth!D31)</f>
        <v>Returning</v>
      </c>
      <c r="E778" s="66" t="str">
        <f>IF(Fourth!E31="", "",Fourth!E31)</f>
        <v>Female</v>
      </c>
      <c r="F778" s="66" t="str">
        <f>IF(Fourth!F31="", "",Fourth!F31)</f>
        <v>Brain/CNS</v>
      </c>
      <c r="G778" s="66" t="str">
        <f>IF(Fourth!G31="", "",Fourth!G31)</f>
        <v>Non-Curative Intent</v>
      </c>
      <c r="H778" s="66" t="str">
        <f>IF(Fourth!H31="", "",Fourth!H31)</f>
        <v>Drop-In</v>
      </c>
      <c r="I778" s="66" t="str">
        <f>IF(Fourth!I31="", "",Fourth!I31)</f>
        <v/>
      </c>
      <c r="J778" s="66" t="str">
        <f>IF(Fourth!J31="", "",Fourth!J31)</f>
        <v/>
      </c>
      <c r="K778" s="86" t="str">
        <f>IF(Fourth!K31="", "",Fourth!K31)</f>
        <v/>
      </c>
      <c r="M778" s="67" t="str">
        <f t="shared" si="38"/>
        <v/>
      </c>
      <c r="N778" s="76">
        <f t="shared" si="39"/>
        <v>7</v>
      </c>
      <c r="O778" s="33">
        <f t="shared" si="37"/>
        <v>7</v>
      </c>
    </row>
    <row r="779" spans="1:15" x14ac:dyDescent="0.25">
      <c r="A779" s="64" t="s">
        <v>179</v>
      </c>
      <c r="B779" s="79" t="str">
        <f>IF(Fourth!B32="", "",Fourth!B32)</f>
        <v>Centre Head</v>
      </c>
      <c r="C779" s="66" t="str">
        <f>IF(Fourth!C32="", "",Fourth!C32)</f>
        <v>PwC</v>
      </c>
      <c r="D779" s="66" t="str">
        <f>IF(Fourth!D32="", "",Fourth!D32)</f>
        <v>Returning</v>
      </c>
      <c r="E779" s="66" t="str">
        <f>IF(Fourth!E32="", "",Fourth!E32)</f>
        <v>Male</v>
      </c>
      <c r="F779" s="66" t="str">
        <f>IF(Fourth!F32="", "",Fourth!F32)</f>
        <v>Urolog</v>
      </c>
      <c r="G779" s="66" t="str">
        <f>IF(Fourth!G32="", "",Fourth!G32)</f>
        <v>Post Treatment - Curative Intent</v>
      </c>
      <c r="H779" s="66" t="str">
        <f>IF(Fourth!H32="", "",Fourth!H32)</f>
        <v>Drop-In</v>
      </c>
      <c r="I779" s="66" t="str">
        <f>IF(Fourth!I32="", "",Fourth!I32)</f>
        <v/>
      </c>
      <c r="J779" s="66" t="str">
        <f>IF(Fourth!J32="", "",Fourth!J32)</f>
        <v/>
      </c>
      <c r="K779" s="86" t="str">
        <f>IF(Fourth!K32="", "",Fourth!K32)</f>
        <v/>
      </c>
      <c r="M779" s="67">
        <f t="shared" si="38"/>
        <v>7</v>
      </c>
      <c r="N779" s="76" t="str">
        <f t="shared" si="39"/>
        <v/>
      </c>
      <c r="O779" s="33">
        <f t="shared" si="37"/>
        <v>7</v>
      </c>
    </row>
    <row r="780" spans="1:15" x14ac:dyDescent="0.25">
      <c r="A780" s="64" t="s">
        <v>179</v>
      </c>
      <c r="B780" s="79" t="str">
        <f>IF(Fourth!B33="", "",Fourth!B33)</f>
        <v>Centre Head</v>
      </c>
      <c r="C780" s="66" t="str">
        <f>IF(Fourth!C33="", "",Fourth!C33)</f>
        <v>Carer</v>
      </c>
      <c r="D780" s="66" t="str">
        <f>IF(Fourth!D33="", "",Fourth!D33)</f>
        <v>Returning</v>
      </c>
      <c r="E780" s="66" t="str">
        <f>IF(Fourth!E33="", "",Fourth!E33)</f>
        <v>Male</v>
      </c>
      <c r="F780" s="66" t="str">
        <f>IF(Fourth!F33="", "",Fourth!F33)</f>
        <v>Haemat</v>
      </c>
      <c r="G780" s="66" t="str">
        <f>IF(Fourth!G33="", "",Fourth!G33)</f>
        <v>Bereaved</v>
      </c>
      <c r="H780" s="66" t="str">
        <f>IF(Fourth!H33="", "",Fourth!H33)</f>
        <v>Drop-In</v>
      </c>
      <c r="I780" s="66" t="str">
        <f>IF(Fourth!I33="", "",Fourth!I33)</f>
        <v/>
      </c>
      <c r="J780" s="66" t="str">
        <f>IF(Fourth!J33="", "",Fourth!J33)</f>
        <v/>
      </c>
      <c r="K780" s="86" t="str">
        <f>IF(Fourth!K33="", "",Fourth!K33)</f>
        <v/>
      </c>
      <c r="M780" s="67" t="str">
        <f t="shared" si="38"/>
        <v/>
      </c>
      <c r="N780" s="76">
        <f t="shared" si="39"/>
        <v>7</v>
      </c>
      <c r="O780" s="33">
        <f t="shared" si="37"/>
        <v>7</v>
      </c>
    </row>
    <row r="781" spans="1:15" x14ac:dyDescent="0.25">
      <c r="A781" s="64" t="s">
        <v>179</v>
      </c>
      <c r="B781" s="79" t="str">
        <f>IF(Fourth!B34="", "",Fourth!B34)</f>
        <v>Centre Head</v>
      </c>
      <c r="C781" s="66" t="str">
        <f>IF(Fourth!C34="", "",Fourth!C34)</f>
        <v>PwC</v>
      </c>
      <c r="D781" s="66" t="str">
        <f>IF(Fourth!D34="", "",Fourth!D34)</f>
        <v>Returning</v>
      </c>
      <c r="E781" s="66" t="str">
        <f>IF(Fourth!E34="", "",Fourth!E34)</f>
        <v>Male</v>
      </c>
      <c r="F781" s="66" t="str">
        <f>IF(Fourth!F34="", "",Fourth!F34)</f>
        <v>Brain/CNS</v>
      </c>
      <c r="G781" s="66" t="str">
        <f>IF(Fourth!G34="", "",Fourth!G34)</f>
        <v>Non-Curative Intent</v>
      </c>
      <c r="H781" s="66" t="str">
        <f>IF(Fourth!H34="", "",Fourth!H34)</f>
        <v>Booked</v>
      </c>
      <c r="I781" s="66" t="str">
        <f>IF(Fourth!I34="", "",Fourth!I34)</f>
        <v>Psych Support - Individual</v>
      </c>
      <c r="J781" s="66" t="str">
        <f>IF(Fourth!J34="", "",Fourth!J34)</f>
        <v/>
      </c>
      <c r="K781" s="86" t="str">
        <f>IF(Fourth!K34="", "",Fourth!K34)</f>
        <v/>
      </c>
      <c r="M781" s="67">
        <f t="shared" si="38"/>
        <v>7</v>
      </c>
      <c r="N781" s="76" t="str">
        <f t="shared" si="39"/>
        <v/>
      </c>
      <c r="O781" s="33">
        <f t="shared" si="37"/>
        <v>7</v>
      </c>
    </row>
    <row r="782" spans="1:15" x14ac:dyDescent="0.25">
      <c r="A782" s="64" t="s">
        <v>179</v>
      </c>
      <c r="B782" s="79" t="str">
        <f>IF(Fourth!B35="", "",Fourth!B35)</f>
        <v>CSS</v>
      </c>
      <c r="C782" s="66" t="str">
        <f>IF(Fourth!C35="", "",Fourth!C35)</f>
        <v>Professional</v>
      </c>
      <c r="D782" s="66" t="str">
        <f>IF(Fourth!D35="", "",Fourth!D35)</f>
        <v/>
      </c>
      <c r="E782" s="66" t="str">
        <f>IF(Fourth!E35="", "",Fourth!E35)</f>
        <v/>
      </c>
      <c r="F782" s="66" t="str">
        <f>IF(Fourth!F35="", "",Fourth!F35)</f>
        <v/>
      </c>
      <c r="G782" s="66" t="str">
        <f>IF(Fourth!G35="", "",Fourth!G35)</f>
        <v/>
      </c>
      <c r="H782" s="66" t="str">
        <f>IF(Fourth!H35="", "",Fourth!H35)</f>
        <v/>
      </c>
      <c r="I782" s="66" t="str">
        <f>IF(Fourth!I35="", "",Fourth!I35)</f>
        <v/>
      </c>
      <c r="J782" s="66" t="str">
        <f>IF(Fourth!J35="", "",Fourth!J35)</f>
        <v/>
      </c>
      <c r="K782" s="86" t="str">
        <f>IF(Fourth!K35="", "",Fourth!K35)</f>
        <v/>
      </c>
      <c r="M782" s="67" t="str">
        <f t="shared" si="38"/>
        <v/>
      </c>
      <c r="N782" s="76" t="str">
        <f t="shared" si="39"/>
        <v/>
      </c>
      <c r="O782" s="33">
        <f t="shared" si="37"/>
        <v>0</v>
      </c>
    </row>
    <row r="783" spans="1:15" x14ac:dyDescent="0.25">
      <c r="A783" s="64" t="s">
        <v>179</v>
      </c>
      <c r="B783" s="79" t="str">
        <f>IF(Fourth!B36="", "",Fourth!B36)</f>
        <v>CSS</v>
      </c>
      <c r="C783" s="66" t="str">
        <f>IF(Fourth!C36="", "",Fourth!C36)</f>
        <v>Professional</v>
      </c>
      <c r="D783" s="66" t="str">
        <f>IF(Fourth!D36="", "",Fourth!D36)</f>
        <v/>
      </c>
      <c r="E783" s="66" t="str">
        <f>IF(Fourth!E36="", "",Fourth!E36)</f>
        <v/>
      </c>
      <c r="F783" s="66" t="str">
        <f>IF(Fourth!F36="", "",Fourth!F36)</f>
        <v/>
      </c>
      <c r="G783" s="66" t="str">
        <f>IF(Fourth!G36="", "",Fourth!G36)</f>
        <v/>
      </c>
      <c r="H783" s="66" t="str">
        <f>IF(Fourth!H36="", "",Fourth!H36)</f>
        <v/>
      </c>
      <c r="I783" s="66" t="str">
        <f>IF(Fourth!I36="", "",Fourth!I36)</f>
        <v/>
      </c>
      <c r="J783" s="66" t="str">
        <f>IF(Fourth!J36="", "",Fourth!J36)</f>
        <v/>
      </c>
      <c r="K783" s="86" t="str">
        <f>IF(Fourth!K36="", "",Fourth!K36)</f>
        <v/>
      </c>
      <c r="M783" s="67" t="str">
        <f t="shared" si="38"/>
        <v/>
      </c>
      <c r="N783" s="76" t="str">
        <f t="shared" si="39"/>
        <v/>
      </c>
      <c r="O783" s="33">
        <f t="shared" si="37"/>
        <v>0</v>
      </c>
    </row>
    <row r="784" spans="1:15" x14ac:dyDescent="0.25">
      <c r="A784" s="64" t="s">
        <v>179</v>
      </c>
      <c r="B784" s="79" t="str">
        <f>IF(Fourth!B37="", "",Fourth!B37)</f>
        <v>CSS</v>
      </c>
      <c r="C784" s="66" t="str">
        <f>IF(Fourth!C37="", "",Fourth!C37)</f>
        <v>Professional</v>
      </c>
      <c r="D784" s="66" t="str">
        <f>IF(Fourth!D37="", "",Fourth!D37)</f>
        <v/>
      </c>
      <c r="E784" s="66" t="str">
        <f>IF(Fourth!E37="", "",Fourth!E37)</f>
        <v/>
      </c>
      <c r="F784" s="66" t="str">
        <f>IF(Fourth!F37="", "",Fourth!F37)</f>
        <v/>
      </c>
      <c r="G784" s="66" t="str">
        <f>IF(Fourth!G37="", "",Fourth!G37)</f>
        <v/>
      </c>
      <c r="H784" s="66" t="str">
        <f>IF(Fourth!H37="", "",Fourth!H37)</f>
        <v/>
      </c>
      <c r="I784" s="66" t="str">
        <f>IF(Fourth!I37="", "",Fourth!I37)</f>
        <v/>
      </c>
      <c r="J784" s="66" t="str">
        <f>IF(Fourth!J37="", "",Fourth!J37)</f>
        <v/>
      </c>
      <c r="K784" s="86" t="str">
        <f>IF(Fourth!K37="", "",Fourth!K37)</f>
        <v/>
      </c>
      <c r="M784" s="67" t="str">
        <f t="shared" si="38"/>
        <v/>
      </c>
      <c r="N784" s="76" t="str">
        <f t="shared" si="39"/>
        <v/>
      </c>
      <c r="O784" s="33">
        <f t="shared" si="37"/>
        <v>0</v>
      </c>
    </row>
    <row r="785" spans="1:15" x14ac:dyDescent="0.25">
      <c r="A785" s="64" t="s">
        <v>179</v>
      </c>
      <c r="B785" s="79" t="str">
        <f>IF(Fourth!B38="", "",Fourth!B38)</f>
        <v>CSS</v>
      </c>
      <c r="C785" s="66" t="str">
        <f>IF(Fourth!C38="", "",Fourth!C38)</f>
        <v>Professional</v>
      </c>
      <c r="D785" s="66" t="str">
        <f>IF(Fourth!D38="", "",Fourth!D38)</f>
        <v/>
      </c>
      <c r="E785" s="66" t="str">
        <f>IF(Fourth!E38="", "",Fourth!E38)</f>
        <v/>
      </c>
      <c r="F785" s="66" t="str">
        <f>IF(Fourth!F38="", "",Fourth!F38)</f>
        <v/>
      </c>
      <c r="G785" s="66" t="str">
        <f>IF(Fourth!G38="", "",Fourth!G38)</f>
        <v/>
      </c>
      <c r="H785" s="66" t="str">
        <f>IF(Fourth!H38="", "",Fourth!H38)</f>
        <v/>
      </c>
      <c r="I785" s="66" t="str">
        <f>IF(Fourth!I38="", "",Fourth!I38)</f>
        <v/>
      </c>
      <c r="J785" s="66" t="str">
        <f>IF(Fourth!J38="", "",Fourth!J38)</f>
        <v/>
      </c>
      <c r="K785" s="86" t="str">
        <f>IF(Fourth!K38="", "",Fourth!K38)</f>
        <v/>
      </c>
      <c r="M785" s="67" t="str">
        <f t="shared" si="38"/>
        <v/>
      </c>
      <c r="N785" s="76" t="str">
        <f t="shared" si="39"/>
        <v/>
      </c>
      <c r="O785" s="33">
        <f t="shared" si="37"/>
        <v>0</v>
      </c>
    </row>
    <row r="786" spans="1:15" x14ac:dyDescent="0.25">
      <c r="A786" s="64" t="s">
        <v>179</v>
      </c>
      <c r="B786" s="79" t="str">
        <f>IF(Fourth!B39="", "",Fourth!B39)</f>
        <v>CSS</v>
      </c>
      <c r="C786" s="66" t="str">
        <f>IF(Fourth!C39="", "",Fourth!C39)</f>
        <v>Professional</v>
      </c>
      <c r="D786" s="66" t="str">
        <f>IF(Fourth!D39="", "",Fourth!D39)</f>
        <v/>
      </c>
      <c r="E786" s="66" t="str">
        <f>IF(Fourth!E39="", "",Fourth!E39)</f>
        <v/>
      </c>
      <c r="F786" s="66" t="str">
        <f>IF(Fourth!F39="", "",Fourth!F39)</f>
        <v/>
      </c>
      <c r="G786" s="66" t="str">
        <f>IF(Fourth!G39="", "",Fourth!G39)</f>
        <v/>
      </c>
      <c r="H786" s="66" t="str">
        <f>IF(Fourth!H39="", "",Fourth!H39)</f>
        <v/>
      </c>
      <c r="I786" s="66" t="str">
        <f>IF(Fourth!I39="", "",Fourth!I39)</f>
        <v/>
      </c>
      <c r="J786" s="66" t="str">
        <f>IF(Fourth!J39="", "",Fourth!J39)</f>
        <v/>
      </c>
      <c r="K786" s="86" t="str">
        <f>IF(Fourth!K39="", "",Fourth!K39)</f>
        <v/>
      </c>
      <c r="M786" s="67" t="str">
        <f t="shared" si="38"/>
        <v/>
      </c>
      <c r="N786" s="76" t="str">
        <f t="shared" si="39"/>
        <v/>
      </c>
      <c r="O786" s="33">
        <f t="shared" si="37"/>
        <v>0</v>
      </c>
    </row>
    <row r="787" spans="1:15" x14ac:dyDescent="0.25">
      <c r="A787" s="64" t="s">
        <v>179</v>
      </c>
      <c r="B787" s="79" t="str">
        <f>IF(Fourth!B40="", "",Fourth!B40)</f>
        <v>CSS</v>
      </c>
      <c r="C787" s="66" t="str">
        <f>IF(Fourth!C40="", "",Fourth!C40)</f>
        <v>Professional</v>
      </c>
      <c r="D787" s="66" t="str">
        <f>IF(Fourth!D40="", "",Fourth!D40)</f>
        <v/>
      </c>
      <c r="E787" s="66" t="str">
        <f>IF(Fourth!E40="", "",Fourth!E40)</f>
        <v/>
      </c>
      <c r="F787" s="66" t="str">
        <f>IF(Fourth!F40="", "",Fourth!F40)</f>
        <v/>
      </c>
      <c r="G787" s="66" t="str">
        <f>IF(Fourth!G40="", "",Fourth!G40)</f>
        <v/>
      </c>
      <c r="H787" s="66" t="str">
        <f>IF(Fourth!H40="", "",Fourth!H40)</f>
        <v/>
      </c>
      <c r="I787" s="66" t="str">
        <f>IF(Fourth!I40="", "",Fourth!I40)</f>
        <v/>
      </c>
      <c r="J787" s="66" t="str">
        <f>IF(Fourth!J40="", "",Fourth!J40)</f>
        <v/>
      </c>
      <c r="K787" s="86" t="str">
        <f>IF(Fourth!K40="", "",Fourth!K40)</f>
        <v/>
      </c>
      <c r="M787" s="67" t="str">
        <f t="shared" si="38"/>
        <v/>
      </c>
      <c r="N787" s="76" t="str">
        <f t="shared" si="39"/>
        <v/>
      </c>
      <c r="O787" s="33">
        <f t="shared" si="37"/>
        <v>0</v>
      </c>
    </row>
    <row r="788" spans="1:15" x14ac:dyDescent="0.25">
      <c r="A788" s="64" t="s">
        <v>179</v>
      </c>
      <c r="B788" s="79" t="str">
        <f>IF(Fourth!B41="", "",Fourth!B41)</f>
        <v>CSS</v>
      </c>
      <c r="C788" s="66" t="str">
        <f>IF(Fourth!C41="", "",Fourth!C41)</f>
        <v>Professional</v>
      </c>
      <c r="D788" s="66" t="str">
        <f>IF(Fourth!D41="", "",Fourth!D41)</f>
        <v/>
      </c>
      <c r="E788" s="66" t="str">
        <f>IF(Fourth!E41="", "",Fourth!E41)</f>
        <v/>
      </c>
      <c r="F788" s="66" t="str">
        <f>IF(Fourth!F41="", "",Fourth!F41)</f>
        <v/>
      </c>
      <c r="G788" s="66" t="str">
        <f>IF(Fourth!G41="", "",Fourth!G41)</f>
        <v/>
      </c>
      <c r="H788" s="66" t="str">
        <f>IF(Fourth!H41="", "",Fourth!H41)</f>
        <v/>
      </c>
      <c r="I788" s="66" t="str">
        <f>IF(Fourth!I41="", "",Fourth!I41)</f>
        <v/>
      </c>
      <c r="J788" s="66" t="str">
        <f>IF(Fourth!J41="", "",Fourth!J41)</f>
        <v/>
      </c>
      <c r="K788" s="86" t="str">
        <f>IF(Fourth!K41="", "",Fourth!K41)</f>
        <v/>
      </c>
      <c r="M788" s="67" t="str">
        <f t="shared" si="38"/>
        <v/>
      </c>
      <c r="N788" s="76" t="str">
        <f t="shared" si="39"/>
        <v/>
      </c>
      <c r="O788" s="33">
        <f t="shared" si="37"/>
        <v>0</v>
      </c>
    </row>
    <row r="789" spans="1:15" x14ac:dyDescent="0.25">
      <c r="A789" s="64" t="s">
        <v>179</v>
      </c>
      <c r="B789" s="79" t="str">
        <f>IF(Fourth!B42="", "",Fourth!B42)</f>
        <v>CSS</v>
      </c>
      <c r="C789" s="66" t="str">
        <f>IF(Fourth!C42="", "",Fourth!C42)</f>
        <v>Professional</v>
      </c>
      <c r="D789" s="66" t="str">
        <f>IF(Fourth!D42="", "",Fourth!D42)</f>
        <v/>
      </c>
      <c r="E789" s="66" t="str">
        <f>IF(Fourth!E42="", "",Fourth!E42)</f>
        <v/>
      </c>
      <c r="F789" s="66" t="str">
        <f>IF(Fourth!F42="", "",Fourth!F42)</f>
        <v/>
      </c>
      <c r="G789" s="66" t="str">
        <f>IF(Fourth!G42="", "",Fourth!G42)</f>
        <v/>
      </c>
      <c r="H789" s="66" t="str">
        <f>IF(Fourth!H42="", "",Fourth!H42)</f>
        <v/>
      </c>
      <c r="I789" s="66" t="str">
        <f>IF(Fourth!I42="", "",Fourth!I42)</f>
        <v/>
      </c>
      <c r="J789" s="66" t="str">
        <f>IF(Fourth!J42="", "",Fourth!J42)</f>
        <v/>
      </c>
      <c r="K789" s="86" t="str">
        <f>IF(Fourth!K42="", "",Fourth!K42)</f>
        <v/>
      </c>
      <c r="M789" s="67" t="str">
        <f t="shared" si="38"/>
        <v/>
      </c>
      <c r="N789" s="76" t="str">
        <f t="shared" si="39"/>
        <v/>
      </c>
      <c r="O789" s="33">
        <f t="shared" si="37"/>
        <v>0</v>
      </c>
    </row>
    <row r="790" spans="1:15" x14ac:dyDescent="0.25">
      <c r="A790" s="64" t="s">
        <v>179</v>
      </c>
      <c r="B790" s="79" t="str">
        <f>IF(Fourth!B43="", "",Fourth!B43)</f>
        <v>CSS</v>
      </c>
      <c r="C790" s="66" t="str">
        <f>IF(Fourth!C43="", "",Fourth!C43)</f>
        <v>Professional</v>
      </c>
      <c r="D790" s="66" t="str">
        <f>IF(Fourth!D43="", "",Fourth!D43)</f>
        <v/>
      </c>
      <c r="E790" s="66" t="str">
        <f>IF(Fourth!E43="", "",Fourth!E43)</f>
        <v/>
      </c>
      <c r="F790" s="66" t="str">
        <f>IF(Fourth!F43="", "",Fourth!F43)</f>
        <v/>
      </c>
      <c r="G790" s="66" t="str">
        <f>IF(Fourth!G43="", "",Fourth!G43)</f>
        <v/>
      </c>
      <c r="H790" s="66" t="str">
        <f>IF(Fourth!H43="", "",Fourth!H43)</f>
        <v/>
      </c>
      <c r="I790" s="66" t="str">
        <f>IF(Fourth!I43="", "",Fourth!I43)</f>
        <v/>
      </c>
      <c r="J790" s="66" t="str">
        <f>IF(Fourth!J43="", "",Fourth!J43)</f>
        <v/>
      </c>
      <c r="K790" s="86" t="str">
        <f>IF(Fourth!K43="", "",Fourth!K43)</f>
        <v/>
      </c>
      <c r="M790" s="67" t="str">
        <f t="shared" si="38"/>
        <v/>
      </c>
      <c r="N790" s="76" t="str">
        <f t="shared" si="39"/>
        <v/>
      </c>
      <c r="O790" s="33">
        <f t="shared" si="37"/>
        <v>0</v>
      </c>
    </row>
    <row r="791" spans="1:15" x14ac:dyDescent="0.25">
      <c r="A791" s="64" t="s">
        <v>179</v>
      </c>
      <c r="B791" s="79" t="str">
        <f>IF(Fourth!B44="", "",Fourth!B44)</f>
        <v>CSS</v>
      </c>
      <c r="C791" s="66" t="str">
        <f>IF(Fourth!C44="", "",Fourth!C44)</f>
        <v>Professional</v>
      </c>
      <c r="D791" s="66" t="str">
        <f>IF(Fourth!D44="", "",Fourth!D44)</f>
        <v/>
      </c>
      <c r="E791" s="66" t="str">
        <f>IF(Fourth!E44="", "",Fourth!E44)</f>
        <v/>
      </c>
      <c r="F791" s="66" t="str">
        <f>IF(Fourth!F44="", "",Fourth!F44)</f>
        <v/>
      </c>
      <c r="G791" s="66" t="str">
        <f>IF(Fourth!G44="", "",Fourth!G44)</f>
        <v/>
      </c>
      <c r="H791" s="66" t="str">
        <f>IF(Fourth!H44="", "",Fourth!H44)</f>
        <v/>
      </c>
      <c r="I791" s="66" t="str">
        <f>IF(Fourth!I44="", "",Fourth!I44)</f>
        <v/>
      </c>
      <c r="J791" s="66" t="str">
        <f>IF(Fourth!J44="", "",Fourth!J44)</f>
        <v/>
      </c>
      <c r="K791" s="86" t="str">
        <f>IF(Fourth!K44="", "",Fourth!K44)</f>
        <v/>
      </c>
      <c r="M791" s="67" t="str">
        <f t="shared" si="38"/>
        <v/>
      </c>
      <c r="N791" s="76" t="str">
        <f t="shared" si="39"/>
        <v/>
      </c>
      <c r="O791" s="33">
        <f t="shared" si="37"/>
        <v>0</v>
      </c>
    </row>
    <row r="792" spans="1:15" x14ac:dyDescent="0.25">
      <c r="A792" s="64" t="s">
        <v>179</v>
      </c>
      <c r="B792" s="79" t="str">
        <f>IF(Fourth!B45="", "",Fourth!B45)</f>
        <v>CSS</v>
      </c>
      <c r="C792" s="66" t="str">
        <f>IF(Fourth!C45="", "",Fourth!C45)</f>
        <v>Professional</v>
      </c>
      <c r="D792" s="66" t="str">
        <f>IF(Fourth!D45="", "",Fourth!D45)</f>
        <v/>
      </c>
      <c r="E792" s="66" t="str">
        <f>IF(Fourth!E45="", "",Fourth!E45)</f>
        <v/>
      </c>
      <c r="F792" s="66" t="str">
        <f>IF(Fourth!F45="", "",Fourth!F45)</f>
        <v/>
      </c>
      <c r="G792" s="66" t="str">
        <f>IF(Fourth!G45="", "",Fourth!G45)</f>
        <v/>
      </c>
      <c r="H792" s="66" t="str">
        <f>IF(Fourth!H45="", "",Fourth!H45)</f>
        <v/>
      </c>
      <c r="I792" s="66" t="str">
        <f>IF(Fourth!I45="", "",Fourth!I45)</f>
        <v/>
      </c>
      <c r="J792" s="66" t="str">
        <f>IF(Fourth!J45="", "",Fourth!J45)</f>
        <v/>
      </c>
      <c r="K792" s="86" t="str">
        <f>IF(Fourth!K45="", "",Fourth!K45)</f>
        <v/>
      </c>
      <c r="M792" s="67" t="str">
        <f t="shared" si="38"/>
        <v/>
      </c>
      <c r="N792" s="76" t="str">
        <f t="shared" si="39"/>
        <v/>
      </c>
      <c r="O792" s="33">
        <f t="shared" si="37"/>
        <v>0</v>
      </c>
    </row>
    <row r="793" spans="1:15" x14ac:dyDescent="0.25">
      <c r="A793" s="64" t="s">
        <v>179</v>
      </c>
      <c r="B793" s="79" t="str">
        <f>IF(Fourth!B46="", "",Fourth!B46)</f>
        <v>CSS</v>
      </c>
      <c r="C793" s="66" t="str">
        <f>IF(Fourth!C46="", "",Fourth!C46)</f>
        <v>Professional</v>
      </c>
      <c r="D793" s="66" t="str">
        <f>IF(Fourth!D46="", "",Fourth!D46)</f>
        <v/>
      </c>
      <c r="E793" s="66" t="str">
        <f>IF(Fourth!E46="", "",Fourth!E46)</f>
        <v/>
      </c>
      <c r="F793" s="66" t="str">
        <f>IF(Fourth!F46="", "",Fourth!F46)</f>
        <v/>
      </c>
      <c r="G793" s="66" t="str">
        <f>IF(Fourth!G46="", "",Fourth!G46)</f>
        <v/>
      </c>
      <c r="H793" s="66" t="str">
        <f>IF(Fourth!H46="", "",Fourth!H46)</f>
        <v/>
      </c>
      <c r="I793" s="66" t="str">
        <f>IF(Fourth!I46="", "",Fourth!I46)</f>
        <v/>
      </c>
      <c r="J793" s="66" t="str">
        <f>IF(Fourth!J46="", "",Fourth!J46)</f>
        <v/>
      </c>
      <c r="K793" s="86" t="str">
        <f>IF(Fourth!K46="", "",Fourth!K46)</f>
        <v/>
      </c>
      <c r="M793" s="67" t="str">
        <f t="shared" si="38"/>
        <v/>
      </c>
      <c r="N793" s="76" t="str">
        <f t="shared" si="39"/>
        <v/>
      </c>
      <c r="O793" s="33">
        <f t="shared" si="37"/>
        <v>0</v>
      </c>
    </row>
    <row r="794" spans="1:15" x14ac:dyDescent="0.25">
      <c r="A794" s="64" t="s">
        <v>179</v>
      </c>
      <c r="B794" s="79" t="str">
        <f>IF(Fourth!B47="", "",Fourth!B47)</f>
        <v>CSS</v>
      </c>
      <c r="C794" s="66" t="str">
        <f>IF(Fourth!C47="", "",Fourth!C47)</f>
        <v>Professional</v>
      </c>
      <c r="D794" s="66" t="str">
        <f>IF(Fourth!D47="", "",Fourth!D47)</f>
        <v/>
      </c>
      <c r="E794" s="66" t="str">
        <f>IF(Fourth!E47="", "",Fourth!E47)</f>
        <v/>
      </c>
      <c r="F794" s="66" t="str">
        <f>IF(Fourth!F47="", "",Fourth!F47)</f>
        <v/>
      </c>
      <c r="G794" s="66" t="str">
        <f>IF(Fourth!G47="", "",Fourth!G47)</f>
        <v/>
      </c>
      <c r="H794" s="66" t="str">
        <f>IF(Fourth!H47="", "",Fourth!H47)</f>
        <v/>
      </c>
      <c r="I794" s="66" t="str">
        <f>IF(Fourth!I47="", "",Fourth!I47)</f>
        <v/>
      </c>
      <c r="J794" s="66" t="str">
        <f>IF(Fourth!J47="", "",Fourth!J47)</f>
        <v/>
      </c>
      <c r="K794" s="86" t="str">
        <f>IF(Fourth!K47="", "",Fourth!K47)</f>
        <v/>
      </c>
      <c r="M794" s="67" t="str">
        <f t="shared" si="38"/>
        <v/>
      </c>
      <c r="N794" s="76" t="str">
        <f t="shared" si="39"/>
        <v/>
      </c>
      <c r="O794" s="33">
        <f t="shared" si="37"/>
        <v>0</v>
      </c>
    </row>
    <row r="795" spans="1:15" x14ac:dyDescent="0.25">
      <c r="A795" s="64" t="s">
        <v>179</v>
      </c>
      <c r="B795" s="79" t="str">
        <f>IF(Fourth!B48="", "",Fourth!B48)</f>
        <v>CSS</v>
      </c>
      <c r="C795" s="66" t="str">
        <f>IF(Fourth!C48="", "",Fourth!C48)</f>
        <v>Professional</v>
      </c>
      <c r="D795" s="66" t="str">
        <f>IF(Fourth!D48="", "",Fourth!D48)</f>
        <v/>
      </c>
      <c r="E795" s="66" t="str">
        <f>IF(Fourth!E48="", "",Fourth!E48)</f>
        <v/>
      </c>
      <c r="F795" s="66" t="str">
        <f>IF(Fourth!F48="", "",Fourth!F48)</f>
        <v/>
      </c>
      <c r="G795" s="66" t="str">
        <f>IF(Fourth!G48="", "",Fourth!G48)</f>
        <v/>
      </c>
      <c r="H795" s="66" t="str">
        <f>IF(Fourth!H48="", "",Fourth!H48)</f>
        <v/>
      </c>
      <c r="I795" s="66" t="str">
        <f>IF(Fourth!I48="", "",Fourth!I48)</f>
        <v/>
      </c>
      <c r="J795" s="66" t="str">
        <f>IF(Fourth!J48="", "",Fourth!J48)</f>
        <v/>
      </c>
      <c r="K795" s="86" t="str">
        <f>IF(Fourth!K48="", "",Fourth!K48)</f>
        <v/>
      </c>
      <c r="M795" s="67" t="str">
        <f t="shared" si="38"/>
        <v/>
      </c>
      <c r="N795" s="76" t="str">
        <f t="shared" si="39"/>
        <v/>
      </c>
      <c r="O795" s="33">
        <f t="shared" si="37"/>
        <v>0</v>
      </c>
    </row>
    <row r="796" spans="1:15" x14ac:dyDescent="0.25">
      <c r="A796" s="64" t="s">
        <v>179</v>
      </c>
      <c r="B796" s="79" t="str">
        <f>IF(Fourth!B49="", "",Fourth!B49)</f>
        <v>CSS</v>
      </c>
      <c r="C796" s="66" t="str">
        <f>IF(Fourth!C49="", "",Fourth!C49)</f>
        <v>Professional</v>
      </c>
      <c r="D796" s="66" t="str">
        <f>IF(Fourth!D49="", "",Fourth!D49)</f>
        <v/>
      </c>
      <c r="E796" s="66" t="str">
        <f>IF(Fourth!E49="", "",Fourth!E49)</f>
        <v/>
      </c>
      <c r="F796" s="66" t="str">
        <f>IF(Fourth!F49="", "",Fourth!F49)</f>
        <v/>
      </c>
      <c r="G796" s="66" t="str">
        <f>IF(Fourth!G49="", "",Fourth!G49)</f>
        <v/>
      </c>
      <c r="H796" s="66" t="str">
        <f>IF(Fourth!H49="", "",Fourth!H49)</f>
        <v/>
      </c>
      <c r="I796" s="66" t="str">
        <f>IF(Fourth!I49="", "",Fourth!I49)</f>
        <v/>
      </c>
      <c r="J796" s="66" t="str">
        <f>IF(Fourth!J49="", "",Fourth!J49)</f>
        <v/>
      </c>
      <c r="K796" s="86" t="str">
        <f>IF(Fourth!K49="", "",Fourth!K49)</f>
        <v/>
      </c>
      <c r="M796" s="67" t="str">
        <f t="shared" si="38"/>
        <v/>
      </c>
      <c r="N796" s="76" t="str">
        <f t="shared" si="39"/>
        <v/>
      </c>
      <c r="O796" s="33">
        <f t="shared" si="37"/>
        <v>0</v>
      </c>
    </row>
    <row r="797" spans="1:15" x14ac:dyDescent="0.25">
      <c r="A797" s="64" t="s">
        <v>179</v>
      </c>
      <c r="B797" s="79" t="str">
        <f>IF(Fourth!B50="", "",Fourth!B50)</f>
        <v>CSS</v>
      </c>
      <c r="C797" s="66" t="str">
        <f>IF(Fourth!C50="", "",Fourth!C50)</f>
        <v>Professional</v>
      </c>
      <c r="D797" s="66" t="str">
        <f>IF(Fourth!D50="", "",Fourth!D50)</f>
        <v/>
      </c>
      <c r="E797" s="66" t="str">
        <f>IF(Fourth!E50="", "",Fourth!E50)</f>
        <v/>
      </c>
      <c r="F797" s="66" t="str">
        <f>IF(Fourth!F50="", "",Fourth!F50)</f>
        <v/>
      </c>
      <c r="G797" s="66" t="str">
        <f>IF(Fourth!G50="", "",Fourth!G50)</f>
        <v/>
      </c>
      <c r="H797" s="66" t="str">
        <f>IF(Fourth!H50="", "",Fourth!H50)</f>
        <v/>
      </c>
      <c r="I797" s="66" t="str">
        <f>IF(Fourth!I50="", "",Fourth!I50)</f>
        <v/>
      </c>
      <c r="J797" s="66" t="str">
        <f>IF(Fourth!J50="", "",Fourth!J50)</f>
        <v/>
      </c>
      <c r="K797" s="86" t="str">
        <f>IF(Fourth!K50="", "",Fourth!K50)</f>
        <v/>
      </c>
      <c r="M797" s="67" t="str">
        <f t="shared" si="38"/>
        <v/>
      </c>
      <c r="N797" s="76" t="str">
        <f t="shared" si="39"/>
        <v/>
      </c>
      <c r="O797" s="33">
        <f t="shared" si="37"/>
        <v>0</v>
      </c>
    </row>
    <row r="798" spans="1:15" x14ac:dyDescent="0.25">
      <c r="A798" s="64" t="s">
        <v>179</v>
      </c>
      <c r="B798" s="79" t="str">
        <f>IF(Fourth!B51="", "",Fourth!B51)</f>
        <v>CSS</v>
      </c>
      <c r="C798" s="66" t="str">
        <f>IF(Fourth!C51="", "",Fourth!C51)</f>
        <v>Professional</v>
      </c>
      <c r="D798" s="66" t="str">
        <f>IF(Fourth!D51="", "",Fourth!D51)</f>
        <v/>
      </c>
      <c r="E798" s="66" t="str">
        <f>IF(Fourth!E51="", "",Fourth!E51)</f>
        <v/>
      </c>
      <c r="F798" s="66" t="str">
        <f>IF(Fourth!F51="", "",Fourth!F51)</f>
        <v/>
      </c>
      <c r="G798" s="66" t="str">
        <f>IF(Fourth!G51="", "",Fourth!G51)</f>
        <v/>
      </c>
      <c r="H798" s="66" t="str">
        <f>IF(Fourth!H51="", "",Fourth!H51)</f>
        <v/>
      </c>
      <c r="I798" s="66" t="str">
        <f>IF(Fourth!I51="", "",Fourth!I51)</f>
        <v/>
      </c>
      <c r="J798" s="66" t="str">
        <f>IF(Fourth!J51="", "",Fourth!J51)</f>
        <v/>
      </c>
      <c r="K798" s="86" t="str">
        <f>IF(Fourth!K51="", "",Fourth!K51)</f>
        <v/>
      </c>
      <c r="M798" s="67" t="str">
        <f t="shared" si="38"/>
        <v/>
      </c>
      <c r="N798" s="76" t="str">
        <f t="shared" si="39"/>
        <v/>
      </c>
      <c r="O798" s="33">
        <f t="shared" si="37"/>
        <v>0</v>
      </c>
    </row>
    <row r="799" spans="1:15" x14ac:dyDescent="0.25">
      <c r="A799" s="64" t="s">
        <v>179</v>
      </c>
      <c r="B799" s="79" t="str">
        <f>IF(Fourth!B52="", "",Fourth!B52)</f>
        <v>CSS</v>
      </c>
      <c r="C799" s="66" t="str">
        <f>IF(Fourth!C52="", "",Fourth!C52)</f>
        <v>Professional</v>
      </c>
      <c r="D799" s="66" t="str">
        <f>IF(Fourth!D52="", "",Fourth!D52)</f>
        <v/>
      </c>
      <c r="E799" s="66" t="str">
        <f>IF(Fourth!E52="", "",Fourth!E52)</f>
        <v/>
      </c>
      <c r="F799" s="66" t="str">
        <f>IF(Fourth!F52="", "",Fourth!F52)</f>
        <v/>
      </c>
      <c r="G799" s="66" t="str">
        <f>IF(Fourth!G52="", "",Fourth!G52)</f>
        <v/>
      </c>
      <c r="H799" s="66" t="str">
        <f>IF(Fourth!H52="", "",Fourth!H52)</f>
        <v/>
      </c>
      <c r="I799" s="66" t="str">
        <f>IF(Fourth!I52="", "",Fourth!I52)</f>
        <v/>
      </c>
      <c r="J799" s="66" t="str">
        <f>IF(Fourth!J52="", "",Fourth!J52)</f>
        <v/>
      </c>
      <c r="K799" s="86" t="str">
        <f>IF(Fourth!K52="", "",Fourth!K52)</f>
        <v/>
      </c>
      <c r="M799" s="67" t="str">
        <f t="shared" si="38"/>
        <v/>
      </c>
      <c r="N799" s="76" t="str">
        <f t="shared" si="39"/>
        <v/>
      </c>
      <c r="O799" s="33">
        <f t="shared" si="37"/>
        <v>0</v>
      </c>
    </row>
    <row r="800" spans="1:15" x14ac:dyDescent="0.25">
      <c r="A800" s="64" t="s">
        <v>179</v>
      </c>
      <c r="B800" s="79" t="str">
        <f>IF(Fourth!B53="", "",Fourth!B53)</f>
        <v>CSS</v>
      </c>
      <c r="C800" s="66" t="str">
        <f>IF(Fourth!C53="", "",Fourth!C53)</f>
        <v>Professional</v>
      </c>
      <c r="D800" s="66" t="str">
        <f>IF(Fourth!D53="", "",Fourth!D53)</f>
        <v/>
      </c>
      <c r="E800" s="66" t="str">
        <f>IF(Fourth!E53="", "",Fourth!E53)</f>
        <v/>
      </c>
      <c r="F800" s="66" t="str">
        <f>IF(Fourth!F53="", "",Fourth!F53)</f>
        <v/>
      </c>
      <c r="G800" s="66" t="str">
        <f>IF(Fourth!G53="", "",Fourth!G53)</f>
        <v/>
      </c>
      <c r="H800" s="66" t="str">
        <f>IF(Fourth!H53="", "",Fourth!H53)</f>
        <v/>
      </c>
      <c r="I800" s="66" t="str">
        <f>IF(Fourth!I53="", "",Fourth!I53)</f>
        <v/>
      </c>
      <c r="J800" s="66" t="str">
        <f>IF(Fourth!J53="", "",Fourth!J53)</f>
        <v/>
      </c>
      <c r="K800" s="86" t="str">
        <f>IF(Fourth!K53="", "",Fourth!K53)</f>
        <v/>
      </c>
      <c r="M800" s="67" t="str">
        <f t="shared" si="38"/>
        <v/>
      </c>
      <c r="N800" s="76" t="str">
        <f t="shared" si="39"/>
        <v/>
      </c>
      <c r="O800" s="33">
        <f t="shared" si="37"/>
        <v>0</v>
      </c>
    </row>
    <row r="801" spans="1:15" x14ac:dyDescent="0.25">
      <c r="A801" s="64" t="s">
        <v>179</v>
      </c>
      <c r="B801" s="79" t="str">
        <f>IF(Fourth!B54="", "",Fourth!B54)</f>
        <v>CSS</v>
      </c>
      <c r="C801" s="66" t="str">
        <f>IF(Fourth!C54="", "",Fourth!C54)</f>
        <v>Professional</v>
      </c>
      <c r="D801" s="66" t="str">
        <f>IF(Fourth!D54="", "",Fourth!D54)</f>
        <v/>
      </c>
      <c r="E801" s="66" t="str">
        <f>IF(Fourth!E54="", "",Fourth!E54)</f>
        <v/>
      </c>
      <c r="F801" s="66" t="str">
        <f>IF(Fourth!F54="", "",Fourth!F54)</f>
        <v/>
      </c>
      <c r="G801" s="66" t="str">
        <f>IF(Fourth!G54="", "",Fourth!G54)</f>
        <v/>
      </c>
      <c r="H801" s="66" t="str">
        <f>IF(Fourth!H54="", "",Fourth!H54)</f>
        <v/>
      </c>
      <c r="I801" s="66" t="str">
        <f>IF(Fourth!I54="", "",Fourth!I54)</f>
        <v/>
      </c>
      <c r="J801" s="66" t="str">
        <f>IF(Fourth!J54="", "",Fourth!J54)</f>
        <v/>
      </c>
      <c r="K801" s="86" t="str">
        <f>IF(Fourth!K54="", "",Fourth!K54)</f>
        <v/>
      </c>
      <c r="M801" s="67" t="str">
        <f t="shared" si="38"/>
        <v/>
      </c>
      <c r="N801" s="76" t="str">
        <f t="shared" si="39"/>
        <v/>
      </c>
      <c r="O801" s="33">
        <f t="shared" si="37"/>
        <v>0</v>
      </c>
    </row>
    <row r="802" spans="1:15" x14ac:dyDescent="0.25">
      <c r="A802" s="64" t="s">
        <v>179</v>
      </c>
      <c r="B802" s="79" t="str">
        <f>IF(Fourth!B55="", "",Fourth!B55)</f>
        <v>CSS</v>
      </c>
      <c r="C802" s="66" t="str">
        <f>IF(Fourth!C55="", "",Fourth!C55)</f>
        <v>PwC</v>
      </c>
      <c r="D802" s="66" t="str">
        <f>IF(Fourth!D55="", "",Fourth!D55)</f>
        <v>Returning</v>
      </c>
      <c r="E802" s="66" t="str">
        <f>IF(Fourth!E55="", "",Fourth!E55)</f>
        <v>Male</v>
      </c>
      <c r="F802" s="66" t="str">
        <f>IF(Fourth!F55="", "",Fourth!F55)</f>
        <v>Upper GI</v>
      </c>
      <c r="G802" s="66" t="str">
        <f>IF(Fourth!G55="", "",Fourth!G55)</f>
        <v>Curative Intent</v>
      </c>
      <c r="H802" s="66" t="str">
        <f>IF(Fourth!H55="", "",Fourth!H55)</f>
        <v>Booked</v>
      </c>
      <c r="I802" s="66" t="str">
        <f>IF(Fourth!I55="", "",Fourth!I55)</f>
        <v>Psych Support - Couple</v>
      </c>
      <c r="J802" s="66" t="str">
        <f>IF(Fourth!J55="", "",Fourth!J55)</f>
        <v/>
      </c>
      <c r="K802" s="86" t="str">
        <f>IF(Fourth!K55="", "",Fourth!K55)</f>
        <v/>
      </c>
      <c r="M802" s="67">
        <f t="shared" si="38"/>
        <v>7</v>
      </c>
      <c r="N802" s="76" t="str">
        <f t="shared" si="39"/>
        <v/>
      </c>
      <c r="O802" s="33">
        <f t="shared" si="37"/>
        <v>7</v>
      </c>
    </row>
    <row r="803" spans="1:15" x14ac:dyDescent="0.25">
      <c r="A803" s="64" t="s">
        <v>179</v>
      </c>
      <c r="B803" s="79" t="str">
        <f>IF(Fourth!B56="", "",Fourth!B56)</f>
        <v>CSS</v>
      </c>
      <c r="C803" s="66" t="str">
        <f>IF(Fourth!C56="", "",Fourth!C56)</f>
        <v>Carer</v>
      </c>
      <c r="D803" s="66" t="str">
        <f>IF(Fourth!D56="", "",Fourth!D56)</f>
        <v>Returning</v>
      </c>
      <c r="E803" s="66" t="str">
        <f>IF(Fourth!E56="", "",Fourth!E56)</f>
        <v>Female</v>
      </c>
      <c r="F803" s="66" t="str">
        <f>IF(Fourth!F56="", "",Fourth!F56)</f>
        <v>Upper GI</v>
      </c>
      <c r="G803" s="66" t="str">
        <f>IF(Fourth!G56="", "",Fourth!G56)</f>
        <v>Curative Intent</v>
      </c>
      <c r="H803" s="66" t="str">
        <f>IF(Fourth!H56="", "",Fourth!H56)</f>
        <v>Booked</v>
      </c>
      <c r="I803" s="66" t="str">
        <f>IF(Fourth!I56="", "",Fourth!I56)</f>
        <v>Psych Support - Couple</v>
      </c>
      <c r="J803" s="66" t="str">
        <f>IF(Fourth!J56="", "",Fourth!J56)</f>
        <v/>
      </c>
      <c r="K803" s="86" t="str">
        <f>IF(Fourth!K56="", "",Fourth!K56)</f>
        <v/>
      </c>
      <c r="M803" s="67" t="str">
        <f t="shared" si="38"/>
        <v/>
      </c>
      <c r="N803" s="76">
        <f t="shared" si="39"/>
        <v>7</v>
      </c>
      <c r="O803" s="33">
        <f t="shared" si="37"/>
        <v>7</v>
      </c>
    </row>
    <row r="804" spans="1:15" x14ac:dyDescent="0.25">
      <c r="A804" s="64" t="s">
        <v>179</v>
      </c>
      <c r="B804" s="79" t="str">
        <f>IF(Fourth!B57="", "",Fourth!B57)</f>
        <v>CSS</v>
      </c>
      <c r="C804" s="66" t="str">
        <f>IF(Fourth!C57="", "",Fourth!C57)</f>
        <v>Carer</v>
      </c>
      <c r="D804" s="66" t="str">
        <f>IF(Fourth!D57="", "",Fourth!D57)</f>
        <v>Returning</v>
      </c>
      <c r="E804" s="66" t="str">
        <f>IF(Fourth!E57="", "",Fourth!E57)</f>
        <v>Male</v>
      </c>
      <c r="F804" s="66" t="str">
        <f>IF(Fourth!F57="", "",Fourth!F57)</f>
        <v>Upper GI</v>
      </c>
      <c r="G804" s="66" t="str">
        <f>IF(Fourth!G57="", "",Fourth!G57)</f>
        <v>Non-Curative Intent</v>
      </c>
      <c r="H804" s="66" t="str">
        <f>IF(Fourth!H57="", "",Fourth!H57)</f>
        <v>Booked</v>
      </c>
      <c r="I804" s="66" t="str">
        <f>IF(Fourth!I57="", "",Fourth!I57)</f>
        <v>Psych Support - Individual</v>
      </c>
      <c r="J804" s="66" t="str">
        <f>IF(Fourth!J57="", "",Fourth!J57)</f>
        <v/>
      </c>
      <c r="K804" s="86" t="str">
        <f>IF(Fourth!K57="", "",Fourth!K57)</f>
        <v/>
      </c>
      <c r="M804" s="67" t="str">
        <f t="shared" si="38"/>
        <v/>
      </c>
      <c r="N804" s="76">
        <f t="shared" si="39"/>
        <v>7</v>
      </c>
      <c r="O804" s="33">
        <f t="shared" si="37"/>
        <v>7</v>
      </c>
    </row>
    <row r="805" spans="1:15" x14ac:dyDescent="0.25">
      <c r="A805" s="64" t="s">
        <v>179</v>
      </c>
      <c r="B805" s="79" t="str">
        <f>IF(Fourth!B58="", "",Fourth!B58)</f>
        <v>CSS</v>
      </c>
      <c r="C805" s="66" t="str">
        <f>IF(Fourth!C58="", "",Fourth!C58)</f>
        <v>Carer</v>
      </c>
      <c r="D805" s="66" t="str">
        <f>IF(Fourth!D58="", "",Fourth!D58)</f>
        <v>Returning</v>
      </c>
      <c r="E805" s="66" t="str">
        <f>IF(Fourth!E58="", "",Fourth!E58)</f>
        <v>Female</v>
      </c>
      <c r="F805" s="66" t="str">
        <f>IF(Fourth!F58="", "",Fourth!F58)</f>
        <v>Brain/CNS</v>
      </c>
      <c r="G805" s="66" t="str">
        <f>IF(Fourth!G58="", "",Fourth!G58)</f>
        <v>Curative Intent</v>
      </c>
      <c r="H805" s="66" t="str">
        <f>IF(Fourth!H58="", "",Fourth!H58)</f>
        <v>Drop-In</v>
      </c>
      <c r="I805" s="66" t="str">
        <f>IF(Fourth!I58="", "",Fourth!I58)</f>
        <v/>
      </c>
      <c r="J805" s="66" t="str">
        <f>IF(Fourth!J58="", "",Fourth!J58)</f>
        <v/>
      </c>
      <c r="K805" s="86" t="str">
        <f>IF(Fourth!K58="", "",Fourth!K58)</f>
        <v/>
      </c>
      <c r="M805" s="67" t="str">
        <f t="shared" si="38"/>
        <v/>
      </c>
      <c r="N805" s="76">
        <f t="shared" si="39"/>
        <v>7</v>
      </c>
      <c r="O805" s="33">
        <f t="shared" si="37"/>
        <v>7</v>
      </c>
    </row>
    <row r="806" spans="1:15" x14ac:dyDescent="0.25">
      <c r="A806" s="64" t="s">
        <v>179</v>
      </c>
      <c r="B806" s="79" t="str">
        <f>IF(Fourth!B59="", "",Fourth!B59)</f>
        <v>CSS</v>
      </c>
      <c r="C806" s="66" t="str">
        <f>IF(Fourth!C59="", "",Fourth!C59)</f>
        <v>PwC</v>
      </c>
      <c r="D806" s="66" t="str">
        <f>IF(Fourth!D59="", "",Fourth!D59)</f>
        <v>Returning</v>
      </c>
      <c r="E806" s="66" t="str">
        <f>IF(Fourth!E59="", "",Fourth!E59)</f>
        <v>Female</v>
      </c>
      <c r="F806" s="66" t="str">
        <f>IF(Fourth!F59="", "",Fourth!F59)</f>
        <v>Breast</v>
      </c>
      <c r="G806" s="66" t="str">
        <f>IF(Fourth!G59="", "",Fourth!G59)</f>
        <v>Curative Intent</v>
      </c>
      <c r="H806" s="66" t="str">
        <f>IF(Fourth!H59="", "",Fourth!H59)</f>
        <v>Drop-In</v>
      </c>
      <c r="I806" s="66" t="str">
        <f>IF(Fourth!I59="", "",Fourth!I59)</f>
        <v/>
      </c>
      <c r="J806" s="66" t="str">
        <f>IF(Fourth!J59="", "",Fourth!J59)</f>
        <v/>
      </c>
      <c r="K806" s="86" t="str">
        <f>IF(Fourth!K59="", "",Fourth!K59)</f>
        <v/>
      </c>
      <c r="M806" s="67">
        <f t="shared" si="38"/>
        <v>7</v>
      </c>
      <c r="N806" s="76" t="str">
        <f t="shared" si="39"/>
        <v/>
      </c>
      <c r="O806" s="33">
        <f t="shared" si="37"/>
        <v>7</v>
      </c>
    </row>
    <row r="807" spans="1:15" x14ac:dyDescent="0.25">
      <c r="A807" s="64" t="s">
        <v>179</v>
      </c>
      <c r="B807" s="79" t="str">
        <f>IF(Fourth!B60="", "",Fourth!B60)</f>
        <v>CSS</v>
      </c>
      <c r="C807" s="66" t="str">
        <f>IF(Fourth!C60="", "",Fourth!C60)</f>
        <v>PwC</v>
      </c>
      <c r="D807" s="66" t="str">
        <f>IF(Fourth!D60="", "",Fourth!D60)</f>
        <v>Returning</v>
      </c>
      <c r="E807" s="66" t="str">
        <f>IF(Fourth!E60="", "",Fourth!E60)</f>
        <v>Female</v>
      </c>
      <c r="F807" s="66" t="str">
        <f>IF(Fourth!F60="", "",Fourth!F60)</f>
        <v>Urolog</v>
      </c>
      <c r="G807" s="66" t="str">
        <f>IF(Fourth!G60="", "",Fourth!G60)</f>
        <v>Non-Curative Intent</v>
      </c>
      <c r="H807" s="66" t="str">
        <f>IF(Fourth!H60="", "",Fourth!H60)</f>
        <v>Drop-In</v>
      </c>
      <c r="I807" s="66" t="str">
        <f>IF(Fourth!I60="", "",Fourth!I60)</f>
        <v/>
      </c>
      <c r="J807" s="66" t="str">
        <f>IF(Fourth!J60="", "",Fourth!J60)</f>
        <v/>
      </c>
      <c r="K807" s="86" t="str">
        <f>IF(Fourth!K60="", "",Fourth!K60)</f>
        <v/>
      </c>
      <c r="M807" s="67">
        <f t="shared" si="38"/>
        <v>7</v>
      </c>
      <c r="N807" s="76" t="str">
        <f t="shared" si="39"/>
        <v/>
      </c>
      <c r="O807" s="33">
        <f t="shared" si="37"/>
        <v>7</v>
      </c>
    </row>
    <row r="808" spans="1:15" x14ac:dyDescent="0.25">
      <c r="A808" s="64" t="s">
        <v>179</v>
      </c>
      <c r="B808" s="79" t="str">
        <f>IF(Fourth!B61="", "",Fourth!B61)</f>
        <v>CSS</v>
      </c>
      <c r="C808" s="66" t="str">
        <f>IF(Fourth!C61="", "",Fourth!C61)</f>
        <v>Carer</v>
      </c>
      <c r="D808" s="66" t="str">
        <f>IF(Fourth!D61="", "",Fourth!D61)</f>
        <v>Returning</v>
      </c>
      <c r="E808" s="66" t="str">
        <f>IF(Fourth!E61="", "",Fourth!E61)</f>
        <v>Female</v>
      </c>
      <c r="F808" s="66" t="str">
        <f>IF(Fourth!F61="", "",Fourth!F61)</f>
        <v>Haemat</v>
      </c>
      <c r="G808" s="66" t="str">
        <f>IF(Fourth!G61="", "",Fourth!G61)</f>
        <v>Bereaved</v>
      </c>
      <c r="H808" s="66" t="str">
        <f>IF(Fourth!H61="", "",Fourth!H61)</f>
        <v>Drop-In</v>
      </c>
      <c r="I808" s="66" t="str">
        <f>IF(Fourth!I61="", "",Fourth!I61)</f>
        <v/>
      </c>
      <c r="J808" s="66" t="str">
        <f>IF(Fourth!J61="", "",Fourth!J61)</f>
        <v/>
      </c>
      <c r="K808" s="86" t="str">
        <f>IF(Fourth!K61="", "",Fourth!K61)</f>
        <v/>
      </c>
      <c r="M808" s="67" t="str">
        <f t="shared" si="38"/>
        <v/>
      </c>
      <c r="N808" s="76">
        <f t="shared" si="39"/>
        <v>7</v>
      </c>
      <c r="O808" s="33">
        <f t="shared" si="37"/>
        <v>7</v>
      </c>
    </row>
    <row r="809" spans="1:15" x14ac:dyDescent="0.25">
      <c r="A809" s="64" t="s">
        <v>179</v>
      </c>
      <c r="B809" s="79" t="str">
        <f>IF(Fourth!B62="", "",Fourth!B62)</f>
        <v>CSS</v>
      </c>
      <c r="C809" s="66" t="str">
        <f>IF(Fourth!C62="", "",Fourth!C62)</f>
        <v>PwC</v>
      </c>
      <c r="D809" s="66" t="str">
        <f>IF(Fourth!D62="", "",Fourth!D62)</f>
        <v>Returning</v>
      </c>
      <c r="E809" s="66" t="str">
        <f>IF(Fourth!E62="", "",Fourth!E62)</f>
        <v>Male</v>
      </c>
      <c r="F809" s="66" t="str">
        <f>IF(Fourth!F62="", "",Fourth!F62)</f>
        <v>Not Stated</v>
      </c>
      <c r="G809" s="66" t="str">
        <f>IF(Fourth!G62="", "",Fourth!G62)</f>
        <v>Curative Intent</v>
      </c>
      <c r="H809" s="66" t="str">
        <f>IF(Fourth!H62="", "",Fourth!H62)</f>
        <v>Drop-In</v>
      </c>
      <c r="I809" s="66" t="str">
        <f>IF(Fourth!I62="", "",Fourth!I62)</f>
        <v/>
      </c>
      <c r="J809" s="66" t="str">
        <f>IF(Fourth!J62="", "",Fourth!J62)</f>
        <v/>
      </c>
      <c r="K809" s="86" t="str">
        <f>IF(Fourth!K62="", "",Fourth!K62)</f>
        <v/>
      </c>
      <c r="M809" s="67">
        <f t="shared" si="38"/>
        <v>7</v>
      </c>
      <c r="N809" s="76" t="str">
        <f t="shared" si="39"/>
        <v/>
      </c>
      <c r="O809" s="33">
        <f t="shared" si="37"/>
        <v>7</v>
      </c>
    </row>
    <row r="810" spans="1:15" x14ac:dyDescent="0.25">
      <c r="A810" s="64" t="s">
        <v>179</v>
      </c>
      <c r="B810" s="79" t="str">
        <f>IF(Fourth!B63="", "",Fourth!B63)</f>
        <v>Sessional Staff</v>
      </c>
      <c r="C810" s="66" t="str">
        <f>IF(Fourth!C63="", "",Fourth!C63)</f>
        <v>PwC</v>
      </c>
      <c r="D810" s="66" t="str">
        <f>IF(Fourth!D63="", "",Fourth!D63)</f>
        <v>Returning</v>
      </c>
      <c r="E810" s="66" t="str">
        <f>IF(Fourth!E63="", "",Fourth!E63)</f>
        <v>Female</v>
      </c>
      <c r="F810" s="66" t="str">
        <f>IF(Fourth!F63="", "",Fourth!F63)</f>
        <v>Lower GI</v>
      </c>
      <c r="G810" s="66" t="str">
        <f>IF(Fourth!G63="", "",Fourth!G63)</f>
        <v>Not Stated</v>
      </c>
      <c r="H810" s="66" t="str">
        <f>IF(Fourth!H63="", "",Fourth!H63)</f>
        <v>Programme</v>
      </c>
      <c r="I810" s="66" t="str">
        <f>IF(Fourth!I63="", "",Fourth!I63)</f>
        <v>Nutrition</v>
      </c>
      <c r="J810" s="66" t="str">
        <f>IF(Fourth!J63="", "",Fourth!J63)</f>
        <v/>
      </c>
      <c r="K810" s="86" t="str">
        <f>IF(Fourth!K63="", "",Fourth!K63)</f>
        <v/>
      </c>
      <c r="M810" s="67">
        <f t="shared" si="38"/>
        <v>7</v>
      </c>
      <c r="N810" s="76" t="str">
        <f t="shared" si="39"/>
        <v/>
      </c>
      <c r="O810" s="33">
        <f t="shared" si="37"/>
        <v>7</v>
      </c>
    </row>
    <row r="811" spans="1:15" x14ac:dyDescent="0.25">
      <c r="A811" s="64" t="s">
        <v>179</v>
      </c>
      <c r="B811" s="79" t="str">
        <f>IF(Fourth!B64="", "",Fourth!B64)</f>
        <v>Sessional Staff</v>
      </c>
      <c r="C811" s="66" t="str">
        <f>IF(Fourth!C64="", "",Fourth!C64)</f>
        <v>Carer</v>
      </c>
      <c r="D811" s="66" t="str">
        <f>IF(Fourth!D64="", "",Fourth!D64)</f>
        <v>Returning</v>
      </c>
      <c r="E811" s="66" t="str">
        <f>IF(Fourth!E64="", "",Fourth!E64)</f>
        <v>Female</v>
      </c>
      <c r="F811" s="66" t="str">
        <f>IF(Fourth!F64="", "",Fourth!F64)</f>
        <v>Lower GI</v>
      </c>
      <c r="G811" s="66" t="str">
        <f>IF(Fourth!G64="", "",Fourth!G64)</f>
        <v>Not Stated</v>
      </c>
      <c r="H811" s="66" t="str">
        <f>IF(Fourth!H64="", "",Fourth!H64)</f>
        <v>Programme</v>
      </c>
      <c r="I811" s="66" t="str">
        <f>IF(Fourth!I64="", "",Fourth!I64)</f>
        <v>Nutrition</v>
      </c>
      <c r="J811" s="66" t="str">
        <f>IF(Fourth!J64="", "",Fourth!J64)</f>
        <v/>
      </c>
      <c r="K811" s="86" t="str">
        <f>IF(Fourth!K64="", "",Fourth!K64)</f>
        <v/>
      </c>
      <c r="M811" s="67" t="str">
        <f t="shared" si="38"/>
        <v/>
      </c>
      <c r="N811" s="76">
        <f t="shared" si="39"/>
        <v>7</v>
      </c>
      <c r="O811" s="33">
        <f t="shared" si="37"/>
        <v>7</v>
      </c>
    </row>
    <row r="812" spans="1:15" x14ac:dyDescent="0.25">
      <c r="A812" s="64" t="s">
        <v>179</v>
      </c>
      <c r="B812" s="79" t="str">
        <f>IF(Fourth!B65="", "",Fourth!B65)</f>
        <v>CSS</v>
      </c>
      <c r="C812" s="66" t="str">
        <f>IF(Fourth!C65="", "",Fourth!C65)</f>
        <v>PwC</v>
      </c>
      <c r="D812" s="66" t="str">
        <f>IF(Fourth!D65="", "",Fourth!D65)</f>
        <v>Returning</v>
      </c>
      <c r="E812" s="66" t="str">
        <f>IF(Fourth!E65="", "",Fourth!E65)</f>
        <v>Female</v>
      </c>
      <c r="F812" s="66" t="str">
        <f>IF(Fourth!F65="", "",Fourth!F65)</f>
        <v>Breast</v>
      </c>
      <c r="G812" s="66" t="str">
        <f>IF(Fourth!G65="", "",Fourth!G65)</f>
        <v>Curative Intent</v>
      </c>
      <c r="H812" s="66" t="str">
        <f>IF(Fourth!H65="", "",Fourth!H65)</f>
        <v>Drop-In</v>
      </c>
      <c r="I812" s="66" t="str">
        <f>IF(Fourth!I65="", "",Fourth!I65)</f>
        <v/>
      </c>
      <c r="J812" s="66" t="str">
        <f>IF(Fourth!J65="", "",Fourth!J65)</f>
        <v/>
      </c>
      <c r="K812" s="86" t="str">
        <f>IF(Fourth!K65="", "",Fourth!K65)</f>
        <v/>
      </c>
      <c r="M812" s="67">
        <f t="shared" si="38"/>
        <v>7</v>
      </c>
      <c r="N812" s="76" t="str">
        <f t="shared" si="39"/>
        <v/>
      </c>
      <c r="O812" s="33">
        <f t="shared" si="37"/>
        <v>7</v>
      </c>
    </row>
    <row r="813" spans="1:15" x14ac:dyDescent="0.25">
      <c r="A813" s="64" t="s">
        <v>179</v>
      </c>
      <c r="B813" s="79" t="str">
        <f>IF(Fourth!B66="", "",Fourth!B66)</f>
        <v>CSS</v>
      </c>
      <c r="C813" s="66" t="str">
        <f>IF(Fourth!C66="", "",Fourth!C66)</f>
        <v>Carer</v>
      </c>
      <c r="D813" s="66" t="str">
        <f>IF(Fourth!D66="", "",Fourth!D66)</f>
        <v>New</v>
      </c>
      <c r="E813" s="66" t="str">
        <f>IF(Fourth!E66="", "",Fourth!E66)</f>
        <v>Female</v>
      </c>
      <c r="F813" s="66" t="str">
        <f>IF(Fourth!F66="", "",Fourth!F66)</f>
        <v>Breast</v>
      </c>
      <c r="G813" s="66" t="str">
        <f>IF(Fourth!G66="", "",Fourth!G66)</f>
        <v>Curative Intent</v>
      </c>
      <c r="H813" s="66" t="str">
        <f>IF(Fourth!H66="", "",Fourth!H66)</f>
        <v>Drop-In</v>
      </c>
      <c r="I813" s="66" t="str">
        <f>IF(Fourth!I66="", "",Fourth!I66)</f>
        <v/>
      </c>
      <c r="J813" s="66" t="str">
        <f>IF(Fourth!J66="", "",Fourth!J66)</f>
        <v/>
      </c>
      <c r="K813" s="86" t="str">
        <f>IF(Fourth!K66="", "",Fourth!K66)</f>
        <v/>
      </c>
      <c r="M813" s="67" t="str">
        <f t="shared" si="38"/>
        <v/>
      </c>
      <c r="N813" s="76">
        <f t="shared" si="39"/>
        <v>7</v>
      </c>
      <c r="O813" s="33">
        <f t="shared" si="37"/>
        <v>7</v>
      </c>
    </row>
    <row r="814" spans="1:15" x14ac:dyDescent="0.25">
      <c r="A814" s="64" t="s">
        <v>179</v>
      </c>
      <c r="B814" s="79" t="str">
        <f>IF(Fourth!B67="", "",Fourth!B67)</f>
        <v>CSS</v>
      </c>
      <c r="C814" s="66" t="str">
        <f>IF(Fourth!C67="", "",Fourth!C67)</f>
        <v>Carer</v>
      </c>
      <c r="D814" s="66" t="str">
        <f>IF(Fourth!D67="", "",Fourth!D67)</f>
        <v>New</v>
      </c>
      <c r="E814" s="66" t="str">
        <f>IF(Fourth!E67="", "",Fourth!E67)</f>
        <v>Female</v>
      </c>
      <c r="F814" s="66" t="str">
        <f>IF(Fourth!F67="", "",Fourth!F67)</f>
        <v>Breast</v>
      </c>
      <c r="G814" s="66" t="str">
        <f>IF(Fourth!G67="", "",Fourth!G67)</f>
        <v>Bereaved</v>
      </c>
      <c r="H814" s="66" t="str">
        <f>IF(Fourth!H67="", "",Fourth!H67)</f>
        <v>Drop-In</v>
      </c>
      <c r="I814" s="66" t="str">
        <f>IF(Fourth!I67="", "",Fourth!I67)</f>
        <v/>
      </c>
      <c r="J814" s="66" t="str">
        <f>IF(Fourth!J67="", "",Fourth!J67)</f>
        <v/>
      </c>
      <c r="K814" s="86" t="str">
        <f>IF(Fourth!K67="", "",Fourth!K67)</f>
        <v/>
      </c>
      <c r="M814" s="67" t="str">
        <f t="shared" si="38"/>
        <v/>
      </c>
      <c r="N814" s="76">
        <f t="shared" si="39"/>
        <v>7</v>
      </c>
      <c r="O814" s="33">
        <f t="shared" si="37"/>
        <v>7</v>
      </c>
    </row>
    <row r="815" spans="1:15" x14ac:dyDescent="0.25">
      <c r="A815" s="64" t="s">
        <v>179</v>
      </c>
      <c r="B815" s="79" t="str">
        <f>IF(Fourth!B68="", "",Fourth!B68)</f>
        <v>CSS</v>
      </c>
      <c r="C815" s="66" t="str">
        <f>IF(Fourth!C68="", "",Fourth!C68)</f>
        <v>PwC</v>
      </c>
      <c r="D815" s="66" t="str">
        <f>IF(Fourth!D68="", "",Fourth!D68)</f>
        <v>New</v>
      </c>
      <c r="E815" s="66" t="str">
        <f>IF(Fourth!E68="", "",Fourth!E68)</f>
        <v>Male</v>
      </c>
      <c r="F815" s="66" t="str">
        <f>IF(Fourth!F68="", "",Fourth!F68)</f>
        <v>Not Stated</v>
      </c>
      <c r="G815" s="66" t="str">
        <f>IF(Fourth!G68="", "",Fourth!G68)</f>
        <v>Curative Intent</v>
      </c>
      <c r="H815" s="66" t="str">
        <f>IF(Fourth!H68="", "",Fourth!H68)</f>
        <v>Drop-In</v>
      </c>
      <c r="I815" s="66" t="str">
        <f>IF(Fourth!I68="", "",Fourth!I68)</f>
        <v/>
      </c>
      <c r="J815" s="66" t="str">
        <f>IF(Fourth!J68="", "",Fourth!J68)</f>
        <v/>
      </c>
      <c r="K815" s="86" t="str">
        <f>IF(Fourth!K68="", "",Fourth!K68)</f>
        <v/>
      </c>
      <c r="M815" s="67">
        <f t="shared" si="38"/>
        <v>7</v>
      </c>
      <c r="N815" s="76" t="str">
        <f t="shared" si="39"/>
        <v/>
      </c>
      <c r="O815" s="33">
        <f t="shared" si="37"/>
        <v>7</v>
      </c>
    </row>
    <row r="816" spans="1:15" x14ac:dyDescent="0.25">
      <c r="A816" s="64" t="s">
        <v>179</v>
      </c>
      <c r="B816" s="79" t="str">
        <f>IF(Fourth!B69="", "",Fourth!B69)</f>
        <v>CSS</v>
      </c>
      <c r="C816" s="66" t="str">
        <f>IF(Fourth!C69="", "",Fourth!C69)</f>
        <v>Carer</v>
      </c>
      <c r="D816" s="66" t="str">
        <f>IF(Fourth!D69="", "",Fourth!D69)</f>
        <v>New</v>
      </c>
      <c r="E816" s="66" t="str">
        <f>IF(Fourth!E69="", "",Fourth!E69)</f>
        <v>Female</v>
      </c>
      <c r="F816" s="66" t="str">
        <f>IF(Fourth!F69="", "",Fourth!F69)</f>
        <v>Not Stated</v>
      </c>
      <c r="G816" s="66" t="str">
        <f>IF(Fourth!G69="", "",Fourth!G69)</f>
        <v>Curative Intent</v>
      </c>
      <c r="H816" s="66" t="str">
        <f>IF(Fourth!H69="", "",Fourth!H69)</f>
        <v>Drop-In</v>
      </c>
      <c r="I816" s="66" t="str">
        <f>IF(Fourth!I69="", "",Fourth!I69)</f>
        <v/>
      </c>
      <c r="J816" s="66" t="str">
        <f>IF(Fourth!J69="", "",Fourth!J69)</f>
        <v/>
      </c>
      <c r="K816" s="86" t="str">
        <f>IF(Fourth!K69="", "",Fourth!K69)</f>
        <v/>
      </c>
      <c r="M816" s="67" t="str">
        <f t="shared" si="38"/>
        <v/>
      </c>
      <c r="N816" s="76">
        <f t="shared" si="39"/>
        <v>7</v>
      </c>
      <c r="O816" s="33">
        <f t="shared" si="37"/>
        <v>7</v>
      </c>
    </row>
    <row r="817" spans="1:15" x14ac:dyDescent="0.25">
      <c r="A817" s="64" t="s">
        <v>179</v>
      </c>
      <c r="B817" s="79" t="str">
        <f>IF(Fourth!B70="", "",Fourth!B70)</f>
        <v>Psychologist</v>
      </c>
      <c r="C817" s="66" t="str">
        <f>IF(Fourth!C70="", "",Fourth!C70)</f>
        <v>PwC</v>
      </c>
      <c r="D817" s="66" t="str">
        <f>IF(Fourth!D70="", "",Fourth!D70)</f>
        <v>Returning</v>
      </c>
      <c r="E817" s="66" t="str">
        <f>IF(Fourth!E70="", "",Fourth!E70)</f>
        <v>Female</v>
      </c>
      <c r="F817" s="66" t="str">
        <f>IF(Fourth!F70="", "",Fourth!F70)</f>
        <v>Lung</v>
      </c>
      <c r="G817" s="66" t="str">
        <f>IF(Fourth!G70="", "",Fourth!G70)</f>
        <v>Post Treatment - Curative Intent</v>
      </c>
      <c r="H817" s="66" t="str">
        <f>IF(Fourth!H70="", "",Fourth!H70)</f>
        <v>Booked</v>
      </c>
      <c r="I817" s="66" t="str">
        <f>IF(Fourth!I70="", "",Fourth!I70)</f>
        <v>Psych Support - Individual</v>
      </c>
      <c r="J817" s="66" t="str">
        <f>IF(Fourth!J70="", "",Fourth!J70)</f>
        <v/>
      </c>
      <c r="K817" s="86" t="str">
        <f>IF(Fourth!K70="", "",Fourth!K70)</f>
        <v/>
      </c>
      <c r="M817" s="67">
        <f t="shared" si="38"/>
        <v>7</v>
      </c>
      <c r="N817" s="76" t="str">
        <f t="shared" si="39"/>
        <v/>
      </c>
      <c r="O817" s="33">
        <f t="shared" si="37"/>
        <v>7</v>
      </c>
    </row>
    <row r="818" spans="1:15" x14ac:dyDescent="0.25">
      <c r="A818" s="64" t="s">
        <v>179</v>
      </c>
      <c r="B818" s="79" t="str">
        <f>IF(Fourth!B71="", "",Fourth!B71)</f>
        <v>Psychologist</v>
      </c>
      <c r="C818" s="66" t="str">
        <f>IF(Fourth!C71="", "",Fourth!C71)</f>
        <v>PwC</v>
      </c>
      <c r="D818" s="66" t="str">
        <f>IF(Fourth!D71="", "",Fourth!D71)</f>
        <v>New</v>
      </c>
      <c r="E818" s="66" t="str">
        <f>IF(Fourth!E71="", "",Fourth!E71)</f>
        <v>Female</v>
      </c>
      <c r="F818" s="66" t="str">
        <f>IF(Fourth!F71="", "",Fourth!F71)</f>
        <v>Lower GI</v>
      </c>
      <c r="G818" s="66" t="str">
        <f>IF(Fourth!G71="", "",Fourth!G71)</f>
        <v>Post Treatment - Curative Intent</v>
      </c>
      <c r="H818" s="66" t="str">
        <f>IF(Fourth!H71="", "",Fourth!H71)</f>
        <v>Programme</v>
      </c>
      <c r="I818" s="66" t="str">
        <f>IF(Fourth!I71="", "",Fourth!I71)</f>
        <v>Psych Support - Individual</v>
      </c>
      <c r="J818" s="66" t="str">
        <f>IF(Fourth!J71="", "",Fourth!J71)</f>
        <v/>
      </c>
      <c r="K818" s="86" t="str">
        <f>IF(Fourth!K71="", "",Fourth!K71)</f>
        <v/>
      </c>
      <c r="M818" s="67">
        <f t="shared" si="38"/>
        <v>7</v>
      </c>
      <c r="N818" s="76" t="str">
        <f t="shared" si="39"/>
        <v/>
      </c>
      <c r="O818" s="33">
        <f t="shared" si="37"/>
        <v>7</v>
      </c>
    </row>
    <row r="819" spans="1:15" x14ac:dyDescent="0.25">
      <c r="A819" s="64" t="s">
        <v>179</v>
      </c>
      <c r="B819" s="79" t="str">
        <f>IF(Fourth!B72="", "",Fourth!B72)</f>
        <v>Psychologist</v>
      </c>
      <c r="C819" s="66" t="str">
        <f>IF(Fourth!C72="", "",Fourth!C72)</f>
        <v>Carer</v>
      </c>
      <c r="D819" s="66" t="str">
        <f>IF(Fourth!D72="", "",Fourth!D72)</f>
        <v>Returning</v>
      </c>
      <c r="E819" s="66" t="str">
        <f>IF(Fourth!E72="", "",Fourth!E72)</f>
        <v>Female</v>
      </c>
      <c r="F819" s="66" t="str">
        <f>IF(Fourth!F72="", "",Fourth!F72)</f>
        <v>Breast</v>
      </c>
      <c r="G819" s="66" t="str">
        <f>IF(Fourth!G72="", "",Fourth!G72)</f>
        <v>Non-Curative Intent</v>
      </c>
      <c r="H819" s="66" t="str">
        <f>IF(Fourth!H72="", "",Fourth!H72)</f>
        <v>Programme</v>
      </c>
      <c r="I819" s="66" t="str">
        <f>IF(Fourth!I72="", "",Fourth!I72)</f>
        <v>FSG Family and Friends</v>
      </c>
      <c r="J819" s="66" t="str">
        <f>IF(Fourth!J72="", "",Fourth!J72)</f>
        <v/>
      </c>
      <c r="K819" s="86" t="str">
        <f>IF(Fourth!K72="", "",Fourth!K72)</f>
        <v/>
      </c>
      <c r="M819" s="67" t="str">
        <f t="shared" si="38"/>
        <v/>
      </c>
      <c r="N819" s="76">
        <f t="shared" si="39"/>
        <v>7</v>
      </c>
      <c r="O819" s="33">
        <f t="shared" si="37"/>
        <v>7</v>
      </c>
    </row>
    <row r="820" spans="1:15" x14ac:dyDescent="0.25">
      <c r="A820" s="64" t="s">
        <v>179</v>
      </c>
      <c r="B820" s="79" t="str">
        <f>IF(Fourth!B73="", "",Fourth!B73)</f>
        <v>Psychologist</v>
      </c>
      <c r="C820" s="66" t="str">
        <f>IF(Fourth!C73="", "",Fourth!C73)</f>
        <v>Carer</v>
      </c>
      <c r="D820" s="66" t="str">
        <f>IF(Fourth!D73="", "",Fourth!D73)</f>
        <v>Returning</v>
      </c>
      <c r="E820" s="66" t="str">
        <f>IF(Fourth!E73="", "",Fourth!E73)</f>
        <v>Female</v>
      </c>
      <c r="F820" s="66" t="str">
        <f>IF(Fourth!F73="", "",Fourth!F73)</f>
        <v>Haemat</v>
      </c>
      <c r="G820" s="66" t="str">
        <f>IF(Fourth!G73="", "",Fourth!G73)</f>
        <v>Non-Curative Intent</v>
      </c>
      <c r="H820" s="66" t="str">
        <f>IF(Fourth!H73="", "",Fourth!H73)</f>
        <v>Programme</v>
      </c>
      <c r="I820" s="66" t="str">
        <f>IF(Fourth!I73="", "",Fourth!I73)</f>
        <v>FSG Family and Friends</v>
      </c>
      <c r="J820" s="66" t="str">
        <f>IF(Fourth!J73="", "",Fourth!J73)</f>
        <v/>
      </c>
      <c r="K820" s="86" t="str">
        <f>IF(Fourth!K73="", "",Fourth!K73)</f>
        <v/>
      </c>
      <c r="M820" s="67" t="str">
        <f t="shared" si="38"/>
        <v/>
      </c>
      <c r="N820" s="76">
        <f t="shared" si="39"/>
        <v>7</v>
      </c>
      <c r="O820" s="33">
        <f t="shared" si="37"/>
        <v>7</v>
      </c>
    </row>
    <row r="821" spans="1:15" x14ac:dyDescent="0.25">
      <c r="A821" s="64" t="s">
        <v>179</v>
      </c>
      <c r="B821" s="79" t="str">
        <f>IF(Fourth!B74="", "",Fourth!B74)</f>
        <v>Psychologist</v>
      </c>
      <c r="C821" s="66" t="str">
        <f>IF(Fourth!C74="", "",Fourth!C74)</f>
        <v>Carer</v>
      </c>
      <c r="D821" s="66" t="str">
        <f>IF(Fourth!D74="", "",Fourth!D74)</f>
        <v>Returning</v>
      </c>
      <c r="E821" s="66" t="str">
        <f>IF(Fourth!E74="", "",Fourth!E74)</f>
        <v>Male</v>
      </c>
      <c r="F821" s="66" t="str">
        <f>IF(Fourth!F74="", "",Fourth!F74)</f>
        <v>Lower GI</v>
      </c>
      <c r="G821" s="66" t="str">
        <f>IF(Fourth!G74="", "",Fourth!G74)</f>
        <v>Non-Curative Intent</v>
      </c>
      <c r="H821" s="66" t="str">
        <f>IF(Fourth!H74="", "",Fourth!H74)</f>
        <v>Programme</v>
      </c>
      <c r="I821" s="66" t="str">
        <f>IF(Fourth!I74="", "",Fourth!I74)</f>
        <v>FSG Family and Friends</v>
      </c>
      <c r="J821" s="66" t="str">
        <f>IF(Fourth!J74="", "",Fourth!J74)</f>
        <v/>
      </c>
      <c r="K821" s="86" t="str">
        <f>IF(Fourth!K74="", "",Fourth!K74)</f>
        <v/>
      </c>
      <c r="M821" s="67" t="str">
        <f t="shared" si="38"/>
        <v/>
      </c>
      <c r="N821" s="76">
        <f t="shared" si="39"/>
        <v>7</v>
      </c>
      <c r="O821" s="33">
        <f t="shared" si="37"/>
        <v>7</v>
      </c>
    </row>
    <row r="822" spans="1:15" x14ac:dyDescent="0.25">
      <c r="A822" s="64" t="s">
        <v>179</v>
      </c>
      <c r="B822" s="79" t="str">
        <f>IF(Fourth!B75="", "",Fourth!B75)</f>
        <v>Psychologist</v>
      </c>
      <c r="C822" s="66" t="str">
        <f>IF(Fourth!C75="", "",Fourth!C75)</f>
        <v>Carer</v>
      </c>
      <c r="D822" s="66" t="str">
        <f>IF(Fourth!D75="", "",Fourth!D75)</f>
        <v>Returning</v>
      </c>
      <c r="E822" s="66" t="str">
        <f>IF(Fourth!E75="", "",Fourth!E75)</f>
        <v>Male</v>
      </c>
      <c r="F822" s="66" t="str">
        <f>IF(Fourth!F75="", "",Fourth!F75)</f>
        <v>Haemat</v>
      </c>
      <c r="G822" s="66" t="str">
        <f>IF(Fourth!G75="", "",Fourth!G75)</f>
        <v>Non-Curative Intent</v>
      </c>
      <c r="H822" s="66" t="str">
        <f>IF(Fourth!H75="", "",Fourth!H75)</f>
        <v>Programme</v>
      </c>
      <c r="I822" s="66" t="str">
        <f>IF(Fourth!I75="", "",Fourth!I75)</f>
        <v>FSG Family and Friends</v>
      </c>
      <c r="J822" s="66" t="str">
        <f>IF(Fourth!J75="", "",Fourth!J75)</f>
        <v/>
      </c>
      <c r="K822" s="86" t="str">
        <f>IF(Fourth!K75="", "",Fourth!K75)</f>
        <v/>
      </c>
      <c r="M822" s="67" t="str">
        <f t="shared" si="38"/>
        <v/>
      </c>
      <c r="N822" s="76">
        <f t="shared" si="39"/>
        <v>7</v>
      </c>
      <c r="O822" s="33">
        <f t="shared" si="37"/>
        <v>7</v>
      </c>
    </row>
    <row r="823" spans="1:15" x14ac:dyDescent="0.25">
      <c r="A823" s="64" t="s">
        <v>179</v>
      </c>
      <c r="B823" s="79" t="str">
        <f>IF(Fourth!B76="", "",Fourth!B76)</f>
        <v>Psychologist</v>
      </c>
      <c r="C823" s="66" t="str">
        <f>IF(Fourth!C76="", "",Fourth!C76)</f>
        <v>Carer</v>
      </c>
      <c r="D823" s="66" t="str">
        <f>IF(Fourth!D76="", "",Fourth!D76)</f>
        <v>Returning</v>
      </c>
      <c r="E823" s="66" t="str">
        <f>IF(Fourth!E76="", "",Fourth!E76)</f>
        <v>Male</v>
      </c>
      <c r="F823" s="66" t="str">
        <f>IF(Fourth!F76="", "",Fourth!F76)</f>
        <v>Brain/CNS</v>
      </c>
      <c r="G823" s="66" t="str">
        <f>IF(Fourth!G76="", "",Fourth!G76)</f>
        <v>Bereaved</v>
      </c>
      <c r="H823" s="66" t="str">
        <f>IF(Fourth!H76="", "",Fourth!H76)</f>
        <v>Booked</v>
      </c>
      <c r="I823" s="66" t="str">
        <f>IF(Fourth!I76="", "",Fourth!I76)</f>
        <v>Psych Support - Individual</v>
      </c>
      <c r="J823" s="66" t="str">
        <f>IF(Fourth!J76="", "",Fourth!J76)</f>
        <v/>
      </c>
      <c r="K823" s="86" t="str">
        <f>IF(Fourth!K76="", "",Fourth!K76)</f>
        <v/>
      </c>
      <c r="M823" s="67" t="str">
        <f t="shared" si="38"/>
        <v/>
      </c>
      <c r="N823" s="76">
        <f t="shared" si="39"/>
        <v>7</v>
      </c>
      <c r="O823" s="33">
        <f t="shared" si="37"/>
        <v>7</v>
      </c>
    </row>
    <row r="824" spans="1:15" x14ac:dyDescent="0.25">
      <c r="A824" s="64" t="s">
        <v>179</v>
      </c>
      <c r="B824" s="79" t="str">
        <f>IF(Fourth!B77="", "",Fourth!B77)</f>
        <v>Psychologist</v>
      </c>
      <c r="C824" s="66" t="str">
        <f>IF(Fourth!C77="", "",Fourth!C77)</f>
        <v>PwC</v>
      </c>
      <c r="D824" s="66" t="str">
        <f>IF(Fourth!D77="", "",Fourth!D77)</f>
        <v>Returning</v>
      </c>
      <c r="E824" s="66" t="str">
        <f>IF(Fourth!E77="", "",Fourth!E77)</f>
        <v>Male</v>
      </c>
      <c r="F824" s="66" t="str">
        <f>IF(Fourth!F77="", "",Fourth!F77)</f>
        <v>Prostate</v>
      </c>
      <c r="G824" s="66" t="str">
        <f>IF(Fourth!G77="", "",Fourth!G77)</f>
        <v>Non-Curative Intent</v>
      </c>
      <c r="H824" s="66" t="str">
        <f>IF(Fourth!H77="", "",Fourth!H77)</f>
        <v>Programme</v>
      </c>
      <c r="I824" s="66" t="str">
        <f>IF(Fourth!I77="", "",Fourth!I77)</f>
        <v>Creative Writing</v>
      </c>
      <c r="J824" s="66" t="str">
        <f>IF(Fourth!J77="", "",Fourth!J77)</f>
        <v/>
      </c>
      <c r="K824" s="86" t="str">
        <f>IF(Fourth!K77="", "",Fourth!K77)</f>
        <v/>
      </c>
      <c r="M824" s="67">
        <f t="shared" si="38"/>
        <v>7</v>
      </c>
      <c r="N824" s="76" t="str">
        <f t="shared" si="39"/>
        <v/>
      </c>
      <c r="O824" s="33">
        <f t="shared" si="37"/>
        <v>7</v>
      </c>
    </row>
    <row r="825" spans="1:15" x14ac:dyDescent="0.25">
      <c r="A825" s="64" t="s">
        <v>179</v>
      </c>
      <c r="B825" s="79" t="str">
        <f>IF(Fourth!B78="", "",Fourth!B78)</f>
        <v>Psychologist</v>
      </c>
      <c r="C825" s="66" t="str">
        <f>IF(Fourth!C78="", "",Fourth!C78)</f>
        <v>PwC</v>
      </c>
      <c r="D825" s="66" t="str">
        <f>IF(Fourth!D78="", "",Fourth!D78)</f>
        <v>Returning</v>
      </c>
      <c r="E825" s="66" t="str">
        <f>IF(Fourth!E78="", "",Fourth!E78)</f>
        <v>Female</v>
      </c>
      <c r="F825" s="66" t="str">
        <f>IF(Fourth!F78="", "",Fourth!F78)</f>
        <v>Breast</v>
      </c>
      <c r="G825" s="66" t="str">
        <f>IF(Fourth!G78="", "",Fourth!G78)</f>
        <v>Non-Curative Intent</v>
      </c>
      <c r="H825" s="66" t="str">
        <f>IF(Fourth!H78="", "",Fourth!H78)</f>
        <v>Programme</v>
      </c>
      <c r="I825" s="66" t="str">
        <f>IF(Fourth!I78="", "",Fourth!I78)</f>
        <v>Creative Writing</v>
      </c>
      <c r="J825" s="66" t="str">
        <f>IF(Fourth!J78="", "",Fourth!J78)</f>
        <v/>
      </c>
      <c r="K825" s="86" t="str">
        <f>IF(Fourth!K78="", "",Fourth!K78)</f>
        <v/>
      </c>
      <c r="M825" s="67">
        <f t="shared" si="38"/>
        <v>7</v>
      </c>
      <c r="N825" s="76" t="str">
        <f t="shared" si="39"/>
        <v/>
      </c>
      <c r="O825" s="33">
        <f t="shared" si="37"/>
        <v>7</v>
      </c>
    </row>
    <row r="826" spans="1:15" x14ac:dyDescent="0.25">
      <c r="A826" s="64" t="s">
        <v>179</v>
      </c>
      <c r="B826" s="79" t="str">
        <f>IF(Fourth!B79="", "",Fourth!B79)</f>
        <v>Psychologist</v>
      </c>
      <c r="C826" s="66" t="str">
        <f>IF(Fourth!C79="", "",Fourth!C79)</f>
        <v>PwC</v>
      </c>
      <c r="D826" s="66" t="str">
        <f>IF(Fourth!D79="", "",Fourth!D79)</f>
        <v>Returning</v>
      </c>
      <c r="E826" s="66" t="str">
        <f>IF(Fourth!E79="", "",Fourth!E79)</f>
        <v>Female</v>
      </c>
      <c r="F826" s="66" t="str">
        <f>IF(Fourth!F79="", "",Fourth!F79)</f>
        <v>Breast</v>
      </c>
      <c r="G826" s="66" t="str">
        <f>IF(Fourth!G79="", "",Fourth!G79)</f>
        <v>Non-Curative Intent</v>
      </c>
      <c r="H826" s="66" t="str">
        <f>IF(Fourth!H79="", "",Fourth!H79)</f>
        <v>Programme</v>
      </c>
      <c r="I826" s="66" t="str">
        <f>IF(Fourth!I79="", "",Fourth!I79)</f>
        <v>Creative Writing</v>
      </c>
      <c r="J826" s="66" t="str">
        <f>IF(Fourth!J79="", "",Fourth!J79)</f>
        <v/>
      </c>
      <c r="K826" s="86" t="str">
        <f>IF(Fourth!K79="", "",Fourth!K79)</f>
        <v/>
      </c>
      <c r="M826" s="67">
        <f t="shared" si="38"/>
        <v>7</v>
      </c>
      <c r="N826" s="76" t="str">
        <f t="shared" si="39"/>
        <v/>
      </c>
      <c r="O826" s="33">
        <f t="shared" si="37"/>
        <v>7</v>
      </c>
    </row>
    <row r="827" spans="1:15" x14ac:dyDescent="0.25">
      <c r="A827" s="64" t="s">
        <v>179</v>
      </c>
      <c r="B827" s="79" t="str">
        <f>IF(Fourth!B80="", "",Fourth!B80)</f>
        <v>Psychologist</v>
      </c>
      <c r="C827" s="66" t="str">
        <f>IF(Fourth!C80="", "",Fourth!C80)</f>
        <v>PwC</v>
      </c>
      <c r="D827" s="66" t="str">
        <f>IF(Fourth!D80="", "",Fourth!D80)</f>
        <v>Returning</v>
      </c>
      <c r="E827" s="66" t="str">
        <f>IF(Fourth!E80="", "",Fourth!E80)</f>
        <v>Male</v>
      </c>
      <c r="F827" s="66" t="str">
        <f>IF(Fourth!F80="", "",Fourth!F80)</f>
        <v>Prostate</v>
      </c>
      <c r="G827" s="66" t="str">
        <f>IF(Fourth!G80="", "",Fourth!G80)</f>
        <v>Non-Curative Intent</v>
      </c>
      <c r="H827" s="66" t="str">
        <f>IF(Fourth!H80="", "",Fourth!H80)</f>
        <v>Programme</v>
      </c>
      <c r="I827" s="66" t="str">
        <f>IF(Fourth!I80="", "",Fourth!I80)</f>
        <v>FSG Men's</v>
      </c>
      <c r="J827" s="66" t="str">
        <f>IF(Fourth!J80="", "",Fourth!J80)</f>
        <v/>
      </c>
      <c r="K827" s="86" t="str">
        <f>IF(Fourth!K80="", "",Fourth!K80)</f>
        <v/>
      </c>
      <c r="M827" s="67">
        <f t="shared" si="38"/>
        <v>7</v>
      </c>
      <c r="N827" s="76" t="str">
        <f t="shared" si="39"/>
        <v/>
      </c>
      <c r="O827" s="33">
        <f t="shared" si="37"/>
        <v>7</v>
      </c>
    </row>
    <row r="828" spans="1:15" x14ac:dyDescent="0.25">
      <c r="A828" s="64" t="s">
        <v>179</v>
      </c>
      <c r="B828" s="79" t="str">
        <f>IF(Fourth!B81="", "",Fourth!B81)</f>
        <v>Psychologist</v>
      </c>
      <c r="C828" s="66" t="str">
        <f>IF(Fourth!C81="", "",Fourth!C81)</f>
        <v>PwC</v>
      </c>
      <c r="D828" s="66" t="str">
        <f>IF(Fourth!D81="", "",Fourth!D81)</f>
        <v>Returning</v>
      </c>
      <c r="E828" s="66" t="str">
        <f>IF(Fourth!E81="", "",Fourth!E81)</f>
        <v>Male</v>
      </c>
      <c r="F828" s="66" t="str">
        <f>IF(Fourth!F81="", "",Fourth!F81)</f>
        <v>Lung</v>
      </c>
      <c r="G828" s="66" t="str">
        <f>IF(Fourth!G81="", "",Fourth!G81)</f>
        <v>Non-Curative Intent</v>
      </c>
      <c r="H828" s="66" t="str">
        <f>IF(Fourth!H81="", "",Fourth!H81)</f>
        <v>Programme</v>
      </c>
      <c r="I828" s="66" t="str">
        <f>IF(Fourth!I81="", "",Fourth!I81)</f>
        <v>FSG Men's</v>
      </c>
      <c r="J828" s="66" t="str">
        <f>IF(Fourth!J81="", "",Fourth!J81)</f>
        <v/>
      </c>
      <c r="K828" s="86" t="str">
        <f>IF(Fourth!K81="", "",Fourth!K81)</f>
        <v/>
      </c>
      <c r="M828" s="67">
        <f t="shared" si="38"/>
        <v>7</v>
      </c>
      <c r="N828" s="76" t="str">
        <f t="shared" si="39"/>
        <v/>
      </c>
      <c r="O828" s="33">
        <f t="shared" si="37"/>
        <v>7</v>
      </c>
    </row>
    <row r="829" spans="1:15" x14ac:dyDescent="0.25">
      <c r="A829" s="64" t="s">
        <v>179</v>
      </c>
      <c r="B829" s="79" t="str">
        <f>IF(Fourth!B82="", "",Fourth!B82)</f>
        <v>Psychologist</v>
      </c>
      <c r="C829" s="66" t="str">
        <f>IF(Fourth!C82="", "",Fourth!C82)</f>
        <v>PwC</v>
      </c>
      <c r="D829" s="66" t="str">
        <f>IF(Fourth!D82="", "",Fourth!D82)</f>
        <v>Returning</v>
      </c>
      <c r="E829" s="66" t="str">
        <f>IF(Fourth!E82="", "",Fourth!E82)</f>
        <v>Male</v>
      </c>
      <c r="F829" s="66" t="str">
        <f>IF(Fourth!F82="", "",Fourth!F82)</f>
        <v>Lung</v>
      </c>
      <c r="G829" s="66" t="str">
        <f>IF(Fourth!G82="", "",Fourth!G82)</f>
        <v>Non-Curative Intent</v>
      </c>
      <c r="H829" s="66" t="str">
        <f>IF(Fourth!H82="", "",Fourth!H82)</f>
        <v>Programme</v>
      </c>
      <c r="I829" s="66" t="str">
        <f>IF(Fourth!I82="", "",Fourth!I82)</f>
        <v>FSG Men's</v>
      </c>
      <c r="J829" s="66" t="str">
        <f>IF(Fourth!J82="", "",Fourth!J82)</f>
        <v/>
      </c>
      <c r="K829" s="86" t="str">
        <f>IF(Fourth!K82="", "",Fourth!K82)</f>
        <v/>
      </c>
      <c r="M829" s="67">
        <f t="shared" si="38"/>
        <v>7</v>
      </c>
      <c r="N829" s="76" t="str">
        <f t="shared" si="39"/>
        <v/>
      </c>
      <c r="O829" s="33">
        <f t="shared" si="37"/>
        <v>7</v>
      </c>
    </row>
    <row r="830" spans="1:15" x14ac:dyDescent="0.25">
      <c r="A830" s="64" t="s">
        <v>179</v>
      </c>
      <c r="B830" s="79" t="str">
        <f>IF(Fourth!B83="", "",Fourth!B83)</f>
        <v>Psychologist</v>
      </c>
      <c r="C830" s="66" t="str">
        <f>IF(Fourth!C83="", "",Fourth!C83)</f>
        <v>PwC</v>
      </c>
      <c r="D830" s="66" t="str">
        <f>IF(Fourth!D83="", "",Fourth!D83)</f>
        <v>Returning</v>
      </c>
      <c r="E830" s="66" t="str">
        <f>IF(Fourth!E83="", "",Fourth!E83)</f>
        <v>Male</v>
      </c>
      <c r="F830" s="66" t="str">
        <f>IF(Fourth!F83="", "",Fourth!F83)</f>
        <v>Lower GI</v>
      </c>
      <c r="G830" s="66" t="str">
        <f>IF(Fourth!G83="", "",Fourth!G83)</f>
        <v>Non-Curative Intent</v>
      </c>
      <c r="H830" s="66" t="str">
        <f>IF(Fourth!H83="", "",Fourth!H83)</f>
        <v>Programme</v>
      </c>
      <c r="I830" s="66" t="str">
        <f>IF(Fourth!I83="", "",Fourth!I83)</f>
        <v>FSG Men's</v>
      </c>
      <c r="J830" s="66" t="str">
        <f>IF(Fourth!J83="", "",Fourth!J83)</f>
        <v/>
      </c>
      <c r="K830" s="86" t="str">
        <f>IF(Fourth!K83="", "",Fourth!K83)</f>
        <v/>
      </c>
      <c r="M830" s="67">
        <f t="shared" si="38"/>
        <v>7</v>
      </c>
      <c r="N830" s="76" t="str">
        <f t="shared" si="39"/>
        <v/>
      </c>
      <c r="O830" s="33">
        <f t="shared" si="37"/>
        <v>7</v>
      </c>
    </row>
    <row r="831" spans="1:15" x14ac:dyDescent="0.25">
      <c r="A831" s="64" t="s">
        <v>179</v>
      </c>
      <c r="B831" s="79" t="str">
        <f>IF(Fourth!B84="", "",Fourth!B84)</f>
        <v>Centre Head</v>
      </c>
      <c r="C831" s="66" t="str">
        <f>IF(Fourth!C84="", "",Fourth!C84)</f>
        <v>PwC</v>
      </c>
      <c r="D831" s="66" t="str">
        <f>IF(Fourth!D84="", "",Fourth!D84)</f>
        <v>Returning</v>
      </c>
      <c r="E831" s="66" t="str">
        <f>IF(Fourth!E84="", "",Fourth!E84)</f>
        <v>Male</v>
      </c>
      <c r="F831" s="66" t="str">
        <f>IF(Fourth!F84="", "",Fourth!F84)</f>
        <v>Haemat</v>
      </c>
      <c r="G831" s="66" t="str">
        <f>IF(Fourth!G84="", "",Fourth!G84)</f>
        <v>Curative Intent</v>
      </c>
      <c r="H831" s="66" t="str">
        <f>IF(Fourth!H84="", "",Fourth!H84)</f>
        <v>Booked</v>
      </c>
      <c r="I831" s="66" t="str">
        <f>IF(Fourth!I84="", "",Fourth!I84)</f>
        <v>Psych Support - Individual</v>
      </c>
      <c r="J831" s="66" t="str">
        <f>IF(Fourth!J84="", "",Fourth!J84)</f>
        <v/>
      </c>
      <c r="K831" s="86" t="str">
        <f>IF(Fourth!K84="", "",Fourth!K84)</f>
        <v/>
      </c>
      <c r="M831" s="67">
        <f t="shared" si="38"/>
        <v>7</v>
      </c>
      <c r="N831" s="76" t="str">
        <f t="shared" si="39"/>
        <v/>
      </c>
      <c r="O831" s="33">
        <f t="shared" si="37"/>
        <v>7</v>
      </c>
    </row>
    <row r="832" spans="1:15" x14ac:dyDescent="0.25">
      <c r="A832" s="64" t="s">
        <v>179</v>
      </c>
      <c r="B832" s="79" t="str">
        <f>IF(Fourth!B85="", "",Fourth!B85)</f>
        <v>Centre Head</v>
      </c>
      <c r="C832" s="66" t="str">
        <f>IF(Fourth!C85="", "",Fourth!C85)</f>
        <v>PwC</v>
      </c>
      <c r="D832" s="66" t="str">
        <f>IF(Fourth!D85="", "",Fourth!D85)</f>
        <v>Returning</v>
      </c>
      <c r="E832" s="66" t="str">
        <f>IF(Fourth!E85="", "",Fourth!E85)</f>
        <v>Female</v>
      </c>
      <c r="F832" s="66" t="str">
        <f>IF(Fourth!F85="", "",Fourth!F85)</f>
        <v>Haemat</v>
      </c>
      <c r="G832" s="66" t="str">
        <f>IF(Fourth!G85="", "",Fourth!G85)</f>
        <v>Post Treatment - Curative Intent</v>
      </c>
      <c r="H832" s="66" t="str">
        <f>IF(Fourth!H85="", "",Fourth!H85)</f>
        <v>Booked</v>
      </c>
      <c r="I832" s="66" t="str">
        <f>IF(Fourth!I85="", "",Fourth!I85)</f>
        <v>Psych Support - Individual</v>
      </c>
      <c r="J832" s="66" t="str">
        <f>IF(Fourth!J85="", "",Fourth!J85)</f>
        <v/>
      </c>
      <c r="K832" s="86" t="str">
        <f>IF(Fourth!K85="", "",Fourth!K85)</f>
        <v/>
      </c>
      <c r="M832" s="67">
        <f t="shared" si="38"/>
        <v>7</v>
      </c>
      <c r="N832" s="76" t="str">
        <f t="shared" si="39"/>
        <v/>
      </c>
      <c r="O832" s="33">
        <f t="shared" si="37"/>
        <v>7</v>
      </c>
    </row>
    <row r="833" spans="1:15" x14ac:dyDescent="0.25">
      <c r="A833" s="64" t="s">
        <v>179</v>
      </c>
      <c r="B833" s="79" t="str">
        <f>IF(Fourth!B86="", "",Fourth!B86)</f>
        <v>Centre Head</v>
      </c>
      <c r="C833" s="66" t="str">
        <f>IF(Fourth!C86="", "",Fourth!C86)</f>
        <v>PwC</v>
      </c>
      <c r="D833" s="66" t="str">
        <f>IF(Fourth!D86="", "",Fourth!D86)</f>
        <v>Returning</v>
      </c>
      <c r="E833" s="66" t="str">
        <f>IF(Fourth!E86="", "",Fourth!E86)</f>
        <v>Male</v>
      </c>
      <c r="F833" s="66" t="str">
        <f>IF(Fourth!F86="", "",Fourth!F86)</f>
        <v>Brain/CNS</v>
      </c>
      <c r="G833" s="66" t="str">
        <f>IF(Fourth!G86="", "",Fourth!G86)</f>
        <v>Non-Curative Intent</v>
      </c>
      <c r="H833" s="66" t="str">
        <f>IF(Fourth!H86="", "",Fourth!H86)</f>
        <v>Booked</v>
      </c>
      <c r="I833" s="66" t="str">
        <f>IF(Fourth!I86="", "",Fourth!I86)</f>
        <v>Psych Support - Individual</v>
      </c>
      <c r="J833" s="66" t="str">
        <f>IF(Fourth!J86="", "",Fourth!J86)</f>
        <v/>
      </c>
      <c r="K833" s="86" t="str">
        <f>IF(Fourth!K86="", "",Fourth!K86)</f>
        <v/>
      </c>
      <c r="M833" s="67">
        <f t="shared" si="38"/>
        <v>7</v>
      </c>
      <c r="N833" s="76" t="str">
        <f t="shared" si="39"/>
        <v/>
      </c>
      <c r="O833" s="33">
        <f t="shared" si="37"/>
        <v>7</v>
      </c>
    </row>
    <row r="834" spans="1:15" x14ac:dyDescent="0.25">
      <c r="A834" s="64" t="s">
        <v>179</v>
      </c>
      <c r="B834" s="79" t="str">
        <f>IF(Fourth!B87="", "",Fourth!B87)</f>
        <v>Centre Head</v>
      </c>
      <c r="C834" s="66" t="str">
        <f>IF(Fourth!C87="", "",Fourth!C87)</f>
        <v>Carer</v>
      </c>
      <c r="D834" s="66" t="str">
        <f>IF(Fourth!D87="", "",Fourth!D87)</f>
        <v>Returning</v>
      </c>
      <c r="E834" s="66" t="str">
        <f>IF(Fourth!E87="", "",Fourth!E87)</f>
        <v>Female</v>
      </c>
      <c r="F834" s="66" t="str">
        <f>IF(Fourth!F87="", "",Fourth!F87)</f>
        <v>Brain/CNS</v>
      </c>
      <c r="G834" s="66" t="str">
        <f>IF(Fourth!G87="", "",Fourth!G87)</f>
        <v>Non-Curative Intent</v>
      </c>
      <c r="H834" s="66" t="str">
        <f>IF(Fourth!H87="", "",Fourth!H87)</f>
        <v>Booked</v>
      </c>
      <c r="I834" s="66" t="str">
        <f>IF(Fourth!I87="", "",Fourth!I87)</f>
        <v>Psych Support - Individual</v>
      </c>
      <c r="J834" s="66" t="str">
        <f>IF(Fourth!J87="", "",Fourth!J87)</f>
        <v/>
      </c>
      <c r="K834" s="86" t="str">
        <f>IF(Fourth!K87="", "",Fourth!K87)</f>
        <v/>
      </c>
      <c r="M834" s="67" t="str">
        <f t="shared" si="38"/>
        <v/>
      </c>
      <c r="N834" s="76">
        <f t="shared" si="39"/>
        <v>7</v>
      </c>
      <c r="O834" s="33">
        <f t="shared" ref="O834:O897" si="40">SUM(M834:N834)</f>
        <v>7</v>
      </c>
    </row>
    <row r="835" spans="1:15" x14ac:dyDescent="0.25">
      <c r="A835" s="64" t="s">
        <v>179</v>
      </c>
      <c r="B835" s="79" t="str">
        <f>IF(Fourth!B88="", "",Fourth!B88)</f>
        <v>Centre Head</v>
      </c>
      <c r="C835" s="66" t="str">
        <f>IF(Fourth!C88="", "",Fourth!C88)</f>
        <v>PwC</v>
      </c>
      <c r="D835" s="66" t="str">
        <f>IF(Fourth!D88="", "",Fourth!D88)</f>
        <v>Returning</v>
      </c>
      <c r="E835" s="66" t="str">
        <f>IF(Fourth!E88="", "",Fourth!E88)</f>
        <v>Male</v>
      </c>
      <c r="F835" s="66" t="str">
        <f>IF(Fourth!F88="", "",Fourth!F88)</f>
        <v>Lower GI</v>
      </c>
      <c r="G835" s="66" t="str">
        <f>IF(Fourth!G88="", "",Fourth!G88)</f>
        <v>Post Treatment - Curative Intent</v>
      </c>
      <c r="H835" s="66" t="str">
        <f>IF(Fourth!H88="", "",Fourth!H88)</f>
        <v>Booked</v>
      </c>
      <c r="I835" s="66" t="str">
        <f>IF(Fourth!I88="", "",Fourth!I88)</f>
        <v>Psych Support - Individual</v>
      </c>
      <c r="J835" s="66" t="str">
        <f>IF(Fourth!J88="", "",Fourth!J88)</f>
        <v/>
      </c>
      <c r="K835" s="86" t="str">
        <f>IF(Fourth!K88="", "",Fourth!K88)</f>
        <v/>
      </c>
      <c r="M835" s="67">
        <f t="shared" ref="M835:M898" si="41">IF(C835="PwC",(7-COUNTIF(B835:H835,"")),"")</f>
        <v>7</v>
      </c>
      <c r="N835" s="76" t="str">
        <f t="shared" ref="N835:N898" si="42">IF(C835="Carer",(7-COUNTIF(B835:H835,"")),"")</f>
        <v/>
      </c>
      <c r="O835" s="33">
        <f t="shared" si="40"/>
        <v>7</v>
      </c>
    </row>
    <row r="836" spans="1:15" x14ac:dyDescent="0.25">
      <c r="A836" s="64" t="s">
        <v>179</v>
      </c>
      <c r="B836" s="79" t="str">
        <f>IF(Fourth!B89="", "",Fourth!B89)</f>
        <v>Centre Head</v>
      </c>
      <c r="C836" s="66" t="str">
        <f>IF(Fourth!C89="", "",Fourth!C89)</f>
        <v>Carer</v>
      </c>
      <c r="D836" s="66" t="str">
        <f>IF(Fourth!D89="", "",Fourth!D89)</f>
        <v>New</v>
      </c>
      <c r="E836" s="66" t="str">
        <f>IF(Fourth!E89="", "",Fourth!E89)</f>
        <v>Female</v>
      </c>
      <c r="F836" s="66" t="str">
        <f>IF(Fourth!F89="", "",Fourth!F89)</f>
        <v>Urolog</v>
      </c>
      <c r="G836" s="66" t="str">
        <f>IF(Fourth!G89="", "",Fourth!G89)</f>
        <v>Curative Intent</v>
      </c>
      <c r="H836" s="66" t="str">
        <f>IF(Fourth!H89="", "",Fourth!H89)</f>
        <v>Drop-In</v>
      </c>
      <c r="I836" s="66" t="str">
        <f>IF(Fourth!I89="", "",Fourth!I89)</f>
        <v/>
      </c>
      <c r="J836" s="66" t="str">
        <f>IF(Fourth!J89="", "",Fourth!J89)</f>
        <v/>
      </c>
      <c r="K836" s="86" t="str">
        <f>IF(Fourth!K89="", "",Fourth!K89)</f>
        <v/>
      </c>
      <c r="M836" s="67" t="str">
        <f t="shared" si="41"/>
        <v/>
      </c>
      <c r="N836" s="76">
        <f t="shared" si="42"/>
        <v>7</v>
      </c>
      <c r="O836" s="33">
        <f t="shared" si="40"/>
        <v>7</v>
      </c>
    </row>
    <row r="837" spans="1:15" x14ac:dyDescent="0.25">
      <c r="A837" s="64" t="s">
        <v>179</v>
      </c>
      <c r="B837" s="79" t="str">
        <f>IF(Fourth!B90="", "",Fourth!B90)</f>
        <v>Centre Head</v>
      </c>
      <c r="C837" s="66" t="str">
        <f>IF(Fourth!C90="", "",Fourth!C90)</f>
        <v>Carer</v>
      </c>
      <c r="D837" s="66" t="str">
        <f>IF(Fourth!D90="", "",Fourth!D90)</f>
        <v>New</v>
      </c>
      <c r="E837" s="66" t="str">
        <f>IF(Fourth!E90="", "",Fourth!E90)</f>
        <v>Male</v>
      </c>
      <c r="F837" s="66" t="str">
        <f>IF(Fourth!F90="", "",Fourth!F90)</f>
        <v>Urolog</v>
      </c>
      <c r="G837" s="66" t="str">
        <f>IF(Fourth!G90="", "",Fourth!G90)</f>
        <v>Curative Intent</v>
      </c>
      <c r="H837" s="66" t="str">
        <f>IF(Fourth!H90="", "",Fourth!H90)</f>
        <v>Drop-In</v>
      </c>
      <c r="I837" s="66" t="str">
        <f>IF(Fourth!I90="", "",Fourth!I90)</f>
        <v/>
      </c>
      <c r="J837" s="66" t="str">
        <f>IF(Fourth!J90="", "",Fourth!J90)</f>
        <v/>
      </c>
      <c r="K837" s="86" t="str">
        <f>IF(Fourth!K90="", "",Fourth!K90)</f>
        <v/>
      </c>
      <c r="M837" s="67" t="str">
        <f t="shared" si="41"/>
        <v/>
      </c>
      <c r="N837" s="76">
        <f t="shared" si="42"/>
        <v>7</v>
      </c>
      <c r="O837" s="33">
        <f t="shared" si="40"/>
        <v>7</v>
      </c>
    </row>
    <row r="838" spans="1:15" x14ac:dyDescent="0.25">
      <c r="A838" s="64" t="s">
        <v>179</v>
      </c>
      <c r="B838" s="79" t="str">
        <f>IF(Fourth!B91="", "",Fourth!B91)</f>
        <v>Centre Head</v>
      </c>
      <c r="C838" s="66" t="str">
        <f>IF(Fourth!C91="", "",Fourth!C91)</f>
        <v>Carer</v>
      </c>
      <c r="D838" s="66" t="str">
        <f>IF(Fourth!D91="", "",Fourth!D91)</f>
        <v>Returning</v>
      </c>
      <c r="E838" s="66" t="str">
        <f>IF(Fourth!E91="", "",Fourth!E91)</f>
        <v>Female</v>
      </c>
      <c r="F838" s="66" t="str">
        <f>IF(Fourth!F91="", "",Fourth!F91)</f>
        <v>Lower GI</v>
      </c>
      <c r="G838" s="66" t="str">
        <f>IF(Fourth!G91="", "",Fourth!G91)</f>
        <v>Bereaved</v>
      </c>
      <c r="H838" s="66" t="str">
        <f>IF(Fourth!H91="", "",Fourth!H91)</f>
        <v>Booked</v>
      </c>
      <c r="I838" s="66" t="str">
        <f>IF(Fourth!I91="", "",Fourth!I91)</f>
        <v>Psych Support - Individual</v>
      </c>
      <c r="J838" s="66" t="str">
        <f>IF(Fourth!J91="", "",Fourth!J91)</f>
        <v/>
      </c>
      <c r="K838" s="86" t="str">
        <f>IF(Fourth!K91="", "",Fourth!K91)</f>
        <v/>
      </c>
      <c r="M838" s="67" t="str">
        <f t="shared" si="41"/>
        <v/>
      </c>
      <c r="N838" s="76">
        <f t="shared" si="42"/>
        <v>7</v>
      </c>
      <c r="O838" s="33">
        <f t="shared" si="40"/>
        <v>7</v>
      </c>
    </row>
    <row r="839" spans="1:15" x14ac:dyDescent="0.25">
      <c r="A839" s="64" t="s">
        <v>179</v>
      </c>
      <c r="B839" s="79" t="str">
        <f>IF(Fourth!B92="", "",Fourth!B92)</f>
        <v>Centre Head</v>
      </c>
      <c r="C839" s="66" t="str">
        <f>IF(Fourth!C92="", "",Fourth!C92)</f>
        <v>Carer</v>
      </c>
      <c r="D839" s="66" t="str">
        <f>IF(Fourth!D92="", "",Fourth!D92)</f>
        <v>Returning</v>
      </c>
      <c r="E839" s="66" t="str">
        <f>IF(Fourth!E92="", "",Fourth!E92)</f>
        <v>Under 18 Male</v>
      </c>
      <c r="F839" s="66" t="str">
        <f>IF(Fourth!F92="", "",Fourth!F92)</f>
        <v>Lower GI</v>
      </c>
      <c r="G839" s="66" t="str">
        <f>IF(Fourth!G92="", "",Fourth!G92)</f>
        <v>Bereaved</v>
      </c>
      <c r="H839" s="66" t="str">
        <f>IF(Fourth!H92="", "",Fourth!H92)</f>
        <v>Booked</v>
      </c>
      <c r="I839" s="66" t="str">
        <f>IF(Fourth!I92="", "",Fourth!I92)</f>
        <v>Psych Support - Individual</v>
      </c>
      <c r="J839" s="66" t="str">
        <f>IF(Fourth!J92="", "",Fourth!J92)</f>
        <v/>
      </c>
      <c r="K839" s="86" t="str">
        <f>IF(Fourth!K92="", "",Fourth!K92)</f>
        <v/>
      </c>
      <c r="M839" s="67" t="str">
        <f t="shared" si="41"/>
        <v/>
      </c>
      <c r="N839" s="76">
        <f t="shared" si="42"/>
        <v>7</v>
      </c>
      <c r="O839" s="33">
        <f t="shared" si="40"/>
        <v>7</v>
      </c>
    </row>
    <row r="840" spans="1:15" x14ac:dyDescent="0.25">
      <c r="A840" s="64" t="s">
        <v>179</v>
      </c>
      <c r="B840" s="79" t="str">
        <f>IF(Fourth!B93="", "",Fourth!B93)</f>
        <v>Centre Head</v>
      </c>
      <c r="C840" s="66" t="str">
        <f>IF(Fourth!C93="", "",Fourth!C93)</f>
        <v>Carer</v>
      </c>
      <c r="D840" s="66" t="str">
        <f>IF(Fourth!D93="", "",Fourth!D93)</f>
        <v>Returning</v>
      </c>
      <c r="E840" s="66" t="str">
        <f>IF(Fourth!E93="", "",Fourth!E93)</f>
        <v>Male</v>
      </c>
      <c r="F840" s="66" t="str">
        <f>IF(Fourth!F93="", "",Fourth!F93)</f>
        <v>Prostate</v>
      </c>
      <c r="G840" s="66" t="str">
        <f>IF(Fourth!G93="", "",Fourth!G93)</f>
        <v>Bereaved</v>
      </c>
      <c r="H840" s="66" t="str">
        <f>IF(Fourth!H93="", "",Fourth!H93)</f>
        <v>Booked</v>
      </c>
      <c r="I840" s="66" t="str">
        <f>IF(Fourth!I93="", "",Fourth!I93)</f>
        <v>Psych Support - Individual</v>
      </c>
      <c r="J840" s="66" t="str">
        <f>IF(Fourth!J93="", "",Fourth!J93)</f>
        <v/>
      </c>
      <c r="K840" s="86" t="str">
        <f>IF(Fourth!K93="", "",Fourth!K93)</f>
        <v/>
      </c>
      <c r="M840" s="67" t="str">
        <f t="shared" si="41"/>
        <v/>
      </c>
      <c r="N840" s="76">
        <f t="shared" si="42"/>
        <v>7</v>
      </c>
      <c r="O840" s="33">
        <f t="shared" si="40"/>
        <v>7</v>
      </c>
    </row>
    <row r="841" spans="1:15" x14ac:dyDescent="0.25">
      <c r="A841" s="64" t="s">
        <v>179</v>
      </c>
      <c r="B841" s="79" t="str">
        <f>IF(Fourth!B94="", "",Fourth!B94)</f>
        <v>Centre Head</v>
      </c>
      <c r="C841" s="66" t="str">
        <f>IF(Fourth!C94="", "",Fourth!C94)</f>
        <v>Carer</v>
      </c>
      <c r="D841" s="66" t="str">
        <f>IF(Fourth!D94="", "",Fourth!D94)</f>
        <v>Returning</v>
      </c>
      <c r="E841" s="66" t="str">
        <f>IF(Fourth!E94="", "",Fourth!E94)</f>
        <v>Female</v>
      </c>
      <c r="F841" s="66" t="str">
        <f>IF(Fourth!F94="", "",Fourth!F94)</f>
        <v>Urolog</v>
      </c>
      <c r="G841" s="66" t="str">
        <f>IF(Fourth!G94="", "",Fourth!G94)</f>
        <v>Bereaved</v>
      </c>
      <c r="H841" s="66" t="str">
        <f>IF(Fourth!H94="", "",Fourth!H94)</f>
        <v>Booked</v>
      </c>
      <c r="I841" s="66" t="str">
        <f>IF(Fourth!I94="", "",Fourth!I94)</f>
        <v>Psych Support - Individual</v>
      </c>
      <c r="J841" s="66" t="str">
        <f>IF(Fourth!J94="", "",Fourth!J94)</f>
        <v/>
      </c>
      <c r="K841" s="86" t="str">
        <f>IF(Fourth!K94="", "",Fourth!K94)</f>
        <v/>
      </c>
      <c r="M841" s="67" t="str">
        <f t="shared" si="41"/>
        <v/>
      </c>
      <c r="N841" s="76">
        <f t="shared" si="42"/>
        <v>7</v>
      </c>
      <c r="O841" s="33">
        <f t="shared" si="40"/>
        <v>7</v>
      </c>
    </row>
    <row r="842" spans="1:15" x14ac:dyDescent="0.25">
      <c r="A842" s="64" t="s">
        <v>179</v>
      </c>
      <c r="B842" s="79" t="str">
        <f>IF(Fourth!B95="", "",Fourth!B95)</f>
        <v>Centre Head</v>
      </c>
      <c r="C842" s="66" t="str">
        <f>IF(Fourth!C95="", "",Fourth!C95)</f>
        <v>PwC</v>
      </c>
      <c r="D842" s="66" t="str">
        <f>IF(Fourth!D95="", "",Fourth!D95)</f>
        <v>Returning</v>
      </c>
      <c r="E842" s="66" t="str">
        <f>IF(Fourth!E95="", "",Fourth!E95)</f>
        <v>Female</v>
      </c>
      <c r="F842" s="66" t="str">
        <f>IF(Fourth!F95="", "",Fourth!F95)</f>
        <v>Breast</v>
      </c>
      <c r="G842" s="66" t="str">
        <f>IF(Fourth!G95="", "",Fourth!G95)</f>
        <v>Post Treatment - Curative Intent</v>
      </c>
      <c r="H842" s="66" t="str">
        <f>IF(Fourth!H95="", "",Fourth!H95)</f>
        <v>Booked</v>
      </c>
      <c r="I842" s="66" t="str">
        <f>IF(Fourth!I95="", "",Fourth!I95)</f>
        <v>Psych Support - Individual</v>
      </c>
      <c r="J842" s="66" t="str">
        <f>IF(Fourth!J95="", "",Fourth!J95)</f>
        <v/>
      </c>
      <c r="K842" s="86" t="str">
        <f>IF(Fourth!K95="", "",Fourth!K95)</f>
        <v/>
      </c>
      <c r="M842" s="67">
        <f t="shared" si="41"/>
        <v>7</v>
      </c>
      <c r="N842" s="76" t="str">
        <f t="shared" si="42"/>
        <v/>
      </c>
      <c r="O842" s="33">
        <f t="shared" si="40"/>
        <v>7</v>
      </c>
    </row>
    <row r="843" spans="1:15" x14ac:dyDescent="0.25">
      <c r="A843" s="64" t="s">
        <v>179</v>
      </c>
      <c r="B843" s="79" t="str">
        <f>IF(Fourth!B96="", "",Fourth!B96)</f>
        <v>CSS</v>
      </c>
      <c r="C843" s="66" t="str">
        <f>IF(Fourth!C96="", "",Fourth!C96)</f>
        <v>PwC</v>
      </c>
      <c r="D843" s="66" t="str">
        <f>IF(Fourth!D96="", "",Fourth!D96)</f>
        <v>Returning</v>
      </c>
      <c r="E843" s="66" t="str">
        <f>IF(Fourth!E96="", "",Fourth!E96)</f>
        <v>Female</v>
      </c>
      <c r="F843" s="66" t="str">
        <f>IF(Fourth!F96="", "",Fourth!F96)</f>
        <v>Breast</v>
      </c>
      <c r="G843" s="66" t="str">
        <f>IF(Fourth!G96="", "",Fourth!G96)</f>
        <v>Post Treatment - Curative Intent</v>
      </c>
      <c r="H843" s="66" t="str">
        <f>IF(Fourth!H96="", "",Fourth!H96)</f>
        <v>Booked</v>
      </c>
      <c r="I843" s="66" t="str">
        <f>IF(Fourth!I96="", "",Fourth!I96)</f>
        <v>Psych Support - Individual</v>
      </c>
      <c r="J843" s="66" t="str">
        <f>IF(Fourth!J96="", "",Fourth!J96)</f>
        <v/>
      </c>
      <c r="K843" s="86" t="str">
        <f>IF(Fourth!K96="", "",Fourth!K96)</f>
        <v/>
      </c>
      <c r="M843" s="67">
        <f t="shared" si="41"/>
        <v>7</v>
      </c>
      <c r="N843" s="76" t="str">
        <f t="shared" si="42"/>
        <v/>
      </c>
      <c r="O843" s="33">
        <f t="shared" si="40"/>
        <v>7</v>
      </c>
    </row>
    <row r="844" spans="1:15" x14ac:dyDescent="0.25">
      <c r="A844" s="64" t="s">
        <v>179</v>
      </c>
      <c r="B844" s="79" t="str">
        <f>IF(Fourth!B97="", "",Fourth!B97)</f>
        <v>CSS</v>
      </c>
      <c r="C844" s="66" t="str">
        <f>IF(Fourth!C97="", "",Fourth!C97)</f>
        <v>Carer</v>
      </c>
      <c r="D844" s="66" t="str">
        <f>IF(Fourth!D97="", "",Fourth!D97)</f>
        <v>Returning</v>
      </c>
      <c r="E844" s="66" t="str">
        <f>IF(Fourth!E97="", "",Fourth!E97)</f>
        <v>Female</v>
      </c>
      <c r="F844" s="66" t="str">
        <f>IF(Fourth!F97="", "",Fourth!F97)</f>
        <v>Urolog</v>
      </c>
      <c r="G844" s="66" t="str">
        <f>IF(Fourth!G97="", "",Fourth!G97)</f>
        <v>Curative Intent</v>
      </c>
      <c r="H844" s="66" t="str">
        <f>IF(Fourth!H97="", "",Fourth!H97)</f>
        <v>Telephone Support</v>
      </c>
      <c r="I844" s="66" t="str">
        <f>IF(Fourth!I97="", "",Fourth!I97)</f>
        <v/>
      </c>
      <c r="J844" s="66" t="str">
        <f>IF(Fourth!J97="", "",Fourth!J97)</f>
        <v/>
      </c>
      <c r="K844" s="86" t="str">
        <f>IF(Fourth!K97="", "",Fourth!K97)</f>
        <v/>
      </c>
      <c r="M844" s="67" t="str">
        <f t="shared" si="41"/>
        <v/>
      </c>
      <c r="N844" s="76">
        <f t="shared" si="42"/>
        <v>7</v>
      </c>
      <c r="O844" s="33">
        <f t="shared" si="40"/>
        <v>7</v>
      </c>
    </row>
    <row r="845" spans="1:15" x14ac:dyDescent="0.25">
      <c r="A845" s="64" t="s">
        <v>179</v>
      </c>
      <c r="B845" s="79" t="str">
        <f>IF(Fourth!B98="", "",Fourth!B98)</f>
        <v>CSS</v>
      </c>
      <c r="C845" s="66" t="str">
        <f>IF(Fourth!C98="", "",Fourth!C98)</f>
        <v>Carer</v>
      </c>
      <c r="D845" s="66" t="str">
        <f>IF(Fourth!D98="", "",Fourth!D98)</f>
        <v>Returning</v>
      </c>
      <c r="E845" s="66" t="str">
        <f>IF(Fourth!E98="", "",Fourth!E98)</f>
        <v>Female</v>
      </c>
      <c r="F845" s="66" t="str">
        <f>IF(Fourth!F98="", "",Fourth!F98)</f>
        <v>Breast</v>
      </c>
      <c r="G845" s="66" t="str">
        <f>IF(Fourth!G98="", "",Fourth!G98)</f>
        <v>Bereaved</v>
      </c>
      <c r="H845" s="66" t="str">
        <f>IF(Fourth!H98="", "",Fourth!H98)</f>
        <v>Booked</v>
      </c>
      <c r="I845" s="66" t="str">
        <f>IF(Fourth!I98="", "",Fourth!I98)</f>
        <v>Psych Support - Individual</v>
      </c>
      <c r="J845" s="66" t="str">
        <f>IF(Fourth!J98="", "",Fourth!J98)</f>
        <v/>
      </c>
      <c r="K845" s="86" t="str">
        <f>IF(Fourth!K98="", "",Fourth!K98)</f>
        <v/>
      </c>
      <c r="M845" s="67" t="str">
        <f t="shared" si="41"/>
        <v/>
      </c>
      <c r="N845" s="76">
        <f t="shared" si="42"/>
        <v>7</v>
      </c>
      <c r="O845" s="33">
        <f t="shared" si="40"/>
        <v>7</v>
      </c>
    </row>
    <row r="846" spans="1:15" x14ac:dyDescent="0.25">
      <c r="A846" s="64" t="s">
        <v>179</v>
      </c>
      <c r="B846" s="79" t="str">
        <f>IF(Fourth!B99="", "",Fourth!B99)</f>
        <v>CSS</v>
      </c>
      <c r="C846" s="66" t="str">
        <f>IF(Fourth!C99="", "",Fourth!C99)</f>
        <v>PwC</v>
      </c>
      <c r="D846" s="66" t="str">
        <f>IF(Fourth!D99="", "",Fourth!D99)</f>
        <v>New</v>
      </c>
      <c r="E846" s="66" t="str">
        <f>IF(Fourth!E99="", "",Fourth!E99)</f>
        <v>Female</v>
      </c>
      <c r="F846" s="66" t="str">
        <f>IF(Fourth!F99="", "",Fourth!F99)</f>
        <v>Breast</v>
      </c>
      <c r="G846" s="66" t="str">
        <f>IF(Fourth!G99="", "",Fourth!G99)</f>
        <v>Curative Intent</v>
      </c>
      <c r="H846" s="66" t="str">
        <f>IF(Fourth!H99="", "",Fourth!H99)</f>
        <v>Drop-In</v>
      </c>
      <c r="I846" s="66" t="str">
        <f>IF(Fourth!I99="", "",Fourth!I99)</f>
        <v/>
      </c>
      <c r="J846" s="66" t="str">
        <f>IF(Fourth!J99="", "",Fourth!J99)</f>
        <v/>
      </c>
      <c r="K846" s="86" t="str">
        <f>IF(Fourth!K99="", "",Fourth!K99)</f>
        <v/>
      </c>
      <c r="M846" s="67">
        <f t="shared" si="41"/>
        <v>7</v>
      </c>
      <c r="N846" s="76" t="str">
        <f t="shared" si="42"/>
        <v/>
      </c>
      <c r="O846" s="33">
        <f t="shared" si="40"/>
        <v>7</v>
      </c>
    </row>
    <row r="847" spans="1:15" x14ac:dyDescent="0.25">
      <c r="A847" s="64" t="s">
        <v>179</v>
      </c>
      <c r="B847" s="79" t="str">
        <f>IF(Fourth!B100="", "",Fourth!B100)</f>
        <v>CSS</v>
      </c>
      <c r="C847" s="66" t="str">
        <f>IF(Fourth!C100="", "",Fourth!C100)</f>
        <v>Carer</v>
      </c>
      <c r="D847" s="66" t="str">
        <f>IF(Fourth!D100="", "",Fourth!D100)</f>
        <v>New</v>
      </c>
      <c r="E847" s="66" t="str">
        <f>IF(Fourth!E100="", "",Fourth!E100)</f>
        <v>Male</v>
      </c>
      <c r="F847" s="66" t="str">
        <f>IF(Fourth!F100="", "",Fourth!F100)</f>
        <v>Breast</v>
      </c>
      <c r="G847" s="66" t="str">
        <f>IF(Fourth!G100="", "",Fourth!G100)</f>
        <v>Curative Intent</v>
      </c>
      <c r="H847" s="66" t="str">
        <f>IF(Fourth!H100="", "",Fourth!H100)</f>
        <v>Drop-In</v>
      </c>
      <c r="I847" s="66" t="str">
        <f>IF(Fourth!I100="", "",Fourth!I100)</f>
        <v/>
      </c>
      <c r="J847" s="66" t="str">
        <f>IF(Fourth!J100="", "",Fourth!J100)</f>
        <v/>
      </c>
      <c r="K847" s="86" t="str">
        <f>IF(Fourth!K100="", "",Fourth!K100)</f>
        <v/>
      </c>
      <c r="M847" s="67" t="str">
        <f t="shared" si="41"/>
        <v/>
      </c>
      <c r="N847" s="76">
        <f t="shared" si="42"/>
        <v>7</v>
      </c>
      <c r="O847" s="33">
        <f t="shared" si="40"/>
        <v>7</v>
      </c>
    </row>
    <row r="848" spans="1:15" x14ac:dyDescent="0.25">
      <c r="A848" s="64" t="s">
        <v>179</v>
      </c>
      <c r="B848" s="79" t="str">
        <f>IF(Fourth!B101="", "",Fourth!B101)</f>
        <v>CSS</v>
      </c>
      <c r="C848" s="66" t="str">
        <f>IF(Fourth!C101="", "",Fourth!C101)</f>
        <v>PwC</v>
      </c>
      <c r="D848" s="66" t="str">
        <f>IF(Fourth!D101="", "",Fourth!D101)</f>
        <v>Returning</v>
      </c>
      <c r="E848" s="66" t="str">
        <f>IF(Fourth!E101="", "",Fourth!E101)</f>
        <v>Male</v>
      </c>
      <c r="F848" s="66" t="str">
        <f>IF(Fourth!F101="", "",Fourth!F101)</f>
        <v>Haemat</v>
      </c>
      <c r="G848" s="66" t="str">
        <f>IF(Fourth!G101="", "",Fourth!G101)</f>
        <v>Curative Intent</v>
      </c>
      <c r="H848" s="66" t="str">
        <f>IF(Fourth!H101="", "",Fourth!H101)</f>
        <v>Drop-In</v>
      </c>
      <c r="I848" s="66" t="str">
        <f>IF(Fourth!I101="", "",Fourth!I101)</f>
        <v/>
      </c>
      <c r="J848" s="66" t="str">
        <f>IF(Fourth!J101="", "",Fourth!J101)</f>
        <v/>
      </c>
      <c r="K848" s="86" t="str">
        <f>IF(Fourth!K101="", "",Fourth!K101)</f>
        <v/>
      </c>
      <c r="M848" s="67">
        <f t="shared" si="41"/>
        <v>7</v>
      </c>
      <c r="N848" s="76" t="str">
        <f t="shared" si="42"/>
        <v/>
      </c>
      <c r="O848" s="33">
        <f t="shared" si="40"/>
        <v>7</v>
      </c>
    </row>
    <row r="849" spans="1:15" x14ac:dyDescent="0.25">
      <c r="A849" s="64" t="s">
        <v>179</v>
      </c>
      <c r="B849" s="79" t="str">
        <f>IF(Fourth!B102="", "",Fourth!B102)</f>
        <v>CSS</v>
      </c>
      <c r="C849" s="66" t="str">
        <f>IF(Fourth!C102="", "",Fourth!C102)</f>
        <v>Carer</v>
      </c>
      <c r="D849" s="66" t="str">
        <f>IF(Fourth!D102="", "",Fourth!D102)</f>
        <v>Returning</v>
      </c>
      <c r="E849" s="66" t="str">
        <f>IF(Fourth!E102="", "",Fourth!E102)</f>
        <v>Female</v>
      </c>
      <c r="F849" s="66" t="str">
        <f>IF(Fourth!F102="", "",Fourth!F102)</f>
        <v>Haemat</v>
      </c>
      <c r="G849" s="66" t="str">
        <f>IF(Fourth!G102="", "",Fourth!G102)</f>
        <v>Curative Intent</v>
      </c>
      <c r="H849" s="66" t="str">
        <f>IF(Fourth!H102="", "",Fourth!H102)</f>
        <v>Drop-In</v>
      </c>
      <c r="I849" s="66" t="str">
        <f>IF(Fourth!I102="", "",Fourth!I102)</f>
        <v/>
      </c>
      <c r="J849" s="66" t="str">
        <f>IF(Fourth!J102="", "",Fourth!J102)</f>
        <v/>
      </c>
      <c r="K849" s="86" t="str">
        <f>IF(Fourth!K102="", "",Fourth!K102)</f>
        <v/>
      </c>
      <c r="M849" s="67" t="str">
        <f t="shared" si="41"/>
        <v/>
      </c>
      <c r="N849" s="76">
        <f t="shared" si="42"/>
        <v>7</v>
      </c>
      <c r="O849" s="33">
        <f t="shared" si="40"/>
        <v>7</v>
      </c>
    </row>
    <row r="850" spans="1:15" x14ac:dyDescent="0.25">
      <c r="A850" s="64" t="s">
        <v>179</v>
      </c>
      <c r="B850" s="79" t="str">
        <f>IF(Fourth!B103="", "",Fourth!B103)</f>
        <v>CSS</v>
      </c>
      <c r="C850" s="66" t="str">
        <f>IF(Fourth!C103="", "",Fourth!C103)</f>
        <v>PwC</v>
      </c>
      <c r="D850" s="66" t="str">
        <f>IF(Fourth!D103="", "",Fourth!D103)</f>
        <v>New</v>
      </c>
      <c r="E850" s="66" t="str">
        <f>IF(Fourth!E103="", "",Fourth!E103)</f>
        <v>Male</v>
      </c>
      <c r="F850" s="66" t="str">
        <f>IF(Fourth!F103="", "",Fourth!F103)</f>
        <v>Lung</v>
      </c>
      <c r="G850" s="66" t="str">
        <f>IF(Fourth!G103="", "",Fourth!G103)</f>
        <v>Non-Curative Intent</v>
      </c>
      <c r="H850" s="66" t="str">
        <f>IF(Fourth!H103="", "",Fourth!H103)</f>
        <v>Drop-In</v>
      </c>
      <c r="I850" s="66" t="str">
        <f>IF(Fourth!I103="", "",Fourth!I103)</f>
        <v/>
      </c>
      <c r="J850" s="66" t="str">
        <f>IF(Fourth!J103="", "",Fourth!J103)</f>
        <v/>
      </c>
      <c r="K850" s="86" t="str">
        <f>IF(Fourth!K103="", "",Fourth!K103)</f>
        <v/>
      </c>
      <c r="M850" s="67">
        <f t="shared" si="41"/>
        <v>7</v>
      </c>
      <c r="N850" s="76" t="str">
        <f t="shared" si="42"/>
        <v/>
      </c>
      <c r="O850" s="33">
        <f t="shared" si="40"/>
        <v>7</v>
      </c>
    </row>
    <row r="851" spans="1:15" x14ac:dyDescent="0.25">
      <c r="A851" s="64" t="s">
        <v>179</v>
      </c>
      <c r="B851" s="79" t="str">
        <f>IF(Fourth!B104="", "",Fourth!B104)</f>
        <v>Sessional Staff</v>
      </c>
      <c r="C851" s="66" t="str">
        <f>IF(Fourth!C104="", "",Fourth!C104)</f>
        <v>PwC</v>
      </c>
      <c r="D851" s="66" t="str">
        <f>IF(Fourth!D104="", "",Fourth!D104)</f>
        <v>Returning</v>
      </c>
      <c r="E851" s="66" t="str">
        <f>IF(Fourth!E104="", "",Fourth!E104)</f>
        <v>Male</v>
      </c>
      <c r="F851" s="66" t="str">
        <f>IF(Fourth!F104="", "",Fourth!F104)</f>
        <v>Not Stated</v>
      </c>
      <c r="G851" s="66" t="str">
        <f>IF(Fourth!G104="", "",Fourth!G104)</f>
        <v>Not Stated</v>
      </c>
      <c r="H851" s="66" t="str">
        <f>IF(Fourth!H104="", "",Fourth!H104)</f>
        <v>Programme</v>
      </c>
      <c r="I851" s="66" t="str">
        <f>IF(Fourth!I104="", "",Fourth!I104)</f>
        <v>Tai Chi/Qi Gong</v>
      </c>
      <c r="J851" s="66" t="str">
        <f>IF(Fourth!J104="", "",Fourth!J104)</f>
        <v/>
      </c>
      <c r="K851" s="86" t="str">
        <f>IF(Fourth!K104="", "",Fourth!K104)</f>
        <v/>
      </c>
      <c r="M851" s="67">
        <f t="shared" si="41"/>
        <v>7</v>
      </c>
      <c r="N851" s="76" t="str">
        <f t="shared" si="42"/>
        <v/>
      </c>
      <c r="O851" s="33">
        <f t="shared" si="40"/>
        <v>7</v>
      </c>
    </row>
    <row r="852" spans="1:15" x14ac:dyDescent="0.25">
      <c r="A852" s="64" t="s">
        <v>179</v>
      </c>
      <c r="B852" s="79" t="str">
        <f>IF(Fourth!B105="", "",Fourth!B105)</f>
        <v>Sessional Staff</v>
      </c>
      <c r="C852" s="66" t="str">
        <f>IF(Fourth!C105="", "",Fourth!C105)</f>
        <v>PwC</v>
      </c>
      <c r="D852" s="66" t="str">
        <f>IF(Fourth!D105="", "",Fourth!D105)</f>
        <v>Returning</v>
      </c>
      <c r="E852" s="66" t="str">
        <f>IF(Fourth!E105="", "",Fourth!E105)</f>
        <v>Male</v>
      </c>
      <c r="F852" s="66" t="str">
        <f>IF(Fourth!F105="", "",Fourth!F105)</f>
        <v>Not Stated</v>
      </c>
      <c r="G852" s="66" t="str">
        <f>IF(Fourth!G105="", "",Fourth!G105)</f>
        <v>Not Stated</v>
      </c>
      <c r="H852" s="66" t="str">
        <f>IF(Fourth!H105="", "",Fourth!H105)</f>
        <v>Programme</v>
      </c>
      <c r="I852" s="66" t="str">
        <f>IF(Fourth!I105="", "",Fourth!I105)</f>
        <v>Tai Chi/Qi Gong</v>
      </c>
      <c r="J852" s="66" t="str">
        <f>IF(Fourth!J105="", "",Fourth!J105)</f>
        <v/>
      </c>
      <c r="K852" s="86" t="str">
        <f>IF(Fourth!K105="", "",Fourth!K105)</f>
        <v/>
      </c>
      <c r="M852" s="67">
        <f t="shared" si="41"/>
        <v>7</v>
      </c>
      <c r="N852" s="76" t="str">
        <f t="shared" si="42"/>
        <v/>
      </c>
      <c r="O852" s="33">
        <f t="shared" si="40"/>
        <v>7</v>
      </c>
    </row>
    <row r="853" spans="1:15" x14ac:dyDescent="0.25">
      <c r="A853" s="64" t="s">
        <v>179</v>
      </c>
      <c r="B853" s="79" t="str">
        <f>IF(Fourth!B106="", "",Fourth!B106)</f>
        <v>Sessional Staff</v>
      </c>
      <c r="C853" s="66" t="str">
        <f>IF(Fourth!C106="", "",Fourth!C106)</f>
        <v>PwC</v>
      </c>
      <c r="D853" s="66" t="str">
        <f>IF(Fourth!D106="", "",Fourth!D106)</f>
        <v>Returning</v>
      </c>
      <c r="E853" s="66" t="str">
        <f>IF(Fourth!E106="", "",Fourth!E106)</f>
        <v>Male</v>
      </c>
      <c r="F853" s="66" t="str">
        <f>IF(Fourth!F106="", "",Fourth!F106)</f>
        <v>Not Stated</v>
      </c>
      <c r="G853" s="66" t="str">
        <f>IF(Fourth!G106="", "",Fourth!G106)</f>
        <v>Not Stated</v>
      </c>
      <c r="H853" s="66" t="str">
        <f>IF(Fourth!H106="", "",Fourth!H106)</f>
        <v>Programme</v>
      </c>
      <c r="I853" s="66" t="str">
        <f>IF(Fourth!I106="", "",Fourth!I106)</f>
        <v>Tai Chi/Qi Gong</v>
      </c>
      <c r="J853" s="66" t="str">
        <f>IF(Fourth!J106="", "",Fourth!J106)</f>
        <v/>
      </c>
      <c r="K853" s="86" t="str">
        <f>IF(Fourth!K106="", "",Fourth!K106)</f>
        <v/>
      </c>
      <c r="M853" s="67">
        <f t="shared" si="41"/>
        <v>7</v>
      </c>
      <c r="N853" s="76" t="str">
        <f t="shared" si="42"/>
        <v/>
      </c>
      <c r="O853" s="33">
        <f t="shared" si="40"/>
        <v>7</v>
      </c>
    </row>
    <row r="854" spans="1:15" x14ac:dyDescent="0.25">
      <c r="A854" s="64" t="s">
        <v>179</v>
      </c>
      <c r="B854" s="79" t="str">
        <f>IF(Fourth!B107="", "",Fourth!B107)</f>
        <v>Sessional Staff</v>
      </c>
      <c r="C854" s="66" t="str">
        <f>IF(Fourth!C107="", "",Fourth!C107)</f>
        <v>PwC</v>
      </c>
      <c r="D854" s="66" t="str">
        <f>IF(Fourth!D107="", "",Fourth!D107)</f>
        <v>Returning</v>
      </c>
      <c r="E854" s="66" t="str">
        <f>IF(Fourth!E107="", "",Fourth!E107)</f>
        <v>Male</v>
      </c>
      <c r="F854" s="66" t="str">
        <f>IF(Fourth!F107="", "",Fourth!F107)</f>
        <v>Not Stated</v>
      </c>
      <c r="G854" s="66" t="str">
        <f>IF(Fourth!G107="", "",Fourth!G107)</f>
        <v>Not Stated</v>
      </c>
      <c r="H854" s="66" t="str">
        <f>IF(Fourth!H107="", "",Fourth!H107)</f>
        <v>Programme</v>
      </c>
      <c r="I854" s="66" t="str">
        <f>IF(Fourth!I107="", "",Fourth!I107)</f>
        <v>Tai Chi/Qi Gong</v>
      </c>
      <c r="J854" s="66" t="str">
        <f>IF(Fourth!J107="", "",Fourth!J107)</f>
        <v/>
      </c>
      <c r="K854" s="86" t="str">
        <f>IF(Fourth!K107="", "",Fourth!K107)</f>
        <v/>
      </c>
      <c r="M854" s="67">
        <f t="shared" si="41"/>
        <v>7</v>
      </c>
      <c r="N854" s="76" t="str">
        <f t="shared" si="42"/>
        <v/>
      </c>
      <c r="O854" s="33">
        <f t="shared" si="40"/>
        <v>7</v>
      </c>
    </row>
    <row r="855" spans="1:15" x14ac:dyDescent="0.25">
      <c r="A855" s="64" t="s">
        <v>179</v>
      </c>
      <c r="B855" s="79" t="str">
        <f>IF(Fourth!B108="", "",Fourth!B108)</f>
        <v>Sessional Staff</v>
      </c>
      <c r="C855" s="66" t="str">
        <f>IF(Fourth!C108="", "",Fourth!C108)</f>
        <v>PwC</v>
      </c>
      <c r="D855" s="66" t="str">
        <f>IF(Fourth!D108="", "",Fourth!D108)</f>
        <v>Returning</v>
      </c>
      <c r="E855" s="66" t="str">
        <f>IF(Fourth!E108="", "",Fourth!E108)</f>
        <v>Male</v>
      </c>
      <c r="F855" s="66" t="str">
        <f>IF(Fourth!F108="", "",Fourth!F108)</f>
        <v>Not Stated</v>
      </c>
      <c r="G855" s="66" t="str">
        <f>IF(Fourth!G108="", "",Fourth!G108)</f>
        <v>Not Stated</v>
      </c>
      <c r="H855" s="66" t="str">
        <f>IF(Fourth!H108="", "",Fourth!H108)</f>
        <v>Programme</v>
      </c>
      <c r="I855" s="66" t="str">
        <f>IF(Fourth!I108="", "",Fourth!I108)</f>
        <v>Tai Chi/Qi Gong</v>
      </c>
      <c r="J855" s="66" t="str">
        <f>IF(Fourth!J108="", "",Fourth!J108)</f>
        <v/>
      </c>
      <c r="K855" s="86" t="str">
        <f>IF(Fourth!K108="", "",Fourth!K108)</f>
        <v/>
      </c>
      <c r="M855" s="67">
        <f t="shared" si="41"/>
        <v>7</v>
      </c>
      <c r="N855" s="76" t="str">
        <f t="shared" si="42"/>
        <v/>
      </c>
      <c r="O855" s="33">
        <f t="shared" si="40"/>
        <v>7</v>
      </c>
    </row>
    <row r="856" spans="1:15" x14ac:dyDescent="0.25">
      <c r="A856" s="64" t="s">
        <v>179</v>
      </c>
      <c r="B856" s="79" t="str">
        <f>IF(Fourth!B109="", "",Fourth!B109)</f>
        <v>Sessional Staff</v>
      </c>
      <c r="C856" s="66" t="str">
        <f>IF(Fourth!C109="", "",Fourth!C109)</f>
        <v>PwC</v>
      </c>
      <c r="D856" s="66" t="str">
        <f>IF(Fourth!D109="", "",Fourth!D109)</f>
        <v>Returning</v>
      </c>
      <c r="E856" s="66" t="str">
        <f>IF(Fourth!E109="", "",Fourth!E109)</f>
        <v>Male</v>
      </c>
      <c r="F856" s="66" t="str">
        <f>IF(Fourth!F109="", "",Fourth!F109)</f>
        <v>Not Stated</v>
      </c>
      <c r="G856" s="66" t="str">
        <f>IF(Fourth!G109="", "",Fourth!G109)</f>
        <v>Not Stated</v>
      </c>
      <c r="H856" s="66" t="str">
        <f>IF(Fourth!H109="", "",Fourth!H109)</f>
        <v>Programme</v>
      </c>
      <c r="I856" s="66" t="str">
        <f>IF(Fourth!I109="", "",Fourth!I109)</f>
        <v>Tai Chi/Qi Gong</v>
      </c>
      <c r="J856" s="66" t="str">
        <f>IF(Fourth!J109="", "",Fourth!J109)</f>
        <v/>
      </c>
      <c r="K856" s="86" t="str">
        <f>IF(Fourth!K109="", "",Fourth!K109)</f>
        <v/>
      </c>
      <c r="M856" s="67">
        <f t="shared" si="41"/>
        <v>7</v>
      </c>
      <c r="N856" s="76" t="str">
        <f t="shared" si="42"/>
        <v/>
      </c>
      <c r="O856" s="33">
        <f t="shared" si="40"/>
        <v>7</v>
      </c>
    </row>
    <row r="857" spans="1:15" x14ac:dyDescent="0.25">
      <c r="A857" s="64" t="s">
        <v>179</v>
      </c>
      <c r="B857" s="79" t="str">
        <f>IF(Fourth!B110="", "",Fourth!B110)</f>
        <v>Sessional Staff</v>
      </c>
      <c r="C857" s="66" t="str">
        <f>IF(Fourth!C110="", "",Fourth!C110)</f>
        <v>PwC</v>
      </c>
      <c r="D857" s="66" t="str">
        <f>IF(Fourth!D110="", "",Fourth!D110)</f>
        <v>Returning</v>
      </c>
      <c r="E857" s="66" t="str">
        <f>IF(Fourth!E110="", "",Fourth!E110)</f>
        <v>Female</v>
      </c>
      <c r="F857" s="66" t="str">
        <f>IF(Fourth!F110="", "",Fourth!F110)</f>
        <v>Not Stated</v>
      </c>
      <c r="G857" s="66" t="str">
        <f>IF(Fourth!G110="", "",Fourth!G110)</f>
        <v>Not Stated</v>
      </c>
      <c r="H857" s="66" t="str">
        <f>IF(Fourth!H110="", "",Fourth!H110)</f>
        <v>Programme</v>
      </c>
      <c r="I857" s="66" t="str">
        <f>IF(Fourth!I110="", "",Fourth!I110)</f>
        <v>Tai Chi/Qi Gong</v>
      </c>
      <c r="J857" s="66" t="str">
        <f>IF(Fourth!J110="", "",Fourth!J110)</f>
        <v/>
      </c>
      <c r="K857" s="86" t="str">
        <f>IF(Fourth!K110="", "",Fourth!K110)</f>
        <v/>
      </c>
      <c r="M857" s="67">
        <f t="shared" si="41"/>
        <v>7</v>
      </c>
      <c r="N857" s="76" t="str">
        <f t="shared" si="42"/>
        <v/>
      </c>
      <c r="O857" s="33">
        <f t="shared" si="40"/>
        <v>7</v>
      </c>
    </row>
    <row r="858" spans="1:15" x14ac:dyDescent="0.25">
      <c r="A858" s="64" t="s">
        <v>179</v>
      </c>
      <c r="B858" s="79" t="str">
        <f>IF(Fourth!B111="", "",Fourth!B111)</f>
        <v>Sessional Staff</v>
      </c>
      <c r="C858" s="66" t="str">
        <f>IF(Fourth!C111="", "",Fourth!C111)</f>
        <v>PwC</v>
      </c>
      <c r="D858" s="66" t="str">
        <f>IF(Fourth!D111="", "",Fourth!D111)</f>
        <v>Returning</v>
      </c>
      <c r="E858" s="66" t="str">
        <f>IF(Fourth!E111="", "",Fourth!E111)</f>
        <v>Female</v>
      </c>
      <c r="F858" s="66" t="str">
        <f>IF(Fourth!F111="", "",Fourth!F111)</f>
        <v>Not Stated</v>
      </c>
      <c r="G858" s="66" t="str">
        <f>IF(Fourth!G111="", "",Fourth!G111)</f>
        <v>Not Stated</v>
      </c>
      <c r="H858" s="66" t="str">
        <f>IF(Fourth!H111="", "",Fourth!H111)</f>
        <v>Programme</v>
      </c>
      <c r="I858" s="66" t="str">
        <f>IF(Fourth!I111="", "",Fourth!I111)</f>
        <v>Tai Chi/Qi Gong</v>
      </c>
      <c r="J858" s="66" t="str">
        <f>IF(Fourth!J111="", "",Fourth!J111)</f>
        <v/>
      </c>
      <c r="K858" s="86" t="str">
        <f>IF(Fourth!K111="", "",Fourth!K111)</f>
        <v/>
      </c>
      <c r="M858" s="67">
        <f t="shared" si="41"/>
        <v>7</v>
      </c>
      <c r="N858" s="76" t="str">
        <f t="shared" si="42"/>
        <v/>
      </c>
      <c r="O858" s="33">
        <f t="shared" si="40"/>
        <v>7</v>
      </c>
    </row>
    <row r="859" spans="1:15" x14ac:dyDescent="0.25">
      <c r="A859" s="64" t="s">
        <v>179</v>
      </c>
      <c r="B859" s="79" t="str">
        <f>IF(Fourth!B112="", "",Fourth!B112)</f>
        <v>Sessional Staff</v>
      </c>
      <c r="C859" s="66" t="str">
        <f>IF(Fourth!C112="", "",Fourth!C112)</f>
        <v>PwC</v>
      </c>
      <c r="D859" s="66" t="str">
        <f>IF(Fourth!D112="", "",Fourth!D112)</f>
        <v>Returning</v>
      </c>
      <c r="E859" s="66" t="str">
        <f>IF(Fourth!E112="", "",Fourth!E112)</f>
        <v>Female</v>
      </c>
      <c r="F859" s="66" t="str">
        <f>IF(Fourth!F112="", "",Fourth!F112)</f>
        <v>Not Stated</v>
      </c>
      <c r="G859" s="66" t="str">
        <f>IF(Fourth!G112="", "",Fourth!G112)</f>
        <v>Not Stated</v>
      </c>
      <c r="H859" s="66" t="str">
        <f>IF(Fourth!H112="", "",Fourth!H112)</f>
        <v>Programme</v>
      </c>
      <c r="I859" s="66" t="str">
        <f>IF(Fourth!I112="", "",Fourth!I112)</f>
        <v>Tai Chi/Qi Gong</v>
      </c>
      <c r="J859" s="66" t="str">
        <f>IF(Fourth!J112="", "",Fourth!J112)</f>
        <v/>
      </c>
      <c r="K859" s="86" t="str">
        <f>IF(Fourth!K112="", "",Fourth!K112)</f>
        <v/>
      </c>
      <c r="M859" s="67">
        <f t="shared" si="41"/>
        <v>7</v>
      </c>
      <c r="N859" s="76" t="str">
        <f t="shared" si="42"/>
        <v/>
      </c>
      <c r="O859" s="33">
        <f t="shared" si="40"/>
        <v>7</v>
      </c>
    </row>
    <row r="860" spans="1:15" x14ac:dyDescent="0.25">
      <c r="A860" s="64" t="s">
        <v>179</v>
      </c>
      <c r="B860" s="79" t="str">
        <f>IF(Fourth!B113="", "",Fourth!B113)</f>
        <v>Sessional Staff</v>
      </c>
      <c r="C860" s="66" t="str">
        <f>IF(Fourth!C113="", "",Fourth!C113)</f>
        <v>PwC</v>
      </c>
      <c r="D860" s="66" t="str">
        <f>IF(Fourth!D113="", "",Fourth!D113)</f>
        <v>Returning</v>
      </c>
      <c r="E860" s="66" t="str">
        <f>IF(Fourth!E113="", "",Fourth!E113)</f>
        <v>Female</v>
      </c>
      <c r="F860" s="66" t="str">
        <f>IF(Fourth!F113="", "",Fourth!F113)</f>
        <v>Not Stated</v>
      </c>
      <c r="G860" s="66" t="str">
        <f>IF(Fourth!G113="", "",Fourth!G113)</f>
        <v>Not Stated</v>
      </c>
      <c r="H860" s="66" t="str">
        <f>IF(Fourth!H113="", "",Fourth!H113)</f>
        <v>Programme</v>
      </c>
      <c r="I860" s="66" t="str">
        <f>IF(Fourth!I113="", "",Fourth!I113)</f>
        <v>Tai Chi/Qi Gong</v>
      </c>
      <c r="J860" s="66" t="str">
        <f>IF(Fourth!J113="", "",Fourth!J113)</f>
        <v/>
      </c>
      <c r="K860" s="86" t="str">
        <f>IF(Fourth!K113="", "",Fourth!K113)</f>
        <v/>
      </c>
      <c r="M860" s="67">
        <f t="shared" si="41"/>
        <v>7</v>
      </c>
      <c r="N860" s="76" t="str">
        <f t="shared" si="42"/>
        <v/>
      </c>
      <c r="O860" s="33">
        <f t="shared" si="40"/>
        <v>7</v>
      </c>
    </row>
    <row r="861" spans="1:15" x14ac:dyDescent="0.25">
      <c r="A861" s="64" t="s">
        <v>179</v>
      </c>
      <c r="B861" s="79" t="str">
        <f>IF(Fourth!B114="", "",Fourth!B114)</f>
        <v>Sessional Staff</v>
      </c>
      <c r="C861" s="66" t="str">
        <f>IF(Fourth!C114="", "",Fourth!C114)</f>
        <v>PwC</v>
      </c>
      <c r="D861" s="66" t="str">
        <f>IF(Fourth!D114="", "",Fourth!D114)</f>
        <v>Returning</v>
      </c>
      <c r="E861" s="66" t="str">
        <f>IF(Fourth!E114="", "",Fourth!E114)</f>
        <v>Female</v>
      </c>
      <c r="F861" s="66" t="str">
        <f>IF(Fourth!F114="", "",Fourth!F114)</f>
        <v>Not Stated</v>
      </c>
      <c r="G861" s="66" t="str">
        <f>IF(Fourth!G114="", "",Fourth!G114)</f>
        <v>Not Stated</v>
      </c>
      <c r="H861" s="66" t="str">
        <f>IF(Fourth!H114="", "",Fourth!H114)</f>
        <v>Programme</v>
      </c>
      <c r="I861" s="66" t="str">
        <f>IF(Fourth!I114="", "",Fourth!I114)</f>
        <v>Tai Chi/Qi Gong</v>
      </c>
      <c r="J861" s="66" t="str">
        <f>IF(Fourth!J114="", "",Fourth!J114)</f>
        <v/>
      </c>
      <c r="K861" s="86" t="str">
        <f>IF(Fourth!K114="", "",Fourth!K114)</f>
        <v/>
      </c>
      <c r="M861" s="67">
        <f t="shared" si="41"/>
        <v>7</v>
      </c>
      <c r="N861" s="76" t="str">
        <f t="shared" si="42"/>
        <v/>
      </c>
      <c r="O861" s="33">
        <f t="shared" si="40"/>
        <v>7</v>
      </c>
    </row>
    <row r="862" spans="1:15" x14ac:dyDescent="0.25">
      <c r="A862" s="64" t="s">
        <v>179</v>
      </c>
      <c r="B862" s="79" t="str">
        <f>IF(Fourth!B115="", "",Fourth!B115)</f>
        <v>Sessional Staff</v>
      </c>
      <c r="C862" s="66" t="str">
        <f>IF(Fourth!C115="", "",Fourth!C115)</f>
        <v>PwC</v>
      </c>
      <c r="D862" s="66" t="str">
        <f>IF(Fourth!D115="", "",Fourth!D115)</f>
        <v>Returning</v>
      </c>
      <c r="E862" s="66" t="str">
        <f>IF(Fourth!E115="", "",Fourth!E115)</f>
        <v>Female</v>
      </c>
      <c r="F862" s="66" t="str">
        <f>IF(Fourth!F115="", "",Fourth!F115)</f>
        <v>Not Stated</v>
      </c>
      <c r="G862" s="66" t="str">
        <f>IF(Fourth!G115="", "",Fourth!G115)</f>
        <v>Not Stated</v>
      </c>
      <c r="H862" s="66" t="str">
        <f>IF(Fourth!H115="", "",Fourth!H115)</f>
        <v>Programme</v>
      </c>
      <c r="I862" s="66" t="str">
        <f>IF(Fourth!I115="", "",Fourth!I115)</f>
        <v>Tai Chi/Qi Gong</v>
      </c>
      <c r="J862" s="66" t="str">
        <f>IF(Fourth!J115="", "",Fourth!J115)</f>
        <v/>
      </c>
      <c r="K862" s="86" t="str">
        <f>IF(Fourth!K115="", "",Fourth!K115)</f>
        <v/>
      </c>
      <c r="M862" s="67">
        <f t="shared" si="41"/>
        <v>7</v>
      </c>
      <c r="N862" s="76" t="str">
        <f t="shared" si="42"/>
        <v/>
      </c>
      <c r="O862" s="33">
        <f t="shared" si="40"/>
        <v>7</v>
      </c>
    </row>
    <row r="863" spans="1:15" x14ac:dyDescent="0.25">
      <c r="A863" s="64" t="s">
        <v>179</v>
      </c>
      <c r="B863" s="79" t="str">
        <f>IF(Fourth!B116="", "",Fourth!B116)</f>
        <v>Sessional Staff</v>
      </c>
      <c r="C863" s="66" t="str">
        <f>IF(Fourth!C116="", "",Fourth!C116)</f>
        <v>PwC</v>
      </c>
      <c r="D863" s="66" t="str">
        <f>IF(Fourth!D116="", "",Fourth!D116)</f>
        <v>Returning</v>
      </c>
      <c r="E863" s="66" t="str">
        <f>IF(Fourth!E116="", "",Fourth!E116)</f>
        <v>Female</v>
      </c>
      <c r="F863" s="66" t="str">
        <f>IF(Fourth!F116="", "",Fourth!F116)</f>
        <v>Not Stated</v>
      </c>
      <c r="G863" s="66" t="str">
        <f>IF(Fourth!G116="", "",Fourth!G116)</f>
        <v>Not Stated</v>
      </c>
      <c r="H863" s="66" t="str">
        <f>IF(Fourth!H116="", "",Fourth!H116)</f>
        <v>Programme</v>
      </c>
      <c r="I863" s="66" t="str">
        <f>IF(Fourth!I116="", "",Fourth!I116)</f>
        <v>Tai Chi/Qi Gong</v>
      </c>
      <c r="J863" s="66" t="str">
        <f>IF(Fourth!J116="", "",Fourth!J116)</f>
        <v/>
      </c>
      <c r="K863" s="86" t="str">
        <f>IF(Fourth!K116="", "",Fourth!K116)</f>
        <v/>
      </c>
      <c r="M863" s="67">
        <f t="shared" si="41"/>
        <v>7</v>
      </c>
      <c r="N863" s="76" t="str">
        <f t="shared" si="42"/>
        <v/>
      </c>
      <c r="O863" s="33">
        <f t="shared" si="40"/>
        <v>7</v>
      </c>
    </row>
    <row r="864" spans="1:15" x14ac:dyDescent="0.25">
      <c r="A864" s="64" t="s">
        <v>179</v>
      </c>
      <c r="B864" s="79" t="str">
        <f>IF(Fourth!B117="", "",Fourth!B117)</f>
        <v>Sessional Staff</v>
      </c>
      <c r="C864" s="66" t="str">
        <f>IF(Fourth!C117="", "",Fourth!C117)</f>
        <v>PwC</v>
      </c>
      <c r="D864" s="66" t="str">
        <f>IF(Fourth!D117="", "",Fourth!D117)</f>
        <v>Returning</v>
      </c>
      <c r="E864" s="66" t="str">
        <f>IF(Fourth!E117="", "",Fourth!E117)</f>
        <v>Female</v>
      </c>
      <c r="F864" s="66" t="str">
        <f>IF(Fourth!F117="", "",Fourth!F117)</f>
        <v>Not Stated</v>
      </c>
      <c r="G864" s="66" t="str">
        <f>IF(Fourth!G117="", "",Fourth!G117)</f>
        <v>Not Stated</v>
      </c>
      <c r="H864" s="66" t="str">
        <f>IF(Fourth!H117="", "",Fourth!H117)</f>
        <v>Programme</v>
      </c>
      <c r="I864" s="66" t="str">
        <f>IF(Fourth!I117="", "",Fourth!I117)</f>
        <v>Tai Chi/Qi Gong</v>
      </c>
      <c r="J864" s="66" t="str">
        <f>IF(Fourth!J117="", "",Fourth!J117)</f>
        <v/>
      </c>
      <c r="K864" s="86" t="str">
        <f>IF(Fourth!K117="", "",Fourth!K117)</f>
        <v/>
      </c>
      <c r="M864" s="67">
        <f t="shared" si="41"/>
        <v>7</v>
      </c>
      <c r="N864" s="76" t="str">
        <f t="shared" si="42"/>
        <v/>
      </c>
      <c r="O864" s="33">
        <f t="shared" si="40"/>
        <v>7</v>
      </c>
    </row>
    <row r="865" spans="1:15" x14ac:dyDescent="0.25">
      <c r="A865" s="64" t="s">
        <v>179</v>
      </c>
      <c r="B865" s="79" t="str">
        <f>IF(Fourth!B118="", "",Fourth!B118)</f>
        <v/>
      </c>
      <c r="C865" s="66" t="str">
        <f>IF(Fourth!C118="", "",Fourth!C118)</f>
        <v/>
      </c>
      <c r="D865" s="66" t="str">
        <f>IF(Fourth!D118="", "",Fourth!D118)</f>
        <v/>
      </c>
      <c r="E865" s="66" t="str">
        <f>IF(Fourth!E118="", "",Fourth!E118)</f>
        <v/>
      </c>
      <c r="F865" s="66" t="str">
        <f>IF(Fourth!F118="", "",Fourth!F118)</f>
        <v/>
      </c>
      <c r="G865" s="66" t="str">
        <f>IF(Fourth!G118="", "",Fourth!G118)</f>
        <v/>
      </c>
      <c r="H865" s="66" t="str">
        <f>IF(Fourth!H118="", "",Fourth!H118)</f>
        <v/>
      </c>
      <c r="I865" s="66" t="str">
        <f>IF(Fourth!I118="", "",Fourth!I118)</f>
        <v/>
      </c>
      <c r="J865" s="66" t="str">
        <f>IF(Fourth!J118="", "",Fourth!J118)</f>
        <v/>
      </c>
      <c r="K865" s="86" t="str">
        <f>IF(Fourth!K118="", "",Fourth!K118)</f>
        <v/>
      </c>
      <c r="M865" s="67" t="str">
        <f t="shared" si="41"/>
        <v/>
      </c>
      <c r="N865" s="76" t="str">
        <f t="shared" si="42"/>
        <v/>
      </c>
      <c r="O865" s="33">
        <f t="shared" si="40"/>
        <v>0</v>
      </c>
    </row>
    <row r="866" spans="1:15" x14ac:dyDescent="0.25">
      <c r="A866" s="64" t="s">
        <v>179</v>
      </c>
      <c r="B866" s="79" t="str">
        <f>IF(Fourth!B119="", "",Fourth!B119)</f>
        <v/>
      </c>
      <c r="C866" s="66" t="str">
        <f>IF(Fourth!C119="", "",Fourth!C119)</f>
        <v/>
      </c>
      <c r="D866" s="66" t="str">
        <f>IF(Fourth!D119="", "",Fourth!D119)</f>
        <v/>
      </c>
      <c r="E866" s="66" t="str">
        <f>IF(Fourth!E119="", "",Fourth!E119)</f>
        <v/>
      </c>
      <c r="F866" s="66" t="str">
        <f>IF(Fourth!F119="", "",Fourth!F119)</f>
        <v/>
      </c>
      <c r="G866" s="66" t="str">
        <f>IF(Fourth!G119="", "",Fourth!G119)</f>
        <v/>
      </c>
      <c r="H866" s="66" t="str">
        <f>IF(Fourth!H119="", "",Fourth!H119)</f>
        <v/>
      </c>
      <c r="I866" s="66" t="str">
        <f>IF(Fourth!I119="", "",Fourth!I119)</f>
        <v/>
      </c>
      <c r="J866" s="66" t="str">
        <f>IF(Fourth!J119="", "",Fourth!J119)</f>
        <v/>
      </c>
      <c r="K866" s="86" t="str">
        <f>IF(Fourth!K119="", "",Fourth!K119)</f>
        <v/>
      </c>
      <c r="M866" s="67" t="str">
        <f t="shared" si="41"/>
        <v/>
      </c>
      <c r="N866" s="76" t="str">
        <f t="shared" si="42"/>
        <v/>
      </c>
      <c r="O866" s="33">
        <f t="shared" si="40"/>
        <v>0</v>
      </c>
    </row>
    <row r="867" spans="1:15" x14ac:dyDescent="0.25">
      <c r="A867" s="64" t="s">
        <v>179</v>
      </c>
      <c r="B867" s="79" t="str">
        <f>IF(Fourth!B120="", "",Fourth!B120)</f>
        <v/>
      </c>
      <c r="C867" s="66" t="str">
        <f>IF(Fourth!C120="", "",Fourth!C120)</f>
        <v/>
      </c>
      <c r="D867" s="66" t="str">
        <f>IF(Fourth!D120="", "",Fourth!D120)</f>
        <v/>
      </c>
      <c r="E867" s="66" t="str">
        <f>IF(Fourth!E120="", "",Fourth!E120)</f>
        <v/>
      </c>
      <c r="F867" s="66" t="str">
        <f>IF(Fourth!F120="", "",Fourth!F120)</f>
        <v/>
      </c>
      <c r="G867" s="66" t="str">
        <f>IF(Fourth!G120="", "",Fourth!G120)</f>
        <v/>
      </c>
      <c r="H867" s="66" t="str">
        <f>IF(Fourth!H120="", "",Fourth!H120)</f>
        <v/>
      </c>
      <c r="I867" s="66" t="str">
        <f>IF(Fourth!I120="", "",Fourth!I120)</f>
        <v/>
      </c>
      <c r="J867" s="66" t="str">
        <f>IF(Fourth!J120="", "",Fourth!J120)</f>
        <v/>
      </c>
      <c r="K867" s="86" t="str">
        <f>IF(Fourth!K120="", "",Fourth!K120)</f>
        <v/>
      </c>
      <c r="M867" s="67" t="str">
        <f t="shared" si="41"/>
        <v/>
      </c>
      <c r="N867" s="76" t="str">
        <f t="shared" si="42"/>
        <v/>
      </c>
      <c r="O867" s="33">
        <f t="shared" si="40"/>
        <v>0</v>
      </c>
    </row>
    <row r="868" spans="1:15" x14ac:dyDescent="0.25">
      <c r="A868" s="64" t="s">
        <v>179</v>
      </c>
      <c r="B868" s="79" t="str">
        <f>IF(Fourth!B121="", "",Fourth!B121)</f>
        <v/>
      </c>
      <c r="C868" s="66" t="str">
        <f>IF(Fourth!C121="", "",Fourth!C121)</f>
        <v/>
      </c>
      <c r="D868" s="66" t="str">
        <f>IF(Fourth!D121="", "",Fourth!D121)</f>
        <v/>
      </c>
      <c r="E868" s="66" t="str">
        <f>IF(Fourth!E121="", "",Fourth!E121)</f>
        <v/>
      </c>
      <c r="F868" s="66" t="str">
        <f>IF(Fourth!F121="", "",Fourth!F121)</f>
        <v/>
      </c>
      <c r="G868" s="66" t="str">
        <f>IF(Fourth!G121="", "",Fourth!G121)</f>
        <v/>
      </c>
      <c r="H868" s="66" t="str">
        <f>IF(Fourth!H121="", "",Fourth!H121)</f>
        <v/>
      </c>
      <c r="I868" s="66" t="str">
        <f>IF(Fourth!I121="", "",Fourth!I121)</f>
        <v/>
      </c>
      <c r="J868" s="66" t="str">
        <f>IF(Fourth!J121="", "",Fourth!J121)</f>
        <v/>
      </c>
      <c r="K868" s="86" t="str">
        <f>IF(Fourth!K121="", "",Fourth!K121)</f>
        <v/>
      </c>
      <c r="M868" s="67" t="str">
        <f t="shared" si="41"/>
        <v/>
      </c>
      <c r="N868" s="76" t="str">
        <f t="shared" si="42"/>
        <v/>
      </c>
      <c r="O868" s="33">
        <f t="shared" si="40"/>
        <v>0</v>
      </c>
    </row>
    <row r="869" spans="1:15" x14ac:dyDescent="0.25">
      <c r="A869" s="64" t="s">
        <v>179</v>
      </c>
      <c r="B869" s="79" t="str">
        <f>IF(Fourth!B122="", "",Fourth!B122)</f>
        <v/>
      </c>
      <c r="C869" s="66" t="str">
        <f>IF(Fourth!C122="", "",Fourth!C122)</f>
        <v/>
      </c>
      <c r="D869" s="66" t="str">
        <f>IF(Fourth!D122="", "",Fourth!D122)</f>
        <v/>
      </c>
      <c r="E869" s="66" t="str">
        <f>IF(Fourth!E122="", "",Fourth!E122)</f>
        <v/>
      </c>
      <c r="F869" s="66" t="str">
        <f>IF(Fourth!F122="", "",Fourth!F122)</f>
        <v/>
      </c>
      <c r="G869" s="66" t="str">
        <f>IF(Fourth!G122="", "",Fourth!G122)</f>
        <v/>
      </c>
      <c r="H869" s="66" t="str">
        <f>IF(Fourth!H122="", "",Fourth!H122)</f>
        <v/>
      </c>
      <c r="I869" s="66" t="str">
        <f>IF(Fourth!I122="", "",Fourth!I122)</f>
        <v/>
      </c>
      <c r="J869" s="66" t="str">
        <f>IF(Fourth!J122="", "",Fourth!J122)</f>
        <v/>
      </c>
      <c r="K869" s="86" t="str">
        <f>IF(Fourth!K122="", "",Fourth!K122)</f>
        <v/>
      </c>
      <c r="M869" s="67" t="str">
        <f t="shared" si="41"/>
        <v/>
      </c>
      <c r="N869" s="76" t="str">
        <f t="shared" si="42"/>
        <v/>
      </c>
      <c r="O869" s="33">
        <f t="shared" si="40"/>
        <v>0</v>
      </c>
    </row>
    <row r="870" spans="1:15" x14ac:dyDescent="0.25">
      <c r="A870" s="64" t="s">
        <v>179</v>
      </c>
      <c r="B870" s="79" t="str">
        <f>IF(Fourth!B123="", "",Fourth!B123)</f>
        <v/>
      </c>
      <c r="C870" s="66" t="str">
        <f>IF(Fourth!C123="", "",Fourth!C123)</f>
        <v/>
      </c>
      <c r="D870" s="66" t="str">
        <f>IF(Fourth!D123="", "",Fourth!D123)</f>
        <v/>
      </c>
      <c r="E870" s="66" t="str">
        <f>IF(Fourth!E123="", "",Fourth!E123)</f>
        <v/>
      </c>
      <c r="F870" s="66" t="str">
        <f>IF(Fourth!F123="", "",Fourth!F123)</f>
        <v/>
      </c>
      <c r="G870" s="66" t="str">
        <f>IF(Fourth!G123="", "",Fourth!G123)</f>
        <v/>
      </c>
      <c r="H870" s="66" t="str">
        <f>IF(Fourth!H123="", "",Fourth!H123)</f>
        <v/>
      </c>
      <c r="I870" s="66" t="str">
        <f>IF(Fourth!I123="", "",Fourth!I123)</f>
        <v/>
      </c>
      <c r="J870" s="66" t="str">
        <f>IF(Fourth!J123="", "",Fourth!J123)</f>
        <v/>
      </c>
      <c r="K870" s="86" t="str">
        <f>IF(Fourth!K123="", "",Fourth!K123)</f>
        <v/>
      </c>
      <c r="M870" s="67" t="str">
        <f t="shared" si="41"/>
        <v/>
      </c>
      <c r="N870" s="76" t="str">
        <f t="shared" si="42"/>
        <v/>
      </c>
      <c r="O870" s="33">
        <f t="shared" si="40"/>
        <v>0</v>
      </c>
    </row>
    <row r="871" spans="1:15" x14ac:dyDescent="0.25">
      <c r="A871" s="64" t="s">
        <v>179</v>
      </c>
      <c r="B871" s="79" t="str">
        <f>IF(Fourth!B124="", "",Fourth!B124)</f>
        <v/>
      </c>
      <c r="C871" s="66" t="str">
        <f>IF(Fourth!C124="", "",Fourth!C124)</f>
        <v/>
      </c>
      <c r="D871" s="66" t="str">
        <f>IF(Fourth!D124="", "",Fourth!D124)</f>
        <v/>
      </c>
      <c r="E871" s="66" t="str">
        <f>IF(Fourth!E124="", "",Fourth!E124)</f>
        <v/>
      </c>
      <c r="F871" s="66" t="str">
        <f>IF(Fourth!F124="", "",Fourth!F124)</f>
        <v/>
      </c>
      <c r="G871" s="66" t="str">
        <f>IF(Fourth!G124="", "",Fourth!G124)</f>
        <v/>
      </c>
      <c r="H871" s="66" t="str">
        <f>IF(Fourth!H124="", "",Fourth!H124)</f>
        <v/>
      </c>
      <c r="I871" s="66" t="str">
        <f>IF(Fourth!I124="", "",Fourth!I124)</f>
        <v/>
      </c>
      <c r="J871" s="66" t="str">
        <f>IF(Fourth!J124="", "",Fourth!J124)</f>
        <v/>
      </c>
      <c r="K871" s="86" t="str">
        <f>IF(Fourth!K124="", "",Fourth!K124)</f>
        <v/>
      </c>
      <c r="M871" s="67" t="str">
        <f t="shared" si="41"/>
        <v/>
      </c>
      <c r="N871" s="76" t="str">
        <f t="shared" si="42"/>
        <v/>
      </c>
      <c r="O871" s="33">
        <f t="shared" si="40"/>
        <v>0</v>
      </c>
    </row>
    <row r="872" spans="1:15" x14ac:dyDescent="0.25">
      <c r="A872" s="64" t="s">
        <v>179</v>
      </c>
      <c r="B872" s="79" t="str">
        <f>IF(Fourth!B125="", "",Fourth!B125)</f>
        <v/>
      </c>
      <c r="C872" s="66" t="str">
        <f>IF(Fourth!C125="", "",Fourth!C125)</f>
        <v/>
      </c>
      <c r="D872" s="66" t="str">
        <f>IF(Fourth!D125="", "",Fourth!D125)</f>
        <v/>
      </c>
      <c r="E872" s="66" t="str">
        <f>IF(Fourth!E125="", "",Fourth!E125)</f>
        <v/>
      </c>
      <c r="F872" s="66" t="str">
        <f>IF(Fourth!F125="", "",Fourth!F125)</f>
        <v/>
      </c>
      <c r="G872" s="66" t="str">
        <f>IF(Fourth!G125="", "",Fourth!G125)</f>
        <v/>
      </c>
      <c r="H872" s="66" t="str">
        <f>IF(Fourth!H125="", "",Fourth!H125)</f>
        <v/>
      </c>
      <c r="I872" s="66" t="str">
        <f>IF(Fourth!I125="", "",Fourth!I125)</f>
        <v/>
      </c>
      <c r="J872" s="66" t="str">
        <f>IF(Fourth!J125="", "",Fourth!J125)</f>
        <v/>
      </c>
      <c r="K872" s="86" t="str">
        <f>IF(Fourth!K125="", "",Fourth!K125)</f>
        <v/>
      </c>
      <c r="M872" s="67" t="str">
        <f t="shared" si="41"/>
        <v/>
      </c>
      <c r="N872" s="76" t="str">
        <f t="shared" si="42"/>
        <v/>
      </c>
      <c r="O872" s="33">
        <f t="shared" si="40"/>
        <v>0</v>
      </c>
    </row>
    <row r="873" spans="1:15" x14ac:dyDescent="0.25">
      <c r="A873" s="64" t="s">
        <v>179</v>
      </c>
      <c r="B873" s="79" t="str">
        <f>IF(Fourth!B126="", "",Fourth!B126)</f>
        <v/>
      </c>
      <c r="C873" s="66" t="str">
        <f>IF(Fourth!C126="", "",Fourth!C126)</f>
        <v/>
      </c>
      <c r="D873" s="66" t="str">
        <f>IF(Fourth!D126="", "",Fourth!D126)</f>
        <v/>
      </c>
      <c r="E873" s="66" t="str">
        <f>IF(Fourth!E126="", "",Fourth!E126)</f>
        <v/>
      </c>
      <c r="F873" s="66" t="str">
        <f>IF(Fourth!F126="", "",Fourth!F126)</f>
        <v/>
      </c>
      <c r="G873" s="66" t="str">
        <f>IF(Fourth!G126="", "",Fourth!G126)</f>
        <v/>
      </c>
      <c r="H873" s="66" t="str">
        <f>IF(Fourth!H126="", "",Fourth!H126)</f>
        <v/>
      </c>
      <c r="I873" s="66" t="str">
        <f>IF(Fourth!I126="", "",Fourth!I126)</f>
        <v/>
      </c>
      <c r="J873" s="66" t="str">
        <f>IF(Fourth!J126="", "",Fourth!J126)</f>
        <v/>
      </c>
      <c r="K873" s="86" t="str">
        <f>IF(Fourth!K126="", "",Fourth!K126)</f>
        <v/>
      </c>
      <c r="M873" s="67" t="str">
        <f t="shared" si="41"/>
        <v/>
      </c>
      <c r="N873" s="76" t="str">
        <f t="shared" si="42"/>
        <v/>
      </c>
      <c r="O873" s="33">
        <f t="shared" si="40"/>
        <v>0</v>
      </c>
    </row>
    <row r="874" spans="1:15" x14ac:dyDescent="0.25">
      <c r="A874" s="64" t="s">
        <v>179</v>
      </c>
      <c r="B874" s="79" t="str">
        <f>IF(Fourth!B127="", "",Fourth!B127)</f>
        <v/>
      </c>
      <c r="C874" s="66" t="str">
        <f>IF(Fourth!C127="", "",Fourth!C127)</f>
        <v/>
      </c>
      <c r="D874" s="66" t="str">
        <f>IF(Fourth!D127="", "",Fourth!D127)</f>
        <v/>
      </c>
      <c r="E874" s="66" t="str">
        <f>IF(Fourth!E127="", "",Fourth!E127)</f>
        <v/>
      </c>
      <c r="F874" s="66" t="str">
        <f>IF(Fourth!F127="", "",Fourth!F127)</f>
        <v/>
      </c>
      <c r="G874" s="66" t="str">
        <f>IF(Fourth!G127="", "",Fourth!G127)</f>
        <v/>
      </c>
      <c r="H874" s="66" t="str">
        <f>IF(Fourth!H127="", "",Fourth!H127)</f>
        <v/>
      </c>
      <c r="I874" s="66" t="str">
        <f>IF(Fourth!I127="", "",Fourth!I127)</f>
        <v/>
      </c>
      <c r="J874" s="66" t="str">
        <f>IF(Fourth!J127="", "",Fourth!J127)</f>
        <v/>
      </c>
      <c r="K874" s="86" t="str">
        <f>IF(Fourth!K127="", "",Fourth!K127)</f>
        <v/>
      </c>
      <c r="M874" s="67" t="str">
        <f t="shared" si="41"/>
        <v/>
      </c>
      <c r="N874" s="76" t="str">
        <f t="shared" si="42"/>
        <v/>
      </c>
      <c r="O874" s="33">
        <f t="shared" si="40"/>
        <v>0</v>
      </c>
    </row>
    <row r="875" spans="1:15" x14ac:dyDescent="0.25">
      <c r="A875" s="64" t="s">
        <v>179</v>
      </c>
      <c r="B875" s="79" t="str">
        <f>IF(Fourth!B128="", "",Fourth!B128)</f>
        <v/>
      </c>
      <c r="C875" s="66" t="str">
        <f>IF(Fourth!C128="", "",Fourth!C128)</f>
        <v/>
      </c>
      <c r="D875" s="66" t="str">
        <f>IF(Fourth!D128="", "",Fourth!D128)</f>
        <v/>
      </c>
      <c r="E875" s="66" t="str">
        <f>IF(Fourth!E128="", "",Fourth!E128)</f>
        <v/>
      </c>
      <c r="F875" s="66" t="str">
        <f>IF(Fourth!F128="", "",Fourth!F128)</f>
        <v/>
      </c>
      <c r="G875" s="66" t="str">
        <f>IF(Fourth!G128="", "",Fourth!G128)</f>
        <v/>
      </c>
      <c r="H875" s="66" t="str">
        <f>IF(Fourth!H128="", "",Fourth!H128)</f>
        <v/>
      </c>
      <c r="I875" s="66" t="str">
        <f>IF(Fourth!I128="", "",Fourth!I128)</f>
        <v/>
      </c>
      <c r="J875" s="66" t="str">
        <f>IF(Fourth!J128="", "",Fourth!J128)</f>
        <v/>
      </c>
      <c r="K875" s="86" t="str">
        <f>IF(Fourth!K128="", "",Fourth!K128)</f>
        <v/>
      </c>
      <c r="M875" s="67" t="str">
        <f t="shared" si="41"/>
        <v/>
      </c>
      <c r="N875" s="76" t="str">
        <f t="shared" si="42"/>
        <v/>
      </c>
      <c r="O875" s="33">
        <f t="shared" si="40"/>
        <v>0</v>
      </c>
    </row>
    <row r="876" spans="1:15" x14ac:dyDescent="0.25">
      <c r="A876" s="64" t="s">
        <v>179</v>
      </c>
      <c r="B876" s="79" t="str">
        <f>IF(Fourth!B129="", "",Fourth!B129)</f>
        <v/>
      </c>
      <c r="C876" s="66" t="str">
        <f>IF(Fourth!C129="", "",Fourth!C129)</f>
        <v/>
      </c>
      <c r="D876" s="66" t="str">
        <f>IF(Fourth!D129="", "",Fourth!D129)</f>
        <v/>
      </c>
      <c r="E876" s="66" t="str">
        <f>IF(Fourth!E129="", "",Fourth!E129)</f>
        <v/>
      </c>
      <c r="F876" s="66" t="str">
        <f>IF(Fourth!F129="", "",Fourth!F129)</f>
        <v/>
      </c>
      <c r="G876" s="66" t="str">
        <f>IF(Fourth!G129="", "",Fourth!G129)</f>
        <v/>
      </c>
      <c r="H876" s="66" t="str">
        <f>IF(Fourth!H129="", "",Fourth!H129)</f>
        <v/>
      </c>
      <c r="I876" s="66" t="str">
        <f>IF(Fourth!I129="", "",Fourth!I129)</f>
        <v/>
      </c>
      <c r="J876" s="66" t="str">
        <f>IF(Fourth!J129="", "",Fourth!J129)</f>
        <v/>
      </c>
      <c r="K876" s="86" t="str">
        <f>IF(Fourth!K129="", "",Fourth!K129)</f>
        <v/>
      </c>
      <c r="M876" s="67" t="str">
        <f t="shared" si="41"/>
        <v/>
      </c>
      <c r="N876" s="76" t="str">
        <f t="shared" si="42"/>
        <v/>
      </c>
      <c r="O876" s="33">
        <f t="shared" si="40"/>
        <v>0</v>
      </c>
    </row>
    <row r="877" spans="1:15" x14ac:dyDescent="0.25">
      <c r="A877" s="64" t="s">
        <v>179</v>
      </c>
      <c r="B877" s="79" t="str">
        <f>IF(Fourth!B130="", "",Fourth!B130)</f>
        <v/>
      </c>
      <c r="C877" s="66" t="str">
        <f>IF(Fourth!C130="", "",Fourth!C130)</f>
        <v/>
      </c>
      <c r="D877" s="66" t="str">
        <f>IF(Fourth!D130="", "",Fourth!D130)</f>
        <v/>
      </c>
      <c r="E877" s="66" t="str">
        <f>IF(Fourth!E130="", "",Fourth!E130)</f>
        <v/>
      </c>
      <c r="F877" s="66" t="str">
        <f>IF(Fourth!F130="", "",Fourth!F130)</f>
        <v/>
      </c>
      <c r="G877" s="66" t="str">
        <f>IF(Fourth!G130="", "",Fourth!G130)</f>
        <v/>
      </c>
      <c r="H877" s="66" t="str">
        <f>IF(Fourth!H130="", "",Fourth!H130)</f>
        <v/>
      </c>
      <c r="I877" s="66" t="str">
        <f>IF(Fourth!I130="", "",Fourth!I130)</f>
        <v/>
      </c>
      <c r="J877" s="66" t="str">
        <f>IF(Fourth!J130="", "",Fourth!J130)</f>
        <v/>
      </c>
      <c r="K877" s="86" t="str">
        <f>IF(Fourth!K130="", "",Fourth!K130)</f>
        <v/>
      </c>
      <c r="M877" s="67" t="str">
        <f t="shared" si="41"/>
        <v/>
      </c>
      <c r="N877" s="76" t="str">
        <f t="shared" si="42"/>
        <v/>
      </c>
      <c r="O877" s="33">
        <f t="shared" si="40"/>
        <v>0</v>
      </c>
    </row>
    <row r="878" spans="1:15" x14ac:dyDescent="0.25">
      <c r="A878" s="64" t="s">
        <v>179</v>
      </c>
      <c r="B878" s="79" t="str">
        <f>IF(Fourth!B131="", "",Fourth!B131)</f>
        <v/>
      </c>
      <c r="C878" s="66" t="str">
        <f>IF(Fourth!C131="", "",Fourth!C131)</f>
        <v/>
      </c>
      <c r="D878" s="66" t="str">
        <f>IF(Fourth!D131="", "",Fourth!D131)</f>
        <v/>
      </c>
      <c r="E878" s="66" t="str">
        <f>IF(Fourth!E131="", "",Fourth!E131)</f>
        <v/>
      </c>
      <c r="F878" s="66" t="str">
        <f>IF(Fourth!F131="", "",Fourth!F131)</f>
        <v/>
      </c>
      <c r="G878" s="66" t="str">
        <f>IF(Fourth!G131="", "",Fourth!G131)</f>
        <v/>
      </c>
      <c r="H878" s="66" t="str">
        <f>IF(Fourth!H131="", "",Fourth!H131)</f>
        <v/>
      </c>
      <c r="I878" s="66" t="str">
        <f>IF(Fourth!I131="", "",Fourth!I131)</f>
        <v/>
      </c>
      <c r="J878" s="66" t="str">
        <f>IF(Fourth!J131="", "",Fourth!J131)</f>
        <v/>
      </c>
      <c r="K878" s="86" t="str">
        <f>IF(Fourth!K131="", "",Fourth!K131)</f>
        <v/>
      </c>
      <c r="M878" s="67" t="str">
        <f t="shared" si="41"/>
        <v/>
      </c>
      <c r="N878" s="76" t="str">
        <f t="shared" si="42"/>
        <v/>
      </c>
      <c r="O878" s="33">
        <f t="shared" si="40"/>
        <v>0</v>
      </c>
    </row>
    <row r="879" spans="1:15" x14ac:dyDescent="0.25">
      <c r="A879" s="64" t="s">
        <v>179</v>
      </c>
      <c r="B879" s="79" t="str">
        <f>IF(Fourth!B132="", "",Fourth!B132)</f>
        <v/>
      </c>
      <c r="C879" s="66" t="str">
        <f>IF(Fourth!C132="", "",Fourth!C132)</f>
        <v/>
      </c>
      <c r="D879" s="66" t="str">
        <f>IF(Fourth!D132="", "",Fourth!D132)</f>
        <v/>
      </c>
      <c r="E879" s="66" t="str">
        <f>IF(Fourth!E132="", "",Fourth!E132)</f>
        <v/>
      </c>
      <c r="F879" s="66" t="str">
        <f>IF(Fourth!F132="", "",Fourth!F132)</f>
        <v/>
      </c>
      <c r="G879" s="66" t="str">
        <f>IF(Fourth!G132="", "",Fourth!G132)</f>
        <v/>
      </c>
      <c r="H879" s="66" t="str">
        <f>IF(Fourth!H132="", "",Fourth!H132)</f>
        <v/>
      </c>
      <c r="I879" s="66" t="str">
        <f>IF(Fourth!I132="", "",Fourth!I132)</f>
        <v/>
      </c>
      <c r="J879" s="66" t="str">
        <f>IF(Fourth!J132="", "",Fourth!J132)</f>
        <v/>
      </c>
      <c r="K879" s="86" t="str">
        <f>IF(Fourth!K132="", "",Fourth!K132)</f>
        <v/>
      </c>
      <c r="M879" s="67" t="str">
        <f t="shared" si="41"/>
        <v/>
      </c>
      <c r="N879" s="76" t="str">
        <f t="shared" si="42"/>
        <v/>
      </c>
      <c r="O879" s="33">
        <f t="shared" si="40"/>
        <v>0</v>
      </c>
    </row>
    <row r="880" spans="1:15" x14ac:dyDescent="0.25">
      <c r="A880" s="64" t="s">
        <v>179</v>
      </c>
      <c r="B880" s="79" t="str">
        <f>IF(Fourth!B133="", "",Fourth!B133)</f>
        <v/>
      </c>
      <c r="C880" s="66" t="str">
        <f>IF(Fourth!C133="", "",Fourth!C133)</f>
        <v/>
      </c>
      <c r="D880" s="66" t="str">
        <f>IF(Fourth!D133="", "",Fourth!D133)</f>
        <v/>
      </c>
      <c r="E880" s="66" t="str">
        <f>IF(Fourth!E133="", "",Fourth!E133)</f>
        <v/>
      </c>
      <c r="F880" s="66" t="str">
        <f>IF(Fourth!F133="", "",Fourth!F133)</f>
        <v/>
      </c>
      <c r="G880" s="66" t="str">
        <f>IF(Fourth!G133="", "",Fourth!G133)</f>
        <v/>
      </c>
      <c r="H880" s="66" t="str">
        <f>IF(Fourth!H133="", "",Fourth!H133)</f>
        <v/>
      </c>
      <c r="I880" s="66" t="str">
        <f>IF(Fourth!I133="", "",Fourth!I133)</f>
        <v/>
      </c>
      <c r="J880" s="66" t="str">
        <f>IF(Fourth!J133="", "",Fourth!J133)</f>
        <v/>
      </c>
      <c r="K880" s="86" t="str">
        <f>IF(Fourth!K133="", "",Fourth!K133)</f>
        <v/>
      </c>
      <c r="M880" s="67" t="str">
        <f t="shared" si="41"/>
        <v/>
      </c>
      <c r="N880" s="76" t="str">
        <f t="shared" si="42"/>
        <v/>
      </c>
      <c r="O880" s="33">
        <f t="shared" si="40"/>
        <v>0</v>
      </c>
    </row>
    <row r="881" spans="1:15" x14ac:dyDescent="0.25">
      <c r="A881" s="64" t="s">
        <v>179</v>
      </c>
      <c r="B881" s="79" t="str">
        <f>IF(Fourth!B134="", "",Fourth!B134)</f>
        <v/>
      </c>
      <c r="C881" s="66" t="str">
        <f>IF(Fourth!C134="", "",Fourth!C134)</f>
        <v/>
      </c>
      <c r="D881" s="66" t="str">
        <f>IF(Fourth!D134="", "",Fourth!D134)</f>
        <v/>
      </c>
      <c r="E881" s="66" t="str">
        <f>IF(Fourth!E134="", "",Fourth!E134)</f>
        <v/>
      </c>
      <c r="F881" s="66" t="str">
        <f>IF(Fourth!F134="", "",Fourth!F134)</f>
        <v/>
      </c>
      <c r="G881" s="66" t="str">
        <f>IF(Fourth!G134="", "",Fourth!G134)</f>
        <v/>
      </c>
      <c r="H881" s="66" t="str">
        <f>IF(Fourth!H134="", "",Fourth!H134)</f>
        <v/>
      </c>
      <c r="I881" s="66" t="str">
        <f>IF(Fourth!I134="", "",Fourth!I134)</f>
        <v/>
      </c>
      <c r="J881" s="66" t="str">
        <f>IF(Fourth!J134="", "",Fourth!J134)</f>
        <v/>
      </c>
      <c r="K881" s="86" t="str">
        <f>IF(Fourth!K134="", "",Fourth!K134)</f>
        <v/>
      </c>
      <c r="M881" s="67" t="str">
        <f t="shared" si="41"/>
        <v/>
      </c>
      <c r="N881" s="76" t="str">
        <f t="shared" si="42"/>
        <v/>
      </c>
      <c r="O881" s="33">
        <f t="shared" si="40"/>
        <v>0</v>
      </c>
    </row>
    <row r="882" spans="1:15" x14ac:dyDescent="0.25">
      <c r="A882" s="64" t="s">
        <v>179</v>
      </c>
      <c r="B882" s="79" t="str">
        <f>IF(Fourth!B135="", "",Fourth!B135)</f>
        <v/>
      </c>
      <c r="C882" s="66" t="str">
        <f>IF(Fourth!C135="", "",Fourth!C135)</f>
        <v/>
      </c>
      <c r="D882" s="66" t="str">
        <f>IF(Fourth!D135="", "",Fourth!D135)</f>
        <v/>
      </c>
      <c r="E882" s="66" t="str">
        <f>IF(Fourth!E135="", "",Fourth!E135)</f>
        <v/>
      </c>
      <c r="F882" s="66" t="str">
        <f>IF(Fourth!F135="", "",Fourth!F135)</f>
        <v/>
      </c>
      <c r="G882" s="66" t="str">
        <f>IF(Fourth!G135="", "",Fourth!G135)</f>
        <v/>
      </c>
      <c r="H882" s="66" t="str">
        <f>IF(Fourth!H135="", "",Fourth!H135)</f>
        <v/>
      </c>
      <c r="I882" s="66" t="str">
        <f>IF(Fourth!I135="", "",Fourth!I135)</f>
        <v/>
      </c>
      <c r="J882" s="66" t="str">
        <f>IF(Fourth!J135="", "",Fourth!J135)</f>
        <v/>
      </c>
      <c r="K882" s="86" t="str">
        <f>IF(Fourth!K135="", "",Fourth!K135)</f>
        <v/>
      </c>
      <c r="M882" s="67" t="str">
        <f t="shared" si="41"/>
        <v/>
      </c>
      <c r="N882" s="76" t="str">
        <f t="shared" si="42"/>
        <v/>
      </c>
      <c r="O882" s="33">
        <f t="shared" si="40"/>
        <v>0</v>
      </c>
    </row>
    <row r="883" spans="1:15" x14ac:dyDescent="0.25">
      <c r="A883" s="64" t="s">
        <v>179</v>
      </c>
      <c r="B883" s="79" t="str">
        <f>IF(Fourth!B136="", "",Fourth!B136)</f>
        <v/>
      </c>
      <c r="C883" s="66" t="str">
        <f>IF(Fourth!C136="", "",Fourth!C136)</f>
        <v/>
      </c>
      <c r="D883" s="66" t="str">
        <f>IF(Fourth!D136="", "",Fourth!D136)</f>
        <v/>
      </c>
      <c r="E883" s="66" t="str">
        <f>IF(Fourth!E136="", "",Fourth!E136)</f>
        <v/>
      </c>
      <c r="F883" s="66" t="str">
        <f>IF(Fourth!F136="", "",Fourth!F136)</f>
        <v/>
      </c>
      <c r="G883" s="66" t="str">
        <f>IF(Fourth!G136="", "",Fourth!G136)</f>
        <v/>
      </c>
      <c r="H883" s="66" t="str">
        <f>IF(Fourth!H136="", "",Fourth!H136)</f>
        <v/>
      </c>
      <c r="I883" s="66" t="str">
        <f>IF(Fourth!I136="", "",Fourth!I136)</f>
        <v/>
      </c>
      <c r="J883" s="66" t="str">
        <f>IF(Fourth!J136="", "",Fourth!J136)</f>
        <v/>
      </c>
      <c r="K883" s="86" t="str">
        <f>IF(Fourth!K136="", "",Fourth!K136)</f>
        <v/>
      </c>
      <c r="M883" s="67" t="str">
        <f t="shared" si="41"/>
        <v/>
      </c>
      <c r="N883" s="76" t="str">
        <f t="shared" si="42"/>
        <v/>
      </c>
      <c r="O883" s="33">
        <f t="shared" si="40"/>
        <v>0</v>
      </c>
    </row>
    <row r="884" spans="1:15" x14ac:dyDescent="0.25">
      <c r="A884" s="64" t="s">
        <v>179</v>
      </c>
      <c r="B884" s="79" t="str">
        <f>IF(Fourth!B137="", "",Fourth!B137)</f>
        <v/>
      </c>
      <c r="C884" s="66" t="str">
        <f>IF(Fourth!C137="", "",Fourth!C137)</f>
        <v/>
      </c>
      <c r="D884" s="66" t="str">
        <f>IF(Fourth!D137="", "",Fourth!D137)</f>
        <v/>
      </c>
      <c r="E884" s="66" t="str">
        <f>IF(Fourth!E137="", "",Fourth!E137)</f>
        <v/>
      </c>
      <c r="F884" s="66" t="str">
        <f>IF(Fourth!F137="", "",Fourth!F137)</f>
        <v/>
      </c>
      <c r="G884" s="66" t="str">
        <f>IF(Fourth!G137="", "",Fourth!G137)</f>
        <v/>
      </c>
      <c r="H884" s="66" t="str">
        <f>IF(Fourth!H137="", "",Fourth!H137)</f>
        <v/>
      </c>
      <c r="I884" s="66" t="str">
        <f>IF(Fourth!I137="", "",Fourth!I137)</f>
        <v/>
      </c>
      <c r="J884" s="66" t="str">
        <f>IF(Fourth!J137="", "",Fourth!J137)</f>
        <v/>
      </c>
      <c r="K884" s="86" t="str">
        <f>IF(Fourth!K137="", "",Fourth!K137)</f>
        <v/>
      </c>
      <c r="M884" s="67" t="str">
        <f t="shared" si="41"/>
        <v/>
      </c>
      <c r="N884" s="76" t="str">
        <f t="shared" si="42"/>
        <v/>
      </c>
      <c r="O884" s="33">
        <f t="shared" si="40"/>
        <v>0</v>
      </c>
    </row>
    <row r="885" spans="1:15" x14ac:dyDescent="0.25">
      <c r="A885" s="64" t="s">
        <v>179</v>
      </c>
      <c r="B885" s="79" t="str">
        <f>IF(Fourth!B138="", "",Fourth!B138)</f>
        <v/>
      </c>
      <c r="C885" s="66" t="str">
        <f>IF(Fourth!C138="", "",Fourth!C138)</f>
        <v/>
      </c>
      <c r="D885" s="66" t="str">
        <f>IF(Fourth!D138="", "",Fourth!D138)</f>
        <v/>
      </c>
      <c r="E885" s="66" t="str">
        <f>IF(Fourth!E138="", "",Fourth!E138)</f>
        <v/>
      </c>
      <c r="F885" s="66" t="str">
        <f>IF(Fourth!F138="", "",Fourth!F138)</f>
        <v/>
      </c>
      <c r="G885" s="66" t="str">
        <f>IF(Fourth!G138="", "",Fourth!G138)</f>
        <v/>
      </c>
      <c r="H885" s="66" t="str">
        <f>IF(Fourth!H138="", "",Fourth!H138)</f>
        <v/>
      </c>
      <c r="I885" s="66" t="str">
        <f>IF(Fourth!I138="", "",Fourth!I138)</f>
        <v/>
      </c>
      <c r="J885" s="66" t="str">
        <f>IF(Fourth!J138="", "",Fourth!J138)</f>
        <v/>
      </c>
      <c r="K885" s="86" t="str">
        <f>IF(Fourth!K138="", "",Fourth!K138)</f>
        <v/>
      </c>
      <c r="M885" s="67" t="str">
        <f t="shared" si="41"/>
        <v/>
      </c>
      <c r="N885" s="76" t="str">
        <f t="shared" si="42"/>
        <v/>
      </c>
      <c r="O885" s="33">
        <f t="shared" si="40"/>
        <v>0</v>
      </c>
    </row>
    <row r="886" spans="1:15" x14ac:dyDescent="0.25">
      <c r="A886" s="64" t="s">
        <v>179</v>
      </c>
      <c r="B886" s="79" t="str">
        <f>IF(Fourth!B139="", "",Fourth!B139)</f>
        <v/>
      </c>
      <c r="C886" s="66" t="str">
        <f>IF(Fourth!C139="", "",Fourth!C139)</f>
        <v/>
      </c>
      <c r="D886" s="66" t="str">
        <f>IF(Fourth!D139="", "",Fourth!D139)</f>
        <v/>
      </c>
      <c r="E886" s="66" t="str">
        <f>IF(Fourth!E139="", "",Fourth!E139)</f>
        <v/>
      </c>
      <c r="F886" s="66" t="str">
        <f>IF(Fourth!F139="", "",Fourth!F139)</f>
        <v/>
      </c>
      <c r="G886" s="66" t="str">
        <f>IF(Fourth!G139="", "",Fourth!G139)</f>
        <v/>
      </c>
      <c r="H886" s="66" t="str">
        <f>IF(Fourth!H139="", "",Fourth!H139)</f>
        <v/>
      </c>
      <c r="I886" s="66" t="str">
        <f>IF(Fourth!I139="", "",Fourth!I139)</f>
        <v/>
      </c>
      <c r="J886" s="66" t="str">
        <f>IF(Fourth!J139="", "",Fourth!J139)</f>
        <v/>
      </c>
      <c r="K886" s="86" t="str">
        <f>IF(Fourth!K139="", "",Fourth!K139)</f>
        <v/>
      </c>
      <c r="M886" s="67" t="str">
        <f t="shared" si="41"/>
        <v/>
      </c>
      <c r="N886" s="76" t="str">
        <f t="shared" si="42"/>
        <v/>
      </c>
      <c r="O886" s="33">
        <f t="shared" si="40"/>
        <v>0</v>
      </c>
    </row>
    <row r="887" spans="1:15" x14ac:dyDescent="0.25">
      <c r="A887" s="64" t="s">
        <v>179</v>
      </c>
      <c r="B887" s="79" t="str">
        <f>IF(Fourth!B140="", "",Fourth!B140)</f>
        <v/>
      </c>
      <c r="C887" s="66" t="str">
        <f>IF(Fourth!C140="", "",Fourth!C140)</f>
        <v/>
      </c>
      <c r="D887" s="66" t="str">
        <f>IF(Fourth!D140="", "",Fourth!D140)</f>
        <v/>
      </c>
      <c r="E887" s="66" t="str">
        <f>IF(Fourth!E140="", "",Fourth!E140)</f>
        <v/>
      </c>
      <c r="F887" s="66" t="str">
        <f>IF(Fourth!F140="", "",Fourth!F140)</f>
        <v/>
      </c>
      <c r="G887" s="66" t="str">
        <f>IF(Fourth!G140="", "",Fourth!G140)</f>
        <v/>
      </c>
      <c r="H887" s="66" t="str">
        <f>IF(Fourth!H140="", "",Fourth!H140)</f>
        <v/>
      </c>
      <c r="I887" s="66" t="str">
        <f>IF(Fourth!I140="", "",Fourth!I140)</f>
        <v/>
      </c>
      <c r="J887" s="66" t="str">
        <f>IF(Fourth!J140="", "",Fourth!J140)</f>
        <v/>
      </c>
      <c r="K887" s="86" t="str">
        <f>IF(Fourth!K140="", "",Fourth!K140)</f>
        <v/>
      </c>
      <c r="M887" s="67" t="str">
        <f t="shared" si="41"/>
        <v/>
      </c>
      <c r="N887" s="76" t="str">
        <f t="shared" si="42"/>
        <v/>
      </c>
      <c r="O887" s="33">
        <f t="shared" si="40"/>
        <v>0</v>
      </c>
    </row>
    <row r="888" spans="1:15" x14ac:dyDescent="0.25">
      <c r="A888" s="64" t="s">
        <v>179</v>
      </c>
      <c r="B888" s="79" t="str">
        <f>IF(Fourth!B141="", "",Fourth!B141)</f>
        <v/>
      </c>
      <c r="C888" s="66" t="str">
        <f>IF(Fourth!C141="", "",Fourth!C141)</f>
        <v/>
      </c>
      <c r="D888" s="66" t="str">
        <f>IF(Fourth!D141="", "",Fourth!D141)</f>
        <v/>
      </c>
      <c r="E888" s="66" t="str">
        <f>IF(Fourth!E141="", "",Fourth!E141)</f>
        <v/>
      </c>
      <c r="F888" s="66" t="str">
        <f>IF(Fourth!F141="", "",Fourth!F141)</f>
        <v/>
      </c>
      <c r="G888" s="66" t="str">
        <f>IF(Fourth!G141="", "",Fourth!G141)</f>
        <v/>
      </c>
      <c r="H888" s="66" t="str">
        <f>IF(Fourth!H141="", "",Fourth!H141)</f>
        <v/>
      </c>
      <c r="I888" s="66" t="str">
        <f>IF(Fourth!I141="", "",Fourth!I141)</f>
        <v/>
      </c>
      <c r="J888" s="66" t="str">
        <f>IF(Fourth!J141="", "",Fourth!J141)</f>
        <v/>
      </c>
      <c r="K888" s="86" t="str">
        <f>IF(Fourth!K141="", "",Fourth!K141)</f>
        <v/>
      </c>
      <c r="M888" s="67" t="str">
        <f t="shared" si="41"/>
        <v/>
      </c>
      <c r="N888" s="76" t="str">
        <f t="shared" si="42"/>
        <v/>
      </c>
      <c r="O888" s="33">
        <f t="shared" si="40"/>
        <v>0</v>
      </c>
    </row>
    <row r="889" spans="1:15" x14ac:dyDescent="0.25">
      <c r="A889" s="64" t="s">
        <v>179</v>
      </c>
      <c r="B889" s="79" t="str">
        <f>IF(Fourth!B142="", "",Fourth!B142)</f>
        <v/>
      </c>
      <c r="C889" s="66" t="str">
        <f>IF(Fourth!C142="", "",Fourth!C142)</f>
        <v/>
      </c>
      <c r="D889" s="66" t="str">
        <f>IF(Fourth!D142="", "",Fourth!D142)</f>
        <v/>
      </c>
      <c r="E889" s="66" t="str">
        <f>IF(Fourth!E142="", "",Fourth!E142)</f>
        <v/>
      </c>
      <c r="F889" s="66" t="str">
        <f>IF(Fourth!F142="", "",Fourth!F142)</f>
        <v/>
      </c>
      <c r="G889" s="66" t="str">
        <f>IF(Fourth!G142="", "",Fourth!G142)</f>
        <v/>
      </c>
      <c r="H889" s="66" t="str">
        <f>IF(Fourth!H142="", "",Fourth!H142)</f>
        <v/>
      </c>
      <c r="I889" s="66" t="str">
        <f>IF(Fourth!I142="", "",Fourth!I142)</f>
        <v/>
      </c>
      <c r="J889" s="66" t="str">
        <f>IF(Fourth!J142="", "",Fourth!J142)</f>
        <v/>
      </c>
      <c r="K889" s="86" t="str">
        <f>IF(Fourth!K142="", "",Fourth!K142)</f>
        <v/>
      </c>
      <c r="M889" s="67" t="str">
        <f t="shared" si="41"/>
        <v/>
      </c>
      <c r="N889" s="76" t="str">
        <f t="shared" si="42"/>
        <v/>
      </c>
      <c r="O889" s="33">
        <f t="shared" si="40"/>
        <v>0</v>
      </c>
    </row>
    <row r="890" spans="1:15" x14ac:dyDescent="0.25">
      <c r="A890" s="64" t="s">
        <v>179</v>
      </c>
      <c r="B890" s="79" t="str">
        <f>IF(Fourth!B143="", "",Fourth!B143)</f>
        <v/>
      </c>
      <c r="C890" s="66" t="str">
        <f>IF(Fourth!C143="", "",Fourth!C143)</f>
        <v/>
      </c>
      <c r="D890" s="66" t="str">
        <f>IF(Fourth!D143="", "",Fourth!D143)</f>
        <v/>
      </c>
      <c r="E890" s="66" t="str">
        <f>IF(Fourth!E143="", "",Fourth!E143)</f>
        <v/>
      </c>
      <c r="F890" s="66" t="str">
        <f>IF(Fourth!F143="", "",Fourth!F143)</f>
        <v/>
      </c>
      <c r="G890" s="66" t="str">
        <f>IF(Fourth!G143="", "",Fourth!G143)</f>
        <v/>
      </c>
      <c r="H890" s="66" t="str">
        <f>IF(Fourth!H143="", "",Fourth!H143)</f>
        <v/>
      </c>
      <c r="I890" s="66" t="str">
        <f>IF(Fourth!I143="", "",Fourth!I143)</f>
        <v/>
      </c>
      <c r="J890" s="66" t="str">
        <f>IF(Fourth!J143="", "",Fourth!J143)</f>
        <v/>
      </c>
      <c r="K890" s="86" t="str">
        <f>IF(Fourth!K143="", "",Fourth!K143)</f>
        <v/>
      </c>
      <c r="M890" s="67" t="str">
        <f t="shared" si="41"/>
        <v/>
      </c>
      <c r="N890" s="76" t="str">
        <f t="shared" si="42"/>
        <v/>
      </c>
      <c r="O890" s="33">
        <f t="shared" si="40"/>
        <v>0</v>
      </c>
    </row>
    <row r="891" spans="1:15" x14ac:dyDescent="0.25">
      <c r="A891" s="64" t="s">
        <v>179</v>
      </c>
      <c r="B891" s="79" t="str">
        <f>IF(Fourth!B144="", "",Fourth!B144)</f>
        <v/>
      </c>
      <c r="C891" s="66" t="str">
        <f>IF(Fourth!C144="", "",Fourth!C144)</f>
        <v/>
      </c>
      <c r="D891" s="66" t="str">
        <f>IF(Fourth!D144="", "",Fourth!D144)</f>
        <v/>
      </c>
      <c r="E891" s="66" t="str">
        <f>IF(Fourth!E144="", "",Fourth!E144)</f>
        <v/>
      </c>
      <c r="F891" s="66" t="str">
        <f>IF(Fourth!F144="", "",Fourth!F144)</f>
        <v/>
      </c>
      <c r="G891" s="66" t="str">
        <f>IF(Fourth!G144="", "",Fourth!G144)</f>
        <v/>
      </c>
      <c r="H891" s="66" t="str">
        <f>IF(Fourth!H144="", "",Fourth!H144)</f>
        <v/>
      </c>
      <c r="I891" s="66" t="str">
        <f>IF(Fourth!I144="", "",Fourth!I144)</f>
        <v/>
      </c>
      <c r="J891" s="66" t="str">
        <f>IF(Fourth!J144="", "",Fourth!J144)</f>
        <v/>
      </c>
      <c r="K891" s="86" t="str">
        <f>IF(Fourth!K144="", "",Fourth!K144)</f>
        <v/>
      </c>
      <c r="M891" s="67" t="str">
        <f t="shared" si="41"/>
        <v/>
      </c>
      <c r="N891" s="76" t="str">
        <f t="shared" si="42"/>
        <v/>
      </c>
      <c r="O891" s="33">
        <f t="shared" si="40"/>
        <v>0</v>
      </c>
    </row>
    <row r="892" spans="1:15" x14ac:dyDescent="0.25">
      <c r="A892" s="64" t="s">
        <v>179</v>
      </c>
      <c r="B892" s="79" t="str">
        <f>IF(Fourth!B145="", "",Fourth!B145)</f>
        <v/>
      </c>
      <c r="C892" s="66" t="str">
        <f>IF(Fourth!C145="", "",Fourth!C145)</f>
        <v/>
      </c>
      <c r="D892" s="66" t="str">
        <f>IF(Fourth!D145="", "",Fourth!D145)</f>
        <v/>
      </c>
      <c r="E892" s="66" t="str">
        <f>IF(Fourth!E145="", "",Fourth!E145)</f>
        <v/>
      </c>
      <c r="F892" s="66" t="str">
        <f>IF(Fourth!F145="", "",Fourth!F145)</f>
        <v/>
      </c>
      <c r="G892" s="66" t="str">
        <f>IF(Fourth!G145="", "",Fourth!G145)</f>
        <v/>
      </c>
      <c r="H892" s="66" t="str">
        <f>IF(Fourth!H145="", "",Fourth!H145)</f>
        <v/>
      </c>
      <c r="I892" s="66" t="str">
        <f>IF(Fourth!I145="", "",Fourth!I145)</f>
        <v/>
      </c>
      <c r="J892" s="66" t="str">
        <f>IF(Fourth!J145="", "",Fourth!J145)</f>
        <v/>
      </c>
      <c r="K892" s="86" t="str">
        <f>IF(Fourth!K145="", "",Fourth!K145)</f>
        <v/>
      </c>
      <c r="M892" s="67" t="str">
        <f t="shared" si="41"/>
        <v/>
      </c>
      <c r="N892" s="76" t="str">
        <f t="shared" si="42"/>
        <v/>
      </c>
      <c r="O892" s="33">
        <f t="shared" si="40"/>
        <v>0</v>
      </c>
    </row>
    <row r="893" spans="1:15" x14ac:dyDescent="0.25">
      <c r="A893" s="64" t="s">
        <v>179</v>
      </c>
      <c r="B893" s="79" t="str">
        <f>IF(Fourth!B146="", "",Fourth!B146)</f>
        <v/>
      </c>
      <c r="C893" s="66" t="str">
        <f>IF(Fourth!C146="", "",Fourth!C146)</f>
        <v/>
      </c>
      <c r="D893" s="66" t="str">
        <f>IF(Fourth!D146="", "",Fourth!D146)</f>
        <v/>
      </c>
      <c r="E893" s="66" t="str">
        <f>IF(Fourth!E146="", "",Fourth!E146)</f>
        <v/>
      </c>
      <c r="F893" s="66" t="str">
        <f>IF(Fourth!F146="", "",Fourth!F146)</f>
        <v/>
      </c>
      <c r="G893" s="66" t="str">
        <f>IF(Fourth!G146="", "",Fourth!G146)</f>
        <v/>
      </c>
      <c r="H893" s="66" t="str">
        <f>IF(Fourth!H146="", "",Fourth!H146)</f>
        <v/>
      </c>
      <c r="I893" s="66" t="str">
        <f>IF(Fourth!I146="", "",Fourth!I146)</f>
        <v/>
      </c>
      <c r="J893" s="66" t="str">
        <f>IF(Fourth!J146="", "",Fourth!J146)</f>
        <v/>
      </c>
      <c r="K893" s="86" t="str">
        <f>IF(Fourth!K146="", "",Fourth!K146)</f>
        <v/>
      </c>
      <c r="M893" s="67" t="str">
        <f t="shared" si="41"/>
        <v/>
      </c>
      <c r="N893" s="76" t="str">
        <f t="shared" si="42"/>
        <v/>
      </c>
      <c r="O893" s="33">
        <f t="shared" si="40"/>
        <v>0</v>
      </c>
    </row>
    <row r="894" spans="1:15" x14ac:dyDescent="0.25">
      <c r="A894" s="64" t="s">
        <v>179</v>
      </c>
      <c r="B894" s="79" t="str">
        <f>IF(Fourth!B147="", "",Fourth!B147)</f>
        <v/>
      </c>
      <c r="C894" s="66" t="str">
        <f>IF(Fourth!C147="", "",Fourth!C147)</f>
        <v/>
      </c>
      <c r="D894" s="66" t="str">
        <f>IF(Fourth!D147="", "",Fourth!D147)</f>
        <v/>
      </c>
      <c r="E894" s="66" t="str">
        <f>IF(Fourth!E147="", "",Fourth!E147)</f>
        <v/>
      </c>
      <c r="F894" s="66" t="str">
        <f>IF(Fourth!F147="", "",Fourth!F147)</f>
        <v/>
      </c>
      <c r="G894" s="66" t="str">
        <f>IF(Fourth!G147="", "",Fourth!G147)</f>
        <v/>
      </c>
      <c r="H894" s="66" t="str">
        <f>IF(Fourth!H147="", "",Fourth!H147)</f>
        <v/>
      </c>
      <c r="I894" s="66" t="str">
        <f>IF(Fourth!I147="", "",Fourth!I147)</f>
        <v/>
      </c>
      <c r="J894" s="66" t="str">
        <f>IF(Fourth!J147="", "",Fourth!J147)</f>
        <v/>
      </c>
      <c r="K894" s="86" t="str">
        <f>IF(Fourth!K147="", "",Fourth!K147)</f>
        <v/>
      </c>
      <c r="M894" s="67" t="str">
        <f t="shared" si="41"/>
        <v/>
      </c>
      <c r="N894" s="76" t="str">
        <f t="shared" si="42"/>
        <v/>
      </c>
      <c r="O894" s="33">
        <f t="shared" si="40"/>
        <v>0</v>
      </c>
    </row>
    <row r="895" spans="1:15" x14ac:dyDescent="0.25">
      <c r="A895" s="64" t="s">
        <v>179</v>
      </c>
      <c r="B895" s="79" t="str">
        <f>IF(Fourth!B148="", "",Fourth!B148)</f>
        <v/>
      </c>
      <c r="C895" s="66" t="str">
        <f>IF(Fourth!C148="", "",Fourth!C148)</f>
        <v/>
      </c>
      <c r="D895" s="66" t="str">
        <f>IF(Fourth!D148="", "",Fourth!D148)</f>
        <v/>
      </c>
      <c r="E895" s="66" t="str">
        <f>IF(Fourth!E148="", "",Fourth!E148)</f>
        <v/>
      </c>
      <c r="F895" s="66" t="str">
        <f>IF(Fourth!F148="", "",Fourth!F148)</f>
        <v/>
      </c>
      <c r="G895" s="66" t="str">
        <f>IF(Fourth!G148="", "",Fourth!G148)</f>
        <v/>
      </c>
      <c r="H895" s="66" t="str">
        <f>IF(Fourth!H148="", "",Fourth!H148)</f>
        <v/>
      </c>
      <c r="I895" s="66" t="str">
        <f>IF(Fourth!I148="", "",Fourth!I148)</f>
        <v/>
      </c>
      <c r="J895" s="66" t="str">
        <f>IF(Fourth!J148="", "",Fourth!J148)</f>
        <v/>
      </c>
      <c r="K895" s="86" t="str">
        <f>IF(Fourth!K148="", "",Fourth!K148)</f>
        <v/>
      </c>
      <c r="M895" s="67" t="str">
        <f t="shared" si="41"/>
        <v/>
      </c>
      <c r="N895" s="76" t="str">
        <f t="shared" si="42"/>
        <v/>
      </c>
      <c r="O895" s="33">
        <f t="shared" si="40"/>
        <v>0</v>
      </c>
    </row>
    <row r="896" spans="1:15" x14ac:dyDescent="0.25">
      <c r="A896" s="64" t="s">
        <v>179</v>
      </c>
      <c r="B896" s="79" t="str">
        <f>IF(Fourth!B149="", "",Fourth!B149)</f>
        <v/>
      </c>
      <c r="C896" s="66" t="str">
        <f>IF(Fourth!C149="", "",Fourth!C149)</f>
        <v/>
      </c>
      <c r="D896" s="66" t="str">
        <f>IF(Fourth!D149="", "",Fourth!D149)</f>
        <v/>
      </c>
      <c r="E896" s="66" t="str">
        <f>IF(Fourth!E149="", "",Fourth!E149)</f>
        <v/>
      </c>
      <c r="F896" s="66" t="str">
        <f>IF(Fourth!F149="", "",Fourth!F149)</f>
        <v/>
      </c>
      <c r="G896" s="66" t="str">
        <f>IF(Fourth!G149="", "",Fourth!G149)</f>
        <v/>
      </c>
      <c r="H896" s="66" t="str">
        <f>IF(Fourth!H149="", "",Fourth!H149)</f>
        <v/>
      </c>
      <c r="I896" s="66" t="str">
        <f>IF(Fourth!I149="", "",Fourth!I149)</f>
        <v/>
      </c>
      <c r="J896" s="66" t="str">
        <f>IF(Fourth!J149="", "",Fourth!J149)</f>
        <v/>
      </c>
      <c r="K896" s="86" t="str">
        <f>IF(Fourth!K149="", "",Fourth!K149)</f>
        <v/>
      </c>
      <c r="M896" s="67" t="str">
        <f t="shared" si="41"/>
        <v/>
      </c>
      <c r="N896" s="76" t="str">
        <f t="shared" si="42"/>
        <v/>
      </c>
      <c r="O896" s="33">
        <f t="shared" si="40"/>
        <v>0</v>
      </c>
    </row>
    <row r="897" spans="1:15" x14ac:dyDescent="0.25">
      <c r="A897" s="64" t="s">
        <v>179</v>
      </c>
      <c r="B897" s="79" t="str">
        <f>IF(Fourth!B150="", "",Fourth!B150)</f>
        <v/>
      </c>
      <c r="C897" s="66" t="str">
        <f>IF(Fourth!C150="", "",Fourth!C150)</f>
        <v/>
      </c>
      <c r="D897" s="66" t="str">
        <f>IF(Fourth!D150="", "",Fourth!D150)</f>
        <v/>
      </c>
      <c r="E897" s="66" t="str">
        <f>IF(Fourth!E150="", "",Fourth!E150)</f>
        <v/>
      </c>
      <c r="F897" s="66" t="str">
        <f>IF(Fourth!F150="", "",Fourth!F150)</f>
        <v/>
      </c>
      <c r="G897" s="66" t="str">
        <f>IF(Fourth!G150="", "",Fourth!G150)</f>
        <v/>
      </c>
      <c r="H897" s="66" t="str">
        <f>IF(Fourth!H150="", "",Fourth!H150)</f>
        <v/>
      </c>
      <c r="I897" s="66" t="str">
        <f>IF(Fourth!I150="", "",Fourth!I150)</f>
        <v/>
      </c>
      <c r="J897" s="66" t="str">
        <f>IF(Fourth!J150="", "",Fourth!J150)</f>
        <v/>
      </c>
      <c r="K897" s="86" t="str">
        <f>IF(Fourth!K150="", "",Fourth!K150)</f>
        <v/>
      </c>
      <c r="M897" s="67" t="str">
        <f t="shared" si="41"/>
        <v/>
      </c>
      <c r="N897" s="76" t="str">
        <f t="shared" si="42"/>
        <v/>
      </c>
      <c r="O897" s="33">
        <f t="shared" si="40"/>
        <v>0</v>
      </c>
    </row>
    <row r="898" spans="1:15" x14ac:dyDescent="0.25">
      <c r="A898" s="64" t="s">
        <v>179</v>
      </c>
      <c r="B898" s="79" t="str">
        <f>IF(Fourth!B151="", "",Fourth!B151)</f>
        <v/>
      </c>
      <c r="C898" s="66" t="str">
        <f>IF(Fourth!C151="", "",Fourth!C151)</f>
        <v/>
      </c>
      <c r="D898" s="66" t="str">
        <f>IF(Fourth!D151="", "",Fourth!D151)</f>
        <v/>
      </c>
      <c r="E898" s="66" t="str">
        <f>IF(Fourth!E151="", "",Fourth!E151)</f>
        <v/>
      </c>
      <c r="F898" s="66" t="str">
        <f>IF(Fourth!F151="", "",Fourth!F151)</f>
        <v/>
      </c>
      <c r="G898" s="66" t="str">
        <f>IF(Fourth!G151="", "",Fourth!G151)</f>
        <v/>
      </c>
      <c r="H898" s="66" t="str">
        <f>IF(Fourth!H151="", "",Fourth!H151)</f>
        <v/>
      </c>
      <c r="I898" s="66" t="str">
        <f>IF(Fourth!I151="", "",Fourth!I151)</f>
        <v/>
      </c>
      <c r="J898" s="66" t="str">
        <f>IF(Fourth!J151="", "",Fourth!J151)</f>
        <v/>
      </c>
      <c r="K898" s="86" t="str">
        <f>IF(Fourth!K151="", "",Fourth!K151)</f>
        <v/>
      </c>
      <c r="M898" s="67" t="str">
        <f t="shared" si="41"/>
        <v/>
      </c>
      <c r="N898" s="76" t="str">
        <f t="shared" si="42"/>
        <v/>
      </c>
      <c r="O898" s="33">
        <f t="shared" ref="O898:O961" si="43">SUM(M898:N898)</f>
        <v>0</v>
      </c>
    </row>
    <row r="899" spans="1:15" x14ac:dyDescent="0.25">
      <c r="A899" s="64" t="s">
        <v>179</v>
      </c>
      <c r="B899" s="79" t="str">
        <f>IF(Fourth!B152="", "",Fourth!B152)</f>
        <v/>
      </c>
      <c r="C899" s="66" t="str">
        <f>IF(Fourth!C152="", "",Fourth!C152)</f>
        <v/>
      </c>
      <c r="D899" s="66" t="str">
        <f>IF(Fourth!D152="", "",Fourth!D152)</f>
        <v/>
      </c>
      <c r="E899" s="66" t="str">
        <f>IF(Fourth!E152="", "",Fourth!E152)</f>
        <v/>
      </c>
      <c r="F899" s="66" t="str">
        <f>IF(Fourth!F152="", "",Fourth!F152)</f>
        <v/>
      </c>
      <c r="G899" s="66" t="str">
        <f>IF(Fourth!G152="", "",Fourth!G152)</f>
        <v/>
      </c>
      <c r="H899" s="66" t="str">
        <f>IF(Fourth!H152="", "",Fourth!H152)</f>
        <v/>
      </c>
      <c r="I899" s="66" t="str">
        <f>IF(Fourth!I152="", "",Fourth!I152)</f>
        <v/>
      </c>
      <c r="J899" s="66" t="str">
        <f>IF(Fourth!J152="", "",Fourth!J152)</f>
        <v/>
      </c>
      <c r="K899" s="86" t="str">
        <f>IF(Fourth!K152="", "",Fourth!K152)</f>
        <v/>
      </c>
      <c r="M899" s="67" t="str">
        <f t="shared" ref="M899:M962" si="44">IF(C899="PwC",(7-COUNTIF(B899:H899,"")),"")</f>
        <v/>
      </c>
      <c r="N899" s="76" t="str">
        <f t="shared" ref="N899:N962" si="45">IF(C899="Carer",(7-COUNTIF(B899:H899,"")),"")</f>
        <v/>
      </c>
      <c r="O899" s="33">
        <f t="shared" si="43"/>
        <v>0</v>
      </c>
    </row>
    <row r="900" spans="1:15" x14ac:dyDescent="0.25">
      <c r="A900" s="64" t="s">
        <v>179</v>
      </c>
      <c r="B900" s="79" t="str">
        <f>IF(Fourth!B153="", "",Fourth!B153)</f>
        <v/>
      </c>
      <c r="C900" s="66" t="str">
        <f>IF(Fourth!C153="", "",Fourth!C153)</f>
        <v/>
      </c>
      <c r="D900" s="66" t="str">
        <f>IF(Fourth!D153="", "",Fourth!D153)</f>
        <v/>
      </c>
      <c r="E900" s="66" t="str">
        <f>IF(Fourth!E153="", "",Fourth!E153)</f>
        <v/>
      </c>
      <c r="F900" s="66" t="str">
        <f>IF(Fourth!F153="", "",Fourth!F153)</f>
        <v/>
      </c>
      <c r="G900" s="66" t="str">
        <f>IF(Fourth!G153="", "",Fourth!G153)</f>
        <v/>
      </c>
      <c r="H900" s="66" t="str">
        <f>IF(Fourth!H153="", "",Fourth!H153)</f>
        <v/>
      </c>
      <c r="I900" s="66" t="str">
        <f>IF(Fourth!I153="", "",Fourth!I153)</f>
        <v/>
      </c>
      <c r="J900" s="66" t="str">
        <f>IF(Fourth!J153="", "",Fourth!J153)</f>
        <v/>
      </c>
      <c r="K900" s="86" t="str">
        <f>IF(Fourth!K153="", "",Fourth!K153)</f>
        <v/>
      </c>
      <c r="M900" s="67" t="str">
        <f t="shared" si="44"/>
        <v/>
      </c>
      <c r="N900" s="76" t="str">
        <f t="shared" si="45"/>
        <v/>
      </c>
      <c r="O900" s="33">
        <f t="shared" si="43"/>
        <v>0</v>
      </c>
    </row>
    <row r="901" spans="1:15" x14ac:dyDescent="0.25">
      <c r="A901" s="64" t="s">
        <v>179</v>
      </c>
      <c r="B901" s="79" t="str">
        <f>IF(Fourth!B154="", "",Fourth!B154)</f>
        <v/>
      </c>
      <c r="C901" s="66" t="str">
        <f>IF(Fourth!C154="", "",Fourth!C154)</f>
        <v/>
      </c>
      <c r="D901" s="66" t="str">
        <f>IF(Fourth!D154="", "",Fourth!D154)</f>
        <v/>
      </c>
      <c r="E901" s="66" t="str">
        <f>IF(Fourth!E154="", "",Fourth!E154)</f>
        <v/>
      </c>
      <c r="F901" s="66" t="str">
        <f>IF(Fourth!F154="", "",Fourth!F154)</f>
        <v/>
      </c>
      <c r="G901" s="66" t="str">
        <f>IF(Fourth!G154="", "",Fourth!G154)</f>
        <v/>
      </c>
      <c r="H901" s="66" t="str">
        <f>IF(Fourth!H154="", "",Fourth!H154)</f>
        <v/>
      </c>
      <c r="I901" s="66" t="str">
        <f>IF(Fourth!I154="", "",Fourth!I154)</f>
        <v/>
      </c>
      <c r="J901" s="66" t="str">
        <f>IF(Fourth!J154="", "",Fourth!J154)</f>
        <v/>
      </c>
      <c r="K901" s="86" t="str">
        <f>IF(Fourth!K154="", "",Fourth!K154)</f>
        <v/>
      </c>
      <c r="M901" s="67" t="str">
        <f t="shared" si="44"/>
        <v/>
      </c>
      <c r="N901" s="76" t="str">
        <f t="shared" si="45"/>
        <v/>
      </c>
      <c r="O901" s="33">
        <f t="shared" si="43"/>
        <v>0</v>
      </c>
    </row>
    <row r="902" spans="1:15" x14ac:dyDescent="0.25">
      <c r="A902" s="64" t="s">
        <v>179</v>
      </c>
      <c r="B902" s="79" t="str">
        <f>IF(Fourth!B155="", "",Fourth!B155)</f>
        <v/>
      </c>
      <c r="C902" s="66" t="str">
        <f>IF(Fourth!C155="", "",Fourth!C155)</f>
        <v/>
      </c>
      <c r="D902" s="66" t="str">
        <f>IF(Fourth!D155="", "",Fourth!D155)</f>
        <v/>
      </c>
      <c r="E902" s="66" t="str">
        <f>IF(Fourth!E155="", "",Fourth!E155)</f>
        <v/>
      </c>
      <c r="F902" s="66" t="str">
        <f>IF(Fourth!F155="", "",Fourth!F155)</f>
        <v/>
      </c>
      <c r="G902" s="66" t="str">
        <f>IF(Fourth!G155="", "",Fourth!G155)</f>
        <v/>
      </c>
      <c r="H902" s="66" t="str">
        <f>IF(Fourth!H155="", "",Fourth!H155)</f>
        <v/>
      </c>
      <c r="I902" s="66" t="str">
        <f>IF(Fourth!I155="", "",Fourth!I155)</f>
        <v/>
      </c>
      <c r="J902" s="66" t="str">
        <f>IF(Fourth!J155="", "",Fourth!J155)</f>
        <v/>
      </c>
      <c r="K902" s="86" t="str">
        <f>IF(Fourth!K155="", "",Fourth!K155)</f>
        <v/>
      </c>
      <c r="M902" s="67" t="str">
        <f t="shared" si="44"/>
        <v/>
      </c>
      <c r="N902" s="76" t="str">
        <f t="shared" si="45"/>
        <v/>
      </c>
      <c r="O902" s="33">
        <f t="shared" si="43"/>
        <v>0</v>
      </c>
    </row>
    <row r="903" spans="1:15" x14ac:dyDescent="0.25">
      <c r="A903" s="64" t="s">
        <v>179</v>
      </c>
      <c r="B903" s="79" t="str">
        <f>IF(Fourth!B156="", "",Fourth!B156)</f>
        <v/>
      </c>
      <c r="C903" s="66" t="str">
        <f>IF(Fourth!C156="", "",Fourth!C156)</f>
        <v/>
      </c>
      <c r="D903" s="66" t="str">
        <f>IF(Fourth!D156="", "",Fourth!D156)</f>
        <v/>
      </c>
      <c r="E903" s="66" t="str">
        <f>IF(Fourth!E156="", "",Fourth!E156)</f>
        <v/>
      </c>
      <c r="F903" s="66" t="str">
        <f>IF(Fourth!F156="", "",Fourth!F156)</f>
        <v/>
      </c>
      <c r="G903" s="66" t="str">
        <f>IF(Fourth!G156="", "",Fourth!G156)</f>
        <v/>
      </c>
      <c r="H903" s="66" t="str">
        <f>IF(Fourth!H156="", "",Fourth!H156)</f>
        <v/>
      </c>
      <c r="I903" s="66" t="str">
        <f>IF(Fourth!I156="", "",Fourth!I156)</f>
        <v/>
      </c>
      <c r="J903" s="66" t="str">
        <f>IF(Fourth!J156="", "",Fourth!J156)</f>
        <v/>
      </c>
      <c r="K903" s="86" t="str">
        <f>IF(Fourth!K156="", "",Fourth!K156)</f>
        <v/>
      </c>
      <c r="M903" s="67" t="str">
        <f t="shared" si="44"/>
        <v/>
      </c>
      <c r="N903" s="76" t="str">
        <f t="shared" si="45"/>
        <v/>
      </c>
      <c r="O903" s="33">
        <f t="shared" si="43"/>
        <v>0</v>
      </c>
    </row>
    <row r="904" spans="1:15" x14ac:dyDescent="0.25">
      <c r="A904" s="64" t="s">
        <v>179</v>
      </c>
      <c r="B904" s="79" t="str">
        <f>IF(Fourth!B157="", "",Fourth!B157)</f>
        <v/>
      </c>
      <c r="C904" s="66" t="str">
        <f>IF(Fourth!C157="", "",Fourth!C157)</f>
        <v/>
      </c>
      <c r="D904" s="66" t="str">
        <f>IF(Fourth!D157="", "",Fourth!D157)</f>
        <v/>
      </c>
      <c r="E904" s="66" t="str">
        <f>IF(Fourth!E157="", "",Fourth!E157)</f>
        <v/>
      </c>
      <c r="F904" s="66" t="str">
        <f>IF(Fourth!F157="", "",Fourth!F157)</f>
        <v/>
      </c>
      <c r="G904" s="66" t="str">
        <f>IF(Fourth!G157="", "",Fourth!G157)</f>
        <v/>
      </c>
      <c r="H904" s="66" t="str">
        <f>IF(Fourth!H157="", "",Fourth!H157)</f>
        <v/>
      </c>
      <c r="I904" s="66" t="str">
        <f>IF(Fourth!I157="", "",Fourth!I157)</f>
        <v/>
      </c>
      <c r="J904" s="66" t="str">
        <f>IF(Fourth!J157="", "",Fourth!J157)</f>
        <v/>
      </c>
      <c r="K904" s="86" t="str">
        <f>IF(Fourth!K157="", "",Fourth!K157)</f>
        <v/>
      </c>
      <c r="M904" s="67" t="str">
        <f t="shared" si="44"/>
        <v/>
      </c>
      <c r="N904" s="76" t="str">
        <f t="shared" si="45"/>
        <v/>
      </c>
      <c r="O904" s="33">
        <f t="shared" si="43"/>
        <v>0</v>
      </c>
    </row>
    <row r="905" spans="1:15" x14ac:dyDescent="0.25">
      <c r="A905" s="64" t="s">
        <v>179</v>
      </c>
      <c r="B905" s="79" t="str">
        <f>IF(Fourth!B158="", "",Fourth!B158)</f>
        <v/>
      </c>
      <c r="C905" s="66" t="str">
        <f>IF(Fourth!C158="", "",Fourth!C158)</f>
        <v/>
      </c>
      <c r="D905" s="66" t="str">
        <f>IF(Fourth!D158="", "",Fourth!D158)</f>
        <v/>
      </c>
      <c r="E905" s="66" t="str">
        <f>IF(Fourth!E158="", "",Fourth!E158)</f>
        <v/>
      </c>
      <c r="F905" s="66" t="str">
        <f>IF(Fourth!F158="", "",Fourth!F158)</f>
        <v/>
      </c>
      <c r="G905" s="66" t="str">
        <f>IF(Fourth!G158="", "",Fourth!G158)</f>
        <v/>
      </c>
      <c r="H905" s="66" t="str">
        <f>IF(Fourth!H158="", "",Fourth!H158)</f>
        <v/>
      </c>
      <c r="I905" s="66" t="str">
        <f>IF(Fourth!I158="", "",Fourth!I158)</f>
        <v/>
      </c>
      <c r="J905" s="66" t="str">
        <f>IF(Fourth!J158="", "",Fourth!J158)</f>
        <v/>
      </c>
      <c r="K905" s="86" t="str">
        <f>IF(Fourth!K158="", "",Fourth!K158)</f>
        <v/>
      </c>
      <c r="M905" s="67" t="str">
        <f t="shared" si="44"/>
        <v/>
      </c>
      <c r="N905" s="76" t="str">
        <f t="shared" si="45"/>
        <v/>
      </c>
      <c r="O905" s="33">
        <f t="shared" si="43"/>
        <v>0</v>
      </c>
    </row>
    <row r="906" spans="1:15" x14ac:dyDescent="0.25">
      <c r="A906" s="64" t="s">
        <v>179</v>
      </c>
      <c r="B906" s="79" t="str">
        <f>IF(Fourth!B159="", "",Fourth!B159)</f>
        <v/>
      </c>
      <c r="C906" s="66" t="str">
        <f>IF(Fourth!C159="", "",Fourth!C159)</f>
        <v/>
      </c>
      <c r="D906" s="66" t="str">
        <f>IF(Fourth!D159="", "",Fourth!D159)</f>
        <v/>
      </c>
      <c r="E906" s="66" t="str">
        <f>IF(Fourth!E159="", "",Fourth!E159)</f>
        <v/>
      </c>
      <c r="F906" s="66" t="str">
        <f>IF(Fourth!F159="", "",Fourth!F159)</f>
        <v/>
      </c>
      <c r="G906" s="66" t="str">
        <f>IF(Fourth!G159="", "",Fourth!G159)</f>
        <v/>
      </c>
      <c r="H906" s="66" t="str">
        <f>IF(Fourth!H159="", "",Fourth!H159)</f>
        <v/>
      </c>
      <c r="I906" s="66" t="str">
        <f>IF(Fourth!I159="", "",Fourth!I159)</f>
        <v/>
      </c>
      <c r="J906" s="66" t="str">
        <f>IF(Fourth!J159="", "",Fourth!J159)</f>
        <v/>
      </c>
      <c r="K906" s="86" t="str">
        <f>IF(Fourth!K159="", "",Fourth!K159)</f>
        <v/>
      </c>
      <c r="M906" s="67" t="str">
        <f t="shared" si="44"/>
        <v/>
      </c>
      <c r="N906" s="76" t="str">
        <f t="shared" si="45"/>
        <v/>
      </c>
      <c r="O906" s="33">
        <f t="shared" si="43"/>
        <v>0</v>
      </c>
    </row>
    <row r="907" spans="1:15" x14ac:dyDescent="0.25">
      <c r="A907" s="64" t="s">
        <v>179</v>
      </c>
      <c r="B907" s="79" t="str">
        <f>IF(Fourth!B160="", "",Fourth!B160)</f>
        <v/>
      </c>
      <c r="C907" s="66" t="str">
        <f>IF(Fourth!C160="", "",Fourth!C160)</f>
        <v/>
      </c>
      <c r="D907" s="66" t="str">
        <f>IF(Fourth!D160="", "",Fourth!D160)</f>
        <v/>
      </c>
      <c r="E907" s="66" t="str">
        <f>IF(Fourth!E160="", "",Fourth!E160)</f>
        <v/>
      </c>
      <c r="F907" s="66" t="str">
        <f>IF(Fourth!F160="", "",Fourth!F160)</f>
        <v/>
      </c>
      <c r="G907" s="66" t="str">
        <f>IF(Fourth!G160="", "",Fourth!G160)</f>
        <v/>
      </c>
      <c r="H907" s="66" t="str">
        <f>IF(Fourth!H160="", "",Fourth!H160)</f>
        <v/>
      </c>
      <c r="I907" s="66" t="str">
        <f>IF(Fourth!I160="", "",Fourth!I160)</f>
        <v/>
      </c>
      <c r="J907" s="66" t="str">
        <f>IF(Fourth!J160="", "",Fourth!J160)</f>
        <v/>
      </c>
      <c r="K907" s="86" t="str">
        <f>IF(Fourth!K160="", "",Fourth!K160)</f>
        <v/>
      </c>
      <c r="M907" s="67" t="str">
        <f t="shared" si="44"/>
        <v/>
      </c>
      <c r="N907" s="76" t="str">
        <f t="shared" si="45"/>
        <v/>
      </c>
      <c r="O907" s="33">
        <f t="shared" si="43"/>
        <v>0</v>
      </c>
    </row>
    <row r="908" spans="1:15" x14ac:dyDescent="0.25">
      <c r="A908" s="64" t="s">
        <v>179</v>
      </c>
      <c r="B908" s="79" t="str">
        <f>IF(Fourth!B161="", "",Fourth!B161)</f>
        <v/>
      </c>
      <c r="C908" s="66" t="str">
        <f>IF(Fourth!C161="", "",Fourth!C161)</f>
        <v/>
      </c>
      <c r="D908" s="66" t="str">
        <f>IF(Fourth!D161="", "",Fourth!D161)</f>
        <v/>
      </c>
      <c r="E908" s="66" t="str">
        <f>IF(Fourth!E161="", "",Fourth!E161)</f>
        <v/>
      </c>
      <c r="F908" s="66" t="str">
        <f>IF(Fourth!F161="", "",Fourth!F161)</f>
        <v/>
      </c>
      <c r="G908" s="66" t="str">
        <f>IF(Fourth!G161="", "",Fourth!G161)</f>
        <v/>
      </c>
      <c r="H908" s="66" t="str">
        <f>IF(Fourth!H161="", "",Fourth!H161)</f>
        <v/>
      </c>
      <c r="I908" s="66" t="str">
        <f>IF(Fourth!I161="", "",Fourth!I161)</f>
        <v/>
      </c>
      <c r="J908" s="66" t="str">
        <f>IF(Fourth!J161="", "",Fourth!J161)</f>
        <v/>
      </c>
      <c r="K908" s="86" t="str">
        <f>IF(Fourth!K161="", "",Fourth!K161)</f>
        <v/>
      </c>
      <c r="M908" s="67" t="str">
        <f t="shared" si="44"/>
        <v/>
      </c>
      <c r="N908" s="76" t="str">
        <f t="shared" si="45"/>
        <v/>
      </c>
      <c r="O908" s="33">
        <f t="shared" si="43"/>
        <v>0</v>
      </c>
    </row>
    <row r="909" spans="1:15" x14ac:dyDescent="0.25">
      <c r="A909" s="64" t="s">
        <v>179</v>
      </c>
      <c r="B909" s="79" t="str">
        <f>IF(Fourth!B162="", "",Fourth!B162)</f>
        <v/>
      </c>
      <c r="C909" s="66" t="str">
        <f>IF(Fourth!C162="", "",Fourth!C162)</f>
        <v/>
      </c>
      <c r="D909" s="66" t="str">
        <f>IF(Fourth!D162="", "",Fourth!D162)</f>
        <v/>
      </c>
      <c r="E909" s="66" t="str">
        <f>IF(Fourth!E162="", "",Fourth!E162)</f>
        <v/>
      </c>
      <c r="F909" s="66" t="str">
        <f>IF(Fourth!F162="", "",Fourth!F162)</f>
        <v/>
      </c>
      <c r="G909" s="66" t="str">
        <f>IF(Fourth!G162="", "",Fourth!G162)</f>
        <v/>
      </c>
      <c r="H909" s="66" t="str">
        <f>IF(Fourth!H162="", "",Fourth!H162)</f>
        <v/>
      </c>
      <c r="I909" s="66" t="str">
        <f>IF(Fourth!I162="", "",Fourth!I162)</f>
        <v/>
      </c>
      <c r="J909" s="66" t="str">
        <f>IF(Fourth!J162="", "",Fourth!J162)</f>
        <v/>
      </c>
      <c r="K909" s="86" t="str">
        <f>IF(Fourth!K162="", "",Fourth!K162)</f>
        <v/>
      </c>
      <c r="M909" s="67" t="str">
        <f t="shared" si="44"/>
        <v/>
      </c>
      <c r="N909" s="76" t="str">
        <f t="shared" si="45"/>
        <v/>
      </c>
      <c r="O909" s="33">
        <f t="shared" si="43"/>
        <v>0</v>
      </c>
    </row>
    <row r="910" spans="1:15" x14ac:dyDescent="0.25">
      <c r="A910" s="64" t="s">
        <v>179</v>
      </c>
      <c r="B910" s="79" t="str">
        <f>IF(Fourth!B163="", "",Fourth!B163)</f>
        <v/>
      </c>
      <c r="C910" s="66" t="str">
        <f>IF(Fourth!C163="", "",Fourth!C163)</f>
        <v/>
      </c>
      <c r="D910" s="66" t="str">
        <f>IF(Fourth!D163="", "",Fourth!D163)</f>
        <v/>
      </c>
      <c r="E910" s="66" t="str">
        <f>IF(Fourth!E163="", "",Fourth!E163)</f>
        <v/>
      </c>
      <c r="F910" s="66" t="str">
        <f>IF(Fourth!F163="", "",Fourth!F163)</f>
        <v/>
      </c>
      <c r="G910" s="66" t="str">
        <f>IF(Fourth!G163="", "",Fourth!G163)</f>
        <v/>
      </c>
      <c r="H910" s="66" t="str">
        <f>IF(Fourth!H163="", "",Fourth!H163)</f>
        <v/>
      </c>
      <c r="I910" s="66" t="str">
        <f>IF(Fourth!I163="", "",Fourth!I163)</f>
        <v/>
      </c>
      <c r="J910" s="66" t="str">
        <f>IF(Fourth!J163="", "",Fourth!J163)</f>
        <v/>
      </c>
      <c r="K910" s="86" t="str">
        <f>IF(Fourth!K163="", "",Fourth!K163)</f>
        <v/>
      </c>
      <c r="M910" s="67" t="str">
        <f t="shared" si="44"/>
        <v/>
      </c>
      <c r="N910" s="76" t="str">
        <f t="shared" si="45"/>
        <v/>
      </c>
      <c r="O910" s="33">
        <f t="shared" si="43"/>
        <v>0</v>
      </c>
    </row>
    <row r="911" spans="1:15" x14ac:dyDescent="0.25">
      <c r="A911" s="64" t="s">
        <v>179</v>
      </c>
      <c r="B911" s="79" t="str">
        <f>IF(Fourth!B164="", "",Fourth!B164)</f>
        <v/>
      </c>
      <c r="C911" s="66" t="str">
        <f>IF(Fourth!C164="", "",Fourth!C164)</f>
        <v/>
      </c>
      <c r="D911" s="66" t="str">
        <f>IF(Fourth!D164="", "",Fourth!D164)</f>
        <v/>
      </c>
      <c r="E911" s="66" t="str">
        <f>IF(Fourth!E164="", "",Fourth!E164)</f>
        <v/>
      </c>
      <c r="F911" s="66" t="str">
        <f>IF(Fourth!F164="", "",Fourth!F164)</f>
        <v/>
      </c>
      <c r="G911" s="66" t="str">
        <f>IF(Fourth!G164="", "",Fourth!G164)</f>
        <v/>
      </c>
      <c r="H911" s="66" t="str">
        <f>IF(Fourth!H164="", "",Fourth!H164)</f>
        <v/>
      </c>
      <c r="I911" s="66" t="str">
        <f>IF(Fourth!I164="", "",Fourth!I164)</f>
        <v/>
      </c>
      <c r="J911" s="66" t="str">
        <f>IF(Fourth!J164="", "",Fourth!J164)</f>
        <v/>
      </c>
      <c r="K911" s="86" t="str">
        <f>IF(Fourth!K164="", "",Fourth!K164)</f>
        <v/>
      </c>
      <c r="M911" s="67" t="str">
        <f t="shared" si="44"/>
        <v/>
      </c>
      <c r="N911" s="76" t="str">
        <f t="shared" si="45"/>
        <v/>
      </c>
      <c r="O911" s="33">
        <f t="shared" si="43"/>
        <v>0</v>
      </c>
    </row>
    <row r="912" spans="1:15" x14ac:dyDescent="0.25">
      <c r="A912" s="64" t="s">
        <v>179</v>
      </c>
      <c r="B912" s="79" t="str">
        <f>IF(Fourth!B165="", "",Fourth!B165)</f>
        <v/>
      </c>
      <c r="C912" s="66" t="str">
        <f>IF(Fourth!C165="", "",Fourth!C165)</f>
        <v/>
      </c>
      <c r="D912" s="66" t="str">
        <f>IF(Fourth!D165="", "",Fourth!D165)</f>
        <v/>
      </c>
      <c r="E912" s="66" t="str">
        <f>IF(Fourth!E165="", "",Fourth!E165)</f>
        <v/>
      </c>
      <c r="F912" s="66" t="str">
        <f>IF(Fourth!F165="", "",Fourth!F165)</f>
        <v/>
      </c>
      <c r="G912" s="66" t="str">
        <f>IF(Fourth!G165="", "",Fourth!G165)</f>
        <v/>
      </c>
      <c r="H912" s="66" t="str">
        <f>IF(Fourth!H165="", "",Fourth!H165)</f>
        <v/>
      </c>
      <c r="I912" s="66" t="str">
        <f>IF(Fourth!I165="", "",Fourth!I165)</f>
        <v/>
      </c>
      <c r="J912" s="66" t="str">
        <f>IF(Fourth!J165="", "",Fourth!J165)</f>
        <v/>
      </c>
      <c r="K912" s="86" t="str">
        <f>IF(Fourth!K165="", "",Fourth!K165)</f>
        <v/>
      </c>
      <c r="M912" s="67" t="str">
        <f t="shared" si="44"/>
        <v/>
      </c>
      <c r="N912" s="76" t="str">
        <f t="shared" si="45"/>
        <v/>
      </c>
      <c r="O912" s="33">
        <f t="shared" si="43"/>
        <v>0</v>
      </c>
    </row>
    <row r="913" spans="1:15" x14ac:dyDescent="0.25">
      <c r="A913" s="64" t="s">
        <v>179</v>
      </c>
      <c r="B913" s="79" t="str">
        <f>IF(Fourth!B166="", "",Fourth!B166)</f>
        <v/>
      </c>
      <c r="C913" s="66" t="str">
        <f>IF(Fourth!C166="", "",Fourth!C166)</f>
        <v/>
      </c>
      <c r="D913" s="66" t="str">
        <f>IF(Fourth!D166="", "",Fourth!D166)</f>
        <v/>
      </c>
      <c r="E913" s="66" t="str">
        <f>IF(Fourth!E166="", "",Fourth!E166)</f>
        <v/>
      </c>
      <c r="F913" s="66" t="str">
        <f>IF(Fourth!F166="", "",Fourth!F166)</f>
        <v/>
      </c>
      <c r="G913" s="66" t="str">
        <f>IF(Fourth!G166="", "",Fourth!G166)</f>
        <v/>
      </c>
      <c r="H913" s="66" t="str">
        <f>IF(Fourth!H166="", "",Fourth!H166)</f>
        <v/>
      </c>
      <c r="I913" s="66" t="str">
        <f>IF(Fourth!I166="", "",Fourth!I166)</f>
        <v/>
      </c>
      <c r="J913" s="66" t="str">
        <f>IF(Fourth!J166="", "",Fourth!J166)</f>
        <v/>
      </c>
      <c r="K913" s="86" t="str">
        <f>IF(Fourth!K166="", "",Fourth!K166)</f>
        <v/>
      </c>
      <c r="M913" s="67" t="str">
        <f t="shared" si="44"/>
        <v/>
      </c>
      <c r="N913" s="76" t="str">
        <f t="shared" si="45"/>
        <v/>
      </c>
      <c r="O913" s="33">
        <f t="shared" si="43"/>
        <v>0</v>
      </c>
    </row>
    <row r="914" spans="1:15" x14ac:dyDescent="0.25">
      <c r="A914" s="64" t="s">
        <v>179</v>
      </c>
      <c r="B914" s="79" t="str">
        <f>IF(Fourth!B167="", "",Fourth!B167)</f>
        <v/>
      </c>
      <c r="C914" s="66" t="str">
        <f>IF(Fourth!C167="", "",Fourth!C167)</f>
        <v/>
      </c>
      <c r="D914" s="66" t="str">
        <f>IF(Fourth!D167="", "",Fourth!D167)</f>
        <v/>
      </c>
      <c r="E914" s="66" t="str">
        <f>IF(Fourth!E167="", "",Fourth!E167)</f>
        <v/>
      </c>
      <c r="F914" s="66" t="str">
        <f>IF(Fourth!F167="", "",Fourth!F167)</f>
        <v/>
      </c>
      <c r="G914" s="66" t="str">
        <f>IF(Fourth!G167="", "",Fourth!G167)</f>
        <v/>
      </c>
      <c r="H914" s="66" t="str">
        <f>IF(Fourth!H167="", "",Fourth!H167)</f>
        <v/>
      </c>
      <c r="I914" s="66" t="str">
        <f>IF(Fourth!I167="", "",Fourth!I167)</f>
        <v/>
      </c>
      <c r="J914" s="66" t="str">
        <f>IF(Fourth!J167="", "",Fourth!J167)</f>
        <v/>
      </c>
      <c r="K914" s="86" t="str">
        <f>IF(Fourth!K167="", "",Fourth!K167)</f>
        <v/>
      </c>
      <c r="M914" s="67" t="str">
        <f t="shared" si="44"/>
        <v/>
      </c>
      <c r="N914" s="76" t="str">
        <f t="shared" si="45"/>
        <v/>
      </c>
      <c r="O914" s="33">
        <f t="shared" si="43"/>
        <v>0</v>
      </c>
    </row>
    <row r="915" spans="1:15" x14ac:dyDescent="0.25">
      <c r="A915" s="64" t="s">
        <v>179</v>
      </c>
      <c r="B915" s="79" t="str">
        <f>IF(Fourth!B168="", "",Fourth!B168)</f>
        <v/>
      </c>
      <c r="C915" s="66" t="str">
        <f>IF(Fourth!C168="", "",Fourth!C168)</f>
        <v/>
      </c>
      <c r="D915" s="66" t="str">
        <f>IF(Fourth!D168="", "",Fourth!D168)</f>
        <v/>
      </c>
      <c r="E915" s="66" t="str">
        <f>IF(Fourth!E168="", "",Fourth!E168)</f>
        <v/>
      </c>
      <c r="F915" s="66" t="str">
        <f>IF(Fourth!F168="", "",Fourth!F168)</f>
        <v/>
      </c>
      <c r="G915" s="66" t="str">
        <f>IF(Fourth!G168="", "",Fourth!G168)</f>
        <v/>
      </c>
      <c r="H915" s="66" t="str">
        <f>IF(Fourth!H168="", "",Fourth!H168)</f>
        <v/>
      </c>
      <c r="I915" s="66" t="str">
        <f>IF(Fourth!I168="", "",Fourth!I168)</f>
        <v/>
      </c>
      <c r="J915" s="66" t="str">
        <f>IF(Fourth!J168="", "",Fourth!J168)</f>
        <v/>
      </c>
      <c r="K915" s="86" t="str">
        <f>IF(Fourth!K168="", "",Fourth!K168)</f>
        <v/>
      </c>
      <c r="M915" s="67" t="str">
        <f t="shared" si="44"/>
        <v/>
      </c>
      <c r="N915" s="76" t="str">
        <f t="shared" si="45"/>
        <v/>
      </c>
      <c r="O915" s="33">
        <f t="shared" si="43"/>
        <v>0</v>
      </c>
    </row>
    <row r="916" spans="1:15" x14ac:dyDescent="0.25">
      <c r="A916" s="64" t="s">
        <v>179</v>
      </c>
      <c r="B916" s="79" t="str">
        <f>IF(Fourth!B169="", "",Fourth!B169)</f>
        <v/>
      </c>
      <c r="C916" s="66" t="str">
        <f>IF(Fourth!C169="", "",Fourth!C169)</f>
        <v/>
      </c>
      <c r="D916" s="66" t="str">
        <f>IF(Fourth!D169="", "",Fourth!D169)</f>
        <v/>
      </c>
      <c r="E916" s="66" t="str">
        <f>IF(Fourth!E169="", "",Fourth!E169)</f>
        <v/>
      </c>
      <c r="F916" s="66" t="str">
        <f>IF(Fourth!F169="", "",Fourth!F169)</f>
        <v/>
      </c>
      <c r="G916" s="66" t="str">
        <f>IF(Fourth!G169="", "",Fourth!G169)</f>
        <v/>
      </c>
      <c r="H916" s="66" t="str">
        <f>IF(Fourth!H169="", "",Fourth!H169)</f>
        <v/>
      </c>
      <c r="I916" s="66" t="str">
        <f>IF(Fourth!I169="", "",Fourth!I169)</f>
        <v/>
      </c>
      <c r="J916" s="66" t="str">
        <f>IF(Fourth!J169="", "",Fourth!J169)</f>
        <v/>
      </c>
      <c r="K916" s="86" t="str">
        <f>IF(Fourth!K169="", "",Fourth!K169)</f>
        <v/>
      </c>
      <c r="M916" s="67" t="str">
        <f t="shared" si="44"/>
        <v/>
      </c>
      <c r="N916" s="76" t="str">
        <f t="shared" si="45"/>
        <v/>
      </c>
      <c r="O916" s="33">
        <f t="shared" si="43"/>
        <v>0</v>
      </c>
    </row>
    <row r="917" spans="1:15" x14ac:dyDescent="0.25">
      <c r="A917" s="64" t="s">
        <v>179</v>
      </c>
      <c r="B917" s="79" t="str">
        <f>IF(Fourth!B170="", "",Fourth!B170)</f>
        <v/>
      </c>
      <c r="C917" s="66" t="str">
        <f>IF(Fourth!C170="", "",Fourth!C170)</f>
        <v/>
      </c>
      <c r="D917" s="66" t="str">
        <f>IF(Fourth!D170="", "",Fourth!D170)</f>
        <v/>
      </c>
      <c r="E917" s="66" t="str">
        <f>IF(Fourth!E170="", "",Fourth!E170)</f>
        <v/>
      </c>
      <c r="F917" s="66" t="str">
        <f>IF(Fourth!F170="", "",Fourth!F170)</f>
        <v/>
      </c>
      <c r="G917" s="66" t="str">
        <f>IF(Fourth!G170="", "",Fourth!G170)</f>
        <v/>
      </c>
      <c r="H917" s="66" t="str">
        <f>IF(Fourth!H170="", "",Fourth!H170)</f>
        <v/>
      </c>
      <c r="I917" s="66" t="str">
        <f>IF(Fourth!I170="", "",Fourth!I170)</f>
        <v/>
      </c>
      <c r="J917" s="66" t="str">
        <f>IF(Fourth!J170="", "",Fourth!J170)</f>
        <v/>
      </c>
      <c r="K917" s="86" t="str">
        <f>IF(Fourth!K170="", "",Fourth!K170)</f>
        <v/>
      </c>
      <c r="M917" s="67" t="str">
        <f t="shared" si="44"/>
        <v/>
      </c>
      <c r="N917" s="76" t="str">
        <f t="shared" si="45"/>
        <v/>
      </c>
      <c r="O917" s="33">
        <f t="shared" si="43"/>
        <v>0</v>
      </c>
    </row>
    <row r="918" spans="1:15" x14ac:dyDescent="0.25">
      <c r="A918" s="64" t="s">
        <v>179</v>
      </c>
      <c r="B918" s="79" t="str">
        <f>IF(Fourth!B171="", "",Fourth!B171)</f>
        <v/>
      </c>
      <c r="C918" s="66" t="str">
        <f>IF(Fourth!C171="", "",Fourth!C171)</f>
        <v/>
      </c>
      <c r="D918" s="66" t="str">
        <f>IF(Fourth!D171="", "",Fourth!D171)</f>
        <v/>
      </c>
      <c r="E918" s="66" t="str">
        <f>IF(Fourth!E171="", "",Fourth!E171)</f>
        <v/>
      </c>
      <c r="F918" s="66" t="str">
        <f>IF(Fourth!F171="", "",Fourth!F171)</f>
        <v/>
      </c>
      <c r="G918" s="66" t="str">
        <f>IF(Fourth!G171="", "",Fourth!G171)</f>
        <v/>
      </c>
      <c r="H918" s="66" t="str">
        <f>IF(Fourth!H171="", "",Fourth!H171)</f>
        <v/>
      </c>
      <c r="I918" s="66" t="str">
        <f>IF(Fourth!I171="", "",Fourth!I171)</f>
        <v/>
      </c>
      <c r="J918" s="66" t="str">
        <f>IF(Fourth!J171="", "",Fourth!J171)</f>
        <v/>
      </c>
      <c r="K918" s="86" t="str">
        <f>IF(Fourth!K171="", "",Fourth!K171)</f>
        <v/>
      </c>
      <c r="M918" s="67" t="str">
        <f t="shared" si="44"/>
        <v/>
      </c>
      <c r="N918" s="76" t="str">
        <f t="shared" si="45"/>
        <v/>
      </c>
      <c r="O918" s="33">
        <f t="shared" si="43"/>
        <v>0</v>
      </c>
    </row>
    <row r="919" spans="1:15" x14ac:dyDescent="0.25">
      <c r="A919" s="64" t="s">
        <v>179</v>
      </c>
      <c r="B919" s="79" t="str">
        <f>IF(Fourth!B172="", "",Fourth!B172)</f>
        <v/>
      </c>
      <c r="C919" s="66" t="str">
        <f>IF(Fourth!C172="", "",Fourth!C172)</f>
        <v/>
      </c>
      <c r="D919" s="66" t="str">
        <f>IF(Fourth!D172="", "",Fourth!D172)</f>
        <v/>
      </c>
      <c r="E919" s="66" t="str">
        <f>IF(Fourth!E172="", "",Fourth!E172)</f>
        <v/>
      </c>
      <c r="F919" s="66" t="str">
        <f>IF(Fourth!F172="", "",Fourth!F172)</f>
        <v/>
      </c>
      <c r="G919" s="66" t="str">
        <f>IF(Fourth!G172="", "",Fourth!G172)</f>
        <v/>
      </c>
      <c r="H919" s="66" t="str">
        <f>IF(Fourth!H172="", "",Fourth!H172)</f>
        <v/>
      </c>
      <c r="I919" s="66" t="str">
        <f>IF(Fourth!I172="", "",Fourth!I172)</f>
        <v/>
      </c>
      <c r="J919" s="66" t="str">
        <f>IF(Fourth!J172="", "",Fourth!J172)</f>
        <v/>
      </c>
      <c r="K919" s="86" t="str">
        <f>IF(Fourth!K172="", "",Fourth!K172)</f>
        <v/>
      </c>
      <c r="M919" s="67" t="str">
        <f t="shared" si="44"/>
        <v/>
      </c>
      <c r="N919" s="76" t="str">
        <f t="shared" si="45"/>
        <v/>
      </c>
      <c r="O919" s="33">
        <f t="shared" si="43"/>
        <v>0</v>
      </c>
    </row>
    <row r="920" spans="1:15" x14ac:dyDescent="0.25">
      <c r="A920" s="64" t="s">
        <v>179</v>
      </c>
      <c r="B920" s="79" t="str">
        <f>IF(Fourth!B173="", "",Fourth!B173)</f>
        <v/>
      </c>
      <c r="C920" s="66" t="str">
        <f>IF(Fourth!C173="", "",Fourth!C173)</f>
        <v/>
      </c>
      <c r="D920" s="66" t="str">
        <f>IF(Fourth!D173="", "",Fourth!D173)</f>
        <v/>
      </c>
      <c r="E920" s="66" t="str">
        <f>IF(Fourth!E173="", "",Fourth!E173)</f>
        <v/>
      </c>
      <c r="F920" s="66" t="str">
        <f>IF(Fourth!F173="", "",Fourth!F173)</f>
        <v/>
      </c>
      <c r="G920" s="66" t="str">
        <f>IF(Fourth!G173="", "",Fourth!G173)</f>
        <v/>
      </c>
      <c r="H920" s="66" t="str">
        <f>IF(Fourth!H173="", "",Fourth!H173)</f>
        <v/>
      </c>
      <c r="I920" s="66" t="str">
        <f>IF(Fourth!I173="", "",Fourth!I173)</f>
        <v/>
      </c>
      <c r="J920" s="66" t="str">
        <f>IF(Fourth!J173="", "",Fourth!J173)</f>
        <v/>
      </c>
      <c r="K920" s="86" t="str">
        <f>IF(Fourth!K173="", "",Fourth!K173)</f>
        <v/>
      </c>
      <c r="M920" s="67" t="str">
        <f t="shared" si="44"/>
        <v/>
      </c>
      <c r="N920" s="76" t="str">
        <f t="shared" si="45"/>
        <v/>
      </c>
      <c r="O920" s="33">
        <f t="shared" si="43"/>
        <v>0</v>
      </c>
    </row>
    <row r="921" spans="1:15" x14ac:dyDescent="0.25">
      <c r="A921" s="64" t="s">
        <v>179</v>
      </c>
      <c r="B921" s="79" t="str">
        <f>IF(Fourth!B174="", "",Fourth!B174)</f>
        <v/>
      </c>
      <c r="C921" s="66" t="str">
        <f>IF(Fourth!C174="", "",Fourth!C174)</f>
        <v/>
      </c>
      <c r="D921" s="66" t="str">
        <f>IF(Fourth!D174="", "",Fourth!D174)</f>
        <v/>
      </c>
      <c r="E921" s="66" t="str">
        <f>IF(Fourth!E174="", "",Fourth!E174)</f>
        <v/>
      </c>
      <c r="F921" s="66" t="str">
        <f>IF(Fourth!F174="", "",Fourth!F174)</f>
        <v/>
      </c>
      <c r="G921" s="66" t="str">
        <f>IF(Fourth!G174="", "",Fourth!G174)</f>
        <v/>
      </c>
      <c r="H921" s="66" t="str">
        <f>IF(Fourth!H174="", "",Fourth!H174)</f>
        <v/>
      </c>
      <c r="I921" s="66" t="str">
        <f>IF(Fourth!I174="", "",Fourth!I174)</f>
        <v/>
      </c>
      <c r="J921" s="66" t="str">
        <f>IF(Fourth!J174="", "",Fourth!J174)</f>
        <v/>
      </c>
      <c r="K921" s="86" t="str">
        <f>IF(Fourth!K174="", "",Fourth!K174)</f>
        <v/>
      </c>
      <c r="M921" s="67" t="str">
        <f t="shared" si="44"/>
        <v/>
      </c>
      <c r="N921" s="76" t="str">
        <f t="shared" si="45"/>
        <v/>
      </c>
      <c r="O921" s="33">
        <f t="shared" si="43"/>
        <v>0</v>
      </c>
    </row>
    <row r="922" spans="1:15" x14ac:dyDescent="0.25">
      <c r="A922" s="64" t="s">
        <v>179</v>
      </c>
      <c r="B922" s="79" t="str">
        <f>IF(Fourth!B175="", "",Fourth!B175)</f>
        <v/>
      </c>
      <c r="C922" s="66" t="str">
        <f>IF(Fourth!C175="", "",Fourth!C175)</f>
        <v/>
      </c>
      <c r="D922" s="66" t="str">
        <f>IF(Fourth!D175="", "",Fourth!D175)</f>
        <v/>
      </c>
      <c r="E922" s="66" t="str">
        <f>IF(Fourth!E175="", "",Fourth!E175)</f>
        <v/>
      </c>
      <c r="F922" s="66" t="str">
        <f>IF(Fourth!F175="", "",Fourth!F175)</f>
        <v/>
      </c>
      <c r="G922" s="66" t="str">
        <f>IF(Fourth!G175="", "",Fourth!G175)</f>
        <v/>
      </c>
      <c r="H922" s="66" t="str">
        <f>IF(Fourth!H175="", "",Fourth!H175)</f>
        <v/>
      </c>
      <c r="I922" s="66" t="str">
        <f>IF(Fourth!I175="", "",Fourth!I175)</f>
        <v/>
      </c>
      <c r="J922" s="66" t="str">
        <f>IF(Fourth!J175="", "",Fourth!J175)</f>
        <v/>
      </c>
      <c r="K922" s="86" t="str">
        <f>IF(Fourth!K175="", "",Fourth!K175)</f>
        <v/>
      </c>
      <c r="M922" s="67" t="str">
        <f t="shared" si="44"/>
        <v/>
      </c>
      <c r="N922" s="76" t="str">
        <f t="shared" si="45"/>
        <v/>
      </c>
      <c r="O922" s="33">
        <f t="shared" si="43"/>
        <v>0</v>
      </c>
    </row>
    <row r="923" spans="1:15" x14ac:dyDescent="0.25">
      <c r="A923" s="64" t="s">
        <v>179</v>
      </c>
      <c r="B923" s="79" t="str">
        <f>IF(Fourth!B176="", "",Fourth!B176)</f>
        <v/>
      </c>
      <c r="C923" s="66" t="str">
        <f>IF(Fourth!C176="", "",Fourth!C176)</f>
        <v/>
      </c>
      <c r="D923" s="66" t="str">
        <f>IF(Fourth!D176="", "",Fourth!D176)</f>
        <v/>
      </c>
      <c r="E923" s="66" t="str">
        <f>IF(Fourth!E176="", "",Fourth!E176)</f>
        <v/>
      </c>
      <c r="F923" s="66" t="str">
        <f>IF(Fourth!F176="", "",Fourth!F176)</f>
        <v/>
      </c>
      <c r="G923" s="66" t="str">
        <f>IF(Fourth!G176="", "",Fourth!G176)</f>
        <v/>
      </c>
      <c r="H923" s="66" t="str">
        <f>IF(Fourth!H176="", "",Fourth!H176)</f>
        <v/>
      </c>
      <c r="I923" s="66" t="str">
        <f>IF(Fourth!I176="", "",Fourth!I176)</f>
        <v/>
      </c>
      <c r="J923" s="66" t="str">
        <f>IF(Fourth!J176="", "",Fourth!J176)</f>
        <v/>
      </c>
      <c r="K923" s="86" t="str">
        <f>IF(Fourth!K176="", "",Fourth!K176)</f>
        <v/>
      </c>
      <c r="M923" s="67" t="str">
        <f t="shared" si="44"/>
        <v/>
      </c>
      <c r="N923" s="76" t="str">
        <f t="shared" si="45"/>
        <v/>
      </c>
      <c r="O923" s="33">
        <f t="shared" si="43"/>
        <v>0</v>
      </c>
    </row>
    <row r="924" spans="1:15" x14ac:dyDescent="0.25">
      <c r="A924" s="64" t="s">
        <v>179</v>
      </c>
      <c r="B924" s="79" t="str">
        <f>IF(Fourth!B177="", "",Fourth!B177)</f>
        <v/>
      </c>
      <c r="C924" s="66" t="str">
        <f>IF(Fourth!C177="", "",Fourth!C177)</f>
        <v/>
      </c>
      <c r="D924" s="66" t="str">
        <f>IF(Fourth!D177="", "",Fourth!D177)</f>
        <v/>
      </c>
      <c r="E924" s="66" t="str">
        <f>IF(Fourth!E177="", "",Fourth!E177)</f>
        <v/>
      </c>
      <c r="F924" s="66" t="str">
        <f>IF(Fourth!F177="", "",Fourth!F177)</f>
        <v/>
      </c>
      <c r="G924" s="66" t="str">
        <f>IF(Fourth!G177="", "",Fourth!G177)</f>
        <v/>
      </c>
      <c r="H924" s="66" t="str">
        <f>IF(Fourth!H177="", "",Fourth!H177)</f>
        <v/>
      </c>
      <c r="I924" s="66" t="str">
        <f>IF(Fourth!I177="", "",Fourth!I177)</f>
        <v/>
      </c>
      <c r="J924" s="66" t="str">
        <f>IF(Fourth!J177="", "",Fourth!J177)</f>
        <v/>
      </c>
      <c r="K924" s="86" t="str">
        <f>IF(Fourth!K177="", "",Fourth!K177)</f>
        <v/>
      </c>
      <c r="M924" s="67" t="str">
        <f t="shared" si="44"/>
        <v/>
      </c>
      <c r="N924" s="76" t="str">
        <f t="shared" si="45"/>
        <v/>
      </c>
      <c r="O924" s="33">
        <f t="shared" si="43"/>
        <v>0</v>
      </c>
    </row>
    <row r="925" spans="1:15" x14ac:dyDescent="0.25">
      <c r="A925" s="64" t="s">
        <v>179</v>
      </c>
      <c r="B925" s="79" t="str">
        <f>IF(Fourth!B178="", "",Fourth!B178)</f>
        <v/>
      </c>
      <c r="C925" s="66" t="str">
        <f>IF(Fourth!C178="", "",Fourth!C178)</f>
        <v/>
      </c>
      <c r="D925" s="66" t="str">
        <f>IF(Fourth!D178="", "",Fourth!D178)</f>
        <v/>
      </c>
      <c r="E925" s="66" t="str">
        <f>IF(Fourth!E178="", "",Fourth!E178)</f>
        <v/>
      </c>
      <c r="F925" s="66" t="str">
        <f>IF(Fourth!F178="", "",Fourth!F178)</f>
        <v/>
      </c>
      <c r="G925" s="66" t="str">
        <f>IF(Fourth!G178="", "",Fourth!G178)</f>
        <v/>
      </c>
      <c r="H925" s="66" t="str">
        <f>IF(Fourth!H178="", "",Fourth!H178)</f>
        <v/>
      </c>
      <c r="I925" s="66" t="str">
        <f>IF(Fourth!I178="", "",Fourth!I178)</f>
        <v/>
      </c>
      <c r="J925" s="66" t="str">
        <f>IF(Fourth!J178="", "",Fourth!J178)</f>
        <v/>
      </c>
      <c r="K925" s="86" t="str">
        <f>IF(Fourth!K178="", "",Fourth!K178)</f>
        <v/>
      </c>
      <c r="M925" s="67" t="str">
        <f t="shared" si="44"/>
        <v/>
      </c>
      <c r="N925" s="76" t="str">
        <f t="shared" si="45"/>
        <v/>
      </c>
      <c r="O925" s="33">
        <f t="shared" si="43"/>
        <v>0</v>
      </c>
    </row>
    <row r="926" spans="1:15" x14ac:dyDescent="0.25">
      <c r="A926" s="64" t="s">
        <v>179</v>
      </c>
      <c r="B926" s="79" t="str">
        <f>IF(Fourth!B179="", "",Fourth!B179)</f>
        <v/>
      </c>
      <c r="C926" s="66" t="str">
        <f>IF(Fourth!C179="", "",Fourth!C179)</f>
        <v/>
      </c>
      <c r="D926" s="66" t="str">
        <f>IF(Fourth!D179="", "",Fourth!D179)</f>
        <v/>
      </c>
      <c r="E926" s="66" t="str">
        <f>IF(Fourth!E179="", "",Fourth!E179)</f>
        <v/>
      </c>
      <c r="F926" s="66" t="str">
        <f>IF(Fourth!F179="", "",Fourth!F179)</f>
        <v/>
      </c>
      <c r="G926" s="66" t="str">
        <f>IF(Fourth!G179="", "",Fourth!G179)</f>
        <v/>
      </c>
      <c r="H926" s="66" t="str">
        <f>IF(Fourth!H179="", "",Fourth!H179)</f>
        <v/>
      </c>
      <c r="I926" s="66" t="str">
        <f>IF(Fourth!I179="", "",Fourth!I179)</f>
        <v/>
      </c>
      <c r="J926" s="66" t="str">
        <f>IF(Fourth!J179="", "",Fourth!J179)</f>
        <v/>
      </c>
      <c r="K926" s="86" t="str">
        <f>IF(Fourth!K179="", "",Fourth!K179)</f>
        <v/>
      </c>
      <c r="M926" s="67" t="str">
        <f t="shared" si="44"/>
        <v/>
      </c>
      <c r="N926" s="76" t="str">
        <f t="shared" si="45"/>
        <v/>
      </c>
      <c r="O926" s="33">
        <f t="shared" si="43"/>
        <v>0</v>
      </c>
    </row>
    <row r="927" spans="1:15" x14ac:dyDescent="0.25">
      <c r="A927" s="64" t="s">
        <v>179</v>
      </c>
      <c r="B927" s="79" t="str">
        <f>IF(Fourth!B180="", "",Fourth!B180)</f>
        <v/>
      </c>
      <c r="C927" s="66" t="str">
        <f>IF(Fourth!C180="", "",Fourth!C180)</f>
        <v/>
      </c>
      <c r="D927" s="66" t="str">
        <f>IF(Fourth!D180="", "",Fourth!D180)</f>
        <v/>
      </c>
      <c r="E927" s="66" t="str">
        <f>IF(Fourth!E180="", "",Fourth!E180)</f>
        <v/>
      </c>
      <c r="F927" s="66" t="str">
        <f>IF(Fourth!F180="", "",Fourth!F180)</f>
        <v/>
      </c>
      <c r="G927" s="66" t="str">
        <f>IF(Fourth!G180="", "",Fourth!G180)</f>
        <v/>
      </c>
      <c r="H927" s="66" t="str">
        <f>IF(Fourth!H180="", "",Fourth!H180)</f>
        <v/>
      </c>
      <c r="I927" s="66" t="str">
        <f>IF(Fourth!I180="", "",Fourth!I180)</f>
        <v/>
      </c>
      <c r="J927" s="66" t="str">
        <f>IF(Fourth!J180="", "",Fourth!J180)</f>
        <v/>
      </c>
      <c r="K927" s="86" t="str">
        <f>IF(Fourth!K180="", "",Fourth!K180)</f>
        <v/>
      </c>
      <c r="M927" s="67" t="str">
        <f t="shared" si="44"/>
        <v/>
      </c>
      <c r="N927" s="76" t="str">
        <f t="shared" si="45"/>
        <v/>
      </c>
      <c r="O927" s="33">
        <f t="shared" si="43"/>
        <v>0</v>
      </c>
    </row>
    <row r="928" spans="1:15" x14ac:dyDescent="0.25">
      <c r="A928" s="64" t="s">
        <v>179</v>
      </c>
      <c r="B928" s="79" t="str">
        <f>IF(Fourth!B181="", "",Fourth!B181)</f>
        <v/>
      </c>
      <c r="C928" s="66" t="str">
        <f>IF(Fourth!C181="", "",Fourth!C181)</f>
        <v/>
      </c>
      <c r="D928" s="66" t="str">
        <f>IF(Fourth!D181="", "",Fourth!D181)</f>
        <v/>
      </c>
      <c r="E928" s="66" t="str">
        <f>IF(Fourth!E181="", "",Fourth!E181)</f>
        <v/>
      </c>
      <c r="F928" s="66" t="str">
        <f>IF(Fourth!F181="", "",Fourth!F181)</f>
        <v/>
      </c>
      <c r="G928" s="66" t="str">
        <f>IF(Fourth!G181="", "",Fourth!G181)</f>
        <v/>
      </c>
      <c r="H928" s="66" t="str">
        <f>IF(Fourth!H181="", "",Fourth!H181)</f>
        <v/>
      </c>
      <c r="I928" s="66" t="str">
        <f>IF(Fourth!I181="", "",Fourth!I181)</f>
        <v/>
      </c>
      <c r="J928" s="66" t="str">
        <f>IF(Fourth!J181="", "",Fourth!J181)</f>
        <v/>
      </c>
      <c r="K928" s="86" t="str">
        <f>IF(Fourth!K181="", "",Fourth!K181)</f>
        <v/>
      </c>
      <c r="M928" s="67" t="str">
        <f t="shared" si="44"/>
        <v/>
      </c>
      <c r="N928" s="76" t="str">
        <f t="shared" si="45"/>
        <v/>
      </c>
      <c r="O928" s="33">
        <f t="shared" si="43"/>
        <v>0</v>
      </c>
    </row>
    <row r="929" spans="1:15" x14ac:dyDescent="0.25">
      <c r="A929" s="64" t="s">
        <v>179</v>
      </c>
      <c r="B929" s="79" t="str">
        <f>IF(Fourth!B182="", "",Fourth!B182)</f>
        <v/>
      </c>
      <c r="C929" s="66" t="str">
        <f>IF(Fourth!C182="", "",Fourth!C182)</f>
        <v/>
      </c>
      <c r="D929" s="66" t="str">
        <f>IF(Fourth!D182="", "",Fourth!D182)</f>
        <v/>
      </c>
      <c r="E929" s="66" t="str">
        <f>IF(Fourth!E182="", "",Fourth!E182)</f>
        <v/>
      </c>
      <c r="F929" s="66" t="str">
        <f>IF(Fourth!F182="", "",Fourth!F182)</f>
        <v/>
      </c>
      <c r="G929" s="66" t="str">
        <f>IF(Fourth!G182="", "",Fourth!G182)</f>
        <v/>
      </c>
      <c r="H929" s="66" t="str">
        <f>IF(Fourth!H182="", "",Fourth!H182)</f>
        <v/>
      </c>
      <c r="I929" s="66" t="str">
        <f>IF(Fourth!I182="", "",Fourth!I182)</f>
        <v/>
      </c>
      <c r="J929" s="66" t="str">
        <f>IF(Fourth!J182="", "",Fourth!J182)</f>
        <v/>
      </c>
      <c r="K929" s="86" t="str">
        <f>IF(Fourth!K182="", "",Fourth!K182)</f>
        <v/>
      </c>
      <c r="M929" s="67" t="str">
        <f t="shared" si="44"/>
        <v/>
      </c>
      <c r="N929" s="76" t="str">
        <f t="shared" si="45"/>
        <v/>
      </c>
      <c r="O929" s="33">
        <f t="shared" si="43"/>
        <v>0</v>
      </c>
    </row>
    <row r="930" spans="1:15" x14ac:dyDescent="0.25">
      <c r="A930" s="64" t="s">
        <v>179</v>
      </c>
      <c r="B930" s="79" t="str">
        <f>IF(Fourth!B183="", "",Fourth!B183)</f>
        <v/>
      </c>
      <c r="C930" s="66" t="str">
        <f>IF(Fourth!C183="", "",Fourth!C183)</f>
        <v/>
      </c>
      <c r="D930" s="66" t="str">
        <f>IF(Fourth!D183="", "",Fourth!D183)</f>
        <v/>
      </c>
      <c r="E930" s="66" t="str">
        <f>IF(Fourth!E183="", "",Fourth!E183)</f>
        <v/>
      </c>
      <c r="F930" s="66" t="str">
        <f>IF(Fourth!F183="", "",Fourth!F183)</f>
        <v/>
      </c>
      <c r="G930" s="66" t="str">
        <f>IF(Fourth!G183="", "",Fourth!G183)</f>
        <v/>
      </c>
      <c r="H930" s="66" t="str">
        <f>IF(Fourth!H183="", "",Fourth!H183)</f>
        <v/>
      </c>
      <c r="I930" s="66" t="str">
        <f>IF(Fourth!I183="", "",Fourth!I183)</f>
        <v/>
      </c>
      <c r="J930" s="66" t="str">
        <f>IF(Fourth!J183="", "",Fourth!J183)</f>
        <v/>
      </c>
      <c r="K930" s="86" t="str">
        <f>IF(Fourth!K183="", "",Fourth!K183)</f>
        <v/>
      </c>
      <c r="M930" s="67" t="str">
        <f t="shared" si="44"/>
        <v/>
      </c>
      <c r="N930" s="76" t="str">
        <f t="shared" si="45"/>
        <v/>
      </c>
      <c r="O930" s="33">
        <f t="shared" si="43"/>
        <v>0</v>
      </c>
    </row>
    <row r="931" spans="1:15" x14ac:dyDescent="0.25">
      <c r="A931" s="64" t="s">
        <v>179</v>
      </c>
      <c r="B931" s="79" t="str">
        <f>IF(Fourth!B184="", "",Fourth!B184)</f>
        <v/>
      </c>
      <c r="C931" s="66" t="str">
        <f>IF(Fourth!C184="", "",Fourth!C184)</f>
        <v/>
      </c>
      <c r="D931" s="66" t="str">
        <f>IF(Fourth!D184="", "",Fourth!D184)</f>
        <v/>
      </c>
      <c r="E931" s="66" t="str">
        <f>IF(Fourth!E184="", "",Fourth!E184)</f>
        <v/>
      </c>
      <c r="F931" s="66" t="str">
        <f>IF(Fourth!F184="", "",Fourth!F184)</f>
        <v/>
      </c>
      <c r="G931" s="66" t="str">
        <f>IF(Fourth!G184="", "",Fourth!G184)</f>
        <v/>
      </c>
      <c r="H931" s="66" t="str">
        <f>IF(Fourth!H184="", "",Fourth!H184)</f>
        <v/>
      </c>
      <c r="I931" s="66" t="str">
        <f>IF(Fourth!I184="", "",Fourth!I184)</f>
        <v/>
      </c>
      <c r="J931" s="66" t="str">
        <f>IF(Fourth!J184="", "",Fourth!J184)</f>
        <v/>
      </c>
      <c r="K931" s="86" t="str">
        <f>IF(Fourth!K184="", "",Fourth!K184)</f>
        <v/>
      </c>
      <c r="M931" s="67" t="str">
        <f t="shared" si="44"/>
        <v/>
      </c>
      <c r="N931" s="76" t="str">
        <f t="shared" si="45"/>
        <v/>
      </c>
      <c r="O931" s="33">
        <f t="shared" si="43"/>
        <v>0</v>
      </c>
    </row>
    <row r="932" spans="1:15" x14ac:dyDescent="0.25">
      <c r="A932" s="64" t="s">
        <v>179</v>
      </c>
      <c r="B932" s="79" t="str">
        <f>IF(Fourth!B185="", "",Fourth!B185)</f>
        <v/>
      </c>
      <c r="C932" s="66" t="str">
        <f>IF(Fourth!C185="", "",Fourth!C185)</f>
        <v/>
      </c>
      <c r="D932" s="66" t="str">
        <f>IF(Fourth!D185="", "",Fourth!D185)</f>
        <v/>
      </c>
      <c r="E932" s="66" t="str">
        <f>IF(Fourth!E185="", "",Fourth!E185)</f>
        <v/>
      </c>
      <c r="F932" s="66" t="str">
        <f>IF(Fourth!F185="", "",Fourth!F185)</f>
        <v/>
      </c>
      <c r="G932" s="66" t="str">
        <f>IF(Fourth!G185="", "",Fourth!G185)</f>
        <v/>
      </c>
      <c r="H932" s="66" t="str">
        <f>IF(Fourth!H185="", "",Fourth!H185)</f>
        <v/>
      </c>
      <c r="I932" s="66" t="str">
        <f>IF(Fourth!I185="", "",Fourth!I185)</f>
        <v/>
      </c>
      <c r="J932" s="66" t="str">
        <f>IF(Fourth!J185="", "",Fourth!J185)</f>
        <v/>
      </c>
      <c r="K932" s="86" t="str">
        <f>IF(Fourth!K185="", "",Fourth!K185)</f>
        <v/>
      </c>
      <c r="M932" s="67" t="str">
        <f t="shared" si="44"/>
        <v/>
      </c>
      <c r="N932" s="76" t="str">
        <f t="shared" si="45"/>
        <v/>
      </c>
      <c r="O932" s="33">
        <f t="shared" si="43"/>
        <v>0</v>
      </c>
    </row>
    <row r="933" spans="1:15" x14ac:dyDescent="0.25">
      <c r="A933" s="64" t="s">
        <v>179</v>
      </c>
      <c r="B933" s="79" t="str">
        <f>IF(Fourth!B186="", "",Fourth!B186)</f>
        <v/>
      </c>
      <c r="C933" s="66" t="str">
        <f>IF(Fourth!C186="", "",Fourth!C186)</f>
        <v/>
      </c>
      <c r="D933" s="66" t="str">
        <f>IF(Fourth!D186="", "",Fourth!D186)</f>
        <v/>
      </c>
      <c r="E933" s="66" t="str">
        <f>IF(Fourth!E186="", "",Fourth!E186)</f>
        <v/>
      </c>
      <c r="F933" s="66" t="str">
        <f>IF(Fourth!F186="", "",Fourth!F186)</f>
        <v/>
      </c>
      <c r="G933" s="66" t="str">
        <f>IF(Fourth!G186="", "",Fourth!G186)</f>
        <v/>
      </c>
      <c r="H933" s="66" t="str">
        <f>IF(Fourth!H186="", "",Fourth!H186)</f>
        <v/>
      </c>
      <c r="I933" s="66" t="str">
        <f>IF(Fourth!I186="", "",Fourth!I186)</f>
        <v/>
      </c>
      <c r="J933" s="66" t="str">
        <f>IF(Fourth!J186="", "",Fourth!J186)</f>
        <v/>
      </c>
      <c r="K933" s="86" t="str">
        <f>IF(Fourth!K186="", "",Fourth!K186)</f>
        <v/>
      </c>
      <c r="M933" s="67" t="str">
        <f t="shared" si="44"/>
        <v/>
      </c>
      <c r="N933" s="76" t="str">
        <f t="shared" si="45"/>
        <v/>
      </c>
      <c r="O933" s="33">
        <f t="shared" si="43"/>
        <v>0</v>
      </c>
    </row>
    <row r="934" spans="1:15" x14ac:dyDescent="0.25">
      <c r="A934" s="64" t="s">
        <v>179</v>
      </c>
      <c r="B934" s="79" t="str">
        <f>IF(Fourth!B187="", "",Fourth!B187)</f>
        <v/>
      </c>
      <c r="C934" s="66" t="str">
        <f>IF(Fourth!C187="", "",Fourth!C187)</f>
        <v/>
      </c>
      <c r="D934" s="66" t="str">
        <f>IF(Fourth!D187="", "",Fourth!D187)</f>
        <v/>
      </c>
      <c r="E934" s="66" t="str">
        <f>IF(Fourth!E187="", "",Fourth!E187)</f>
        <v/>
      </c>
      <c r="F934" s="66" t="str">
        <f>IF(Fourth!F187="", "",Fourth!F187)</f>
        <v/>
      </c>
      <c r="G934" s="66" t="str">
        <f>IF(Fourth!G187="", "",Fourth!G187)</f>
        <v/>
      </c>
      <c r="H934" s="66" t="str">
        <f>IF(Fourth!H187="", "",Fourth!H187)</f>
        <v/>
      </c>
      <c r="I934" s="66" t="str">
        <f>IF(Fourth!I187="", "",Fourth!I187)</f>
        <v/>
      </c>
      <c r="J934" s="66" t="str">
        <f>IF(Fourth!J187="", "",Fourth!J187)</f>
        <v/>
      </c>
      <c r="K934" s="86" t="str">
        <f>IF(Fourth!K187="", "",Fourth!K187)</f>
        <v/>
      </c>
      <c r="M934" s="67" t="str">
        <f t="shared" si="44"/>
        <v/>
      </c>
      <c r="N934" s="76" t="str">
        <f t="shared" si="45"/>
        <v/>
      </c>
      <c r="O934" s="33">
        <f t="shared" si="43"/>
        <v>0</v>
      </c>
    </row>
    <row r="935" spans="1:15" x14ac:dyDescent="0.25">
      <c r="A935" s="64" t="s">
        <v>179</v>
      </c>
      <c r="B935" s="79" t="str">
        <f>IF(Fourth!B188="", "",Fourth!B188)</f>
        <v/>
      </c>
      <c r="C935" s="66" t="str">
        <f>IF(Fourth!C188="", "",Fourth!C188)</f>
        <v/>
      </c>
      <c r="D935" s="66" t="str">
        <f>IF(Fourth!D188="", "",Fourth!D188)</f>
        <v/>
      </c>
      <c r="E935" s="66" t="str">
        <f>IF(Fourth!E188="", "",Fourth!E188)</f>
        <v/>
      </c>
      <c r="F935" s="66" t="str">
        <f>IF(Fourth!F188="", "",Fourth!F188)</f>
        <v/>
      </c>
      <c r="G935" s="66" t="str">
        <f>IF(Fourth!G188="", "",Fourth!G188)</f>
        <v/>
      </c>
      <c r="H935" s="66" t="str">
        <f>IF(Fourth!H188="", "",Fourth!H188)</f>
        <v/>
      </c>
      <c r="I935" s="66" t="str">
        <f>IF(Fourth!I188="", "",Fourth!I188)</f>
        <v/>
      </c>
      <c r="J935" s="66" t="str">
        <f>IF(Fourth!J188="", "",Fourth!J188)</f>
        <v/>
      </c>
      <c r="K935" s="86" t="str">
        <f>IF(Fourth!K188="", "",Fourth!K188)</f>
        <v/>
      </c>
      <c r="M935" s="67" t="str">
        <f t="shared" si="44"/>
        <v/>
      </c>
      <c r="N935" s="76" t="str">
        <f t="shared" si="45"/>
        <v/>
      </c>
      <c r="O935" s="33">
        <f t="shared" si="43"/>
        <v>0</v>
      </c>
    </row>
    <row r="936" spans="1:15" x14ac:dyDescent="0.25">
      <c r="A936" s="64" t="s">
        <v>179</v>
      </c>
      <c r="B936" s="79" t="str">
        <f>IF(Fourth!B189="", "",Fourth!B189)</f>
        <v/>
      </c>
      <c r="C936" s="66" t="str">
        <f>IF(Fourth!C189="", "",Fourth!C189)</f>
        <v/>
      </c>
      <c r="D936" s="66" t="str">
        <f>IF(Fourth!D189="", "",Fourth!D189)</f>
        <v/>
      </c>
      <c r="E936" s="66" t="str">
        <f>IF(Fourth!E189="", "",Fourth!E189)</f>
        <v/>
      </c>
      <c r="F936" s="66" t="str">
        <f>IF(Fourth!F189="", "",Fourth!F189)</f>
        <v/>
      </c>
      <c r="G936" s="66" t="str">
        <f>IF(Fourth!G189="", "",Fourth!G189)</f>
        <v/>
      </c>
      <c r="H936" s="66" t="str">
        <f>IF(Fourth!H189="", "",Fourth!H189)</f>
        <v/>
      </c>
      <c r="I936" s="66" t="str">
        <f>IF(Fourth!I189="", "",Fourth!I189)</f>
        <v/>
      </c>
      <c r="J936" s="66" t="str">
        <f>IF(Fourth!J189="", "",Fourth!J189)</f>
        <v/>
      </c>
      <c r="K936" s="86" t="str">
        <f>IF(Fourth!K189="", "",Fourth!K189)</f>
        <v/>
      </c>
      <c r="M936" s="67" t="str">
        <f t="shared" si="44"/>
        <v/>
      </c>
      <c r="N936" s="76" t="str">
        <f t="shared" si="45"/>
        <v/>
      </c>
      <c r="O936" s="33">
        <f t="shared" si="43"/>
        <v>0</v>
      </c>
    </row>
    <row r="937" spans="1:15" x14ac:dyDescent="0.25">
      <c r="A937" s="64" t="s">
        <v>179</v>
      </c>
      <c r="B937" s="79" t="str">
        <f>IF(Fourth!B190="", "",Fourth!B190)</f>
        <v/>
      </c>
      <c r="C937" s="66" t="str">
        <f>IF(Fourth!C190="", "",Fourth!C190)</f>
        <v/>
      </c>
      <c r="D937" s="66" t="str">
        <f>IF(Fourth!D190="", "",Fourth!D190)</f>
        <v/>
      </c>
      <c r="E937" s="66" t="str">
        <f>IF(Fourth!E190="", "",Fourth!E190)</f>
        <v/>
      </c>
      <c r="F937" s="66" t="str">
        <f>IF(Fourth!F190="", "",Fourth!F190)</f>
        <v/>
      </c>
      <c r="G937" s="66" t="str">
        <f>IF(Fourth!G190="", "",Fourth!G190)</f>
        <v/>
      </c>
      <c r="H937" s="66" t="str">
        <f>IF(Fourth!H190="", "",Fourth!H190)</f>
        <v/>
      </c>
      <c r="I937" s="66" t="str">
        <f>IF(Fourth!I190="", "",Fourth!I190)</f>
        <v/>
      </c>
      <c r="J937" s="66" t="str">
        <f>IF(Fourth!J190="", "",Fourth!J190)</f>
        <v/>
      </c>
      <c r="K937" s="86" t="str">
        <f>IF(Fourth!K190="", "",Fourth!K190)</f>
        <v/>
      </c>
      <c r="M937" s="67" t="str">
        <f t="shared" si="44"/>
        <v/>
      </c>
      <c r="N937" s="76" t="str">
        <f t="shared" si="45"/>
        <v/>
      </c>
      <c r="O937" s="33">
        <f t="shared" si="43"/>
        <v>0</v>
      </c>
    </row>
    <row r="938" spans="1:15" x14ac:dyDescent="0.25">
      <c r="A938" s="64" t="s">
        <v>179</v>
      </c>
      <c r="B938" s="79" t="str">
        <f>IF(Fourth!B191="", "",Fourth!B191)</f>
        <v/>
      </c>
      <c r="C938" s="66" t="str">
        <f>IF(Fourth!C191="", "",Fourth!C191)</f>
        <v/>
      </c>
      <c r="D938" s="66" t="str">
        <f>IF(Fourth!D191="", "",Fourth!D191)</f>
        <v/>
      </c>
      <c r="E938" s="66" t="str">
        <f>IF(Fourth!E191="", "",Fourth!E191)</f>
        <v/>
      </c>
      <c r="F938" s="66" t="str">
        <f>IF(Fourth!F191="", "",Fourth!F191)</f>
        <v/>
      </c>
      <c r="G938" s="66" t="str">
        <f>IF(Fourth!G191="", "",Fourth!G191)</f>
        <v/>
      </c>
      <c r="H938" s="66" t="str">
        <f>IF(Fourth!H191="", "",Fourth!H191)</f>
        <v/>
      </c>
      <c r="I938" s="66" t="str">
        <f>IF(Fourth!I191="", "",Fourth!I191)</f>
        <v/>
      </c>
      <c r="J938" s="66" t="str">
        <f>IF(Fourth!J191="", "",Fourth!J191)</f>
        <v/>
      </c>
      <c r="K938" s="86" t="str">
        <f>IF(Fourth!K191="", "",Fourth!K191)</f>
        <v/>
      </c>
      <c r="M938" s="67" t="str">
        <f t="shared" si="44"/>
        <v/>
      </c>
      <c r="N938" s="76" t="str">
        <f t="shared" si="45"/>
        <v/>
      </c>
      <c r="O938" s="33">
        <f t="shared" si="43"/>
        <v>0</v>
      </c>
    </row>
    <row r="939" spans="1:15" x14ac:dyDescent="0.25">
      <c r="A939" s="64" t="s">
        <v>179</v>
      </c>
      <c r="B939" s="79" t="str">
        <f>IF(Fourth!B192="", "",Fourth!B192)</f>
        <v/>
      </c>
      <c r="C939" s="66" t="str">
        <f>IF(Fourth!C192="", "",Fourth!C192)</f>
        <v/>
      </c>
      <c r="D939" s="66" t="str">
        <f>IF(Fourth!D192="", "",Fourth!D192)</f>
        <v/>
      </c>
      <c r="E939" s="66" t="str">
        <f>IF(Fourth!E192="", "",Fourth!E192)</f>
        <v/>
      </c>
      <c r="F939" s="66" t="str">
        <f>IF(Fourth!F192="", "",Fourth!F192)</f>
        <v/>
      </c>
      <c r="G939" s="66" t="str">
        <f>IF(Fourth!G192="", "",Fourth!G192)</f>
        <v/>
      </c>
      <c r="H939" s="66" t="str">
        <f>IF(Fourth!H192="", "",Fourth!H192)</f>
        <v/>
      </c>
      <c r="I939" s="66" t="str">
        <f>IF(Fourth!I192="", "",Fourth!I192)</f>
        <v/>
      </c>
      <c r="J939" s="66" t="str">
        <f>IF(Fourth!J192="", "",Fourth!J192)</f>
        <v/>
      </c>
      <c r="K939" s="86" t="str">
        <f>IF(Fourth!K192="", "",Fourth!K192)</f>
        <v/>
      </c>
      <c r="M939" s="67" t="str">
        <f t="shared" si="44"/>
        <v/>
      </c>
      <c r="N939" s="76" t="str">
        <f t="shared" si="45"/>
        <v/>
      </c>
      <c r="O939" s="33">
        <f t="shared" si="43"/>
        <v>0</v>
      </c>
    </row>
    <row r="940" spans="1:15" x14ac:dyDescent="0.25">
      <c r="A940" s="64" t="s">
        <v>179</v>
      </c>
      <c r="B940" s="79" t="str">
        <f>IF(Fourth!B193="", "",Fourth!B193)</f>
        <v/>
      </c>
      <c r="C940" s="66" t="str">
        <f>IF(Fourth!C193="", "",Fourth!C193)</f>
        <v/>
      </c>
      <c r="D940" s="66" t="str">
        <f>IF(Fourth!D193="", "",Fourth!D193)</f>
        <v/>
      </c>
      <c r="E940" s="66" t="str">
        <f>IF(Fourth!E193="", "",Fourth!E193)</f>
        <v/>
      </c>
      <c r="F940" s="66" t="str">
        <f>IF(Fourth!F193="", "",Fourth!F193)</f>
        <v/>
      </c>
      <c r="G940" s="66" t="str">
        <f>IF(Fourth!G193="", "",Fourth!G193)</f>
        <v/>
      </c>
      <c r="H940" s="66" t="str">
        <f>IF(Fourth!H193="", "",Fourth!H193)</f>
        <v/>
      </c>
      <c r="I940" s="66" t="str">
        <f>IF(Fourth!I193="", "",Fourth!I193)</f>
        <v/>
      </c>
      <c r="J940" s="66" t="str">
        <f>IF(Fourth!J193="", "",Fourth!J193)</f>
        <v/>
      </c>
      <c r="K940" s="86" t="str">
        <f>IF(Fourth!K193="", "",Fourth!K193)</f>
        <v/>
      </c>
      <c r="M940" s="67" t="str">
        <f t="shared" si="44"/>
        <v/>
      </c>
      <c r="N940" s="76" t="str">
        <f t="shared" si="45"/>
        <v/>
      </c>
      <c r="O940" s="33">
        <f t="shared" si="43"/>
        <v>0</v>
      </c>
    </row>
    <row r="941" spans="1:15" x14ac:dyDescent="0.25">
      <c r="A941" s="64" t="s">
        <v>179</v>
      </c>
      <c r="B941" s="79" t="str">
        <f>IF(Fourth!B194="", "",Fourth!B194)</f>
        <v/>
      </c>
      <c r="C941" s="66" t="str">
        <f>IF(Fourth!C194="", "",Fourth!C194)</f>
        <v/>
      </c>
      <c r="D941" s="66" t="str">
        <f>IF(Fourth!D194="", "",Fourth!D194)</f>
        <v/>
      </c>
      <c r="E941" s="66" t="str">
        <f>IF(Fourth!E194="", "",Fourth!E194)</f>
        <v/>
      </c>
      <c r="F941" s="66" t="str">
        <f>IF(Fourth!F194="", "",Fourth!F194)</f>
        <v/>
      </c>
      <c r="G941" s="66" t="str">
        <f>IF(Fourth!G194="", "",Fourth!G194)</f>
        <v/>
      </c>
      <c r="H941" s="66" t="str">
        <f>IF(Fourth!H194="", "",Fourth!H194)</f>
        <v/>
      </c>
      <c r="I941" s="66" t="str">
        <f>IF(Fourth!I194="", "",Fourth!I194)</f>
        <v/>
      </c>
      <c r="J941" s="66" t="str">
        <f>IF(Fourth!J194="", "",Fourth!J194)</f>
        <v/>
      </c>
      <c r="K941" s="86" t="str">
        <f>IF(Fourth!K194="", "",Fourth!K194)</f>
        <v/>
      </c>
      <c r="M941" s="67" t="str">
        <f t="shared" si="44"/>
        <v/>
      </c>
      <c r="N941" s="76" t="str">
        <f t="shared" si="45"/>
        <v/>
      </c>
      <c r="O941" s="33">
        <f t="shared" si="43"/>
        <v>0</v>
      </c>
    </row>
    <row r="942" spans="1:15" x14ac:dyDescent="0.25">
      <c r="A942" s="64" t="s">
        <v>179</v>
      </c>
      <c r="B942" s="79" t="str">
        <f>IF(Fourth!B195="", "",Fourth!B195)</f>
        <v/>
      </c>
      <c r="C942" s="66" t="str">
        <f>IF(Fourth!C195="", "",Fourth!C195)</f>
        <v/>
      </c>
      <c r="D942" s="66" t="str">
        <f>IF(Fourth!D195="", "",Fourth!D195)</f>
        <v/>
      </c>
      <c r="E942" s="66" t="str">
        <f>IF(Fourth!E195="", "",Fourth!E195)</f>
        <v/>
      </c>
      <c r="F942" s="66" t="str">
        <f>IF(Fourth!F195="", "",Fourth!F195)</f>
        <v/>
      </c>
      <c r="G942" s="66" t="str">
        <f>IF(Fourth!G195="", "",Fourth!G195)</f>
        <v/>
      </c>
      <c r="H942" s="66" t="str">
        <f>IF(Fourth!H195="", "",Fourth!H195)</f>
        <v/>
      </c>
      <c r="I942" s="66" t="str">
        <f>IF(Fourth!I195="", "",Fourth!I195)</f>
        <v/>
      </c>
      <c r="J942" s="66" t="str">
        <f>IF(Fourth!J195="", "",Fourth!J195)</f>
        <v/>
      </c>
      <c r="K942" s="86" t="str">
        <f>IF(Fourth!K195="", "",Fourth!K195)</f>
        <v/>
      </c>
      <c r="M942" s="67" t="str">
        <f t="shared" si="44"/>
        <v/>
      </c>
      <c r="N942" s="76" t="str">
        <f t="shared" si="45"/>
        <v/>
      </c>
      <c r="O942" s="33">
        <f t="shared" si="43"/>
        <v>0</v>
      </c>
    </row>
    <row r="943" spans="1:15" x14ac:dyDescent="0.25">
      <c r="A943" s="64" t="s">
        <v>179</v>
      </c>
      <c r="B943" s="79" t="str">
        <f>IF(Fourth!B196="", "",Fourth!B196)</f>
        <v/>
      </c>
      <c r="C943" s="66" t="str">
        <f>IF(Fourth!C196="", "",Fourth!C196)</f>
        <v/>
      </c>
      <c r="D943" s="66" t="str">
        <f>IF(Fourth!D196="", "",Fourth!D196)</f>
        <v/>
      </c>
      <c r="E943" s="66" t="str">
        <f>IF(Fourth!E196="", "",Fourth!E196)</f>
        <v/>
      </c>
      <c r="F943" s="66" t="str">
        <f>IF(Fourth!F196="", "",Fourth!F196)</f>
        <v/>
      </c>
      <c r="G943" s="66" t="str">
        <f>IF(Fourth!G196="", "",Fourth!G196)</f>
        <v/>
      </c>
      <c r="H943" s="66" t="str">
        <f>IF(Fourth!H196="", "",Fourth!H196)</f>
        <v/>
      </c>
      <c r="I943" s="66" t="str">
        <f>IF(Fourth!I196="", "",Fourth!I196)</f>
        <v/>
      </c>
      <c r="J943" s="66" t="str">
        <f>IF(Fourth!J196="", "",Fourth!J196)</f>
        <v/>
      </c>
      <c r="K943" s="86" t="str">
        <f>IF(Fourth!K196="", "",Fourth!K196)</f>
        <v/>
      </c>
      <c r="M943" s="67" t="str">
        <f t="shared" si="44"/>
        <v/>
      </c>
      <c r="N943" s="76" t="str">
        <f t="shared" si="45"/>
        <v/>
      </c>
      <c r="O943" s="33">
        <f t="shared" si="43"/>
        <v>0</v>
      </c>
    </row>
    <row r="944" spans="1:15" x14ac:dyDescent="0.25">
      <c r="A944" s="64" t="s">
        <v>179</v>
      </c>
      <c r="B944" s="79" t="str">
        <f>IF(Fourth!B197="", "",Fourth!B197)</f>
        <v/>
      </c>
      <c r="C944" s="66" t="str">
        <f>IF(Fourth!C197="", "",Fourth!C197)</f>
        <v/>
      </c>
      <c r="D944" s="66" t="str">
        <f>IF(Fourth!D197="", "",Fourth!D197)</f>
        <v/>
      </c>
      <c r="E944" s="66" t="str">
        <f>IF(Fourth!E197="", "",Fourth!E197)</f>
        <v/>
      </c>
      <c r="F944" s="66" t="str">
        <f>IF(Fourth!F197="", "",Fourth!F197)</f>
        <v/>
      </c>
      <c r="G944" s="66" t="str">
        <f>IF(Fourth!G197="", "",Fourth!G197)</f>
        <v/>
      </c>
      <c r="H944" s="66" t="str">
        <f>IF(Fourth!H197="", "",Fourth!H197)</f>
        <v/>
      </c>
      <c r="I944" s="66" t="str">
        <f>IF(Fourth!I197="", "",Fourth!I197)</f>
        <v/>
      </c>
      <c r="J944" s="66" t="str">
        <f>IF(Fourth!J197="", "",Fourth!J197)</f>
        <v/>
      </c>
      <c r="K944" s="86" t="str">
        <f>IF(Fourth!K197="", "",Fourth!K197)</f>
        <v/>
      </c>
      <c r="M944" s="67" t="str">
        <f t="shared" si="44"/>
        <v/>
      </c>
      <c r="N944" s="76" t="str">
        <f t="shared" si="45"/>
        <v/>
      </c>
      <c r="O944" s="33">
        <f t="shared" si="43"/>
        <v>0</v>
      </c>
    </row>
    <row r="945" spans="1:15" x14ac:dyDescent="0.25">
      <c r="A945" s="64" t="s">
        <v>179</v>
      </c>
      <c r="B945" s="79" t="str">
        <f>IF(Fourth!B198="", "",Fourth!B198)</f>
        <v/>
      </c>
      <c r="C945" s="66" t="str">
        <f>IF(Fourth!C198="", "",Fourth!C198)</f>
        <v/>
      </c>
      <c r="D945" s="66" t="str">
        <f>IF(Fourth!D198="", "",Fourth!D198)</f>
        <v/>
      </c>
      <c r="E945" s="66" t="str">
        <f>IF(Fourth!E198="", "",Fourth!E198)</f>
        <v/>
      </c>
      <c r="F945" s="66" t="str">
        <f>IF(Fourth!F198="", "",Fourth!F198)</f>
        <v/>
      </c>
      <c r="G945" s="66" t="str">
        <f>IF(Fourth!G198="", "",Fourth!G198)</f>
        <v/>
      </c>
      <c r="H945" s="66" t="str">
        <f>IF(Fourth!H198="", "",Fourth!H198)</f>
        <v/>
      </c>
      <c r="I945" s="66" t="str">
        <f>IF(Fourth!I198="", "",Fourth!I198)</f>
        <v/>
      </c>
      <c r="J945" s="66" t="str">
        <f>IF(Fourth!J198="", "",Fourth!J198)</f>
        <v/>
      </c>
      <c r="K945" s="86" t="str">
        <f>IF(Fourth!K198="", "",Fourth!K198)</f>
        <v/>
      </c>
      <c r="M945" s="67" t="str">
        <f t="shared" si="44"/>
        <v/>
      </c>
      <c r="N945" s="76" t="str">
        <f t="shared" si="45"/>
        <v/>
      </c>
      <c r="O945" s="33">
        <f t="shared" si="43"/>
        <v>0</v>
      </c>
    </row>
    <row r="946" spans="1:15" x14ac:dyDescent="0.25">
      <c r="A946" s="64" t="s">
        <v>179</v>
      </c>
      <c r="B946" s="79" t="str">
        <f>IF(Fourth!B199="", "",Fourth!B199)</f>
        <v/>
      </c>
      <c r="C946" s="66" t="str">
        <f>IF(Fourth!C199="", "",Fourth!C199)</f>
        <v/>
      </c>
      <c r="D946" s="66" t="str">
        <f>IF(Fourth!D199="", "",Fourth!D199)</f>
        <v/>
      </c>
      <c r="E946" s="66" t="str">
        <f>IF(Fourth!E199="", "",Fourth!E199)</f>
        <v/>
      </c>
      <c r="F946" s="66" t="str">
        <f>IF(Fourth!F199="", "",Fourth!F199)</f>
        <v/>
      </c>
      <c r="G946" s="66" t="str">
        <f>IF(Fourth!G199="", "",Fourth!G199)</f>
        <v/>
      </c>
      <c r="H946" s="66" t="str">
        <f>IF(Fourth!H199="", "",Fourth!H199)</f>
        <v/>
      </c>
      <c r="I946" s="66" t="str">
        <f>IF(Fourth!I199="", "",Fourth!I199)</f>
        <v/>
      </c>
      <c r="J946" s="66" t="str">
        <f>IF(Fourth!J199="", "",Fourth!J199)</f>
        <v/>
      </c>
      <c r="K946" s="86" t="str">
        <f>IF(Fourth!K199="", "",Fourth!K199)</f>
        <v/>
      </c>
      <c r="M946" s="67" t="str">
        <f t="shared" si="44"/>
        <v/>
      </c>
      <c r="N946" s="76" t="str">
        <f t="shared" si="45"/>
        <v/>
      </c>
      <c r="O946" s="33">
        <f t="shared" si="43"/>
        <v>0</v>
      </c>
    </row>
    <row r="947" spans="1:15" x14ac:dyDescent="0.25">
      <c r="A947" s="64" t="s">
        <v>179</v>
      </c>
      <c r="B947" s="79" t="str">
        <f>IF(Fourth!B200="", "",Fourth!B200)</f>
        <v/>
      </c>
      <c r="C947" s="66" t="str">
        <f>IF(Fourth!C200="", "",Fourth!C200)</f>
        <v/>
      </c>
      <c r="D947" s="66" t="str">
        <f>IF(Fourth!D200="", "",Fourth!D200)</f>
        <v/>
      </c>
      <c r="E947" s="66" t="str">
        <f>IF(Fourth!E200="", "",Fourth!E200)</f>
        <v/>
      </c>
      <c r="F947" s="66" t="str">
        <f>IF(Fourth!F200="", "",Fourth!F200)</f>
        <v/>
      </c>
      <c r="G947" s="66" t="str">
        <f>IF(Fourth!G200="", "",Fourth!G200)</f>
        <v/>
      </c>
      <c r="H947" s="66" t="str">
        <f>IF(Fourth!H200="", "",Fourth!H200)</f>
        <v/>
      </c>
      <c r="I947" s="66" t="str">
        <f>IF(Fourth!I200="", "",Fourth!I200)</f>
        <v/>
      </c>
      <c r="J947" s="66" t="str">
        <f>IF(Fourth!J200="", "",Fourth!J200)</f>
        <v/>
      </c>
      <c r="K947" s="86" t="str">
        <f>IF(Fourth!K200="", "",Fourth!K200)</f>
        <v/>
      </c>
      <c r="M947" s="67" t="str">
        <f t="shared" si="44"/>
        <v/>
      </c>
      <c r="N947" s="76" t="str">
        <f t="shared" si="45"/>
        <v/>
      </c>
      <c r="O947" s="33">
        <f t="shared" si="43"/>
        <v>0</v>
      </c>
    </row>
    <row r="948" spans="1:15" x14ac:dyDescent="0.25">
      <c r="A948" s="64" t="s">
        <v>179</v>
      </c>
      <c r="B948" s="79" t="str">
        <f>IF(Fourth!B201="", "",Fourth!B201)</f>
        <v/>
      </c>
      <c r="C948" s="66" t="str">
        <f>IF(Fourth!C201="", "",Fourth!C201)</f>
        <v/>
      </c>
      <c r="D948" s="66" t="str">
        <f>IF(Fourth!D201="", "",Fourth!D201)</f>
        <v/>
      </c>
      <c r="E948" s="66" t="str">
        <f>IF(Fourth!E201="", "",Fourth!E201)</f>
        <v/>
      </c>
      <c r="F948" s="66" t="str">
        <f>IF(Fourth!F201="", "",Fourth!F201)</f>
        <v/>
      </c>
      <c r="G948" s="66" t="str">
        <f>IF(Fourth!G201="", "",Fourth!G201)</f>
        <v/>
      </c>
      <c r="H948" s="66" t="str">
        <f>IF(Fourth!H201="", "",Fourth!H201)</f>
        <v/>
      </c>
      <c r="I948" s="66" t="str">
        <f>IF(Fourth!I201="", "",Fourth!I201)</f>
        <v/>
      </c>
      <c r="J948" s="66" t="str">
        <f>IF(Fourth!J201="", "",Fourth!J201)</f>
        <v/>
      </c>
      <c r="K948" s="86" t="str">
        <f>IF(Fourth!K201="", "",Fourth!K201)</f>
        <v/>
      </c>
      <c r="M948" s="67" t="str">
        <f t="shared" si="44"/>
        <v/>
      </c>
      <c r="N948" s="76" t="str">
        <f t="shared" si="45"/>
        <v/>
      </c>
      <c r="O948" s="33">
        <f t="shared" si="43"/>
        <v>0</v>
      </c>
    </row>
    <row r="949" spans="1:15" x14ac:dyDescent="0.25">
      <c r="A949" s="64" t="s">
        <v>179</v>
      </c>
      <c r="B949" s="79" t="str">
        <f>IF(Fourth!B202="", "",Fourth!B202)</f>
        <v/>
      </c>
      <c r="C949" s="66" t="str">
        <f>IF(Fourth!C202="", "",Fourth!C202)</f>
        <v/>
      </c>
      <c r="D949" s="66" t="str">
        <f>IF(Fourth!D202="", "",Fourth!D202)</f>
        <v/>
      </c>
      <c r="E949" s="66" t="str">
        <f>IF(Fourth!E202="", "",Fourth!E202)</f>
        <v/>
      </c>
      <c r="F949" s="66" t="str">
        <f>IF(Fourth!F202="", "",Fourth!F202)</f>
        <v/>
      </c>
      <c r="G949" s="66" t="str">
        <f>IF(Fourth!G202="", "",Fourth!G202)</f>
        <v/>
      </c>
      <c r="H949" s="66" t="str">
        <f>IF(Fourth!H202="", "",Fourth!H202)</f>
        <v/>
      </c>
      <c r="I949" s="66" t="str">
        <f>IF(Fourth!I202="", "",Fourth!I202)</f>
        <v/>
      </c>
      <c r="J949" s="66" t="str">
        <f>IF(Fourth!J202="", "",Fourth!J202)</f>
        <v/>
      </c>
      <c r="K949" s="86" t="str">
        <f>IF(Fourth!K202="", "",Fourth!K202)</f>
        <v/>
      </c>
      <c r="M949" s="67" t="str">
        <f t="shared" si="44"/>
        <v/>
      </c>
      <c r="N949" s="76" t="str">
        <f t="shared" si="45"/>
        <v/>
      </c>
      <c r="O949" s="33">
        <f t="shared" si="43"/>
        <v>0</v>
      </c>
    </row>
    <row r="950" spans="1:15" x14ac:dyDescent="0.25">
      <c r="A950" s="64" t="s">
        <v>179</v>
      </c>
      <c r="B950" s="79" t="str">
        <f>IF(Fourth!B203="", "",Fourth!B203)</f>
        <v/>
      </c>
      <c r="C950" s="66" t="str">
        <f>IF(Fourth!C203="", "",Fourth!C203)</f>
        <v/>
      </c>
      <c r="D950" s="66" t="str">
        <f>IF(Fourth!D203="", "",Fourth!D203)</f>
        <v/>
      </c>
      <c r="E950" s="66" t="str">
        <f>IF(Fourth!E203="", "",Fourth!E203)</f>
        <v/>
      </c>
      <c r="F950" s="66" t="str">
        <f>IF(Fourth!F203="", "",Fourth!F203)</f>
        <v/>
      </c>
      <c r="G950" s="66" t="str">
        <f>IF(Fourth!G203="", "",Fourth!G203)</f>
        <v/>
      </c>
      <c r="H950" s="66" t="str">
        <f>IF(Fourth!H203="", "",Fourth!H203)</f>
        <v/>
      </c>
      <c r="I950" s="66" t="str">
        <f>IF(Fourth!I203="", "",Fourth!I203)</f>
        <v/>
      </c>
      <c r="J950" s="66" t="str">
        <f>IF(Fourth!J203="", "",Fourth!J203)</f>
        <v/>
      </c>
      <c r="K950" s="86" t="str">
        <f>IF(Fourth!K203="", "",Fourth!K203)</f>
        <v/>
      </c>
      <c r="M950" s="67" t="str">
        <f t="shared" si="44"/>
        <v/>
      </c>
      <c r="N950" s="76" t="str">
        <f t="shared" si="45"/>
        <v/>
      </c>
      <c r="O950" s="33">
        <f t="shared" si="43"/>
        <v>0</v>
      </c>
    </row>
    <row r="951" spans="1:15" x14ac:dyDescent="0.25">
      <c r="A951" s="64" t="s">
        <v>179</v>
      </c>
      <c r="B951" s="79" t="str">
        <f>IF(Fourth!B204="", "",Fourth!B204)</f>
        <v/>
      </c>
      <c r="C951" s="66" t="str">
        <f>IF(Fourth!C204="", "",Fourth!C204)</f>
        <v/>
      </c>
      <c r="D951" s="66" t="str">
        <f>IF(Fourth!D204="", "",Fourth!D204)</f>
        <v/>
      </c>
      <c r="E951" s="66" t="str">
        <f>IF(Fourth!E204="", "",Fourth!E204)</f>
        <v/>
      </c>
      <c r="F951" s="66" t="str">
        <f>IF(Fourth!F204="", "",Fourth!F204)</f>
        <v/>
      </c>
      <c r="G951" s="66" t="str">
        <f>IF(Fourth!G204="", "",Fourth!G204)</f>
        <v/>
      </c>
      <c r="H951" s="66" t="str">
        <f>IF(Fourth!H204="", "",Fourth!H204)</f>
        <v/>
      </c>
      <c r="I951" s="66" t="str">
        <f>IF(Fourth!I204="", "",Fourth!I204)</f>
        <v/>
      </c>
      <c r="J951" s="66" t="str">
        <f>IF(Fourth!J204="", "",Fourth!J204)</f>
        <v/>
      </c>
      <c r="K951" s="86" t="str">
        <f>IF(Fourth!K204="", "",Fourth!K204)</f>
        <v/>
      </c>
      <c r="M951" s="67" t="str">
        <f t="shared" si="44"/>
        <v/>
      </c>
      <c r="N951" s="76" t="str">
        <f t="shared" si="45"/>
        <v/>
      </c>
      <c r="O951" s="33">
        <f t="shared" si="43"/>
        <v>0</v>
      </c>
    </row>
    <row r="952" spans="1:15" x14ac:dyDescent="0.25">
      <c r="A952" s="64" t="s">
        <v>179</v>
      </c>
      <c r="B952" s="79" t="str">
        <f>IF(Fourth!B205="", "",Fourth!B205)</f>
        <v/>
      </c>
      <c r="C952" s="66" t="str">
        <f>IF(Fourth!C205="", "",Fourth!C205)</f>
        <v/>
      </c>
      <c r="D952" s="66" t="str">
        <f>IF(Fourth!D205="", "",Fourth!D205)</f>
        <v/>
      </c>
      <c r="E952" s="66" t="str">
        <f>IF(Fourth!E205="", "",Fourth!E205)</f>
        <v/>
      </c>
      <c r="F952" s="66" t="str">
        <f>IF(Fourth!F205="", "",Fourth!F205)</f>
        <v/>
      </c>
      <c r="G952" s="66" t="str">
        <f>IF(Fourth!G205="", "",Fourth!G205)</f>
        <v/>
      </c>
      <c r="H952" s="66" t="str">
        <f>IF(Fourth!H205="", "",Fourth!H205)</f>
        <v/>
      </c>
      <c r="I952" s="66" t="str">
        <f>IF(Fourth!I205="", "",Fourth!I205)</f>
        <v/>
      </c>
      <c r="J952" s="66" t="str">
        <f>IF(Fourth!J205="", "",Fourth!J205)</f>
        <v/>
      </c>
      <c r="K952" s="86" t="str">
        <f>IF(Fourth!K205="", "",Fourth!K205)</f>
        <v/>
      </c>
      <c r="M952" s="67" t="str">
        <f t="shared" si="44"/>
        <v/>
      </c>
      <c r="N952" s="76" t="str">
        <f t="shared" si="45"/>
        <v/>
      </c>
      <c r="O952" s="33">
        <f t="shared" si="43"/>
        <v>0</v>
      </c>
    </row>
    <row r="953" spans="1:15" x14ac:dyDescent="0.25">
      <c r="A953" s="64" t="s">
        <v>179</v>
      </c>
      <c r="B953" s="79" t="str">
        <f>IF(Fourth!B206="", "",Fourth!B206)</f>
        <v/>
      </c>
      <c r="C953" s="66" t="str">
        <f>IF(Fourth!C206="", "",Fourth!C206)</f>
        <v/>
      </c>
      <c r="D953" s="66" t="str">
        <f>IF(Fourth!D206="", "",Fourth!D206)</f>
        <v/>
      </c>
      <c r="E953" s="66" t="str">
        <f>IF(Fourth!E206="", "",Fourth!E206)</f>
        <v/>
      </c>
      <c r="F953" s="66" t="str">
        <f>IF(Fourth!F206="", "",Fourth!F206)</f>
        <v/>
      </c>
      <c r="G953" s="66" t="str">
        <f>IF(Fourth!G206="", "",Fourth!G206)</f>
        <v/>
      </c>
      <c r="H953" s="66" t="str">
        <f>IF(Fourth!H206="", "",Fourth!H206)</f>
        <v/>
      </c>
      <c r="I953" s="66" t="str">
        <f>IF(Fourth!I206="", "",Fourth!I206)</f>
        <v/>
      </c>
      <c r="J953" s="66" t="str">
        <f>IF(Fourth!J206="", "",Fourth!J206)</f>
        <v/>
      </c>
      <c r="K953" s="86" t="str">
        <f>IF(Fourth!K206="", "",Fourth!K206)</f>
        <v/>
      </c>
      <c r="M953" s="67" t="str">
        <f t="shared" si="44"/>
        <v/>
      </c>
      <c r="N953" s="76" t="str">
        <f t="shared" si="45"/>
        <v/>
      </c>
      <c r="O953" s="33">
        <f t="shared" si="43"/>
        <v>0</v>
      </c>
    </row>
    <row r="954" spans="1:15" x14ac:dyDescent="0.25">
      <c r="A954" s="64" t="s">
        <v>179</v>
      </c>
      <c r="B954" s="79" t="str">
        <f>IF(Fourth!B207="", "",Fourth!B207)</f>
        <v/>
      </c>
      <c r="C954" s="66" t="str">
        <f>IF(Fourth!C207="", "",Fourth!C207)</f>
        <v/>
      </c>
      <c r="D954" s="66" t="str">
        <f>IF(Fourth!D207="", "",Fourth!D207)</f>
        <v/>
      </c>
      <c r="E954" s="66" t="str">
        <f>IF(Fourth!E207="", "",Fourth!E207)</f>
        <v/>
      </c>
      <c r="F954" s="66" t="str">
        <f>IF(Fourth!F207="", "",Fourth!F207)</f>
        <v/>
      </c>
      <c r="G954" s="66" t="str">
        <f>IF(Fourth!G207="", "",Fourth!G207)</f>
        <v/>
      </c>
      <c r="H954" s="66" t="str">
        <f>IF(Fourth!H207="", "",Fourth!H207)</f>
        <v/>
      </c>
      <c r="I954" s="66" t="str">
        <f>IF(Fourth!I207="", "",Fourth!I207)</f>
        <v/>
      </c>
      <c r="J954" s="66" t="str">
        <f>IF(Fourth!J207="", "",Fourth!J207)</f>
        <v/>
      </c>
      <c r="K954" s="86" t="str">
        <f>IF(Fourth!K207="", "",Fourth!K207)</f>
        <v/>
      </c>
      <c r="M954" s="67" t="str">
        <f t="shared" si="44"/>
        <v/>
      </c>
      <c r="N954" s="76" t="str">
        <f t="shared" si="45"/>
        <v/>
      </c>
      <c r="O954" s="33">
        <f t="shared" si="43"/>
        <v>0</v>
      </c>
    </row>
    <row r="955" spans="1:15" x14ac:dyDescent="0.25">
      <c r="A955" s="64" t="s">
        <v>179</v>
      </c>
      <c r="B955" s="79" t="str">
        <f>IF(Fourth!B208="", "",Fourth!B208)</f>
        <v/>
      </c>
      <c r="C955" s="66" t="str">
        <f>IF(Fourth!C208="", "",Fourth!C208)</f>
        <v/>
      </c>
      <c r="D955" s="66" t="str">
        <f>IF(Fourth!D208="", "",Fourth!D208)</f>
        <v/>
      </c>
      <c r="E955" s="66" t="str">
        <f>IF(Fourth!E208="", "",Fourth!E208)</f>
        <v/>
      </c>
      <c r="F955" s="66" t="str">
        <f>IF(Fourth!F208="", "",Fourth!F208)</f>
        <v/>
      </c>
      <c r="G955" s="66" t="str">
        <f>IF(Fourth!G208="", "",Fourth!G208)</f>
        <v/>
      </c>
      <c r="H955" s="66" t="str">
        <f>IF(Fourth!H208="", "",Fourth!H208)</f>
        <v/>
      </c>
      <c r="I955" s="66" t="str">
        <f>IF(Fourth!I208="", "",Fourth!I208)</f>
        <v/>
      </c>
      <c r="J955" s="66" t="str">
        <f>IF(Fourth!J208="", "",Fourth!J208)</f>
        <v/>
      </c>
      <c r="K955" s="86" t="str">
        <f>IF(Fourth!K208="", "",Fourth!K208)</f>
        <v/>
      </c>
      <c r="M955" s="67" t="str">
        <f t="shared" si="44"/>
        <v/>
      </c>
      <c r="N955" s="76" t="str">
        <f t="shared" si="45"/>
        <v/>
      </c>
      <c r="O955" s="33">
        <f t="shared" si="43"/>
        <v>0</v>
      </c>
    </row>
    <row r="956" spans="1:15" x14ac:dyDescent="0.25">
      <c r="A956" s="64" t="s">
        <v>179</v>
      </c>
      <c r="B956" s="79" t="str">
        <f>IF(Fourth!B209="", "",Fourth!B209)</f>
        <v/>
      </c>
      <c r="C956" s="66" t="str">
        <f>IF(Fourth!C209="", "",Fourth!C209)</f>
        <v/>
      </c>
      <c r="D956" s="66" t="str">
        <f>IF(Fourth!D209="", "",Fourth!D209)</f>
        <v/>
      </c>
      <c r="E956" s="66" t="str">
        <f>IF(Fourth!E209="", "",Fourth!E209)</f>
        <v/>
      </c>
      <c r="F956" s="66" t="str">
        <f>IF(Fourth!F209="", "",Fourth!F209)</f>
        <v/>
      </c>
      <c r="G956" s="66" t="str">
        <f>IF(Fourth!G209="", "",Fourth!G209)</f>
        <v/>
      </c>
      <c r="H956" s="66" t="str">
        <f>IF(Fourth!H209="", "",Fourth!H209)</f>
        <v/>
      </c>
      <c r="I956" s="66" t="str">
        <f>IF(Fourth!I209="", "",Fourth!I209)</f>
        <v/>
      </c>
      <c r="J956" s="66" t="str">
        <f>IF(Fourth!J209="", "",Fourth!J209)</f>
        <v/>
      </c>
      <c r="K956" s="86" t="str">
        <f>IF(Fourth!K209="", "",Fourth!K209)</f>
        <v/>
      </c>
      <c r="M956" s="67" t="str">
        <f t="shared" si="44"/>
        <v/>
      </c>
      <c r="N956" s="76" t="str">
        <f t="shared" si="45"/>
        <v/>
      </c>
      <c r="O956" s="33">
        <f t="shared" si="43"/>
        <v>0</v>
      </c>
    </row>
    <row r="957" spans="1:15" x14ac:dyDescent="0.25">
      <c r="A957" s="64" t="s">
        <v>179</v>
      </c>
      <c r="B957" s="79" t="str">
        <f>IF(Fourth!B210="", "",Fourth!B210)</f>
        <v/>
      </c>
      <c r="C957" s="66" t="str">
        <f>IF(Fourth!C210="", "",Fourth!C210)</f>
        <v/>
      </c>
      <c r="D957" s="66" t="str">
        <f>IF(Fourth!D210="", "",Fourth!D210)</f>
        <v/>
      </c>
      <c r="E957" s="66" t="str">
        <f>IF(Fourth!E210="", "",Fourth!E210)</f>
        <v/>
      </c>
      <c r="F957" s="66" t="str">
        <f>IF(Fourth!F210="", "",Fourth!F210)</f>
        <v/>
      </c>
      <c r="G957" s="66" t="str">
        <f>IF(Fourth!G210="", "",Fourth!G210)</f>
        <v/>
      </c>
      <c r="H957" s="66" t="str">
        <f>IF(Fourth!H210="", "",Fourth!H210)</f>
        <v/>
      </c>
      <c r="I957" s="66" t="str">
        <f>IF(Fourth!I210="", "",Fourth!I210)</f>
        <v/>
      </c>
      <c r="J957" s="66" t="str">
        <f>IF(Fourth!J210="", "",Fourth!J210)</f>
        <v/>
      </c>
      <c r="K957" s="86" t="str">
        <f>IF(Fourth!K210="", "",Fourth!K210)</f>
        <v/>
      </c>
      <c r="M957" s="67" t="str">
        <f t="shared" si="44"/>
        <v/>
      </c>
      <c r="N957" s="76" t="str">
        <f t="shared" si="45"/>
        <v/>
      </c>
      <c r="O957" s="33">
        <f t="shared" si="43"/>
        <v>0</v>
      </c>
    </row>
    <row r="958" spans="1:15" x14ac:dyDescent="0.25">
      <c r="A958" s="64" t="s">
        <v>179</v>
      </c>
      <c r="B958" s="79" t="str">
        <f>IF(Fourth!B211="", "",Fourth!B211)</f>
        <v/>
      </c>
      <c r="C958" s="66" t="str">
        <f>IF(Fourth!C211="", "",Fourth!C211)</f>
        <v/>
      </c>
      <c r="D958" s="66" t="str">
        <f>IF(Fourth!D211="", "",Fourth!D211)</f>
        <v/>
      </c>
      <c r="E958" s="66" t="str">
        <f>IF(Fourth!E211="", "",Fourth!E211)</f>
        <v/>
      </c>
      <c r="F958" s="66" t="str">
        <f>IF(Fourth!F211="", "",Fourth!F211)</f>
        <v/>
      </c>
      <c r="G958" s="66" t="str">
        <f>IF(Fourth!G211="", "",Fourth!G211)</f>
        <v/>
      </c>
      <c r="H958" s="66" t="str">
        <f>IF(Fourth!H211="", "",Fourth!H211)</f>
        <v/>
      </c>
      <c r="I958" s="66" t="str">
        <f>IF(Fourth!I211="", "",Fourth!I211)</f>
        <v/>
      </c>
      <c r="J958" s="66" t="str">
        <f>IF(Fourth!J211="", "",Fourth!J211)</f>
        <v/>
      </c>
      <c r="K958" s="86" t="str">
        <f>IF(Fourth!K211="", "",Fourth!K211)</f>
        <v/>
      </c>
      <c r="M958" s="67" t="str">
        <f t="shared" si="44"/>
        <v/>
      </c>
      <c r="N958" s="76" t="str">
        <f t="shared" si="45"/>
        <v/>
      </c>
      <c r="O958" s="33">
        <f t="shared" si="43"/>
        <v>0</v>
      </c>
    </row>
    <row r="959" spans="1:15" x14ac:dyDescent="0.25">
      <c r="A959" s="64" t="s">
        <v>179</v>
      </c>
      <c r="B959" s="79" t="str">
        <f>IF(Fourth!B212="", "",Fourth!B212)</f>
        <v/>
      </c>
      <c r="C959" s="66" t="str">
        <f>IF(Fourth!C212="", "",Fourth!C212)</f>
        <v/>
      </c>
      <c r="D959" s="66" t="str">
        <f>IF(Fourth!D212="", "",Fourth!D212)</f>
        <v/>
      </c>
      <c r="E959" s="66" t="str">
        <f>IF(Fourth!E212="", "",Fourth!E212)</f>
        <v/>
      </c>
      <c r="F959" s="66" t="str">
        <f>IF(Fourth!F212="", "",Fourth!F212)</f>
        <v/>
      </c>
      <c r="G959" s="66" t="str">
        <f>IF(Fourth!G212="", "",Fourth!G212)</f>
        <v/>
      </c>
      <c r="H959" s="66" t="str">
        <f>IF(Fourth!H212="", "",Fourth!H212)</f>
        <v/>
      </c>
      <c r="I959" s="66" t="str">
        <f>IF(Fourth!I212="", "",Fourth!I212)</f>
        <v/>
      </c>
      <c r="J959" s="66" t="str">
        <f>IF(Fourth!J212="", "",Fourth!J212)</f>
        <v/>
      </c>
      <c r="K959" s="86" t="str">
        <f>IF(Fourth!K212="", "",Fourth!K212)</f>
        <v/>
      </c>
      <c r="M959" s="67" t="str">
        <f t="shared" si="44"/>
        <v/>
      </c>
      <c r="N959" s="76" t="str">
        <f t="shared" si="45"/>
        <v/>
      </c>
      <c r="O959" s="33">
        <f t="shared" si="43"/>
        <v>0</v>
      </c>
    </row>
    <row r="960" spans="1:15" x14ac:dyDescent="0.25">
      <c r="A960" s="64" t="s">
        <v>179</v>
      </c>
      <c r="B960" s="79" t="str">
        <f>IF(Fourth!B213="", "",Fourth!B213)</f>
        <v/>
      </c>
      <c r="C960" s="66" t="str">
        <f>IF(Fourth!C213="", "",Fourth!C213)</f>
        <v/>
      </c>
      <c r="D960" s="66" t="str">
        <f>IF(Fourth!D213="", "",Fourth!D213)</f>
        <v/>
      </c>
      <c r="E960" s="66" t="str">
        <f>IF(Fourth!E213="", "",Fourth!E213)</f>
        <v/>
      </c>
      <c r="F960" s="66" t="str">
        <f>IF(Fourth!F213="", "",Fourth!F213)</f>
        <v/>
      </c>
      <c r="G960" s="66" t="str">
        <f>IF(Fourth!G213="", "",Fourth!G213)</f>
        <v/>
      </c>
      <c r="H960" s="66" t="str">
        <f>IF(Fourth!H213="", "",Fourth!H213)</f>
        <v/>
      </c>
      <c r="I960" s="66" t="str">
        <f>IF(Fourth!I213="", "",Fourth!I213)</f>
        <v/>
      </c>
      <c r="J960" s="66" t="str">
        <f>IF(Fourth!J213="", "",Fourth!J213)</f>
        <v/>
      </c>
      <c r="K960" s="86" t="str">
        <f>IF(Fourth!K213="", "",Fourth!K213)</f>
        <v/>
      </c>
      <c r="M960" s="67" t="str">
        <f t="shared" si="44"/>
        <v/>
      </c>
      <c r="N960" s="76" t="str">
        <f t="shared" si="45"/>
        <v/>
      </c>
      <c r="O960" s="33">
        <f t="shared" si="43"/>
        <v>0</v>
      </c>
    </row>
    <row r="961" spans="1:15" x14ac:dyDescent="0.25">
      <c r="A961" s="64" t="s">
        <v>179</v>
      </c>
      <c r="B961" s="79" t="str">
        <f>IF(Fourth!B214="", "",Fourth!B214)</f>
        <v/>
      </c>
      <c r="C961" s="66" t="str">
        <f>IF(Fourth!C214="", "",Fourth!C214)</f>
        <v/>
      </c>
      <c r="D961" s="66" t="str">
        <f>IF(Fourth!D214="", "",Fourth!D214)</f>
        <v/>
      </c>
      <c r="E961" s="66" t="str">
        <f>IF(Fourth!E214="", "",Fourth!E214)</f>
        <v/>
      </c>
      <c r="F961" s="66" t="str">
        <f>IF(Fourth!F214="", "",Fourth!F214)</f>
        <v/>
      </c>
      <c r="G961" s="66" t="str">
        <f>IF(Fourth!G214="", "",Fourth!G214)</f>
        <v/>
      </c>
      <c r="H961" s="66" t="str">
        <f>IF(Fourth!H214="", "",Fourth!H214)</f>
        <v/>
      </c>
      <c r="I961" s="66" t="str">
        <f>IF(Fourth!I214="", "",Fourth!I214)</f>
        <v/>
      </c>
      <c r="J961" s="66" t="str">
        <f>IF(Fourth!J214="", "",Fourth!J214)</f>
        <v/>
      </c>
      <c r="K961" s="86" t="str">
        <f>IF(Fourth!K214="", "",Fourth!K214)</f>
        <v/>
      </c>
      <c r="M961" s="67" t="str">
        <f t="shared" si="44"/>
        <v/>
      </c>
      <c r="N961" s="76" t="str">
        <f t="shared" si="45"/>
        <v/>
      </c>
      <c r="O961" s="33">
        <f t="shared" si="43"/>
        <v>0</v>
      </c>
    </row>
    <row r="962" spans="1:15" x14ac:dyDescent="0.25">
      <c r="A962" s="64" t="s">
        <v>179</v>
      </c>
      <c r="B962" s="79" t="str">
        <f>IF(Fourth!B215="", "",Fourth!B215)</f>
        <v/>
      </c>
      <c r="C962" s="66" t="str">
        <f>IF(Fourth!C215="", "",Fourth!C215)</f>
        <v/>
      </c>
      <c r="D962" s="66" t="str">
        <f>IF(Fourth!D215="", "",Fourth!D215)</f>
        <v/>
      </c>
      <c r="E962" s="66" t="str">
        <f>IF(Fourth!E215="", "",Fourth!E215)</f>
        <v/>
      </c>
      <c r="F962" s="66" t="str">
        <f>IF(Fourth!F215="", "",Fourth!F215)</f>
        <v/>
      </c>
      <c r="G962" s="66" t="str">
        <f>IF(Fourth!G215="", "",Fourth!G215)</f>
        <v/>
      </c>
      <c r="H962" s="66" t="str">
        <f>IF(Fourth!H215="", "",Fourth!H215)</f>
        <v/>
      </c>
      <c r="I962" s="66" t="str">
        <f>IF(Fourth!I215="", "",Fourth!I215)</f>
        <v/>
      </c>
      <c r="J962" s="66" t="str">
        <f>IF(Fourth!J215="", "",Fourth!J215)</f>
        <v/>
      </c>
      <c r="K962" s="86" t="str">
        <f>IF(Fourth!K215="", "",Fourth!K215)</f>
        <v/>
      </c>
      <c r="M962" s="67" t="str">
        <f t="shared" si="44"/>
        <v/>
      </c>
      <c r="N962" s="76" t="str">
        <f t="shared" si="45"/>
        <v/>
      </c>
      <c r="O962" s="33">
        <f t="shared" ref="O962:O1025" si="46">SUM(M962:N962)</f>
        <v>0</v>
      </c>
    </row>
    <row r="963" spans="1:15" x14ac:dyDescent="0.25">
      <c r="A963" s="64" t="s">
        <v>179</v>
      </c>
      <c r="B963" s="79" t="str">
        <f>IF(Fourth!B216="", "",Fourth!B216)</f>
        <v/>
      </c>
      <c r="C963" s="66" t="str">
        <f>IF(Fourth!C216="", "",Fourth!C216)</f>
        <v/>
      </c>
      <c r="D963" s="66" t="str">
        <f>IF(Fourth!D216="", "",Fourth!D216)</f>
        <v/>
      </c>
      <c r="E963" s="66" t="str">
        <f>IF(Fourth!E216="", "",Fourth!E216)</f>
        <v/>
      </c>
      <c r="F963" s="66" t="str">
        <f>IF(Fourth!F216="", "",Fourth!F216)</f>
        <v/>
      </c>
      <c r="G963" s="66" t="str">
        <f>IF(Fourth!G216="", "",Fourth!G216)</f>
        <v/>
      </c>
      <c r="H963" s="66" t="str">
        <f>IF(Fourth!H216="", "",Fourth!H216)</f>
        <v/>
      </c>
      <c r="I963" s="66" t="str">
        <f>IF(Fourth!I216="", "",Fourth!I216)</f>
        <v/>
      </c>
      <c r="J963" s="66" t="str">
        <f>IF(Fourth!J216="", "",Fourth!J216)</f>
        <v/>
      </c>
      <c r="K963" s="86" t="str">
        <f>IF(Fourth!K216="", "",Fourth!K216)</f>
        <v/>
      </c>
      <c r="M963" s="67" t="str">
        <f t="shared" ref="M963:M1026" si="47">IF(C963="PwC",(7-COUNTIF(B963:H963,"")),"")</f>
        <v/>
      </c>
      <c r="N963" s="76" t="str">
        <f t="shared" ref="N963:N1026" si="48">IF(C963="Carer",(7-COUNTIF(B963:H963,"")),"")</f>
        <v/>
      </c>
      <c r="O963" s="33">
        <f t="shared" si="46"/>
        <v>0</v>
      </c>
    </row>
    <row r="964" spans="1:15" x14ac:dyDescent="0.25">
      <c r="A964" s="64" t="s">
        <v>179</v>
      </c>
      <c r="B964" s="79" t="str">
        <f>IF(Fourth!B217="", "",Fourth!B217)</f>
        <v/>
      </c>
      <c r="C964" s="66" t="str">
        <f>IF(Fourth!C217="", "",Fourth!C217)</f>
        <v/>
      </c>
      <c r="D964" s="66" t="str">
        <f>IF(Fourth!D217="", "",Fourth!D217)</f>
        <v/>
      </c>
      <c r="E964" s="66" t="str">
        <f>IF(Fourth!E217="", "",Fourth!E217)</f>
        <v/>
      </c>
      <c r="F964" s="66" t="str">
        <f>IF(Fourth!F217="", "",Fourth!F217)</f>
        <v/>
      </c>
      <c r="G964" s="66" t="str">
        <f>IF(Fourth!G217="", "",Fourth!G217)</f>
        <v/>
      </c>
      <c r="H964" s="66" t="str">
        <f>IF(Fourth!H217="", "",Fourth!H217)</f>
        <v/>
      </c>
      <c r="I964" s="66" t="str">
        <f>IF(Fourth!I217="", "",Fourth!I217)</f>
        <v/>
      </c>
      <c r="J964" s="66" t="str">
        <f>IF(Fourth!J217="", "",Fourth!J217)</f>
        <v/>
      </c>
      <c r="K964" s="86" t="str">
        <f>IF(Fourth!K217="", "",Fourth!K217)</f>
        <v/>
      </c>
      <c r="M964" s="67" t="str">
        <f t="shared" si="47"/>
        <v/>
      </c>
      <c r="N964" s="76" t="str">
        <f t="shared" si="48"/>
        <v/>
      </c>
      <c r="O964" s="33">
        <f t="shared" si="46"/>
        <v>0</v>
      </c>
    </row>
    <row r="965" spans="1:15" x14ac:dyDescent="0.25">
      <c r="A965" s="64" t="s">
        <v>179</v>
      </c>
      <c r="B965" s="79" t="str">
        <f>IF(Fourth!B218="", "",Fourth!B218)</f>
        <v/>
      </c>
      <c r="C965" s="66" t="str">
        <f>IF(Fourth!C218="", "",Fourth!C218)</f>
        <v/>
      </c>
      <c r="D965" s="66" t="str">
        <f>IF(Fourth!D218="", "",Fourth!D218)</f>
        <v/>
      </c>
      <c r="E965" s="66" t="str">
        <f>IF(Fourth!E218="", "",Fourth!E218)</f>
        <v/>
      </c>
      <c r="F965" s="66" t="str">
        <f>IF(Fourth!F218="", "",Fourth!F218)</f>
        <v/>
      </c>
      <c r="G965" s="66" t="str">
        <f>IF(Fourth!G218="", "",Fourth!G218)</f>
        <v/>
      </c>
      <c r="H965" s="66" t="str">
        <f>IF(Fourth!H218="", "",Fourth!H218)</f>
        <v/>
      </c>
      <c r="I965" s="66" t="str">
        <f>IF(Fourth!I218="", "",Fourth!I218)</f>
        <v/>
      </c>
      <c r="J965" s="66" t="str">
        <f>IF(Fourth!J218="", "",Fourth!J218)</f>
        <v/>
      </c>
      <c r="K965" s="86" t="str">
        <f>IF(Fourth!K218="", "",Fourth!K218)</f>
        <v/>
      </c>
      <c r="M965" s="67" t="str">
        <f t="shared" si="47"/>
        <v/>
      </c>
      <c r="N965" s="76" t="str">
        <f t="shared" si="48"/>
        <v/>
      </c>
      <c r="O965" s="33">
        <f t="shared" si="46"/>
        <v>0</v>
      </c>
    </row>
    <row r="966" spans="1:15" x14ac:dyDescent="0.25">
      <c r="A966" s="64" t="s">
        <v>179</v>
      </c>
      <c r="B966" s="79" t="str">
        <f>IF(Fourth!B219="", "",Fourth!B219)</f>
        <v/>
      </c>
      <c r="C966" s="66" t="str">
        <f>IF(Fourth!C219="", "",Fourth!C219)</f>
        <v/>
      </c>
      <c r="D966" s="66" t="str">
        <f>IF(Fourth!D219="", "",Fourth!D219)</f>
        <v/>
      </c>
      <c r="E966" s="66" t="str">
        <f>IF(Fourth!E219="", "",Fourth!E219)</f>
        <v/>
      </c>
      <c r="F966" s="66" t="str">
        <f>IF(Fourth!F219="", "",Fourth!F219)</f>
        <v/>
      </c>
      <c r="G966" s="66" t="str">
        <f>IF(Fourth!G219="", "",Fourth!G219)</f>
        <v/>
      </c>
      <c r="H966" s="66" t="str">
        <f>IF(Fourth!H219="", "",Fourth!H219)</f>
        <v/>
      </c>
      <c r="I966" s="66" t="str">
        <f>IF(Fourth!I219="", "",Fourth!I219)</f>
        <v/>
      </c>
      <c r="J966" s="66" t="str">
        <f>IF(Fourth!J219="", "",Fourth!J219)</f>
        <v/>
      </c>
      <c r="K966" s="86" t="str">
        <f>IF(Fourth!K219="", "",Fourth!K219)</f>
        <v/>
      </c>
      <c r="M966" s="67" t="str">
        <f t="shared" si="47"/>
        <v/>
      </c>
      <c r="N966" s="76" t="str">
        <f t="shared" si="48"/>
        <v/>
      </c>
      <c r="O966" s="33">
        <f t="shared" si="46"/>
        <v>0</v>
      </c>
    </row>
    <row r="967" spans="1:15" x14ac:dyDescent="0.25">
      <c r="A967" s="64" t="s">
        <v>179</v>
      </c>
      <c r="B967" s="79" t="str">
        <f>IF(Fourth!B220="", "",Fourth!B220)</f>
        <v/>
      </c>
      <c r="C967" s="66" t="str">
        <f>IF(Fourth!C220="", "",Fourth!C220)</f>
        <v/>
      </c>
      <c r="D967" s="66" t="str">
        <f>IF(Fourth!D220="", "",Fourth!D220)</f>
        <v/>
      </c>
      <c r="E967" s="66" t="str">
        <f>IF(Fourth!E220="", "",Fourth!E220)</f>
        <v/>
      </c>
      <c r="F967" s="66" t="str">
        <f>IF(Fourth!F220="", "",Fourth!F220)</f>
        <v/>
      </c>
      <c r="G967" s="66" t="str">
        <f>IF(Fourth!G220="", "",Fourth!G220)</f>
        <v/>
      </c>
      <c r="H967" s="66" t="str">
        <f>IF(Fourth!H220="", "",Fourth!H220)</f>
        <v/>
      </c>
      <c r="I967" s="66" t="str">
        <f>IF(Fourth!I220="", "",Fourth!I220)</f>
        <v/>
      </c>
      <c r="J967" s="66" t="str">
        <f>IF(Fourth!J220="", "",Fourth!J220)</f>
        <v/>
      </c>
      <c r="K967" s="86" t="str">
        <f>IF(Fourth!K220="", "",Fourth!K220)</f>
        <v/>
      </c>
      <c r="M967" s="67" t="str">
        <f t="shared" si="47"/>
        <v/>
      </c>
      <c r="N967" s="76" t="str">
        <f t="shared" si="48"/>
        <v/>
      </c>
      <c r="O967" s="33">
        <f t="shared" si="46"/>
        <v>0</v>
      </c>
    </row>
    <row r="968" spans="1:15" x14ac:dyDescent="0.25">
      <c r="A968" s="64" t="s">
        <v>179</v>
      </c>
      <c r="B968" s="79" t="str">
        <f>IF(Fourth!B221="", "",Fourth!B221)</f>
        <v/>
      </c>
      <c r="C968" s="66" t="str">
        <f>IF(Fourth!C221="", "",Fourth!C221)</f>
        <v/>
      </c>
      <c r="D968" s="66" t="str">
        <f>IF(Fourth!D221="", "",Fourth!D221)</f>
        <v/>
      </c>
      <c r="E968" s="66" t="str">
        <f>IF(Fourth!E221="", "",Fourth!E221)</f>
        <v/>
      </c>
      <c r="F968" s="66" t="str">
        <f>IF(Fourth!F221="", "",Fourth!F221)</f>
        <v/>
      </c>
      <c r="G968" s="66" t="str">
        <f>IF(Fourth!G221="", "",Fourth!G221)</f>
        <v/>
      </c>
      <c r="H968" s="66" t="str">
        <f>IF(Fourth!H221="", "",Fourth!H221)</f>
        <v/>
      </c>
      <c r="I968" s="66" t="str">
        <f>IF(Fourth!I221="", "",Fourth!I221)</f>
        <v/>
      </c>
      <c r="J968" s="66" t="str">
        <f>IF(Fourth!J221="", "",Fourth!J221)</f>
        <v/>
      </c>
      <c r="K968" s="86" t="str">
        <f>IF(Fourth!K221="", "",Fourth!K221)</f>
        <v/>
      </c>
      <c r="M968" s="67" t="str">
        <f t="shared" si="47"/>
        <v/>
      </c>
      <c r="N968" s="76" t="str">
        <f t="shared" si="48"/>
        <v/>
      </c>
      <c r="O968" s="33">
        <f t="shared" si="46"/>
        <v>0</v>
      </c>
    </row>
    <row r="969" spans="1:15" x14ac:dyDescent="0.25">
      <c r="A969" s="64" t="s">
        <v>179</v>
      </c>
      <c r="B969" s="79" t="str">
        <f>IF(Fourth!B222="", "",Fourth!B222)</f>
        <v/>
      </c>
      <c r="C969" s="66" t="str">
        <f>IF(Fourth!C222="", "",Fourth!C222)</f>
        <v/>
      </c>
      <c r="D969" s="66" t="str">
        <f>IF(Fourth!D222="", "",Fourth!D222)</f>
        <v/>
      </c>
      <c r="E969" s="66" t="str">
        <f>IF(Fourth!E222="", "",Fourth!E222)</f>
        <v/>
      </c>
      <c r="F969" s="66" t="str">
        <f>IF(Fourth!F222="", "",Fourth!F222)</f>
        <v/>
      </c>
      <c r="G969" s="66" t="str">
        <f>IF(Fourth!G222="", "",Fourth!G222)</f>
        <v/>
      </c>
      <c r="H969" s="66" t="str">
        <f>IF(Fourth!H222="", "",Fourth!H222)</f>
        <v/>
      </c>
      <c r="I969" s="66" t="str">
        <f>IF(Fourth!I222="", "",Fourth!I222)</f>
        <v/>
      </c>
      <c r="J969" s="66" t="str">
        <f>IF(Fourth!J222="", "",Fourth!J222)</f>
        <v/>
      </c>
      <c r="K969" s="86" t="str">
        <f>IF(Fourth!K222="", "",Fourth!K222)</f>
        <v/>
      </c>
      <c r="M969" s="67" t="str">
        <f t="shared" si="47"/>
        <v/>
      </c>
      <c r="N969" s="76" t="str">
        <f t="shared" si="48"/>
        <v/>
      </c>
      <c r="O969" s="33">
        <f t="shared" si="46"/>
        <v>0</v>
      </c>
    </row>
    <row r="970" spans="1:15" x14ac:dyDescent="0.25">
      <c r="A970" s="64" t="s">
        <v>179</v>
      </c>
      <c r="B970" s="79" t="str">
        <f>IF(Fourth!B223="", "",Fourth!B223)</f>
        <v/>
      </c>
      <c r="C970" s="66" t="str">
        <f>IF(Fourth!C223="", "",Fourth!C223)</f>
        <v/>
      </c>
      <c r="D970" s="66" t="str">
        <f>IF(Fourth!D223="", "",Fourth!D223)</f>
        <v/>
      </c>
      <c r="E970" s="66" t="str">
        <f>IF(Fourth!E223="", "",Fourth!E223)</f>
        <v/>
      </c>
      <c r="F970" s="66" t="str">
        <f>IF(Fourth!F223="", "",Fourth!F223)</f>
        <v/>
      </c>
      <c r="G970" s="66" t="str">
        <f>IF(Fourth!G223="", "",Fourth!G223)</f>
        <v/>
      </c>
      <c r="H970" s="66" t="str">
        <f>IF(Fourth!H223="", "",Fourth!H223)</f>
        <v/>
      </c>
      <c r="I970" s="66" t="str">
        <f>IF(Fourth!I223="", "",Fourth!I223)</f>
        <v/>
      </c>
      <c r="J970" s="66" t="str">
        <f>IF(Fourth!J223="", "",Fourth!J223)</f>
        <v/>
      </c>
      <c r="K970" s="86" t="str">
        <f>IF(Fourth!K223="", "",Fourth!K223)</f>
        <v/>
      </c>
      <c r="M970" s="67" t="str">
        <f t="shared" si="47"/>
        <v/>
      </c>
      <c r="N970" s="76" t="str">
        <f t="shared" si="48"/>
        <v/>
      </c>
      <c r="O970" s="33">
        <f t="shared" si="46"/>
        <v>0</v>
      </c>
    </row>
    <row r="971" spans="1:15" x14ac:dyDescent="0.25">
      <c r="A971" s="64" t="s">
        <v>179</v>
      </c>
      <c r="B971" s="79" t="str">
        <f>IF(Fourth!B224="", "",Fourth!B224)</f>
        <v/>
      </c>
      <c r="C971" s="66" t="str">
        <f>IF(Fourth!C224="", "",Fourth!C224)</f>
        <v/>
      </c>
      <c r="D971" s="66" t="str">
        <f>IF(Fourth!D224="", "",Fourth!D224)</f>
        <v/>
      </c>
      <c r="E971" s="66" t="str">
        <f>IF(Fourth!E224="", "",Fourth!E224)</f>
        <v/>
      </c>
      <c r="F971" s="66" t="str">
        <f>IF(Fourth!F224="", "",Fourth!F224)</f>
        <v/>
      </c>
      <c r="G971" s="66" t="str">
        <f>IF(Fourth!G224="", "",Fourth!G224)</f>
        <v/>
      </c>
      <c r="H971" s="66" t="str">
        <f>IF(Fourth!H224="", "",Fourth!H224)</f>
        <v/>
      </c>
      <c r="I971" s="66" t="str">
        <f>IF(Fourth!I224="", "",Fourth!I224)</f>
        <v/>
      </c>
      <c r="J971" s="66" t="str">
        <f>IF(Fourth!J224="", "",Fourth!J224)</f>
        <v/>
      </c>
      <c r="K971" s="86" t="str">
        <f>IF(Fourth!K224="", "",Fourth!K224)</f>
        <v/>
      </c>
      <c r="M971" s="67" t="str">
        <f t="shared" si="47"/>
        <v/>
      </c>
      <c r="N971" s="76" t="str">
        <f t="shared" si="48"/>
        <v/>
      </c>
      <c r="O971" s="33">
        <f t="shared" si="46"/>
        <v>0</v>
      </c>
    </row>
    <row r="972" spans="1:15" x14ac:dyDescent="0.25">
      <c r="A972" s="64" t="s">
        <v>179</v>
      </c>
      <c r="B972" s="79" t="str">
        <f>IF(Fourth!B225="", "",Fourth!B225)</f>
        <v/>
      </c>
      <c r="C972" s="66" t="str">
        <f>IF(Fourth!C225="", "",Fourth!C225)</f>
        <v/>
      </c>
      <c r="D972" s="66" t="str">
        <f>IF(Fourth!D225="", "",Fourth!D225)</f>
        <v/>
      </c>
      <c r="E972" s="66" t="str">
        <f>IF(Fourth!E225="", "",Fourth!E225)</f>
        <v/>
      </c>
      <c r="F972" s="66" t="str">
        <f>IF(Fourth!F225="", "",Fourth!F225)</f>
        <v/>
      </c>
      <c r="G972" s="66" t="str">
        <f>IF(Fourth!G225="", "",Fourth!G225)</f>
        <v/>
      </c>
      <c r="H972" s="66" t="str">
        <f>IF(Fourth!H225="", "",Fourth!H225)</f>
        <v/>
      </c>
      <c r="I972" s="66" t="str">
        <f>IF(Fourth!I225="", "",Fourth!I225)</f>
        <v/>
      </c>
      <c r="J972" s="66" t="str">
        <f>IF(Fourth!J225="", "",Fourth!J225)</f>
        <v/>
      </c>
      <c r="K972" s="86" t="str">
        <f>IF(Fourth!K225="", "",Fourth!K225)</f>
        <v/>
      </c>
      <c r="M972" s="67" t="str">
        <f t="shared" si="47"/>
        <v/>
      </c>
      <c r="N972" s="76" t="str">
        <f t="shared" si="48"/>
        <v/>
      </c>
      <c r="O972" s="33">
        <f t="shared" si="46"/>
        <v>0</v>
      </c>
    </row>
    <row r="973" spans="1:15" x14ac:dyDescent="0.25">
      <c r="A973" s="64" t="s">
        <v>179</v>
      </c>
      <c r="B973" s="79" t="str">
        <f>IF(Fourth!B226="", "",Fourth!B226)</f>
        <v/>
      </c>
      <c r="C973" s="66" t="str">
        <f>IF(Fourth!C226="", "",Fourth!C226)</f>
        <v/>
      </c>
      <c r="D973" s="66" t="str">
        <f>IF(Fourth!D226="", "",Fourth!D226)</f>
        <v/>
      </c>
      <c r="E973" s="66" t="str">
        <f>IF(Fourth!E226="", "",Fourth!E226)</f>
        <v/>
      </c>
      <c r="F973" s="66" t="str">
        <f>IF(Fourth!F226="", "",Fourth!F226)</f>
        <v/>
      </c>
      <c r="G973" s="66" t="str">
        <f>IF(Fourth!G226="", "",Fourth!G226)</f>
        <v/>
      </c>
      <c r="H973" s="66" t="str">
        <f>IF(Fourth!H226="", "",Fourth!H226)</f>
        <v/>
      </c>
      <c r="I973" s="66" t="str">
        <f>IF(Fourth!I226="", "",Fourth!I226)</f>
        <v/>
      </c>
      <c r="J973" s="66" t="str">
        <f>IF(Fourth!J226="", "",Fourth!J226)</f>
        <v/>
      </c>
      <c r="K973" s="86" t="str">
        <f>IF(Fourth!K226="", "",Fourth!K226)</f>
        <v/>
      </c>
      <c r="M973" s="67" t="str">
        <f t="shared" si="47"/>
        <v/>
      </c>
      <c r="N973" s="76" t="str">
        <f t="shared" si="48"/>
        <v/>
      </c>
      <c r="O973" s="33">
        <f t="shared" si="46"/>
        <v>0</v>
      </c>
    </row>
    <row r="974" spans="1:15" x14ac:dyDescent="0.25">
      <c r="A974" s="64" t="s">
        <v>179</v>
      </c>
      <c r="B974" s="79" t="str">
        <f>IF(Fourth!B227="", "",Fourth!B227)</f>
        <v/>
      </c>
      <c r="C974" s="66" t="str">
        <f>IF(Fourth!C227="", "",Fourth!C227)</f>
        <v/>
      </c>
      <c r="D974" s="66" t="str">
        <f>IF(Fourth!D227="", "",Fourth!D227)</f>
        <v/>
      </c>
      <c r="E974" s="66" t="str">
        <f>IF(Fourth!E227="", "",Fourth!E227)</f>
        <v/>
      </c>
      <c r="F974" s="66" t="str">
        <f>IF(Fourth!F227="", "",Fourth!F227)</f>
        <v/>
      </c>
      <c r="G974" s="66" t="str">
        <f>IF(Fourth!G227="", "",Fourth!G227)</f>
        <v/>
      </c>
      <c r="H974" s="66" t="str">
        <f>IF(Fourth!H227="", "",Fourth!H227)</f>
        <v/>
      </c>
      <c r="I974" s="66" t="str">
        <f>IF(Fourth!I227="", "",Fourth!I227)</f>
        <v/>
      </c>
      <c r="J974" s="66" t="str">
        <f>IF(Fourth!J227="", "",Fourth!J227)</f>
        <v/>
      </c>
      <c r="K974" s="86" t="str">
        <f>IF(Fourth!K227="", "",Fourth!K227)</f>
        <v/>
      </c>
      <c r="M974" s="67" t="str">
        <f t="shared" si="47"/>
        <v/>
      </c>
      <c r="N974" s="76" t="str">
        <f t="shared" si="48"/>
        <v/>
      </c>
      <c r="O974" s="33">
        <f t="shared" si="46"/>
        <v>0</v>
      </c>
    </row>
    <row r="975" spans="1:15" x14ac:dyDescent="0.25">
      <c r="A975" s="64" t="s">
        <v>179</v>
      </c>
      <c r="B975" s="79" t="str">
        <f>IF(Fourth!B228="", "",Fourth!B228)</f>
        <v/>
      </c>
      <c r="C975" s="66" t="str">
        <f>IF(Fourth!C228="", "",Fourth!C228)</f>
        <v/>
      </c>
      <c r="D975" s="66" t="str">
        <f>IF(Fourth!D228="", "",Fourth!D228)</f>
        <v/>
      </c>
      <c r="E975" s="66" t="str">
        <f>IF(Fourth!E228="", "",Fourth!E228)</f>
        <v/>
      </c>
      <c r="F975" s="66" t="str">
        <f>IF(Fourth!F228="", "",Fourth!F228)</f>
        <v/>
      </c>
      <c r="G975" s="66" t="str">
        <f>IF(Fourth!G228="", "",Fourth!G228)</f>
        <v/>
      </c>
      <c r="H975" s="66" t="str">
        <f>IF(Fourth!H228="", "",Fourth!H228)</f>
        <v/>
      </c>
      <c r="I975" s="66" t="str">
        <f>IF(Fourth!I228="", "",Fourth!I228)</f>
        <v/>
      </c>
      <c r="J975" s="66" t="str">
        <f>IF(Fourth!J228="", "",Fourth!J228)</f>
        <v/>
      </c>
      <c r="K975" s="86" t="str">
        <f>IF(Fourth!K228="", "",Fourth!K228)</f>
        <v/>
      </c>
      <c r="M975" s="67" t="str">
        <f t="shared" si="47"/>
        <v/>
      </c>
      <c r="N975" s="76" t="str">
        <f t="shared" si="48"/>
        <v/>
      </c>
      <c r="O975" s="33">
        <f t="shared" si="46"/>
        <v>0</v>
      </c>
    </row>
    <row r="976" spans="1:15" x14ac:dyDescent="0.25">
      <c r="A976" s="64" t="s">
        <v>179</v>
      </c>
      <c r="B976" s="79" t="str">
        <f>IF(Fourth!B229="", "",Fourth!B229)</f>
        <v/>
      </c>
      <c r="C976" s="66" t="str">
        <f>IF(Fourth!C229="", "",Fourth!C229)</f>
        <v/>
      </c>
      <c r="D976" s="66" t="str">
        <f>IF(Fourth!D229="", "",Fourth!D229)</f>
        <v/>
      </c>
      <c r="E976" s="66" t="str">
        <f>IF(Fourth!E229="", "",Fourth!E229)</f>
        <v/>
      </c>
      <c r="F976" s="66" t="str">
        <f>IF(Fourth!F229="", "",Fourth!F229)</f>
        <v/>
      </c>
      <c r="G976" s="66" t="str">
        <f>IF(Fourth!G229="", "",Fourth!G229)</f>
        <v/>
      </c>
      <c r="H976" s="66" t="str">
        <f>IF(Fourth!H229="", "",Fourth!H229)</f>
        <v/>
      </c>
      <c r="I976" s="66" t="str">
        <f>IF(Fourth!I229="", "",Fourth!I229)</f>
        <v/>
      </c>
      <c r="J976" s="66" t="str">
        <f>IF(Fourth!J229="", "",Fourth!J229)</f>
        <v/>
      </c>
      <c r="K976" s="86" t="str">
        <f>IF(Fourth!K229="", "",Fourth!K229)</f>
        <v/>
      </c>
      <c r="M976" s="67" t="str">
        <f t="shared" si="47"/>
        <v/>
      </c>
      <c r="N976" s="76" t="str">
        <f t="shared" si="48"/>
        <v/>
      </c>
      <c r="O976" s="33">
        <f t="shared" si="46"/>
        <v>0</v>
      </c>
    </row>
    <row r="977" spans="1:15" x14ac:dyDescent="0.25">
      <c r="A977" s="64" t="s">
        <v>179</v>
      </c>
      <c r="B977" s="79" t="str">
        <f>IF(Fourth!B230="", "",Fourth!B230)</f>
        <v/>
      </c>
      <c r="C977" s="66" t="str">
        <f>IF(Fourth!C230="", "",Fourth!C230)</f>
        <v/>
      </c>
      <c r="D977" s="66" t="str">
        <f>IF(Fourth!D230="", "",Fourth!D230)</f>
        <v/>
      </c>
      <c r="E977" s="66" t="str">
        <f>IF(Fourth!E230="", "",Fourth!E230)</f>
        <v/>
      </c>
      <c r="F977" s="66" t="str">
        <f>IF(Fourth!F230="", "",Fourth!F230)</f>
        <v/>
      </c>
      <c r="G977" s="66" t="str">
        <f>IF(Fourth!G230="", "",Fourth!G230)</f>
        <v/>
      </c>
      <c r="H977" s="66" t="str">
        <f>IF(Fourth!H230="", "",Fourth!H230)</f>
        <v/>
      </c>
      <c r="I977" s="66" t="str">
        <f>IF(Fourth!I230="", "",Fourth!I230)</f>
        <v/>
      </c>
      <c r="J977" s="66" t="str">
        <f>IF(Fourth!J230="", "",Fourth!J230)</f>
        <v/>
      </c>
      <c r="K977" s="86" t="str">
        <f>IF(Fourth!K230="", "",Fourth!K230)</f>
        <v/>
      </c>
      <c r="M977" s="67" t="str">
        <f t="shared" si="47"/>
        <v/>
      </c>
      <c r="N977" s="76" t="str">
        <f t="shared" si="48"/>
        <v/>
      </c>
      <c r="O977" s="33">
        <f t="shared" si="46"/>
        <v>0</v>
      </c>
    </row>
    <row r="978" spans="1:15" x14ac:dyDescent="0.25">
      <c r="A978" s="64" t="s">
        <v>179</v>
      </c>
      <c r="B978" s="79" t="str">
        <f>IF(Fourth!B231="", "",Fourth!B231)</f>
        <v/>
      </c>
      <c r="C978" s="66" t="str">
        <f>IF(Fourth!C231="", "",Fourth!C231)</f>
        <v/>
      </c>
      <c r="D978" s="66" t="str">
        <f>IF(Fourth!D231="", "",Fourth!D231)</f>
        <v/>
      </c>
      <c r="E978" s="66" t="str">
        <f>IF(Fourth!E231="", "",Fourth!E231)</f>
        <v/>
      </c>
      <c r="F978" s="66" t="str">
        <f>IF(Fourth!F231="", "",Fourth!F231)</f>
        <v/>
      </c>
      <c r="G978" s="66" t="str">
        <f>IF(Fourth!G231="", "",Fourth!G231)</f>
        <v/>
      </c>
      <c r="H978" s="66" t="str">
        <f>IF(Fourth!H231="", "",Fourth!H231)</f>
        <v/>
      </c>
      <c r="I978" s="66" t="str">
        <f>IF(Fourth!I231="", "",Fourth!I231)</f>
        <v/>
      </c>
      <c r="J978" s="66" t="str">
        <f>IF(Fourth!J231="", "",Fourth!J231)</f>
        <v/>
      </c>
      <c r="K978" s="86" t="str">
        <f>IF(Fourth!K231="", "",Fourth!K231)</f>
        <v/>
      </c>
      <c r="M978" s="67" t="str">
        <f t="shared" si="47"/>
        <v/>
      </c>
      <c r="N978" s="76" t="str">
        <f t="shared" si="48"/>
        <v/>
      </c>
      <c r="O978" s="33">
        <f t="shared" si="46"/>
        <v>0</v>
      </c>
    </row>
    <row r="979" spans="1:15" x14ac:dyDescent="0.25">
      <c r="A979" s="64" t="s">
        <v>179</v>
      </c>
      <c r="B979" s="79" t="str">
        <f>IF(Fourth!B232="", "",Fourth!B232)</f>
        <v/>
      </c>
      <c r="C979" s="66" t="str">
        <f>IF(Fourth!C232="", "",Fourth!C232)</f>
        <v/>
      </c>
      <c r="D979" s="66" t="str">
        <f>IF(Fourth!D232="", "",Fourth!D232)</f>
        <v/>
      </c>
      <c r="E979" s="66" t="str">
        <f>IF(Fourth!E232="", "",Fourth!E232)</f>
        <v/>
      </c>
      <c r="F979" s="66" t="str">
        <f>IF(Fourth!F232="", "",Fourth!F232)</f>
        <v/>
      </c>
      <c r="G979" s="66" t="str">
        <f>IF(Fourth!G232="", "",Fourth!G232)</f>
        <v/>
      </c>
      <c r="H979" s="66" t="str">
        <f>IF(Fourth!H232="", "",Fourth!H232)</f>
        <v/>
      </c>
      <c r="I979" s="66" t="str">
        <f>IF(Fourth!I232="", "",Fourth!I232)</f>
        <v/>
      </c>
      <c r="J979" s="66" t="str">
        <f>IF(Fourth!J232="", "",Fourth!J232)</f>
        <v/>
      </c>
      <c r="K979" s="86" t="str">
        <f>IF(Fourth!K232="", "",Fourth!K232)</f>
        <v/>
      </c>
      <c r="M979" s="67" t="str">
        <f t="shared" si="47"/>
        <v/>
      </c>
      <c r="N979" s="76" t="str">
        <f t="shared" si="48"/>
        <v/>
      </c>
      <c r="O979" s="33">
        <f t="shared" si="46"/>
        <v>0</v>
      </c>
    </row>
    <row r="980" spans="1:15" x14ac:dyDescent="0.25">
      <c r="A980" s="64" t="s">
        <v>179</v>
      </c>
      <c r="B980" s="79" t="str">
        <f>IF(Fourth!B233="", "",Fourth!B233)</f>
        <v/>
      </c>
      <c r="C980" s="66" t="str">
        <f>IF(Fourth!C233="", "",Fourth!C233)</f>
        <v/>
      </c>
      <c r="D980" s="66" t="str">
        <f>IF(Fourth!D233="", "",Fourth!D233)</f>
        <v/>
      </c>
      <c r="E980" s="66" t="str">
        <f>IF(Fourth!E233="", "",Fourth!E233)</f>
        <v/>
      </c>
      <c r="F980" s="66" t="str">
        <f>IF(Fourth!F233="", "",Fourth!F233)</f>
        <v/>
      </c>
      <c r="G980" s="66" t="str">
        <f>IF(Fourth!G233="", "",Fourth!G233)</f>
        <v/>
      </c>
      <c r="H980" s="66" t="str">
        <f>IF(Fourth!H233="", "",Fourth!H233)</f>
        <v/>
      </c>
      <c r="I980" s="66" t="str">
        <f>IF(Fourth!I233="", "",Fourth!I233)</f>
        <v/>
      </c>
      <c r="J980" s="66" t="str">
        <f>IF(Fourth!J233="", "",Fourth!J233)</f>
        <v/>
      </c>
      <c r="K980" s="86" t="str">
        <f>IF(Fourth!K233="", "",Fourth!K233)</f>
        <v/>
      </c>
      <c r="M980" s="67" t="str">
        <f t="shared" si="47"/>
        <v/>
      </c>
      <c r="N980" s="76" t="str">
        <f t="shared" si="48"/>
        <v/>
      </c>
      <c r="O980" s="33">
        <f t="shared" si="46"/>
        <v>0</v>
      </c>
    </row>
    <row r="981" spans="1:15" x14ac:dyDescent="0.25">
      <c r="A981" s="64" t="s">
        <v>179</v>
      </c>
      <c r="B981" s="79" t="str">
        <f>IF(Fourth!B234="", "",Fourth!B234)</f>
        <v/>
      </c>
      <c r="C981" s="66" t="str">
        <f>IF(Fourth!C234="", "",Fourth!C234)</f>
        <v/>
      </c>
      <c r="D981" s="66" t="str">
        <f>IF(Fourth!D234="", "",Fourth!D234)</f>
        <v/>
      </c>
      <c r="E981" s="66" t="str">
        <f>IF(Fourth!E234="", "",Fourth!E234)</f>
        <v/>
      </c>
      <c r="F981" s="66" t="str">
        <f>IF(Fourth!F234="", "",Fourth!F234)</f>
        <v/>
      </c>
      <c r="G981" s="66" t="str">
        <f>IF(Fourth!G234="", "",Fourth!G234)</f>
        <v/>
      </c>
      <c r="H981" s="66" t="str">
        <f>IF(Fourth!H234="", "",Fourth!H234)</f>
        <v/>
      </c>
      <c r="I981" s="66" t="str">
        <f>IF(Fourth!I234="", "",Fourth!I234)</f>
        <v/>
      </c>
      <c r="J981" s="66" t="str">
        <f>IF(Fourth!J234="", "",Fourth!J234)</f>
        <v/>
      </c>
      <c r="K981" s="86" t="str">
        <f>IF(Fourth!K234="", "",Fourth!K234)</f>
        <v/>
      </c>
      <c r="M981" s="67" t="str">
        <f t="shared" si="47"/>
        <v/>
      </c>
      <c r="N981" s="76" t="str">
        <f t="shared" si="48"/>
        <v/>
      </c>
      <c r="O981" s="33">
        <f t="shared" si="46"/>
        <v>0</v>
      </c>
    </row>
    <row r="982" spans="1:15" x14ac:dyDescent="0.25">
      <c r="A982" s="64" t="s">
        <v>179</v>
      </c>
      <c r="B982" s="79" t="str">
        <f>IF(Fourth!B235="", "",Fourth!B235)</f>
        <v/>
      </c>
      <c r="C982" s="66" t="str">
        <f>IF(Fourth!C235="", "",Fourth!C235)</f>
        <v/>
      </c>
      <c r="D982" s="66" t="str">
        <f>IF(Fourth!D235="", "",Fourth!D235)</f>
        <v/>
      </c>
      <c r="E982" s="66" t="str">
        <f>IF(Fourth!E235="", "",Fourth!E235)</f>
        <v/>
      </c>
      <c r="F982" s="66" t="str">
        <f>IF(Fourth!F235="", "",Fourth!F235)</f>
        <v/>
      </c>
      <c r="G982" s="66" t="str">
        <f>IF(Fourth!G235="", "",Fourth!G235)</f>
        <v/>
      </c>
      <c r="H982" s="66" t="str">
        <f>IF(Fourth!H235="", "",Fourth!H235)</f>
        <v/>
      </c>
      <c r="I982" s="66" t="str">
        <f>IF(Fourth!I235="", "",Fourth!I235)</f>
        <v/>
      </c>
      <c r="J982" s="66" t="str">
        <f>IF(Fourth!J235="", "",Fourth!J235)</f>
        <v/>
      </c>
      <c r="K982" s="86" t="str">
        <f>IF(Fourth!K235="", "",Fourth!K235)</f>
        <v/>
      </c>
      <c r="M982" s="67" t="str">
        <f t="shared" si="47"/>
        <v/>
      </c>
      <c r="N982" s="76" t="str">
        <f t="shared" si="48"/>
        <v/>
      </c>
      <c r="O982" s="33">
        <f t="shared" si="46"/>
        <v>0</v>
      </c>
    </row>
    <row r="983" spans="1:15" x14ac:dyDescent="0.25">
      <c r="A983" s="64" t="s">
        <v>179</v>
      </c>
      <c r="B983" s="79" t="str">
        <f>IF(Fourth!B236="", "",Fourth!B236)</f>
        <v/>
      </c>
      <c r="C983" s="66" t="str">
        <f>IF(Fourth!C236="", "",Fourth!C236)</f>
        <v/>
      </c>
      <c r="D983" s="66" t="str">
        <f>IF(Fourth!D236="", "",Fourth!D236)</f>
        <v/>
      </c>
      <c r="E983" s="66" t="str">
        <f>IF(Fourth!E236="", "",Fourth!E236)</f>
        <v/>
      </c>
      <c r="F983" s="66" t="str">
        <f>IF(Fourth!F236="", "",Fourth!F236)</f>
        <v/>
      </c>
      <c r="G983" s="66" t="str">
        <f>IF(Fourth!G236="", "",Fourth!G236)</f>
        <v/>
      </c>
      <c r="H983" s="66" t="str">
        <f>IF(Fourth!H236="", "",Fourth!H236)</f>
        <v/>
      </c>
      <c r="I983" s="66" t="str">
        <f>IF(Fourth!I236="", "",Fourth!I236)</f>
        <v/>
      </c>
      <c r="J983" s="66" t="str">
        <f>IF(Fourth!J236="", "",Fourth!J236)</f>
        <v/>
      </c>
      <c r="K983" s="86" t="str">
        <f>IF(Fourth!K236="", "",Fourth!K236)</f>
        <v/>
      </c>
      <c r="M983" s="67" t="str">
        <f t="shared" si="47"/>
        <v/>
      </c>
      <c r="N983" s="76" t="str">
        <f t="shared" si="48"/>
        <v/>
      </c>
      <c r="O983" s="33">
        <f t="shared" si="46"/>
        <v>0</v>
      </c>
    </row>
    <row r="984" spans="1:15" x14ac:dyDescent="0.25">
      <c r="A984" s="64" t="s">
        <v>179</v>
      </c>
      <c r="B984" s="79" t="str">
        <f>IF(Fourth!B237="", "",Fourth!B237)</f>
        <v/>
      </c>
      <c r="C984" s="66" t="str">
        <f>IF(Fourth!C237="", "",Fourth!C237)</f>
        <v/>
      </c>
      <c r="D984" s="66" t="str">
        <f>IF(Fourth!D237="", "",Fourth!D237)</f>
        <v/>
      </c>
      <c r="E984" s="66" t="str">
        <f>IF(Fourth!E237="", "",Fourth!E237)</f>
        <v/>
      </c>
      <c r="F984" s="66" t="str">
        <f>IF(Fourth!F237="", "",Fourth!F237)</f>
        <v/>
      </c>
      <c r="G984" s="66" t="str">
        <f>IF(Fourth!G237="", "",Fourth!G237)</f>
        <v/>
      </c>
      <c r="H984" s="66" t="str">
        <f>IF(Fourth!H237="", "",Fourth!H237)</f>
        <v/>
      </c>
      <c r="I984" s="66" t="str">
        <f>IF(Fourth!I237="", "",Fourth!I237)</f>
        <v/>
      </c>
      <c r="J984" s="66" t="str">
        <f>IF(Fourth!J237="", "",Fourth!J237)</f>
        <v/>
      </c>
      <c r="K984" s="86" t="str">
        <f>IF(Fourth!K237="", "",Fourth!K237)</f>
        <v/>
      </c>
      <c r="M984" s="67" t="str">
        <f t="shared" si="47"/>
        <v/>
      </c>
      <c r="N984" s="76" t="str">
        <f t="shared" si="48"/>
        <v/>
      </c>
      <c r="O984" s="33">
        <f t="shared" si="46"/>
        <v>0</v>
      </c>
    </row>
    <row r="985" spans="1:15" x14ac:dyDescent="0.25">
      <c r="A985" s="64" t="s">
        <v>179</v>
      </c>
      <c r="B985" s="79" t="str">
        <f>IF(Fourth!B238="", "",Fourth!B238)</f>
        <v/>
      </c>
      <c r="C985" s="66" t="str">
        <f>IF(Fourth!C238="", "",Fourth!C238)</f>
        <v/>
      </c>
      <c r="D985" s="66" t="str">
        <f>IF(Fourth!D238="", "",Fourth!D238)</f>
        <v/>
      </c>
      <c r="E985" s="66" t="str">
        <f>IF(Fourth!E238="", "",Fourth!E238)</f>
        <v/>
      </c>
      <c r="F985" s="66" t="str">
        <f>IF(Fourth!F238="", "",Fourth!F238)</f>
        <v/>
      </c>
      <c r="G985" s="66" t="str">
        <f>IF(Fourth!G238="", "",Fourth!G238)</f>
        <v/>
      </c>
      <c r="H985" s="66" t="str">
        <f>IF(Fourth!H238="", "",Fourth!H238)</f>
        <v/>
      </c>
      <c r="I985" s="66" t="str">
        <f>IF(Fourth!I238="", "",Fourth!I238)</f>
        <v/>
      </c>
      <c r="J985" s="66" t="str">
        <f>IF(Fourth!J238="", "",Fourth!J238)</f>
        <v/>
      </c>
      <c r="K985" s="86" t="str">
        <f>IF(Fourth!K238="", "",Fourth!K238)</f>
        <v/>
      </c>
      <c r="M985" s="67" t="str">
        <f t="shared" si="47"/>
        <v/>
      </c>
      <c r="N985" s="76" t="str">
        <f t="shared" si="48"/>
        <v/>
      </c>
      <c r="O985" s="33">
        <f t="shared" si="46"/>
        <v>0</v>
      </c>
    </row>
    <row r="986" spans="1:15" x14ac:dyDescent="0.25">
      <c r="A986" s="64" t="s">
        <v>179</v>
      </c>
      <c r="B986" s="79" t="str">
        <f>IF(Fourth!B239="", "",Fourth!B239)</f>
        <v/>
      </c>
      <c r="C986" s="66" t="str">
        <f>IF(Fourth!C239="", "",Fourth!C239)</f>
        <v/>
      </c>
      <c r="D986" s="66" t="str">
        <f>IF(Fourth!D239="", "",Fourth!D239)</f>
        <v/>
      </c>
      <c r="E986" s="66" t="str">
        <f>IF(Fourth!E239="", "",Fourth!E239)</f>
        <v/>
      </c>
      <c r="F986" s="66" t="str">
        <f>IF(Fourth!F239="", "",Fourth!F239)</f>
        <v/>
      </c>
      <c r="G986" s="66" t="str">
        <f>IF(Fourth!G239="", "",Fourth!G239)</f>
        <v/>
      </c>
      <c r="H986" s="66" t="str">
        <f>IF(Fourth!H239="", "",Fourth!H239)</f>
        <v/>
      </c>
      <c r="I986" s="66" t="str">
        <f>IF(Fourth!I239="", "",Fourth!I239)</f>
        <v/>
      </c>
      <c r="J986" s="66" t="str">
        <f>IF(Fourth!J239="", "",Fourth!J239)</f>
        <v/>
      </c>
      <c r="K986" s="86" t="str">
        <f>IF(Fourth!K239="", "",Fourth!K239)</f>
        <v/>
      </c>
      <c r="M986" s="67" t="str">
        <f t="shared" si="47"/>
        <v/>
      </c>
      <c r="N986" s="76" t="str">
        <f t="shared" si="48"/>
        <v/>
      </c>
      <c r="O986" s="33">
        <f t="shared" si="46"/>
        <v>0</v>
      </c>
    </row>
    <row r="987" spans="1:15" x14ac:dyDescent="0.25">
      <c r="A987" s="64" t="s">
        <v>179</v>
      </c>
      <c r="B987" s="79" t="str">
        <f>IF(Fourth!B240="", "",Fourth!B240)</f>
        <v/>
      </c>
      <c r="C987" s="66" t="str">
        <f>IF(Fourth!C240="", "",Fourth!C240)</f>
        <v/>
      </c>
      <c r="D987" s="66" t="str">
        <f>IF(Fourth!D240="", "",Fourth!D240)</f>
        <v/>
      </c>
      <c r="E987" s="66" t="str">
        <f>IF(Fourth!E240="", "",Fourth!E240)</f>
        <v/>
      </c>
      <c r="F987" s="66" t="str">
        <f>IF(Fourth!F240="", "",Fourth!F240)</f>
        <v/>
      </c>
      <c r="G987" s="66" t="str">
        <f>IF(Fourth!G240="", "",Fourth!G240)</f>
        <v/>
      </c>
      <c r="H987" s="66" t="str">
        <f>IF(Fourth!H240="", "",Fourth!H240)</f>
        <v/>
      </c>
      <c r="I987" s="66" t="str">
        <f>IF(Fourth!I240="", "",Fourth!I240)</f>
        <v/>
      </c>
      <c r="J987" s="66" t="str">
        <f>IF(Fourth!J240="", "",Fourth!J240)</f>
        <v/>
      </c>
      <c r="K987" s="86" t="str">
        <f>IF(Fourth!K240="", "",Fourth!K240)</f>
        <v/>
      </c>
      <c r="M987" s="67" t="str">
        <f t="shared" si="47"/>
        <v/>
      </c>
      <c r="N987" s="76" t="str">
        <f t="shared" si="48"/>
        <v/>
      </c>
      <c r="O987" s="33">
        <f t="shared" si="46"/>
        <v>0</v>
      </c>
    </row>
    <row r="988" spans="1:15" x14ac:dyDescent="0.25">
      <c r="A988" s="64" t="s">
        <v>179</v>
      </c>
      <c r="B988" s="79" t="str">
        <f>IF(Fourth!B241="", "",Fourth!B241)</f>
        <v/>
      </c>
      <c r="C988" s="66" t="str">
        <f>IF(Fourth!C241="", "",Fourth!C241)</f>
        <v/>
      </c>
      <c r="D988" s="66" t="str">
        <f>IF(Fourth!D241="", "",Fourth!D241)</f>
        <v/>
      </c>
      <c r="E988" s="66" t="str">
        <f>IF(Fourth!E241="", "",Fourth!E241)</f>
        <v/>
      </c>
      <c r="F988" s="66" t="str">
        <f>IF(Fourth!F241="", "",Fourth!F241)</f>
        <v/>
      </c>
      <c r="G988" s="66" t="str">
        <f>IF(Fourth!G241="", "",Fourth!G241)</f>
        <v/>
      </c>
      <c r="H988" s="66" t="str">
        <f>IF(Fourth!H241="", "",Fourth!H241)</f>
        <v/>
      </c>
      <c r="I988" s="66" t="str">
        <f>IF(Fourth!I241="", "",Fourth!I241)</f>
        <v/>
      </c>
      <c r="J988" s="66" t="str">
        <f>IF(Fourth!J241="", "",Fourth!J241)</f>
        <v/>
      </c>
      <c r="K988" s="86" t="str">
        <f>IF(Fourth!K241="", "",Fourth!K241)</f>
        <v/>
      </c>
      <c r="M988" s="67" t="str">
        <f t="shared" si="47"/>
        <v/>
      </c>
      <c r="N988" s="76" t="str">
        <f t="shared" si="48"/>
        <v/>
      </c>
      <c r="O988" s="33">
        <f t="shared" si="46"/>
        <v>0</v>
      </c>
    </row>
    <row r="989" spans="1:15" x14ac:dyDescent="0.25">
      <c r="A989" s="64" t="s">
        <v>179</v>
      </c>
      <c r="B989" s="79" t="str">
        <f>IF(Fourth!B242="", "",Fourth!B242)</f>
        <v/>
      </c>
      <c r="C989" s="66" t="str">
        <f>IF(Fourth!C242="", "",Fourth!C242)</f>
        <v/>
      </c>
      <c r="D989" s="66" t="str">
        <f>IF(Fourth!D242="", "",Fourth!D242)</f>
        <v/>
      </c>
      <c r="E989" s="66" t="str">
        <f>IF(Fourth!E242="", "",Fourth!E242)</f>
        <v/>
      </c>
      <c r="F989" s="66" t="str">
        <f>IF(Fourth!F242="", "",Fourth!F242)</f>
        <v/>
      </c>
      <c r="G989" s="66" t="str">
        <f>IF(Fourth!G242="", "",Fourth!G242)</f>
        <v/>
      </c>
      <c r="H989" s="66" t="str">
        <f>IF(Fourth!H242="", "",Fourth!H242)</f>
        <v/>
      </c>
      <c r="I989" s="66" t="str">
        <f>IF(Fourth!I242="", "",Fourth!I242)</f>
        <v/>
      </c>
      <c r="J989" s="66" t="str">
        <f>IF(Fourth!J242="", "",Fourth!J242)</f>
        <v/>
      </c>
      <c r="K989" s="86" t="str">
        <f>IF(Fourth!K242="", "",Fourth!K242)</f>
        <v/>
      </c>
      <c r="M989" s="67" t="str">
        <f t="shared" si="47"/>
        <v/>
      </c>
      <c r="N989" s="76" t="str">
        <f t="shared" si="48"/>
        <v/>
      </c>
      <c r="O989" s="33">
        <f t="shared" si="46"/>
        <v>0</v>
      </c>
    </row>
    <row r="990" spans="1:15" x14ac:dyDescent="0.25">
      <c r="A990" s="64" t="s">
        <v>179</v>
      </c>
      <c r="B990" s="79" t="str">
        <f>IF(Fourth!B243="", "",Fourth!B243)</f>
        <v/>
      </c>
      <c r="C990" s="66" t="str">
        <f>IF(Fourth!C243="", "",Fourth!C243)</f>
        <v/>
      </c>
      <c r="D990" s="66" t="str">
        <f>IF(Fourth!D243="", "",Fourth!D243)</f>
        <v/>
      </c>
      <c r="E990" s="66" t="str">
        <f>IF(Fourth!E243="", "",Fourth!E243)</f>
        <v/>
      </c>
      <c r="F990" s="66" t="str">
        <f>IF(Fourth!F243="", "",Fourth!F243)</f>
        <v/>
      </c>
      <c r="G990" s="66" t="str">
        <f>IF(Fourth!G243="", "",Fourth!G243)</f>
        <v/>
      </c>
      <c r="H990" s="66" t="str">
        <f>IF(Fourth!H243="", "",Fourth!H243)</f>
        <v/>
      </c>
      <c r="I990" s="66" t="str">
        <f>IF(Fourth!I243="", "",Fourth!I243)</f>
        <v/>
      </c>
      <c r="J990" s="66" t="str">
        <f>IF(Fourth!J243="", "",Fourth!J243)</f>
        <v/>
      </c>
      <c r="K990" s="86" t="str">
        <f>IF(Fourth!K243="", "",Fourth!K243)</f>
        <v/>
      </c>
      <c r="M990" s="67" t="str">
        <f t="shared" si="47"/>
        <v/>
      </c>
      <c r="N990" s="76" t="str">
        <f t="shared" si="48"/>
        <v/>
      </c>
      <c r="O990" s="33">
        <f t="shared" si="46"/>
        <v>0</v>
      </c>
    </row>
    <row r="991" spans="1:15" x14ac:dyDescent="0.25">
      <c r="A991" s="64" t="s">
        <v>179</v>
      </c>
      <c r="B991" s="79" t="str">
        <f>IF(Fourth!B244="", "",Fourth!B244)</f>
        <v/>
      </c>
      <c r="C991" s="66" t="str">
        <f>IF(Fourth!C244="", "",Fourth!C244)</f>
        <v/>
      </c>
      <c r="D991" s="66" t="str">
        <f>IF(Fourth!D244="", "",Fourth!D244)</f>
        <v/>
      </c>
      <c r="E991" s="66" t="str">
        <f>IF(Fourth!E244="", "",Fourth!E244)</f>
        <v/>
      </c>
      <c r="F991" s="66" t="str">
        <f>IF(Fourth!F244="", "",Fourth!F244)</f>
        <v/>
      </c>
      <c r="G991" s="66" t="str">
        <f>IF(Fourth!G244="", "",Fourth!G244)</f>
        <v/>
      </c>
      <c r="H991" s="66" t="str">
        <f>IF(Fourth!H244="", "",Fourth!H244)</f>
        <v/>
      </c>
      <c r="I991" s="66" t="str">
        <f>IF(Fourth!I244="", "",Fourth!I244)</f>
        <v/>
      </c>
      <c r="J991" s="66" t="str">
        <f>IF(Fourth!J244="", "",Fourth!J244)</f>
        <v/>
      </c>
      <c r="K991" s="86" t="str">
        <f>IF(Fourth!K244="", "",Fourth!K244)</f>
        <v/>
      </c>
      <c r="M991" s="67" t="str">
        <f t="shared" si="47"/>
        <v/>
      </c>
      <c r="N991" s="76" t="str">
        <f t="shared" si="48"/>
        <v/>
      </c>
      <c r="O991" s="33">
        <f t="shared" si="46"/>
        <v>0</v>
      </c>
    </row>
    <row r="992" spans="1:15" x14ac:dyDescent="0.25">
      <c r="A992" s="64" t="s">
        <v>179</v>
      </c>
      <c r="B992" s="79" t="str">
        <f>IF(Fourth!B245="", "",Fourth!B245)</f>
        <v/>
      </c>
      <c r="C992" s="66" t="str">
        <f>IF(Fourth!C245="", "",Fourth!C245)</f>
        <v/>
      </c>
      <c r="D992" s="66" t="str">
        <f>IF(Fourth!D245="", "",Fourth!D245)</f>
        <v/>
      </c>
      <c r="E992" s="66" t="str">
        <f>IF(Fourth!E245="", "",Fourth!E245)</f>
        <v/>
      </c>
      <c r="F992" s="66" t="str">
        <f>IF(Fourth!F245="", "",Fourth!F245)</f>
        <v/>
      </c>
      <c r="G992" s="66" t="str">
        <f>IF(Fourth!G245="", "",Fourth!G245)</f>
        <v/>
      </c>
      <c r="H992" s="66" t="str">
        <f>IF(Fourth!H245="", "",Fourth!H245)</f>
        <v/>
      </c>
      <c r="I992" s="66" t="str">
        <f>IF(Fourth!I245="", "",Fourth!I245)</f>
        <v/>
      </c>
      <c r="J992" s="66" t="str">
        <f>IF(Fourth!J245="", "",Fourth!J245)</f>
        <v/>
      </c>
      <c r="K992" s="86" t="str">
        <f>IF(Fourth!K245="", "",Fourth!K245)</f>
        <v/>
      </c>
      <c r="M992" s="67" t="str">
        <f t="shared" si="47"/>
        <v/>
      </c>
      <c r="N992" s="76" t="str">
        <f t="shared" si="48"/>
        <v/>
      </c>
      <c r="O992" s="33">
        <f t="shared" si="46"/>
        <v>0</v>
      </c>
    </row>
    <row r="993" spans="1:15" x14ac:dyDescent="0.25">
      <c r="A993" s="64" t="s">
        <v>179</v>
      </c>
      <c r="B993" s="79" t="str">
        <f>IF(Fourth!B246="", "",Fourth!B246)</f>
        <v/>
      </c>
      <c r="C993" s="66" t="str">
        <f>IF(Fourth!C246="", "",Fourth!C246)</f>
        <v/>
      </c>
      <c r="D993" s="66" t="str">
        <f>IF(Fourth!D246="", "",Fourth!D246)</f>
        <v/>
      </c>
      <c r="E993" s="66" t="str">
        <f>IF(Fourth!E246="", "",Fourth!E246)</f>
        <v/>
      </c>
      <c r="F993" s="66" t="str">
        <f>IF(Fourth!F246="", "",Fourth!F246)</f>
        <v/>
      </c>
      <c r="G993" s="66" t="str">
        <f>IF(Fourth!G246="", "",Fourth!G246)</f>
        <v/>
      </c>
      <c r="H993" s="66" t="str">
        <f>IF(Fourth!H246="", "",Fourth!H246)</f>
        <v/>
      </c>
      <c r="I993" s="66" t="str">
        <f>IF(Fourth!I246="", "",Fourth!I246)</f>
        <v/>
      </c>
      <c r="J993" s="66" t="str">
        <f>IF(Fourth!J246="", "",Fourth!J246)</f>
        <v/>
      </c>
      <c r="K993" s="86" t="str">
        <f>IF(Fourth!K246="", "",Fourth!K246)</f>
        <v/>
      </c>
      <c r="M993" s="67" t="str">
        <f t="shared" si="47"/>
        <v/>
      </c>
      <c r="N993" s="76" t="str">
        <f t="shared" si="48"/>
        <v/>
      </c>
      <c r="O993" s="33">
        <f t="shared" si="46"/>
        <v>0</v>
      </c>
    </row>
    <row r="994" spans="1:15" x14ac:dyDescent="0.25">
      <c r="A994" s="64" t="s">
        <v>179</v>
      </c>
      <c r="B994" s="79" t="str">
        <f>IF(Fourth!B247="", "",Fourth!B247)</f>
        <v/>
      </c>
      <c r="C994" s="66" t="str">
        <f>IF(Fourth!C247="", "",Fourth!C247)</f>
        <v/>
      </c>
      <c r="D994" s="66" t="str">
        <f>IF(Fourth!D247="", "",Fourth!D247)</f>
        <v/>
      </c>
      <c r="E994" s="66" t="str">
        <f>IF(Fourth!E247="", "",Fourth!E247)</f>
        <v/>
      </c>
      <c r="F994" s="66" t="str">
        <f>IF(Fourth!F247="", "",Fourth!F247)</f>
        <v/>
      </c>
      <c r="G994" s="66" t="str">
        <f>IF(Fourth!G247="", "",Fourth!G247)</f>
        <v/>
      </c>
      <c r="H994" s="66" t="str">
        <f>IF(Fourth!H247="", "",Fourth!H247)</f>
        <v/>
      </c>
      <c r="I994" s="66" t="str">
        <f>IF(Fourth!I247="", "",Fourth!I247)</f>
        <v/>
      </c>
      <c r="J994" s="66" t="str">
        <f>IF(Fourth!J247="", "",Fourth!J247)</f>
        <v/>
      </c>
      <c r="K994" s="86" t="str">
        <f>IF(Fourth!K247="", "",Fourth!K247)</f>
        <v/>
      </c>
      <c r="M994" s="67" t="str">
        <f t="shared" si="47"/>
        <v/>
      </c>
      <c r="N994" s="76" t="str">
        <f t="shared" si="48"/>
        <v/>
      </c>
      <c r="O994" s="33">
        <f t="shared" si="46"/>
        <v>0</v>
      </c>
    </row>
    <row r="995" spans="1:15" x14ac:dyDescent="0.25">
      <c r="A995" s="64" t="s">
        <v>179</v>
      </c>
      <c r="B995" s="79" t="str">
        <f>IF(Fourth!B248="", "",Fourth!B248)</f>
        <v/>
      </c>
      <c r="C995" s="66" t="str">
        <f>IF(Fourth!C248="", "",Fourth!C248)</f>
        <v/>
      </c>
      <c r="D995" s="66" t="str">
        <f>IF(Fourth!D248="", "",Fourth!D248)</f>
        <v/>
      </c>
      <c r="E995" s="66" t="str">
        <f>IF(Fourth!E248="", "",Fourth!E248)</f>
        <v/>
      </c>
      <c r="F995" s="66" t="str">
        <f>IF(Fourth!F248="", "",Fourth!F248)</f>
        <v/>
      </c>
      <c r="G995" s="66" t="str">
        <f>IF(Fourth!G248="", "",Fourth!G248)</f>
        <v/>
      </c>
      <c r="H995" s="66" t="str">
        <f>IF(Fourth!H248="", "",Fourth!H248)</f>
        <v/>
      </c>
      <c r="I995" s="66" t="str">
        <f>IF(Fourth!I248="", "",Fourth!I248)</f>
        <v/>
      </c>
      <c r="J995" s="66" t="str">
        <f>IF(Fourth!J248="", "",Fourth!J248)</f>
        <v/>
      </c>
      <c r="K995" s="86" t="str">
        <f>IF(Fourth!K248="", "",Fourth!K248)</f>
        <v/>
      </c>
      <c r="M995" s="67" t="str">
        <f t="shared" si="47"/>
        <v/>
      </c>
      <c r="N995" s="76" t="str">
        <f t="shared" si="48"/>
        <v/>
      </c>
      <c r="O995" s="33">
        <f t="shared" si="46"/>
        <v>0</v>
      </c>
    </row>
    <row r="996" spans="1:15" x14ac:dyDescent="0.25">
      <c r="A996" s="64" t="s">
        <v>179</v>
      </c>
      <c r="B996" s="79" t="str">
        <f>IF(Fourth!B249="", "",Fourth!B249)</f>
        <v/>
      </c>
      <c r="C996" s="66" t="str">
        <f>IF(Fourth!C249="", "",Fourth!C249)</f>
        <v/>
      </c>
      <c r="D996" s="66" t="str">
        <f>IF(Fourth!D249="", "",Fourth!D249)</f>
        <v/>
      </c>
      <c r="E996" s="66" t="str">
        <f>IF(Fourth!E249="", "",Fourth!E249)</f>
        <v/>
      </c>
      <c r="F996" s="66" t="str">
        <f>IF(Fourth!F249="", "",Fourth!F249)</f>
        <v/>
      </c>
      <c r="G996" s="66" t="str">
        <f>IF(Fourth!G249="", "",Fourth!G249)</f>
        <v/>
      </c>
      <c r="H996" s="66" t="str">
        <f>IF(Fourth!H249="", "",Fourth!H249)</f>
        <v/>
      </c>
      <c r="I996" s="66" t="str">
        <f>IF(Fourth!I249="", "",Fourth!I249)</f>
        <v/>
      </c>
      <c r="J996" s="66" t="str">
        <f>IF(Fourth!J249="", "",Fourth!J249)</f>
        <v/>
      </c>
      <c r="K996" s="86" t="str">
        <f>IF(Fourth!K249="", "",Fourth!K249)</f>
        <v/>
      </c>
      <c r="M996" s="67" t="str">
        <f t="shared" si="47"/>
        <v/>
      </c>
      <c r="N996" s="76" t="str">
        <f t="shared" si="48"/>
        <v/>
      </c>
      <c r="O996" s="33">
        <f t="shared" si="46"/>
        <v>0</v>
      </c>
    </row>
    <row r="997" spans="1:15" x14ac:dyDescent="0.25">
      <c r="A997" s="64" t="s">
        <v>179</v>
      </c>
      <c r="B997" s="79" t="str">
        <f>IF(Fourth!B250="", "",Fourth!B250)</f>
        <v/>
      </c>
      <c r="C997" s="66" t="str">
        <f>IF(Fourth!C250="", "",Fourth!C250)</f>
        <v/>
      </c>
      <c r="D997" s="66" t="str">
        <f>IF(Fourth!D250="", "",Fourth!D250)</f>
        <v/>
      </c>
      <c r="E997" s="66" t="str">
        <f>IF(Fourth!E250="", "",Fourth!E250)</f>
        <v/>
      </c>
      <c r="F997" s="66" t="str">
        <f>IF(Fourth!F250="", "",Fourth!F250)</f>
        <v/>
      </c>
      <c r="G997" s="66" t="str">
        <f>IF(Fourth!G250="", "",Fourth!G250)</f>
        <v/>
      </c>
      <c r="H997" s="66" t="str">
        <f>IF(Fourth!H250="", "",Fourth!H250)</f>
        <v/>
      </c>
      <c r="I997" s="66" t="str">
        <f>IF(Fourth!I250="", "",Fourth!I250)</f>
        <v/>
      </c>
      <c r="J997" s="66" t="str">
        <f>IF(Fourth!J250="", "",Fourth!J250)</f>
        <v/>
      </c>
      <c r="K997" s="86" t="str">
        <f>IF(Fourth!K250="", "",Fourth!K250)</f>
        <v/>
      </c>
      <c r="M997" s="67" t="str">
        <f t="shared" si="47"/>
        <v/>
      </c>
      <c r="N997" s="76" t="str">
        <f t="shared" si="48"/>
        <v/>
      </c>
      <c r="O997" s="33">
        <f t="shared" si="46"/>
        <v>0</v>
      </c>
    </row>
    <row r="998" spans="1:15" x14ac:dyDescent="0.25">
      <c r="A998" s="64" t="s">
        <v>179</v>
      </c>
      <c r="B998" s="79" t="str">
        <f>IF(Fourth!B251="", "",Fourth!B251)</f>
        <v/>
      </c>
      <c r="C998" s="66" t="str">
        <f>IF(Fourth!C251="", "",Fourth!C251)</f>
        <v/>
      </c>
      <c r="D998" s="66" t="str">
        <f>IF(Fourth!D251="", "",Fourth!D251)</f>
        <v/>
      </c>
      <c r="E998" s="66" t="str">
        <f>IF(Fourth!E251="", "",Fourth!E251)</f>
        <v/>
      </c>
      <c r="F998" s="66" t="str">
        <f>IF(Fourth!F251="", "",Fourth!F251)</f>
        <v/>
      </c>
      <c r="G998" s="66" t="str">
        <f>IF(Fourth!G251="", "",Fourth!G251)</f>
        <v/>
      </c>
      <c r="H998" s="66" t="str">
        <f>IF(Fourth!H251="", "",Fourth!H251)</f>
        <v/>
      </c>
      <c r="I998" s="66" t="str">
        <f>IF(Fourth!I251="", "",Fourth!I251)</f>
        <v/>
      </c>
      <c r="J998" s="66" t="str">
        <f>IF(Fourth!J251="", "",Fourth!J251)</f>
        <v/>
      </c>
      <c r="K998" s="86" t="str">
        <f>IF(Fourth!K251="", "",Fourth!K251)</f>
        <v/>
      </c>
      <c r="M998" s="67" t="str">
        <f t="shared" si="47"/>
        <v/>
      </c>
      <c r="N998" s="76" t="str">
        <f t="shared" si="48"/>
        <v/>
      </c>
      <c r="O998" s="33">
        <f t="shared" si="46"/>
        <v>0</v>
      </c>
    </row>
    <row r="999" spans="1:15" x14ac:dyDescent="0.25">
      <c r="A999" s="64" t="s">
        <v>179</v>
      </c>
      <c r="B999" s="79" t="str">
        <f>IF(Fourth!B252="", "",Fourth!B252)</f>
        <v/>
      </c>
      <c r="C999" s="66" t="str">
        <f>IF(Fourth!C252="", "",Fourth!C252)</f>
        <v/>
      </c>
      <c r="D999" s="66" t="str">
        <f>IF(Fourth!D252="", "",Fourth!D252)</f>
        <v/>
      </c>
      <c r="E999" s="66" t="str">
        <f>IF(Fourth!E252="", "",Fourth!E252)</f>
        <v/>
      </c>
      <c r="F999" s="66" t="str">
        <f>IF(Fourth!F252="", "",Fourth!F252)</f>
        <v/>
      </c>
      <c r="G999" s="66" t="str">
        <f>IF(Fourth!G252="", "",Fourth!G252)</f>
        <v/>
      </c>
      <c r="H999" s="66" t="str">
        <f>IF(Fourth!H252="", "",Fourth!H252)</f>
        <v/>
      </c>
      <c r="I999" s="66" t="str">
        <f>IF(Fourth!I252="", "",Fourth!I252)</f>
        <v/>
      </c>
      <c r="J999" s="66" t="str">
        <f>IF(Fourth!J252="", "",Fourth!J252)</f>
        <v/>
      </c>
      <c r="K999" s="86" t="str">
        <f>IF(Fourth!K252="", "",Fourth!K252)</f>
        <v/>
      </c>
      <c r="M999" s="67" t="str">
        <f t="shared" si="47"/>
        <v/>
      </c>
      <c r="N999" s="76" t="str">
        <f t="shared" si="48"/>
        <v/>
      </c>
      <c r="O999" s="33">
        <f t="shared" si="46"/>
        <v>0</v>
      </c>
    </row>
    <row r="1000" spans="1:15" x14ac:dyDescent="0.25">
      <c r="A1000" s="64" t="s">
        <v>179</v>
      </c>
      <c r="B1000" s="79" t="str">
        <f>IF(Fourth!B253="", "",Fourth!B253)</f>
        <v/>
      </c>
      <c r="C1000" s="66" t="str">
        <f>IF(Fourth!C253="", "",Fourth!C253)</f>
        <v/>
      </c>
      <c r="D1000" s="66" t="str">
        <f>IF(Fourth!D253="", "",Fourth!D253)</f>
        <v/>
      </c>
      <c r="E1000" s="66" t="str">
        <f>IF(Fourth!E253="", "",Fourth!E253)</f>
        <v/>
      </c>
      <c r="F1000" s="66" t="str">
        <f>IF(Fourth!F253="", "",Fourth!F253)</f>
        <v/>
      </c>
      <c r="G1000" s="66" t="str">
        <f>IF(Fourth!G253="", "",Fourth!G253)</f>
        <v/>
      </c>
      <c r="H1000" s="66" t="str">
        <f>IF(Fourth!H253="", "",Fourth!H253)</f>
        <v/>
      </c>
      <c r="I1000" s="66" t="str">
        <f>IF(Fourth!I253="", "",Fourth!I253)</f>
        <v/>
      </c>
      <c r="J1000" s="66" t="str">
        <f>IF(Fourth!J253="", "",Fourth!J253)</f>
        <v/>
      </c>
      <c r="K1000" s="86" t="str">
        <f>IF(Fourth!K253="", "",Fourth!K253)</f>
        <v/>
      </c>
      <c r="M1000" s="67" t="str">
        <f t="shared" si="47"/>
        <v/>
      </c>
      <c r="N1000" s="76" t="str">
        <f t="shared" si="48"/>
        <v/>
      </c>
      <c r="O1000" s="33">
        <f t="shared" si="46"/>
        <v>0</v>
      </c>
    </row>
    <row r="1001" spans="1:15" ht="15.75" thickBot="1" x14ac:dyDescent="0.3">
      <c r="A1001" s="68" t="s">
        <v>179</v>
      </c>
      <c r="B1001" s="80" t="str">
        <f>IF(Fourth!B254="", "",Fourth!B254)</f>
        <v/>
      </c>
      <c r="C1001" s="70" t="str">
        <f>IF(Fourth!C254="", "",Fourth!C254)</f>
        <v/>
      </c>
      <c r="D1001" s="70" t="str">
        <f>IF(Fourth!D254="", "",Fourth!D254)</f>
        <v/>
      </c>
      <c r="E1001" s="70" t="str">
        <f>IF(Fourth!E254="", "",Fourth!E254)</f>
        <v/>
      </c>
      <c r="F1001" s="70" t="str">
        <f>IF(Fourth!F254="", "",Fourth!F254)</f>
        <v/>
      </c>
      <c r="G1001" s="70" t="str">
        <f>IF(Fourth!G254="", "",Fourth!G254)</f>
        <v/>
      </c>
      <c r="H1001" s="70" t="str">
        <f>IF(Fourth!H254="", "",Fourth!H254)</f>
        <v/>
      </c>
      <c r="I1001" s="70" t="str">
        <f>IF(Fourth!I254="", "",Fourth!I254)</f>
        <v/>
      </c>
      <c r="J1001" s="70" t="str">
        <f>IF(Fourth!J254="", "",Fourth!J254)</f>
        <v/>
      </c>
      <c r="K1001" s="90" t="str">
        <f>IF(Fourth!K254="", "",Fourth!K254)</f>
        <v/>
      </c>
      <c r="L1001" s="91"/>
      <c r="M1001" s="92" t="str">
        <f t="shared" si="47"/>
        <v/>
      </c>
      <c r="N1001" s="77" t="str">
        <f t="shared" si="48"/>
        <v/>
      </c>
      <c r="O1001" s="33">
        <f t="shared" si="46"/>
        <v>0</v>
      </c>
    </row>
    <row r="1002" spans="1:15" x14ac:dyDescent="0.25">
      <c r="A1002" s="64" t="s">
        <v>224</v>
      </c>
      <c r="B1002" s="79" t="str">
        <f>IF(Fifth!B5="", "",Fifth!B5)</f>
        <v>CSS</v>
      </c>
      <c r="C1002" s="66" t="str">
        <f>IF(Fifth!C5="", "",Fifth!C5)</f>
        <v>PwC</v>
      </c>
      <c r="D1002" s="66" t="str">
        <f>IF(Fifth!D5="", "",Fifth!D5)</f>
        <v>Returning</v>
      </c>
      <c r="E1002" s="66" t="str">
        <f>IF(Fifth!E5="", "",Fifth!E5)</f>
        <v>Male</v>
      </c>
      <c r="F1002" s="66" t="str">
        <f>IF(Fifth!F5="", "",Fifth!F5)</f>
        <v>Head/Neck</v>
      </c>
      <c r="G1002" s="66" t="str">
        <f>IF(Fifth!G5="", "",Fifth!G5)</f>
        <v>Post Treatment - Curative Intent</v>
      </c>
      <c r="H1002" s="66" t="str">
        <f>IF(Fifth!H5="", "",Fifth!H5)</f>
        <v>Booked</v>
      </c>
      <c r="I1002" s="66" t="str">
        <f>IF(Fifth!I5="", "",Fifth!I5)</f>
        <v>Psych Support - Individual</v>
      </c>
      <c r="J1002" s="66" t="str">
        <f>IF(Fifth!J5="", "",Fifth!J5)</f>
        <v/>
      </c>
      <c r="K1002" s="86" t="str">
        <f>IF(Fifth!K5="", "",Fifth!K5)</f>
        <v/>
      </c>
      <c r="M1002" s="67">
        <f t="shared" si="47"/>
        <v>7</v>
      </c>
      <c r="N1002" s="76" t="str">
        <f t="shared" si="48"/>
        <v/>
      </c>
      <c r="O1002" s="33">
        <f t="shared" si="46"/>
        <v>7</v>
      </c>
    </row>
    <row r="1003" spans="1:15" x14ac:dyDescent="0.25">
      <c r="A1003" s="64" t="s">
        <v>224</v>
      </c>
      <c r="B1003" s="79" t="str">
        <f>IF(Fifth!B6="", "",Fifth!B6)</f>
        <v>CSS</v>
      </c>
      <c r="C1003" s="66" t="str">
        <f>IF(Fifth!C6="", "",Fifth!C6)</f>
        <v>PwC</v>
      </c>
      <c r="D1003" s="66" t="str">
        <f>IF(Fifth!D6="", "",Fifth!D6)</f>
        <v>Returning</v>
      </c>
      <c r="E1003" s="66" t="str">
        <f>IF(Fifth!E6="", "",Fifth!E6)</f>
        <v>Female</v>
      </c>
      <c r="F1003" s="66" t="str">
        <f>IF(Fifth!F6="", "",Fifth!F6)</f>
        <v>Breast</v>
      </c>
      <c r="G1003" s="66" t="str">
        <f>IF(Fifth!G6="", "",Fifth!G6)</f>
        <v>Post Treatment - Curative Intent</v>
      </c>
      <c r="H1003" s="66" t="str">
        <f>IF(Fifth!H6="", "",Fifth!H6)</f>
        <v>Booked</v>
      </c>
      <c r="I1003" s="66" t="str">
        <f>IF(Fifth!I6="", "",Fifth!I6)</f>
        <v>Psych Support - Couple</v>
      </c>
      <c r="J1003" s="66" t="str">
        <f>IF(Fifth!J6="", "",Fifth!J6)</f>
        <v/>
      </c>
      <c r="K1003" s="86" t="str">
        <f>IF(Fifth!K6="", "",Fifth!K6)</f>
        <v/>
      </c>
      <c r="M1003" s="67">
        <f t="shared" si="47"/>
        <v>7</v>
      </c>
      <c r="N1003" s="76" t="str">
        <f t="shared" si="48"/>
        <v/>
      </c>
      <c r="O1003" s="33">
        <f t="shared" si="46"/>
        <v>7</v>
      </c>
    </row>
    <row r="1004" spans="1:15" x14ac:dyDescent="0.25">
      <c r="A1004" s="64" t="s">
        <v>224</v>
      </c>
      <c r="B1004" s="79" t="str">
        <f>IF(Fifth!B7="", "",Fifth!B7)</f>
        <v>CSS</v>
      </c>
      <c r="C1004" s="66" t="str">
        <f>IF(Fifth!C7="", "",Fifth!C7)</f>
        <v>Carer</v>
      </c>
      <c r="D1004" s="66" t="str">
        <f>IF(Fifth!D7="", "",Fifth!D7)</f>
        <v>Returning</v>
      </c>
      <c r="E1004" s="66" t="str">
        <f>IF(Fifth!E7="", "",Fifth!E7)</f>
        <v>Male</v>
      </c>
      <c r="F1004" s="66" t="str">
        <f>IF(Fifth!F7="", "",Fifth!F7)</f>
        <v>Breast</v>
      </c>
      <c r="G1004" s="66" t="str">
        <f>IF(Fifth!G7="", "",Fifth!G7)</f>
        <v>Post Treatment - Curative Intent</v>
      </c>
      <c r="H1004" s="66" t="str">
        <f>IF(Fifth!H7="", "",Fifth!H7)</f>
        <v>Booked</v>
      </c>
      <c r="I1004" s="66" t="str">
        <f>IF(Fifth!I7="", "",Fifth!I7)</f>
        <v>Psych Support - Couple</v>
      </c>
      <c r="J1004" s="66" t="str">
        <f>IF(Fifth!J7="", "",Fifth!J7)</f>
        <v/>
      </c>
      <c r="K1004" s="86" t="str">
        <f>IF(Fifth!K7="", "",Fifth!K7)</f>
        <v/>
      </c>
      <c r="M1004" s="67" t="str">
        <f t="shared" si="47"/>
        <v/>
      </c>
      <c r="N1004" s="76">
        <f t="shared" si="48"/>
        <v>7</v>
      </c>
      <c r="O1004" s="33">
        <f t="shared" si="46"/>
        <v>7</v>
      </c>
    </row>
    <row r="1005" spans="1:15" x14ac:dyDescent="0.25">
      <c r="A1005" s="64" t="s">
        <v>224</v>
      </c>
      <c r="B1005" s="79" t="str">
        <f>IF(Fifth!B8="", "",Fifth!B8)</f>
        <v>CSS</v>
      </c>
      <c r="C1005" s="66" t="str">
        <f>IF(Fifth!C8="", "",Fifth!C8)</f>
        <v>PwC</v>
      </c>
      <c r="D1005" s="66" t="str">
        <f>IF(Fifth!D8="", "",Fifth!D8)</f>
        <v>Returning</v>
      </c>
      <c r="E1005" s="66" t="str">
        <f>IF(Fifth!E8="", "",Fifth!E8)</f>
        <v>Female</v>
      </c>
      <c r="F1005" s="66" t="str">
        <f>IF(Fifth!F8="", "",Fifth!F8)</f>
        <v>Gynae</v>
      </c>
      <c r="G1005" s="66" t="str">
        <f>IF(Fifth!G8="", "",Fifth!G8)</f>
        <v>Non-Curative Intent</v>
      </c>
      <c r="H1005" s="66" t="str">
        <f>IF(Fifth!H8="", "",Fifth!H8)</f>
        <v>Drop-In</v>
      </c>
      <c r="I1005" s="66" t="str">
        <f>IF(Fifth!I8="", "",Fifth!I8)</f>
        <v/>
      </c>
      <c r="J1005" s="66" t="str">
        <f>IF(Fifth!J8="", "",Fifth!J8)</f>
        <v/>
      </c>
      <c r="K1005" s="86" t="str">
        <f>IF(Fifth!K8="", "",Fifth!K8)</f>
        <v/>
      </c>
      <c r="M1005" s="67">
        <f t="shared" si="47"/>
        <v>7</v>
      </c>
      <c r="N1005" s="76" t="str">
        <f t="shared" si="48"/>
        <v/>
      </c>
      <c r="O1005" s="33">
        <f t="shared" si="46"/>
        <v>7</v>
      </c>
    </row>
    <row r="1006" spans="1:15" x14ac:dyDescent="0.25">
      <c r="A1006" s="64" t="s">
        <v>224</v>
      </c>
      <c r="B1006" s="79" t="str">
        <f>IF(Fifth!B9="", "",Fifth!B9)</f>
        <v>CSS</v>
      </c>
      <c r="C1006" s="66" t="str">
        <f>IF(Fifth!C9="", "",Fifth!C9)</f>
        <v>PwC</v>
      </c>
      <c r="D1006" s="66" t="str">
        <f>IF(Fifth!D9="", "",Fifth!D9)</f>
        <v>New</v>
      </c>
      <c r="E1006" s="66" t="str">
        <f>IF(Fifth!E9="", "",Fifth!E9)</f>
        <v>Female</v>
      </c>
      <c r="F1006" s="66" t="str">
        <f>IF(Fifth!F9="", "",Fifth!F9)</f>
        <v>Lower GI</v>
      </c>
      <c r="G1006" s="66" t="str">
        <f>IF(Fifth!G9="", "",Fifth!G9)</f>
        <v>Curative Intent</v>
      </c>
      <c r="H1006" s="66" t="str">
        <f>IF(Fifth!H9="", "",Fifth!H9)</f>
        <v>Drop-In</v>
      </c>
      <c r="I1006" s="66" t="str">
        <f>IF(Fifth!I9="", "",Fifth!I9)</f>
        <v/>
      </c>
      <c r="J1006" s="66" t="str">
        <f>IF(Fifth!J9="", "",Fifth!J9)</f>
        <v/>
      </c>
      <c r="K1006" s="86" t="str">
        <f>IF(Fifth!K9="", "",Fifth!K9)</f>
        <v/>
      </c>
      <c r="M1006" s="67">
        <f t="shared" si="47"/>
        <v>7</v>
      </c>
      <c r="N1006" s="76" t="str">
        <f t="shared" si="48"/>
        <v/>
      </c>
      <c r="O1006" s="33">
        <f t="shared" si="46"/>
        <v>7</v>
      </c>
    </row>
    <row r="1007" spans="1:15" x14ac:dyDescent="0.25">
      <c r="A1007" s="64" t="s">
        <v>224</v>
      </c>
      <c r="B1007" s="79" t="str">
        <f>IF(Fifth!B10="", "",Fifth!B10)</f>
        <v>CSS</v>
      </c>
      <c r="C1007" s="66" t="str">
        <f>IF(Fifth!C10="", "",Fifth!C10)</f>
        <v>PwC</v>
      </c>
      <c r="D1007" s="66" t="str">
        <f>IF(Fifth!D10="", "",Fifth!D10)</f>
        <v>New</v>
      </c>
      <c r="E1007" s="66" t="str">
        <f>IF(Fifth!E10="", "",Fifth!E10)</f>
        <v>Female</v>
      </c>
      <c r="F1007" s="66" t="str">
        <f>IF(Fifth!F10="", "",Fifth!F10)</f>
        <v>Breast</v>
      </c>
      <c r="G1007" s="66" t="str">
        <f>IF(Fifth!G10="", "",Fifth!G10)</f>
        <v>Non-Curative Intent</v>
      </c>
      <c r="H1007" s="66" t="str">
        <f>IF(Fifth!H10="", "",Fifth!H10)</f>
        <v>Drop-In</v>
      </c>
      <c r="I1007" s="66" t="str">
        <f>IF(Fifth!I10="", "",Fifth!I10)</f>
        <v/>
      </c>
      <c r="J1007" s="66" t="str">
        <f>IF(Fifth!J10="", "",Fifth!J10)</f>
        <v/>
      </c>
      <c r="K1007" s="86" t="str">
        <f>IF(Fifth!K10="", "",Fifth!K10)</f>
        <v/>
      </c>
      <c r="M1007" s="67">
        <f t="shared" si="47"/>
        <v>7</v>
      </c>
      <c r="N1007" s="76" t="str">
        <f t="shared" si="48"/>
        <v/>
      </c>
      <c r="O1007" s="33">
        <f t="shared" si="46"/>
        <v>7</v>
      </c>
    </row>
    <row r="1008" spans="1:15" x14ac:dyDescent="0.25">
      <c r="A1008" s="64" t="s">
        <v>224</v>
      </c>
      <c r="B1008" s="79" t="str">
        <f>IF(Fifth!B11="", "",Fifth!B11)</f>
        <v>CSS</v>
      </c>
      <c r="C1008" s="66" t="str">
        <f>IF(Fifth!C11="", "",Fifth!C11)</f>
        <v>Carer</v>
      </c>
      <c r="D1008" s="66" t="str">
        <f>IF(Fifth!D11="", "",Fifth!D11)</f>
        <v>New</v>
      </c>
      <c r="E1008" s="66" t="str">
        <f>IF(Fifth!E11="", "",Fifth!E11)</f>
        <v>Female</v>
      </c>
      <c r="F1008" s="66" t="str">
        <f>IF(Fifth!F11="", "",Fifth!F11)</f>
        <v>Breast</v>
      </c>
      <c r="G1008" s="66" t="str">
        <f>IF(Fifth!G11="", "",Fifth!G11)</f>
        <v>Non-Curative Intent</v>
      </c>
      <c r="H1008" s="66" t="str">
        <f>IF(Fifth!H11="", "",Fifth!H11)</f>
        <v>Drop-In</v>
      </c>
      <c r="I1008" s="66" t="str">
        <f>IF(Fifth!I11="", "",Fifth!I11)</f>
        <v/>
      </c>
      <c r="J1008" s="66" t="str">
        <f>IF(Fifth!J11="", "",Fifth!J11)</f>
        <v/>
      </c>
      <c r="K1008" s="86" t="str">
        <f>IF(Fifth!K11="", "",Fifth!K11)</f>
        <v/>
      </c>
      <c r="M1008" s="67" t="str">
        <f t="shared" si="47"/>
        <v/>
      </c>
      <c r="N1008" s="76">
        <f t="shared" si="48"/>
        <v>7</v>
      </c>
      <c r="O1008" s="33">
        <f t="shared" si="46"/>
        <v>7</v>
      </c>
    </row>
    <row r="1009" spans="1:15" x14ac:dyDescent="0.25">
      <c r="A1009" s="64" t="s">
        <v>224</v>
      </c>
      <c r="B1009" s="79" t="str">
        <f>IF(Fifth!B12="", "",Fifth!B12)</f>
        <v>CSS</v>
      </c>
      <c r="C1009" s="66" t="str">
        <f>IF(Fifth!C12="", "",Fifth!C12)</f>
        <v>PwC</v>
      </c>
      <c r="D1009" s="66" t="str">
        <f>IF(Fifth!D12="", "",Fifth!D12)</f>
        <v>New</v>
      </c>
      <c r="E1009" s="66" t="str">
        <f>IF(Fifth!E12="", "",Fifth!E12)</f>
        <v>Female</v>
      </c>
      <c r="F1009" s="66" t="str">
        <f>IF(Fifth!F12="", "",Fifth!F12)</f>
        <v>Breast</v>
      </c>
      <c r="G1009" s="66" t="str">
        <f>IF(Fifth!G12="", "",Fifth!G12)</f>
        <v>Curative Intent</v>
      </c>
      <c r="H1009" s="66" t="str">
        <f>IF(Fifth!H12="", "",Fifth!H12)</f>
        <v>Drop-In</v>
      </c>
      <c r="I1009" s="66" t="str">
        <f>IF(Fifth!I12="", "",Fifth!I12)</f>
        <v/>
      </c>
      <c r="J1009" s="66" t="str">
        <f>IF(Fifth!J12="", "",Fifth!J12)</f>
        <v/>
      </c>
      <c r="K1009" s="86" t="str">
        <f>IF(Fifth!K12="", "",Fifth!K12)</f>
        <v/>
      </c>
      <c r="M1009" s="67">
        <f t="shared" si="47"/>
        <v>7</v>
      </c>
      <c r="N1009" s="76" t="str">
        <f t="shared" si="48"/>
        <v/>
      </c>
      <c r="O1009" s="33">
        <f t="shared" si="46"/>
        <v>7</v>
      </c>
    </row>
    <row r="1010" spans="1:15" x14ac:dyDescent="0.25">
      <c r="A1010" s="64" t="s">
        <v>224</v>
      </c>
      <c r="B1010" s="79" t="str">
        <f>IF(Fifth!B13="", "",Fifth!B13)</f>
        <v>CSS</v>
      </c>
      <c r="C1010" s="66" t="str">
        <f>IF(Fifth!C13="", "",Fifth!C13)</f>
        <v>Carer</v>
      </c>
      <c r="D1010" s="66" t="str">
        <f>IF(Fifth!D13="", "",Fifth!D13)</f>
        <v>Returning</v>
      </c>
      <c r="E1010" s="66" t="str">
        <f>IF(Fifth!E13="", "",Fifth!E13)</f>
        <v>Female</v>
      </c>
      <c r="F1010" s="66" t="str">
        <f>IF(Fifth!F13="", "",Fifth!F13)</f>
        <v>Brain/CNS</v>
      </c>
      <c r="G1010" s="66" t="str">
        <f>IF(Fifth!G13="", "",Fifth!G13)</f>
        <v>Non-Curative Intent</v>
      </c>
      <c r="H1010" s="66" t="str">
        <f>IF(Fifth!H13="", "",Fifth!H13)</f>
        <v>Booked</v>
      </c>
      <c r="I1010" s="66" t="str">
        <f>IF(Fifth!I13="", "",Fifth!I13)</f>
        <v>Psych Support - Individual</v>
      </c>
      <c r="J1010" s="66" t="str">
        <f>IF(Fifth!J13="", "",Fifth!J13)</f>
        <v/>
      </c>
      <c r="K1010" s="86" t="str">
        <f>IF(Fifth!K13="", "",Fifth!K13)</f>
        <v/>
      </c>
      <c r="M1010" s="67" t="str">
        <f t="shared" si="47"/>
        <v/>
      </c>
      <c r="N1010" s="76">
        <f t="shared" si="48"/>
        <v>7</v>
      </c>
      <c r="O1010" s="33">
        <f t="shared" si="46"/>
        <v>7</v>
      </c>
    </row>
    <row r="1011" spans="1:15" x14ac:dyDescent="0.25">
      <c r="A1011" s="64" t="s">
        <v>224</v>
      </c>
      <c r="B1011" s="79" t="str">
        <f>IF(Fifth!B14="", "",Fifth!B14)</f>
        <v>CSS</v>
      </c>
      <c r="C1011" s="66" t="str">
        <f>IF(Fifth!C14="", "",Fifth!C14)</f>
        <v>PwC</v>
      </c>
      <c r="D1011" s="66" t="str">
        <f>IF(Fifth!D14="", "",Fifth!D14)</f>
        <v>Returning</v>
      </c>
      <c r="E1011" s="66" t="str">
        <f>IF(Fifth!E14="", "",Fifth!E14)</f>
        <v>Male</v>
      </c>
      <c r="F1011" s="66" t="str">
        <f>IF(Fifth!F14="", "",Fifth!F14)</f>
        <v>Brain/CNS</v>
      </c>
      <c r="G1011" s="66" t="str">
        <f>IF(Fifth!G14="", "",Fifth!G14)</f>
        <v>Non-Curative Intent</v>
      </c>
      <c r="H1011" s="66" t="str">
        <f>IF(Fifth!H14="", "",Fifth!H14)</f>
        <v>Drop-In</v>
      </c>
      <c r="I1011" s="66" t="str">
        <f>IF(Fifth!I14="", "",Fifth!I14)</f>
        <v/>
      </c>
      <c r="J1011" s="66" t="str">
        <f>IF(Fifth!J14="", "",Fifth!J14)</f>
        <v/>
      </c>
      <c r="K1011" s="86" t="str">
        <f>IF(Fifth!K14="", "",Fifth!K14)</f>
        <v/>
      </c>
      <c r="M1011" s="67">
        <f t="shared" si="47"/>
        <v>7</v>
      </c>
      <c r="N1011" s="76" t="str">
        <f t="shared" si="48"/>
        <v/>
      </c>
      <c r="O1011" s="33">
        <f t="shared" si="46"/>
        <v>7</v>
      </c>
    </row>
    <row r="1012" spans="1:15" x14ac:dyDescent="0.25">
      <c r="A1012" s="64" t="s">
        <v>224</v>
      </c>
      <c r="B1012" s="79" t="str">
        <f>IF(Fifth!B15="", "",Fifth!B15)</f>
        <v>CSS</v>
      </c>
      <c r="C1012" s="66" t="str">
        <f>IF(Fifth!C15="", "",Fifth!C15)</f>
        <v>Other Visitor</v>
      </c>
      <c r="D1012" s="66" t="str">
        <f>IF(Fifth!D15="", "",Fifth!D15)</f>
        <v/>
      </c>
      <c r="E1012" s="66" t="str">
        <f>IF(Fifth!E15="", "",Fifth!E15)</f>
        <v/>
      </c>
      <c r="F1012" s="66" t="str">
        <f>IF(Fifth!F15="", "",Fifth!F15)</f>
        <v/>
      </c>
      <c r="G1012" s="66" t="str">
        <f>IF(Fifth!G15="", "",Fifth!G15)</f>
        <v/>
      </c>
      <c r="H1012" s="66" t="str">
        <f>IF(Fifth!H15="", "",Fifth!H15)</f>
        <v>Outreach</v>
      </c>
      <c r="I1012" s="66" t="str">
        <f>IF(Fifth!I15="", "",Fifth!I15)</f>
        <v/>
      </c>
      <c r="J1012" s="66" t="str">
        <f>IF(Fifth!J15="", "",Fifth!J15)</f>
        <v/>
      </c>
      <c r="K1012" s="86" t="str">
        <f>IF(Fifth!K15="", "",Fifth!K15)</f>
        <v/>
      </c>
      <c r="M1012" s="67" t="str">
        <f t="shared" si="47"/>
        <v/>
      </c>
      <c r="N1012" s="76" t="str">
        <f t="shared" si="48"/>
        <v/>
      </c>
      <c r="O1012" s="33">
        <f t="shared" si="46"/>
        <v>0</v>
      </c>
    </row>
    <row r="1013" spans="1:15" x14ac:dyDescent="0.25">
      <c r="A1013" s="64" t="s">
        <v>224</v>
      </c>
      <c r="B1013" s="79" t="str">
        <f>IF(Fifth!B16="", "",Fifth!B16)</f>
        <v>CSS</v>
      </c>
      <c r="C1013" s="66" t="str">
        <f>IF(Fifth!C16="", "",Fifth!C16)</f>
        <v>Other Visitor</v>
      </c>
      <c r="D1013" s="66" t="str">
        <f>IF(Fifth!D16="", "",Fifth!D16)</f>
        <v/>
      </c>
      <c r="E1013" s="66" t="str">
        <f>IF(Fifth!E16="", "",Fifth!E16)</f>
        <v/>
      </c>
      <c r="F1013" s="66" t="str">
        <f>IF(Fifth!F16="", "",Fifth!F16)</f>
        <v/>
      </c>
      <c r="G1013" s="66" t="str">
        <f>IF(Fifth!G16="", "",Fifth!G16)</f>
        <v/>
      </c>
      <c r="H1013" s="66" t="str">
        <f>IF(Fifth!H16="", "",Fifth!H16)</f>
        <v>Outreach</v>
      </c>
      <c r="I1013" s="66" t="str">
        <f>IF(Fifth!I16="", "",Fifth!I16)</f>
        <v/>
      </c>
      <c r="J1013" s="66" t="str">
        <f>IF(Fifth!J16="", "",Fifth!J16)</f>
        <v/>
      </c>
      <c r="K1013" s="86" t="str">
        <f>IF(Fifth!K16="", "",Fifth!K16)</f>
        <v/>
      </c>
      <c r="M1013" s="67" t="str">
        <f t="shared" si="47"/>
        <v/>
      </c>
      <c r="N1013" s="76" t="str">
        <f t="shared" si="48"/>
        <v/>
      </c>
      <c r="O1013" s="33">
        <f t="shared" si="46"/>
        <v>0</v>
      </c>
    </row>
    <row r="1014" spans="1:15" x14ac:dyDescent="0.25">
      <c r="A1014" s="64" t="s">
        <v>224</v>
      </c>
      <c r="B1014" s="79" t="str">
        <f>IF(Fifth!B17="", "",Fifth!B17)</f>
        <v>CSS</v>
      </c>
      <c r="C1014" s="66" t="str">
        <f>IF(Fifth!C17="", "",Fifth!C17)</f>
        <v>Other Visitor</v>
      </c>
      <c r="D1014" s="66" t="str">
        <f>IF(Fifth!D17="", "",Fifth!D17)</f>
        <v/>
      </c>
      <c r="E1014" s="66" t="str">
        <f>IF(Fifth!E17="", "",Fifth!E17)</f>
        <v/>
      </c>
      <c r="F1014" s="66" t="str">
        <f>IF(Fifth!F17="", "",Fifth!F17)</f>
        <v/>
      </c>
      <c r="G1014" s="66" t="str">
        <f>IF(Fifth!G17="", "",Fifth!G17)</f>
        <v/>
      </c>
      <c r="H1014" s="66" t="str">
        <f>IF(Fifth!H17="", "",Fifth!H17)</f>
        <v>Outreach</v>
      </c>
      <c r="I1014" s="66" t="str">
        <f>IF(Fifth!I17="", "",Fifth!I17)</f>
        <v/>
      </c>
      <c r="J1014" s="66" t="str">
        <f>IF(Fifth!J17="", "",Fifth!J17)</f>
        <v/>
      </c>
      <c r="K1014" s="86" t="str">
        <f>IF(Fifth!K17="", "",Fifth!K17)</f>
        <v/>
      </c>
      <c r="M1014" s="67" t="str">
        <f t="shared" si="47"/>
        <v/>
      </c>
      <c r="N1014" s="76" t="str">
        <f t="shared" si="48"/>
        <v/>
      </c>
      <c r="O1014" s="33">
        <f t="shared" si="46"/>
        <v>0</v>
      </c>
    </row>
    <row r="1015" spans="1:15" x14ac:dyDescent="0.25">
      <c r="A1015" s="64" t="s">
        <v>224</v>
      </c>
      <c r="B1015" s="79" t="str">
        <f>IF(Fifth!B18="", "",Fifth!B18)</f>
        <v>CSS</v>
      </c>
      <c r="C1015" s="66" t="str">
        <f>IF(Fifth!C18="", "",Fifth!C18)</f>
        <v>Other Visitor</v>
      </c>
      <c r="D1015" s="66" t="str">
        <f>IF(Fifth!D18="", "",Fifth!D18)</f>
        <v/>
      </c>
      <c r="E1015" s="66" t="str">
        <f>IF(Fifth!E18="", "",Fifth!E18)</f>
        <v/>
      </c>
      <c r="F1015" s="66" t="str">
        <f>IF(Fifth!F18="", "",Fifth!F18)</f>
        <v/>
      </c>
      <c r="G1015" s="66" t="str">
        <f>IF(Fifth!G18="", "",Fifth!G18)</f>
        <v/>
      </c>
      <c r="H1015" s="66" t="str">
        <f>IF(Fifth!H18="", "",Fifth!H18)</f>
        <v>Outreach</v>
      </c>
      <c r="I1015" s="66" t="str">
        <f>IF(Fifth!I18="", "",Fifth!I18)</f>
        <v/>
      </c>
      <c r="J1015" s="66" t="str">
        <f>IF(Fifth!J18="", "",Fifth!J18)</f>
        <v/>
      </c>
      <c r="K1015" s="86" t="str">
        <f>IF(Fifth!K18="", "",Fifth!K18)</f>
        <v/>
      </c>
      <c r="M1015" s="67" t="str">
        <f t="shared" si="47"/>
        <v/>
      </c>
      <c r="N1015" s="76" t="str">
        <f t="shared" si="48"/>
        <v/>
      </c>
      <c r="O1015" s="33">
        <f t="shared" si="46"/>
        <v>0</v>
      </c>
    </row>
    <row r="1016" spans="1:15" x14ac:dyDescent="0.25">
      <c r="A1016" s="64" t="s">
        <v>224</v>
      </c>
      <c r="B1016" s="79" t="str">
        <f>IF(Fifth!B19="", "",Fifth!B19)</f>
        <v>CSS</v>
      </c>
      <c r="C1016" s="66" t="str">
        <f>IF(Fifth!C19="", "",Fifth!C19)</f>
        <v>Other Visitor</v>
      </c>
      <c r="D1016" s="66" t="str">
        <f>IF(Fifth!D19="", "",Fifth!D19)</f>
        <v/>
      </c>
      <c r="E1016" s="66" t="str">
        <f>IF(Fifth!E19="", "",Fifth!E19)</f>
        <v/>
      </c>
      <c r="F1016" s="66" t="str">
        <f>IF(Fifth!F19="", "",Fifth!F19)</f>
        <v/>
      </c>
      <c r="G1016" s="66" t="str">
        <f>IF(Fifth!G19="", "",Fifth!G19)</f>
        <v/>
      </c>
      <c r="H1016" s="66" t="str">
        <f>IF(Fifth!H19="", "",Fifth!H19)</f>
        <v>Outreach</v>
      </c>
      <c r="I1016" s="66" t="str">
        <f>IF(Fifth!I19="", "",Fifth!I19)</f>
        <v/>
      </c>
      <c r="J1016" s="66" t="str">
        <f>IF(Fifth!J19="", "",Fifth!J19)</f>
        <v/>
      </c>
      <c r="K1016" s="86" t="str">
        <f>IF(Fifth!K19="", "",Fifth!K19)</f>
        <v/>
      </c>
      <c r="M1016" s="67" t="str">
        <f t="shared" si="47"/>
        <v/>
      </c>
      <c r="N1016" s="76" t="str">
        <f t="shared" si="48"/>
        <v/>
      </c>
      <c r="O1016" s="33">
        <f t="shared" si="46"/>
        <v>0</v>
      </c>
    </row>
    <row r="1017" spans="1:15" x14ac:dyDescent="0.25">
      <c r="A1017" s="64" t="s">
        <v>224</v>
      </c>
      <c r="B1017" s="79" t="str">
        <f>IF(Fifth!B20="", "",Fifth!B20)</f>
        <v>CSS</v>
      </c>
      <c r="C1017" s="66" t="str">
        <f>IF(Fifth!C20="", "",Fifth!C20)</f>
        <v>Other Visitor</v>
      </c>
      <c r="D1017" s="66" t="str">
        <f>IF(Fifth!D20="", "",Fifth!D20)</f>
        <v/>
      </c>
      <c r="E1017" s="66" t="str">
        <f>IF(Fifth!E20="", "",Fifth!E20)</f>
        <v/>
      </c>
      <c r="F1017" s="66" t="str">
        <f>IF(Fifth!F20="", "",Fifth!F20)</f>
        <v/>
      </c>
      <c r="G1017" s="66" t="str">
        <f>IF(Fifth!G20="", "",Fifth!G20)</f>
        <v/>
      </c>
      <c r="H1017" s="66" t="str">
        <f>IF(Fifth!H20="", "",Fifth!H20)</f>
        <v>Outreach</v>
      </c>
      <c r="I1017" s="66" t="str">
        <f>IF(Fifth!I20="", "",Fifth!I20)</f>
        <v/>
      </c>
      <c r="J1017" s="66" t="str">
        <f>IF(Fifth!J20="", "",Fifth!J20)</f>
        <v/>
      </c>
      <c r="K1017" s="86" t="str">
        <f>IF(Fifth!K20="", "",Fifth!K20)</f>
        <v/>
      </c>
      <c r="M1017" s="67" t="str">
        <f t="shared" si="47"/>
        <v/>
      </c>
      <c r="N1017" s="76" t="str">
        <f t="shared" si="48"/>
        <v/>
      </c>
      <c r="O1017" s="33">
        <f t="shared" si="46"/>
        <v>0</v>
      </c>
    </row>
    <row r="1018" spans="1:15" x14ac:dyDescent="0.25">
      <c r="A1018" s="64" t="s">
        <v>224</v>
      </c>
      <c r="B1018" s="79" t="str">
        <f>IF(Fifth!B21="", "",Fifth!B21)</f>
        <v>CSS</v>
      </c>
      <c r="C1018" s="66" t="str">
        <f>IF(Fifth!C21="", "",Fifth!C21)</f>
        <v>Other Visitor</v>
      </c>
      <c r="D1018" s="66" t="str">
        <f>IF(Fifth!D21="", "",Fifth!D21)</f>
        <v/>
      </c>
      <c r="E1018" s="66" t="str">
        <f>IF(Fifth!E21="", "",Fifth!E21)</f>
        <v/>
      </c>
      <c r="F1018" s="66" t="str">
        <f>IF(Fifth!F21="", "",Fifth!F21)</f>
        <v/>
      </c>
      <c r="G1018" s="66" t="str">
        <f>IF(Fifth!G21="", "",Fifth!G21)</f>
        <v/>
      </c>
      <c r="H1018" s="66" t="str">
        <f>IF(Fifth!H21="", "",Fifth!H21)</f>
        <v>Outreach</v>
      </c>
      <c r="I1018" s="66" t="str">
        <f>IF(Fifth!I21="", "",Fifth!I21)</f>
        <v/>
      </c>
      <c r="J1018" s="66" t="str">
        <f>IF(Fifth!J21="", "",Fifth!J21)</f>
        <v/>
      </c>
      <c r="K1018" s="86" t="str">
        <f>IF(Fifth!K21="", "",Fifth!K21)</f>
        <v/>
      </c>
      <c r="M1018" s="67" t="str">
        <f t="shared" si="47"/>
        <v/>
      </c>
      <c r="N1018" s="76" t="str">
        <f t="shared" si="48"/>
        <v/>
      </c>
      <c r="O1018" s="33">
        <f t="shared" si="46"/>
        <v>0</v>
      </c>
    </row>
    <row r="1019" spans="1:15" x14ac:dyDescent="0.25">
      <c r="A1019" s="64" t="s">
        <v>224</v>
      </c>
      <c r="B1019" s="79" t="str">
        <f>IF(Fifth!B22="", "",Fifth!B22)</f>
        <v>CSS</v>
      </c>
      <c r="C1019" s="66" t="str">
        <f>IF(Fifth!C22="", "",Fifth!C22)</f>
        <v>Other Visitor</v>
      </c>
      <c r="D1019" s="66" t="str">
        <f>IF(Fifth!D22="", "",Fifth!D22)</f>
        <v/>
      </c>
      <c r="E1019" s="66" t="str">
        <f>IF(Fifth!E22="", "",Fifth!E22)</f>
        <v/>
      </c>
      <c r="F1019" s="66" t="str">
        <f>IF(Fifth!F22="", "",Fifth!F22)</f>
        <v/>
      </c>
      <c r="G1019" s="66" t="str">
        <f>IF(Fifth!G22="", "",Fifth!G22)</f>
        <v/>
      </c>
      <c r="H1019" s="66" t="str">
        <f>IF(Fifth!H22="", "",Fifth!H22)</f>
        <v>Outreach</v>
      </c>
      <c r="I1019" s="66" t="str">
        <f>IF(Fifth!I22="", "",Fifth!I22)</f>
        <v/>
      </c>
      <c r="J1019" s="66" t="str">
        <f>IF(Fifth!J22="", "",Fifth!J22)</f>
        <v/>
      </c>
      <c r="K1019" s="86" t="str">
        <f>IF(Fifth!K22="", "",Fifth!K22)</f>
        <v/>
      </c>
      <c r="M1019" s="67" t="str">
        <f t="shared" si="47"/>
        <v/>
      </c>
      <c r="N1019" s="76" t="str">
        <f t="shared" si="48"/>
        <v/>
      </c>
      <c r="O1019" s="33">
        <f t="shared" si="46"/>
        <v>0</v>
      </c>
    </row>
    <row r="1020" spans="1:15" x14ac:dyDescent="0.25">
      <c r="A1020" s="64" t="s">
        <v>224</v>
      </c>
      <c r="B1020" s="79" t="str">
        <f>IF(Fifth!B23="", "",Fifth!B23)</f>
        <v>CSS</v>
      </c>
      <c r="C1020" s="66" t="str">
        <f>IF(Fifth!C23="", "",Fifth!C23)</f>
        <v>Other Visitor</v>
      </c>
      <c r="D1020" s="66" t="str">
        <f>IF(Fifth!D23="", "",Fifth!D23)</f>
        <v/>
      </c>
      <c r="E1020" s="66" t="str">
        <f>IF(Fifth!E23="", "",Fifth!E23)</f>
        <v/>
      </c>
      <c r="F1020" s="66" t="str">
        <f>IF(Fifth!F23="", "",Fifth!F23)</f>
        <v/>
      </c>
      <c r="G1020" s="66" t="str">
        <f>IF(Fifth!G23="", "",Fifth!G23)</f>
        <v/>
      </c>
      <c r="H1020" s="66" t="str">
        <f>IF(Fifth!H23="", "",Fifth!H23)</f>
        <v>Outreach</v>
      </c>
      <c r="I1020" s="66" t="str">
        <f>IF(Fifth!I23="", "",Fifth!I23)</f>
        <v/>
      </c>
      <c r="J1020" s="66" t="str">
        <f>IF(Fifth!J23="", "",Fifth!J23)</f>
        <v/>
      </c>
      <c r="K1020" s="86" t="str">
        <f>IF(Fifth!K23="", "",Fifth!K23)</f>
        <v/>
      </c>
      <c r="M1020" s="67" t="str">
        <f t="shared" si="47"/>
        <v/>
      </c>
      <c r="N1020" s="76" t="str">
        <f t="shared" si="48"/>
        <v/>
      </c>
      <c r="O1020" s="33">
        <f t="shared" si="46"/>
        <v>0</v>
      </c>
    </row>
    <row r="1021" spans="1:15" x14ac:dyDescent="0.25">
      <c r="A1021" s="64" t="s">
        <v>224</v>
      </c>
      <c r="B1021" s="79" t="str">
        <f>IF(Fifth!B24="", "",Fifth!B24)</f>
        <v>CSS</v>
      </c>
      <c r="C1021" s="66" t="str">
        <f>IF(Fifth!C24="", "",Fifth!C24)</f>
        <v>Other Visitor</v>
      </c>
      <c r="D1021" s="66" t="str">
        <f>IF(Fifth!D24="", "",Fifth!D24)</f>
        <v/>
      </c>
      <c r="E1021" s="66" t="str">
        <f>IF(Fifth!E24="", "",Fifth!E24)</f>
        <v/>
      </c>
      <c r="F1021" s="66" t="str">
        <f>IF(Fifth!F24="", "",Fifth!F24)</f>
        <v/>
      </c>
      <c r="G1021" s="66" t="str">
        <f>IF(Fifth!G24="", "",Fifth!G24)</f>
        <v/>
      </c>
      <c r="H1021" s="66" t="str">
        <f>IF(Fifth!H24="", "",Fifth!H24)</f>
        <v>Outreach</v>
      </c>
      <c r="I1021" s="66" t="str">
        <f>IF(Fifth!I24="", "",Fifth!I24)</f>
        <v/>
      </c>
      <c r="J1021" s="66" t="str">
        <f>IF(Fifth!J24="", "",Fifth!J24)</f>
        <v/>
      </c>
      <c r="K1021" s="86" t="str">
        <f>IF(Fifth!K24="", "",Fifth!K24)</f>
        <v/>
      </c>
      <c r="M1021" s="67" t="str">
        <f t="shared" si="47"/>
        <v/>
      </c>
      <c r="N1021" s="76" t="str">
        <f t="shared" si="48"/>
        <v/>
      </c>
      <c r="O1021" s="33">
        <f t="shared" si="46"/>
        <v>0</v>
      </c>
    </row>
    <row r="1022" spans="1:15" x14ac:dyDescent="0.25">
      <c r="A1022" s="64" t="s">
        <v>224</v>
      </c>
      <c r="B1022" s="79" t="str">
        <f>IF(Fifth!B25="", "",Fifth!B25)</f>
        <v>CSS</v>
      </c>
      <c r="C1022" s="66" t="str">
        <f>IF(Fifth!C25="", "",Fifth!C25)</f>
        <v>Other Visitor</v>
      </c>
      <c r="D1022" s="66" t="str">
        <f>IF(Fifth!D25="", "",Fifth!D25)</f>
        <v/>
      </c>
      <c r="E1022" s="66" t="str">
        <f>IF(Fifth!E25="", "",Fifth!E25)</f>
        <v/>
      </c>
      <c r="F1022" s="66" t="str">
        <f>IF(Fifth!F25="", "",Fifth!F25)</f>
        <v/>
      </c>
      <c r="G1022" s="66" t="str">
        <f>IF(Fifth!G25="", "",Fifth!G25)</f>
        <v/>
      </c>
      <c r="H1022" s="66" t="str">
        <f>IF(Fifth!H25="", "",Fifth!H25)</f>
        <v>Outreach</v>
      </c>
      <c r="I1022" s="66" t="str">
        <f>IF(Fifth!I25="", "",Fifth!I25)</f>
        <v/>
      </c>
      <c r="J1022" s="66" t="str">
        <f>IF(Fifth!J25="", "",Fifth!J25)</f>
        <v/>
      </c>
      <c r="K1022" s="86" t="str">
        <f>IF(Fifth!K25="", "",Fifth!K25)</f>
        <v/>
      </c>
      <c r="M1022" s="67" t="str">
        <f t="shared" si="47"/>
        <v/>
      </c>
      <c r="N1022" s="76" t="str">
        <f t="shared" si="48"/>
        <v/>
      </c>
      <c r="O1022" s="33">
        <f t="shared" si="46"/>
        <v>0</v>
      </c>
    </row>
    <row r="1023" spans="1:15" x14ac:dyDescent="0.25">
      <c r="A1023" s="64" t="s">
        <v>224</v>
      </c>
      <c r="B1023" s="79" t="str">
        <f>IF(Fifth!B26="", "",Fifth!B26)</f>
        <v>CSS</v>
      </c>
      <c r="C1023" s="66" t="str">
        <f>IF(Fifth!C26="", "",Fifth!C26)</f>
        <v>Other Visitor</v>
      </c>
      <c r="D1023" s="66" t="str">
        <f>IF(Fifth!D26="", "",Fifth!D26)</f>
        <v/>
      </c>
      <c r="E1023" s="66" t="str">
        <f>IF(Fifth!E26="", "",Fifth!E26)</f>
        <v/>
      </c>
      <c r="F1023" s="66" t="str">
        <f>IF(Fifth!F26="", "",Fifth!F26)</f>
        <v/>
      </c>
      <c r="G1023" s="66" t="str">
        <f>IF(Fifth!G26="", "",Fifth!G26)</f>
        <v/>
      </c>
      <c r="H1023" s="66" t="str">
        <f>IF(Fifth!H26="", "",Fifth!H26)</f>
        <v>Outreach</v>
      </c>
      <c r="I1023" s="66" t="str">
        <f>IF(Fifth!I26="", "",Fifth!I26)</f>
        <v/>
      </c>
      <c r="J1023" s="66" t="str">
        <f>IF(Fifth!J26="", "",Fifth!J26)</f>
        <v/>
      </c>
      <c r="K1023" s="86" t="str">
        <f>IF(Fifth!K26="", "",Fifth!K26)</f>
        <v/>
      </c>
      <c r="M1023" s="67" t="str">
        <f t="shared" si="47"/>
        <v/>
      </c>
      <c r="N1023" s="76" t="str">
        <f t="shared" si="48"/>
        <v/>
      </c>
      <c r="O1023" s="33">
        <f t="shared" si="46"/>
        <v>0</v>
      </c>
    </row>
    <row r="1024" spans="1:15" x14ac:dyDescent="0.25">
      <c r="A1024" s="64" t="s">
        <v>224</v>
      </c>
      <c r="B1024" s="79" t="str">
        <f>IF(Fifth!B27="", "",Fifth!B27)</f>
        <v>CSS</v>
      </c>
      <c r="C1024" s="66" t="str">
        <f>IF(Fifth!C27="", "",Fifth!C27)</f>
        <v>Other Visitor</v>
      </c>
      <c r="D1024" s="66" t="str">
        <f>IF(Fifth!D27="", "",Fifth!D27)</f>
        <v/>
      </c>
      <c r="E1024" s="66" t="str">
        <f>IF(Fifth!E27="", "",Fifth!E27)</f>
        <v/>
      </c>
      <c r="F1024" s="66" t="str">
        <f>IF(Fifth!F27="", "",Fifth!F27)</f>
        <v/>
      </c>
      <c r="G1024" s="66" t="str">
        <f>IF(Fifth!G27="", "",Fifth!G27)</f>
        <v/>
      </c>
      <c r="H1024" s="66" t="str">
        <f>IF(Fifth!H27="", "",Fifth!H27)</f>
        <v>Outreach</v>
      </c>
      <c r="I1024" s="66" t="str">
        <f>IF(Fifth!I27="", "",Fifth!I27)</f>
        <v/>
      </c>
      <c r="J1024" s="66" t="str">
        <f>IF(Fifth!J27="", "",Fifth!J27)</f>
        <v/>
      </c>
      <c r="K1024" s="86" t="str">
        <f>IF(Fifth!K27="", "",Fifth!K27)</f>
        <v/>
      </c>
      <c r="M1024" s="67" t="str">
        <f t="shared" si="47"/>
        <v/>
      </c>
      <c r="N1024" s="76" t="str">
        <f t="shared" si="48"/>
        <v/>
      </c>
      <c r="O1024" s="33">
        <f t="shared" si="46"/>
        <v>0</v>
      </c>
    </row>
    <row r="1025" spans="1:15" x14ac:dyDescent="0.25">
      <c r="A1025" s="64" t="s">
        <v>224</v>
      </c>
      <c r="B1025" s="79" t="str">
        <f>IF(Fifth!B28="", "",Fifth!B28)</f>
        <v>CSS</v>
      </c>
      <c r="C1025" s="66" t="str">
        <f>IF(Fifth!C28="", "",Fifth!C28)</f>
        <v>Other Visitor</v>
      </c>
      <c r="D1025" s="66" t="str">
        <f>IF(Fifth!D28="", "",Fifth!D28)</f>
        <v/>
      </c>
      <c r="E1025" s="66" t="str">
        <f>IF(Fifth!E28="", "",Fifth!E28)</f>
        <v/>
      </c>
      <c r="F1025" s="66" t="str">
        <f>IF(Fifth!F28="", "",Fifth!F28)</f>
        <v/>
      </c>
      <c r="G1025" s="66" t="str">
        <f>IF(Fifth!G28="", "",Fifth!G28)</f>
        <v/>
      </c>
      <c r="H1025" s="66" t="str">
        <f>IF(Fifth!H28="", "",Fifth!H28)</f>
        <v>Outreach</v>
      </c>
      <c r="I1025" s="66" t="str">
        <f>IF(Fifth!I28="", "",Fifth!I28)</f>
        <v/>
      </c>
      <c r="J1025" s="66" t="str">
        <f>IF(Fifth!J28="", "",Fifth!J28)</f>
        <v/>
      </c>
      <c r="K1025" s="86" t="str">
        <f>IF(Fifth!K28="", "",Fifth!K28)</f>
        <v/>
      </c>
      <c r="M1025" s="67" t="str">
        <f t="shared" si="47"/>
        <v/>
      </c>
      <c r="N1025" s="76" t="str">
        <f t="shared" si="48"/>
        <v/>
      </c>
      <c r="O1025" s="33">
        <f t="shared" si="46"/>
        <v>0</v>
      </c>
    </row>
    <row r="1026" spans="1:15" x14ac:dyDescent="0.25">
      <c r="A1026" s="64" t="s">
        <v>224</v>
      </c>
      <c r="B1026" s="79" t="str">
        <f>IF(Fifth!B29="", "",Fifth!B29)</f>
        <v>CSS</v>
      </c>
      <c r="C1026" s="66" t="str">
        <f>IF(Fifth!C29="", "",Fifth!C29)</f>
        <v>Other Visitor</v>
      </c>
      <c r="D1026" s="66" t="str">
        <f>IF(Fifth!D29="", "",Fifth!D29)</f>
        <v/>
      </c>
      <c r="E1026" s="66" t="str">
        <f>IF(Fifth!E29="", "",Fifth!E29)</f>
        <v/>
      </c>
      <c r="F1026" s="66" t="str">
        <f>IF(Fifth!F29="", "",Fifth!F29)</f>
        <v/>
      </c>
      <c r="G1026" s="66" t="str">
        <f>IF(Fifth!G29="", "",Fifth!G29)</f>
        <v/>
      </c>
      <c r="H1026" s="66" t="str">
        <f>IF(Fifth!H29="", "",Fifth!H29)</f>
        <v>Outreach</v>
      </c>
      <c r="I1026" s="66" t="str">
        <f>IF(Fifth!I29="", "",Fifth!I29)</f>
        <v/>
      </c>
      <c r="J1026" s="66" t="str">
        <f>IF(Fifth!J29="", "",Fifth!J29)</f>
        <v/>
      </c>
      <c r="K1026" s="86" t="str">
        <f>IF(Fifth!K29="", "",Fifth!K29)</f>
        <v/>
      </c>
      <c r="M1026" s="67" t="str">
        <f t="shared" si="47"/>
        <v/>
      </c>
      <c r="N1026" s="76" t="str">
        <f t="shared" si="48"/>
        <v/>
      </c>
      <c r="O1026" s="33">
        <f t="shared" ref="O1026:O1089" si="49">SUM(M1026:N1026)</f>
        <v>0</v>
      </c>
    </row>
    <row r="1027" spans="1:15" x14ac:dyDescent="0.25">
      <c r="A1027" s="64" t="s">
        <v>224</v>
      </c>
      <c r="B1027" s="79" t="str">
        <f>IF(Fifth!B30="", "",Fifth!B30)</f>
        <v>CSS</v>
      </c>
      <c r="C1027" s="66" t="str">
        <f>IF(Fifth!C30="", "",Fifth!C30)</f>
        <v>Other Visitor</v>
      </c>
      <c r="D1027" s="66" t="str">
        <f>IF(Fifth!D30="", "",Fifth!D30)</f>
        <v/>
      </c>
      <c r="E1027" s="66" t="str">
        <f>IF(Fifth!E30="", "",Fifth!E30)</f>
        <v/>
      </c>
      <c r="F1027" s="66" t="str">
        <f>IF(Fifth!F30="", "",Fifth!F30)</f>
        <v/>
      </c>
      <c r="G1027" s="66" t="str">
        <f>IF(Fifth!G30="", "",Fifth!G30)</f>
        <v/>
      </c>
      <c r="H1027" s="66" t="str">
        <f>IF(Fifth!H30="", "",Fifth!H30)</f>
        <v>Outreach</v>
      </c>
      <c r="I1027" s="66" t="str">
        <f>IF(Fifth!I30="", "",Fifth!I30)</f>
        <v/>
      </c>
      <c r="J1027" s="66" t="str">
        <f>IF(Fifth!J30="", "",Fifth!J30)</f>
        <v/>
      </c>
      <c r="K1027" s="86" t="str">
        <f>IF(Fifth!K30="", "",Fifth!K30)</f>
        <v/>
      </c>
      <c r="M1027" s="67" t="str">
        <f t="shared" ref="M1027:M1090" si="50">IF(C1027="PwC",(7-COUNTIF(B1027:H1027,"")),"")</f>
        <v/>
      </c>
      <c r="N1027" s="76" t="str">
        <f t="shared" ref="N1027:N1090" si="51">IF(C1027="Carer",(7-COUNTIF(B1027:H1027,"")),"")</f>
        <v/>
      </c>
      <c r="O1027" s="33">
        <f t="shared" si="49"/>
        <v>0</v>
      </c>
    </row>
    <row r="1028" spans="1:15" x14ac:dyDescent="0.25">
      <c r="A1028" s="64" t="s">
        <v>224</v>
      </c>
      <c r="B1028" s="79" t="str">
        <f>IF(Fifth!B31="", "",Fifth!B31)</f>
        <v>CSS</v>
      </c>
      <c r="C1028" s="66" t="str">
        <f>IF(Fifth!C31="", "",Fifth!C31)</f>
        <v>Other Visitor</v>
      </c>
      <c r="D1028" s="66" t="str">
        <f>IF(Fifth!D31="", "",Fifth!D31)</f>
        <v/>
      </c>
      <c r="E1028" s="66" t="str">
        <f>IF(Fifth!E31="", "",Fifth!E31)</f>
        <v/>
      </c>
      <c r="F1028" s="66" t="str">
        <f>IF(Fifth!F31="", "",Fifth!F31)</f>
        <v/>
      </c>
      <c r="G1028" s="66" t="str">
        <f>IF(Fifth!G31="", "",Fifth!G31)</f>
        <v/>
      </c>
      <c r="H1028" s="66" t="str">
        <f>IF(Fifth!H31="", "",Fifth!H31)</f>
        <v>Outreach</v>
      </c>
      <c r="I1028" s="66" t="str">
        <f>IF(Fifth!I31="", "",Fifth!I31)</f>
        <v/>
      </c>
      <c r="J1028" s="66" t="str">
        <f>IF(Fifth!J31="", "",Fifth!J31)</f>
        <v/>
      </c>
      <c r="K1028" s="86" t="str">
        <f>IF(Fifth!K31="", "",Fifth!K31)</f>
        <v/>
      </c>
      <c r="M1028" s="67" t="str">
        <f t="shared" si="50"/>
        <v/>
      </c>
      <c r="N1028" s="76" t="str">
        <f t="shared" si="51"/>
        <v/>
      </c>
      <c r="O1028" s="33">
        <f t="shared" si="49"/>
        <v>0</v>
      </c>
    </row>
    <row r="1029" spans="1:15" x14ac:dyDescent="0.25">
      <c r="A1029" s="64" t="s">
        <v>224</v>
      </c>
      <c r="B1029" s="79" t="str">
        <f>IF(Fifth!B32="", "",Fifth!B32)</f>
        <v>CSS</v>
      </c>
      <c r="C1029" s="66" t="str">
        <f>IF(Fifth!C32="", "",Fifth!C32)</f>
        <v>Other Visitor</v>
      </c>
      <c r="D1029" s="66" t="str">
        <f>IF(Fifth!D32="", "",Fifth!D32)</f>
        <v/>
      </c>
      <c r="E1029" s="66" t="str">
        <f>IF(Fifth!E32="", "",Fifth!E32)</f>
        <v/>
      </c>
      <c r="F1029" s="66" t="str">
        <f>IF(Fifth!F32="", "",Fifth!F32)</f>
        <v/>
      </c>
      <c r="G1029" s="66" t="str">
        <f>IF(Fifth!G32="", "",Fifth!G32)</f>
        <v/>
      </c>
      <c r="H1029" s="66" t="str">
        <f>IF(Fifth!H32="", "",Fifth!H32)</f>
        <v>Outreach</v>
      </c>
      <c r="I1029" s="66" t="str">
        <f>IF(Fifth!I32="", "",Fifth!I32)</f>
        <v/>
      </c>
      <c r="J1029" s="66" t="str">
        <f>IF(Fifth!J32="", "",Fifth!J32)</f>
        <v/>
      </c>
      <c r="K1029" s="86" t="str">
        <f>IF(Fifth!K32="", "",Fifth!K32)</f>
        <v/>
      </c>
      <c r="M1029" s="67" t="str">
        <f t="shared" si="50"/>
        <v/>
      </c>
      <c r="N1029" s="76" t="str">
        <f t="shared" si="51"/>
        <v/>
      </c>
      <c r="O1029" s="33">
        <f t="shared" si="49"/>
        <v>0</v>
      </c>
    </row>
    <row r="1030" spans="1:15" x14ac:dyDescent="0.25">
      <c r="A1030" s="64" t="s">
        <v>224</v>
      </c>
      <c r="B1030" s="79" t="str">
        <f>IF(Fifth!B33="", "",Fifth!B33)</f>
        <v>CSS</v>
      </c>
      <c r="C1030" s="66" t="str">
        <f>IF(Fifth!C33="", "",Fifth!C33)</f>
        <v>Other Visitor</v>
      </c>
      <c r="D1030" s="66" t="str">
        <f>IF(Fifth!D33="", "",Fifth!D33)</f>
        <v/>
      </c>
      <c r="E1030" s="66" t="str">
        <f>IF(Fifth!E33="", "",Fifth!E33)</f>
        <v/>
      </c>
      <c r="F1030" s="66" t="str">
        <f>IF(Fifth!F33="", "",Fifth!F33)</f>
        <v/>
      </c>
      <c r="G1030" s="66" t="str">
        <f>IF(Fifth!G33="", "",Fifth!G33)</f>
        <v/>
      </c>
      <c r="H1030" s="66" t="str">
        <f>IF(Fifth!H33="", "",Fifth!H33)</f>
        <v>Outreach</v>
      </c>
      <c r="I1030" s="66" t="str">
        <f>IF(Fifth!I33="", "",Fifth!I33)</f>
        <v/>
      </c>
      <c r="J1030" s="66" t="str">
        <f>IF(Fifth!J33="", "",Fifth!J33)</f>
        <v/>
      </c>
      <c r="K1030" s="86" t="str">
        <f>IF(Fifth!K33="", "",Fifth!K33)</f>
        <v/>
      </c>
      <c r="M1030" s="67" t="str">
        <f t="shared" si="50"/>
        <v/>
      </c>
      <c r="N1030" s="76" t="str">
        <f t="shared" si="51"/>
        <v/>
      </c>
      <c r="O1030" s="33">
        <f t="shared" si="49"/>
        <v>0</v>
      </c>
    </row>
    <row r="1031" spans="1:15" x14ac:dyDescent="0.25">
      <c r="A1031" s="64" t="s">
        <v>224</v>
      </c>
      <c r="B1031" s="79" t="str">
        <f>IF(Fifth!B34="", "",Fifth!B34)</f>
        <v>CSS</v>
      </c>
      <c r="C1031" s="66" t="str">
        <f>IF(Fifth!C34="", "",Fifth!C34)</f>
        <v>Other Visitor</v>
      </c>
      <c r="D1031" s="66" t="str">
        <f>IF(Fifth!D34="", "",Fifth!D34)</f>
        <v/>
      </c>
      <c r="E1031" s="66" t="str">
        <f>IF(Fifth!E34="", "",Fifth!E34)</f>
        <v/>
      </c>
      <c r="F1031" s="66" t="str">
        <f>IF(Fifth!F34="", "",Fifth!F34)</f>
        <v/>
      </c>
      <c r="G1031" s="66" t="str">
        <f>IF(Fifth!G34="", "",Fifth!G34)</f>
        <v/>
      </c>
      <c r="H1031" s="66" t="str">
        <f>IF(Fifth!H34="", "",Fifth!H34)</f>
        <v>Outreach</v>
      </c>
      <c r="I1031" s="66" t="str">
        <f>IF(Fifth!I34="", "",Fifth!I34)</f>
        <v/>
      </c>
      <c r="J1031" s="66" t="str">
        <f>IF(Fifth!J34="", "",Fifth!J34)</f>
        <v/>
      </c>
      <c r="K1031" s="86" t="str">
        <f>IF(Fifth!K34="", "",Fifth!K34)</f>
        <v/>
      </c>
      <c r="M1031" s="67" t="str">
        <f t="shared" si="50"/>
        <v/>
      </c>
      <c r="N1031" s="76" t="str">
        <f t="shared" si="51"/>
        <v/>
      </c>
      <c r="O1031" s="33">
        <f t="shared" si="49"/>
        <v>0</v>
      </c>
    </row>
    <row r="1032" spans="1:15" x14ac:dyDescent="0.25">
      <c r="A1032" s="64" t="s">
        <v>224</v>
      </c>
      <c r="B1032" s="79" t="str">
        <f>IF(Fifth!B35="", "",Fifth!B35)</f>
        <v>CSS</v>
      </c>
      <c r="C1032" s="66" t="str">
        <f>IF(Fifth!C35="", "",Fifth!C35)</f>
        <v>Other Visitor</v>
      </c>
      <c r="D1032" s="66" t="str">
        <f>IF(Fifth!D35="", "",Fifth!D35)</f>
        <v/>
      </c>
      <c r="E1032" s="66" t="str">
        <f>IF(Fifth!E35="", "",Fifth!E35)</f>
        <v/>
      </c>
      <c r="F1032" s="66" t="str">
        <f>IF(Fifth!F35="", "",Fifth!F35)</f>
        <v/>
      </c>
      <c r="G1032" s="66" t="str">
        <f>IF(Fifth!G35="", "",Fifth!G35)</f>
        <v/>
      </c>
      <c r="H1032" s="66" t="str">
        <f>IF(Fifth!H35="", "",Fifth!H35)</f>
        <v>Outreach</v>
      </c>
      <c r="I1032" s="66" t="str">
        <f>IF(Fifth!I35="", "",Fifth!I35)</f>
        <v/>
      </c>
      <c r="J1032" s="66" t="str">
        <f>IF(Fifth!J35="", "",Fifth!J35)</f>
        <v/>
      </c>
      <c r="K1032" s="86" t="str">
        <f>IF(Fifth!K35="", "",Fifth!K35)</f>
        <v/>
      </c>
      <c r="M1032" s="67" t="str">
        <f t="shared" si="50"/>
        <v/>
      </c>
      <c r="N1032" s="76" t="str">
        <f t="shared" si="51"/>
        <v/>
      </c>
      <c r="O1032" s="33">
        <f t="shared" si="49"/>
        <v>0</v>
      </c>
    </row>
    <row r="1033" spans="1:15" x14ac:dyDescent="0.25">
      <c r="A1033" s="64" t="s">
        <v>224</v>
      </c>
      <c r="B1033" s="79" t="str">
        <f>IF(Fifth!B36="", "",Fifth!B36)</f>
        <v>CSS</v>
      </c>
      <c r="C1033" s="66" t="str">
        <f>IF(Fifth!C36="", "",Fifth!C36)</f>
        <v>Other Visitor</v>
      </c>
      <c r="D1033" s="66" t="str">
        <f>IF(Fifth!D36="", "",Fifth!D36)</f>
        <v/>
      </c>
      <c r="E1033" s="66" t="str">
        <f>IF(Fifth!E36="", "",Fifth!E36)</f>
        <v/>
      </c>
      <c r="F1033" s="66" t="str">
        <f>IF(Fifth!F36="", "",Fifth!F36)</f>
        <v/>
      </c>
      <c r="G1033" s="66" t="str">
        <f>IF(Fifth!G36="", "",Fifth!G36)</f>
        <v/>
      </c>
      <c r="H1033" s="66" t="str">
        <f>IF(Fifth!H36="", "",Fifth!H36)</f>
        <v>Outreach</v>
      </c>
      <c r="I1033" s="66" t="str">
        <f>IF(Fifth!I36="", "",Fifth!I36)</f>
        <v/>
      </c>
      <c r="J1033" s="66" t="str">
        <f>IF(Fifth!J36="", "",Fifth!J36)</f>
        <v/>
      </c>
      <c r="K1033" s="86" t="str">
        <f>IF(Fifth!K36="", "",Fifth!K36)</f>
        <v/>
      </c>
      <c r="M1033" s="67" t="str">
        <f t="shared" si="50"/>
        <v/>
      </c>
      <c r="N1033" s="76" t="str">
        <f t="shared" si="51"/>
        <v/>
      </c>
      <c r="O1033" s="33">
        <f t="shared" si="49"/>
        <v>0</v>
      </c>
    </row>
    <row r="1034" spans="1:15" x14ac:dyDescent="0.25">
      <c r="A1034" s="64" t="s">
        <v>224</v>
      </c>
      <c r="B1034" s="79" t="str">
        <f>IF(Fifth!B37="", "",Fifth!B37)</f>
        <v>CSS</v>
      </c>
      <c r="C1034" s="66" t="str">
        <f>IF(Fifth!C37="", "",Fifth!C37)</f>
        <v>Other Visitor</v>
      </c>
      <c r="D1034" s="66" t="str">
        <f>IF(Fifth!D37="", "",Fifth!D37)</f>
        <v/>
      </c>
      <c r="E1034" s="66" t="str">
        <f>IF(Fifth!E37="", "",Fifth!E37)</f>
        <v/>
      </c>
      <c r="F1034" s="66" t="str">
        <f>IF(Fifth!F37="", "",Fifth!F37)</f>
        <v/>
      </c>
      <c r="G1034" s="66" t="str">
        <f>IF(Fifth!G37="", "",Fifth!G37)</f>
        <v/>
      </c>
      <c r="H1034" s="66" t="str">
        <f>IF(Fifth!H37="", "",Fifth!H37)</f>
        <v>Outreach</v>
      </c>
      <c r="I1034" s="66" t="str">
        <f>IF(Fifth!I37="", "",Fifth!I37)</f>
        <v/>
      </c>
      <c r="J1034" s="66" t="str">
        <f>IF(Fifth!J37="", "",Fifth!J37)</f>
        <v/>
      </c>
      <c r="K1034" s="86" t="str">
        <f>IF(Fifth!K37="", "",Fifth!K37)</f>
        <v/>
      </c>
      <c r="M1034" s="67" t="str">
        <f t="shared" si="50"/>
        <v/>
      </c>
      <c r="N1034" s="76" t="str">
        <f t="shared" si="51"/>
        <v/>
      </c>
      <c r="O1034" s="33">
        <f t="shared" si="49"/>
        <v>0</v>
      </c>
    </row>
    <row r="1035" spans="1:15" x14ac:dyDescent="0.25">
      <c r="A1035" s="64" t="s">
        <v>224</v>
      </c>
      <c r="B1035" s="79" t="str">
        <f>IF(Fifth!B38="", "",Fifth!B38)</f>
        <v>CSS</v>
      </c>
      <c r="C1035" s="66" t="str">
        <f>IF(Fifth!C38="", "",Fifth!C38)</f>
        <v>Other Visitor</v>
      </c>
      <c r="D1035" s="66" t="str">
        <f>IF(Fifth!D38="", "",Fifth!D38)</f>
        <v/>
      </c>
      <c r="E1035" s="66" t="str">
        <f>IF(Fifth!E38="", "",Fifth!E38)</f>
        <v/>
      </c>
      <c r="F1035" s="66" t="str">
        <f>IF(Fifth!F38="", "",Fifth!F38)</f>
        <v/>
      </c>
      <c r="G1035" s="66" t="str">
        <f>IF(Fifth!G38="", "",Fifth!G38)</f>
        <v/>
      </c>
      <c r="H1035" s="66" t="str">
        <f>IF(Fifth!H38="", "",Fifth!H38)</f>
        <v>Outreach</v>
      </c>
      <c r="I1035" s="66" t="str">
        <f>IF(Fifth!I38="", "",Fifth!I38)</f>
        <v/>
      </c>
      <c r="J1035" s="66" t="str">
        <f>IF(Fifth!J38="", "",Fifth!J38)</f>
        <v/>
      </c>
      <c r="K1035" s="86" t="str">
        <f>IF(Fifth!K38="", "",Fifth!K38)</f>
        <v/>
      </c>
      <c r="M1035" s="67" t="str">
        <f t="shared" si="50"/>
        <v/>
      </c>
      <c r="N1035" s="76" t="str">
        <f t="shared" si="51"/>
        <v/>
      </c>
      <c r="O1035" s="33">
        <f t="shared" si="49"/>
        <v>0</v>
      </c>
    </row>
    <row r="1036" spans="1:15" x14ac:dyDescent="0.25">
      <c r="A1036" s="64" t="s">
        <v>224</v>
      </c>
      <c r="B1036" s="79" t="str">
        <f>IF(Fifth!B39="", "",Fifth!B39)</f>
        <v>CSS</v>
      </c>
      <c r="C1036" s="66" t="str">
        <f>IF(Fifth!C39="", "",Fifth!C39)</f>
        <v>Other Visitor</v>
      </c>
      <c r="D1036" s="66" t="str">
        <f>IF(Fifth!D39="", "",Fifth!D39)</f>
        <v/>
      </c>
      <c r="E1036" s="66" t="str">
        <f>IF(Fifth!E39="", "",Fifth!E39)</f>
        <v/>
      </c>
      <c r="F1036" s="66" t="str">
        <f>IF(Fifth!F39="", "",Fifth!F39)</f>
        <v/>
      </c>
      <c r="G1036" s="66" t="str">
        <f>IF(Fifth!G39="", "",Fifth!G39)</f>
        <v/>
      </c>
      <c r="H1036" s="66" t="str">
        <f>IF(Fifth!H39="", "",Fifth!H39)</f>
        <v>Outreach</v>
      </c>
      <c r="I1036" s="66" t="str">
        <f>IF(Fifth!I39="", "",Fifth!I39)</f>
        <v/>
      </c>
      <c r="J1036" s="66" t="str">
        <f>IF(Fifth!J39="", "",Fifth!J39)</f>
        <v/>
      </c>
      <c r="K1036" s="86" t="str">
        <f>IF(Fifth!K39="", "",Fifth!K39)</f>
        <v/>
      </c>
      <c r="M1036" s="67" t="str">
        <f t="shared" si="50"/>
        <v/>
      </c>
      <c r="N1036" s="76" t="str">
        <f t="shared" si="51"/>
        <v/>
      </c>
      <c r="O1036" s="33">
        <f t="shared" si="49"/>
        <v>0</v>
      </c>
    </row>
    <row r="1037" spans="1:15" x14ac:dyDescent="0.25">
      <c r="A1037" s="64" t="s">
        <v>224</v>
      </c>
      <c r="B1037" s="79" t="str">
        <f>IF(Fifth!B40="", "",Fifth!B40)</f>
        <v>CSS</v>
      </c>
      <c r="C1037" s="66" t="str">
        <f>IF(Fifth!C40="", "",Fifth!C40)</f>
        <v>Other Visitor</v>
      </c>
      <c r="D1037" s="66" t="str">
        <f>IF(Fifth!D40="", "",Fifth!D40)</f>
        <v/>
      </c>
      <c r="E1037" s="66" t="str">
        <f>IF(Fifth!E40="", "",Fifth!E40)</f>
        <v/>
      </c>
      <c r="F1037" s="66" t="str">
        <f>IF(Fifth!F40="", "",Fifth!F40)</f>
        <v/>
      </c>
      <c r="G1037" s="66" t="str">
        <f>IF(Fifth!G40="", "",Fifth!G40)</f>
        <v/>
      </c>
      <c r="H1037" s="66" t="str">
        <f>IF(Fifth!H40="", "",Fifth!H40)</f>
        <v>Outreach</v>
      </c>
      <c r="I1037" s="66" t="str">
        <f>IF(Fifth!I40="", "",Fifth!I40)</f>
        <v/>
      </c>
      <c r="J1037" s="66" t="str">
        <f>IF(Fifth!J40="", "",Fifth!J40)</f>
        <v/>
      </c>
      <c r="K1037" s="86" t="str">
        <f>IF(Fifth!K40="", "",Fifth!K40)</f>
        <v/>
      </c>
      <c r="M1037" s="67" t="str">
        <f t="shared" si="50"/>
        <v/>
      </c>
      <c r="N1037" s="76" t="str">
        <f t="shared" si="51"/>
        <v/>
      </c>
      <c r="O1037" s="33">
        <f t="shared" si="49"/>
        <v>0</v>
      </c>
    </row>
    <row r="1038" spans="1:15" x14ac:dyDescent="0.25">
      <c r="A1038" s="64" t="s">
        <v>224</v>
      </c>
      <c r="B1038" s="79" t="str">
        <f>IF(Fifth!B41="", "",Fifth!B41)</f>
        <v>CSS</v>
      </c>
      <c r="C1038" s="66" t="str">
        <f>IF(Fifth!C41="", "",Fifth!C41)</f>
        <v>Other Visitor</v>
      </c>
      <c r="D1038" s="66" t="str">
        <f>IF(Fifth!D41="", "",Fifth!D41)</f>
        <v/>
      </c>
      <c r="E1038" s="66" t="str">
        <f>IF(Fifth!E41="", "",Fifth!E41)</f>
        <v/>
      </c>
      <c r="F1038" s="66" t="str">
        <f>IF(Fifth!F41="", "",Fifth!F41)</f>
        <v/>
      </c>
      <c r="G1038" s="66" t="str">
        <f>IF(Fifth!G41="", "",Fifth!G41)</f>
        <v/>
      </c>
      <c r="H1038" s="66" t="str">
        <f>IF(Fifth!H41="", "",Fifth!H41)</f>
        <v>Outreach</v>
      </c>
      <c r="I1038" s="66" t="str">
        <f>IF(Fifth!I41="", "",Fifth!I41)</f>
        <v/>
      </c>
      <c r="J1038" s="66" t="str">
        <f>IF(Fifth!J41="", "",Fifth!J41)</f>
        <v/>
      </c>
      <c r="K1038" s="86" t="str">
        <f>IF(Fifth!K41="", "",Fifth!K41)</f>
        <v/>
      </c>
      <c r="M1038" s="67" t="str">
        <f t="shared" si="50"/>
        <v/>
      </c>
      <c r="N1038" s="76" t="str">
        <f t="shared" si="51"/>
        <v/>
      </c>
      <c r="O1038" s="33">
        <f t="shared" si="49"/>
        <v>0</v>
      </c>
    </row>
    <row r="1039" spans="1:15" x14ac:dyDescent="0.25">
      <c r="A1039" s="64" t="s">
        <v>224</v>
      </c>
      <c r="B1039" s="79" t="str">
        <f>IF(Fifth!B42="", "",Fifth!B42)</f>
        <v>CSS</v>
      </c>
      <c r="C1039" s="66" t="str">
        <f>IF(Fifth!C42="", "",Fifth!C42)</f>
        <v>Other Visitor</v>
      </c>
      <c r="D1039" s="66" t="str">
        <f>IF(Fifth!D42="", "",Fifth!D42)</f>
        <v/>
      </c>
      <c r="E1039" s="66" t="str">
        <f>IF(Fifth!E42="", "",Fifth!E42)</f>
        <v/>
      </c>
      <c r="F1039" s="66" t="str">
        <f>IF(Fifth!F42="", "",Fifth!F42)</f>
        <v/>
      </c>
      <c r="G1039" s="66" t="str">
        <f>IF(Fifth!G42="", "",Fifth!G42)</f>
        <v/>
      </c>
      <c r="H1039" s="66" t="str">
        <f>IF(Fifth!H42="", "",Fifth!H42)</f>
        <v>Outreach</v>
      </c>
      <c r="I1039" s="66" t="str">
        <f>IF(Fifth!I42="", "",Fifth!I42)</f>
        <v/>
      </c>
      <c r="J1039" s="66" t="str">
        <f>IF(Fifth!J42="", "",Fifth!J42)</f>
        <v/>
      </c>
      <c r="K1039" s="86" t="str">
        <f>IF(Fifth!K42="", "",Fifth!K42)</f>
        <v/>
      </c>
      <c r="M1039" s="67" t="str">
        <f t="shared" si="50"/>
        <v/>
      </c>
      <c r="N1039" s="76" t="str">
        <f t="shared" si="51"/>
        <v/>
      </c>
      <c r="O1039" s="33">
        <f t="shared" si="49"/>
        <v>0</v>
      </c>
    </row>
    <row r="1040" spans="1:15" x14ac:dyDescent="0.25">
      <c r="A1040" s="64" t="s">
        <v>224</v>
      </c>
      <c r="B1040" s="79" t="str">
        <f>IF(Fifth!B43="", "",Fifth!B43)</f>
        <v>CSS</v>
      </c>
      <c r="C1040" s="66" t="str">
        <f>IF(Fifth!C43="", "",Fifth!C43)</f>
        <v>Other Visitor</v>
      </c>
      <c r="D1040" s="66" t="str">
        <f>IF(Fifth!D43="", "",Fifth!D43)</f>
        <v/>
      </c>
      <c r="E1040" s="66" t="str">
        <f>IF(Fifth!E43="", "",Fifth!E43)</f>
        <v/>
      </c>
      <c r="F1040" s="66" t="str">
        <f>IF(Fifth!F43="", "",Fifth!F43)</f>
        <v/>
      </c>
      <c r="G1040" s="66" t="str">
        <f>IF(Fifth!G43="", "",Fifth!G43)</f>
        <v/>
      </c>
      <c r="H1040" s="66" t="str">
        <f>IF(Fifth!H43="", "",Fifth!H43)</f>
        <v>Outreach</v>
      </c>
      <c r="I1040" s="66" t="str">
        <f>IF(Fifth!I43="", "",Fifth!I43)</f>
        <v/>
      </c>
      <c r="J1040" s="66" t="str">
        <f>IF(Fifth!J43="", "",Fifth!J43)</f>
        <v/>
      </c>
      <c r="K1040" s="86" t="str">
        <f>IF(Fifth!K43="", "",Fifth!K43)</f>
        <v/>
      </c>
      <c r="M1040" s="67" t="str">
        <f t="shared" si="50"/>
        <v/>
      </c>
      <c r="N1040" s="76" t="str">
        <f t="shared" si="51"/>
        <v/>
      </c>
      <c r="O1040" s="33">
        <f t="shared" si="49"/>
        <v>0</v>
      </c>
    </row>
    <row r="1041" spans="1:15" x14ac:dyDescent="0.25">
      <c r="A1041" s="64" t="s">
        <v>224</v>
      </c>
      <c r="B1041" s="79" t="str">
        <f>IF(Fifth!B44="", "",Fifth!B44)</f>
        <v>CSS</v>
      </c>
      <c r="C1041" s="66" t="str">
        <f>IF(Fifth!C44="", "",Fifth!C44)</f>
        <v>Other Visitor</v>
      </c>
      <c r="D1041" s="66" t="str">
        <f>IF(Fifth!D44="", "",Fifth!D44)</f>
        <v/>
      </c>
      <c r="E1041" s="66" t="str">
        <f>IF(Fifth!E44="", "",Fifth!E44)</f>
        <v/>
      </c>
      <c r="F1041" s="66" t="str">
        <f>IF(Fifth!F44="", "",Fifth!F44)</f>
        <v/>
      </c>
      <c r="G1041" s="66" t="str">
        <f>IF(Fifth!G44="", "",Fifth!G44)</f>
        <v/>
      </c>
      <c r="H1041" s="66" t="str">
        <f>IF(Fifth!H44="", "",Fifth!H44)</f>
        <v>Outreach</v>
      </c>
      <c r="I1041" s="66" t="str">
        <f>IF(Fifth!I44="", "",Fifth!I44)</f>
        <v/>
      </c>
      <c r="J1041" s="66" t="str">
        <f>IF(Fifth!J44="", "",Fifth!J44)</f>
        <v/>
      </c>
      <c r="K1041" s="86" t="str">
        <f>IF(Fifth!K44="", "",Fifth!K44)</f>
        <v/>
      </c>
      <c r="M1041" s="67" t="str">
        <f t="shared" si="50"/>
        <v/>
      </c>
      <c r="N1041" s="76" t="str">
        <f t="shared" si="51"/>
        <v/>
      </c>
      <c r="O1041" s="33">
        <f t="shared" si="49"/>
        <v>0</v>
      </c>
    </row>
    <row r="1042" spans="1:15" x14ac:dyDescent="0.25">
      <c r="A1042" s="64" t="s">
        <v>224</v>
      </c>
      <c r="B1042" s="79" t="str">
        <f>IF(Fifth!B45="", "",Fifth!B45)</f>
        <v>CSS</v>
      </c>
      <c r="C1042" s="66" t="str">
        <f>IF(Fifth!C45="", "",Fifth!C45)</f>
        <v>PwC</v>
      </c>
      <c r="D1042" s="66" t="str">
        <f>IF(Fifth!D45="", "",Fifth!D45)</f>
        <v>New</v>
      </c>
      <c r="E1042" s="66" t="str">
        <f>IF(Fifth!E45="", "",Fifth!E45)</f>
        <v>Male</v>
      </c>
      <c r="F1042" s="66" t="str">
        <f>IF(Fifth!F45="", "",Fifth!F45)</f>
        <v>Testicular</v>
      </c>
      <c r="G1042" s="66" t="str">
        <f>IF(Fifth!G45="", "",Fifth!G45)</f>
        <v>Post Treatment - Curative Intent</v>
      </c>
      <c r="H1042" s="66" t="str">
        <f>IF(Fifth!H45="", "",Fifth!H45)</f>
        <v>Drop-In</v>
      </c>
      <c r="I1042" s="66" t="str">
        <f>IF(Fifth!I45="", "",Fifth!I45)</f>
        <v/>
      </c>
      <c r="J1042" s="66" t="str">
        <f>IF(Fifth!J45="", "",Fifth!J45)</f>
        <v/>
      </c>
      <c r="K1042" s="86" t="str">
        <f>IF(Fifth!K45="", "",Fifth!K45)</f>
        <v/>
      </c>
      <c r="M1042" s="67">
        <f t="shared" si="50"/>
        <v>7</v>
      </c>
      <c r="N1042" s="76" t="str">
        <f t="shared" si="51"/>
        <v/>
      </c>
      <c r="O1042" s="33">
        <f t="shared" si="49"/>
        <v>7</v>
      </c>
    </row>
    <row r="1043" spans="1:15" x14ac:dyDescent="0.25">
      <c r="A1043" s="64" t="s">
        <v>224</v>
      </c>
      <c r="B1043" s="79" t="str">
        <f>IF(Fifth!B46="", "",Fifth!B46)</f>
        <v>CSS</v>
      </c>
      <c r="C1043" s="66" t="str">
        <f>IF(Fifth!C46="", "",Fifth!C46)</f>
        <v>Carer</v>
      </c>
      <c r="D1043" s="66" t="str">
        <f>IF(Fifth!D46="", "",Fifth!D46)</f>
        <v>New</v>
      </c>
      <c r="E1043" s="66" t="str">
        <f>IF(Fifth!E46="", "",Fifth!E46)</f>
        <v>Female</v>
      </c>
      <c r="F1043" s="66" t="str">
        <f>IF(Fifth!F46="", "",Fifth!F46)</f>
        <v>Upper GI</v>
      </c>
      <c r="G1043" s="66" t="str">
        <f>IF(Fifth!G46="", "",Fifth!G46)</f>
        <v>Non-Curative Intent</v>
      </c>
      <c r="H1043" s="66" t="str">
        <f>IF(Fifth!H46="", "",Fifth!H46)</f>
        <v>Drop-In</v>
      </c>
      <c r="I1043" s="66" t="str">
        <f>IF(Fifth!I46="", "",Fifth!I46)</f>
        <v/>
      </c>
      <c r="J1043" s="66" t="str">
        <f>IF(Fifth!J46="", "",Fifth!J46)</f>
        <v/>
      </c>
      <c r="K1043" s="86" t="str">
        <f>IF(Fifth!K46="", "",Fifth!K46)</f>
        <v/>
      </c>
      <c r="M1043" s="67" t="str">
        <f t="shared" si="50"/>
        <v/>
      </c>
      <c r="N1043" s="76">
        <f t="shared" si="51"/>
        <v>7</v>
      </c>
      <c r="O1043" s="33">
        <f t="shared" si="49"/>
        <v>7</v>
      </c>
    </row>
    <row r="1044" spans="1:15" x14ac:dyDescent="0.25">
      <c r="A1044" s="64" t="s">
        <v>224</v>
      </c>
      <c r="B1044" s="79" t="str">
        <f>IF(Fifth!B47="", "",Fifth!B47)</f>
        <v>CSS</v>
      </c>
      <c r="C1044" s="66" t="str">
        <f>IF(Fifth!C47="", "",Fifth!C47)</f>
        <v>Carer</v>
      </c>
      <c r="D1044" s="66" t="str">
        <f>IF(Fifth!D47="", "",Fifth!D47)</f>
        <v>New</v>
      </c>
      <c r="E1044" s="66" t="str">
        <f>IF(Fifth!E47="", "",Fifth!E47)</f>
        <v>Male</v>
      </c>
      <c r="F1044" s="66" t="str">
        <f>IF(Fifth!F47="", "",Fifth!F47)</f>
        <v>Upper GI</v>
      </c>
      <c r="G1044" s="66" t="str">
        <f>IF(Fifth!G47="", "",Fifth!G47)</f>
        <v>Non-Curative Intent</v>
      </c>
      <c r="H1044" s="66" t="str">
        <f>IF(Fifth!H47="", "",Fifth!H47)</f>
        <v>Drop-In</v>
      </c>
      <c r="I1044" s="66" t="str">
        <f>IF(Fifth!I47="", "",Fifth!I47)</f>
        <v/>
      </c>
      <c r="J1044" s="66" t="str">
        <f>IF(Fifth!J47="", "",Fifth!J47)</f>
        <v/>
      </c>
      <c r="K1044" s="86" t="str">
        <f>IF(Fifth!K47="", "",Fifth!K47)</f>
        <v/>
      </c>
      <c r="M1044" s="67" t="str">
        <f t="shared" si="50"/>
        <v/>
      </c>
      <c r="N1044" s="76">
        <f t="shared" si="51"/>
        <v>7</v>
      </c>
      <c r="O1044" s="33">
        <f t="shared" si="49"/>
        <v>7</v>
      </c>
    </row>
    <row r="1045" spans="1:15" x14ac:dyDescent="0.25">
      <c r="A1045" s="64" t="s">
        <v>224</v>
      </c>
      <c r="B1045" s="79" t="str">
        <f>IF(Fifth!B48="", "",Fifth!B48)</f>
        <v>CSS</v>
      </c>
      <c r="C1045" s="66" t="str">
        <f>IF(Fifth!C48="", "",Fifth!C48)</f>
        <v>PwC</v>
      </c>
      <c r="D1045" s="66" t="str">
        <f>IF(Fifth!D48="", "",Fifth!D48)</f>
        <v>Returning</v>
      </c>
      <c r="E1045" s="66" t="str">
        <f>IF(Fifth!E48="", "",Fifth!E48)</f>
        <v>Female</v>
      </c>
      <c r="F1045" s="66" t="str">
        <f>IF(Fifth!F48="", "",Fifth!F48)</f>
        <v>Breast</v>
      </c>
      <c r="G1045" s="66" t="str">
        <f>IF(Fifth!G48="", "",Fifth!G48)</f>
        <v>Post Treatment - Curative Intent</v>
      </c>
      <c r="H1045" s="66" t="str">
        <f>IF(Fifth!H48="", "",Fifth!H48)</f>
        <v>Drop-In</v>
      </c>
      <c r="I1045" s="66" t="str">
        <f>IF(Fifth!I48="", "",Fifth!I48)</f>
        <v/>
      </c>
      <c r="J1045" s="66" t="str">
        <f>IF(Fifth!J48="", "",Fifth!J48)</f>
        <v/>
      </c>
      <c r="K1045" s="86" t="str">
        <f>IF(Fifth!K48="", "",Fifth!K48)</f>
        <v/>
      </c>
      <c r="M1045" s="67">
        <f t="shared" si="50"/>
        <v>7</v>
      </c>
      <c r="N1045" s="76" t="str">
        <f t="shared" si="51"/>
        <v/>
      </c>
      <c r="O1045" s="33">
        <f t="shared" si="49"/>
        <v>7</v>
      </c>
    </row>
    <row r="1046" spans="1:15" x14ac:dyDescent="0.25">
      <c r="A1046" s="64" t="s">
        <v>224</v>
      </c>
      <c r="B1046" s="79" t="str">
        <f>IF(Fifth!B49="", "",Fifth!B49)</f>
        <v>CSS</v>
      </c>
      <c r="C1046" s="66" t="str">
        <f>IF(Fifth!C49="", "",Fifth!C49)</f>
        <v>PwC</v>
      </c>
      <c r="D1046" s="66" t="str">
        <f>IF(Fifth!D49="", "",Fifth!D49)</f>
        <v>New</v>
      </c>
      <c r="E1046" s="66" t="str">
        <f>IF(Fifth!E49="", "",Fifth!E49)</f>
        <v>Female</v>
      </c>
      <c r="F1046" s="66" t="str">
        <f>IF(Fifth!F49="", "",Fifth!F49)</f>
        <v>Lower GI</v>
      </c>
      <c r="G1046" s="66" t="str">
        <f>IF(Fifth!G49="", "",Fifth!G49)</f>
        <v>Non-Curative Intent</v>
      </c>
      <c r="H1046" s="66" t="str">
        <f>IF(Fifth!H49="", "",Fifth!H49)</f>
        <v>Drop-In</v>
      </c>
      <c r="I1046" s="66" t="str">
        <f>IF(Fifth!I49="", "",Fifth!I49)</f>
        <v/>
      </c>
      <c r="J1046" s="66" t="str">
        <f>IF(Fifth!J49="", "",Fifth!J49)</f>
        <v/>
      </c>
      <c r="K1046" s="86" t="str">
        <f>IF(Fifth!K49="", "",Fifth!K49)</f>
        <v/>
      </c>
      <c r="M1046" s="67">
        <f t="shared" si="50"/>
        <v>7</v>
      </c>
      <c r="N1046" s="76" t="str">
        <f t="shared" si="51"/>
        <v/>
      </c>
      <c r="O1046" s="33">
        <f t="shared" si="49"/>
        <v>7</v>
      </c>
    </row>
    <row r="1047" spans="1:15" x14ac:dyDescent="0.25">
      <c r="A1047" s="64" t="s">
        <v>224</v>
      </c>
      <c r="B1047" s="79" t="str">
        <f>IF(Fifth!B50="", "",Fifth!B50)</f>
        <v>CSS</v>
      </c>
      <c r="C1047" s="66" t="str">
        <f>IF(Fifth!C50="", "",Fifth!C50)</f>
        <v>Carer</v>
      </c>
      <c r="D1047" s="66" t="str">
        <f>IF(Fifth!D50="", "",Fifth!D50)</f>
        <v>New</v>
      </c>
      <c r="E1047" s="66" t="str">
        <f>IF(Fifth!E50="", "",Fifth!E50)</f>
        <v>Female</v>
      </c>
      <c r="F1047" s="66" t="str">
        <f>IF(Fifth!F50="", "",Fifth!F50)</f>
        <v>Lower GI</v>
      </c>
      <c r="G1047" s="66" t="str">
        <f>IF(Fifth!G50="", "",Fifth!G50)</f>
        <v>Non-Curative Intent</v>
      </c>
      <c r="H1047" s="66" t="str">
        <f>IF(Fifth!H50="", "",Fifth!H50)</f>
        <v>Drop-In</v>
      </c>
      <c r="I1047" s="66" t="str">
        <f>IF(Fifth!I50="", "",Fifth!I50)</f>
        <v/>
      </c>
      <c r="J1047" s="66" t="str">
        <f>IF(Fifth!J50="", "",Fifth!J50)</f>
        <v/>
      </c>
      <c r="K1047" s="86" t="str">
        <f>IF(Fifth!K50="", "",Fifth!K50)</f>
        <v/>
      </c>
      <c r="M1047" s="67" t="str">
        <f t="shared" si="50"/>
        <v/>
      </c>
      <c r="N1047" s="76">
        <f t="shared" si="51"/>
        <v>7</v>
      </c>
      <c r="O1047" s="33">
        <f t="shared" si="49"/>
        <v>7</v>
      </c>
    </row>
    <row r="1048" spans="1:15" x14ac:dyDescent="0.25">
      <c r="A1048" s="64" t="s">
        <v>224</v>
      </c>
      <c r="B1048" s="79" t="str">
        <f>IF(Fifth!B51="", "",Fifth!B51)</f>
        <v>CSS</v>
      </c>
      <c r="C1048" s="66" t="str">
        <f>IF(Fifth!C51="", "",Fifth!C51)</f>
        <v>Carer</v>
      </c>
      <c r="D1048" s="66" t="str">
        <f>IF(Fifth!D51="", "",Fifth!D51)</f>
        <v>Returning</v>
      </c>
      <c r="E1048" s="66" t="str">
        <f>IF(Fifth!E51="", "",Fifth!E51)</f>
        <v>Female</v>
      </c>
      <c r="F1048" s="66" t="str">
        <f>IF(Fifth!F51="", "",Fifth!F51)</f>
        <v>Breast</v>
      </c>
      <c r="G1048" s="66" t="str">
        <f>IF(Fifth!G51="", "",Fifth!G51)</f>
        <v>Non-Curative Intent</v>
      </c>
      <c r="H1048" s="66" t="str">
        <f>IF(Fifth!H51="", "",Fifth!H51)</f>
        <v>Booked</v>
      </c>
      <c r="I1048" s="66" t="str">
        <f>IF(Fifth!I51="", "",Fifth!I51)</f>
        <v>Psych Support - Individual</v>
      </c>
      <c r="J1048" s="66" t="str">
        <f>IF(Fifth!J51="", "",Fifth!J51)</f>
        <v/>
      </c>
      <c r="K1048" s="86" t="str">
        <f>IF(Fifth!K51="", "",Fifth!K51)</f>
        <v/>
      </c>
      <c r="M1048" s="67" t="str">
        <f t="shared" si="50"/>
        <v/>
      </c>
      <c r="N1048" s="76">
        <f t="shared" si="51"/>
        <v>7</v>
      </c>
      <c r="O1048" s="33">
        <f t="shared" si="49"/>
        <v>7</v>
      </c>
    </row>
    <row r="1049" spans="1:15" x14ac:dyDescent="0.25">
      <c r="A1049" s="64" t="s">
        <v>224</v>
      </c>
      <c r="B1049" s="79" t="str">
        <f>IF(Fifth!B52="", "",Fifth!B52)</f>
        <v>CSS</v>
      </c>
      <c r="C1049" s="66" t="str">
        <f>IF(Fifth!C52="", "",Fifth!C52)</f>
        <v>PwC</v>
      </c>
      <c r="D1049" s="66" t="str">
        <f>IF(Fifth!D52="", "",Fifth!D52)</f>
        <v>Returning</v>
      </c>
      <c r="E1049" s="66" t="str">
        <f>IF(Fifth!E52="", "",Fifth!E52)</f>
        <v>Male</v>
      </c>
      <c r="F1049" s="66" t="str">
        <f>IF(Fifth!F52="", "",Fifth!F52)</f>
        <v>Brain/CNS</v>
      </c>
      <c r="G1049" s="66" t="str">
        <f>IF(Fifth!G52="", "",Fifth!G52)</f>
        <v>Curative Intent</v>
      </c>
      <c r="H1049" s="66" t="str">
        <f>IF(Fifth!H52="", "",Fifth!H52)</f>
        <v>Drop-In</v>
      </c>
      <c r="I1049" s="66" t="str">
        <f>IF(Fifth!I52="", "",Fifth!I52)</f>
        <v/>
      </c>
      <c r="J1049" s="66" t="str">
        <f>IF(Fifth!J52="", "",Fifth!J52)</f>
        <v/>
      </c>
      <c r="K1049" s="86" t="str">
        <f>IF(Fifth!K52="", "",Fifth!K52)</f>
        <v/>
      </c>
      <c r="M1049" s="67">
        <f t="shared" si="50"/>
        <v>7</v>
      </c>
      <c r="N1049" s="76" t="str">
        <f t="shared" si="51"/>
        <v/>
      </c>
      <c r="O1049" s="33">
        <f t="shared" si="49"/>
        <v>7</v>
      </c>
    </row>
    <row r="1050" spans="1:15" x14ac:dyDescent="0.25">
      <c r="A1050" s="64" t="s">
        <v>224</v>
      </c>
      <c r="B1050" s="79" t="str">
        <f>IF(Fifth!B53="", "",Fifth!B53)</f>
        <v>CSS</v>
      </c>
      <c r="C1050" s="66" t="str">
        <f>IF(Fifth!C53="", "",Fifth!C53)</f>
        <v>PwC</v>
      </c>
      <c r="D1050" s="66" t="str">
        <f>IF(Fifth!D53="", "",Fifth!D53)</f>
        <v>Returning</v>
      </c>
      <c r="E1050" s="66" t="str">
        <f>IF(Fifth!E53="", "",Fifth!E53)</f>
        <v>Female</v>
      </c>
      <c r="F1050" s="66" t="str">
        <f>IF(Fifth!F53="", "",Fifth!F53)</f>
        <v>Skin/Mel</v>
      </c>
      <c r="G1050" s="66" t="str">
        <f>IF(Fifth!G53="", "",Fifth!G53)</f>
        <v>Curative Intent</v>
      </c>
      <c r="H1050" s="66" t="str">
        <f>IF(Fifth!H53="", "",Fifth!H53)</f>
        <v>Booked</v>
      </c>
      <c r="I1050" s="66" t="str">
        <f>IF(Fifth!I53="", "",Fifth!I53)</f>
        <v>Psych Support - Individual</v>
      </c>
      <c r="J1050" s="66" t="str">
        <f>IF(Fifth!J53="", "",Fifth!J53)</f>
        <v/>
      </c>
      <c r="K1050" s="86" t="str">
        <f>IF(Fifth!K53="", "",Fifth!K53)</f>
        <v/>
      </c>
      <c r="M1050" s="67">
        <f t="shared" si="50"/>
        <v>7</v>
      </c>
      <c r="N1050" s="76" t="str">
        <f t="shared" si="51"/>
        <v/>
      </c>
      <c r="O1050" s="33">
        <f t="shared" si="49"/>
        <v>7</v>
      </c>
    </row>
    <row r="1051" spans="1:15" x14ac:dyDescent="0.25">
      <c r="A1051" s="64" t="s">
        <v>224</v>
      </c>
      <c r="B1051" s="79" t="str">
        <f>IF(Fifth!B54="", "",Fifth!B54)</f>
        <v>Psychologist</v>
      </c>
      <c r="C1051" s="66" t="str">
        <f>IF(Fifth!C54="", "",Fifth!C54)</f>
        <v>PwC</v>
      </c>
      <c r="D1051" s="66" t="str">
        <f>IF(Fifth!D54="", "",Fifth!D54)</f>
        <v>Returning</v>
      </c>
      <c r="E1051" s="66" t="str">
        <f>IF(Fifth!E54="", "",Fifth!E54)</f>
        <v>Female</v>
      </c>
      <c r="F1051" s="66" t="str">
        <f>IF(Fifth!F54="", "",Fifth!F54)</f>
        <v>Haemat</v>
      </c>
      <c r="G1051" s="66" t="str">
        <f>IF(Fifth!G54="", "",Fifth!G54)</f>
        <v>Non-Curative Intent</v>
      </c>
      <c r="H1051" s="66" t="str">
        <f>IF(Fifth!H54="", "",Fifth!H54)</f>
        <v>Booked</v>
      </c>
      <c r="I1051" s="66" t="str">
        <f>IF(Fifth!I54="", "",Fifth!I54)</f>
        <v>Psych Support - Individual</v>
      </c>
      <c r="J1051" s="66" t="str">
        <f>IF(Fifth!J54="", "",Fifth!J54)</f>
        <v/>
      </c>
      <c r="K1051" s="86" t="str">
        <f>IF(Fifth!K54="", "",Fifth!K54)</f>
        <v/>
      </c>
      <c r="M1051" s="67">
        <f t="shared" si="50"/>
        <v>7</v>
      </c>
      <c r="N1051" s="76" t="str">
        <f t="shared" si="51"/>
        <v/>
      </c>
      <c r="O1051" s="33">
        <f t="shared" si="49"/>
        <v>7</v>
      </c>
    </row>
    <row r="1052" spans="1:15" x14ac:dyDescent="0.25">
      <c r="A1052" s="64" t="s">
        <v>224</v>
      </c>
      <c r="B1052" s="79" t="str">
        <f>IF(Fifth!B55="", "",Fifth!B55)</f>
        <v>Psychologist</v>
      </c>
      <c r="C1052" s="66" t="str">
        <f>IF(Fifth!C55="", "",Fifth!C55)</f>
        <v>Carer</v>
      </c>
      <c r="D1052" s="66" t="str">
        <f>IF(Fifth!D55="", "",Fifth!D55)</f>
        <v>Returning</v>
      </c>
      <c r="E1052" s="66" t="str">
        <f>IF(Fifth!E55="", "",Fifth!E55)</f>
        <v>Female</v>
      </c>
      <c r="F1052" s="66" t="str">
        <f>IF(Fifth!F55="", "",Fifth!F55)</f>
        <v>Lung</v>
      </c>
      <c r="G1052" s="66" t="str">
        <f>IF(Fifth!G55="", "",Fifth!G55)</f>
        <v>Non-Curative Intent</v>
      </c>
      <c r="H1052" s="66" t="str">
        <f>IF(Fifth!H55="", "",Fifth!H55)</f>
        <v>Booked</v>
      </c>
      <c r="I1052" s="66" t="str">
        <f>IF(Fifth!I55="", "",Fifth!I55)</f>
        <v>Psych Support - Individual</v>
      </c>
      <c r="J1052" s="66" t="str">
        <f>IF(Fifth!J55="", "",Fifth!J55)</f>
        <v/>
      </c>
      <c r="K1052" s="86" t="str">
        <f>IF(Fifth!K55="", "",Fifth!K55)</f>
        <v/>
      </c>
      <c r="M1052" s="67" t="str">
        <f t="shared" si="50"/>
        <v/>
      </c>
      <c r="N1052" s="76">
        <f t="shared" si="51"/>
        <v>7</v>
      </c>
      <c r="O1052" s="33">
        <f t="shared" si="49"/>
        <v>7</v>
      </c>
    </row>
    <row r="1053" spans="1:15" x14ac:dyDescent="0.25">
      <c r="A1053" s="64" t="s">
        <v>224</v>
      </c>
      <c r="B1053" s="79" t="str">
        <f>IF(Fifth!B56="", "",Fifth!B56)</f>
        <v>Psychologist</v>
      </c>
      <c r="C1053" s="66" t="str">
        <f>IF(Fifth!C56="", "",Fifth!C56)</f>
        <v>PwC</v>
      </c>
      <c r="D1053" s="66" t="str">
        <f>IF(Fifth!D56="", "",Fifth!D56)</f>
        <v>Returning</v>
      </c>
      <c r="E1053" s="66" t="str">
        <f>IF(Fifth!E56="", "",Fifth!E56)</f>
        <v>Female</v>
      </c>
      <c r="F1053" s="66" t="str">
        <f>IF(Fifth!F56="", "",Fifth!F56)</f>
        <v>Breast</v>
      </c>
      <c r="G1053" s="66" t="str">
        <f>IF(Fifth!G56="", "",Fifth!G56)</f>
        <v>Post Treatment - Curative Intent</v>
      </c>
      <c r="H1053" s="66" t="str">
        <f>IF(Fifth!H56="", "",Fifth!H56)</f>
        <v>Booked</v>
      </c>
      <c r="I1053" s="66" t="str">
        <f>IF(Fifth!I56="", "",Fifth!I56)</f>
        <v>Psych Support - Individual</v>
      </c>
      <c r="J1053" s="66" t="str">
        <f>IF(Fifth!J56="", "",Fifth!J56)</f>
        <v/>
      </c>
      <c r="K1053" s="86" t="str">
        <f>IF(Fifth!K56="", "",Fifth!K56)</f>
        <v/>
      </c>
      <c r="M1053" s="67">
        <f t="shared" si="50"/>
        <v>7</v>
      </c>
      <c r="N1053" s="76" t="str">
        <f t="shared" si="51"/>
        <v/>
      </c>
      <c r="O1053" s="33">
        <f t="shared" si="49"/>
        <v>7</v>
      </c>
    </row>
    <row r="1054" spans="1:15" x14ac:dyDescent="0.25">
      <c r="A1054" s="64" t="s">
        <v>224</v>
      </c>
      <c r="B1054" s="79" t="str">
        <f>IF(Fifth!B57="", "",Fifth!B57)</f>
        <v>Psychologist</v>
      </c>
      <c r="C1054" s="66" t="str">
        <f>IF(Fifth!C57="", "",Fifth!C57)</f>
        <v>Carer</v>
      </c>
      <c r="D1054" s="66" t="str">
        <f>IF(Fifth!D57="", "",Fifth!D57)</f>
        <v>Returning</v>
      </c>
      <c r="E1054" s="66" t="str">
        <f>IF(Fifth!E57="", "",Fifth!E57)</f>
        <v>Male</v>
      </c>
      <c r="F1054" s="66" t="str">
        <f>IF(Fifth!F57="", "",Fifth!F57)</f>
        <v>Breast</v>
      </c>
      <c r="G1054" s="66" t="str">
        <f>IF(Fifth!G57="", "",Fifth!G57)</f>
        <v>Bereaved</v>
      </c>
      <c r="H1054" s="66" t="str">
        <f>IF(Fifth!H57="", "",Fifth!H57)</f>
        <v>Booked</v>
      </c>
      <c r="I1054" s="66" t="str">
        <f>IF(Fifth!I57="", "",Fifth!I57)</f>
        <v>Psych Support - Individual</v>
      </c>
      <c r="J1054" s="66" t="str">
        <f>IF(Fifth!J57="", "",Fifth!J57)</f>
        <v/>
      </c>
      <c r="K1054" s="86" t="str">
        <f>IF(Fifth!K57="", "",Fifth!K57)</f>
        <v/>
      </c>
      <c r="M1054" s="67" t="str">
        <f t="shared" si="50"/>
        <v/>
      </c>
      <c r="N1054" s="76">
        <f t="shared" si="51"/>
        <v>7</v>
      </c>
      <c r="O1054" s="33">
        <f t="shared" si="49"/>
        <v>7</v>
      </c>
    </row>
    <row r="1055" spans="1:15" x14ac:dyDescent="0.25">
      <c r="A1055" s="64" t="s">
        <v>224</v>
      </c>
      <c r="B1055" s="79" t="str">
        <f>IF(Fifth!B58="", "",Fifth!B58)</f>
        <v>Psychologist</v>
      </c>
      <c r="C1055" s="66" t="str">
        <f>IF(Fifth!C58="", "",Fifth!C58)</f>
        <v>PwC</v>
      </c>
      <c r="D1055" s="66" t="str">
        <f>IF(Fifth!D58="", "",Fifth!D58)</f>
        <v>Returning</v>
      </c>
      <c r="E1055" s="66" t="str">
        <f>IF(Fifth!E58="", "",Fifth!E58)</f>
        <v>Female</v>
      </c>
      <c r="F1055" s="66" t="str">
        <f>IF(Fifth!F58="", "",Fifth!F58)</f>
        <v>Brain/CNS</v>
      </c>
      <c r="G1055" s="66" t="str">
        <f>IF(Fifth!G58="", "",Fifth!G58)</f>
        <v>Post Treatment - Curative Intent</v>
      </c>
      <c r="H1055" s="66" t="str">
        <f>IF(Fifth!H58="", "",Fifth!H58)</f>
        <v>Booked</v>
      </c>
      <c r="I1055" s="66" t="str">
        <f>IF(Fifth!I58="", "",Fifth!I58)</f>
        <v>Psych Support - Individual</v>
      </c>
      <c r="J1055" s="66" t="str">
        <f>IF(Fifth!J58="", "",Fifth!J58)</f>
        <v/>
      </c>
      <c r="K1055" s="86" t="str">
        <f>IF(Fifth!K58="", "",Fifth!K58)</f>
        <v/>
      </c>
      <c r="M1055" s="67">
        <f t="shared" si="50"/>
        <v>7</v>
      </c>
      <c r="N1055" s="76" t="str">
        <f t="shared" si="51"/>
        <v/>
      </c>
      <c r="O1055" s="33">
        <f t="shared" si="49"/>
        <v>7</v>
      </c>
    </row>
    <row r="1056" spans="1:15" x14ac:dyDescent="0.25">
      <c r="A1056" s="64" t="s">
        <v>224</v>
      </c>
      <c r="B1056" s="79" t="str">
        <f>IF(Fifth!B59="", "",Fifth!B59)</f>
        <v>CSS</v>
      </c>
      <c r="C1056" s="66" t="str">
        <f>IF(Fifth!C59="", "",Fifth!C59)</f>
        <v>Carer</v>
      </c>
      <c r="D1056" s="66" t="str">
        <f>IF(Fifth!D59="", "",Fifth!D59)</f>
        <v>Returning</v>
      </c>
      <c r="E1056" s="66" t="str">
        <f>IF(Fifth!E59="", "",Fifth!E59)</f>
        <v>Male</v>
      </c>
      <c r="F1056" s="66" t="str">
        <f>IF(Fifth!F59="", "",Fifth!F59)</f>
        <v>Lower GI</v>
      </c>
      <c r="G1056" s="66" t="str">
        <f>IF(Fifth!G59="", "",Fifth!G59)</f>
        <v>Bereaved</v>
      </c>
      <c r="H1056" s="66" t="str">
        <f>IF(Fifth!H59="", "",Fifth!H59)</f>
        <v>Programme</v>
      </c>
      <c r="I1056" s="66" t="str">
        <f>IF(Fifth!I59="", "",Fifth!I59)</f>
        <v>FSG Bereavement</v>
      </c>
      <c r="J1056" s="66" t="str">
        <f>IF(Fifth!J59="", "",Fifth!J59)</f>
        <v/>
      </c>
      <c r="K1056" s="86" t="str">
        <f>IF(Fifth!K59="", "",Fifth!K59)</f>
        <v/>
      </c>
      <c r="M1056" s="67" t="str">
        <f t="shared" si="50"/>
        <v/>
      </c>
      <c r="N1056" s="76">
        <f t="shared" si="51"/>
        <v>7</v>
      </c>
      <c r="O1056" s="33">
        <f t="shared" si="49"/>
        <v>7</v>
      </c>
    </row>
    <row r="1057" spans="1:15" x14ac:dyDescent="0.25">
      <c r="A1057" s="64" t="s">
        <v>224</v>
      </c>
      <c r="B1057" s="79" t="str">
        <f>IF(Fifth!B60="", "",Fifth!B60)</f>
        <v>CSS</v>
      </c>
      <c r="C1057" s="66" t="str">
        <f>IF(Fifth!C60="", "",Fifth!C60)</f>
        <v>Carer</v>
      </c>
      <c r="D1057" s="66" t="str">
        <f>IF(Fifth!D60="", "",Fifth!D60)</f>
        <v>Returning</v>
      </c>
      <c r="E1057" s="66" t="str">
        <f>IF(Fifth!E60="", "",Fifth!E60)</f>
        <v>Female</v>
      </c>
      <c r="F1057" s="66" t="str">
        <f>IF(Fifth!F60="", "",Fifth!F60)</f>
        <v>Brain/CNS</v>
      </c>
      <c r="G1057" s="66" t="str">
        <f>IF(Fifth!G60="", "",Fifth!G60)</f>
        <v>Bereaved</v>
      </c>
      <c r="H1057" s="66" t="str">
        <f>IF(Fifth!H60="", "",Fifth!H60)</f>
        <v>Programme</v>
      </c>
      <c r="I1057" s="66" t="str">
        <f>IF(Fifth!I60="", "",Fifth!I60)</f>
        <v>FSG Bereavement</v>
      </c>
      <c r="J1057" s="66" t="str">
        <f>IF(Fifth!J60="", "",Fifth!J60)</f>
        <v/>
      </c>
      <c r="K1057" s="86" t="str">
        <f>IF(Fifth!K60="", "",Fifth!K60)</f>
        <v/>
      </c>
      <c r="M1057" s="67" t="str">
        <f t="shared" si="50"/>
        <v/>
      </c>
      <c r="N1057" s="76">
        <f t="shared" si="51"/>
        <v>7</v>
      </c>
      <c r="O1057" s="33">
        <f t="shared" si="49"/>
        <v>7</v>
      </c>
    </row>
    <row r="1058" spans="1:15" x14ac:dyDescent="0.25">
      <c r="A1058" s="64" t="s">
        <v>224</v>
      </c>
      <c r="B1058" s="79" t="str">
        <f>IF(Fifth!B61="", "",Fifth!B61)</f>
        <v>CSS</v>
      </c>
      <c r="C1058" s="66" t="str">
        <f>IF(Fifth!C61="", "",Fifth!C61)</f>
        <v>Carer</v>
      </c>
      <c r="D1058" s="66" t="str">
        <f>IF(Fifth!D61="", "",Fifth!D61)</f>
        <v>Returning</v>
      </c>
      <c r="E1058" s="66" t="str">
        <f>IF(Fifth!E61="", "",Fifth!E61)</f>
        <v>Female</v>
      </c>
      <c r="F1058" s="66" t="str">
        <f>IF(Fifth!F61="", "",Fifth!F61)</f>
        <v>Breast</v>
      </c>
      <c r="G1058" s="66" t="str">
        <f>IF(Fifth!G61="", "",Fifth!G61)</f>
        <v>Bereaved</v>
      </c>
      <c r="H1058" s="66" t="str">
        <f>IF(Fifth!H61="", "",Fifth!H61)</f>
        <v>Programme</v>
      </c>
      <c r="I1058" s="66" t="str">
        <f>IF(Fifth!I61="", "",Fifth!I61)</f>
        <v>FSG Bereavement</v>
      </c>
      <c r="J1058" s="66" t="str">
        <f>IF(Fifth!J61="", "",Fifth!J61)</f>
        <v/>
      </c>
      <c r="K1058" s="86" t="str">
        <f>IF(Fifth!K61="", "",Fifth!K61)</f>
        <v/>
      </c>
      <c r="M1058" s="67" t="str">
        <f t="shared" si="50"/>
        <v/>
      </c>
      <c r="N1058" s="76">
        <f t="shared" si="51"/>
        <v>7</v>
      </c>
      <c r="O1058" s="33">
        <f t="shared" si="49"/>
        <v>7</v>
      </c>
    </row>
    <row r="1059" spans="1:15" x14ac:dyDescent="0.25">
      <c r="A1059" s="64" t="s">
        <v>224</v>
      </c>
      <c r="B1059" s="79" t="str">
        <f>IF(Fifth!B62="", "",Fifth!B62)</f>
        <v>CSS</v>
      </c>
      <c r="C1059" s="66" t="str">
        <f>IF(Fifth!C62="", "",Fifth!C62)</f>
        <v>Carer</v>
      </c>
      <c r="D1059" s="66" t="str">
        <f>IF(Fifth!D62="", "",Fifth!D62)</f>
        <v>Returning</v>
      </c>
      <c r="E1059" s="66" t="str">
        <f>IF(Fifth!E62="", "",Fifth!E62)</f>
        <v>Female</v>
      </c>
      <c r="F1059" s="66" t="str">
        <f>IF(Fifth!F62="", "",Fifth!F62)</f>
        <v>Upper GI</v>
      </c>
      <c r="G1059" s="66" t="str">
        <f>IF(Fifth!G62="", "",Fifth!G62)</f>
        <v>Bereaved</v>
      </c>
      <c r="H1059" s="66" t="str">
        <f>IF(Fifth!H62="", "",Fifth!H62)</f>
        <v>Programme</v>
      </c>
      <c r="I1059" s="66" t="str">
        <f>IF(Fifth!I62="", "",Fifth!I62)</f>
        <v>FSG Bereavement</v>
      </c>
      <c r="J1059" s="66" t="str">
        <f>IF(Fifth!J62="", "",Fifth!J62)</f>
        <v/>
      </c>
      <c r="K1059" s="86" t="str">
        <f>IF(Fifth!K62="", "",Fifth!K62)</f>
        <v/>
      </c>
      <c r="M1059" s="67" t="str">
        <f t="shared" si="50"/>
        <v/>
      </c>
      <c r="N1059" s="76">
        <f t="shared" si="51"/>
        <v>7</v>
      </c>
      <c r="O1059" s="33">
        <f t="shared" si="49"/>
        <v>7</v>
      </c>
    </row>
    <row r="1060" spans="1:15" x14ac:dyDescent="0.25">
      <c r="A1060" s="64" t="s">
        <v>224</v>
      </c>
      <c r="B1060" s="79" t="str">
        <f>IF(Fifth!B63="", "",Fifth!B63)</f>
        <v>CSS</v>
      </c>
      <c r="C1060" s="66" t="str">
        <f>IF(Fifth!C63="", "",Fifth!C63)</f>
        <v>Carer</v>
      </c>
      <c r="D1060" s="66" t="str">
        <f>IF(Fifth!D63="", "",Fifth!D63)</f>
        <v>Returning</v>
      </c>
      <c r="E1060" s="66" t="str">
        <f>IF(Fifth!E63="", "",Fifth!E63)</f>
        <v>Female</v>
      </c>
      <c r="F1060" s="66" t="str">
        <f>IF(Fifth!F63="", "",Fifth!F63)</f>
        <v>Lower GI</v>
      </c>
      <c r="G1060" s="66" t="str">
        <f>IF(Fifth!G63="", "",Fifth!G63)</f>
        <v>Bereaved</v>
      </c>
      <c r="H1060" s="66" t="str">
        <f>IF(Fifth!H63="", "",Fifth!H63)</f>
        <v>Programme</v>
      </c>
      <c r="I1060" s="66" t="str">
        <f>IF(Fifth!I63="", "",Fifth!I63)</f>
        <v>FSG Bereavement</v>
      </c>
      <c r="J1060" s="66" t="str">
        <f>IF(Fifth!J63="", "",Fifth!J63)</f>
        <v/>
      </c>
      <c r="K1060" s="86" t="str">
        <f>IF(Fifth!K63="", "",Fifth!K63)</f>
        <v/>
      </c>
      <c r="M1060" s="67" t="str">
        <f t="shared" si="50"/>
        <v/>
      </c>
      <c r="N1060" s="76">
        <f t="shared" si="51"/>
        <v>7</v>
      </c>
      <c r="O1060" s="33">
        <f t="shared" si="49"/>
        <v>7</v>
      </c>
    </row>
    <row r="1061" spans="1:15" x14ac:dyDescent="0.25">
      <c r="A1061" s="64" t="s">
        <v>224</v>
      </c>
      <c r="B1061" s="79" t="str">
        <f>IF(Fifth!B64="", "",Fifth!B64)</f>
        <v>Psychologist</v>
      </c>
      <c r="C1061" s="66" t="str">
        <f>IF(Fifth!C64="", "",Fifth!C64)</f>
        <v>PwC</v>
      </c>
      <c r="D1061" s="66" t="str">
        <f>IF(Fifth!D64="", "",Fifth!D64)</f>
        <v>Returning</v>
      </c>
      <c r="E1061" s="66" t="str">
        <f>IF(Fifth!E64="", "",Fifth!E64)</f>
        <v>Male</v>
      </c>
      <c r="F1061" s="66" t="str">
        <f>IF(Fifth!F64="", "",Fifth!F64)</f>
        <v>Brain/CNS</v>
      </c>
      <c r="G1061" s="66" t="str">
        <f>IF(Fifth!G64="", "",Fifth!G64)</f>
        <v>Non-Curative Intent</v>
      </c>
      <c r="H1061" s="66" t="str">
        <f>IF(Fifth!H64="", "",Fifth!H64)</f>
        <v>Booked</v>
      </c>
      <c r="I1061" s="66" t="str">
        <f>IF(Fifth!I64="", "",Fifth!I64)</f>
        <v>Psych Support - Individual</v>
      </c>
      <c r="J1061" s="66" t="str">
        <f>IF(Fifth!J64="", "",Fifth!J64)</f>
        <v/>
      </c>
      <c r="K1061" s="86" t="str">
        <f>IF(Fifth!K64="", "",Fifth!K64)</f>
        <v/>
      </c>
      <c r="M1061" s="67">
        <f t="shared" si="50"/>
        <v>7</v>
      </c>
      <c r="N1061" s="76" t="str">
        <f t="shared" si="51"/>
        <v/>
      </c>
      <c r="O1061" s="33">
        <f t="shared" si="49"/>
        <v>7</v>
      </c>
    </row>
    <row r="1062" spans="1:15" x14ac:dyDescent="0.25">
      <c r="A1062" s="64" t="s">
        <v>224</v>
      </c>
      <c r="B1062" s="79" t="str">
        <f>IF(Fifth!B65="", "",Fifth!B65)</f>
        <v>Psychologist</v>
      </c>
      <c r="C1062" s="66" t="str">
        <f>IF(Fifth!C65="", "",Fifth!C65)</f>
        <v>PwC</v>
      </c>
      <c r="D1062" s="66" t="str">
        <f>IF(Fifth!D65="", "",Fifth!D65)</f>
        <v>Returning</v>
      </c>
      <c r="E1062" s="66" t="str">
        <f>IF(Fifth!E65="", "",Fifth!E65)</f>
        <v>Female</v>
      </c>
      <c r="F1062" s="66" t="str">
        <f>IF(Fifth!F65="", "",Fifth!F65)</f>
        <v>Breast</v>
      </c>
      <c r="G1062" s="66" t="str">
        <f>IF(Fifth!G65="", "",Fifth!G65)</f>
        <v>Post Treatment - Curative Intent</v>
      </c>
      <c r="H1062" s="66" t="str">
        <f>IF(Fifth!H65="", "",Fifth!H65)</f>
        <v>Booked</v>
      </c>
      <c r="I1062" s="66" t="str">
        <f>IF(Fifth!I65="", "",Fifth!I65)</f>
        <v>Psych Support - Individual</v>
      </c>
      <c r="J1062" s="66" t="str">
        <f>IF(Fifth!J65="", "",Fifth!J65)</f>
        <v/>
      </c>
      <c r="K1062" s="86" t="str">
        <f>IF(Fifth!K65="", "",Fifth!K65)</f>
        <v/>
      </c>
      <c r="M1062" s="67">
        <f t="shared" si="50"/>
        <v>7</v>
      </c>
      <c r="N1062" s="76" t="str">
        <f t="shared" si="51"/>
        <v/>
      </c>
      <c r="O1062" s="33">
        <f t="shared" si="49"/>
        <v>7</v>
      </c>
    </row>
    <row r="1063" spans="1:15" x14ac:dyDescent="0.25">
      <c r="A1063" s="64" t="s">
        <v>224</v>
      </c>
      <c r="B1063" s="79" t="str">
        <f>IF(Fifth!B66="", "",Fifth!B66)</f>
        <v>Psychologist</v>
      </c>
      <c r="C1063" s="66" t="str">
        <f>IF(Fifth!C66="", "",Fifth!C66)</f>
        <v>PwC</v>
      </c>
      <c r="D1063" s="66" t="str">
        <f>IF(Fifth!D66="", "",Fifth!D66)</f>
        <v>New</v>
      </c>
      <c r="E1063" s="66" t="str">
        <f>IF(Fifth!E66="", "",Fifth!E66)</f>
        <v>Male</v>
      </c>
      <c r="F1063" s="66" t="str">
        <f>IF(Fifth!F66="", "",Fifth!F66)</f>
        <v>Testicular</v>
      </c>
      <c r="G1063" s="66" t="str">
        <f>IF(Fifth!G66="", "",Fifth!G66)</f>
        <v>Post Treatment - Curative Intent</v>
      </c>
      <c r="H1063" s="66" t="str">
        <f>IF(Fifth!H66="", "",Fifth!H66)</f>
        <v>Drop-In</v>
      </c>
      <c r="I1063" s="66" t="str">
        <f>IF(Fifth!I66="", "",Fifth!I66)</f>
        <v>Psych Support - Individual</v>
      </c>
      <c r="J1063" s="66" t="str">
        <f>IF(Fifth!J66="", "",Fifth!J66)</f>
        <v/>
      </c>
      <c r="K1063" s="86" t="str">
        <f>IF(Fifth!K66="", "",Fifth!K66)</f>
        <v/>
      </c>
      <c r="M1063" s="67">
        <f t="shared" si="50"/>
        <v>7</v>
      </c>
      <c r="N1063" s="76" t="str">
        <f t="shared" si="51"/>
        <v/>
      </c>
      <c r="O1063" s="33">
        <f t="shared" si="49"/>
        <v>7</v>
      </c>
    </row>
    <row r="1064" spans="1:15" x14ac:dyDescent="0.25">
      <c r="A1064" s="64" t="s">
        <v>224</v>
      </c>
      <c r="B1064" s="79" t="str">
        <f>IF(Fifth!B67="", "",Fifth!B67)</f>
        <v>Psychologist</v>
      </c>
      <c r="C1064" s="66" t="str">
        <f>IF(Fifth!C67="", "",Fifth!C67)</f>
        <v>PwC</v>
      </c>
      <c r="D1064" s="66" t="str">
        <f>IF(Fifth!D67="", "",Fifth!D67)</f>
        <v>Returning</v>
      </c>
      <c r="E1064" s="66" t="str">
        <f>IF(Fifth!E67="", "",Fifth!E67)</f>
        <v>Male</v>
      </c>
      <c r="F1064" s="66" t="str">
        <f>IF(Fifth!F67="", "",Fifth!F67)</f>
        <v>Brain/CNS</v>
      </c>
      <c r="G1064" s="66" t="str">
        <f>IF(Fifth!G67="", "",Fifth!G67)</f>
        <v>Non-Curative Intent</v>
      </c>
      <c r="H1064" s="66" t="str">
        <f>IF(Fifth!H67="", "",Fifth!H67)</f>
        <v>Programme</v>
      </c>
      <c r="I1064" s="66" t="str">
        <f>IF(Fifth!I67="", "",Fifth!I67)</f>
        <v>NG Brain</v>
      </c>
      <c r="J1064" s="66" t="str">
        <f>IF(Fifth!J67="", "",Fifth!J67)</f>
        <v/>
      </c>
      <c r="K1064" s="86" t="str">
        <f>IF(Fifth!K67="", "",Fifth!K67)</f>
        <v/>
      </c>
      <c r="M1064" s="67">
        <f t="shared" si="50"/>
        <v>7</v>
      </c>
      <c r="N1064" s="76" t="str">
        <f t="shared" si="51"/>
        <v/>
      </c>
      <c r="O1064" s="33">
        <f t="shared" si="49"/>
        <v>7</v>
      </c>
    </row>
    <row r="1065" spans="1:15" x14ac:dyDescent="0.25">
      <c r="A1065" s="64" t="s">
        <v>224</v>
      </c>
      <c r="B1065" s="79" t="str">
        <f>IF(Fifth!B68="", "",Fifth!B68)</f>
        <v>Psychologist</v>
      </c>
      <c r="C1065" s="66" t="str">
        <f>IF(Fifth!C68="", "",Fifth!C68)</f>
        <v>PwC</v>
      </c>
      <c r="D1065" s="66" t="str">
        <f>IF(Fifth!D68="", "",Fifth!D68)</f>
        <v>Returning</v>
      </c>
      <c r="E1065" s="66" t="str">
        <f>IF(Fifth!E68="", "",Fifth!E68)</f>
        <v>Male</v>
      </c>
      <c r="F1065" s="66" t="str">
        <f>IF(Fifth!F68="", "",Fifth!F68)</f>
        <v>Brain/CNS</v>
      </c>
      <c r="G1065" s="66" t="str">
        <f>IF(Fifth!G68="", "",Fifth!G68)</f>
        <v>Non-Curative Intent</v>
      </c>
      <c r="H1065" s="66" t="str">
        <f>IF(Fifth!H68="", "",Fifth!H68)</f>
        <v>Programme</v>
      </c>
      <c r="I1065" s="66" t="str">
        <f>IF(Fifth!I68="", "",Fifth!I68)</f>
        <v>NG Brain</v>
      </c>
      <c r="J1065" s="66" t="str">
        <f>IF(Fifth!J68="", "",Fifth!J68)</f>
        <v/>
      </c>
      <c r="K1065" s="86" t="str">
        <f>IF(Fifth!K68="", "",Fifth!K68)</f>
        <v/>
      </c>
      <c r="M1065" s="67">
        <f t="shared" si="50"/>
        <v>7</v>
      </c>
      <c r="N1065" s="76" t="str">
        <f t="shared" si="51"/>
        <v/>
      </c>
      <c r="O1065" s="33">
        <f t="shared" si="49"/>
        <v>7</v>
      </c>
    </row>
    <row r="1066" spans="1:15" x14ac:dyDescent="0.25">
      <c r="A1066" s="64" t="s">
        <v>224</v>
      </c>
      <c r="B1066" s="79" t="str">
        <f>IF(Fifth!B69="", "",Fifth!B69)</f>
        <v>Psychologist</v>
      </c>
      <c r="C1066" s="66" t="str">
        <f>IF(Fifth!C69="", "",Fifth!C69)</f>
        <v>PwC</v>
      </c>
      <c r="D1066" s="66" t="str">
        <f>IF(Fifth!D69="", "",Fifth!D69)</f>
        <v>Returning</v>
      </c>
      <c r="E1066" s="66" t="str">
        <f>IF(Fifth!E69="", "",Fifth!E69)</f>
        <v>Female</v>
      </c>
      <c r="F1066" s="66" t="str">
        <f>IF(Fifth!F69="", "",Fifth!F69)</f>
        <v>Brain/CNS</v>
      </c>
      <c r="G1066" s="66" t="str">
        <f>IF(Fifth!G69="", "",Fifth!G69)</f>
        <v>Non-Curative Intent</v>
      </c>
      <c r="H1066" s="66" t="str">
        <f>IF(Fifth!H69="", "",Fifth!H69)</f>
        <v>Programme</v>
      </c>
      <c r="I1066" s="66" t="str">
        <f>IF(Fifth!I69="", "",Fifth!I69)</f>
        <v>NG Brain</v>
      </c>
      <c r="J1066" s="66" t="str">
        <f>IF(Fifth!J69="", "",Fifth!J69)</f>
        <v/>
      </c>
      <c r="K1066" s="86" t="str">
        <f>IF(Fifth!K69="", "",Fifth!K69)</f>
        <v/>
      </c>
      <c r="M1066" s="67">
        <f t="shared" si="50"/>
        <v>7</v>
      </c>
      <c r="N1066" s="76" t="str">
        <f t="shared" si="51"/>
        <v/>
      </c>
      <c r="O1066" s="33">
        <f t="shared" si="49"/>
        <v>7</v>
      </c>
    </row>
    <row r="1067" spans="1:15" x14ac:dyDescent="0.25">
      <c r="A1067" s="64" t="s">
        <v>224</v>
      </c>
      <c r="B1067" s="79" t="str">
        <f>IF(Fifth!B70="", "",Fifth!B70)</f>
        <v>Psychologist</v>
      </c>
      <c r="C1067" s="66" t="str">
        <f>IF(Fifth!C70="", "",Fifth!C70)</f>
        <v>PwC</v>
      </c>
      <c r="D1067" s="66" t="str">
        <f>IF(Fifth!D70="", "",Fifth!D70)</f>
        <v>Returning</v>
      </c>
      <c r="E1067" s="66" t="str">
        <f>IF(Fifth!E70="", "",Fifth!E70)</f>
        <v>Female</v>
      </c>
      <c r="F1067" s="66" t="str">
        <f>IF(Fifth!F70="", "",Fifth!F70)</f>
        <v>Brain/CNS</v>
      </c>
      <c r="G1067" s="66" t="str">
        <f>IF(Fifth!G70="", "",Fifth!G70)</f>
        <v>Non-Curative Intent</v>
      </c>
      <c r="H1067" s="66" t="str">
        <f>IF(Fifth!H70="", "",Fifth!H70)</f>
        <v>Programme</v>
      </c>
      <c r="I1067" s="66" t="str">
        <f>IF(Fifth!I70="", "",Fifth!I70)</f>
        <v>NG Brain</v>
      </c>
      <c r="J1067" s="66" t="str">
        <f>IF(Fifth!J70="", "",Fifth!J70)</f>
        <v/>
      </c>
      <c r="K1067" s="86" t="str">
        <f>IF(Fifth!K70="", "",Fifth!K70)</f>
        <v/>
      </c>
      <c r="M1067" s="67">
        <f t="shared" si="50"/>
        <v>7</v>
      </c>
      <c r="N1067" s="76" t="str">
        <f t="shared" si="51"/>
        <v/>
      </c>
      <c r="O1067" s="33">
        <f t="shared" si="49"/>
        <v>7</v>
      </c>
    </row>
    <row r="1068" spans="1:15" x14ac:dyDescent="0.25">
      <c r="A1068" s="64" t="s">
        <v>224</v>
      </c>
      <c r="B1068" s="79" t="str">
        <f>IF(Fifth!B71="", "",Fifth!B71)</f>
        <v>Psychologist</v>
      </c>
      <c r="C1068" s="66" t="str">
        <f>IF(Fifth!C71="", "",Fifth!C71)</f>
        <v>Carer</v>
      </c>
      <c r="D1068" s="66" t="str">
        <f>IF(Fifth!D71="", "",Fifth!D71)</f>
        <v>Returning</v>
      </c>
      <c r="E1068" s="66" t="str">
        <f>IF(Fifth!E71="", "",Fifth!E71)</f>
        <v>Female</v>
      </c>
      <c r="F1068" s="66" t="str">
        <f>IF(Fifth!F71="", "",Fifth!F71)</f>
        <v>Brain/CNS</v>
      </c>
      <c r="G1068" s="66" t="str">
        <f>IF(Fifth!G71="", "",Fifth!G71)</f>
        <v>Bereaved</v>
      </c>
      <c r="H1068" s="66" t="str">
        <f>IF(Fifth!H71="", "",Fifth!H71)</f>
        <v>Programme</v>
      </c>
      <c r="I1068" s="66" t="str">
        <f>IF(Fifth!I71="", "",Fifth!I71)</f>
        <v>NG Brain</v>
      </c>
      <c r="J1068" s="66" t="str">
        <f>IF(Fifth!J71="", "",Fifth!J71)</f>
        <v/>
      </c>
      <c r="K1068" s="86" t="str">
        <f>IF(Fifth!K71="", "",Fifth!K71)</f>
        <v/>
      </c>
      <c r="M1068" s="67" t="str">
        <f t="shared" si="50"/>
        <v/>
      </c>
      <c r="N1068" s="76">
        <f t="shared" si="51"/>
        <v>7</v>
      </c>
      <c r="O1068" s="33">
        <f t="shared" si="49"/>
        <v>7</v>
      </c>
    </row>
    <row r="1069" spans="1:15" x14ac:dyDescent="0.25">
      <c r="A1069" s="64" t="s">
        <v>224</v>
      </c>
      <c r="B1069" s="79" t="str">
        <f>IF(Fifth!B72="", "",Fifth!B72)</f>
        <v>Psychologist</v>
      </c>
      <c r="C1069" s="66" t="str">
        <f>IF(Fifth!C72="", "",Fifth!C72)</f>
        <v>Carer</v>
      </c>
      <c r="D1069" s="66" t="str">
        <f>IF(Fifth!D72="", "",Fifth!D72)</f>
        <v>Returning</v>
      </c>
      <c r="E1069" s="66" t="str">
        <f>IF(Fifth!E72="", "",Fifth!E72)</f>
        <v>Female</v>
      </c>
      <c r="F1069" s="66" t="str">
        <f>IF(Fifth!F72="", "",Fifth!F72)</f>
        <v>Brain/CNS</v>
      </c>
      <c r="G1069" s="66" t="str">
        <f>IF(Fifth!G72="", "",Fifth!G72)</f>
        <v>Bereaved</v>
      </c>
      <c r="H1069" s="66" t="str">
        <f>IF(Fifth!H72="", "",Fifth!H72)</f>
        <v>Programme</v>
      </c>
      <c r="I1069" s="66" t="str">
        <f>IF(Fifth!I72="", "",Fifth!I72)</f>
        <v>NG Brain</v>
      </c>
      <c r="J1069" s="66" t="str">
        <f>IF(Fifth!J72="", "",Fifth!J72)</f>
        <v/>
      </c>
      <c r="K1069" s="86" t="str">
        <f>IF(Fifth!K72="", "",Fifth!K72)</f>
        <v/>
      </c>
      <c r="M1069" s="67" t="str">
        <f t="shared" si="50"/>
        <v/>
      </c>
      <c r="N1069" s="76">
        <f t="shared" si="51"/>
        <v>7</v>
      </c>
      <c r="O1069" s="33">
        <f t="shared" si="49"/>
        <v>7</v>
      </c>
    </row>
    <row r="1070" spans="1:15" x14ac:dyDescent="0.25">
      <c r="A1070" s="64" t="s">
        <v>224</v>
      </c>
      <c r="B1070" s="79" t="str">
        <f>IF(Fifth!B73="", "",Fifth!B73)</f>
        <v>Psychologist</v>
      </c>
      <c r="C1070" s="66" t="str">
        <f>IF(Fifth!C73="", "",Fifth!C73)</f>
        <v>Carer</v>
      </c>
      <c r="D1070" s="66" t="str">
        <f>IF(Fifth!D73="", "",Fifth!D73)</f>
        <v>Returning</v>
      </c>
      <c r="E1070" s="66" t="str">
        <f>IF(Fifth!E73="", "",Fifth!E73)</f>
        <v>Female</v>
      </c>
      <c r="F1070" s="66" t="str">
        <f>IF(Fifth!F73="", "",Fifth!F73)</f>
        <v>Brain/CNS</v>
      </c>
      <c r="G1070" s="66" t="str">
        <f>IF(Fifth!G73="", "",Fifth!G73)</f>
        <v>Bereaved</v>
      </c>
      <c r="H1070" s="66" t="str">
        <f>IF(Fifth!H73="", "",Fifth!H73)</f>
        <v>Programme</v>
      </c>
      <c r="I1070" s="66" t="str">
        <f>IF(Fifth!I73="", "",Fifth!I73)</f>
        <v>NG Brain</v>
      </c>
      <c r="J1070" s="66" t="str">
        <f>IF(Fifth!J73="", "",Fifth!J73)</f>
        <v/>
      </c>
      <c r="K1070" s="86" t="str">
        <f>IF(Fifth!K73="", "",Fifth!K73)</f>
        <v/>
      </c>
      <c r="M1070" s="67" t="str">
        <f t="shared" si="50"/>
        <v/>
      </c>
      <c r="N1070" s="76">
        <f t="shared" si="51"/>
        <v>7</v>
      </c>
      <c r="O1070" s="33">
        <f t="shared" si="49"/>
        <v>7</v>
      </c>
    </row>
    <row r="1071" spans="1:15" x14ac:dyDescent="0.25">
      <c r="A1071" s="64" t="s">
        <v>224</v>
      </c>
      <c r="B1071" s="79" t="str">
        <f>IF(Fifth!B74="", "",Fifth!B74)</f>
        <v>Psychologist</v>
      </c>
      <c r="C1071" s="66" t="str">
        <f>IF(Fifth!C74="", "",Fifth!C74)</f>
        <v>Carer</v>
      </c>
      <c r="D1071" s="66" t="str">
        <f>IF(Fifth!D74="", "",Fifth!D74)</f>
        <v>Returning</v>
      </c>
      <c r="E1071" s="66" t="str">
        <f>IF(Fifth!E74="", "",Fifth!E74)</f>
        <v>Male</v>
      </c>
      <c r="F1071" s="66" t="str">
        <f>IF(Fifth!F74="", "",Fifth!F74)</f>
        <v>Brain/CNS</v>
      </c>
      <c r="G1071" s="66" t="str">
        <f>IF(Fifth!G74="", "",Fifth!G74)</f>
        <v>Bereaved</v>
      </c>
      <c r="H1071" s="66" t="str">
        <f>IF(Fifth!H74="", "",Fifth!H74)</f>
        <v>Programme</v>
      </c>
      <c r="I1071" s="66" t="str">
        <f>IF(Fifth!I74="", "",Fifth!I74)</f>
        <v>NG Brain</v>
      </c>
      <c r="J1071" s="66" t="str">
        <f>IF(Fifth!J74="", "",Fifth!J74)</f>
        <v/>
      </c>
      <c r="K1071" s="86" t="str">
        <f>IF(Fifth!K74="", "",Fifth!K74)</f>
        <v/>
      </c>
      <c r="M1071" s="67" t="str">
        <f t="shared" si="50"/>
        <v/>
      </c>
      <c r="N1071" s="76">
        <f t="shared" si="51"/>
        <v>7</v>
      </c>
      <c r="O1071" s="33">
        <f t="shared" si="49"/>
        <v>7</v>
      </c>
    </row>
    <row r="1072" spans="1:15" x14ac:dyDescent="0.25">
      <c r="A1072" s="64" t="s">
        <v>224</v>
      </c>
      <c r="B1072" s="79" t="str">
        <f>IF(Fifth!B75="", "",Fifth!B75)</f>
        <v>Centre Head</v>
      </c>
      <c r="C1072" s="66" t="str">
        <f>IF(Fifth!C75="", "",Fifth!C75)</f>
        <v>PwC</v>
      </c>
      <c r="D1072" s="66" t="str">
        <f>IF(Fifth!D75="", "",Fifth!D75)</f>
        <v>Returning</v>
      </c>
      <c r="E1072" s="66" t="str">
        <f>IF(Fifth!E75="", "",Fifth!E75)</f>
        <v>Female</v>
      </c>
      <c r="F1072" s="66" t="str">
        <f>IF(Fifth!F75="", "",Fifth!F75)</f>
        <v>Breast</v>
      </c>
      <c r="G1072" s="66" t="str">
        <f>IF(Fifth!G75="", "",Fifth!G75)</f>
        <v>Post Treatment - Curative Intent</v>
      </c>
      <c r="H1072" s="66" t="str">
        <f>IF(Fifth!H75="", "",Fifth!H75)</f>
        <v>Booked</v>
      </c>
      <c r="I1072" s="66" t="str">
        <f>IF(Fifth!I75="", "",Fifth!I75)</f>
        <v>Psych Support - Individual</v>
      </c>
      <c r="J1072" s="66" t="str">
        <f>IF(Fifth!J75="", "",Fifth!J75)</f>
        <v/>
      </c>
      <c r="K1072" s="86" t="str">
        <f>IF(Fifth!K75="", "",Fifth!K75)</f>
        <v/>
      </c>
      <c r="M1072" s="67">
        <f t="shared" si="50"/>
        <v>7</v>
      </c>
      <c r="N1072" s="76" t="str">
        <f t="shared" si="51"/>
        <v/>
      </c>
      <c r="O1072" s="33">
        <f t="shared" si="49"/>
        <v>7</v>
      </c>
    </row>
    <row r="1073" spans="1:15" x14ac:dyDescent="0.25">
      <c r="A1073" s="64" t="s">
        <v>224</v>
      </c>
      <c r="B1073" s="79" t="str">
        <f>IF(Fifth!B76="", "",Fifth!B76)</f>
        <v>Centre Head</v>
      </c>
      <c r="C1073" s="66" t="str">
        <f>IF(Fifth!C76="", "",Fifth!C76)</f>
        <v>Carer</v>
      </c>
      <c r="D1073" s="66" t="str">
        <f>IF(Fifth!D76="", "",Fifth!D76)</f>
        <v>New</v>
      </c>
      <c r="E1073" s="66" t="str">
        <f>IF(Fifth!E76="", "",Fifth!E76)</f>
        <v>Under 18 Male</v>
      </c>
      <c r="F1073" s="66" t="str">
        <f>IF(Fifth!F76="", "",Fifth!F76)</f>
        <v>Breast</v>
      </c>
      <c r="G1073" s="66" t="str">
        <f>IF(Fifth!G76="", "",Fifth!G76)</f>
        <v>Post Treatment - Curative Intent</v>
      </c>
      <c r="H1073" s="66" t="str">
        <f>IF(Fifth!H76="", "",Fifth!H76)</f>
        <v>Drop-In</v>
      </c>
      <c r="I1073" s="66" t="str">
        <f>IF(Fifth!I76="", "",Fifth!I76)</f>
        <v/>
      </c>
      <c r="J1073" s="66" t="str">
        <f>IF(Fifth!J76="", "",Fifth!J76)</f>
        <v/>
      </c>
      <c r="K1073" s="86" t="str">
        <f>IF(Fifth!K76="", "",Fifth!K76)</f>
        <v/>
      </c>
      <c r="M1073" s="67" t="str">
        <f t="shared" si="50"/>
        <v/>
      </c>
      <c r="N1073" s="76">
        <f t="shared" si="51"/>
        <v>7</v>
      </c>
      <c r="O1073" s="33">
        <f t="shared" si="49"/>
        <v>7</v>
      </c>
    </row>
    <row r="1074" spans="1:15" x14ac:dyDescent="0.25">
      <c r="A1074" s="64" t="s">
        <v>224</v>
      </c>
      <c r="B1074" s="79" t="str">
        <f>IF(Fifth!B77="", "",Fifth!B77)</f>
        <v>Centre Head</v>
      </c>
      <c r="C1074" s="66" t="str">
        <f>IF(Fifth!C77="", "",Fifth!C77)</f>
        <v>PwC</v>
      </c>
      <c r="D1074" s="66" t="str">
        <f>IF(Fifth!D77="", "",Fifth!D77)</f>
        <v>New</v>
      </c>
      <c r="E1074" s="66" t="str">
        <f>IF(Fifth!E77="", "",Fifth!E77)</f>
        <v>Female</v>
      </c>
      <c r="F1074" s="66" t="str">
        <f>IF(Fifth!F77="", "",Fifth!F77)</f>
        <v>Head/Neck</v>
      </c>
      <c r="G1074" s="66" t="str">
        <f>IF(Fifth!G77="", "",Fifth!G77)</f>
        <v>Non-Curative Intent</v>
      </c>
      <c r="H1074" s="66" t="str">
        <f>IF(Fifth!H77="", "",Fifth!H77)</f>
        <v>Drop-In</v>
      </c>
      <c r="I1074" s="66" t="str">
        <f>IF(Fifth!I77="", "",Fifth!I77)</f>
        <v/>
      </c>
      <c r="J1074" s="66" t="str">
        <f>IF(Fifth!J77="", "",Fifth!J77)</f>
        <v/>
      </c>
      <c r="K1074" s="86" t="str">
        <f>IF(Fifth!K77="", "",Fifth!K77)</f>
        <v/>
      </c>
      <c r="M1074" s="67">
        <f t="shared" si="50"/>
        <v>7</v>
      </c>
      <c r="N1074" s="76" t="str">
        <f t="shared" si="51"/>
        <v/>
      </c>
      <c r="O1074" s="33">
        <f t="shared" si="49"/>
        <v>7</v>
      </c>
    </row>
    <row r="1075" spans="1:15" x14ac:dyDescent="0.25">
      <c r="A1075" s="64" t="s">
        <v>224</v>
      </c>
      <c r="B1075" s="79" t="str">
        <f>IF(Fifth!B78="", "",Fifth!B78)</f>
        <v>Centre Head</v>
      </c>
      <c r="C1075" s="66" t="str">
        <f>IF(Fifth!C78="", "",Fifth!C78)</f>
        <v>Carer</v>
      </c>
      <c r="D1075" s="66" t="str">
        <f>IF(Fifth!D78="", "",Fifth!D78)</f>
        <v>New</v>
      </c>
      <c r="E1075" s="66" t="str">
        <f>IF(Fifth!E78="", "",Fifth!E78)</f>
        <v>Female</v>
      </c>
      <c r="F1075" s="66" t="str">
        <f>IF(Fifth!F78="", "",Fifth!F78)</f>
        <v>Head/Neck</v>
      </c>
      <c r="G1075" s="66" t="str">
        <f>IF(Fifth!G78="", "",Fifth!G78)</f>
        <v>Non-Curative Intent</v>
      </c>
      <c r="H1075" s="66" t="str">
        <f>IF(Fifth!H78="", "",Fifth!H78)</f>
        <v>Drop-In</v>
      </c>
      <c r="I1075" s="66" t="str">
        <f>IF(Fifth!I78="", "",Fifth!I78)</f>
        <v/>
      </c>
      <c r="J1075" s="66" t="str">
        <f>IF(Fifth!J78="", "",Fifth!J78)</f>
        <v/>
      </c>
      <c r="K1075" s="86" t="str">
        <f>IF(Fifth!K78="", "",Fifth!K78)</f>
        <v/>
      </c>
      <c r="M1075" s="67" t="str">
        <f t="shared" si="50"/>
        <v/>
      </c>
      <c r="N1075" s="76">
        <f t="shared" si="51"/>
        <v>7</v>
      </c>
      <c r="O1075" s="33">
        <f t="shared" si="49"/>
        <v>7</v>
      </c>
    </row>
    <row r="1076" spans="1:15" x14ac:dyDescent="0.25">
      <c r="A1076" s="64" t="s">
        <v>224</v>
      </c>
      <c r="B1076" s="79" t="str">
        <f>IF(Fifth!B79="", "",Fifth!B79)</f>
        <v>Centre Head</v>
      </c>
      <c r="C1076" s="66" t="str">
        <f>IF(Fifth!C79="", "",Fifth!C79)</f>
        <v>Carer</v>
      </c>
      <c r="D1076" s="66" t="str">
        <f>IF(Fifth!D79="", "",Fifth!D79)</f>
        <v>New</v>
      </c>
      <c r="E1076" s="66" t="str">
        <f>IF(Fifth!E79="", "",Fifth!E79)</f>
        <v>Male</v>
      </c>
      <c r="F1076" s="66" t="str">
        <f>IF(Fifth!F79="", "",Fifth!F79)</f>
        <v>Head/Neck</v>
      </c>
      <c r="G1076" s="66" t="str">
        <f>IF(Fifth!G79="", "",Fifth!G79)</f>
        <v>Non-Curative Intent</v>
      </c>
      <c r="H1076" s="66" t="str">
        <f>IF(Fifth!H79="", "",Fifth!H79)</f>
        <v>Drop-In</v>
      </c>
      <c r="I1076" s="66" t="str">
        <f>IF(Fifth!I79="", "",Fifth!I79)</f>
        <v/>
      </c>
      <c r="J1076" s="66" t="str">
        <f>IF(Fifth!J79="", "",Fifth!J79)</f>
        <v/>
      </c>
      <c r="K1076" s="86" t="str">
        <f>IF(Fifth!K79="", "",Fifth!K79)</f>
        <v/>
      </c>
      <c r="M1076" s="67" t="str">
        <f t="shared" si="50"/>
        <v/>
      </c>
      <c r="N1076" s="76">
        <f t="shared" si="51"/>
        <v>7</v>
      </c>
      <c r="O1076" s="33">
        <f t="shared" si="49"/>
        <v>7</v>
      </c>
    </row>
    <row r="1077" spans="1:15" x14ac:dyDescent="0.25">
      <c r="A1077" s="64" t="s">
        <v>224</v>
      </c>
      <c r="B1077" s="79" t="str">
        <f>IF(Fifth!B80="", "",Fifth!B80)</f>
        <v>Centre Head</v>
      </c>
      <c r="C1077" s="66" t="str">
        <f>IF(Fifth!C80="", "",Fifth!C80)</f>
        <v>PwC</v>
      </c>
      <c r="D1077" s="66" t="str">
        <f>IF(Fifth!D80="", "",Fifth!D80)</f>
        <v>Returning</v>
      </c>
      <c r="E1077" s="66" t="str">
        <f>IF(Fifth!E80="", "",Fifth!E80)</f>
        <v>Male</v>
      </c>
      <c r="F1077" s="66" t="str">
        <f>IF(Fifth!F80="", "",Fifth!F80)</f>
        <v>Lung</v>
      </c>
      <c r="G1077" s="66" t="str">
        <f>IF(Fifth!G80="", "",Fifth!G80)</f>
        <v>Curative Intent</v>
      </c>
      <c r="H1077" s="66" t="str">
        <f>IF(Fifth!H80="", "",Fifth!H80)</f>
        <v>Drop-In</v>
      </c>
      <c r="I1077" s="66" t="str">
        <f>IF(Fifth!I80="", "",Fifth!I80)</f>
        <v/>
      </c>
      <c r="J1077" s="66" t="str">
        <f>IF(Fifth!J80="", "",Fifth!J80)</f>
        <v/>
      </c>
      <c r="K1077" s="86" t="str">
        <f>IF(Fifth!K80="", "",Fifth!K80)</f>
        <v/>
      </c>
      <c r="M1077" s="67">
        <f t="shared" si="50"/>
        <v>7</v>
      </c>
      <c r="N1077" s="76" t="str">
        <f t="shared" si="51"/>
        <v/>
      </c>
      <c r="O1077" s="33">
        <f t="shared" si="49"/>
        <v>7</v>
      </c>
    </row>
    <row r="1078" spans="1:15" x14ac:dyDescent="0.25">
      <c r="A1078" s="64" t="s">
        <v>224</v>
      </c>
      <c r="B1078" s="79" t="str">
        <f>IF(Fifth!B81="", "",Fifth!B81)</f>
        <v>Centre Head</v>
      </c>
      <c r="C1078" s="66" t="str">
        <f>IF(Fifth!C81="", "",Fifth!C81)</f>
        <v>PwC</v>
      </c>
      <c r="D1078" s="66" t="str">
        <f>IF(Fifth!D81="", "",Fifth!D81)</f>
        <v>Returning</v>
      </c>
      <c r="E1078" s="66" t="str">
        <f>IF(Fifth!E81="", "",Fifth!E81)</f>
        <v>Female</v>
      </c>
      <c r="F1078" s="66" t="str">
        <f>IF(Fifth!F81="", "",Fifth!F81)</f>
        <v>Breast</v>
      </c>
      <c r="G1078" s="66" t="str">
        <f>IF(Fifth!G81="", "",Fifth!G81)</f>
        <v>Post Treatment - Curative Intent</v>
      </c>
      <c r="H1078" s="66" t="str">
        <f>IF(Fifth!H81="", "",Fifth!H81)</f>
        <v>Drop-In</v>
      </c>
      <c r="I1078" s="66" t="str">
        <f>IF(Fifth!I81="", "",Fifth!I81)</f>
        <v/>
      </c>
      <c r="J1078" s="66" t="str">
        <f>IF(Fifth!J81="", "",Fifth!J81)</f>
        <v/>
      </c>
      <c r="K1078" s="86" t="str">
        <f>IF(Fifth!K81="", "",Fifth!K81)</f>
        <v/>
      </c>
      <c r="M1078" s="67">
        <f t="shared" si="50"/>
        <v>7</v>
      </c>
      <c r="N1078" s="76" t="str">
        <f t="shared" si="51"/>
        <v/>
      </c>
      <c r="O1078" s="33">
        <f t="shared" si="49"/>
        <v>7</v>
      </c>
    </row>
    <row r="1079" spans="1:15" x14ac:dyDescent="0.25">
      <c r="A1079" s="64" t="s">
        <v>224</v>
      </c>
      <c r="B1079" s="79" t="str">
        <f>IF(Fifth!B82="", "",Fifth!B82)</f>
        <v>Centre Head</v>
      </c>
      <c r="C1079" s="66" t="str">
        <f>IF(Fifth!C82="", "",Fifth!C82)</f>
        <v>Carer</v>
      </c>
      <c r="D1079" s="66" t="str">
        <f>IF(Fifth!D82="", "",Fifth!D82)</f>
        <v>Returning</v>
      </c>
      <c r="E1079" s="66" t="str">
        <f>IF(Fifth!E82="", "",Fifth!E82)</f>
        <v>Female</v>
      </c>
      <c r="F1079" s="66" t="str">
        <f>IF(Fifth!F82="", "",Fifth!F82)</f>
        <v>Breast</v>
      </c>
      <c r="G1079" s="66" t="str">
        <f>IF(Fifth!G82="", "",Fifth!G82)</f>
        <v>Post Treatment - Curative Intent</v>
      </c>
      <c r="H1079" s="66" t="str">
        <f>IF(Fifth!H82="", "",Fifth!H82)</f>
        <v>Drop-In</v>
      </c>
      <c r="I1079" s="66" t="str">
        <f>IF(Fifth!I82="", "",Fifth!I82)</f>
        <v/>
      </c>
      <c r="J1079" s="66" t="str">
        <f>IF(Fifth!J82="", "",Fifth!J82)</f>
        <v/>
      </c>
      <c r="K1079" s="86" t="str">
        <f>IF(Fifth!K82="", "",Fifth!K82)</f>
        <v/>
      </c>
      <c r="M1079" s="67" t="str">
        <f t="shared" si="50"/>
        <v/>
      </c>
      <c r="N1079" s="76">
        <f t="shared" si="51"/>
        <v>7</v>
      </c>
      <c r="O1079" s="33">
        <f t="shared" si="49"/>
        <v>7</v>
      </c>
    </row>
    <row r="1080" spans="1:15" x14ac:dyDescent="0.25">
      <c r="A1080" s="64" t="s">
        <v>224</v>
      </c>
      <c r="B1080" s="79" t="str">
        <f>IF(Fifth!B83="", "",Fifth!B83)</f>
        <v>Centre Head</v>
      </c>
      <c r="C1080" s="66" t="str">
        <f>IF(Fifth!C83="", "",Fifth!C83)</f>
        <v>Carer</v>
      </c>
      <c r="D1080" s="66" t="str">
        <f>IF(Fifth!D83="", "",Fifth!D83)</f>
        <v>Returning</v>
      </c>
      <c r="E1080" s="66" t="str">
        <f>IF(Fifth!E83="", "",Fifth!E83)</f>
        <v>Male</v>
      </c>
      <c r="F1080" s="66" t="str">
        <f>IF(Fifth!F83="", "",Fifth!F83)</f>
        <v>Prostate</v>
      </c>
      <c r="G1080" s="66" t="str">
        <f>IF(Fifth!G83="", "",Fifth!G83)</f>
        <v>Non-Curative Intent</v>
      </c>
      <c r="H1080" s="66" t="str">
        <f>IF(Fifth!H83="", "",Fifth!H83)</f>
        <v>Programme</v>
      </c>
      <c r="I1080" s="66" t="str">
        <f>IF(Fifth!I83="", "",Fifth!I83)</f>
        <v>FSG Family and Friends</v>
      </c>
      <c r="J1080" s="66" t="str">
        <f>IF(Fifth!J83="", "",Fifth!J83)</f>
        <v/>
      </c>
      <c r="K1080" s="86" t="str">
        <f>IF(Fifth!K83="", "",Fifth!K83)</f>
        <v/>
      </c>
      <c r="M1080" s="67" t="str">
        <f t="shared" si="50"/>
        <v/>
      </c>
      <c r="N1080" s="76">
        <f t="shared" si="51"/>
        <v>7</v>
      </c>
      <c r="O1080" s="33">
        <f t="shared" si="49"/>
        <v>7</v>
      </c>
    </row>
    <row r="1081" spans="1:15" x14ac:dyDescent="0.25">
      <c r="A1081" s="64" t="s">
        <v>224</v>
      </c>
      <c r="B1081" s="79" t="str">
        <f>IF(Fifth!B84="", "",Fifth!B84)</f>
        <v>Centre Head</v>
      </c>
      <c r="C1081" s="66" t="str">
        <f>IF(Fifth!C84="", "",Fifth!C84)</f>
        <v>Carer</v>
      </c>
      <c r="D1081" s="66" t="str">
        <f>IF(Fifth!D84="", "",Fifth!D84)</f>
        <v>Returning</v>
      </c>
      <c r="E1081" s="66" t="str">
        <f>IF(Fifth!E84="", "",Fifth!E84)</f>
        <v>Male</v>
      </c>
      <c r="F1081" s="66" t="str">
        <f>IF(Fifth!F84="", "",Fifth!F84)</f>
        <v>Lower GI</v>
      </c>
      <c r="G1081" s="66" t="str">
        <f>IF(Fifth!G84="", "",Fifth!G84)</f>
        <v>Non-Curative Intent</v>
      </c>
      <c r="H1081" s="66" t="str">
        <f>IF(Fifth!H84="", "",Fifth!H84)</f>
        <v>Programme</v>
      </c>
      <c r="I1081" s="66" t="str">
        <f>IF(Fifth!I84="", "",Fifth!I84)</f>
        <v>FSG Family and Friends</v>
      </c>
      <c r="J1081" s="66" t="str">
        <f>IF(Fifth!J84="", "",Fifth!J84)</f>
        <v/>
      </c>
      <c r="K1081" s="86" t="str">
        <f>IF(Fifth!K84="", "",Fifth!K84)</f>
        <v/>
      </c>
      <c r="M1081" s="67" t="str">
        <f t="shared" si="50"/>
        <v/>
      </c>
      <c r="N1081" s="76">
        <f t="shared" si="51"/>
        <v>7</v>
      </c>
      <c r="O1081" s="33">
        <f t="shared" si="49"/>
        <v>7</v>
      </c>
    </row>
    <row r="1082" spans="1:15" x14ac:dyDescent="0.25">
      <c r="A1082" s="64" t="s">
        <v>224</v>
      </c>
      <c r="B1082" s="79" t="str">
        <f>IF(Fifth!B85="", "",Fifth!B85)</f>
        <v>Centre Head</v>
      </c>
      <c r="C1082" s="66" t="str">
        <f>IF(Fifth!C85="", "",Fifth!C85)</f>
        <v>Carer</v>
      </c>
      <c r="D1082" s="66" t="str">
        <f>IF(Fifth!D85="", "",Fifth!D85)</f>
        <v>Returning</v>
      </c>
      <c r="E1082" s="66" t="str">
        <f>IF(Fifth!E85="", "",Fifth!E85)</f>
        <v>Female</v>
      </c>
      <c r="F1082" s="66" t="str">
        <f>IF(Fifth!F85="", "",Fifth!F85)</f>
        <v>Lower GI</v>
      </c>
      <c r="G1082" s="66" t="str">
        <f>IF(Fifth!G85="", "",Fifth!G85)</f>
        <v>Non-Curative Intent</v>
      </c>
      <c r="H1082" s="66" t="str">
        <f>IF(Fifth!H85="", "",Fifth!H85)</f>
        <v>Programme</v>
      </c>
      <c r="I1082" s="66" t="str">
        <f>IF(Fifth!I85="", "",Fifth!I85)</f>
        <v>FSG Family and Friends</v>
      </c>
      <c r="J1082" s="66" t="str">
        <f>IF(Fifth!J85="", "",Fifth!J85)</f>
        <v/>
      </c>
      <c r="K1082" s="86" t="str">
        <f>IF(Fifth!K85="", "",Fifth!K85)</f>
        <v/>
      </c>
      <c r="M1082" s="67" t="str">
        <f t="shared" si="50"/>
        <v/>
      </c>
      <c r="N1082" s="76">
        <f t="shared" si="51"/>
        <v>7</v>
      </c>
      <c r="O1082" s="33">
        <f t="shared" si="49"/>
        <v>7</v>
      </c>
    </row>
    <row r="1083" spans="1:15" x14ac:dyDescent="0.25">
      <c r="A1083" s="64" t="s">
        <v>224</v>
      </c>
      <c r="B1083" s="79" t="str">
        <f>IF(Fifth!B86="", "",Fifth!B86)</f>
        <v>Centre Head</v>
      </c>
      <c r="C1083" s="66" t="str">
        <f>IF(Fifth!C86="", "",Fifth!C86)</f>
        <v>Carer</v>
      </c>
      <c r="D1083" s="66" t="str">
        <f>IF(Fifth!D86="", "",Fifth!D86)</f>
        <v>Returning</v>
      </c>
      <c r="E1083" s="66" t="str">
        <f>IF(Fifth!E86="", "",Fifth!E86)</f>
        <v>Female</v>
      </c>
      <c r="F1083" s="66" t="str">
        <f>IF(Fifth!F86="", "",Fifth!F86)</f>
        <v>Haemat</v>
      </c>
      <c r="G1083" s="66" t="str">
        <f>IF(Fifth!G86="", "",Fifth!G86)</f>
        <v>Non-Curative Intent</v>
      </c>
      <c r="H1083" s="66" t="str">
        <f>IF(Fifth!H86="", "",Fifth!H86)</f>
        <v>Programme</v>
      </c>
      <c r="I1083" s="66" t="str">
        <f>IF(Fifth!I86="", "",Fifth!I86)</f>
        <v>FSG Family and Friends</v>
      </c>
      <c r="J1083" s="66" t="str">
        <f>IF(Fifth!J86="", "",Fifth!J86)</f>
        <v/>
      </c>
      <c r="K1083" s="86" t="str">
        <f>IF(Fifth!K86="", "",Fifth!K86)</f>
        <v/>
      </c>
      <c r="M1083" s="67" t="str">
        <f t="shared" si="50"/>
        <v/>
      </c>
      <c r="N1083" s="76">
        <f t="shared" si="51"/>
        <v>7</v>
      </c>
      <c r="O1083" s="33">
        <f t="shared" si="49"/>
        <v>7</v>
      </c>
    </row>
    <row r="1084" spans="1:15" x14ac:dyDescent="0.25">
      <c r="A1084" s="64" t="s">
        <v>224</v>
      </c>
      <c r="B1084" s="79" t="str">
        <f>IF(Fifth!B87="", "",Fifth!B87)</f>
        <v>Centre Head</v>
      </c>
      <c r="C1084" s="66" t="str">
        <f>IF(Fifth!C87="", "",Fifth!C87)</f>
        <v>Carer</v>
      </c>
      <c r="D1084" s="66" t="str">
        <f>IF(Fifth!D87="", "",Fifth!D87)</f>
        <v>Returning</v>
      </c>
      <c r="E1084" s="66" t="str">
        <f>IF(Fifth!E87="", "",Fifth!E87)</f>
        <v>Female</v>
      </c>
      <c r="F1084" s="66" t="str">
        <f>IF(Fifth!F87="", "",Fifth!F87)</f>
        <v>Lower GI</v>
      </c>
      <c r="G1084" s="66" t="str">
        <f>IF(Fifth!G87="", "",Fifth!G87)</f>
        <v>Non-Curative Intent</v>
      </c>
      <c r="H1084" s="66" t="str">
        <f>IF(Fifth!H87="", "",Fifth!H87)</f>
        <v>Programme</v>
      </c>
      <c r="I1084" s="66" t="str">
        <f>IF(Fifth!I87="", "",Fifth!I87)</f>
        <v>FSG Family and Friends</v>
      </c>
      <c r="J1084" s="66" t="str">
        <f>IF(Fifth!J87="", "",Fifth!J87)</f>
        <v/>
      </c>
      <c r="K1084" s="86" t="str">
        <f>IF(Fifth!K87="", "",Fifth!K87)</f>
        <v/>
      </c>
      <c r="M1084" s="67" t="str">
        <f t="shared" si="50"/>
        <v/>
      </c>
      <c r="N1084" s="76">
        <f t="shared" si="51"/>
        <v>7</v>
      </c>
      <c r="O1084" s="33">
        <f t="shared" si="49"/>
        <v>7</v>
      </c>
    </row>
    <row r="1085" spans="1:15" x14ac:dyDescent="0.25">
      <c r="A1085" s="64" t="s">
        <v>224</v>
      </c>
      <c r="B1085" s="79" t="str">
        <f>IF(Fifth!B88="", "",Fifth!B88)</f>
        <v>Centre Head</v>
      </c>
      <c r="C1085" s="66" t="str">
        <f>IF(Fifth!C88="", "",Fifth!C88)</f>
        <v>Carer</v>
      </c>
      <c r="D1085" s="66" t="str">
        <f>IF(Fifth!D88="", "",Fifth!D88)</f>
        <v>Returning</v>
      </c>
      <c r="E1085" s="66" t="str">
        <f>IF(Fifth!E88="", "",Fifth!E88)</f>
        <v>Female</v>
      </c>
      <c r="F1085" s="66" t="str">
        <f>IF(Fifth!F88="", "",Fifth!F88)</f>
        <v>Lung</v>
      </c>
      <c r="G1085" s="66" t="str">
        <f>IF(Fifth!G88="", "",Fifth!G88)</f>
        <v>Non-Curative Intent</v>
      </c>
      <c r="H1085" s="66" t="str">
        <f>IF(Fifth!H88="", "",Fifth!H88)</f>
        <v>Programme</v>
      </c>
      <c r="I1085" s="66" t="str">
        <f>IF(Fifth!I88="", "",Fifth!I88)</f>
        <v>FSG Family and Friends</v>
      </c>
      <c r="J1085" s="66" t="str">
        <f>IF(Fifth!J88="", "",Fifth!J88)</f>
        <v/>
      </c>
      <c r="K1085" s="86" t="str">
        <f>IF(Fifth!K88="", "",Fifth!K88)</f>
        <v/>
      </c>
      <c r="M1085" s="67" t="str">
        <f t="shared" si="50"/>
        <v/>
      </c>
      <c r="N1085" s="76">
        <f t="shared" si="51"/>
        <v>7</v>
      </c>
      <c r="O1085" s="33">
        <f t="shared" si="49"/>
        <v>7</v>
      </c>
    </row>
    <row r="1086" spans="1:15" x14ac:dyDescent="0.25">
      <c r="A1086" s="64" t="s">
        <v>224</v>
      </c>
      <c r="B1086" s="79" t="str">
        <f>IF(Fifth!B89="", "",Fifth!B89)</f>
        <v>Centre Head</v>
      </c>
      <c r="C1086" s="66" t="str">
        <f>IF(Fifth!C89="", "",Fifth!C89)</f>
        <v>Carer</v>
      </c>
      <c r="D1086" s="66" t="str">
        <f>IF(Fifth!D89="", "",Fifth!D89)</f>
        <v>Returning</v>
      </c>
      <c r="E1086" s="66" t="str">
        <f>IF(Fifth!E89="", "",Fifth!E89)</f>
        <v>Female</v>
      </c>
      <c r="F1086" s="66" t="str">
        <f>IF(Fifth!F89="", "",Fifth!F89)</f>
        <v>Lung</v>
      </c>
      <c r="G1086" s="66" t="str">
        <f>IF(Fifth!G89="", "",Fifth!G89)</f>
        <v>Non-Curative Intent</v>
      </c>
      <c r="H1086" s="66" t="str">
        <f>IF(Fifth!H89="", "",Fifth!H89)</f>
        <v>Programme</v>
      </c>
      <c r="I1086" s="66" t="str">
        <f>IF(Fifth!I89="", "",Fifth!I89)</f>
        <v>FSG Family and Friends</v>
      </c>
      <c r="J1086" s="66" t="str">
        <f>IF(Fifth!J89="", "",Fifth!J89)</f>
        <v/>
      </c>
      <c r="K1086" s="86" t="str">
        <f>IF(Fifth!K89="", "",Fifth!K89)</f>
        <v/>
      </c>
      <c r="M1086" s="67" t="str">
        <f t="shared" si="50"/>
        <v/>
      </c>
      <c r="N1086" s="76">
        <f t="shared" si="51"/>
        <v>7</v>
      </c>
      <c r="O1086" s="33">
        <f t="shared" si="49"/>
        <v>7</v>
      </c>
    </row>
    <row r="1087" spans="1:15" x14ac:dyDescent="0.25">
      <c r="A1087" s="64" t="s">
        <v>224</v>
      </c>
      <c r="B1087" s="79" t="str">
        <f>IF(Fifth!B90="", "",Fifth!B90)</f>
        <v>Centre Head</v>
      </c>
      <c r="C1087" s="66" t="str">
        <f>IF(Fifth!C90="", "",Fifth!C90)</f>
        <v>Carer</v>
      </c>
      <c r="D1087" s="66" t="str">
        <f>IF(Fifth!D90="", "",Fifth!D90)</f>
        <v>Returning</v>
      </c>
      <c r="E1087" s="66" t="str">
        <f>IF(Fifth!E90="", "",Fifth!E90)</f>
        <v>Female</v>
      </c>
      <c r="F1087" s="66" t="str">
        <f>IF(Fifth!F90="", "",Fifth!F90)</f>
        <v>Brain/CNS</v>
      </c>
      <c r="G1087" s="66" t="str">
        <f>IF(Fifth!G90="", "",Fifth!G90)</f>
        <v>Non-Curative Intent</v>
      </c>
      <c r="H1087" s="66" t="str">
        <f>IF(Fifth!H90="", "",Fifth!H90)</f>
        <v>Booked</v>
      </c>
      <c r="I1087" s="66" t="str">
        <f>IF(Fifth!I90="", "",Fifth!I90)</f>
        <v>Psych Support - Individual</v>
      </c>
      <c r="J1087" s="66" t="str">
        <f>IF(Fifth!J90="", "",Fifth!J90)</f>
        <v/>
      </c>
      <c r="K1087" s="86" t="str">
        <f>IF(Fifth!K90="", "",Fifth!K90)</f>
        <v/>
      </c>
      <c r="M1087" s="67" t="str">
        <f t="shared" si="50"/>
        <v/>
      </c>
      <c r="N1087" s="76">
        <f t="shared" si="51"/>
        <v>7</v>
      </c>
      <c r="O1087" s="33">
        <f t="shared" si="49"/>
        <v>7</v>
      </c>
    </row>
    <row r="1088" spans="1:15" x14ac:dyDescent="0.25">
      <c r="A1088" s="64" t="s">
        <v>224</v>
      </c>
      <c r="B1088" s="79" t="str">
        <f>IF(Fifth!B91="", "",Fifth!B91)</f>
        <v>Centre Head</v>
      </c>
      <c r="C1088" s="66" t="str">
        <f>IF(Fifth!C91="", "",Fifth!C91)</f>
        <v>Carer</v>
      </c>
      <c r="D1088" s="66" t="str">
        <f>IF(Fifth!D91="", "",Fifth!D91)</f>
        <v>Returning</v>
      </c>
      <c r="E1088" s="66" t="str">
        <f>IF(Fifth!E91="", "",Fifth!E91)</f>
        <v>Female</v>
      </c>
      <c r="F1088" s="66" t="str">
        <f>IF(Fifth!F91="", "",Fifth!F91)</f>
        <v>Urolog</v>
      </c>
      <c r="G1088" s="66" t="str">
        <f>IF(Fifth!G91="", "",Fifth!G91)</f>
        <v>Bereaved</v>
      </c>
      <c r="H1088" s="66" t="str">
        <f>IF(Fifth!H91="", "",Fifth!H91)</f>
        <v>Booked</v>
      </c>
      <c r="I1088" s="66" t="str">
        <f>IF(Fifth!I91="", "",Fifth!I91)</f>
        <v>Psych Support - Individual</v>
      </c>
      <c r="J1088" s="66" t="str">
        <f>IF(Fifth!J91="", "",Fifth!J91)</f>
        <v/>
      </c>
      <c r="K1088" s="86" t="str">
        <f>IF(Fifth!K91="", "",Fifth!K91)</f>
        <v/>
      </c>
      <c r="M1088" s="67" t="str">
        <f t="shared" si="50"/>
        <v/>
      </c>
      <c r="N1088" s="76">
        <f t="shared" si="51"/>
        <v>7</v>
      </c>
      <c r="O1088" s="33">
        <f t="shared" si="49"/>
        <v>7</v>
      </c>
    </row>
    <row r="1089" spans="1:15" x14ac:dyDescent="0.25">
      <c r="A1089" s="64" t="s">
        <v>224</v>
      </c>
      <c r="B1089" s="79" t="str">
        <f>IF(Fifth!B92="", "",Fifth!B92)</f>
        <v>Centre Head</v>
      </c>
      <c r="C1089" s="66" t="str">
        <f>IF(Fifth!C92="", "",Fifth!C92)</f>
        <v>Carer</v>
      </c>
      <c r="D1089" s="66" t="str">
        <f>IF(Fifth!D92="", "",Fifth!D92)</f>
        <v>Returning</v>
      </c>
      <c r="E1089" s="66" t="str">
        <f>IF(Fifth!E92="", "",Fifth!E92)</f>
        <v>Female</v>
      </c>
      <c r="F1089" s="66" t="str">
        <f>IF(Fifth!F92="", "",Fifth!F92)</f>
        <v>Skin/Mel</v>
      </c>
      <c r="G1089" s="66" t="str">
        <f>IF(Fifth!G92="", "",Fifth!G92)</f>
        <v>Bereaved</v>
      </c>
      <c r="H1089" s="66" t="str">
        <f>IF(Fifth!H92="", "",Fifth!H92)</f>
        <v>Booked</v>
      </c>
      <c r="I1089" s="66" t="str">
        <f>IF(Fifth!I92="", "",Fifth!I92)</f>
        <v>Psych Support - Individual</v>
      </c>
      <c r="J1089" s="66" t="str">
        <f>IF(Fifth!J92="", "",Fifth!J92)</f>
        <v/>
      </c>
      <c r="K1089" s="86" t="str">
        <f>IF(Fifth!K92="", "",Fifth!K92)</f>
        <v/>
      </c>
      <c r="M1089" s="67" t="str">
        <f t="shared" si="50"/>
        <v/>
      </c>
      <c r="N1089" s="76">
        <f t="shared" si="51"/>
        <v>7</v>
      </c>
      <c r="O1089" s="33">
        <f t="shared" si="49"/>
        <v>7</v>
      </c>
    </row>
    <row r="1090" spans="1:15" x14ac:dyDescent="0.25">
      <c r="A1090" s="64" t="s">
        <v>224</v>
      </c>
      <c r="B1090" s="79" t="str">
        <f>IF(Fifth!B93="", "",Fifth!B93)</f>
        <v>Centre Head</v>
      </c>
      <c r="C1090" s="66" t="str">
        <f>IF(Fifth!C93="", "",Fifth!C93)</f>
        <v>PwC</v>
      </c>
      <c r="D1090" s="66" t="str">
        <f>IF(Fifth!D93="", "",Fifth!D93)</f>
        <v>Returning</v>
      </c>
      <c r="E1090" s="66" t="str">
        <f>IF(Fifth!E93="", "",Fifth!E93)</f>
        <v>Male</v>
      </c>
      <c r="F1090" s="66" t="str">
        <f>IF(Fifth!F93="", "",Fifth!F93)</f>
        <v>Haemat</v>
      </c>
      <c r="G1090" s="66" t="str">
        <f>IF(Fifth!G93="", "",Fifth!G93)</f>
        <v>Curative Intent</v>
      </c>
      <c r="H1090" s="66" t="str">
        <f>IF(Fifth!H93="", "",Fifth!H93)</f>
        <v>Booked</v>
      </c>
      <c r="I1090" s="66" t="str">
        <f>IF(Fifth!I93="", "",Fifth!I93)</f>
        <v>Psych Support - Individual</v>
      </c>
      <c r="J1090" s="66" t="str">
        <f>IF(Fifth!J93="", "",Fifth!J93)</f>
        <v/>
      </c>
      <c r="K1090" s="86" t="str">
        <f>IF(Fifth!K93="", "",Fifth!K93)</f>
        <v/>
      </c>
      <c r="M1090" s="67">
        <f t="shared" si="50"/>
        <v>7</v>
      </c>
      <c r="N1090" s="76" t="str">
        <f t="shared" si="51"/>
        <v/>
      </c>
      <c r="O1090" s="33">
        <f t="shared" ref="O1090:O1153" si="52">SUM(M1090:N1090)</f>
        <v>7</v>
      </c>
    </row>
    <row r="1091" spans="1:15" x14ac:dyDescent="0.25">
      <c r="A1091" s="64" t="s">
        <v>224</v>
      </c>
      <c r="B1091" s="79" t="str">
        <f>IF(Fifth!B94="", "",Fifth!B94)</f>
        <v>Centre Head</v>
      </c>
      <c r="C1091" s="66" t="str">
        <f>IF(Fifth!C94="", "",Fifth!C94)</f>
        <v>PwC</v>
      </c>
      <c r="D1091" s="66" t="str">
        <f>IF(Fifth!D94="", "",Fifth!D94)</f>
        <v>Returning</v>
      </c>
      <c r="E1091" s="66" t="str">
        <f>IF(Fifth!E94="", "",Fifth!E94)</f>
        <v>Female</v>
      </c>
      <c r="F1091" s="66" t="str">
        <f>IF(Fifth!F94="", "",Fifth!F94)</f>
        <v>Breast</v>
      </c>
      <c r="G1091" s="66" t="str">
        <f>IF(Fifth!G94="", "",Fifth!G94)</f>
        <v>Post Treatment - Curative Intent</v>
      </c>
      <c r="H1091" s="66" t="str">
        <f>IF(Fifth!H94="", "",Fifth!H94)</f>
        <v>Booked</v>
      </c>
      <c r="I1091" s="66" t="str">
        <f>IF(Fifth!I94="", "",Fifth!I94)</f>
        <v>Psych Support - Individual</v>
      </c>
      <c r="J1091" s="66" t="str">
        <f>IF(Fifth!J94="", "",Fifth!J94)</f>
        <v/>
      </c>
      <c r="K1091" s="86" t="str">
        <f>IF(Fifth!K94="", "",Fifth!K94)</f>
        <v/>
      </c>
      <c r="M1091" s="67">
        <f t="shared" ref="M1091:M1154" si="53">IF(C1091="PwC",(7-COUNTIF(B1091:H1091,"")),"")</f>
        <v>7</v>
      </c>
      <c r="N1091" s="76" t="str">
        <f t="shared" ref="N1091:N1154" si="54">IF(C1091="Carer",(7-COUNTIF(B1091:H1091,"")),"")</f>
        <v/>
      </c>
      <c r="O1091" s="33">
        <f t="shared" si="52"/>
        <v>7</v>
      </c>
    </row>
    <row r="1092" spans="1:15" x14ac:dyDescent="0.25">
      <c r="A1092" s="64" t="s">
        <v>224</v>
      </c>
      <c r="B1092" s="79" t="str">
        <f>IF(Fifth!B95="", "",Fifth!B95)</f>
        <v>Centre Head</v>
      </c>
      <c r="C1092" s="66" t="str">
        <f>IF(Fifth!C95="", "",Fifth!C95)</f>
        <v>Carer</v>
      </c>
      <c r="D1092" s="66" t="str">
        <f>IF(Fifth!D95="", "",Fifth!D95)</f>
        <v>Returning</v>
      </c>
      <c r="E1092" s="66" t="str">
        <f>IF(Fifth!E95="", "",Fifth!E95)</f>
        <v>Male</v>
      </c>
      <c r="F1092" s="66" t="str">
        <f>IF(Fifth!F95="", "",Fifth!F95)</f>
        <v>Haemat</v>
      </c>
      <c r="G1092" s="66" t="str">
        <f>IF(Fifth!G95="", "",Fifth!G95)</f>
        <v>Bereaved</v>
      </c>
      <c r="H1092" s="66" t="str">
        <f>IF(Fifth!H95="", "",Fifth!H95)</f>
        <v>Booked</v>
      </c>
      <c r="I1092" s="66" t="str">
        <f>IF(Fifth!I95="", "",Fifth!I95)</f>
        <v>Psych Support - Individual</v>
      </c>
      <c r="J1092" s="66" t="str">
        <f>IF(Fifth!J95="", "",Fifth!J95)</f>
        <v/>
      </c>
      <c r="K1092" s="86" t="str">
        <f>IF(Fifth!K95="", "",Fifth!K95)</f>
        <v/>
      </c>
      <c r="M1092" s="67" t="str">
        <f t="shared" si="53"/>
        <v/>
      </c>
      <c r="N1092" s="76">
        <f t="shared" si="54"/>
        <v>7</v>
      </c>
      <c r="O1092" s="33">
        <f t="shared" si="52"/>
        <v>7</v>
      </c>
    </row>
    <row r="1093" spans="1:15" x14ac:dyDescent="0.25">
      <c r="A1093" s="64" t="s">
        <v>224</v>
      </c>
      <c r="B1093" s="79" t="str">
        <f>IF(Fifth!B96="", "",Fifth!B96)</f>
        <v>CSS</v>
      </c>
      <c r="C1093" s="66" t="str">
        <f>IF(Fifth!C96="", "",Fifth!C96)</f>
        <v>PwC</v>
      </c>
      <c r="D1093" s="66" t="str">
        <f>IF(Fifth!D96="", "",Fifth!D96)</f>
        <v>New</v>
      </c>
      <c r="E1093" s="66" t="str">
        <f>IF(Fifth!E96="", "",Fifth!E96)</f>
        <v>Female</v>
      </c>
      <c r="F1093" s="66" t="str">
        <f>IF(Fifth!F96="", "",Fifth!F96)</f>
        <v>Breast</v>
      </c>
      <c r="G1093" s="66" t="str">
        <f>IF(Fifth!G96="", "",Fifth!G96)</f>
        <v>Curative Intent</v>
      </c>
      <c r="H1093" s="66" t="str">
        <f>IF(Fifth!H96="", "",Fifth!H96)</f>
        <v>Drop-In</v>
      </c>
      <c r="I1093" s="66" t="str">
        <f>IF(Fifth!I96="", "",Fifth!I96)</f>
        <v/>
      </c>
      <c r="J1093" s="66" t="str">
        <f>IF(Fifth!J96="", "",Fifth!J96)</f>
        <v/>
      </c>
      <c r="K1093" s="86" t="str">
        <f>IF(Fifth!K96="", "",Fifth!K96)</f>
        <v/>
      </c>
      <c r="M1093" s="67">
        <f t="shared" si="53"/>
        <v>7</v>
      </c>
      <c r="N1093" s="76" t="str">
        <f t="shared" si="54"/>
        <v/>
      </c>
      <c r="O1093" s="33">
        <f t="shared" si="52"/>
        <v>7</v>
      </c>
    </row>
    <row r="1094" spans="1:15" x14ac:dyDescent="0.25">
      <c r="A1094" s="64" t="s">
        <v>224</v>
      </c>
      <c r="B1094" s="79" t="str">
        <f>IF(Fifth!B97="", "",Fifth!B97)</f>
        <v>CSS</v>
      </c>
      <c r="C1094" s="66" t="str">
        <f>IF(Fifth!C97="", "",Fifth!C97)</f>
        <v>Carer</v>
      </c>
      <c r="D1094" s="66" t="str">
        <f>IF(Fifth!D97="", "",Fifth!D97)</f>
        <v>Returning</v>
      </c>
      <c r="E1094" s="66" t="str">
        <f>IF(Fifth!E97="", "",Fifth!E97)</f>
        <v>Female</v>
      </c>
      <c r="F1094" s="66" t="str">
        <f>IF(Fifth!F97="", "",Fifth!F97)</f>
        <v>Breast</v>
      </c>
      <c r="G1094" s="66" t="str">
        <f>IF(Fifth!G97="", "",Fifth!G97)</f>
        <v>Curative Intent</v>
      </c>
      <c r="H1094" s="66" t="str">
        <f>IF(Fifth!H97="", "",Fifth!H97)</f>
        <v>Drop-In</v>
      </c>
      <c r="I1094" s="66" t="str">
        <f>IF(Fifth!I97="", "",Fifth!I97)</f>
        <v/>
      </c>
      <c r="J1094" s="66" t="str">
        <f>IF(Fifth!J97="", "",Fifth!J97)</f>
        <v/>
      </c>
      <c r="K1094" s="86" t="str">
        <f>IF(Fifth!K97="", "",Fifth!K97)</f>
        <v/>
      </c>
      <c r="M1094" s="67" t="str">
        <f t="shared" si="53"/>
        <v/>
      </c>
      <c r="N1094" s="76">
        <f t="shared" si="54"/>
        <v>7</v>
      </c>
      <c r="O1094" s="33">
        <f t="shared" si="52"/>
        <v>7</v>
      </c>
    </row>
    <row r="1095" spans="1:15" x14ac:dyDescent="0.25">
      <c r="A1095" s="64" t="s">
        <v>224</v>
      </c>
      <c r="B1095" s="79" t="str">
        <f>IF(Fifth!B98="", "",Fifth!B98)</f>
        <v>CSS</v>
      </c>
      <c r="C1095" s="66" t="str">
        <f>IF(Fifth!C98="", "",Fifth!C98)</f>
        <v>Carer</v>
      </c>
      <c r="D1095" s="66" t="str">
        <f>IF(Fifth!D98="", "",Fifth!D98)</f>
        <v>Returning</v>
      </c>
      <c r="E1095" s="66" t="str">
        <f>IF(Fifth!E98="", "",Fifth!E98)</f>
        <v>Male</v>
      </c>
      <c r="F1095" s="66" t="str">
        <f>IF(Fifth!F98="", "",Fifth!F98)</f>
        <v>Gynae</v>
      </c>
      <c r="G1095" s="66" t="str">
        <f>IF(Fifth!G98="", "",Fifth!G98)</f>
        <v>Curative Intent</v>
      </c>
      <c r="H1095" s="66" t="str">
        <f>IF(Fifth!H98="", "",Fifth!H98)</f>
        <v>Drop-In</v>
      </c>
      <c r="I1095" s="66" t="str">
        <f>IF(Fifth!I98="", "",Fifth!I98)</f>
        <v/>
      </c>
      <c r="J1095" s="66" t="str">
        <f>IF(Fifth!J98="", "",Fifth!J98)</f>
        <v/>
      </c>
      <c r="K1095" s="86" t="str">
        <f>IF(Fifth!K98="", "",Fifth!K98)</f>
        <v/>
      </c>
      <c r="M1095" s="67" t="str">
        <f t="shared" si="53"/>
        <v/>
      </c>
      <c r="N1095" s="76">
        <f t="shared" si="54"/>
        <v>7</v>
      </c>
      <c r="O1095" s="33">
        <f t="shared" si="52"/>
        <v>7</v>
      </c>
    </row>
    <row r="1096" spans="1:15" x14ac:dyDescent="0.25">
      <c r="A1096" s="64" t="s">
        <v>224</v>
      </c>
      <c r="B1096" s="79" t="str">
        <f>IF(Fifth!B99="", "",Fifth!B99)</f>
        <v>CSS</v>
      </c>
      <c r="C1096" s="66" t="str">
        <f>IF(Fifth!C99="", "",Fifth!C99)</f>
        <v>PwC</v>
      </c>
      <c r="D1096" s="66" t="str">
        <f>IF(Fifth!D99="", "",Fifth!D99)</f>
        <v>Returning</v>
      </c>
      <c r="E1096" s="66" t="str">
        <f>IF(Fifth!E99="", "",Fifth!E99)</f>
        <v>Female</v>
      </c>
      <c r="F1096" s="66" t="str">
        <f>IF(Fifth!F99="", "",Fifth!F99)</f>
        <v>Lower GI</v>
      </c>
      <c r="G1096" s="66" t="str">
        <f>IF(Fifth!G99="", "",Fifth!G99)</f>
        <v>Non-Curative Intent</v>
      </c>
      <c r="H1096" s="66" t="str">
        <f>IF(Fifth!H99="", "",Fifth!H99)</f>
        <v>Drop-In</v>
      </c>
      <c r="I1096" s="66" t="str">
        <f>IF(Fifth!I99="", "",Fifth!I99)</f>
        <v/>
      </c>
      <c r="J1096" s="66" t="str">
        <f>IF(Fifth!J99="", "",Fifth!J99)</f>
        <v/>
      </c>
      <c r="K1096" s="86" t="str">
        <f>IF(Fifth!K99="", "",Fifth!K99)</f>
        <v/>
      </c>
      <c r="M1096" s="67">
        <f t="shared" si="53"/>
        <v>7</v>
      </c>
      <c r="N1096" s="76" t="str">
        <f t="shared" si="54"/>
        <v/>
      </c>
      <c r="O1096" s="33">
        <f t="shared" si="52"/>
        <v>7</v>
      </c>
    </row>
    <row r="1097" spans="1:15" x14ac:dyDescent="0.25">
      <c r="A1097" s="64" t="s">
        <v>224</v>
      </c>
      <c r="B1097" s="79" t="str">
        <f>IF(Fifth!B100="", "",Fifth!B100)</f>
        <v>CSS</v>
      </c>
      <c r="C1097" s="66" t="str">
        <f>IF(Fifth!C100="", "",Fifth!C100)</f>
        <v>PwC</v>
      </c>
      <c r="D1097" s="66" t="str">
        <f>IF(Fifth!D100="", "",Fifth!D100)</f>
        <v>Returning</v>
      </c>
      <c r="E1097" s="66" t="str">
        <f>IF(Fifth!E100="", "",Fifth!E100)</f>
        <v>Female</v>
      </c>
      <c r="F1097" s="66" t="str">
        <f>IF(Fifth!F100="", "",Fifth!F100)</f>
        <v>Breast</v>
      </c>
      <c r="G1097" s="66" t="str">
        <f>IF(Fifth!G100="", "",Fifth!G100)</f>
        <v>Curative Intent</v>
      </c>
      <c r="H1097" s="66" t="str">
        <f>IF(Fifth!H100="", "",Fifth!H100)</f>
        <v>Drop-In</v>
      </c>
      <c r="I1097" s="66" t="str">
        <f>IF(Fifth!I100="", "",Fifth!I100)</f>
        <v/>
      </c>
      <c r="J1097" s="66" t="str">
        <f>IF(Fifth!J100="", "",Fifth!J100)</f>
        <v/>
      </c>
      <c r="K1097" s="86" t="str">
        <f>IF(Fifth!K100="", "",Fifth!K100)</f>
        <v/>
      </c>
      <c r="M1097" s="67">
        <f t="shared" si="53"/>
        <v>7</v>
      </c>
      <c r="N1097" s="76" t="str">
        <f t="shared" si="54"/>
        <v/>
      </c>
      <c r="O1097" s="33">
        <f t="shared" si="52"/>
        <v>7</v>
      </c>
    </row>
    <row r="1098" spans="1:15" x14ac:dyDescent="0.25">
      <c r="A1098" s="64" t="s">
        <v>224</v>
      </c>
      <c r="B1098" s="79" t="str">
        <f>IF(Fifth!B101="", "",Fifth!B101)</f>
        <v>Centre Head</v>
      </c>
      <c r="C1098" s="66" t="str">
        <f>IF(Fifth!C101="", "",Fifth!C101)</f>
        <v>PwC</v>
      </c>
      <c r="D1098" s="66" t="str">
        <f>IF(Fifth!D101="", "",Fifth!D101)</f>
        <v>Returning</v>
      </c>
      <c r="E1098" s="66" t="str">
        <f>IF(Fifth!E101="", "",Fifth!E101)</f>
        <v>Male</v>
      </c>
      <c r="F1098" s="66" t="str">
        <f>IF(Fifth!F101="", "",Fifth!F101)</f>
        <v>Head/Neck</v>
      </c>
      <c r="G1098" s="66" t="str">
        <f>IF(Fifth!G101="", "",Fifth!G101)</f>
        <v>Curative Intent</v>
      </c>
      <c r="H1098" s="66" t="str">
        <f>IF(Fifth!H101="", "",Fifth!H101)</f>
        <v>Programme</v>
      </c>
      <c r="I1098" s="66" t="str">
        <f>IF(Fifth!I101="", "",Fifth!I101)</f>
        <v>NG Laryngectomy</v>
      </c>
      <c r="J1098" s="66" t="str">
        <f>IF(Fifth!J101="", "",Fifth!J101)</f>
        <v/>
      </c>
      <c r="K1098" s="86" t="str">
        <f>IF(Fifth!K101="", "",Fifth!K101)</f>
        <v/>
      </c>
      <c r="M1098" s="67">
        <f t="shared" si="53"/>
        <v>7</v>
      </c>
      <c r="N1098" s="76" t="str">
        <f t="shared" si="54"/>
        <v/>
      </c>
      <c r="O1098" s="33">
        <f t="shared" si="52"/>
        <v>7</v>
      </c>
    </row>
    <row r="1099" spans="1:15" x14ac:dyDescent="0.25">
      <c r="A1099" s="64" t="s">
        <v>224</v>
      </c>
      <c r="B1099" s="79" t="str">
        <f>IF(Fifth!B102="", "",Fifth!B102)</f>
        <v>Centre Head</v>
      </c>
      <c r="C1099" s="66" t="str">
        <f>IF(Fifth!C102="", "",Fifth!C102)</f>
        <v>PwC</v>
      </c>
      <c r="D1099" s="66" t="str">
        <f>IF(Fifth!D102="", "",Fifth!D102)</f>
        <v>Returning</v>
      </c>
      <c r="E1099" s="66" t="str">
        <f>IF(Fifth!E102="", "",Fifth!E102)</f>
        <v>Male</v>
      </c>
      <c r="F1099" s="66" t="str">
        <f>IF(Fifth!F102="", "",Fifth!F102)</f>
        <v>Head/Neck</v>
      </c>
      <c r="G1099" s="66" t="str">
        <f>IF(Fifth!G102="", "",Fifth!G102)</f>
        <v>Curative Intent</v>
      </c>
      <c r="H1099" s="66" t="str">
        <f>IF(Fifth!H102="", "",Fifth!H102)</f>
        <v>Programme</v>
      </c>
      <c r="I1099" s="66" t="str">
        <f>IF(Fifth!I102="", "",Fifth!I102)</f>
        <v>NG Laryngectomy</v>
      </c>
      <c r="J1099" s="66" t="str">
        <f>IF(Fifth!J102="", "",Fifth!J102)</f>
        <v/>
      </c>
      <c r="K1099" s="86" t="str">
        <f>IF(Fifth!K102="", "",Fifth!K102)</f>
        <v/>
      </c>
      <c r="M1099" s="67">
        <f t="shared" si="53"/>
        <v>7</v>
      </c>
      <c r="N1099" s="76" t="str">
        <f t="shared" si="54"/>
        <v/>
      </c>
      <c r="O1099" s="33">
        <f t="shared" si="52"/>
        <v>7</v>
      </c>
    </row>
    <row r="1100" spans="1:15" x14ac:dyDescent="0.25">
      <c r="A1100" s="64" t="s">
        <v>224</v>
      </c>
      <c r="B1100" s="79" t="str">
        <f>IF(Fifth!B103="", "",Fifth!B103)</f>
        <v>Centre Head</v>
      </c>
      <c r="C1100" s="66" t="str">
        <f>IF(Fifth!C103="", "",Fifth!C103)</f>
        <v>PwC</v>
      </c>
      <c r="D1100" s="66" t="str">
        <f>IF(Fifth!D103="", "",Fifth!D103)</f>
        <v>Returning</v>
      </c>
      <c r="E1100" s="66" t="str">
        <f>IF(Fifth!E103="", "",Fifth!E103)</f>
        <v>Male</v>
      </c>
      <c r="F1100" s="66" t="str">
        <f>IF(Fifth!F103="", "",Fifth!F103)</f>
        <v>Head/Neck</v>
      </c>
      <c r="G1100" s="66" t="str">
        <f>IF(Fifth!G103="", "",Fifth!G103)</f>
        <v>Curative Intent</v>
      </c>
      <c r="H1100" s="66" t="str">
        <f>IF(Fifth!H103="", "",Fifth!H103)</f>
        <v>Programme</v>
      </c>
      <c r="I1100" s="66" t="str">
        <f>IF(Fifth!I103="", "",Fifth!I103)</f>
        <v>NG Laryngectomy</v>
      </c>
      <c r="J1100" s="66" t="str">
        <f>IF(Fifth!J103="", "",Fifth!J103)</f>
        <v/>
      </c>
      <c r="K1100" s="86" t="str">
        <f>IF(Fifth!K103="", "",Fifth!K103)</f>
        <v/>
      </c>
      <c r="M1100" s="67">
        <f t="shared" si="53"/>
        <v>7</v>
      </c>
      <c r="N1100" s="76" t="str">
        <f t="shared" si="54"/>
        <v/>
      </c>
      <c r="O1100" s="33">
        <f t="shared" si="52"/>
        <v>7</v>
      </c>
    </row>
    <row r="1101" spans="1:15" x14ac:dyDescent="0.25">
      <c r="A1101" s="64" t="s">
        <v>224</v>
      </c>
      <c r="B1101" s="79" t="str">
        <f>IF(Fifth!B104="", "",Fifth!B104)</f>
        <v>Centre Head</v>
      </c>
      <c r="C1101" s="66" t="str">
        <f>IF(Fifth!C104="", "",Fifth!C104)</f>
        <v>PwC</v>
      </c>
      <c r="D1101" s="66" t="str">
        <f>IF(Fifth!D104="", "",Fifth!D104)</f>
        <v>Returning</v>
      </c>
      <c r="E1101" s="66" t="str">
        <f>IF(Fifth!E104="", "",Fifth!E104)</f>
        <v>Male</v>
      </c>
      <c r="F1101" s="66" t="str">
        <f>IF(Fifth!F104="", "",Fifth!F104)</f>
        <v>Head/Neck</v>
      </c>
      <c r="G1101" s="66" t="str">
        <f>IF(Fifth!G104="", "",Fifth!G104)</f>
        <v>Curative Intent</v>
      </c>
      <c r="H1101" s="66" t="str">
        <f>IF(Fifth!H104="", "",Fifth!H104)</f>
        <v>Programme</v>
      </c>
      <c r="I1101" s="66" t="str">
        <f>IF(Fifth!I104="", "",Fifth!I104)</f>
        <v>NG Laryngectomy</v>
      </c>
      <c r="J1101" s="66" t="str">
        <f>IF(Fifth!J104="", "",Fifth!J104)</f>
        <v/>
      </c>
      <c r="K1101" s="86" t="str">
        <f>IF(Fifth!K104="", "",Fifth!K104)</f>
        <v/>
      </c>
      <c r="M1101" s="67">
        <f t="shared" si="53"/>
        <v>7</v>
      </c>
      <c r="N1101" s="76" t="str">
        <f t="shared" si="54"/>
        <v/>
      </c>
      <c r="O1101" s="33">
        <f t="shared" si="52"/>
        <v>7</v>
      </c>
    </row>
    <row r="1102" spans="1:15" x14ac:dyDescent="0.25">
      <c r="A1102" s="64" t="s">
        <v>224</v>
      </c>
      <c r="B1102" s="79" t="str">
        <f>IF(Fifth!B105="", "",Fifth!B105)</f>
        <v>Centre Head</v>
      </c>
      <c r="C1102" s="66" t="str">
        <f>IF(Fifth!C105="", "",Fifth!C105)</f>
        <v>PwC</v>
      </c>
      <c r="D1102" s="66" t="str">
        <f>IF(Fifth!D105="", "",Fifth!D105)</f>
        <v>Returning</v>
      </c>
      <c r="E1102" s="66" t="str">
        <f>IF(Fifth!E105="", "",Fifth!E105)</f>
        <v>Male</v>
      </c>
      <c r="F1102" s="66" t="str">
        <f>IF(Fifth!F105="", "",Fifth!F105)</f>
        <v>Head/Neck</v>
      </c>
      <c r="G1102" s="66" t="str">
        <f>IF(Fifth!G105="", "",Fifth!G105)</f>
        <v>Curative Intent</v>
      </c>
      <c r="H1102" s="66" t="str">
        <f>IF(Fifth!H105="", "",Fifth!H105)</f>
        <v>Programme</v>
      </c>
      <c r="I1102" s="66" t="str">
        <f>IF(Fifth!I105="", "",Fifth!I105)</f>
        <v>NG Laryngectomy</v>
      </c>
      <c r="J1102" s="66" t="str">
        <f>IF(Fifth!J105="", "",Fifth!J105)</f>
        <v>Caring for Someone with Cancer</v>
      </c>
      <c r="K1102" s="86" t="str">
        <f>IF(Fifth!K105="", "",Fifth!K105)</f>
        <v/>
      </c>
      <c r="M1102" s="67">
        <f t="shared" si="53"/>
        <v>7</v>
      </c>
      <c r="N1102" s="76" t="str">
        <f t="shared" si="54"/>
        <v/>
      </c>
      <c r="O1102" s="33">
        <f t="shared" si="52"/>
        <v>7</v>
      </c>
    </row>
    <row r="1103" spans="1:15" x14ac:dyDescent="0.25">
      <c r="A1103" s="64" t="s">
        <v>224</v>
      </c>
      <c r="B1103" s="79" t="str">
        <f>IF(Fifth!B106="", "",Fifth!B106)</f>
        <v>Centre Head</v>
      </c>
      <c r="C1103" s="66" t="str">
        <f>IF(Fifth!C106="", "",Fifth!C106)</f>
        <v>PwC</v>
      </c>
      <c r="D1103" s="66" t="str">
        <f>IF(Fifth!D106="", "",Fifth!D106)</f>
        <v>Returning</v>
      </c>
      <c r="E1103" s="66" t="str">
        <f>IF(Fifth!E106="", "",Fifth!E106)</f>
        <v>Male</v>
      </c>
      <c r="F1103" s="66" t="str">
        <f>IF(Fifth!F106="", "",Fifth!F106)</f>
        <v>Head/Neck</v>
      </c>
      <c r="G1103" s="66" t="str">
        <f>IF(Fifth!G106="", "",Fifth!G106)</f>
        <v>Curative Intent</v>
      </c>
      <c r="H1103" s="66" t="str">
        <f>IF(Fifth!H106="", "",Fifth!H106)</f>
        <v>Programme</v>
      </c>
      <c r="I1103" s="66" t="str">
        <f>IF(Fifth!I106="", "",Fifth!I106)</f>
        <v>NG Laryngectomy</v>
      </c>
      <c r="J1103" s="66" t="str">
        <f>IF(Fifth!J106="", "",Fifth!J106)</f>
        <v/>
      </c>
      <c r="K1103" s="86" t="str">
        <f>IF(Fifth!K106="", "",Fifth!K106)</f>
        <v/>
      </c>
      <c r="M1103" s="67">
        <f t="shared" si="53"/>
        <v>7</v>
      </c>
      <c r="N1103" s="76" t="str">
        <f t="shared" si="54"/>
        <v/>
      </c>
      <c r="O1103" s="33">
        <f t="shared" si="52"/>
        <v>7</v>
      </c>
    </row>
    <row r="1104" spans="1:15" x14ac:dyDescent="0.25">
      <c r="A1104" s="64" t="s">
        <v>224</v>
      </c>
      <c r="B1104" s="79" t="str">
        <f>IF(Fifth!B107="", "",Fifth!B107)</f>
        <v>Centre Head</v>
      </c>
      <c r="C1104" s="66" t="str">
        <f>IF(Fifth!C107="", "",Fifth!C107)</f>
        <v>PwC</v>
      </c>
      <c r="D1104" s="66" t="str">
        <f>IF(Fifth!D107="", "",Fifth!D107)</f>
        <v>Returning</v>
      </c>
      <c r="E1104" s="66" t="str">
        <f>IF(Fifth!E107="", "",Fifth!E107)</f>
        <v>Male</v>
      </c>
      <c r="F1104" s="66" t="str">
        <f>IF(Fifth!F107="", "",Fifth!F107)</f>
        <v>Head/Neck</v>
      </c>
      <c r="G1104" s="66" t="str">
        <f>IF(Fifth!G107="", "",Fifth!G107)</f>
        <v>Curative Intent</v>
      </c>
      <c r="H1104" s="66" t="str">
        <f>IF(Fifth!H107="", "",Fifth!H107)</f>
        <v>Programme</v>
      </c>
      <c r="I1104" s="66" t="str">
        <f>IF(Fifth!I107="", "",Fifth!I107)</f>
        <v>NG Laryngectomy</v>
      </c>
      <c r="J1104" s="66" t="str">
        <f>IF(Fifth!J107="", "",Fifth!J107)</f>
        <v/>
      </c>
      <c r="K1104" s="86" t="str">
        <f>IF(Fifth!K107="", "",Fifth!K107)</f>
        <v/>
      </c>
      <c r="M1104" s="67">
        <f t="shared" si="53"/>
        <v>7</v>
      </c>
      <c r="N1104" s="76" t="str">
        <f t="shared" si="54"/>
        <v/>
      </c>
      <c r="O1104" s="33">
        <f t="shared" si="52"/>
        <v>7</v>
      </c>
    </row>
    <row r="1105" spans="1:15" x14ac:dyDescent="0.25">
      <c r="A1105" s="64" t="s">
        <v>224</v>
      </c>
      <c r="B1105" s="79" t="str">
        <f>IF(Fifth!B108="", "",Fifth!B108)</f>
        <v>Centre Head</v>
      </c>
      <c r="C1105" s="66" t="str">
        <f>IF(Fifth!C108="", "",Fifth!C108)</f>
        <v>PwC</v>
      </c>
      <c r="D1105" s="66" t="str">
        <f>IF(Fifth!D108="", "",Fifth!D108)</f>
        <v>Returning</v>
      </c>
      <c r="E1105" s="66" t="str">
        <f>IF(Fifth!E108="", "",Fifth!E108)</f>
        <v>Male</v>
      </c>
      <c r="F1105" s="66" t="str">
        <f>IF(Fifth!F108="", "",Fifth!F108)</f>
        <v>Head/Neck</v>
      </c>
      <c r="G1105" s="66" t="str">
        <f>IF(Fifth!G108="", "",Fifth!G108)</f>
        <v>Curative Intent</v>
      </c>
      <c r="H1105" s="66" t="str">
        <f>IF(Fifth!H108="", "",Fifth!H108)</f>
        <v>Programme</v>
      </c>
      <c r="I1105" s="66" t="str">
        <f>IF(Fifth!I108="", "",Fifth!I108)</f>
        <v>NG Laryngectomy</v>
      </c>
      <c r="J1105" s="66" t="str">
        <f>IF(Fifth!J108="", "",Fifth!J108)</f>
        <v/>
      </c>
      <c r="K1105" s="86" t="str">
        <f>IF(Fifth!K108="", "",Fifth!K108)</f>
        <v/>
      </c>
      <c r="M1105" s="67">
        <f t="shared" si="53"/>
        <v>7</v>
      </c>
      <c r="N1105" s="76" t="str">
        <f t="shared" si="54"/>
        <v/>
      </c>
      <c r="O1105" s="33">
        <f t="shared" si="52"/>
        <v>7</v>
      </c>
    </row>
    <row r="1106" spans="1:15" x14ac:dyDescent="0.25">
      <c r="A1106" s="64" t="s">
        <v>224</v>
      </c>
      <c r="B1106" s="79" t="str">
        <f>IF(Fifth!B109="", "",Fifth!B109)</f>
        <v>Centre Head</v>
      </c>
      <c r="C1106" s="66" t="str">
        <f>IF(Fifth!C109="", "",Fifth!C109)</f>
        <v>PwC</v>
      </c>
      <c r="D1106" s="66" t="str">
        <f>IF(Fifth!D109="", "",Fifth!D109)</f>
        <v>Returning</v>
      </c>
      <c r="E1106" s="66" t="str">
        <f>IF(Fifth!E109="", "",Fifth!E109)</f>
        <v>Male</v>
      </c>
      <c r="F1106" s="66" t="str">
        <f>IF(Fifth!F109="", "",Fifth!F109)</f>
        <v>Head/Neck</v>
      </c>
      <c r="G1106" s="66" t="str">
        <f>IF(Fifth!G109="", "",Fifth!G109)</f>
        <v>Curative Intent</v>
      </c>
      <c r="H1106" s="66" t="str">
        <f>IF(Fifth!H109="", "",Fifth!H109)</f>
        <v>Programme</v>
      </c>
      <c r="I1106" s="66" t="str">
        <f>IF(Fifth!I109="", "",Fifth!I109)</f>
        <v>NG Laryngectomy</v>
      </c>
      <c r="J1106" s="66" t="str">
        <f>IF(Fifth!J109="", "",Fifth!J109)</f>
        <v>Caring for Someone with Cancer</v>
      </c>
      <c r="K1106" s="86" t="str">
        <f>IF(Fifth!K109="", "",Fifth!K109)</f>
        <v/>
      </c>
      <c r="M1106" s="67">
        <f t="shared" si="53"/>
        <v>7</v>
      </c>
      <c r="N1106" s="76" t="str">
        <f t="shared" si="54"/>
        <v/>
      </c>
      <c r="O1106" s="33">
        <f t="shared" si="52"/>
        <v>7</v>
      </c>
    </row>
    <row r="1107" spans="1:15" x14ac:dyDescent="0.25">
      <c r="A1107" s="64" t="s">
        <v>224</v>
      </c>
      <c r="B1107" s="79" t="str">
        <f>IF(Fifth!B110="", "",Fifth!B110)</f>
        <v>Centre Head</v>
      </c>
      <c r="C1107" s="66" t="str">
        <f>IF(Fifth!C110="", "",Fifth!C110)</f>
        <v>Carer</v>
      </c>
      <c r="D1107" s="66" t="str">
        <f>IF(Fifth!D110="", "",Fifth!D110)</f>
        <v>Returning</v>
      </c>
      <c r="E1107" s="66" t="str">
        <f>IF(Fifth!E110="", "",Fifth!E110)</f>
        <v>Male</v>
      </c>
      <c r="F1107" s="66" t="str">
        <f>IF(Fifth!F110="", "",Fifth!F110)</f>
        <v>Head/Neck</v>
      </c>
      <c r="G1107" s="66" t="str">
        <f>IF(Fifth!G110="", "",Fifth!G110)</f>
        <v>Curative Intent</v>
      </c>
      <c r="H1107" s="66" t="str">
        <f>IF(Fifth!H110="", "",Fifth!H110)</f>
        <v>Programme</v>
      </c>
      <c r="I1107" s="66" t="str">
        <f>IF(Fifth!I110="", "",Fifth!I110)</f>
        <v>NG Laryngectomy</v>
      </c>
      <c r="J1107" s="66" t="str">
        <f>IF(Fifth!J110="", "",Fifth!J110)</f>
        <v>Caring for Someone with Cancer</v>
      </c>
      <c r="K1107" s="86" t="str">
        <f>IF(Fifth!K110="", "",Fifth!K110)</f>
        <v>FSG Men's</v>
      </c>
      <c r="M1107" s="67" t="str">
        <f t="shared" si="53"/>
        <v/>
      </c>
      <c r="N1107" s="76">
        <f t="shared" si="54"/>
        <v>7</v>
      </c>
      <c r="O1107" s="33">
        <f t="shared" si="52"/>
        <v>7</v>
      </c>
    </row>
    <row r="1108" spans="1:15" x14ac:dyDescent="0.25">
      <c r="A1108" s="64" t="s">
        <v>224</v>
      </c>
      <c r="B1108" s="79" t="str">
        <f>IF(Fifth!B111="", "",Fifth!B111)</f>
        <v>Centre Head</v>
      </c>
      <c r="C1108" s="66" t="str">
        <f>IF(Fifth!C111="", "",Fifth!C111)</f>
        <v>Carer</v>
      </c>
      <c r="D1108" s="66" t="str">
        <f>IF(Fifth!D111="", "",Fifth!D111)</f>
        <v>Returning</v>
      </c>
      <c r="E1108" s="66" t="str">
        <f>IF(Fifth!E111="", "",Fifth!E111)</f>
        <v>Male</v>
      </c>
      <c r="F1108" s="66" t="str">
        <f>IF(Fifth!F111="", "",Fifth!F111)</f>
        <v>Head/Neck</v>
      </c>
      <c r="G1108" s="66" t="str">
        <f>IF(Fifth!G111="", "",Fifth!G111)</f>
        <v>Curative Intent</v>
      </c>
      <c r="H1108" s="66" t="str">
        <f>IF(Fifth!H111="", "",Fifth!H111)</f>
        <v>Programme</v>
      </c>
      <c r="I1108" s="66" t="str">
        <f>IF(Fifth!I111="", "",Fifth!I111)</f>
        <v>NG Laryngectomy</v>
      </c>
      <c r="J1108" s="66" t="str">
        <f>IF(Fifth!J111="", "",Fifth!J111)</f>
        <v>Caring for Someone with Cancer</v>
      </c>
      <c r="K1108" s="86" t="str">
        <f>IF(Fifth!K111="", "",Fifth!K111)</f>
        <v/>
      </c>
      <c r="M1108" s="67" t="str">
        <f t="shared" si="53"/>
        <v/>
      </c>
      <c r="N1108" s="76">
        <f t="shared" si="54"/>
        <v>7</v>
      </c>
      <c r="O1108" s="33">
        <f t="shared" si="52"/>
        <v>7</v>
      </c>
    </row>
    <row r="1109" spans="1:15" x14ac:dyDescent="0.25">
      <c r="A1109" s="64" t="s">
        <v>224</v>
      </c>
      <c r="B1109" s="79" t="str">
        <f>IF(Fifth!B112="", "",Fifth!B112)</f>
        <v>Centre Head</v>
      </c>
      <c r="C1109" s="66" t="str">
        <f>IF(Fifth!C112="", "",Fifth!C112)</f>
        <v>Carer</v>
      </c>
      <c r="D1109" s="66" t="str">
        <f>IF(Fifth!D112="", "",Fifth!D112)</f>
        <v>Returning</v>
      </c>
      <c r="E1109" s="66" t="str">
        <f>IF(Fifth!E112="", "",Fifth!E112)</f>
        <v>Male</v>
      </c>
      <c r="F1109" s="66" t="str">
        <f>IF(Fifth!F112="", "",Fifth!F112)</f>
        <v>Head/Neck</v>
      </c>
      <c r="G1109" s="66" t="str">
        <f>IF(Fifth!G112="", "",Fifth!G112)</f>
        <v>Curative Intent</v>
      </c>
      <c r="H1109" s="66" t="str">
        <f>IF(Fifth!H112="", "",Fifth!H112)</f>
        <v>Programme</v>
      </c>
      <c r="I1109" s="66" t="str">
        <f>IF(Fifth!I112="", "",Fifth!I112)</f>
        <v>NG Laryngectomy</v>
      </c>
      <c r="J1109" s="66" t="str">
        <f>IF(Fifth!J112="", "",Fifth!J112)</f>
        <v>Caring for Someone with Cancer</v>
      </c>
      <c r="K1109" s="86" t="str">
        <f>IF(Fifth!K112="", "",Fifth!K112)</f>
        <v>FSG Men's</v>
      </c>
      <c r="M1109" s="67" t="str">
        <f t="shared" si="53"/>
        <v/>
      </c>
      <c r="N1109" s="76">
        <f t="shared" si="54"/>
        <v>7</v>
      </c>
      <c r="O1109" s="33">
        <f t="shared" si="52"/>
        <v>7</v>
      </c>
    </row>
    <row r="1110" spans="1:15" x14ac:dyDescent="0.25">
      <c r="A1110" s="64" t="s">
        <v>224</v>
      </c>
      <c r="B1110" s="79" t="str">
        <f>IF(Fifth!B113="", "",Fifth!B113)</f>
        <v>Centre Head</v>
      </c>
      <c r="C1110" s="66" t="str">
        <f>IF(Fifth!C113="", "",Fifth!C113)</f>
        <v>Carer</v>
      </c>
      <c r="D1110" s="66" t="str">
        <f>IF(Fifth!D113="", "",Fifth!D113)</f>
        <v>Returning</v>
      </c>
      <c r="E1110" s="66" t="str">
        <f>IF(Fifth!E113="", "",Fifth!E113)</f>
        <v>Male</v>
      </c>
      <c r="F1110" s="66" t="str">
        <f>IF(Fifth!F113="", "",Fifth!F113)</f>
        <v>Head/Neck</v>
      </c>
      <c r="G1110" s="66" t="str">
        <f>IF(Fifth!G113="", "",Fifth!G113)</f>
        <v>Curative Intent</v>
      </c>
      <c r="H1110" s="66" t="str">
        <f>IF(Fifth!H113="", "",Fifth!H113)</f>
        <v>Programme</v>
      </c>
      <c r="I1110" s="66" t="str">
        <f>IF(Fifth!I113="", "",Fifth!I113)</f>
        <v>NG Laryngectomy</v>
      </c>
      <c r="J1110" s="66" t="str">
        <f>IF(Fifth!J113="", "",Fifth!J113)</f>
        <v>Caring for Someone with Cancer</v>
      </c>
      <c r="K1110" s="86" t="str">
        <f>IF(Fifth!K113="", "",Fifth!K113)</f>
        <v>FSG Men's</v>
      </c>
      <c r="M1110" s="67" t="str">
        <f t="shared" si="53"/>
        <v/>
      </c>
      <c r="N1110" s="76">
        <f t="shared" si="54"/>
        <v>7</v>
      </c>
      <c r="O1110" s="33">
        <f t="shared" si="52"/>
        <v>7</v>
      </c>
    </row>
    <row r="1111" spans="1:15" x14ac:dyDescent="0.25">
      <c r="A1111" s="64" t="s">
        <v>224</v>
      </c>
      <c r="B1111" s="79" t="str">
        <f>IF(Fifth!B114="", "",Fifth!B114)</f>
        <v>Centre Head</v>
      </c>
      <c r="C1111" s="66" t="str">
        <f>IF(Fifth!C114="", "",Fifth!C114)</f>
        <v>Carer</v>
      </c>
      <c r="D1111" s="66" t="str">
        <f>IF(Fifth!D114="", "",Fifth!D114)</f>
        <v>Returning</v>
      </c>
      <c r="E1111" s="66" t="str">
        <f>IF(Fifth!E114="", "",Fifth!E114)</f>
        <v>Female</v>
      </c>
      <c r="F1111" s="66" t="str">
        <f>IF(Fifth!F114="", "",Fifth!F114)</f>
        <v>Head/Neck</v>
      </c>
      <c r="G1111" s="66" t="str">
        <f>IF(Fifth!G114="", "",Fifth!G114)</f>
        <v>Curative Intent</v>
      </c>
      <c r="H1111" s="66" t="str">
        <f>IF(Fifth!H114="", "",Fifth!H114)</f>
        <v>Programme</v>
      </c>
      <c r="I1111" s="66" t="str">
        <f>IF(Fifth!I114="", "",Fifth!I114)</f>
        <v>NG Laryngectomy</v>
      </c>
      <c r="J1111" s="66" t="str">
        <f>IF(Fifth!J114="", "",Fifth!J114)</f>
        <v>Caring for Someone with Cancer</v>
      </c>
      <c r="K1111" s="86" t="str">
        <f>IF(Fifth!K114="", "",Fifth!K114)</f>
        <v/>
      </c>
      <c r="M1111" s="67" t="str">
        <f t="shared" si="53"/>
        <v/>
      </c>
      <c r="N1111" s="76">
        <f t="shared" si="54"/>
        <v>7</v>
      </c>
      <c r="O1111" s="33">
        <f t="shared" si="52"/>
        <v>7</v>
      </c>
    </row>
    <row r="1112" spans="1:15" x14ac:dyDescent="0.25">
      <c r="A1112" s="64" t="s">
        <v>224</v>
      </c>
      <c r="B1112" s="79" t="str">
        <f>IF(Fifth!B115="", "",Fifth!B115)</f>
        <v>Centre Head</v>
      </c>
      <c r="C1112" s="66" t="str">
        <f>IF(Fifth!C115="", "",Fifth!C115)</f>
        <v>Carer</v>
      </c>
      <c r="D1112" s="66" t="str">
        <f>IF(Fifth!D115="", "",Fifth!D115)</f>
        <v>Returning</v>
      </c>
      <c r="E1112" s="66" t="str">
        <f>IF(Fifth!E115="", "",Fifth!E115)</f>
        <v>Female</v>
      </c>
      <c r="F1112" s="66" t="str">
        <f>IF(Fifth!F115="", "",Fifth!F115)</f>
        <v>Head/Neck</v>
      </c>
      <c r="G1112" s="66" t="str">
        <f>IF(Fifth!G115="", "",Fifth!G115)</f>
        <v>Curative Intent</v>
      </c>
      <c r="H1112" s="66" t="str">
        <f>IF(Fifth!H115="", "",Fifth!H115)</f>
        <v>Programme</v>
      </c>
      <c r="I1112" s="66" t="str">
        <f>IF(Fifth!I115="", "",Fifth!I115)</f>
        <v>NG Laryngectomy</v>
      </c>
      <c r="J1112" s="66" t="str">
        <f>IF(Fifth!J115="", "",Fifth!J115)</f>
        <v/>
      </c>
      <c r="K1112" s="86" t="str">
        <f>IF(Fifth!K115="", "",Fifth!K115)</f>
        <v/>
      </c>
      <c r="M1112" s="67" t="str">
        <f t="shared" si="53"/>
        <v/>
      </c>
      <c r="N1112" s="76">
        <f t="shared" si="54"/>
        <v>7</v>
      </c>
      <c r="O1112" s="33">
        <f t="shared" si="52"/>
        <v>7</v>
      </c>
    </row>
    <row r="1113" spans="1:15" x14ac:dyDescent="0.25">
      <c r="A1113" s="64" t="s">
        <v>224</v>
      </c>
      <c r="B1113" s="79" t="str">
        <f>IF(Fifth!B116="", "",Fifth!B116)</f>
        <v>Centre Head</v>
      </c>
      <c r="C1113" s="66" t="str">
        <f>IF(Fifth!C116="", "",Fifth!C116)</f>
        <v>Carer</v>
      </c>
      <c r="D1113" s="66" t="str">
        <f>IF(Fifth!D116="", "",Fifth!D116)</f>
        <v>Returning</v>
      </c>
      <c r="E1113" s="66" t="str">
        <f>IF(Fifth!E116="", "",Fifth!E116)</f>
        <v>Female</v>
      </c>
      <c r="F1113" s="66" t="str">
        <f>IF(Fifth!F116="", "",Fifth!F116)</f>
        <v>Head/Neck</v>
      </c>
      <c r="G1113" s="66" t="str">
        <f>IF(Fifth!G116="", "",Fifth!G116)</f>
        <v>Curative Intent</v>
      </c>
      <c r="H1113" s="66" t="str">
        <f>IF(Fifth!H116="", "",Fifth!H116)</f>
        <v>Programme</v>
      </c>
      <c r="I1113" s="66" t="str">
        <f>IF(Fifth!I116="", "",Fifth!I116)</f>
        <v>NG Laryngectomy</v>
      </c>
      <c r="J1113" s="66" t="str">
        <f>IF(Fifth!J116="", "",Fifth!J116)</f>
        <v/>
      </c>
      <c r="K1113" s="86" t="str">
        <f>IF(Fifth!K116="", "",Fifth!K116)</f>
        <v/>
      </c>
      <c r="M1113" s="67" t="str">
        <f t="shared" si="53"/>
        <v/>
      </c>
      <c r="N1113" s="76">
        <f t="shared" si="54"/>
        <v>7</v>
      </c>
      <c r="O1113" s="33">
        <f t="shared" si="52"/>
        <v>7</v>
      </c>
    </row>
    <row r="1114" spans="1:15" x14ac:dyDescent="0.25">
      <c r="A1114" s="64" t="s">
        <v>224</v>
      </c>
      <c r="B1114" s="79" t="str">
        <f>IF(Fifth!B117="", "",Fifth!B117)</f>
        <v>Centre Head</v>
      </c>
      <c r="C1114" s="66" t="str">
        <f>IF(Fifth!C117="", "",Fifth!C117)</f>
        <v>Carer</v>
      </c>
      <c r="D1114" s="66" t="str">
        <f>IF(Fifth!D117="", "",Fifth!D117)</f>
        <v>Returning</v>
      </c>
      <c r="E1114" s="66" t="str">
        <f>IF(Fifth!E117="", "",Fifth!E117)</f>
        <v>Female</v>
      </c>
      <c r="F1114" s="66" t="str">
        <f>IF(Fifth!F117="", "",Fifth!F117)</f>
        <v>Head/Neck</v>
      </c>
      <c r="G1114" s="66" t="str">
        <f>IF(Fifth!G117="", "",Fifth!G117)</f>
        <v>Curative Intent</v>
      </c>
      <c r="H1114" s="66" t="str">
        <f>IF(Fifth!H117="", "",Fifth!H117)</f>
        <v>Programme</v>
      </c>
      <c r="I1114" s="66" t="str">
        <f>IF(Fifth!I117="", "",Fifth!I117)</f>
        <v>NG Laryngectomy</v>
      </c>
      <c r="J1114" s="66" t="str">
        <f>IF(Fifth!J117="", "",Fifth!J117)</f>
        <v>Caring for Someone with Cancer</v>
      </c>
      <c r="K1114" s="86" t="str">
        <f>IF(Fifth!K117="", "",Fifth!K117)</f>
        <v/>
      </c>
      <c r="M1114" s="67" t="str">
        <f t="shared" si="53"/>
        <v/>
      </c>
      <c r="N1114" s="76">
        <f t="shared" si="54"/>
        <v>7</v>
      </c>
      <c r="O1114" s="33">
        <f t="shared" si="52"/>
        <v>7</v>
      </c>
    </row>
    <row r="1115" spans="1:15" x14ac:dyDescent="0.25">
      <c r="A1115" s="64" t="s">
        <v>224</v>
      </c>
      <c r="B1115" s="79" t="str">
        <f>IF(Fifth!B118="", "",Fifth!B118)</f>
        <v>Centre Head</v>
      </c>
      <c r="C1115" s="66" t="str">
        <f>IF(Fifth!C118="", "",Fifth!C118)</f>
        <v>PwC</v>
      </c>
      <c r="D1115" s="66" t="str">
        <f>IF(Fifth!D118="", "",Fifth!D118)</f>
        <v>Returning</v>
      </c>
      <c r="E1115" s="66" t="str">
        <f>IF(Fifth!E118="", "",Fifth!E118)</f>
        <v>Female</v>
      </c>
      <c r="F1115" s="66" t="str">
        <f>IF(Fifth!F118="", "",Fifth!F118)</f>
        <v>Head/Neck</v>
      </c>
      <c r="G1115" s="66" t="str">
        <f>IF(Fifth!G118="", "",Fifth!G118)</f>
        <v>Curative Intent</v>
      </c>
      <c r="H1115" s="66" t="str">
        <f>IF(Fifth!H118="", "",Fifth!H118)</f>
        <v>Programme</v>
      </c>
      <c r="I1115" s="66" t="str">
        <f>IF(Fifth!I118="", "",Fifth!I118)</f>
        <v>NG Laryngectomy</v>
      </c>
      <c r="J1115" s="66" t="str">
        <f>IF(Fifth!J118="", "",Fifth!J118)</f>
        <v>Caring for Someone with Cancer</v>
      </c>
      <c r="K1115" s="86" t="str">
        <f>IF(Fifth!K118="", "",Fifth!K118)</f>
        <v/>
      </c>
      <c r="M1115" s="67">
        <f t="shared" si="53"/>
        <v>7</v>
      </c>
      <c r="N1115" s="76" t="str">
        <f t="shared" si="54"/>
        <v/>
      </c>
      <c r="O1115" s="33">
        <f t="shared" si="52"/>
        <v>7</v>
      </c>
    </row>
    <row r="1116" spans="1:15" x14ac:dyDescent="0.25">
      <c r="A1116" s="64" t="s">
        <v>224</v>
      </c>
      <c r="B1116" s="79" t="str">
        <f>IF(Fifth!B119="", "",Fifth!B119)</f>
        <v>Centre Head</v>
      </c>
      <c r="C1116" s="66" t="str">
        <f>IF(Fifth!C119="", "",Fifth!C119)</f>
        <v>PwC</v>
      </c>
      <c r="D1116" s="66" t="str">
        <f>IF(Fifth!D119="", "",Fifth!D119)</f>
        <v>Returning</v>
      </c>
      <c r="E1116" s="66" t="str">
        <f>IF(Fifth!E119="", "",Fifth!E119)</f>
        <v>Female</v>
      </c>
      <c r="F1116" s="66" t="str">
        <f>IF(Fifth!F119="", "",Fifth!F119)</f>
        <v>Head/Neck</v>
      </c>
      <c r="G1116" s="66" t="str">
        <f>IF(Fifth!G119="", "",Fifth!G119)</f>
        <v>Curative Intent</v>
      </c>
      <c r="H1116" s="66" t="str">
        <f>IF(Fifth!H119="", "",Fifth!H119)</f>
        <v>Programme</v>
      </c>
      <c r="I1116" s="66" t="str">
        <f>IF(Fifth!I119="", "",Fifth!I119)</f>
        <v>NG Laryngectomy</v>
      </c>
      <c r="J1116" s="66" t="str">
        <f>IF(Fifth!J119="", "",Fifth!J119)</f>
        <v>Caring for Someone with Cancer</v>
      </c>
      <c r="K1116" s="86" t="str">
        <f>IF(Fifth!K119="", "",Fifth!K119)</f>
        <v>FSG Men's</v>
      </c>
      <c r="M1116" s="67">
        <f t="shared" si="53"/>
        <v>7</v>
      </c>
      <c r="N1116" s="76" t="str">
        <f t="shared" si="54"/>
        <v/>
      </c>
      <c r="O1116" s="33">
        <f t="shared" si="52"/>
        <v>7</v>
      </c>
    </row>
    <row r="1117" spans="1:15" x14ac:dyDescent="0.25">
      <c r="A1117" s="64" t="s">
        <v>224</v>
      </c>
      <c r="B1117" s="79" t="str">
        <f>IF(Fifth!B120="", "",Fifth!B120)</f>
        <v>Centre Head</v>
      </c>
      <c r="C1117" s="66" t="str">
        <f>IF(Fifth!C120="", "",Fifth!C120)</f>
        <v>PwC</v>
      </c>
      <c r="D1117" s="66" t="str">
        <f>IF(Fifth!D120="", "",Fifth!D120)</f>
        <v>Returning</v>
      </c>
      <c r="E1117" s="66" t="str">
        <f>IF(Fifth!E120="", "",Fifth!E120)</f>
        <v>Female</v>
      </c>
      <c r="F1117" s="66" t="str">
        <f>IF(Fifth!F120="", "",Fifth!F120)</f>
        <v>Head/Neck</v>
      </c>
      <c r="G1117" s="66" t="str">
        <f>IF(Fifth!G120="", "",Fifth!G120)</f>
        <v>Curative Intent</v>
      </c>
      <c r="H1117" s="66" t="str">
        <f>IF(Fifth!H120="", "",Fifth!H120)</f>
        <v>Programme</v>
      </c>
      <c r="I1117" s="66" t="str">
        <f>IF(Fifth!I120="", "",Fifth!I120)</f>
        <v>NG Laryngectomy</v>
      </c>
      <c r="J1117" s="66" t="str">
        <f>IF(Fifth!J120="", "",Fifth!J120)</f>
        <v>Caring for Someone with Cancer</v>
      </c>
      <c r="K1117" s="86" t="str">
        <f>IF(Fifth!K120="", "",Fifth!K120)</f>
        <v>FSG Men's</v>
      </c>
      <c r="M1117" s="67">
        <f t="shared" si="53"/>
        <v>7</v>
      </c>
      <c r="N1117" s="76" t="str">
        <f t="shared" si="54"/>
        <v/>
      </c>
      <c r="O1117" s="33">
        <f t="shared" si="52"/>
        <v>7</v>
      </c>
    </row>
    <row r="1118" spans="1:15" x14ac:dyDescent="0.25">
      <c r="A1118" s="64" t="s">
        <v>224</v>
      </c>
      <c r="B1118" s="79" t="str">
        <f>IF(Fifth!B121="", "",Fifth!B121)</f>
        <v>Centre Head</v>
      </c>
      <c r="C1118" s="66" t="str">
        <f>IF(Fifth!C121="", "",Fifth!C121)</f>
        <v>PwC</v>
      </c>
      <c r="D1118" s="66" t="str">
        <f>IF(Fifth!D121="", "",Fifth!D121)</f>
        <v>Returning</v>
      </c>
      <c r="E1118" s="66" t="str">
        <f>IF(Fifth!E121="", "",Fifth!E121)</f>
        <v>Female</v>
      </c>
      <c r="F1118" s="66" t="str">
        <f>IF(Fifth!F121="", "",Fifth!F121)</f>
        <v>Head/Neck</v>
      </c>
      <c r="G1118" s="66" t="str">
        <f>IF(Fifth!G121="", "",Fifth!G121)</f>
        <v>Curative Intent</v>
      </c>
      <c r="H1118" s="66" t="str">
        <f>IF(Fifth!H121="", "",Fifth!H121)</f>
        <v>Programme</v>
      </c>
      <c r="I1118" s="66" t="str">
        <f>IF(Fifth!I121="", "",Fifth!I121)</f>
        <v>NG Laryngectomy</v>
      </c>
      <c r="J1118" s="66" t="str">
        <f>IF(Fifth!J121="", "",Fifth!J121)</f>
        <v/>
      </c>
      <c r="K1118" s="86" t="str">
        <f>IF(Fifth!K121="", "",Fifth!K121)</f>
        <v/>
      </c>
      <c r="M1118" s="67">
        <f t="shared" si="53"/>
        <v>7</v>
      </c>
      <c r="N1118" s="76" t="str">
        <f t="shared" si="54"/>
        <v/>
      </c>
      <c r="O1118" s="33">
        <f t="shared" si="52"/>
        <v>7</v>
      </c>
    </row>
    <row r="1119" spans="1:15" x14ac:dyDescent="0.25">
      <c r="A1119" s="64" t="s">
        <v>224</v>
      </c>
      <c r="B1119" s="79" t="str">
        <f>IF(Fifth!B122="", "",Fifth!B122)</f>
        <v>Centre Head</v>
      </c>
      <c r="C1119" s="66" t="str">
        <f>IF(Fifth!C122="", "",Fifth!C122)</f>
        <v>PwC</v>
      </c>
      <c r="D1119" s="66" t="str">
        <f>IF(Fifth!D122="", "",Fifth!D122)</f>
        <v>Returning</v>
      </c>
      <c r="E1119" s="66" t="str">
        <f>IF(Fifth!E122="", "",Fifth!E122)</f>
        <v>Female</v>
      </c>
      <c r="F1119" s="66" t="str">
        <f>IF(Fifth!F122="", "",Fifth!F122)</f>
        <v>Head/Neck</v>
      </c>
      <c r="G1119" s="66" t="str">
        <f>IF(Fifth!G122="", "",Fifth!G122)</f>
        <v>Curative Intent</v>
      </c>
      <c r="H1119" s="66" t="str">
        <f>IF(Fifth!H122="", "",Fifth!H122)</f>
        <v>Programme</v>
      </c>
      <c r="I1119" s="66" t="str">
        <f>IF(Fifth!I122="", "",Fifth!I122)</f>
        <v>NG Laryngectomy</v>
      </c>
      <c r="J1119" s="66" t="str">
        <f>IF(Fifth!J122="", "",Fifth!J122)</f>
        <v/>
      </c>
      <c r="K1119" s="86" t="str">
        <f>IF(Fifth!K122="", "",Fifth!K122)</f>
        <v/>
      </c>
      <c r="M1119" s="67">
        <f t="shared" si="53"/>
        <v>7</v>
      </c>
      <c r="N1119" s="76" t="str">
        <f t="shared" si="54"/>
        <v/>
      </c>
      <c r="O1119" s="33">
        <f t="shared" si="52"/>
        <v>7</v>
      </c>
    </row>
    <row r="1120" spans="1:15" x14ac:dyDescent="0.25">
      <c r="A1120" s="64" t="s">
        <v>224</v>
      </c>
      <c r="B1120" s="79" t="str">
        <f>IF(Fifth!B123="", "",Fifth!B123)</f>
        <v/>
      </c>
      <c r="C1120" s="66" t="str">
        <f>IF(Fifth!C123="", "",Fifth!C123)</f>
        <v/>
      </c>
      <c r="D1120" s="66" t="str">
        <f>IF(Fifth!D123="", "",Fifth!D123)</f>
        <v/>
      </c>
      <c r="E1120" s="66" t="str">
        <f>IF(Fifth!E123="", "",Fifth!E123)</f>
        <v/>
      </c>
      <c r="F1120" s="66" t="str">
        <f>IF(Fifth!F123="", "",Fifth!F123)</f>
        <v/>
      </c>
      <c r="G1120" s="66" t="str">
        <f>IF(Fifth!G123="", "",Fifth!G123)</f>
        <v/>
      </c>
      <c r="H1120" s="66" t="str">
        <f>IF(Fifth!H123="", "",Fifth!H123)</f>
        <v/>
      </c>
      <c r="I1120" s="66" t="str">
        <f>IF(Fifth!I123="", "",Fifth!I123)</f>
        <v/>
      </c>
      <c r="J1120" s="66" t="str">
        <f>IF(Fifth!J123="", "",Fifth!J123)</f>
        <v/>
      </c>
      <c r="K1120" s="86" t="str">
        <f>IF(Fifth!K123="", "",Fifth!K123)</f>
        <v/>
      </c>
      <c r="M1120" s="67" t="str">
        <f t="shared" si="53"/>
        <v/>
      </c>
      <c r="N1120" s="76" t="str">
        <f t="shared" si="54"/>
        <v/>
      </c>
      <c r="O1120" s="33">
        <f t="shared" si="52"/>
        <v>0</v>
      </c>
    </row>
    <row r="1121" spans="1:15" x14ac:dyDescent="0.25">
      <c r="A1121" s="64" t="s">
        <v>224</v>
      </c>
      <c r="B1121" s="79" t="str">
        <f>IF(Fifth!B124="", "",Fifth!B124)</f>
        <v/>
      </c>
      <c r="C1121" s="66" t="str">
        <f>IF(Fifth!C124="", "",Fifth!C124)</f>
        <v/>
      </c>
      <c r="D1121" s="66" t="str">
        <f>IF(Fifth!D124="", "",Fifth!D124)</f>
        <v/>
      </c>
      <c r="E1121" s="66" t="str">
        <f>IF(Fifth!E124="", "",Fifth!E124)</f>
        <v/>
      </c>
      <c r="F1121" s="66" t="str">
        <f>IF(Fifth!F124="", "",Fifth!F124)</f>
        <v/>
      </c>
      <c r="G1121" s="66" t="str">
        <f>IF(Fifth!G124="", "",Fifth!G124)</f>
        <v/>
      </c>
      <c r="H1121" s="66" t="str">
        <f>IF(Fifth!H124="", "",Fifth!H124)</f>
        <v/>
      </c>
      <c r="I1121" s="66" t="str">
        <f>IF(Fifth!I124="", "",Fifth!I124)</f>
        <v/>
      </c>
      <c r="J1121" s="66" t="str">
        <f>IF(Fifth!J124="", "",Fifth!J124)</f>
        <v/>
      </c>
      <c r="K1121" s="86" t="str">
        <f>IF(Fifth!K124="", "",Fifth!K124)</f>
        <v/>
      </c>
      <c r="M1121" s="67" t="str">
        <f t="shared" si="53"/>
        <v/>
      </c>
      <c r="N1121" s="76" t="str">
        <f t="shared" si="54"/>
        <v/>
      </c>
      <c r="O1121" s="33">
        <f t="shared" si="52"/>
        <v>0</v>
      </c>
    </row>
    <row r="1122" spans="1:15" x14ac:dyDescent="0.25">
      <c r="A1122" s="64" t="s">
        <v>224</v>
      </c>
      <c r="B1122" s="79" t="str">
        <f>IF(Fifth!B125="", "",Fifth!B125)</f>
        <v/>
      </c>
      <c r="C1122" s="66" t="str">
        <f>IF(Fifth!C125="", "",Fifth!C125)</f>
        <v/>
      </c>
      <c r="D1122" s="66" t="str">
        <f>IF(Fifth!D125="", "",Fifth!D125)</f>
        <v/>
      </c>
      <c r="E1122" s="66" t="str">
        <f>IF(Fifth!E125="", "",Fifth!E125)</f>
        <v/>
      </c>
      <c r="F1122" s="66" t="str">
        <f>IF(Fifth!F125="", "",Fifth!F125)</f>
        <v/>
      </c>
      <c r="G1122" s="66" t="str">
        <f>IF(Fifth!G125="", "",Fifth!G125)</f>
        <v/>
      </c>
      <c r="H1122" s="66" t="str">
        <f>IF(Fifth!H125="", "",Fifth!H125)</f>
        <v/>
      </c>
      <c r="I1122" s="66" t="str">
        <f>IF(Fifth!I125="", "",Fifth!I125)</f>
        <v/>
      </c>
      <c r="J1122" s="66" t="str">
        <f>IF(Fifth!J125="", "",Fifth!J125)</f>
        <v/>
      </c>
      <c r="K1122" s="86" t="str">
        <f>IF(Fifth!K125="", "",Fifth!K125)</f>
        <v/>
      </c>
      <c r="M1122" s="67" t="str">
        <f t="shared" si="53"/>
        <v/>
      </c>
      <c r="N1122" s="76" t="str">
        <f t="shared" si="54"/>
        <v/>
      </c>
      <c r="O1122" s="33">
        <f t="shared" si="52"/>
        <v>0</v>
      </c>
    </row>
    <row r="1123" spans="1:15" x14ac:dyDescent="0.25">
      <c r="A1123" s="64" t="s">
        <v>224</v>
      </c>
      <c r="B1123" s="79" t="str">
        <f>IF(Fifth!B126="", "",Fifth!B126)</f>
        <v/>
      </c>
      <c r="C1123" s="66" t="str">
        <f>IF(Fifth!C126="", "",Fifth!C126)</f>
        <v/>
      </c>
      <c r="D1123" s="66" t="str">
        <f>IF(Fifth!D126="", "",Fifth!D126)</f>
        <v/>
      </c>
      <c r="E1123" s="66" t="str">
        <f>IF(Fifth!E126="", "",Fifth!E126)</f>
        <v/>
      </c>
      <c r="F1123" s="66" t="str">
        <f>IF(Fifth!F126="", "",Fifth!F126)</f>
        <v/>
      </c>
      <c r="G1123" s="66" t="str">
        <f>IF(Fifth!G126="", "",Fifth!G126)</f>
        <v/>
      </c>
      <c r="H1123" s="66" t="str">
        <f>IF(Fifth!H126="", "",Fifth!H126)</f>
        <v/>
      </c>
      <c r="I1123" s="66" t="str">
        <f>IF(Fifth!I126="", "",Fifth!I126)</f>
        <v/>
      </c>
      <c r="J1123" s="66" t="str">
        <f>IF(Fifth!J126="", "",Fifth!J126)</f>
        <v/>
      </c>
      <c r="K1123" s="86" t="str">
        <f>IF(Fifth!K126="", "",Fifth!K126)</f>
        <v/>
      </c>
      <c r="M1123" s="67" t="str">
        <f t="shared" si="53"/>
        <v/>
      </c>
      <c r="N1123" s="76" t="str">
        <f t="shared" si="54"/>
        <v/>
      </c>
      <c r="O1123" s="33">
        <f t="shared" si="52"/>
        <v>0</v>
      </c>
    </row>
    <row r="1124" spans="1:15" x14ac:dyDescent="0.25">
      <c r="A1124" s="64" t="s">
        <v>224</v>
      </c>
      <c r="B1124" s="79" t="str">
        <f>IF(Fifth!B127="", "",Fifth!B127)</f>
        <v/>
      </c>
      <c r="C1124" s="66" t="str">
        <f>IF(Fifth!C127="", "",Fifth!C127)</f>
        <v/>
      </c>
      <c r="D1124" s="66" t="str">
        <f>IF(Fifth!D127="", "",Fifth!D127)</f>
        <v/>
      </c>
      <c r="E1124" s="66" t="str">
        <f>IF(Fifth!E127="", "",Fifth!E127)</f>
        <v/>
      </c>
      <c r="F1124" s="66" t="str">
        <f>IF(Fifth!F127="", "",Fifth!F127)</f>
        <v/>
      </c>
      <c r="G1124" s="66" t="str">
        <f>IF(Fifth!G127="", "",Fifth!G127)</f>
        <v/>
      </c>
      <c r="H1124" s="66" t="str">
        <f>IF(Fifth!H127="", "",Fifth!H127)</f>
        <v/>
      </c>
      <c r="I1124" s="66" t="str">
        <f>IF(Fifth!I127="", "",Fifth!I127)</f>
        <v/>
      </c>
      <c r="J1124" s="66" t="str">
        <f>IF(Fifth!J127="", "",Fifth!J127)</f>
        <v/>
      </c>
      <c r="K1124" s="86" t="str">
        <f>IF(Fifth!K127="", "",Fifth!K127)</f>
        <v/>
      </c>
      <c r="M1124" s="67" t="str">
        <f t="shared" si="53"/>
        <v/>
      </c>
      <c r="N1124" s="76" t="str">
        <f t="shared" si="54"/>
        <v/>
      </c>
      <c r="O1124" s="33">
        <f t="shared" si="52"/>
        <v>0</v>
      </c>
    </row>
    <row r="1125" spans="1:15" x14ac:dyDescent="0.25">
      <c r="A1125" s="64" t="s">
        <v>224</v>
      </c>
      <c r="B1125" s="79" t="str">
        <f>IF(Fifth!B128="", "",Fifth!B128)</f>
        <v/>
      </c>
      <c r="C1125" s="66" t="str">
        <f>IF(Fifth!C128="", "",Fifth!C128)</f>
        <v/>
      </c>
      <c r="D1125" s="66" t="str">
        <f>IF(Fifth!D128="", "",Fifth!D128)</f>
        <v/>
      </c>
      <c r="E1125" s="66" t="str">
        <f>IF(Fifth!E128="", "",Fifth!E128)</f>
        <v/>
      </c>
      <c r="F1125" s="66" t="str">
        <f>IF(Fifth!F128="", "",Fifth!F128)</f>
        <v/>
      </c>
      <c r="G1125" s="66" t="str">
        <f>IF(Fifth!G128="", "",Fifth!G128)</f>
        <v/>
      </c>
      <c r="H1125" s="66" t="str">
        <f>IF(Fifth!H128="", "",Fifth!H128)</f>
        <v/>
      </c>
      <c r="I1125" s="66" t="str">
        <f>IF(Fifth!I128="", "",Fifth!I128)</f>
        <v/>
      </c>
      <c r="J1125" s="66" t="str">
        <f>IF(Fifth!J128="", "",Fifth!J128)</f>
        <v/>
      </c>
      <c r="K1125" s="86" t="str">
        <f>IF(Fifth!K128="", "",Fifth!K128)</f>
        <v/>
      </c>
      <c r="M1125" s="67" t="str">
        <f t="shared" si="53"/>
        <v/>
      </c>
      <c r="N1125" s="76" t="str">
        <f t="shared" si="54"/>
        <v/>
      </c>
      <c r="O1125" s="33">
        <f t="shared" si="52"/>
        <v>0</v>
      </c>
    </row>
    <row r="1126" spans="1:15" x14ac:dyDescent="0.25">
      <c r="A1126" s="64" t="s">
        <v>224</v>
      </c>
      <c r="B1126" s="79" t="str">
        <f>IF(Fifth!B129="", "",Fifth!B129)</f>
        <v/>
      </c>
      <c r="C1126" s="66" t="str">
        <f>IF(Fifth!C129="", "",Fifth!C129)</f>
        <v/>
      </c>
      <c r="D1126" s="66" t="str">
        <f>IF(Fifth!D129="", "",Fifth!D129)</f>
        <v/>
      </c>
      <c r="E1126" s="66" t="str">
        <f>IF(Fifth!E129="", "",Fifth!E129)</f>
        <v/>
      </c>
      <c r="F1126" s="66" t="str">
        <f>IF(Fifth!F129="", "",Fifth!F129)</f>
        <v/>
      </c>
      <c r="G1126" s="66" t="str">
        <f>IF(Fifth!G129="", "",Fifth!G129)</f>
        <v/>
      </c>
      <c r="H1126" s="66" t="str">
        <f>IF(Fifth!H129="", "",Fifth!H129)</f>
        <v/>
      </c>
      <c r="I1126" s="66" t="str">
        <f>IF(Fifth!I129="", "",Fifth!I129)</f>
        <v/>
      </c>
      <c r="J1126" s="66" t="str">
        <f>IF(Fifth!J129="", "",Fifth!J129)</f>
        <v/>
      </c>
      <c r="K1126" s="86" t="str">
        <f>IF(Fifth!K129="", "",Fifth!K129)</f>
        <v/>
      </c>
      <c r="M1126" s="67" t="str">
        <f t="shared" si="53"/>
        <v/>
      </c>
      <c r="N1126" s="76" t="str">
        <f t="shared" si="54"/>
        <v/>
      </c>
      <c r="O1126" s="33">
        <f t="shared" si="52"/>
        <v>0</v>
      </c>
    </row>
    <row r="1127" spans="1:15" x14ac:dyDescent="0.25">
      <c r="A1127" s="64" t="s">
        <v>224</v>
      </c>
      <c r="B1127" s="79" t="str">
        <f>IF(Fifth!B130="", "",Fifth!B130)</f>
        <v/>
      </c>
      <c r="C1127" s="66" t="str">
        <f>IF(Fifth!C130="", "",Fifth!C130)</f>
        <v/>
      </c>
      <c r="D1127" s="66" t="str">
        <f>IF(Fifth!D130="", "",Fifth!D130)</f>
        <v/>
      </c>
      <c r="E1127" s="66" t="str">
        <f>IF(Fifth!E130="", "",Fifth!E130)</f>
        <v/>
      </c>
      <c r="F1127" s="66" t="str">
        <f>IF(Fifth!F130="", "",Fifth!F130)</f>
        <v/>
      </c>
      <c r="G1127" s="66" t="str">
        <f>IF(Fifth!G130="", "",Fifth!G130)</f>
        <v/>
      </c>
      <c r="H1127" s="66" t="str">
        <f>IF(Fifth!H130="", "",Fifth!H130)</f>
        <v/>
      </c>
      <c r="I1127" s="66" t="str">
        <f>IF(Fifth!I130="", "",Fifth!I130)</f>
        <v/>
      </c>
      <c r="J1127" s="66" t="str">
        <f>IF(Fifth!J130="", "",Fifth!J130)</f>
        <v/>
      </c>
      <c r="K1127" s="86" t="str">
        <f>IF(Fifth!K130="", "",Fifth!K130)</f>
        <v/>
      </c>
      <c r="M1127" s="67" t="str">
        <f t="shared" si="53"/>
        <v/>
      </c>
      <c r="N1127" s="76" t="str">
        <f t="shared" si="54"/>
        <v/>
      </c>
      <c r="O1127" s="33">
        <f t="shared" si="52"/>
        <v>0</v>
      </c>
    </row>
    <row r="1128" spans="1:15" x14ac:dyDescent="0.25">
      <c r="A1128" s="64" t="s">
        <v>224</v>
      </c>
      <c r="B1128" s="79" t="str">
        <f>IF(Fifth!B131="", "",Fifth!B131)</f>
        <v/>
      </c>
      <c r="C1128" s="66" t="str">
        <f>IF(Fifth!C131="", "",Fifth!C131)</f>
        <v/>
      </c>
      <c r="D1128" s="66" t="str">
        <f>IF(Fifth!D131="", "",Fifth!D131)</f>
        <v/>
      </c>
      <c r="E1128" s="66" t="str">
        <f>IF(Fifth!E131="", "",Fifth!E131)</f>
        <v/>
      </c>
      <c r="F1128" s="66" t="str">
        <f>IF(Fifth!F131="", "",Fifth!F131)</f>
        <v/>
      </c>
      <c r="G1128" s="66" t="str">
        <f>IF(Fifth!G131="", "",Fifth!G131)</f>
        <v/>
      </c>
      <c r="H1128" s="66" t="str">
        <f>IF(Fifth!H131="", "",Fifth!H131)</f>
        <v/>
      </c>
      <c r="I1128" s="66" t="str">
        <f>IF(Fifth!I131="", "",Fifth!I131)</f>
        <v/>
      </c>
      <c r="J1128" s="66" t="str">
        <f>IF(Fifth!J131="", "",Fifth!J131)</f>
        <v/>
      </c>
      <c r="K1128" s="86" t="str">
        <f>IF(Fifth!K131="", "",Fifth!K131)</f>
        <v/>
      </c>
      <c r="M1128" s="67" t="str">
        <f t="shared" si="53"/>
        <v/>
      </c>
      <c r="N1128" s="76" t="str">
        <f t="shared" si="54"/>
        <v/>
      </c>
      <c r="O1128" s="33">
        <f t="shared" si="52"/>
        <v>0</v>
      </c>
    </row>
    <row r="1129" spans="1:15" x14ac:dyDescent="0.25">
      <c r="A1129" s="64" t="s">
        <v>224</v>
      </c>
      <c r="B1129" s="79" t="str">
        <f>IF(Fifth!B132="", "",Fifth!B132)</f>
        <v/>
      </c>
      <c r="C1129" s="66" t="str">
        <f>IF(Fifth!C132="", "",Fifth!C132)</f>
        <v/>
      </c>
      <c r="D1129" s="66" t="str">
        <f>IF(Fifth!D132="", "",Fifth!D132)</f>
        <v/>
      </c>
      <c r="E1129" s="66" t="str">
        <f>IF(Fifth!E132="", "",Fifth!E132)</f>
        <v/>
      </c>
      <c r="F1129" s="66" t="str">
        <f>IF(Fifth!F132="", "",Fifth!F132)</f>
        <v/>
      </c>
      <c r="G1129" s="66" t="str">
        <f>IF(Fifth!G132="", "",Fifth!G132)</f>
        <v/>
      </c>
      <c r="H1129" s="66" t="str">
        <f>IF(Fifth!H132="", "",Fifth!H132)</f>
        <v/>
      </c>
      <c r="I1129" s="66" t="str">
        <f>IF(Fifth!I132="", "",Fifth!I132)</f>
        <v/>
      </c>
      <c r="J1129" s="66" t="str">
        <f>IF(Fifth!J132="", "",Fifth!J132)</f>
        <v/>
      </c>
      <c r="K1129" s="86" t="str">
        <f>IF(Fifth!K132="", "",Fifth!K132)</f>
        <v/>
      </c>
      <c r="M1129" s="67" t="str">
        <f t="shared" si="53"/>
        <v/>
      </c>
      <c r="N1129" s="76" t="str">
        <f t="shared" si="54"/>
        <v/>
      </c>
      <c r="O1129" s="33">
        <f t="shared" si="52"/>
        <v>0</v>
      </c>
    </row>
    <row r="1130" spans="1:15" x14ac:dyDescent="0.25">
      <c r="A1130" s="64" t="s">
        <v>224</v>
      </c>
      <c r="B1130" s="79" t="str">
        <f>IF(Fifth!B133="", "",Fifth!B133)</f>
        <v/>
      </c>
      <c r="C1130" s="66" t="str">
        <f>IF(Fifth!C133="", "",Fifth!C133)</f>
        <v/>
      </c>
      <c r="D1130" s="66" t="str">
        <f>IF(Fifth!D133="", "",Fifth!D133)</f>
        <v/>
      </c>
      <c r="E1130" s="66" t="str">
        <f>IF(Fifth!E133="", "",Fifth!E133)</f>
        <v/>
      </c>
      <c r="F1130" s="66" t="str">
        <f>IF(Fifth!F133="", "",Fifth!F133)</f>
        <v/>
      </c>
      <c r="G1130" s="66" t="str">
        <f>IF(Fifth!G133="", "",Fifth!G133)</f>
        <v/>
      </c>
      <c r="H1130" s="66" t="str">
        <f>IF(Fifth!H133="", "",Fifth!H133)</f>
        <v/>
      </c>
      <c r="I1130" s="66" t="str">
        <f>IF(Fifth!I133="", "",Fifth!I133)</f>
        <v/>
      </c>
      <c r="J1130" s="66" t="str">
        <f>IF(Fifth!J133="", "",Fifth!J133)</f>
        <v/>
      </c>
      <c r="K1130" s="86" t="str">
        <f>IF(Fifth!K133="", "",Fifth!K133)</f>
        <v/>
      </c>
      <c r="M1130" s="67" t="str">
        <f t="shared" si="53"/>
        <v/>
      </c>
      <c r="N1130" s="76" t="str">
        <f t="shared" si="54"/>
        <v/>
      </c>
      <c r="O1130" s="33">
        <f t="shared" si="52"/>
        <v>0</v>
      </c>
    </row>
    <row r="1131" spans="1:15" x14ac:dyDescent="0.25">
      <c r="A1131" s="64" t="s">
        <v>224</v>
      </c>
      <c r="B1131" s="79" t="str">
        <f>IF(Fifth!B134="", "",Fifth!B134)</f>
        <v/>
      </c>
      <c r="C1131" s="66" t="str">
        <f>IF(Fifth!C134="", "",Fifth!C134)</f>
        <v/>
      </c>
      <c r="D1131" s="66" t="str">
        <f>IF(Fifth!D134="", "",Fifth!D134)</f>
        <v/>
      </c>
      <c r="E1131" s="66" t="str">
        <f>IF(Fifth!E134="", "",Fifth!E134)</f>
        <v/>
      </c>
      <c r="F1131" s="66" t="str">
        <f>IF(Fifth!F134="", "",Fifth!F134)</f>
        <v/>
      </c>
      <c r="G1131" s="66" t="str">
        <f>IF(Fifth!G134="", "",Fifth!G134)</f>
        <v/>
      </c>
      <c r="H1131" s="66" t="str">
        <f>IF(Fifth!H134="", "",Fifth!H134)</f>
        <v/>
      </c>
      <c r="I1131" s="66" t="str">
        <f>IF(Fifth!I134="", "",Fifth!I134)</f>
        <v/>
      </c>
      <c r="J1131" s="66" t="str">
        <f>IF(Fifth!J134="", "",Fifth!J134)</f>
        <v/>
      </c>
      <c r="K1131" s="86" t="str">
        <f>IF(Fifth!K134="", "",Fifth!K134)</f>
        <v/>
      </c>
      <c r="M1131" s="67" t="str">
        <f t="shared" si="53"/>
        <v/>
      </c>
      <c r="N1131" s="76" t="str">
        <f t="shared" si="54"/>
        <v/>
      </c>
      <c r="O1131" s="33">
        <f t="shared" si="52"/>
        <v>0</v>
      </c>
    </row>
    <row r="1132" spans="1:15" x14ac:dyDescent="0.25">
      <c r="A1132" s="64" t="s">
        <v>224</v>
      </c>
      <c r="B1132" s="79" t="str">
        <f>IF(Fifth!B135="", "",Fifth!B135)</f>
        <v/>
      </c>
      <c r="C1132" s="66" t="str">
        <f>IF(Fifth!C135="", "",Fifth!C135)</f>
        <v/>
      </c>
      <c r="D1132" s="66" t="str">
        <f>IF(Fifth!D135="", "",Fifth!D135)</f>
        <v/>
      </c>
      <c r="E1132" s="66" t="str">
        <f>IF(Fifth!E135="", "",Fifth!E135)</f>
        <v/>
      </c>
      <c r="F1132" s="66" t="str">
        <f>IF(Fifth!F135="", "",Fifth!F135)</f>
        <v/>
      </c>
      <c r="G1132" s="66" t="str">
        <f>IF(Fifth!G135="", "",Fifth!G135)</f>
        <v/>
      </c>
      <c r="H1132" s="66" t="str">
        <f>IF(Fifth!H135="", "",Fifth!H135)</f>
        <v/>
      </c>
      <c r="I1132" s="66" t="str">
        <f>IF(Fifth!I135="", "",Fifth!I135)</f>
        <v/>
      </c>
      <c r="J1132" s="66" t="str">
        <f>IF(Fifth!J135="", "",Fifth!J135)</f>
        <v/>
      </c>
      <c r="K1132" s="86" t="str">
        <f>IF(Fifth!K135="", "",Fifth!K135)</f>
        <v/>
      </c>
      <c r="M1132" s="67" t="str">
        <f t="shared" si="53"/>
        <v/>
      </c>
      <c r="N1132" s="76" t="str">
        <f t="shared" si="54"/>
        <v/>
      </c>
      <c r="O1132" s="33">
        <f t="shared" si="52"/>
        <v>0</v>
      </c>
    </row>
    <row r="1133" spans="1:15" x14ac:dyDescent="0.25">
      <c r="A1133" s="64" t="s">
        <v>224</v>
      </c>
      <c r="B1133" s="79" t="str">
        <f>IF(Fifth!B136="", "",Fifth!B136)</f>
        <v/>
      </c>
      <c r="C1133" s="66" t="str">
        <f>IF(Fifth!C136="", "",Fifth!C136)</f>
        <v/>
      </c>
      <c r="D1133" s="66" t="str">
        <f>IF(Fifth!D136="", "",Fifth!D136)</f>
        <v/>
      </c>
      <c r="E1133" s="66" t="str">
        <f>IF(Fifth!E136="", "",Fifth!E136)</f>
        <v/>
      </c>
      <c r="F1133" s="66" t="str">
        <f>IF(Fifth!F136="", "",Fifth!F136)</f>
        <v/>
      </c>
      <c r="G1133" s="66" t="str">
        <f>IF(Fifth!G136="", "",Fifth!G136)</f>
        <v/>
      </c>
      <c r="H1133" s="66" t="str">
        <f>IF(Fifth!H136="", "",Fifth!H136)</f>
        <v/>
      </c>
      <c r="I1133" s="66" t="str">
        <f>IF(Fifth!I136="", "",Fifth!I136)</f>
        <v/>
      </c>
      <c r="J1133" s="66" t="str">
        <f>IF(Fifth!J136="", "",Fifth!J136)</f>
        <v/>
      </c>
      <c r="K1133" s="86" t="str">
        <f>IF(Fifth!K136="", "",Fifth!K136)</f>
        <v/>
      </c>
      <c r="M1133" s="67" t="str">
        <f t="shared" si="53"/>
        <v/>
      </c>
      <c r="N1133" s="76" t="str">
        <f t="shared" si="54"/>
        <v/>
      </c>
      <c r="O1133" s="33">
        <f t="shared" si="52"/>
        <v>0</v>
      </c>
    </row>
    <row r="1134" spans="1:15" x14ac:dyDescent="0.25">
      <c r="A1134" s="64" t="s">
        <v>224</v>
      </c>
      <c r="B1134" s="79" t="str">
        <f>IF(Fifth!B137="", "",Fifth!B137)</f>
        <v/>
      </c>
      <c r="C1134" s="66" t="str">
        <f>IF(Fifth!C137="", "",Fifth!C137)</f>
        <v/>
      </c>
      <c r="D1134" s="66" t="str">
        <f>IF(Fifth!D137="", "",Fifth!D137)</f>
        <v/>
      </c>
      <c r="E1134" s="66" t="str">
        <f>IF(Fifth!E137="", "",Fifth!E137)</f>
        <v/>
      </c>
      <c r="F1134" s="66" t="str">
        <f>IF(Fifth!F137="", "",Fifth!F137)</f>
        <v/>
      </c>
      <c r="G1134" s="66" t="str">
        <f>IF(Fifth!G137="", "",Fifth!G137)</f>
        <v/>
      </c>
      <c r="H1134" s="66" t="str">
        <f>IF(Fifth!H137="", "",Fifth!H137)</f>
        <v/>
      </c>
      <c r="I1134" s="66" t="str">
        <f>IF(Fifth!I137="", "",Fifth!I137)</f>
        <v/>
      </c>
      <c r="J1134" s="66" t="str">
        <f>IF(Fifth!J137="", "",Fifth!J137)</f>
        <v/>
      </c>
      <c r="K1134" s="86" t="str">
        <f>IF(Fifth!K137="", "",Fifth!K137)</f>
        <v/>
      </c>
      <c r="M1134" s="67" t="str">
        <f t="shared" si="53"/>
        <v/>
      </c>
      <c r="N1134" s="76" t="str">
        <f t="shared" si="54"/>
        <v/>
      </c>
      <c r="O1134" s="33">
        <f t="shared" si="52"/>
        <v>0</v>
      </c>
    </row>
    <row r="1135" spans="1:15" x14ac:dyDescent="0.25">
      <c r="A1135" s="64" t="s">
        <v>224</v>
      </c>
      <c r="B1135" s="79" t="str">
        <f>IF(Fifth!B138="", "",Fifth!B138)</f>
        <v/>
      </c>
      <c r="C1135" s="66" t="str">
        <f>IF(Fifth!C138="", "",Fifth!C138)</f>
        <v/>
      </c>
      <c r="D1135" s="66" t="str">
        <f>IF(Fifth!D138="", "",Fifth!D138)</f>
        <v/>
      </c>
      <c r="E1135" s="66" t="str">
        <f>IF(Fifth!E138="", "",Fifth!E138)</f>
        <v/>
      </c>
      <c r="F1135" s="66" t="str">
        <f>IF(Fifth!F138="", "",Fifth!F138)</f>
        <v/>
      </c>
      <c r="G1135" s="66" t="str">
        <f>IF(Fifth!G138="", "",Fifth!G138)</f>
        <v/>
      </c>
      <c r="H1135" s="66" t="str">
        <f>IF(Fifth!H138="", "",Fifth!H138)</f>
        <v/>
      </c>
      <c r="I1135" s="66" t="str">
        <f>IF(Fifth!I138="", "",Fifth!I138)</f>
        <v/>
      </c>
      <c r="J1135" s="66" t="str">
        <f>IF(Fifth!J138="", "",Fifth!J138)</f>
        <v/>
      </c>
      <c r="K1135" s="86" t="str">
        <f>IF(Fifth!K138="", "",Fifth!K138)</f>
        <v/>
      </c>
      <c r="M1135" s="67" t="str">
        <f t="shared" si="53"/>
        <v/>
      </c>
      <c r="N1135" s="76" t="str">
        <f t="shared" si="54"/>
        <v/>
      </c>
      <c r="O1135" s="33">
        <f t="shared" si="52"/>
        <v>0</v>
      </c>
    </row>
    <row r="1136" spans="1:15" x14ac:dyDescent="0.25">
      <c r="A1136" s="64" t="s">
        <v>224</v>
      </c>
      <c r="B1136" s="79" t="str">
        <f>IF(Fifth!B139="", "",Fifth!B139)</f>
        <v/>
      </c>
      <c r="C1136" s="66" t="str">
        <f>IF(Fifth!C139="", "",Fifth!C139)</f>
        <v/>
      </c>
      <c r="D1136" s="66" t="str">
        <f>IF(Fifth!D139="", "",Fifth!D139)</f>
        <v/>
      </c>
      <c r="E1136" s="66" t="str">
        <f>IF(Fifth!E139="", "",Fifth!E139)</f>
        <v/>
      </c>
      <c r="F1136" s="66" t="str">
        <f>IF(Fifth!F139="", "",Fifth!F139)</f>
        <v/>
      </c>
      <c r="G1136" s="66" t="str">
        <f>IF(Fifth!G139="", "",Fifth!G139)</f>
        <v/>
      </c>
      <c r="H1136" s="66" t="str">
        <f>IF(Fifth!H139="", "",Fifth!H139)</f>
        <v/>
      </c>
      <c r="I1136" s="66" t="str">
        <f>IF(Fifth!I139="", "",Fifth!I139)</f>
        <v/>
      </c>
      <c r="J1136" s="66" t="str">
        <f>IF(Fifth!J139="", "",Fifth!J139)</f>
        <v/>
      </c>
      <c r="K1136" s="86" t="str">
        <f>IF(Fifth!K139="", "",Fifth!K139)</f>
        <v/>
      </c>
      <c r="M1136" s="67" t="str">
        <f t="shared" si="53"/>
        <v/>
      </c>
      <c r="N1136" s="76" t="str">
        <f t="shared" si="54"/>
        <v/>
      </c>
      <c r="O1136" s="33">
        <f t="shared" si="52"/>
        <v>0</v>
      </c>
    </row>
    <row r="1137" spans="1:15" x14ac:dyDescent="0.25">
      <c r="A1137" s="64" t="s">
        <v>224</v>
      </c>
      <c r="B1137" s="79" t="str">
        <f>IF(Fifth!B140="", "",Fifth!B140)</f>
        <v/>
      </c>
      <c r="C1137" s="66" t="str">
        <f>IF(Fifth!C140="", "",Fifth!C140)</f>
        <v/>
      </c>
      <c r="D1137" s="66" t="str">
        <f>IF(Fifth!D140="", "",Fifth!D140)</f>
        <v/>
      </c>
      <c r="E1137" s="66" t="str">
        <f>IF(Fifth!E140="", "",Fifth!E140)</f>
        <v/>
      </c>
      <c r="F1137" s="66" t="str">
        <f>IF(Fifth!F140="", "",Fifth!F140)</f>
        <v/>
      </c>
      <c r="G1137" s="66" t="str">
        <f>IF(Fifth!G140="", "",Fifth!G140)</f>
        <v/>
      </c>
      <c r="H1137" s="66" t="str">
        <f>IF(Fifth!H140="", "",Fifth!H140)</f>
        <v/>
      </c>
      <c r="I1137" s="66" t="str">
        <f>IF(Fifth!I140="", "",Fifth!I140)</f>
        <v/>
      </c>
      <c r="J1137" s="66" t="str">
        <f>IF(Fifth!J140="", "",Fifth!J140)</f>
        <v/>
      </c>
      <c r="K1137" s="86" t="str">
        <f>IF(Fifth!K140="", "",Fifth!K140)</f>
        <v/>
      </c>
      <c r="M1137" s="67" t="str">
        <f t="shared" si="53"/>
        <v/>
      </c>
      <c r="N1137" s="76" t="str">
        <f t="shared" si="54"/>
        <v/>
      </c>
      <c r="O1137" s="33">
        <f t="shared" si="52"/>
        <v>0</v>
      </c>
    </row>
    <row r="1138" spans="1:15" x14ac:dyDescent="0.25">
      <c r="A1138" s="64" t="s">
        <v>224</v>
      </c>
      <c r="B1138" s="79" t="str">
        <f>IF(Fifth!B141="", "",Fifth!B141)</f>
        <v/>
      </c>
      <c r="C1138" s="66" t="str">
        <f>IF(Fifth!C141="", "",Fifth!C141)</f>
        <v/>
      </c>
      <c r="D1138" s="66" t="str">
        <f>IF(Fifth!D141="", "",Fifth!D141)</f>
        <v/>
      </c>
      <c r="E1138" s="66" t="str">
        <f>IF(Fifth!E141="", "",Fifth!E141)</f>
        <v/>
      </c>
      <c r="F1138" s="66" t="str">
        <f>IF(Fifth!F141="", "",Fifth!F141)</f>
        <v/>
      </c>
      <c r="G1138" s="66" t="str">
        <f>IF(Fifth!G141="", "",Fifth!G141)</f>
        <v/>
      </c>
      <c r="H1138" s="66" t="str">
        <f>IF(Fifth!H141="", "",Fifth!H141)</f>
        <v/>
      </c>
      <c r="I1138" s="66" t="str">
        <f>IF(Fifth!I141="", "",Fifth!I141)</f>
        <v/>
      </c>
      <c r="J1138" s="66" t="str">
        <f>IF(Fifth!J141="", "",Fifth!J141)</f>
        <v/>
      </c>
      <c r="K1138" s="86" t="str">
        <f>IF(Fifth!K141="", "",Fifth!K141)</f>
        <v/>
      </c>
      <c r="M1138" s="67" t="str">
        <f t="shared" si="53"/>
        <v/>
      </c>
      <c r="N1138" s="76" t="str">
        <f t="shared" si="54"/>
        <v/>
      </c>
      <c r="O1138" s="33">
        <f t="shared" si="52"/>
        <v>0</v>
      </c>
    </row>
    <row r="1139" spans="1:15" x14ac:dyDescent="0.25">
      <c r="A1139" s="64" t="s">
        <v>224</v>
      </c>
      <c r="B1139" s="79" t="str">
        <f>IF(Fifth!B142="", "",Fifth!B142)</f>
        <v/>
      </c>
      <c r="C1139" s="66" t="str">
        <f>IF(Fifth!C142="", "",Fifth!C142)</f>
        <v/>
      </c>
      <c r="D1139" s="66" t="str">
        <f>IF(Fifth!D142="", "",Fifth!D142)</f>
        <v/>
      </c>
      <c r="E1139" s="66" t="str">
        <f>IF(Fifth!E142="", "",Fifth!E142)</f>
        <v/>
      </c>
      <c r="F1139" s="66" t="str">
        <f>IF(Fifth!F142="", "",Fifth!F142)</f>
        <v/>
      </c>
      <c r="G1139" s="66" t="str">
        <f>IF(Fifth!G142="", "",Fifth!G142)</f>
        <v/>
      </c>
      <c r="H1139" s="66" t="str">
        <f>IF(Fifth!H142="", "",Fifth!H142)</f>
        <v/>
      </c>
      <c r="I1139" s="66" t="str">
        <f>IF(Fifth!I142="", "",Fifth!I142)</f>
        <v/>
      </c>
      <c r="J1139" s="66" t="str">
        <f>IF(Fifth!J142="", "",Fifth!J142)</f>
        <v/>
      </c>
      <c r="K1139" s="86" t="str">
        <f>IF(Fifth!K142="", "",Fifth!K142)</f>
        <v/>
      </c>
      <c r="M1139" s="67" t="str">
        <f t="shared" si="53"/>
        <v/>
      </c>
      <c r="N1139" s="76" t="str">
        <f t="shared" si="54"/>
        <v/>
      </c>
      <c r="O1139" s="33">
        <f t="shared" si="52"/>
        <v>0</v>
      </c>
    </row>
    <row r="1140" spans="1:15" x14ac:dyDescent="0.25">
      <c r="A1140" s="64" t="s">
        <v>224</v>
      </c>
      <c r="B1140" s="79" t="str">
        <f>IF(Fifth!B143="", "",Fifth!B143)</f>
        <v/>
      </c>
      <c r="C1140" s="66" t="str">
        <f>IF(Fifth!C143="", "",Fifth!C143)</f>
        <v/>
      </c>
      <c r="D1140" s="66" t="str">
        <f>IF(Fifth!D143="", "",Fifth!D143)</f>
        <v/>
      </c>
      <c r="E1140" s="66" t="str">
        <f>IF(Fifth!E143="", "",Fifth!E143)</f>
        <v/>
      </c>
      <c r="F1140" s="66" t="str">
        <f>IF(Fifth!F143="", "",Fifth!F143)</f>
        <v/>
      </c>
      <c r="G1140" s="66" t="str">
        <f>IF(Fifth!G143="", "",Fifth!G143)</f>
        <v/>
      </c>
      <c r="H1140" s="66" t="str">
        <f>IF(Fifth!H143="", "",Fifth!H143)</f>
        <v/>
      </c>
      <c r="I1140" s="66" t="str">
        <f>IF(Fifth!I143="", "",Fifth!I143)</f>
        <v/>
      </c>
      <c r="J1140" s="66" t="str">
        <f>IF(Fifth!J143="", "",Fifth!J143)</f>
        <v/>
      </c>
      <c r="K1140" s="86" t="str">
        <f>IF(Fifth!K143="", "",Fifth!K143)</f>
        <v/>
      </c>
      <c r="M1140" s="67" t="str">
        <f t="shared" si="53"/>
        <v/>
      </c>
      <c r="N1140" s="76" t="str">
        <f t="shared" si="54"/>
        <v/>
      </c>
      <c r="O1140" s="33">
        <f t="shared" si="52"/>
        <v>0</v>
      </c>
    </row>
    <row r="1141" spans="1:15" x14ac:dyDescent="0.25">
      <c r="A1141" s="64" t="s">
        <v>224</v>
      </c>
      <c r="B1141" s="79" t="str">
        <f>IF(Fifth!B144="", "",Fifth!B144)</f>
        <v/>
      </c>
      <c r="C1141" s="66" t="str">
        <f>IF(Fifth!C144="", "",Fifth!C144)</f>
        <v/>
      </c>
      <c r="D1141" s="66" t="str">
        <f>IF(Fifth!D144="", "",Fifth!D144)</f>
        <v/>
      </c>
      <c r="E1141" s="66" t="str">
        <f>IF(Fifth!E144="", "",Fifth!E144)</f>
        <v/>
      </c>
      <c r="F1141" s="66" t="str">
        <f>IF(Fifth!F144="", "",Fifth!F144)</f>
        <v/>
      </c>
      <c r="G1141" s="66" t="str">
        <f>IF(Fifth!G144="", "",Fifth!G144)</f>
        <v/>
      </c>
      <c r="H1141" s="66" t="str">
        <f>IF(Fifth!H144="", "",Fifth!H144)</f>
        <v/>
      </c>
      <c r="I1141" s="66" t="str">
        <f>IF(Fifth!I144="", "",Fifth!I144)</f>
        <v/>
      </c>
      <c r="J1141" s="66" t="str">
        <f>IF(Fifth!J144="", "",Fifth!J144)</f>
        <v/>
      </c>
      <c r="K1141" s="86" t="str">
        <f>IF(Fifth!K144="", "",Fifth!K144)</f>
        <v/>
      </c>
      <c r="M1141" s="67" t="str">
        <f t="shared" si="53"/>
        <v/>
      </c>
      <c r="N1141" s="76" t="str">
        <f t="shared" si="54"/>
        <v/>
      </c>
      <c r="O1141" s="33">
        <f t="shared" si="52"/>
        <v>0</v>
      </c>
    </row>
    <row r="1142" spans="1:15" x14ac:dyDescent="0.25">
      <c r="A1142" s="64" t="s">
        <v>224</v>
      </c>
      <c r="B1142" s="79" t="str">
        <f>IF(Fifth!B145="", "",Fifth!B145)</f>
        <v/>
      </c>
      <c r="C1142" s="66" t="str">
        <f>IF(Fifth!C145="", "",Fifth!C145)</f>
        <v/>
      </c>
      <c r="D1142" s="66" t="str">
        <f>IF(Fifth!D145="", "",Fifth!D145)</f>
        <v/>
      </c>
      <c r="E1142" s="66" t="str">
        <f>IF(Fifth!E145="", "",Fifth!E145)</f>
        <v/>
      </c>
      <c r="F1142" s="66" t="str">
        <f>IF(Fifth!F145="", "",Fifth!F145)</f>
        <v/>
      </c>
      <c r="G1142" s="66" t="str">
        <f>IF(Fifth!G145="", "",Fifth!G145)</f>
        <v/>
      </c>
      <c r="H1142" s="66" t="str">
        <f>IF(Fifth!H145="", "",Fifth!H145)</f>
        <v/>
      </c>
      <c r="I1142" s="66" t="str">
        <f>IF(Fifth!I145="", "",Fifth!I145)</f>
        <v/>
      </c>
      <c r="J1142" s="66" t="str">
        <f>IF(Fifth!J145="", "",Fifth!J145)</f>
        <v/>
      </c>
      <c r="K1142" s="86" t="str">
        <f>IF(Fifth!K145="", "",Fifth!K145)</f>
        <v/>
      </c>
      <c r="M1142" s="67" t="str">
        <f t="shared" si="53"/>
        <v/>
      </c>
      <c r="N1142" s="76" t="str">
        <f t="shared" si="54"/>
        <v/>
      </c>
      <c r="O1142" s="33">
        <f t="shared" si="52"/>
        <v>0</v>
      </c>
    </row>
    <row r="1143" spans="1:15" x14ac:dyDescent="0.25">
      <c r="A1143" s="64" t="s">
        <v>224</v>
      </c>
      <c r="B1143" s="79" t="str">
        <f>IF(Fifth!B146="", "",Fifth!B146)</f>
        <v/>
      </c>
      <c r="C1143" s="66" t="str">
        <f>IF(Fifth!C146="", "",Fifth!C146)</f>
        <v/>
      </c>
      <c r="D1143" s="66" t="str">
        <f>IF(Fifth!D146="", "",Fifth!D146)</f>
        <v/>
      </c>
      <c r="E1143" s="66" t="str">
        <f>IF(Fifth!E146="", "",Fifth!E146)</f>
        <v/>
      </c>
      <c r="F1143" s="66" t="str">
        <f>IF(Fifth!F146="", "",Fifth!F146)</f>
        <v/>
      </c>
      <c r="G1143" s="66" t="str">
        <f>IF(Fifth!G146="", "",Fifth!G146)</f>
        <v/>
      </c>
      <c r="H1143" s="66" t="str">
        <f>IF(Fifth!H146="", "",Fifth!H146)</f>
        <v/>
      </c>
      <c r="I1143" s="66" t="str">
        <f>IF(Fifth!I146="", "",Fifth!I146)</f>
        <v/>
      </c>
      <c r="J1143" s="66" t="str">
        <f>IF(Fifth!J146="", "",Fifth!J146)</f>
        <v/>
      </c>
      <c r="K1143" s="86" t="str">
        <f>IF(Fifth!K146="", "",Fifth!K146)</f>
        <v/>
      </c>
      <c r="M1143" s="67" t="str">
        <f t="shared" si="53"/>
        <v/>
      </c>
      <c r="N1143" s="76" t="str">
        <f t="shared" si="54"/>
        <v/>
      </c>
      <c r="O1143" s="33">
        <f t="shared" si="52"/>
        <v>0</v>
      </c>
    </row>
    <row r="1144" spans="1:15" x14ac:dyDescent="0.25">
      <c r="A1144" s="64" t="s">
        <v>224</v>
      </c>
      <c r="B1144" s="79" t="str">
        <f>IF(Fifth!B147="", "",Fifth!B147)</f>
        <v/>
      </c>
      <c r="C1144" s="66" t="str">
        <f>IF(Fifth!C147="", "",Fifth!C147)</f>
        <v/>
      </c>
      <c r="D1144" s="66" t="str">
        <f>IF(Fifth!D147="", "",Fifth!D147)</f>
        <v/>
      </c>
      <c r="E1144" s="66" t="str">
        <f>IF(Fifth!E147="", "",Fifth!E147)</f>
        <v/>
      </c>
      <c r="F1144" s="66" t="str">
        <f>IF(Fifth!F147="", "",Fifth!F147)</f>
        <v/>
      </c>
      <c r="G1144" s="66" t="str">
        <f>IF(Fifth!G147="", "",Fifth!G147)</f>
        <v/>
      </c>
      <c r="H1144" s="66" t="str">
        <f>IF(Fifth!H147="", "",Fifth!H147)</f>
        <v/>
      </c>
      <c r="I1144" s="66" t="str">
        <f>IF(Fifth!I147="", "",Fifth!I147)</f>
        <v/>
      </c>
      <c r="J1144" s="66" t="str">
        <f>IF(Fifth!J147="", "",Fifth!J147)</f>
        <v/>
      </c>
      <c r="K1144" s="86" t="str">
        <f>IF(Fifth!K147="", "",Fifth!K147)</f>
        <v/>
      </c>
      <c r="M1144" s="67" t="str">
        <f t="shared" si="53"/>
        <v/>
      </c>
      <c r="N1144" s="76" t="str">
        <f t="shared" si="54"/>
        <v/>
      </c>
      <c r="O1144" s="33">
        <f t="shared" si="52"/>
        <v>0</v>
      </c>
    </row>
    <row r="1145" spans="1:15" x14ac:dyDescent="0.25">
      <c r="A1145" s="64" t="s">
        <v>224</v>
      </c>
      <c r="B1145" s="79" t="str">
        <f>IF(Fifth!B148="", "",Fifth!B148)</f>
        <v/>
      </c>
      <c r="C1145" s="66" t="str">
        <f>IF(Fifth!C148="", "",Fifth!C148)</f>
        <v/>
      </c>
      <c r="D1145" s="66" t="str">
        <f>IF(Fifth!D148="", "",Fifth!D148)</f>
        <v/>
      </c>
      <c r="E1145" s="66" t="str">
        <f>IF(Fifth!E148="", "",Fifth!E148)</f>
        <v/>
      </c>
      <c r="F1145" s="66" t="str">
        <f>IF(Fifth!F148="", "",Fifth!F148)</f>
        <v/>
      </c>
      <c r="G1145" s="66" t="str">
        <f>IF(Fifth!G148="", "",Fifth!G148)</f>
        <v/>
      </c>
      <c r="H1145" s="66" t="str">
        <f>IF(Fifth!H148="", "",Fifth!H148)</f>
        <v/>
      </c>
      <c r="I1145" s="66" t="str">
        <f>IF(Fifth!I148="", "",Fifth!I148)</f>
        <v/>
      </c>
      <c r="J1145" s="66" t="str">
        <f>IF(Fifth!J148="", "",Fifth!J148)</f>
        <v/>
      </c>
      <c r="K1145" s="86" t="str">
        <f>IF(Fifth!K148="", "",Fifth!K148)</f>
        <v/>
      </c>
      <c r="M1145" s="67" t="str">
        <f t="shared" si="53"/>
        <v/>
      </c>
      <c r="N1145" s="76" t="str">
        <f t="shared" si="54"/>
        <v/>
      </c>
      <c r="O1145" s="33">
        <f t="shared" si="52"/>
        <v>0</v>
      </c>
    </row>
    <row r="1146" spans="1:15" x14ac:dyDescent="0.25">
      <c r="A1146" s="64" t="s">
        <v>224</v>
      </c>
      <c r="B1146" s="79" t="str">
        <f>IF(Fifth!B149="", "",Fifth!B149)</f>
        <v/>
      </c>
      <c r="C1146" s="66" t="str">
        <f>IF(Fifth!C149="", "",Fifth!C149)</f>
        <v/>
      </c>
      <c r="D1146" s="66" t="str">
        <f>IF(Fifth!D149="", "",Fifth!D149)</f>
        <v/>
      </c>
      <c r="E1146" s="66" t="str">
        <f>IF(Fifth!E149="", "",Fifth!E149)</f>
        <v/>
      </c>
      <c r="F1146" s="66" t="str">
        <f>IF(Fifth!F149="", "",Fifth!F149)</f>
        <v/>
      </c>
      <c r="G1146" s="66" t="str">
        <f>IF(Fifth!G149="", "",Fifth!G149)</f>
        <v/>
      </c>
      <c r="H1146" s="66" t="str">
        <f>IF(Fifth!H149="", "",Fifth!H149)</f>
        <v/>
      </c>
      <c r="I1146" s="66" t="str">
        <f>IF(Fifth!I149="", "",Fifth!I149)</f>
        <v/>
      </c>
      <c r="J1146" s="66" t="str">
        <f>IF(Fifth!J149="", "",Fifth!J149)</f>
        <v/>
      </c>
      <c r="K1146" s="86" t="str">
        <f>IF(Fifth!K149="", "",Fifth!K149)</f>
        <v/>
      </c>
      <c r="M1146" s="67" t="str">
        <f t="shared" si="53"/>
        <v/>
      </c>
      <c r="N1146" s="76" t="str">
        <f t="shared" si="54"/>
        <v/>
      </c>
      <c r="O1146" s="33">
        <f t="shared" si="52"/>
        <v>0</v>
      </c>
    </row>
    <row r="1147" spans="1:15" x14ac:dyDescent="0.25">
      <c r="A1147" s="64" t="s">
        <v>224</v>
      </c>
      <c r="B1147" s="79" t="str">
        <f>IF(Fifth!B150="", "",Fifth!B150)</f>
        <v/>
      </c>
      <c r="C1147" s="66" t="str">
        <f>IF(Fifth!C150="", "",Fifth!C150)</f>
        <v/>
      </c>
      <c r="D1147" s="66" t="str">
        <f>IF(Fifth!D150="", "",Fifth!D150)</f>
        <v/>
      </c>
      <c r="E1147" s="66" t="str">
        <f>IF(Fifth!E150="", "",Fifth!E150)</f>
        <v/>
      </c>
      <c r="F1147" s="66" t="str">
        <f>IF(Fifth!F150="", "",Fifth!F150)</f>
        <v/>
      </c>
      <c r="G1147" s="66" t="str">
        <f>IF(Fifth!G150="", "",Fifth!G150)</f>
        <v/>
      </c>
      <c r="H1147" s="66" t="str">
        <f>IF(Fifth!H150="", "",Fifth!H150)</f>
        <v/>
      </c>
      <c r="I1147" s="66" t="str">
        <f>IF(Fifth!I150="", "",Fifth!I150)</f>
        <v/>
      </c>
      <c r="J1147" s="66" t="str">
        <f>IF(Fifth!J150="", "",Fifth!J150)</f>
        <v/>
      </c>
      <c r="K1147" s="86" t="str">
        <f>IF(Fifth!K150="", "",Fifth!K150)</f>
        <v/>
      </c>
      <c r="M1147" s="67" t="str">
        <f t="shared" si="53"/>
        <v/>
      </c>
      <c r="N1147" s="76" t="str">
        <f t="shared" si="54"/>
        <v/>
      </c>
      <c r="O1147" s="33">
        <f t="shared" si="52"/>
        <v>0</v>
      </c>
    </row>
    <row r="1148" spans="1:15" x14ac:dyDescent="0.25">
      <c r="A1148" s="64" t="s">
        <v>224</v>
      </c>
      <c r="B1148" s="79" t="str">
        <f>IF(Fifth!B151="", "",Fifth!B151)</f>
        <v/>
      </c>
      <c r="C1148" s="66" t="str">
        <f>IF(Fifth!C151="", "",Fifth!C151)</f>
        <v/>
      </c>
      <c r="D1148" s="66" t="str">
        <f>IF(Fifth!D151="", "",Fifth!D151)</f>
        <v/>
      </c>
      <c r="E1148" s="66" t="str">
        <f>IF(Fifth!E151="", "",Fifth!E151)</f>
        <v/>
      </c>
      <c r="F1148" s="66" t="str">
        <f>IF(Fifth!F151="", "",Fifth!F151)</f>
        <v/>
      </c>
      <c r="G1148" s="66" t="str">
        <f>IF(Fifth!G151="", "",Fifth!G151)</f>
        <v/>
      </c>
      <c r="H1148" s="66" t="str">
        <f>IF(Fifth!H151="", "",Fifth!H151)</f>
        <v/>
      </c>
      <c r="I1148" s="66" t="str">
        <f>IF(Fifth!I151="", "",Fifth!I151)</f>
        <v/>
      </c>
      <c r="J1148" s="66" t="str">
        <f>IF(Fifth!J151="", "",Fifth!J151)</f>
        <v/>
      </c>
      <c r="K1148" s="86" t="str">
        <f>IF(Fifth!K151="", "",Fifth!K151)</f>
        <v/>
      </c>
      <c r="M1148" s="67" t="str">
        <f t="shared" si="53"/>
        <v/>
      </c>
      <c r="N1148" s="76" t="str">
        <f t="shared" si="54"/>
        <v/>
      </c>
      <c r="O1148" s="33">
        <f t="shared" si="52"/>
        <v>0</v>
      </c>
    </row>
    <row r="1149" spans="1:15" x14ac:dyDescent="0.25">
      <c r="A1149" s="64" t="s">
        <v>224</v>
      </c>
      <c r="B1149" s="79" t="str">
        <f>IF(Fifth!B152="", "",Fifth!B152)</f>
        <v/>
      </c>
      <c r="C1149" s="66" t="str">
        <f>IF(Fifth!C152="", "",Fifth!C152)</f>
        <v/>
      </c>
      <c r="D1149" s="66" t="str">
        <f>IF(Fifth!D152="", "",Fifth!D152)</f>
        <v/>
      </c>
      <c r="E1149" s="66" t="str">
        <f>IF(Fifth!E152="", "",Fifth!E152)</f>
        <v/>
      </c>
      <c r="F1149" s="66" t="str">
        <f>IF(Fifth!F152="", "",Fifth!F152)</f>
        <v/>
      </c>
      <c r="G1149" s="66" t="str">
        <f>IF(Fifth!G152="", "",Fifth!G152)</f>
        <v/>
      </c>
      <c r="H1149" s="66" t="str">
        <f>IF(Fifth!H152="", "",Fifth!H152)</f>
        <v/>
      </c>
      <c r="I1149" s="66" t="str">
        <f>IF(Fifth!I152="", "",Fifth!I152)</f>
        <v/>
      </c>
      <c r="J1149" s="66" t="str">
        <f>IF(Fifth!J152="", "",Fifth!J152)</f>
        <v/>
      </c>
      <c r="K1149" s="86" t="str">
        <f>IF(Fifth!K152="", "",Fifth!K152)</f>
        <v/>
      </c>
      <c r="M1149" s="67" t="str">
        <f t="shared" si="53"/>
        <v/>
      </c>
      <c r="N1149" s="76" t="str">
        <f t="shared" si="54"/>
        <v/>
      </c>
      <c r="O1149" s="33">
        <f t="shared" si="52"/>
        <v>0</v>
      </c>
    </row>
    <row r="1150" spans="1:15" x14ac:dyDescent="0.25">
      <c r="A1150" s="64" t="s">
        <v>224</v>
      </c>
      <c r="B1150" s="79" t="str">
        <f>IF(Fifth!B153="", "",Fifth!B153)</f>
        <v/>
      </c>
      <c r="C1150" s="66" t="str">
        <f>IF(Fifth!C153="", "",Fifth!C153)</f>
        <v/>
      </c>
      <c r="D1150" s="66" t="str">
        <f>IF(Fifth!D153="", "",Fifth!D153)</f>
        <v/>
      </c>
      <c r="E1150" s="66" t="str">
        <f>IF(Fifth!E153="", "",Fifth!E153)</f>
        <v/>
      </c>
      <c r="F1150" s="66" t="str">
        <f>IF(Fifth!F153="", "",Fifth!F153)</f>
        <v/>
      </c>
      <c r="G1150" s="66" t="str">
        <f>IF(Fifth!G153="", "",Fifth!G153)</f>
        <v/>
      </c>
      <c r="H1150" s="66" t="str">
        <f>IF(Fifth!H153="", "",Fifth!H153)</f>
        <v/>
      </c>
      <c r="I1150" s="66" t="str">
        <f>IF(Fifth!I153="", "",Fifth!I153)</f>
        <v/>
      </c>
      <c r="J1150" s="66" t="str">
        <f>IF(Fifth!J153="", "",Fifth!J153)</f>
        <v/>
      </c>
      <c r="K1150" s="86" t="str">
        <f>IF(Fifth!K153="", "",Fifth!K153)</f>
        <v/>
      </c>
      <c r="M1150" s="67" t="str">
        <f t="shared" si="53"/>
        <v/>
      </c>
      <c r="N1150" s="76" t="str">
        <f t="shared" si="54"/>
        <v/>
      </c>
      <c r="O1150" s="33">
        <f t="shared" si="52"/>
        <v>0</v>
      </c>
    </row>
    <row r="1151" spans="1:15" x14ac:dyDescent="0.25">
      <c r="A1151" s="64" t="s">
        <v>224</v>
      </c>
      <c r="B1151" s="79" t="str">
        <f>IF(Fifth!B154="", "",Fifth!B154)</f>
        <v/>
      </c>
      <c r="C1151" s="66" t="str">
        <f>IF(Fifth!C154="", "",Fifth!C154)</f>
        <v/>
      </c>
      <c r="D1151" s="66" t="str">
        <f>IF(Fifth!D154="", "",Fifth!D154)</f>
        <v/>
      </c>
      <c r="E1151" s="66" t="str">
        <f>IF(Fifth!E154="", "",Fifth!E154)</f>
        <v/>
      </c>
      <c r="F1151" s="66" t="str">
        <f>IF(Fifth!F154="", "",Fifth!F154)</f>
        <v/>
      </c>
      <c r="G1151" s="66" t="str">
        <f>IF(Fifth!G154="", "",Fifth!G154)</f>
        <v/>
      </c>
      <c r="H1151" s="66" t="str">
        <f>IF(Fifth!H154="", "",Fifth!H154)</f>
        <v/>
      </c>
      <c r="I1151" s="66" t="str">
        <f>IF(Fifth!I154="", "",Fifth!I154)</f>
        <v/>
      </c>
      <c r="J1151" s="66" t="str">
        <f>IF(Fifth!J154="", "",Fifth!J154)</f>
        <v/>
      </c>
      <c r="K1151" s="86" t="str">
        <f>IF(Fifth!K154="", "",Fifth!K154)</f>
        <v/>
      </c>
      <c r="M1151" s="67" t="str">
        <f t="shared" si="53"/>
        <v/>
      </c>
      <c r="N1151" s="76" t="str">
        <f t="shared" si="54"/>
        <v/>
      </c>
      <c r="O1151" s="33">
        <f t="shared" si="52"/>
        <v>0</v>
      </c>
    </row>
    <row r="1152" spans="1:15" x14ac:dyDescent="0.25">
      <c r="A1152" s="64" t="s">
        <v>224</v>
      </c>
      <c r="B1152" s="79" t="str">
        <f>IF(Fifth!B155="", "",Fifth!B155)</f>
        <v/>
      </c>
      <c r="C1152" s="66" t="str">
        <f>IF(Fifth!C155="", "",Fifth!C155)</f>
        <v/>
      </c>
      <c r="D1152" s="66" t="str">
        <f>IF(Fifth!D155="", "",Fifth!D155)</f>
        <v/>
      </c>
      <c r="E1152" s="66" t="str">
        <f>IF(Fifth!E155="", "",Fifth!E155)</f>
        <v/>
      </c>
      <c r="F1152" s="66" t="str">
        <f>IF(Fifth!F155="", "",Fifth!F155)</f>
        <v/>
      </c>
      <c r="G1152" s="66" t="str">
        <f>IF(Fifth!G155="", "",Fifth!G155)</f>
        <v/>
      </c>
      <c r="H1152" s="66" t="str">
        <f>IF(Fifth!H155="", "",Fifth!H155)</f>
        <v/>
      </c>
      <c r="I1152" s="66" t="str">
        <f>IF(Fifth!I155="", "",Fifth!I155)</f>
        <v/>
      </c>
      <c r="J1152" s="66" t="str">
        <f>IF(Fifth!J155="", "",Fifth!J155)</f>
        <v/>
      </c>
      <c r="K1152" s="86" t="str">
        <f>IF(Fifth!K155="", "",Fifth!K155)</f>
        <v/>
      </c>
      <c r="M1152" s="67" t="str">
        <f t="shared" si="53"/>
        <v/>
      </c>
      <c r="N1152" s="76" t="str">
        <f t="shared" si="54"/>
        <v/>
      </c>
      <c r="O1152" s="33">
        <f t="shared" si="52"/>
        <v>0</v>
      </c>
    </row>
    <row r="1153" spans="1:15" x14ac:dyDescent="0.25">
      <c r="A1153" s="64" t="s">
        <v>224</v>
      </c>
      <c r="B1153" s="79" t="str">
        <f>IF(Fifth!B156="", "",Fifth!B156)</f>
        <v/>
      </c>
      <c r="C1153" s="66" t="str">
        <f>IF(Fifth!C156="", "",Fifth!C156)</f>
        <v/>
      </c>
      <c r="D1153" s="66" t="str">
        <f>IF(Fifth!D156="", "",Fifth!D156)</f>
        <v/>
      </c>
      <c r="E1153" s="66" t="str">
        <f>IF(Fifth!E156="", "",Fifth!E156)</f>
        <v/>
      </c>
      <c r="F1153" s="66" t="str">
        <f>IF(Fifth!F156="", "",Fifth!F156)</f>
        <v/>
      </c>
      <c r="G1153" s="66" t="str">
        <f>IF(Fifth!G156="", "",Fifth!G156)</f>
        <v/>
      </c>
      <c r="H1153" s="66" t="str">
        <f>IF(Fifth!H156="", "",Fifth!H156)</f>
        <v/>
      </c>
      <c r="I1153" s="66" t="str">
        <f>IF(Fifth!I156="", "",Fifth!I156)</f>
        <v/>
      </c>
      <c r="J1153" s="66" t="str">
        <f>IF(Fifth!J156="", "",Fifth!J156)</f>
        <v/>
      </c>
      <c r="K1153" s="86" t="str">
        <f>IF(Fifth!K156="", "",Fifth!K156)</f>
        <v/>
      </c>
      <c r="M1153" s="67" t="str">
        <f t="shared" si="53"/>
        <v/>
      </c>
      <c r="N1153" s="76" t="str">
        <f t="shared" si="54"/>
        <v/>
      </c>
      <c r="O1153" s="33">
        <f t="shared" si="52"/>
        <v>0</v>
      </c>
    </row>
    <row r="1154" spans="1:15" x14ac:dyDescent="0.25">
      <c r="A1154" s="64" t="s">
        <v>224</v>
      </c>
      <c r="B1154" s="79" t="str">
        <f>IF(Fifth!B157="", "",Fifth!B157)</f>
        <v/>
      </c>
      <c r="C1154" s="66" t="str">
        <f>IF(Fifth!C157="", "",Fifth!C157)</f>
        <v/>
      </c>
      <c r="D1154" s="66" t="str">
        <f>IF(Fifth!D157="", "",Fifth!D157)</f>
        <v/>
      </c>
      <c r="E1154" s="66" t="str">
        <f>IF(Fifth!E157="", "",Fifth!E157)</f>
        <v/>
      </c>
      <c r="F1154" s="66" t="str">
        <f>IF(Fifth!F157="", "",Fifth!F157)</f>
        <v/>
      </c>
      <c r="G1154" s="66" t="str">
        <f>IF(Fifth!G157="", "",Fifth!G157)</f>
        <v/>
      </c>
      <c r="H1154" s="66" t="str">
        <f>IF(Fifth!H157="", "",Fifth!H157)</f>
        <v/>
      </c>
      <c r="I1154" s="66" t="str">
        <f>IF(Fifth!I157="", "",Fifth!I157)</f>
        <v/>
      </c>
      <c r="J1154" s="66" t="str">
        <f>IF(Fifth!J157="", "",Fifth!J157)</f>
        <v/>
      </c>
      <c r="K1154" s="86" t="str">
        <f>IF(Fifth!K157="", "",Fifth!K157)</f>
        <v/>
      </c>
      <c r="M1154" s="67" t="str">
        <f t="shared" si="53"/>
        <v/>
      </c>
      <c r="N1154" s="76" t="str">
        <f t="shared" si="54"/>
        <v/>
      </c>
      <c r="O1154" s="33">
        <f t="shared" ref="O1154:O1217" si="55">SUM(M1154:N1154)</f>
        <v>0</v>
      </c>
    </row>
    <row r="1155" spans="1:15" x14ac:dyDescent="0.25">
      <c r="A1155" s="64" t="s">
        <v>224</v>
      </c>
      <c r="B1155" s="79" t="str">
        <f>IF(Fifth!B158="", "",Fifth!B158)</f>
        <v/>
      </c>
      <c r="C1155" s="66" t="str">
        <f>IF(Fifth!C158="", "",Fifth!C158)</f>
        <v/>
      </c>
      <c r="D1155" s="66" t="str">
        <f>IF(Fifth!D158="", "",Fifth!D158)</f>
        <v/>
      </c>
      <c r="E1155" s="66" t="str">
        <f>IF(Fifth!E158="", "",Fifth!E158)</f>
        <v/>
      </c>
      <c r="F1155" s="66" t="str">
        <f>IF(Fifth!F158="", "",Fifth!F158)</f>
        <v/>
      </c>
      <c r="G1155" s="66" t="str">
        <f>IF(Fifth!G158="", "",Fifth!G158)</f>
        <v/>
      </c>
      <c r="H1155" s="66" t="str">
        <f>IF(Fifth!H158="", "",Fifth!H158)</f>
        <v/>
      </c>
      <c r="I1155" s="66" t="str">
        <f>IF(Fifth!I158="", "",Fifth!I158)</f>
        <v/>
      </c>
      <c r="J1155" s="66" t="str">
        <f>IF(Fifth!J158="", "",Fifth!J158)</f>
        <v/>
      </c>
      <c r="K1155" s="86" t="str">
        <f>IF(Fifth!K158="", "",Fifth!K158)</f>
        <v/>
      </c>
      <c r="M1155" s="67" t="str">
        <f t="shared" ref="M1155:M1218" si="56">IF(C1155="PwC",(7-COUNTIF(B1155:H1155,"")),"")</f>
        <v/>
      </c>
      <c r="N1155" s="76" t="str">
        <f t="shared" ref="N1155:N1218" si="57">IF(C1155="Carer",(7-COUNTIF(B1155:H1155,"")),"")</f>
        <v/>
      </c>
      <c r="O1155" s="33">
        <f t="shared" si="55"/>
        <v>0</v>
      </c>
    </row>
    <row r="1156" spans="1:15" x14ac:dyDescent="0.25">
      <c r="A1156" s="64" t="s">
        <v>224</v>
      </c>
      <c r="B1156" s="79" t="str">
        <f>IF(Fifth!B159="", "",Fifth!B159)</f>
        <v/>
      </c>
      <c r="C1156" s="66" t="str">
        <f>IF(Fifth!C159="", "",Fifth!C159)</f>
        <v/>
      </c>
      <c r="D1156" s="66" t="str">
        <f>IF(Fifth!D159="", "",Fifth!D159)</f>
        <v/>
      </c>
      <c r="E1156" s="66" t="str">
        <f>IF(Fifth!E159="", "",Fifth!E159)</f>
        <v/>
      </c>
      <c r="F1156" s="66" t="str">
        <f>IF(Fifth!F159="", "",Fifth!F159)</f>
        <v/>
      </c>
      <c r="G1156" s="66" t="str">
        <f>IF(Fifth!G159="", "",Fifth!G159)</f>
        <v/>
      </c>
      <c r="H1156" s="66" t="str">
        <f>IF(Fifth!H159="", "",Fifth!H159)</f>
        <v/>
      </c>
      <c r="I1156" s="66" t="str">
        <f>IF(Fifth!I159="", "",Fifth!I159)</f>
        <v/>
      </c>
      <c r="J1156" s="66" t="str">
        <f>IF(Fifth!J159="", "",Fifth!J159)</f>
        <v/>
      </c>
      <c r="K1156" s="86" t="str">
        <f>IF(Fifth!K159="", "",Fifth!K159)</f>
        <v/>
      </c>
      <c r="M1156" s="67" t="str">
        <f t="shared" si="56"/>
        <v/>
      </c>
      <c r="N1156" s="76" t="str">
        <f t="shared" si="57"/>
        <v/>
      </c>
      <c r="O1156" s="33">
        <f t="shared" si="55"/>
        <v>0</v>
      </c>
    </row>
    <row r="1157" spans="1:15" x14ac:dyDescent="0.25">
      <c r="A1157" s="64" t="s">
        <v>224</v>
      </c>
      <c r="B1157" s="79" t="str">
        <f>IF(Fifth!B160="", "",Fifth!B160)</f>
        <v/>
      </c>
      <c r="C1157" s="66" t="str">
        <f>IF(Fifth!C160="", "",Fifth!C160)</f>
        <v/>
      </c>
      <c r="D1157" s="66" t="str">
        <f>IF(Fifth!D160="", "",Fifth!D160)</f>
        <v/>
      </c>
      <c r="E1157" s="66" t="str">
        <f>IF(Fifth!E160="", "",Fifth!E160)</f>
        <v/>
      </c>
      <c r="F1157" s="66" t="str">
        <f>IF(Fifth!F160="", "",Fifth!F160)</f>
        <v/>
      </c>
      <c r="G1157" s="66" t="str">
        <f>IF(Fifth!G160="", "",Fifth!G160)</f>
        <v/>
      </c>
      <c r="H1157" s="66" t="str">
        <f>IF(Fifth!H160="", "",Fifth!H160)</f>
        <v/>
      </c>
      <c r="I1157" s="66" t="str">
        <f>IF(Fifth!I160="", "",Fifth!I160)</f>
        <v/>
      </c>
      <c r="J1157" s="66" t="str">
        <f>IF(Fifth!J160="", "",Fifth!J160)</f>
        <v/>
      </c>
      <c r="K1157" s="86" t="str">
        <f>IF(Fifth!K160="", "",Fifth!K160)</f>
        <v/>
      </c>
      <c r="M1157" s="67" t="str">
        <f t="shared" si="56"/>
        <v/>
      </c>
      <c r="N1157" s="76" t="str">
        <f t="shared" si="57"/>
        <v/>
      </c>
      <c r="O1157" s="33">
        <f t="shared" si="55"/>
        <v>0</v>
      </c>
    </row>
    <row r="1158" spans="1:15" x14ac:dyDescent="0.25">
      <c r="A1158" s="64" t="s">
        <v>224</v>
      </c>
      <c r="B1158" s="79" t="str">
        <f>IF(Fifth!B161="", "",Fifth!B161)</f>
        <v/>
      </c>
      <c r="C1158" s="66" t="str">
        <f>IF(Fifth!C161="", "",Fifth!C161)</f>
        <v/>
      </c>
      <c r="D1158" s="66" t="str">
        <f>IF(Fifth!D161="", "",Fifth!D161)</f>
        <v/>
      </c>
      <c r="E1158" s="66" t="str">
        <f>IF(Fifth!E161="", "",Fifth!E161)</f>
        <v/>
      </c>
      <c r="F1158" s="66" t="str">
        <f>IF(Fifth!F161="", "",Fifth!F161)</f>
        <v/>
      </c>
      <c r="G1158" s="66" t="str">
        <f>IF(Fifth!G161="", "",Fifth!G161)</f>
        <v/>
      </c>
      <c r="H1158" s="66" t="str">
        <f>IF(Fifth!H161="", "",Fifth!H161)</f>
        <v/>
      </c>
      <c r="I1158" s="66" t="str">
        <f>IF(Fifth!I161="", "",Fifth!I161)</f>
        <v/>
      </c>
      <c r="J1158" s="66" t="str">
        <f>IF(Fifth!J161="", "",Fifth!J161)</f>
        <v/>
      </c>
      <c r="K1158" s="86" t="str">
        <f>IF(Fifth!K161="", "",Fifth!K161)</f>
        <v/>
      </c>
      <c r="M1158" s="67" t="str">
        <f t="shared" si="56"/>
        <v/>
      </c>
      <c r="N1158" s="76" t="str">
        <f t="shared" si="57"/>
        <v/>
      </c>
      <c r="O1158" s="33">
        <f t="shared" si="55"/>
        <v>0</v>
      </c>
    </row>
    <row r="1159" spans="1:15" x14ac:dyDescent="0.25">
      <c r="A1159" s="64" t="s">
        <v>224</v>
      </c>
      <c r="B1159" s="79" t="str">
        <f>IF(Fifth!B162="", "",Fifth!B162)</f>
        <v/>
      </c>
      <c r="C1159" s="66" t="str">
        <f>IF(Fifth!C162="", "",Fifth!C162)</f>
        <v/>
      </c>
      <c r="D1159" s="66" t="str">
        <f>IF(Fifth!D162="", "",Fifth!D162)</f>
        <v/>
      </c>
      <c r="E1159" s="66" t="str">
        <f>IF(Fifth!E162="", "",Fifth!E162)</f>
        <v/>
      </c>
      <c r="F1159" s="66" t="str">
        <f>IF(Fifth!F162="", "",Fifth!F162)</f>
        <v/>
      </c>
      <c r="G1159" s="66" t="str">
        <f>IF(Fifth!G162="", "",Fifth!G162)</f>
        <v/>
      </c>
      <c r="H1159" s="66" t="str">
        <f>IF(Fifth!H162="", "",Fifth!H162)</f>
        <v/>
      </c>
      <c r="I1159" s="66" t="str">
        <f>IF(Fifth!I162="", "",Fifth!I162)</f>
        <v/>
      </c>
      <c r="J1159" s="66" t="str">
        <f>IF(Fifth!J162="", "",Fifth!J162)</f>
        <v/>
      </c>
      <c r="K1159" s="86" t="str">
        <f>IF(Fifth!K162="", "",Fifth!K162)</f>
        <v/>
      </c>
      <c r="M1159" s="67" t="str">
        <f t="shared" si="56"/>
        <v/>
      </c>
      <c r="N1159" s="76" t="str">
        <f t="shared" si="57"/>
        <v/>
      </c>
      <c r="O1159" s="33">
        <f t="shared" si="55"/>
        <v>0</v>
      </c>
    </row>
    <row r="1160" spans="1:15" x14ac:dyDescent="0.25">
      <c r="A1160" s="64" t="s">
        <v>224</v>
      </c>
      <c r="B1160" s="79" t="str">
        <f>IF(Fifth!B163="", "",Fifth!B163)</f>
        <v/>
      </c>
      <c r="C1160" s="66" t="str">
        <f>IF(Fifth!C163="", "",Fifth!C163)</f>
        <v/>
      </c>
      <c r="D1160" s="66" t="str">
        <f>IF(Fifth!D163="", "",Fifth!D163)</f>
        <v/>
      </c>
      <c r="E1160" s="66" t="str">
        <f>IF(Fifth!E163="", "",Fifth!E163)</f>
        <v/>
      </c>
      <c r="F1160" s="66" t="str">
        <f>IF(Fifth!F163="", "",Fifth!F163)</f>
        <v/>
      </c>
      <c r="G1160" s="66" t="str">
        <f>IF(Fifth!G163="", "",Fifth!G163)</f>
        <v/>
      </c>
      <c r="H1160" s="66" t="str">
        <f>IF(Fifth!H163="", "",Fifth!H163)</f>
        <v/>
      </c>
      <c r="I1160" s="66" t="str">
        <f>IF(Fifth!I163="", "",Fifth!I163)</f>
        <v/>
      </c>
      <c r="J1160" s="66" t="str">
        <f>IF(Fifth!J163="", "",Fifth!J163)</f>
        <v/>
      </c>
      <c r="K1160" s="86" t="str">
        <f>IF(Fifth!K163="", "",Fifth!K163)</f>
        <v/>
      </c>
      <c r="M1160" s="67" t="str">
        <f t="shared" si="56"/>
        <v/>
      </c>
      <c r="N1160" s="76" t="str">
        <f t="shared" si="57"/>
        <v/>
      </c>
      <c r="O1160" s="33">
        <f t="shared" si="55"/>
        <v>0</v>
      </c>
    </row>
    <row r="1161" spans="1:15" x14ac:dyDescent="0.25">
      <c r="A1161" s="64" t="s">
        <v>224</v>
      </c>
      <c r="B1161" s="79" t="str">
        <f>IF(Fifth!B164="", "",Fifth!B164)</f>
        <v/>
      </c>
      <c r="C1161" s="66" t="str">
        <f>IF(Fifth!C164="", "",Fifth!C164)</f>
        <v/>
      </c>
      <c r="D1161" s="66" t="str">
        <f>IF(Fifth!D164="", "",Fifth!D164)</f>
        <v/>
      </c>
      <c r="E1161" s="66" t="str">
        <f>IF(Fifth!E164="", "",Fifth!E164)</f>
        <v/>
      </c>
      <c r="F1161" s="66" t="str">
        <f>IF(Fifth!F164="", "",Fifth!F164)</f>
        <v/>
      </c>
      <c r="G1161" s="66" t="str">
        <f>IF(Fifth!G164="", "",Fifth!G164)</f>
        <v/>
      </c>
      <c r="H1161" s="66" t="str">
        <f>IF(Fifth!H164="", "",Fifth!H164)</f>
        <v/>
      </c>
      <c r="I1161" s="66" t="str">
        <f>IF(Fifth!I164="", "",Fifth!I164)</f>
        <v/>
      </c>
      <c r="J1161" s="66" t="str">
        <f>IF(Fifth!J164="", "",Fifth!J164)</f>
        <v/>
      </c>
      <c r="K1161" s="86" t="str">
        <f>IF(Fifth!K164="", "",Fifth!K164)</f>
        <v/>
      </c>
      <c r="M1161" s="67" t="str">
        <f t="shared" si="56"/>
        <v/>
      </c>
      <c r="N1161" s="76" t="str">
        <f t="shared" si="57"/>
        <v/>
      </c>
      <c r="O1161" s="33">
        <f t="shared" si="55"/>
        <v>0</v>
      </c>
    </row>
    <row r="1162" spans="1:15" x14ac:dyDescent="0.25">
      <c r="A1162" s="64" t="s">
        <v>224</v>
      </c>
      <c r="B1162" s="79" t="str">
        <f>IF(Fifth!B165="", "",Fifth!B165)</f>
        <v/>
      </c>
      <c r="C1162" s="66" t="str">
        <f>IF(Fifth!C165="", "",Fifth!C165)</f>
        <v/>
      </c>
      <c r="D1162" s="66" t="str">
        <f>IF(Fifth!D165="", "",Fifth!D165)</f>
        <v/>
      </c>
      <c r="E1162" s="66" t="str">
        <f>IF(Fifth!E165="", "",Fifth!E165)</f>
        <v/>
      </c>
      <c r="F1162" s="66" t="str">
        <f>IF(Fifth!F165="", "",Fifth!F165)</f>
        <v/>
      </c>
      <c r="G1162" s="66" t="str">
        <f>IF(Fifth!G165="", "",Fifth!G165)</f>
        <v/>
      </c>
      <c r="H1162" s="66" t="str">
        <f>IF(Fifth!H165="", "",Fifth!H165)</f>
        <v/>
      </c>
      <c r="I1162" s="66" t="str">
        <f>IF(Fifth!I165="", "",Fifth!I165)</f>
        <v/>
      </c>
      <c r="J1162" s="66" t="str">
        <f>IF(Fifth!J165="", "",Fifth!J165)</f>
        <v/>
      </c>
      <c r="K1162" s="86" t="str">
        <f>IF(Fifth!K165="", "",Fifth!K165)</f>
        <v/>
      </c>
      <c r="M1162" s="67" t="str">
        <f t="shared" si="56"/>
        <v/>
      </c>
      <c r="N1162" s="76" t="str">
        <f t="shared" si="57"/>
        <v/>
      </c>
      <c r="O1162" s="33">
        <f t="shared" si="55"/>
        <v>0</v>
      </c>
    </row>
    <row r="1163" spans="1:15" x14ac:dyDescent="0.25">
      <c r="A1163" s="64" t="s">
        <v>224</v>
      </c>
      <c r="B1163" s="79" t="str">
        <f>IF(Fifth!B166="", "",Fifth!B166)</f>
        <v/>
      </c>
      <c r="C1163" s="66" t="str">
        <f>IF(Fifth!C166="", "",Fifth!C166)</f>
        <v/>
      </c>
      <c r="D1163" s="66" t="str">
        <f>IF(Fifth!D166="", "",Fifth!D166)</f>
        <v/>
      </c>
      <c r="E1163" s="66" t="str">
        <f>IF(Fifth!E166="", "",Fifth!E166)</f>
        <v/>
      </c>
      <c r="F1163" s="66" t="str">
        <f>IF(Fifth!F166="", "",Fifth!F166)</f>
        <v/>
      </c>
      <c r="G1163" s="66" t="str">
        <f>IF(Fifth!G166="", "",Fifth!G166)</f>
        <v/>
      </c>
      <c r="H1163" s="66" t="str">
        <f>IF(Fifth!H166="", "",Fifth!H166)</f>
        <v/>
      </c>
      <c r="I1163" s="66" t="str">
        <f>IF(Fifth!I166="", "",Fifth!I166)</f>
        <v/>
      </c>
      <c r="J1163" s="66" t="str">
        <f>IF(Fifth!J166="", "",Fifth!J166)</f>
        <v/>
      </c>
      <c r="K1163" s="86" t="str">
        <f>IF(Fifth!K166="", "",Fifth!K166)</f>
        <v/>
      </c>
      <c r="M1163" s="67" t="str">
        <f t="shared" si="56"/>
        <v/>
      </c>
      <c r="N1163" s="76" t="str">
        <f t="shared" si="57"/>
        <v/>
      </c>
      <c r="O1163" s="33">
        <f t="shared" si="55"/>
        <v>0</v>
      </c>
    </row>
    <row r="1164" spans="1:15" x14ac:dyDescent="0.25">
      <c r="A1164" s="64" t="s">
        <v>224</v>
      </c>
      <c r="B1164" s="79" t="str">
        <f>IF(Fifth!B167="", "",Fifth!B167)</f>
        <v/>
      </c>
      <c r="C1164" s="66" t="str">
        <f>IF(Fifth!C167="", "",Fifth!C167)</f>
        <v/>
      </c>
      <c r="D1164" s="66" t="str">
        <f>IF(Fifth!D167="", "",Fifth!D167)</f>
        <v/>
      </c>
      <c r="E1164" s="66" t="str">
        <f>IF(Fifth!E167="", "",Fifth!E167)</f>
        <v/>
      </c>
      <c r="F1164" s="66" t="str">
        <f>IF(Fifth!F167="", "",Fifth!F167)</f>
        <v/>
      </c>
      <c r="G1164" s="66" t="str">
        <f>IF(Fifth!G167="", "",Fifth!G167)</f>
        <v/>
      </c>
      <c r="H1164" s="66" t="str">
        <f>IF(Fifth!H167="", "",Fifth!H167)</f>
        <v/>
      </c>
      <c r="I1164" s="66" t="str">
        <f>IF(Fifth!I167="", "",Fifth!I167)</f>
        <v/>
      </c>
      <c r="J1164" s="66" t="str">
        <f>IF(Fifth!J167="", "",Fifth!J167)</f>
        <v/>
      </c>
      <c r="K1164" s="86" t="str">
        <f>IF(Fifth!K167="", "",Fifth!K167)</f>
        <v/>
      </c>
      <c r="M1164" s="67" t="str">
        <f t="shared" si="56"/>
        <v/>
      </c>
      <c r="N1164" s="76" t="str">
        <f t="shared" si="57"/>
        <v/>
      </c>
      <c r="O1164" s="33">
        <f t="shared" si="55"/>
        <v>0</v>
      </c>
    </row>
    <row r="1165" spans="1:15" x14ac:dyDescent="0.25">
      <c r="A1165" s="64" t="s">
        <v>224</v>
      </c>
      <c r="B1165" s="79" t="str">
        <f>IF(Fifth!B168="", "",Fifth!B168)</f>
        <v/>
      </c>
      <c r="C1165" s="66" t="str">
        <f>IF(Fifth!C168="", "",Fifth!C168)</f>
        <v/>
      </c>
      <c r="D1165" s="66" t="str">
        <f>IF(Fifth!D168="", "",Fifth!D168)</f>
        <v/>
      </c>
      <c r="E1165" s="66" t="str">
        <f>IF(Fifth!E168="", "",Fifth!E168)</f>
        <v/>
      </c>
      <c r="F1165" s="66" t="str">
        <f>IF(Fifth!F168="", "",Fifth!F168)</f>
        <v/>
      </c>
      <c r="G1165" s="66" t="str">
        <f>IF(Fifth!G168="", "",Fifth!G168)</f>
        <v/>
      </c>
      <c r="H1165" s="66" t="str">
        <f>IF(Fifth!H168="", "",Fifth!H168)</f>
        <v/>
      </c>
      <c r="I1165" s="66" t="str">
        <f>IF(Fifth!I168="", "",Fifth!I168)</f>
        <v/>
      </c>
      <c r="J1165" s="66" t="str">
        <f>IF(Fifth!J168="", "",Fifth!J168)</f>
        <v/>
      </c>
      <c r="K1165" s="86" t="str">
        <f>IF(Fifth!K168="", "",Fifth!K168)</f>
        <v/>
      </c>
      <c r="M1165" s="67" t="str">
        <f t="shared" si="56"/>
        <v/>
      </c>
      <c r="N1165" s="76" t="str">
        <f t="shared" si="57"/>
        <v/>
      </c>
      <c r="O1165" s="33">
        <f t="shared" si="55"/>
        <v>0</v>
      </c>
    </row>
    <row r="1166" spans="1:15" x14ac:dyDescent="0.25">
      <c r="A1166" s="64" t="s">
        <v>224</v>
      </c>
      <c r="B1166" s="79" t="str">
        <f>IF(Fifth!B169="", "",Fifth!B169)</f>
        <v/>
      </c>
      <c r="C1166" s="66" t="str">
        <f>IF(Fifth!C169="", "",Fifth!C169)</f>
        <v/>
      </c>
      <c r="D1166" s="66" t="str">
        <f>IF(Fifth!D169="", "",Fifth!D169)</f>
        <v/>
      </c>
      <c r="E1166" s="66" t="str">
        <f>IF(Fifth!E169="", "",Fifth!E169)</f>
        <v/>
      </c>
      <c r="F1166" s="66" t="str">
        <f>IF(Fifth!F169="", "",Fifth!F169)</f>
        <v/>
      </c>
      <c r="G1166" s="66" t="str">
        <f>IF(Fifth!G169="", "",Fifth!G169)</f>
        <v/>
      </c>
      <c r="H1166" s="66" t="str">
        <f>IF(Fifth!H169="", "",Fifth!H169)</f>
        <v/>
      </c>
      <c r="I1166" s="66" t="str">
        <f>IF(Fifth!I169="", "",Fifth!I169)</f>
        <v/>
      </c>
      <c r="J1166" s="66" t="str">
        <f>IF(Fifth!J169="", "",Fifth!J169)</f>
        <v/>
      </c>
      <c r="K1166" s="86" t="str">
        <f>IF(Fifth!K169="", "",Fifth!K169)</f>
        <v/>
      </c>
      <c r="M1166" s="67" t="str">
        <f t="shared" si="56"/>
        <v/>
      </c>
      <c r="N1166" s="76" t="str">
        <f t="shared" si="57"/>
        <v/>
      </c>
      <c r="O1166" s="33">
        <f t="shared" si="55"/>
        <v>0</v>
      </c>
    </row>
    <row r="1167" spans="1:15" x14ac:dyDescent="0.25">
      <c r="A1167" s="64" t="s">
        <v>224</v>
      </c>
      <c r="B1167" s="79" t="str">
        <f>IF(Fifth!B170="", "",Fifth!B170)</f>
        <v/>
      </c>
      <c r="C1167" s="66" t="str">
        <f>IF(Fifth!C170="", "",Fifth!C170)</f>
        <v/>
      </c>
      <c r="D1167" s="66" t="str">
        <f>IF(Fifth!D170="", "",Fifth!D170)</f>
        <v/>
      </c>
      <c r="E1167" s="66" t="str">
        <f>IF(Fifth!E170="", "",Fifth!E170)</f>
        <v/>
      </c>
      <c r="F1167" s="66" t="str">
        <f>IF(Fifth!F170="", "",Fifth!F170)</f>
        <v/>
      </c>
      <c r="G1167" s="66" t="str">
        <f>IF(Fifth!G170="", "",Fifth!G170)</f>
        <v/>
      </c>
      <c r="H1167" s="66" t="str">
        <f>IF(Fifth!H170="", "",Fifth!H170)</f>
        <v/>
      </c>
      <c r="I1167" s="66" t="str">
        <f>IF(Fifth!I170="", "",Fifth!I170)</f>
        <v/>
      </c>
      <c r="J1167" s="66" t="str">
        <f>IF(Fifth!J170="", "",Fifth!J170)</f>
        <v/>
      </c>
      <c r="K1167" s="86" t="str">
        <f>IF(Fifth!K170="", "",Fifth!K170)</f>
        <v/>
      </c>
      <c r="M1167" s="67" t="str">
        <f t="shared" si="56"/>
        <v/>
      </c>
      <c r="N1167" s="76" t="str">
        <f t="shared" si="57"/>
        <v/>
      </c>
      <c r="O1167" s="33">
        <f t="shared" si="55"/>
        <v>0</v>
      </c>
    </row>
    <row r="1168" spans="1:15" x14ac:dyDescent="0.25">
      <c r="A1168" s="64" t="s">
        <v>224</v>
      </c>
      <c r="B1168" s="79" t="str">
        <f>IF(Fifth!B171="", "",Fifth!B171)</f>
        <v/>
      </c>
      <c r="C1168" s="66" t="str">
        <f>IF(Fifth!C171="", "",Fifth!C171)</f>
        <v/>
      </c>
      <c r="D1168" s="66" t="str">
        <f>IF(Fifth!D171="", "",Fifth!D171)</f>
        <v/>
      </c>
      <c r="E1168" s="66" t="str">
        <f>IF(Fifth!E171="", "",Fifth!E171)</f>
        <v/>
      </c>
      <c r="F1168" s="66" t="str">
        <f>IF(Fifth!F171="", "",Fifth!F171)</f>
        <v/>
      </c>
      <c r="G1168" s="66" t="str">
        <f>IF(Fifth!G171="", "",Fifth!G171)</f>
        <v/>
      </c>
      <c r="H1168" s="66" t="str">
        <f>IF(Fifth!H171="", "",Fifth!H171)</f>
        <v/>
      </c>
      <c r="I1168" s="66" t="str">
        <f>IF(Fifth!I171="", "",Fifth!I171)</f>
        <v/>
      </c>
      <c r="J1168" s="66" t="str">
        <f>IF(Fifth!J171="", "",Fifth!J171)</f>
        <v/>
      </c>
      <c r="K1168" s="86" t="str">
        <f>IF(Fifth!K171="", "",Fifth!K171)</f>
        <v/>
      </c>
      <c r="M1168" s="67" t="str">
        <f t="shared" si="56"/>
        <v/>
      </c>
      <c r="N1168" s="76" t="str">
        <f t="shared" si="57"/>
        <v/>
      </c>
      <c r="O1168" s="33">
        <f t="shared" si="55"/>
        <v>0</v>
      </c>
    </row>
    <row r="1169" spans="1:15" x14ac:dyDescent="0.25">
      <c r="A1169" s="64" t="s">
        <v>224</v>
      </c>
      <c r="B1169" s="79" t="str">
        <f>IF(Fifth!B172="", "",Fifth!B172)</f>
        <v/>
      </c>
      <c r="C1169" s="66" t="str">
        <f>IF(Fifth!C172="", "",Fifth!C172)</f>
        <v/>
      </c>
      <c r="D1169" s="66" t="str">
        <f>IF(Fifth!D172="", "",Fifth!D172)</f>
        <v/>
      </c>
      <c r="E1169" s="66" t="str">
        <f>IF(Fifth!E172="", "",Fifth!E172)</f>
        <v/>
      </c>
      <c r="F1169" s="66" t="str">
        <f>IF(Fifth!F172="", "",Fifth!F172)</f>
        <v/>
      </c>
      <c r="G1169" s="66" t="str">
        <f>IF(Fifth!G172="", "",Fifth!G172)</f>
        <v/>
      </c>
      <c r="H1169" s="66" t="str">
        <f>IF(Fifth!H172="", "",Fifth!H172)</f>
        <v/>
      </c>
      <c r="I1169" s="66" t="str">
        <f>IF(Fifth!I172="", "",Fifth!I172)</f>
        <v/>
      </c>
      <c r="J1169" s="66" t="str">
        <f>IF(Fifth!J172="", "",Fifth!J172)</f>
        <v/>
      </c>
      <c r="K1169" s="86" t="str">
        <f>IF(Fifth!K172="", "",Fifth!K172)</f>
        <v/>
      </c>
      <c r="M1169" s="67" t="str">
        <f t="shared" si="56"/>
        <v/>
      </c>
      <c r="N1169" s="76" t="str">
        <f t="shared" si="57"/>
        <v/>
      </c>
      <c r="O1169" s="33">
        <f t="shared" si="55"/>
        <v>0</v>
      </c>
    </row>
    <row r="1170" spans="1:15" x14ac:dyDescent="0.25">
      <c r="A1170" s="64" t="s">
        <v>224</v>
      </c>
      <c r="B1170" s="79" t="str">
        <f>IF(Fifth!B173="", "",Fifth!B173)</f>
        <v/>
      </c>
      <c r="C1170" s="66" t="str">
        <f>IF(Fifth!C173="", "",Fifth!C173)</f>
        <v/>
      </c>
      <c r="D1170" s="66" t="str">
        <f>IF(Fifth!D173="", "",Fifth!D173)</f>
        <v/>
      </c>
      <c r="E1170" s="66" t="str">
        <f>IF(Fifth!E173="", "",Fifth!E173)</f>
        <v/>
      </c>
      <c r="F1170" s="66" t="str">
        <f>IF(Fifth!F173="", "",Fifth!F173)</f>
        <v/>
      </c>
      <c r="G1170" s="66" t="str">
        <f>IF(Fifth!G173="", "",Fifth!G173)</f>
        <v/>
      </c>
      <c r="H1170" s="66" t="str">
        <f>IF(Fifth!H173="", "",Fifth!H173)</f>
        <v/>
      </c>
      <c r="I1170" s="66" t="str">
        <f>IF(Fifth!I173="", "",Fifth!I173)</f>
        <v/>
      </c>
      <c r="J1170" s="66" t="str">
        <f>IF(Fifth!J173="", "",Fifth!J173)</f>
        <v/>
      </c>
      <c r="K1170" s="86" t="str">
        <f>IF(Fifth!K173="", "",Fifth!K173)</f>
        <v/>
      </c>
      <c r="M1170" s="67" t="str">
        <f t="shared" si="56"/>
        <v/>
      </c>
      <c r="N1170" s="76" t="str">
        <f t="shared" si="57"/>
        <v/>
      </c>
      <c r="O1170" s="33">
        <f t="shared" si="55"/>
        <v>0</v>
      </c>
    </row>
    <row r="1171" spans="1:15" x14ac:dyDescent="0.25">
      <c r="A1171" s="64" t="s">
        <v>224</v>
      </c>
      <c r="B1171" s="79" t="str">
        <f>IF(Fifth!B174="", "",Fifth!B174)</f>
        <v/>
      </c>
      <c r="C1171" s="66" t="str">
        <f>IF(Fifth!C174="", "",Fifth!C174)</f>
        <v/>
      </c>
      <c r="D1171" s="66" t="str">
        <f>IF(Fifth!D174="", "",Fifth!D174)</f>
        <v/>
      </c>
      <c r="E1171" s="66" t="str">
        <f>IF(Fifth!E174="", "",Fifth!E174)</f>
        <v/>
      </c>
      <c r="F1171" s="66" t="str">
        <f>IF(Fifth!F174="", "",Fifth!F174)</f>
        <v/>
      </c>
      <c r="G1171" s="66" t="str">
        <f>IF(Fifth!G174="", "",Fifth!G174)</f>
        <v/>
      </c>
      <c r="H1171" s="66" t="str">
        <f>IF(Fifth!H174="", "",Fifth!H174)</f>
        <v/>
      </c>
      <c r="I1171" s="66" t="str">
        <f>IF(Fifth!I174="", "",Fifth!I174)</f>
        <v/>
      </c>
      <c r="J1171" s="66" t="str">
        <f>IF(Fifth!J174="", "",Fifth!J174)</f>
        <v/>
      </c>
      <c r="K1171" s="86" t="str">
        <f>IF(Fifth!K174="", "",Fifth!K174)</f>
        <v/>
      </c>
      <c r="M1171" s="67" t="str">
        <f t="shared" si="56"/>
        <v/>
      </c>
      <c r="N1171" s="76" t="str">
        <f t="shared" si="57"/>
        <v/>
      </c>
      <c r="O1171" s="33">
        <f t="shared" si="55"/>
        <v>0</v>
      </c>
    </row>
    <row r="1172" spans="1:15" x14ac:dyDescent="0.25">
      <c r="A1172" s="64" t="s">
        <v>224</v>
      </c>
      <c r="B1172" s="79" t="str">
        <f>IF(Fifth!B175="", "",Fifth!B175)</f>
        <v/>
      </c>
      <c r="C1172" s="66" t="str">
        <f>IF(Fifth!C175="", "",Fifth!C175)</f>
        <v/>
      </c>
      <c r="D1172" s="66" t="str">
        <f>IF(Fifth!D175="", "",Fifth!D175)</f>
        <v/>
      </c>
      <c r="E1172" s="66" t="str">
        <f>IF(Fifth!E175="", "",Fifth!E175)</f>
        <v/>
      </c>
      <c r="F1172" s="66" t="str">
        <f>IF(Fifth!F175="", "",Fifth!F175)</f>
        <v/>
      </c>
      <c r="G1172" s="66" t="str">
        <f>IF(Fifth!G175="", "",Fifth!G175)</f>
        <v/>
      </c>
      <c r="H1172" s="66" t="str">
        <f>IF(Fifth!H175="", "",Fifth!H175)</f>
        <v/>
      </c>
      <c r="I1172" s="66" t="str">
        <f>IF(Fifth!I175="", "",Fifth!I175)</f>
        <v/>
      </c>
      <c r="J1172" s="66" t="str">
        <f>IF(Fifth!J175="", "",Fifth!J175)</f>
        <v/>
      </c>
      <c r="K1172" s="86" t="str">
        <f>IF(Fifth!K175="", "",Fifth!K175)</f>
        <v/>
      </c>
      <c r="M1172" s="67" t="str">
        <f t="shared" si="56"/>
        <v/>
      </c>
      <c r="N1172" s="76" t="str">
        <f t="shared" si="57"/>
        <v/>
      </c>
      <c r="O1172" s="33">
        <f t="shared" si="55"/>
        <v>0</v>
      </c>
    </row>
    <row r="1173" spans="1:15" x14ac:dyDescent="0.25">
      <c r="A1173" s="64" t="s">
        <v>224</v>
      </c>
      <c r="B1173" s="79" t="str">
        <f>IF(Fifth!B176="", "",Fifth!B176)</f>
        <v/>
      </c>
      <c r="C1173" s="66" t="str">
        <f>IF(Fifth!C176="", "",Fifth!C176)</f>
        <v/>
      </c>
      <c r="D1173" s="66" t="str">
        <f>IF(Fifth!D176="", "",Fifth!D176)</f>
        <v/>
      </c>
      <c r="E1173" s="66" t="str">
        <f>IF(Fifth!E176="", "",Fifth!E176)</f>
        <v/>
      </c>
      <c r="F1173" s="66" t="str">
        <f>IF(Fifth!F176="", "",Fifth!F176)</f>
        <v/>
      </c>
      <c r="G1173" s="66" t="str">
        <f>IF(Fifth!G176="", "",Fifth!G176)</f>
        <v/>
      </c>
      <c r="H1173" s="66" t="str">
        <f>IF(Fifth!H176="", "",Fifth!H176)</f>
        <v/>
      </c>
      <c r="I1173" s="66" t="str">
        <f>IF(Fifth!I176="", "",Fifth!I176)</f>
        <v/>
      </c>
      <c r="J1173" s="66" t="str">
        <f>IF(Fifth!J176="", "",Fifth!J176)</f>
        <v/>
      </c>
      <c r="K1173" s="86" t="str">
        <f>IF(Fifth!K176="", "",Fifth!K176)</f>
        <v/>
      </c>
      <c r="M1173" s="67" t="str">
        <f t="shared" si="56"/>
        <v/>
      </c>
      <c r="N1173" s="76" t="str">
        <f t="shared" si="57"/>
        <v/>
      </c>
      <c r="O1173" s="33">
        <f t="shared" si="55"/>
        <v>0</v>
      </c>
    </row>
    <row r="1174" spans="1:15" x14ac:dyDescent="0.25">
      <c r="A1174" s="64" t="s">
        <v>224</v>
      </c>
      <c r="B1174" s="79" t="str">
        <f>IF(Fifth!B177="", "",Fifth!B177)</f>
        <v/>
      </c>
      <c r="C1174" s="66" t="str">
        <f>IF(Fifth!C177="", "",Fifth!C177)</f>
        <v/>
      </c>
      <c r="D1174" s="66" t="str">
        <f>IF(Fifth!D177="", "",Fifth!D177)</f>
        <v/>
      </c>
      <c r="E1174" s="66" t="str">
        <f>IF(Fifth!E177="", "",Fifth!E177)</f>
        <v/>
      </c>
      <c r="F1174" s="66" t="str">
        <f>IF(Fifth!F177="", "",Fifth!F177)</f>
        <v/>
      </c>
      <c r="G1174" s="66" t="str">
        <f>IF(Fifth!G177="", "",Fifth!G177)</f>
        <v/>
      </c>
      <c r="H1174" s="66" t="str">
        <f>IF(Fifth!H177="", "",Fifth!H177)</f>
        <v/>
      </c>
      <c r="I1174" s="66" t="str">
        <f>IF(Fifth!I177="", "",Fifth!I177)</f>
        <v/>
      </c>
      <c r="J1174" s="66" t="str">
        <f>IF(Fifth!J177="", "",Fifth!J177)</f>
        <v/>
      </c>
      <c r="K1174" s="86" t="str">
        <f>IF(Fifth!K177="", "",Fifth!K177)</f>
        <v/>
      </c>
      <c r="M1174" s="67" t="str">
        <f t="shared" si="56"/>
        <v/>
      </c>
      <c r="N1174" s="76" t="str">
        <f t="shared" si="57"/>
        <v/>
      </c>
      <c r="O1174" s="33">
        <f t="shared" si="55"/>
        <v>0</v>
      </c>
    </row>
    <row r="1175" spans="1:15" x14ac:dyDescent="0.25">
      <c r="A1175" s="64" t="s">
        <v>224</v>
      </c>
      <c r="B1175" s="79" t="str">
        <f>IF(Fifth!B178="", "",Fifth!B178)</f>
        <v/>
      </c>
      <c r="C1175" s="66" t="str">
        <f>IF(Fifth!C178="", "",Fifth!C178)</f>
        <v/>
      </c>
      <c r="D1175" s="66" t="str">
        <f>IF(Fifth!D178="", "",Fifth!D178)</f>
        <v/>
      </c>
      <c r="E1175" s="66" t="str">
        <f>IF(Fifth!E178="", "",Fifth!E178)</f>
        <v/>
      </c>
      <c r="F1175" s="66" t="str">
        <f>IF(Fifth!F178="", "",Fifth!F178)</f>
        <v/>
      </c>
      <c r="G1175" s="66" t="str">
        <f>IF(Fifth!G178="", "",Fifth!G178)</f>
        <v/>
      </c>
      <c r="H1175" s="66" t="str">
        <f>IF(Fifth!H178="", "",Fifth!H178)</f>
        <v/>
      </c>
      <c r="I1175" s="66" t="str">
        <f>IF(Fifth!I178="", "",Fifth!I178)</f>
        <v/>
      </c>
      <c r="J1175" s="66" t="str">
        <f>IF(Fifth!J178="", "",Fifth!J178)</f>
        <v/>
      </c>
      <c r="K1175" s="86" t="str">
        <f>IF(Fifth!K178="", "",Fifth!K178)</f>
        <v/>
      </c>
      <c r="M1175" s="67" t="str">
        <f t="shared" si="56"/>
        <v/>
      </c>
      <c r="N1175" s="76" t="str">
        <f t="shared" si="57"/>
        <v/>
      </c>
      <c r="O1175" s="33">
        <f t="shared" si="55"/>
        <v>0</v>
      </c>
    </row>
    <row r="1176" spans="1:15" x14ac:dyDescent="0.25">
      <c r="A1176" s="64" t="s">
        <v>224</v>
      </c>
      <c r="B1176" s="79" t="str">
        <f>IF(Fifth!B179="", "",Fifth!B179)</f>
        <v/>
      </c>
      <c r="C1176" s="66" t="str">
        <f>IF(Fifth!C179="", "",Fifth!C179)</f>
        <v/>
      </c>
      <c r="D1176" s="66" t="str">
        <f>IF(Fifth!D179="", "",Fifth!D179)</f>
        <v/>
      </c>
      <c r="E1176" s="66" t="str">
        <f>IF(Fifth!E179="", "",Fifth!E179)</f>
        <v/>
      </c>
      <c r="F1176" s="66" t="str">
        <f>IF(Fifth!F179="", "",Fifth!F179)</f>
        <v/>
      </c>
      <c r="G1176" s="66" t="str">
        <f>IF(Fifth!G179="", "",Fifth!G179)</f>
        <v/>
      </c>
      <c r="H1176" s="66" t="str">
        <f>IF(Fifth!H179="", "",Fifth!H179)</f>
        <v/>
      </c>
      <c r="I1176" s="66" t="str">
        <f>IF(Fifth!I179="", "",Fifth!I179)</f>
        <v/>
      </c>
      <c r="J1176" s="66" t="str">
        <f>IF(Fifth!J179="", "",Fifth!J179)</f>
        <v/>
      </c>
      <c r="K1176" s="86" t="str">
        <f>IF(Fifth!K179="", "",Fifth!K179)</f>
        <v/>
      </c>
      <c r="M1176" s="67" t="str">
        <f t="shared" si="56"/>
        <v/>
      </c>
      <c r="N1176" s="76" t="str">
        <f t="shared" si="57"/>
        <v/>
      </c>
      <c r="O1176" s="33">
        <f t="shared" si="55"/>
        <v>0</v>
      </c>
    </row>
    <row r="1177" spans="1:15" x14ac:dyDescent="0.25">
      <c r="A1177" s="64" t="s">
        <v>224</v>
      </c>
      <c r="B1177" s="79" t="str">
        <f>IF(Fifth!B180="", "",Fifth!B180)</f>
        <v/>
      </c>
      <c r="C1177" s="66" t="str">
        <f>IF(Fifth!C180="", "",Fifth!C180)</f>
        <v/>
      </c>
      <c r="D1177" s="66" t="str">
        <f>IF(Fifth!D180="", "",Fifth!D180)</f>
        <v/>
      </c>
      <c r="E1177" s="66" t="str">
        <f>IF(Fifth!E180="", "",Fifth!E180)</f>
        <v/>
      </c>
      <c r="F1177" s="66" t="str">
        <f>IF(Fifth!F180="", "",Fifth!F180)</f>
        <v/>
      </c>
      <c r="G1177" s="66" t="str">
        <f>IF(Fifth!G180="", "",Fifth!G180)</f>
        <v/>
      </c>
      <c r="H1177" s="66" t="str">
        <f>IF(Fifth!H180="", "",Fifth!H180)</f>
        <v/>
      </c>
      <c r="I1177" s="66" t="str">
        <f>IF(Fifth!I180="", "",Fifth!I180)</f>
        <v/>
      </c>
      <c r="J1177" s="66" t="str">
        <f>IF(Fifth!J180="", "",Fifth!J180)</f>
        <v/>
      </c>
      <c r="K1177" s="86" t="str">
        <f>IF(Fifth!K180="", "",Fifth!K180)</f>
        <v/>
      </c>
      <c r="M1177" s="67" t="str">
        <f t="shared" si="56"/>
        <v/>
      </c>
      <c r="N1177" s="76" t="str">
        <f t="shared" si="57"/>
        <v/>
      </c>
      <c r="O1177" s="33">
        <f t="shared" si="55"/>
        <v>0</v>
      </c>
    </row>
    <row r="1178" spans="1:15" x14ac:dyDescent="0.25">
      <c r="A1178" s="64" t="s">
        <v>224</v>
      </c>
      <c r="B1178" s="79" t="str">
        <f>IF(Fifth!B181="", "",Fifth!B181)</f>
        <v/>
      </c>
      <c r="C1178" s="66" t="str">
        <f>IF(Fifth!C181="", "",Fifth!C181)</f>
        <v/>
      </c>
      <c r="D1178" s="66" t="str">
        <f>IF(Fifth!D181="", "",Fifth!D181)</f>
        <v/>
      </c>
      <c r="E1178" s="66" t="str">
        <f>IF(Fifth!E181="", "",Fifth!E181)</f>
        <v/>
      </c>
      <c r="F1178" s="66" t="str">
        <f>IF(Fifth!F181="", "",Fifth!F181)</f>
        <v/>
      </c>
      <c r="G1178" s="66" t="str">
        <f>IF(Fifth!G181="", "",Fifth!G181)</f>
        <v/>
      </c>
      <c r="H1178" s="66" t="str">
        <f>IF(Fifth!H181="", "",Fifth!H181)</f>
        <v/>
      </c>
      <c r="I1178" s="66" t="str">
        <f>IF(Fifth!I181="", "",Fifth!I181)</f>
        <v/>
      </c>
      <c r="J1178" s="66" t="str">
        <f>IF(Fifth!J181="", "",Fifth!J181)</f>
        <v/>
      </c>
      <c r="K1178" s="86" t="str">
        <f>IF(Fifth!K181="", "",Fifth!K181)</f>
        <v/>
      </c>
      <c r="M1178" s="67" t="str">
        <f t="shared" si="56"/>
        <v/>
      </c>
      <c r="N1178" s="76" t="str">
        <f t="shared" si="57"/>
        <v/>
      </c>
      <c r="O1178" s="33">
        <f t="shared" si="55"/>
        <v>0</v>
      </c>
    </row>
    <row r="1179" spans="1:15" x14ac:dyDescent="0.25">
      <c r="A1179" s="64" t="s">
        <v>224</v>
      </c>
      <c r="B1179" s="79" t="str">
        <f>IF(Fifth!B182="", "",Fifth!B182)</f>
        <v/>
      </c>
      <c r="C1179" s="66" t="str">
        <f>IF(Fifth!C182="", "",Fifth!C182)</f>
        <v/>
      </c>
      <c r="D1179" s="66" t="str">
        <f>IF(Fifth!D182="", "",Fifth!D182)</f>
        <v/>
      </c>
      <c r="E1179" s="66" t="str">
        <f>IF(Fifth!E182="", "",Fifth!E182)</f>
        <v/>
      </c>
      <c r="F1179" s="66" t="str">
        <f>IF(Fifth!F182="", "",Fifth!F182)</f>
        <v/>
      </c>
      <c r="G1179" s="66" t="str">
        <f>IF(Fifth!G182="", "",Fifth!G182)</f>
        <v/>
      </c>
      <c r="H1179" s="66" t="str">
        <f>IF(Fifth!H182="", "",Fifth!H182)</f>
        <v/>
      </c>
      <c r="I1179" s="66" t="str">
        <f>IF(Fifth!I182="", "",Fifth!I182)</f>
        <v/>
      </c>
      <c r="J1179" s="66" t="str">
        <f>IF(Fifth!J182="", "",Fifth!J182)</f>
        <v/>
      </c>
      <c r="K1179" s="86" t="str">
        <f>IF(Fifth!K182="", "",Fifth!K182)</f>
        <v/>
      </c>
      <c r="M1179" s="67" t="str">
        <f t="shared" si="56"/>
        <v/>
      </c>
      <c r="N1179" s="76" t="str">
        <f t="shared" si="57"/>
        <v/>
      </c>
      <c r="O1179" s="33">
        <f t="shared" si="55"/>
        <v>0</v>
      </c>
    </row>
    <row r="1180" spans="1:15" x14ac:dyDescent="0.25">
      <c r="A1180" s="64" t="s">
        <v>224</v>
      </c>
      <c r="B1180" s="79" t="str">
        <f>IF(Fifth!B183="", "",Fifth!B183)</f>
        <v/>
      </c>
      <c r="C1180" s="66" t="str">
        <f>IF(Fifth!C183="", "",Fifth!C183)</f>
        <v/>
      </c>
      <c r="D1180" s="66" t="str">
        <f>IF(Fifth!D183="", "",Fifth!D183)</f>
        <v/>
      </c>
      <c r="E1180" s="66" t="str">
        <f>IF(Fifth!E183="", "",Fifth!E183)</f>
        <v/>
      </c>
      <c r="F1180" s="66" t="str">
        <f>IF(Fifth!F183="", "",Fifth!F183)</f>
        <v/>
      </c>
      <c r="G1180" s="66" t="str">
        <f>IF(Fifth!G183="", "",Fifth!G183)</f>
        <v/>
      </c>
      <c r="H1180" s="66" t="str">
        <f>IF(Fifth!H183="", "",Fifth!H183)</f>
        <v/>
      </c>
      <c r="I1180" s="66" t="str">
        <f>IF(Fifth!I183="", "",Fifth!I183)</f>
        <v/>
      </c>
      <c r="J1180" s="66" t="str">
        <f>IF(Fifth!J183="", "",Fifth!J183)</f>
        <v/>
      </c>
      <c r="K1180" s="86" t="str">
        <f>IF(Fifth!K183="", "",Fifth!K183)</f>
        <v/>
      </c>
      <c r="M1180" s="67" t="str">
        <f t="shared" si="56"/>
        <v/>
      </c>
      <c r="N1180" s="76" t="str">
        <f t="shared" si="57"/>
        <v/>
      </c>
      <c r="O1180" s="33">
        <f t="shared" si="55"/>
        <v>0</v>
      </c>
    </row>
    <row r="1181" spans="1:15" x14ac:dyDescent="0.25">
      <c r="A1181" s="64" t="s">
        <v>224</v>
      </c>
      <c r="B1181" s="79" t="str">
        <f>IF(Fifth!B184="", "",Fifth!B184)</f>
        <v/>
      </c>
      <c r="C1181" s="66" t="str">
        <f>IF(Fifth!C184="", "",Fifth!C184)</f>
        <v/>
      </c>
      <c r="D1181" s="66" t="str">
        <f>IF(Fifth!D184="", "",Fifth!D184)</f>
        <v/>
      </c>
      <c r="E1181" s="66" t="str">
        <f>IF(Fifth!E184="", "",Fifth!E184)</f>
        <v/>
      </c>
      <c r="F1181" s="66" t="str">
        <f>IF(Fifth!F184="", "",Fifth!F184)</f>
        <v/>
      </c>
      <c r="G1181" s="66" t="str">
        <f>IF(Fifth!G184="", "",Fifth!G184)</f>
        <v/>
      </c>
      <c r="H1181" s="66" t="str">
        <f>IF(Fifth!H184="", "",Fifth!H184)</f>
        <v/>
      </c>
      <c r="I1181" s="66" t="str">
        <f>IF(Fifth!I184="", "",Fifth!I184)</f>
        <v/>
      </c>
      <c r="J1181" s="66" t="str">
        <f>IF(Fifth!J184="", "",Fifth!J184)</f>
        <v/>
      </c>
      <c r="K1181" s="86" t="str">
        <f>IF(Fifth!K184="", "",Fifth!K184)</f>
        <v/>
      </c>
      <c r="M1181" s="67" t="str">
        <f t="shared" si="56"/>
        <v/>
      </c>
      <c r="N1181" s="76" t="str">
        <f t="shared" si="57"/>
        <v/>
      </c>
      <c r="O1181" s="33">
        <f t="shared" si="55"/>
        <v>0</v>
      </c>
    </row>
    <row r="1182" spans="1:15" x14ac:dyDescent="0.25">
      <c r="A1182" s="64" t="s">
        <v>224</v>
      </c>
      <c r="B1182" s="79" t="str">
        <f>IF(Fifth!B185="", "",Fifth!B185)</f>
        <v/>
      </c>
      <c r="C1182" s="66" t="str">
        <f>IF(Fifth!C185="", "",Fifth!C185)</f>
        <v/>
      </c>
      <c r="D1182" s="66" t="str">
        <f>IF(Fifth!D185="", "",Fifth!D185)</f>
        <v/>
      </c>
      <c r="E1182" s="66" t="str">
        <f>IF(Fifth!E185="", "",Fifth!E185)</f>
        <v/>
      </c>
      <c r="F1182" s="66" t="str">
        <f>IF(Fifth!F185="", "",Fifth!F185)</f>
        <v/>
      </c>
      <c r="G1182" s="66" t="str">
        <f>IF(Fifth!G185="", "",Fifth!G185)</f>
        <v/>
      </c>
      <c r="H1182" s="66" t="str">
        <f>IF(Fifth!H185="", "",Fifth!H185)</f>
        <v/>
      </c>
      <c r="I1182" s="66" t="str">
        <f>IF(Fifth!I185="", "",Fifth!I185)</f>
        <v/>
      </c>
      <c r="J1182" s="66" t="str">
        <f>IF(Fifth!J185="", "",Fifth!J185)</f>
        <v/>
      </c>
      <c r="K1182" s="86" t="str">
        <f>IF(Fifth!K185="", "",Fifth!K185)</f>
        <v/>
      </c>
      <c r="M1182" s="67" t="str">
        <f t="shared" si="56"/>
        <v/>
      </c>
      <c r="N1182" s="76" t="str">
        <f t="shared" si="57"/>
        <v/>
      </c>
      <c r="O1182" s="33">
        <f t="shared" si="55"/>
        <v>0</v>
      </c>
    </row>
    <row r="1183" spans="1:15" x14ac:dyDescent="0.25">
      <c r="A1183" s="64" t="s">
        <v>224</v>
      </c>
      <c r="B1183" s="79" t="str">
        <f>IF(Fifth!B186="", "",Fifth!B186)</f>
        <v/>
      </c>
      <c r="C1183" s="66" t="str">
        <f>IF(Fifth!C186="", "",Fifth!C186)</f>
        <v/>
      </c>
      <c r="D1183" s="66" t="str">
        <f>IF(Fifth!D186="", "",Fifth!D186)</f>
        <v/>
      </c>
      <c r="E1183" s="66" t="str">
        <f>IF(Fifth!E186="", "",Fifth!E186)</f>
        <v/>
      </c>
      <c r="F1183" s="66" t="str">
        <f>IF(Fifth!F186="", "",Fifth!F186)</f>
        <v/>
      </c>
      <c r="G1183" s="66" t="str">
        <f>IF(Fifth!G186="", "",Fifth!G186)</f>
        <v/>
      </c>
      <c r="H1183" s="66" t="str">
        <f>IF(Fifth!H186="", "",Fifth!H186)</f>
        <v/>
      </c>
      <c r="I1183" s="66" t="str">
        <f>IF(Fifth!I186="", "",Fifth!I186)</f>
        <v/>
      </c>
      <c r="J1183" s="66" t="str">
        <f>IF(Fifth!J186="", "",Fifth!J186)</f>
        <v/>
      </c>
      <c r="K1183" s="86" t="str">
        <f>IF(Fifth!K186="", "",Fifth!K186)</f>
        <v/>
      </c>
      <c r="M1183" s="67" t="str">
        <f t="shared" si="56"/>
        <v/>
      </c>
      <c r="N1183" s="76" t="str">
        <f t="shared" si="57"/>
        <v/>
      </c>
      <c r="O1183" s="33">
        <f t="shared" si="55"/>
        <v>0</v>
      </c>
    </row>
    <row r="1184" spans="1:15" x14ac:dyDescent="0.25">
      <c r="A1184" s="64" t="s">
        <v>224</v>
      </c>
      <c r="B1184" s="79" t="str">
        <f>IF(Fifth!B187="", "",Fifth!B187)</f>
        <v/>
      </c>
      <c r="C1184" s="66" t="str">
        <f>IF(Fifth!C187="", "",Fifth!C187)</f>
        <v/>
      </c>
      <c r="D1184" s="66" t="str">
        <f>IF(Fifth!D187="", "",Fifth!D187)</f>
        <v/>
      </c>
      <c r="E1184" s="66" t="str">
        <f>IF(Fifth!E187="", "",Fifth!E187)</f>
        <v/>
      </c>
      <c r="F1184" s="66" t="str">
        <f>IF(Fifth!F187="", "",Fifth!F187)</f>
        <v/>
      </c>
      <c r="G1184" s="66" t="str">
        <f>IF(Fifth!G187="", "",Fifth!G187)</f>
        <v/>
      </c>
      <c r="H1184" s="66" t="str">
        <f>IF(Fifth!H187="", "",Fifth!H187)</f>
        <v/>
      </c>
      <c r="I1184" s="66" t="str">
        <f>IF(Fifth!I187="", "",Fifth!I187)</f>
        <v/>
      </c>
      <c r="J1184" s="66" t="str">
        <f>IF(Fifth!J187="", "",Fifth!J187)</f>
        <v/>
      </c>
      <c r="K1184" s="86" t="str">
        <f>IF(Fifth!K187="", "",Fifth!K187)</f>
        <v/>
      </c>
      <c r="M1184" s="67" t="str">
        <f t="shared" si="56"/>
        <v/>
      </c>
      <c r="N1184" s="76" t="str">
        <f t="shared" si="57"/>
        <v/>
      </c>
      <c r="O1184" s="33">
        <f t="shared" si="55"/>
        <v>0</v>
      </c>
    </row>
    <row r="1185" spans="1:15" x14ac:dyDescent="0.25">
      <c r="A1185" s="64" t="s">
        <v>224</v>
      </c>
      <c r="B1185" s="79" t="str">
        <f>IF(Fifth!B188="", "",Fifth!B188)</f>
        <v/>
      </c>
      <c r="C1185" s="66" t="str">
        <f>IF(Fifth!C188="", "",Fifth!C188)</f>
        <v/>
      </c>
      <c r="D1185" s="66" t="str">
        <f>IF(Fifth!D188="", "",Fifth!D188)</f>
        <v/>
      </c>
      <c r="E1185" s="66" t="str">
        <f>IF(Fifth!E188="", "",Fifth!E188)</f>
        <v/>
      </c>
      <c r="F1185" s="66" t="str">
        <f>IF(Fifth!F188="", "",Fifth!F188)</f>
        <v/>
      </c>
      <c r="G1185" s="66" t="str">
        <f>IF(Fifth!G188="", "",Fifth!G188)</f>
        <v/>
      </c>
      <c r="H1185" s="66" t="str">
        <f>IF(Fifth!H188="", "",Fifth!H188)</f>
        <v/>
      </c>
      <c r="I1185" s="66" t="str">
        <f>IF(Fifth!I188="", "",Fifth!I188)</f>
        <v/>
      </c>
      <c r="J1185" s="66" t="str">
        <f>IF(Fifth!J188="", "",Fifth!J188)</f>
        <v/>
      </c>
      <c r="K1185" s="86" t="str">
        <f>IF(Fifth!K188="", "",Fifth!K188)</f>
        <v/>
      </c>
      <c r="M1185" s="67" t="str">
        <f t="shared" si="56"/>
        <v/>
      </c>
      <c r="N1185" s="76" t="str">
        <f t="shared" si="57"/>
        <v/>
      </c>
      <c r="O1185" s="33">
        <f t="shared" si="55"/>
        <v>0</v>
      </c>
    </row>
    <row r="1186" spans="1:15" x14ac:dyDescent="0.25">
      <c r="A1186" s="64" t="s">
        <v>224</v>
      </c>
      <c r="B1186" s="79" t="str">
        <f>IF(Fifth!B189="", "",Fifth!B189)</f>
        <v/>
      </c>
      <c r="C1186" s="66" t="str">
        <f>IF(Fifth!C189="", "",Fifth!C189)</f>
        <v/>
      </c>
      <c r="D1186" s="66" t="str">
        <f>IF(Fifth!D189="", "",Fifth!D189)</f>
        <v/>
      </c>
      <c r="E1186" s="66" t="str">
        <f>IF(Fifth!E189="", "",Fifth!E189)</f>
        <v/>
      </c>
      <c r="F1186" s="66" t="str">
        <f>IF(Fifth!F189="", "",Fifth!F189)</f>
        <v/>
      </c>
      <c r="G1186" s="66" t="str">
        <f>IF(Fifth!G189="", "",Fifth!G189)</f>
        <v/>
      </c>
      <c r="H1186" s="66" t="str">
        <f>IF(Fifth!H189="", "",Fifth!H189)</f>
        <v/>
      </c>
      <c r="I1186" s="66" t="str">
        <f>IF(Fifth!I189="", "",Fifth!I189)</f>
        <v/>
      </c>
      <c r="J1186" s="66" t="str">
        <f>IF(Fifth!J189="", "",Fifth!J189)</f>
        <v/>
      </c>
      <c r="K1186" s="86" t="str">
        <f>IF(Fifth!K189="", "",Fifth!K189)</f>
        <v/>
      </c>
      <c r="M1186" s="67" t="str">
        <f t="shared" si="56"/>
        <v/>
      </c>
      <c r="N1186" s="76" t="str">
        <f t="shared" si="57"/>
        <v/>
      </c>
      <c r="O1186" s="33">
        <f t="shared" si="55"/>
        <v>0</v>
      </c>
    </row>
    <row r="1187" spans="1:15" x14ac:dyDescent="0.25">
      <c r="A1187" s="64" t="s">
        <v>224</v>
      </c>
      <c r="B1187" s="79" t="str">
        <f>IF(Fifth!B190="", "",Fifth!B190)</f>
        <v/>
      </c>
      <c r="C1187" s="66" t="str">
        <f>IF(Fifth!C190="", "",Fifth!C190)</f>
        <v/>
      </c>
      <c r="D1187" s="66" t="str">
        <f>IF(Fifth!D190="", "",Fifth!D190)</f>
        <v/>
      </c>
      <c r="E1187" s="66" t="str">
        <f>IF(Fifth!E190="", "",Fifth!E190)</f>
        <v/>
      </c>
      <c r="F1187" s="66" t="str">
        <f>IF(Fifth!F190="", "",Fifth!F190)</f>
        <v/>
      </c>
      <c r="G1187" s="66" t="str">
        <f>IF(Fifth!G190="", "",Fifth!G190)</f>
        <v/>
      </c>
      <c r="H1187" s="66" t="str">
        <f>IF(Fifth!H190="", "",Fifth!H190)</f>
        <v/>
      </c>
      <c r="I1187" s="66" t="str">
        <f>IF(Fifth!I190="", "",Fifth!I190)</f>
        <v/>
      </c>
      <c r="J1187" s="66" t="str">
        <f>IF(Fifth!J190="", "",Fifth!J190)</f>
        <v/>
      </c>
      <c r="K1187" s="86" t="str">
        <f>IF(Fifth!K190="", "",Fifth!K190)</f>
        <v/>
      </c>
      <c r="M1187" s="67" t="str">
        <f t="shared" si="56"/>
        <v/>
      </c>
      <c r="N1187" s="76" t="str">
        <f t="shared" si="57"/>
        <v/>
      </c>
      <c r="O1187" s="33">
        <f t="shared" si="55"/>
        <v>0</v>
      </c>
    </row>
    <row r="1188" spans="1:15" x14ac:dyDescent="0.25">
      <c r="A1188" s="64" t="s">
        <v>224</v>
      </c>
      <c r="B1188" s="79" t="str">
        <f>IF(Fifth!B191="", "",Fifth!B191)</f>
        <v/>
      </c>
      <c r="C1188" s="66" t="str">
        <f>IF(Fifth!C191="", "",Fifth!C191)</f>
        <v/>
      </c>
      <c r="D1188" s="66" t="str">
        <f>IF(Fifth!D191="", "",Fifth!D191)</f>
        <v/>
      </c>
      <c r="E1188" s="66" t="str">
        <f>IF(Fifth!E191="", "",Fifth!E191)</f>
        <v/>
      </c>
      <c r="F1188" s="66" t="str">
        <f>IF(Fifth!F191="", "",Fifth!F191)</f>
        <v/>
      </c>
      <c r="G1188" s="66" t="str">
        <f>IF(Fifth!G191="", "",Fifth!G191)</f>
        <v/>
      </c>
      <c r="H1188" s="66" t="str">
        <f>IF(Fifth!H191="", "",Fifth!H191)</f>
        <v/>
      </c>
      <c r="I1188" s="66" t="str">
        <f>IF(Fifth!I191="", "",Fifth!I191)</f>
        <v/>
      </c>
      <c r="J1188" s="66" t="str">
        <f>IF(Fifth!J191="", "",Fifth!J191)</f>
        <v/>
      </c>
      <c r="K1188" s="86" t="str">
        <f>IF(Fifth!K191="", "",Fifth!K191)</f>
        <v/>
      </c>
      <c r="M1188" s="67" t="str">
        <f t="shared" si="56"/>
        <v/>
      </c>
      <c r="N1188" s="76" t="str">
        <f t="shared" si="57"/>
        <v/>
      </c>
      <c r="O1188" s="33">
        <f t="shared" si="55"/>
        <v>0</v>
      </c>
    </row>
    <row r="1189" spans="1:15" x14ac:dyDescent="0.25">
      <c r="A1189" s="64" t="s">
        <v>224</v>
      </c>
      <c r="B1189" s="79" t="str">
        <f>IF(Fifth!B192="", "",Fifth!B192)</f>
        <v/>
      </c>
      <c r="C1189" s="66" t="str">
        <f>IF(Fifth!C192="", "",Fifth!C192)</f>
        <v/>
      </c>
      <c r="D1189" s="66" t="str">
        <f>IF(Fifth!D192="", "",Fifth!D192)</f>
        <v/>
      </c>
      <c r="E1189" s="66" t="str">
        <f>IF(Fifth!E192="", "",Fifth!E192)</f>
        <v/>
      </c>
      <c r="F1189" s="66" t="str">
        <f>IF(Fifth!F192="", "",Fifth!F192)</f>
        <v/>
      </c>
      <c r="G1189" s="66" t="str">
        <f>IF(Fifth!G192="", "",Fifth!G192)</f>
        <v/>
      </c>
      <c r="H1189" s="66" t="str">
        <f>IF(Fifth!H192="", "",Fifth!H192)</f>
        <v/>
      </c>
      <c r="I1189" s="66" t="str">
        <f>IF(Fifth!I192="", "",Fifth!I192)</f>
        <v/>
      </c>
      <c r="J1189" s="66" t="str">
        <f>IF(Fifth!J192="", "",Fifth!J192)</f>
        <v/>
      </c>
      <c r="K1189" s="86" t="str">
        <f>IF(Fifth!K192="", "",Fifth!K192)</f>
        <v/>
      </c>
      <c r="M1189" s="67" t="str">
        <f t="shared" si="56"/>
        <v/>
      </c>
      <c r="N1189" s="76" t="str">
        <f t="shared" si="57"/>
        <v/>
      </c>
      <c r="O1189" s="33">
        <f t="shared" si="55"/>
        <v>0</v>
      </c>
    </row>
    <row r="1190" spans="1:15" x14ac:dyDescent="0.25">
      <c r="A1190" s="64" t="s">
        <v>224</v>
      </c>
      <c r="B1190" s="79" t="str">
        <f>IF(Fifth!B193="", "",Fifth!B193)</f>
        <v/>
      </c>
      <c r="C1190" s="66" t="str">
        <f>IF(Fifth!C193="", "",Fifth!C193)</f>
        <v/>
      </c>
      <c r="D1190" s="66" t="str">
        <f>IF(Fifth!D193="", "",Fifth!D193)</f>
        <v/>
      </c>
      <c r="E1190" s="66" t="str">
        <f>IF(Fifth!E193="", "",Fifth!E193)</f>
        <v/>
      </c>
      <c r="F1190" s="66" t="str">
        <f>IF(Fifth!F193="", "",Fifth!F193)</f>
        <v/>
      </c>
      <c r="G1190" s="66" t="str">
        <f>IF(Fifth!G193="", "",Fifth!G193)</f>
        <v/>
      </c>
      <c r="H1190" s="66" t="str">
        <f>IF(Fifth!H193="", "",Fifth!H193)</f>
        <v/>
      </c>
      <c r="I1190" s="66" t="str">
        <f>IF(Fifth!I193="", "",Fifth!I193)</f>
        <v/>
      </c>
      <c r="J1190" s="66" t="str">
        <f>IF(Fifth!J193="", "",Fifth!J193)</f>
        <v/>
      </c>
      <c r="K1190" s="86" t="str">
        <f>IF(Fifth!K193="", "",Fifth!K193)</f>
        <v/>
      </c>
      <c r="M1190" s="67" t="str">
        <f t="shared" si="56"/>
        <v/>
      </c>
      <c r="N1190" s="76" t="str">
        <f t="shared" si="57"/>
        <v/>
      </c>
      <c r="O1190" s="33">
        <f t="shared" si="55"/>
        <v>0</v>
      </c>
    </row>
    <row r="1191" spans="1:15" x14ac:dyDescent="0.25">
      <c r="A1191" s="64" t="s">
        <v>224</v>
      </c>
      <c r="B1191" s="79" t="str">
        <f>IF(Fifth!B194="", "",Fifth!B194)</f>
        <v/>
      </c>
      <c r="C1191" s="66" t="str">
        <f>IF(Fifth!C194="", "",Fifth!C194)</f>
        <v/>
      </c>
      <c r="D1191" s="66" t="str">
        <f>IF(Fifth!D194="", "",Fifth!D194)</f>
        <v/>
      </c>
      <c r="E1191" s="66" t="str">
        <f>IF(Fifth!E194="", "",Fifth!E194)</f>
        <v/>
      </c>
      <c r="F1191" s="66" t="str">
        <f>IF(Fifth!F194="", "",Fifth!F194)</f>
        <v/>
      </c>
      <c r="G1191" s="66" t="str">
        <f>IF(Fifth!G194="", "",Fifth!G194)</f>
        <v/>
      </c>
      <c r="H1191" s="66" t="str">
        <f>IF(Fifth!H194="", "",Fifth!H194)</f>
        <v/>
      </c>
      <c r="I1191" s="66" t="str">
        <f>IF(Fifth!I194="", "",Fifth!I194)</f>
        <v/>
      </c>
      <c r="J1191" s="66" t="str">
        <f>IF(Fifth!J194="", "",Fifth!J194)</f>
        <v/>
      </c>
      <c r="K1191" s="86" t="str">
        <f>IF(Fifth!K194="", "",Fifth!K194)</f>
        <v/>
      </c>
      <c r="M1191" s="67" t="str">
        <f t="shared" si="56"/>
        <v/>
      </c>
      <c r="N1191" s="76" t="str">
        <f t="shared" si="57"/>
        <v/>
      </c>
      <c r="O1191" s="33">
        <f t="shared" si="55"/>
        <v>0</v>
      </c>
    </row>
    <row r="1192" spans="1:15" x14ac:dyDescent="0.25">
      <c r="A1192" s="64" t="s">
        <v>224</v>
      </c>
      <c r="B1192" s="79" t="str">
        <f>IF(Fifth!B195="", "",Fifth!B195)</f>
        <v/>
      </c>
      <c r="C1192" s="66" t="str">
        <f>IF(Fifth!C195="", "",Fifth!C195)</f>
        <v/>
      </c>
      <c r="D1192" s="66" t="str">
        <f>IF(Fifth!D195="", "",Fifth!D195)</f>
        <v/>
      </c>
      <c r="E1192" s="66" t="str">
        <f>IF(Fifth!E195="", "",Fifth!E195)</f>
        <v/>
      </c>
      <c r="F1192" s="66" t="str">
        <f>IF(Fifth!F195="", "",Fifth!F195)</f>
        <v/>
      </c>
      <c r="G1192" s="66" t="str">
        <f>IF(Fifth!G195="", "",Fifth!G195)</f>
        <v/>
      </c>
      <c r="H1192" s="66" t="str">
        <f>IF(Fifth!H195="", "",Fifth!H195)</f>
        <v/>
      </c>
      <c r="I1192" s="66" t="str">
        <f>IF(Fifth!I195="", "",Fifth!I195)</f>
        <v/>
      </c>
      <c r="J1192" s="66" t="str">
        <f>IF(Fifth!J195="", "",Fifth!J195)</f>
        <v/>
      </c>
      <c r="K1192" s="86" t="str">
        <f>IF(Fifth!K195="", "",Fifth!K195)</f>
        <v/>
      </c>
      <c r="M1192" s="67" t="str">
        <f t="shared" si="56"/>
        <v/>
      </c>
      <c r="N1192" s="76" t="str">
        <f t="shared" si="57"/>
        <v/>
      </c>
      <c r="O1192" s="33">
        <f t="shared" si="55"/>
        <v>0</v>
      </c>
    </row>
    <row r="1193" spans="1:15" x14ac:dyDescent="0.25">
      <c r="A1193" s="64" t="s">
        <v>224</v>
      </c>
      <c r="B1193" s="79" t="str">
        <f>IF(Fifth!B196="", "",Fifth!B196)</f>
        <v/>
      </c>
      <c r="C1193" s="66" t="str">
        <f>IF(Fifth!C196="", "",Fifth!C196)</f>
        <v/>
      </c>
      <c r="D1193" s="66" t="str">
        <f>IF(Fifth!D196="", "",Fifth!D196)</f>
        <v/>
      </c>
      <c r="E1193" s="66" t="str">
        <f>IF(Fifth!E196="", "",Fifth!E196)</f>
        <v/>
      </c>
      <c r="F1193" s="66" t="str">
        <f>IF(Fifth!F196="", "",Fifth!F196)</f>
        <v/>
      </c>
      <c r="G1193" s="66" t="str">
        <f>IF(Fifth!G196="", "",Fifth!G196)</f>
        <v/>
      </c>
      <c r="H1193" s="66" t="str">
        <f>IF(Fifth!H196="", "",Fifth!H196)</f>
        <v/>
      </c>
      <c r="I1193" s="66" t="str">
        <f>IF(Fifth!I196="", "",Fifth!I196)</f>
        <v/>
      </c>
      <c r="J1193" s="66" t="str">
        <f>IF(Fifth!J196="", "",Fifth!J196)</f>
        <v/>
      </c>
      <c r="K1193" s="86" t="str">
        <f>IF(Fifth!K196="", "",Fifth!K196)</f>
        <v/>
      </c>
      <c r="M1193" s="67" t="str">
        <f t="shared" si="56"/>
        <v/>
      </c>
      <c r="N1193" s="76" t="str">
        <f t="shared" si="57"/>
        <v/>
      </c>
      <c r="O1193" s="33">
        <f t="shared" si="55"/>
        <v>0</v>
      </c>
    </row>
    <row r="1194" spans="1:15" x14ac:dyDescent="0.25">
      <c r="A1194" s="64" t="s">
        <v>224</v>
      </c>
      <c r="B1194" s="79" t="str">
        <f>IF(Fifth!B197="", "",Fifth!B197)</f>
        <v/>
      </c>
      <c r="C1194" s="66" t="str">
        <f>IF(Fifth!C197="", "",Fifth!C197)</f>
        <v/>
      </c>
      <c r="D1194" s="66" t="str">
        <f>IF(Fifth!D197="", "",Fifth!D197)</f>
        <v/>
      </c>
      <c r="E1194" s="66" t="str">
        <f>IF(Fifth!E197="", "",Fifth!E197)</f>
        <v/>
      </c>
      <c r="F1194" s="66" t="str">
        <f>IF(Fifth!F197="", "",Fifth!F197)</f>
        <v/>
      </c>
      <c r="G1194" s="66" t="str">
        <f>IF(Fifth!G197="", "",Fifth!G197)</f>
        <v/>
      </c>
      <c r="H1194" s="66" t="str">
        <f>IF(Fifth!H197="", "",Fifth!H197)</f>
        <v/>
      </c>
      <c r="I1194" s="66" t="str">
        <f>IF(Fifth!I197="", "",Fifth!I197)</f>
        <v/>
      </c>
      <c r="J1194" s="66" t="str">
        <f>IF(Fifth!J197="", "",Fifth!J197)</f>
        <v/>
      </c>
      <c r="K1194" s="86" t="str">
        <f>IF(Fifth!K197="", "",Fifth!K197)</f>
        <v/>
      </c>
      <c r="M1194" s="67" t="str">
        <f t="shared" si="56"/>
        <v/>
      </c>
      <c r="N1194" s="76" t="str">
        <f t="shared" si="57"/>
        <v/>
      </c>
      <c r="O1194" s="33">
        <f t="shared" si="55"/>
        <v>0</v>
      </c>
    </row>
    <row r="1195" spans="1:15" x14ac:dyDescent="0.25">
      <c r="A1195" s="64" t="s">
        <v>224</v>
      </c>
      <c r="B1195" s="79" t="str">
        <f>IF(Fifth!B198="", "",Fifth!B198)</f>
        <v/>
      </c>
      <c r="C1195" s="66" t="str">
        <f>IF(Fifth!C198="", "",Fifth!C198)</f>
        <v/>
      </c>
      <c r="D1195" s="66" t="str">
        <f>IF(Fifth!D198="", "",Fifth!D198)</f>
        <v/>
      </c>
      <c r="E1195" s="66" t="str">
        <f>IF(Fifth!E198="", "",Fifth!E198)</f>
        <v/>
      </c>
      <c r="F1195" s="66" t="str">
        <f>IF(Fifth!F198="", "",Fifth!F198)</f>
        <v/>
      </c>
      <c r="G1195" s="66" t="str">
        <f>IF(Fifth!G198="", "",Fifth!G198)</f>
        <v/>
      </c>
      <c r="H1195" s="66" t="str">
        <f>IF(Fifth!H198="", "",Fifth!H198)</f>
        <v/>
      </c>
      <c r="I1195" s="66" t="str">
        <f>IF(Fifth!I198="", "",Fifth!I198)</f>
        <v/>
      </c>
      <c r="J1195" s="66" t="str">
        <f>IF(Fifth!J198="", "",Fifth!J198)</f>
        <v/>
      </c>
      <c r="K1195" s="86" t="str">
        <f>IF(Fifth!K198="", "",Fifth!K198)</f>
        <v/>
      </c>
      <c r="M1195" s="67" t="str">
        <f t="shared" si="56"/>
        <v/>
      </c>
      <c r="N1195" s="76" t="str">
        <f t="shared" si="57"/>
        <v/>
      </c>
      <c r="O1195" s="33">
        <f t="shared" si="55"/>
        <v>0</v>
      </c>
    </row>
    <row r="1196" spans="1:15" x14ac:dyDescent="0.25">
      <c r="A1196" s="64" t="s">
        <v>224</v>
      </c>
      <c r="B1196" s="79" t="str">
        <f>IF(Fifth!B199="", "",Fifth!B199)</f>
        <v/>
      </c>
      <c r="C1196" s="66" t="str">
        <f>IF(Fifth!C199="", "",Fifth!C199)</f>
        <v/>
      </c>
      <c r="D1196" s="66" t="str">
        <f>IF(Fifth!D199="", "",Fifth!D199)</f>
        <v/>
      </c>
      <c r="E1196" s="66" t="str">
        <f>IF(Fifth!E199="", "",Fifth!E199)</f>
        <v/>
      </c>
      <c r="F1196" s="66" t="str">
        <f>IF(Fifth!F199="", "",Fifth!F199)</f>
        <v/>
      </c>
      <c r="G1196" s="66" t="str">
        <f>IF(Fifth!G199="", "",Fifth!G199)</f>
        <v/>
      </c>
      <c r="H1196" s="66" t="str">
        <f>IF(Fifth!H199="", "",Fifth!H199)</f>
        <v/>
      </c>
      <c r="I1196" s="66" t="str">
        <f>IF(Fifth!I199="", "",Fifth!I199)</f>
        <v/>
      </c>
      <c r="J1196" s="66" t="str">
        <f>IF(Fifth!J199="", "",Fifth!J199)</f>
        <v/>
      </c>
      <c r="K1196" s="86" t="str">
        <f>IF(Fifth!K199="", "",Fifth!K199)</f>
        <v/>
      </c>
      <c r="M1196" s="67" t="str">
        <f t="shared" si="56"/>
        <v/>
      </c>
      <c r="N1196" s="76" t="str">
        <f t="shared" si="57"/>
        <v/>
      </c>
      <c r="O1196" s="33">
        <f t="shared" si="55"/>
        <v>0</v>
      </c>
    </row>
    <row r="1197" spans="1:15" x14ac:dyDescent="0.25">
      <c r="A1197" s="64" t="s">
        <v>224</v>
      </c>
      <c r="B1197" s="79" t="str">
        <f>IF(Fifth!B200="", "",Fifth!B200)</f>
        <v/>
      </c>
      <c r="C1197" s="66" t="str">
        <f>IF(Fifth!C200="", "",Fifth!C200)</f>
        <v/>
      </c>
      <c r="D1197" s="66" t="str">
        <f>IF(Fifth!D200="", "",Fifth!D200)</f>
        <v/>
      </c>
      <c r="E1197" s="66" t="str">
        <f>IF(Fifth!E200="", "",Fifth!E200)</f>
        <v/>
      </c>
      <c r="F1197" s="66" t="str">
        <f>IF(Fifth!F200="", "",Fifth!F200)</f>
        <v/>
      </c>
      <c r="G1197" s="66" t="str">
        <f>IF(Fifth!G200="", "",Fifth!G200)</f>
        <v/>
      </c>
      <c r="H1197" s="66" t="str">
        <f>IF(Fifth!H200="", "",Fifth!H200)</f>
        <v/>
      </c>
      <c r="I1197" s="66" t="str">
        <f>IF(Fifth!I200="", "",Fifth!I200)</f>
        <v/>
      </c>
      <c r="J1197" s="66" t="str">
        <f>IF(Fifth!J200="", "",Fifth!J200)</f>
        <v/>
      </c>
      <c r="K1197" s="86" t="str">
        <f>IF(Fifth!K200="", "",Fifth!K200)</f>
        <v/>
      </c>
      <c r="M1197" s="67" t="str">
        <f t="shared" si="56"/>
        <v/>
      </c>
      <c r="N1197" s="76" t="str">
        <f t="shared" si="57"/>
        <v/>
      </c>
      <c r="O1197" s="33">
        <f t="shared" si="55"/>
        <v>0</v>
      </c>
    </row>
    <row r="1198" spans="1:15" x14ac:dyDescent="0.25">
      <c r="A1198" s="64" t="s">
        <v>224</v>
      </c>
      <c r="B1198" s="79" t="str">
        <f>IF(Fifth!B201="", "",Fifth!B201)</f>
        <v/>
      </c>
      <c r="C1198" s="66" t="str">
        <f>IF(Fifth!C201="", "",Fifth!C201)</f>
        <v/>
      </c>
      <c r="D1198" s="66" t="str">
        <f>IF(Fifth!D201="", "",Fifth!D201)</f>
        <v/>
      </c>
      <c r="E1198" s="66" t="str">
        <f>IF(Fifth!E201="", "",Fifth!E201)</f>
        <v/>
      </c>
      <c r="F1198" s="66" t="str">
        <f>IF(Fifth!F201="", "",Fifth!F201)</f>
        <v/>
      </c>
      <c r="G1198" s="66" t="str">
        <f>IF(Fifth!G201="", "",Fifth!G201)</f>
        <v/>
      </c>
      <c r="H1198" s="66" t="str">
        <f>IF(Fifth!H201="", "",Fifth!H201)</f>
        <v/>
      </c>
      <c r="I1198" s="66" t="str">
        <f>IF(Fifth!I201="", "",Fifth!I201)</f>
        <v/>
      </c>
      <c r="J1198" s="66" t="str">
        <f>IF(Fifth!J201="", "",Fifth!J201)</f>
        <v/>
      </c>
      <c r="K1198" s="86" t="str">
        <f>IF(Fifth!K201="", "",Fifth!K201)</f>
        <v/>
      </c>
      <c r="M1198" s="67" t="str">
        <f t="shared" si="56"/>
        <v/>
      </c>
      <c r="N1198" s="76" t="str">
        <f t="shared" si="57"/>
        <v/>
      </c>
      <c r="O1198" s="33">
        <f t="shared" si="55"/>
        <v>0</v>
      </c>
    </row>
    <row r="1199" spans="1:15" x14ac:dyDescent="0.25">
      <c r="A1199" s="64" t="s">
        <v>224</v>
      </c>
      <c r="B1199" s="79" t="str">
        <f>IF(Fifth!B202="", "",Fifth!B202)</f>
        <v/>
      </c>
      <c r="C1199" s="66" t="str">
        <f>IF(Fifth!C202="", "",Fifth!C202)</f>
        <v/>
      </c>
      <c r="D1199" s="66" t="str">
        <f>IF(Fifth!D202="", "",Fifth!D202)</f>
        <v/>
      </c>
      <c r="E1199" s="66" t="str">
        <f>IF(Fifth!E202="", "",Fifth!E202)</f>
        <v/>
      </c>
      <c r="F1199" s="66" t="str">
        <f>IF(Fifth!F202="", "",Fifth!F202)</f>
        <v/>
      </c>
      <c r="G1199" s="66" t="str">
        <f>IF(Fifth!G202="", "",Fifth!G202)</f>
        <v/>
      </c>
      <c r="H1199" s="66" t="str">
        <f>IF(Fifth!H202="", "",Fifth!H202)</f>
        <v/>
      </c>
      <c r="I1199" s="66" t="str">
        <f>IF(Fifth!I202="", "",Fifth!I202)</f>
        <v/>
      </c>
      <c r="J1199" s="66" t="str">
        <f>IF(Fifth!J202="", "",Fifth!J202)</f>
        <v/>
      </c>
      <c r="K1199" s="86" t="str">
        <f>IF(Fifth!K202="", "",Fifth!K202)</f>
        <v/>
      </c>
      <c r="M1199" s="67" t="str">
        <f t="shared" si="56"/>
        <v/>
      </c>
      <c r="N1199" s="76" t="str">
        <f t="shared" si="57"/>
        <v/>
      </c>
      <c r="O1199" s="33">
        <f t="shared" si="55"/>
        <v>0</v>
      </c>
    </row>
    <row r="1200" spans="1:15" x14ac:dyDescent="0.25">
      <c r="A1200" s="64" t="s">
        <v>224</v>
      </c>
      <c r="B1200" s="79" t="str">
        <f>IF(Fifth!B203="", "",Fifth!B203)</f>
        <v/>
      </c>
      <c r="C1200" s="66" t="str">
        <f>IF(Fifth!C203="", "",Fifth!C203)</f>
        <v/>
      </c>
      <c r="D1200" s="66" t="str">
        <f>IF(Fifth!D203="", "",Fifth!D203)</f>
        <v/>
      </c>
      <c r="E1200" s="66" t="str">
        <f>IF(Fifth!E203="", "",Fifth!E203)</f>
        <v/>
      </c>
      <c r="F1200" s="66" t="str">
        <f>IF(Fifth!F203="", "",Fifth!F203)</f>
        <v/>
      </c>
      <c r="G1200" s="66" t="str">
        <f>IF(Fifth!G203="", "",Fifth!G203)</f>
        <v/>
      </c>
      <c r="H1200" s="66" t="str">
        <f>IF(Fifth!H203="", "",Fifth!H203)</f>
        <v/>
      </c>
      <c r="I1200" s="66" t="str">
        <f>IF(Fifth!I203="", "",Fifth!I203)</f>
        <v/>
      </c>
      <c r="J1200" s="66" t="str">
        <f>IF(Fifth!J203="", "",Fifth!J203)</f>
        <v/>
      </c>
      <c r="K1200" s="86" t="str">
        <f>IF(Fifth!K203="", "",Fifth!K203)</f>
        <v/>
      </c>
      <c r="M1200" s="67" t="str">
        <f t="shared" si="56"/>
        <v/>
      </c>
      <c r="N1200" s="76" t="str">
        <f t="shared" si="57"/>
        <v/>
      </c>
      <c r="O1200" s="33">
        <f t="shared" si="55"/>
        <v>0</v>
      </c>
    </row>
    <row r="1201" spans="1:15" x14ac:dyDescent="0.25">
      <c r="A1201" s="64" t="s">
        <v>224</v>
      </c>
      <c r="B1201" s="79" t="str">
        <f>IF(Fifth!B204="", "",Fifth!B204)</f>
        <v/>
      </c>
      <c r="C1201" s="66" t="str">
        <f>IF(Fifth!C204="", "",Fifth!C204)</f>
        <v/>
      </c>
      <c r="D1201" s="66" t="str">
        <f>IF(Fifth!D204="", "",Fifth!D204)</f>
        <v/>
      </c>
      <c r="E1201" s="66" t="str">
        <f>IF(Fifth!E204="", "",Fifth!E204)</f>
        <v/>
      </c>
      <c r="F1201" s="66" t="str">
        <f>IF(Fifth!F204="", "",Fifth!F204)</f>
        <v/>
      </c>
      <c r="G1201" s="66" t="str">
        <f>IF(Fifth!G204="", "",Fifth!G204)</f>
        <v/>
      </c>
      <c r="H1201" s="66" t="str">
        <f>IF(Fifth!H204="", "",Fifth!H204)</f>
        <v/>
      </c>
      <c r="I1201" s="66" t="str">
        <f>IF(Fifth!I204="", "",Fifth!I204)</f>
        <v/>
      </c>
      <c r="J1201" s="66" t="str">
        <f>IF(Fifth!J204="", "",Fifth!J204)</f>
        <v/>
      </c>
      <c r="K1201" s="86" t="str">
        <f>IF(Fifth!K204="", "",Fifth!K204)</f>
        <v/>
      </c>
      <c r="M1201" s="67" t="str">
        <f t="shared" si="56"/>
        <v/>
      </c>
      <c r="N1201" s="76" t="str">
        <f t="shared" si="57"/>
        <v/>
      </c>
      <c r="O1201" s="33">
        <f t="shared" si="55"/>
        <v>0</v>
      </c>
    </row>
    <row r="1202" spans="1:15" x14ac:dyDescent="0.25">
      <c r="A1202" s="64" t="s">
        <v>224</v>
      </c>
      <c r="B1202" s="79" t="str">
        <f>IF(Fifth!B205="", "",Fifth!B205)</f>
        <v/>
      </c>
      <c r="C1202" s="66" t="str">
        <f>IF(Fifth!C205="", "",Fifth!C205)</f>
        <v/>
      </c>
      <c r="D1202" s="66" t="str">
        <f>IF(Fifth!D205="", "",Fifth!D205)</f>
        <v/>
      </c>
      <c r="E1202" s="66" t="str">
        <f>IF(Fifth!E205="", "",Fifth!E205)</f>
        <v/>
      </c>
      <c r="F1202" s="66" t="str">
        <f>IF(Fifth!F205="", "",Fifth!F205)</f>
        <v/>
      </c>
      <c r="G1202" s="66" t="str">
        <f>IF(Fifth!G205="", "",Fifth!G205)</f>
        <v/>
      </c>
      <c r="H1202" s="66" t="str">
        <f>IF(Fifth!H205="", "",Fifth!H205)</f>
        <v/>
      </c>
      <c r="I1202" s="66" t="str">
        <f>IF(Fifth!I205="", "",Fifth!I205)</f>
        <v/>
      </c>
      <c r="J1202" s="66" t="str">
        <f>IF(Fifth!J205="", "",Fifth!J205)</f>
        <v/>
      </c>
      <c r="K1202" s="86" t="str">
        <f>IF(Fifth!K205="", "",Fifth!K205)</f>
        <v/>
      </c>
      <c r="M1202" s="67" t="str">
        <f t="shared" si="56"/>
        <v/>
      </c>
      <c r="N1202" s="76" t="str">
        <f t="shared" si="57"/>
        <v/>
      </c>
      <c r="O1202" s="33">
        <f t="shared" si="55"/>
        <v>0</v>
      </c>
    </row>
    <row r="1203" spans="1:15" x14ac:dyDescent="0.25">
      <c r="A1203" s="64" t="s">
        <v>224</v>
      </c>
      <c r="B1203" s="79" t="str">
        <f>IF(Fifth!B206="", "",Fifth!B206)</f>
        <v/>
      </c>
      <c r="C1203" s="66" t="str">
        <f>IF(Fifth!C206="", "",Fifth!C206)</f>
        <v/>
      </c>
      <c r="D1203" s="66" t="str">
        <f>IF(Fifth!D206="", "",Fifth!D206)</f>
        <v/>
      </c>
      <c r="E1203" s="66" t="str">
        <f>IF(Fifth!E206="", "",Fifth!E206)</f>
        <v/>
      </c>
      <c r="F1203" s="66" t="str">
        <f>IF(Fifth!F206="", "",Fifth!F206)</f>
        <v/>
      </c>
      <c r="G1203" s="66" t="str">
        <f>IF(Fifth!G206="", "",Fifth!G206)</f>
        <v/>
      </c>
      <c r="H1203" s="66" t="str">
        <f>IF(Fifth!H206="", "",Fifth!H206)</f>
        <v/>
      </c>
      <c r="I1203" s="66" t="str">
        <f>IF(Fifth!I206="", "",Fifth!I206)</f>
        <v/>
      </c>
      <c r="J1203" s="66" t="str">
        <f>IF(Fifth!J206="", "",Fifth!J206)</f>
        <v/>
      </c>
      <c r="K1203" s="86" t="str">
        <f>IF(Fifth!K206="", "",Fifth!K206)</f>
        <v/>
      </c>
      <c r="M1203" s="67" t="str">
        <f t="shared" si="56"/>
        <v/>
      </c>
      <c r="N1203" s="76" t="str">
        <f t="shared" si="57"/>
        <v/>
      </c>
      <c r="O1203" s="33">
        <f t="shared" si="55"/>
        <v>0</v>
      </c>
    </row>
    <row r="1204" spans="1:15" x14ac:dyDescent="0.25">
      <c r="A1204" s="64" t="s">
        <v>224</v>
      </c>
      <c r="B1204" s="79" t="str">
        <f>IF(Fifth!B207="", "",Fifth!B207)</f>
        <v/>
      </c>
      <c r="C1204" s="66" t="str">
        <f>IF(Fifth!C207="", "",Fifth!C207)</f>
        <v/>
      </c>
      <c r="D1204" s="66" t="str">
        <f>IF(Fifth!D207="", "",Fifth!D207)</f>
        <v/>
      </c>
      <c r="E1204" s="66" t="str">
        <f>IF(Fifth!E207="", "",Fifth!E207)</f>
        <v/>
      </c>
      <c r="F1204" s="66" t="str">
        <f>IF(Fifth!F207="", "",Fifth!F207)</f>
        <v/>
      </c>
      <c r="G1204" s="66" t="str">
        <f>IF(Fifth!G207="", "",Fifth!G207)</f>
        <v/>
      </c>
      <c r="H1204" s="66" t="str">
        <f>IF(Fifth!H207="", "",Fifth!H207)</f>
        <v/>
      </c>
      <c r="I1204" s="66" t="str">
        <f>IF(Fifth!I207="", "",Fifth!I207)</f>
        <v/>
      </c>
      <c r="J1204" s="66" t="str">
        <f>IF(Fifth!J207="", "",Fifth!J207)</f>
        <v/>
      </c>
      <c r="K1204" s="86" t="str">
        <f>IF(Fifth!K207="", "",Fifth!K207)</f>
        <v/>
      </c>
      <c r="M1204" s="67" t="str">
        <f t="shared" si="56"/>
        <v/>
      </c>
      <c r="N1204" s="76" t="str">
        <f t="shared" si="57"/>
        <v/>
      </c>
      <c r="O1204" s="33">
        <f t="shared" si="55"/>
        <v>0</v>
      </c>
    </row>
    <row r="1205" spans="1:15" x14ac:dyDescent="0.25">
      <c r="A1205" s="64" t="s">
        <v>224</v>
      </c>
      <c r="B1205" s="79" t="str">
        <f>IF(Fifth!B208="", "",Fifth!B208)</f>
        <v/>
      </c>
      <c r="C1205" s="66" t="str">
        <f>IF(Fifth!C208="", "",Fifth!C208)</f>
        <v/>
      </c>
      <c r="D1205" s="66" t="str">
        <f>IF(Fifth!D208="", "",Fifth!D208)</f>
        <v/>
      </c>
      <c r="E1205" s="66" t="str">
        <f>IF(Fifth!E208="", "",Fifth!E208)</f>
        <v/>
      </c>
      <c r="F1205" s="66" t="str">
        <f>IF(Fifth!F208="", "",Fifth!F208)</f>
        <v/>
      </c>
      <c r="G1205" s="66" t="str">
        <f>IF(Fifth!G208="", "",Fifth!G208)</f>
        <v/>
      </c>
      <c r="H1205" s="66" t="str">
        <f>IF(Fifth!H208="", "",Fifth!H208)</f>
        <v/>
      </c>
      <c r="I1205" s="66" t="str">
        <f>IF(Fifth!I208="", "",Fifth!I208)</f>
        <v/>
      </c>
      <c r="J1205" s="66" t="str">
        <f>IF(Fifth!J208="", "",Fifth!J208)</f>
        <v/>
      </c>
      <c r="K1205" s="86" t="str">
        <f>IF(Fifth!K208="", "",Fifth!K208)</f>
        <v/>
      </c>
      <c r="M1205" s="67" t="str">
        <f t="shared" si="56"/>
        <v/>
      </c>
      <c r="N1205" s="76" t="str">
        <f t="shared" si="57"/>
        <v/>
      </c>
      <c r="O1205" s="33">
        <f t="shared" si="55"/>
        <v>0</v>
      </c>
    </row>
    <row r="1206" spans="1:15" x14ac:dyDescent="0.25">
      <c r="A1206" s="64" t="s">
        <v>224</v>
      </c>
      <c r="B1206" s="79" t="str">
        <f>IF(Fifth!B209="", "",Fifth!B209)</f>
        <v/>
      </c>
      <c r="C1206" s="66" t="str">
        <f>IF(Fifth!C209="", "",Fifth!C209)</f>
        <v/>
      </c>
      <c r="D1206" s="66" t="str">
        <f>IF(Fifth!D209="", "",Fifth!D209)</f>
        <v/>
      </c>
      <c r="E1206" s="66" t="str">
        <f>IF(Fifth!E209="", "",Fifth!E209)</f>
        <v/>
      </c>
      <c r="F1206" s="66" t="str">
        <f>IF(Fifth!F209="", "",Fifth!F209)</f>
        <v/>
      </c>
      <c r="G1206" s="66" t="str">
        <f>IF(Fifth!G209="", "",Fifth!G209)</f>
        <v/>
      </c>
      <c r="H1206" s="66" t="str">
        <f>IF(Fifth!H209="", "",Fifth!H209)</f>
        <v/>
      </c>
      <c r="I1206" s="66" t="str">
        <f>IF(Fifth!I209="", "",Fifth!I209)</f>
        <v/>
      </c>
      <c r="J1206" s="66" t="str">
        <f>IF(Fifth!J209="", "",Fifth!J209)</f>
        <v/>
      </c>
      <c r="K1206" s="86" t="str">
        <f>IF(Fifth!K209="", "",Fifth!K209)</f>
        <v/>
      </c>
      <c r="M1206" s="67" t="str">
        <f t="shared" si="56"/>
        <v/>
      </c>
      <c r="N1206" s="76" t="str">
        <f t="shared" si="57"/>
        <v/>
      </c>
      <c r="O1206" s="33">
        <f t="shared" si="55"/>
        <v>0</v>
      </c>
    </row>
    <row r="1207" spans="1:15" x14ac:dyDescent="0.25">
      <c r="A1207" s="64" t="s">
        <v>224</v>
      </c>
      <c r="B1207" s="79" t="str">
        <f>IF(Fifth!B210="", "",Fifth!B210)</f>
        <v/>
      </c>
      <c r="C1207" s="66" t="str">
        <f>IF(Fifth!C210="", "",Fifth!C210)</f>
        <v/>
      </c>
      <c r="D1207" s="66" t="str">
        <f>IF(Fifth!D210="", "",Fifth!D210)</f>
        <v/>
      </c>
      <c r="E1207" s="66" t="str">
        <f>IF(Fifth!E210="", "",Fifth!E210)</f>
        <v/>
      </c>
      <c r="F1207" s="66" t="str">
        <f>IF(Fifth!F210="", "",Fifth!F210)</f>
        <v/>
      </c>
      <c r="G1207" s="66" t="str">
        <f>IF(Fifth!G210="", "",Fifth!G210)</f>
        <v/>
      </c>
      <c r="H1207" s="66" t="str">
        <f>IF(Fifth!H210="", "",Fifth!H210)</f>
        <v/>
      </c>
      <c r="I1207" s="66" t="str">
        <f>IF(Fifth!I210="", "",Fifth!I210)</f>
        <v/>
      </c>
      <c r="J1207" s="66" t="str">
        <f>IF(Fifth!J210="", "",Fifth!J210)</f>
        <v/>
      </c>
      <c r="K1207" s="86" t="str">
        <f>IF(Fifth!K210="", "",Fifth!K210)</f>
        <v/>
      </c>
      <c r="M1207" s="67" t="str">
        <f t="shared" si="56"/>
        <v/>
      </c>
      <c r="N1207" s="76" t="str">
        <f t="shared" si="57"/>
        <v/>
      </c>
      <c r="O1207" s="33">
        <f t="shared" si="55"/>
        <v>0</v>
      </c>
    </row>
    <row r="1208" spans="1:15" x14ac:dyDescent="0.25">
      <c r="A1208" s="64" t="s">
        <v>224</v>
      </c>
      <c r="B1208" s="79" t="str">
        <f>IF(Fifth!B211="", "",Fifth!B211)</f>
        <v/>
      </c>
      <c r="C1208" s="66" t="str">
        <f>IF(Fifth!C211="", "",Fifth!C211)</f>
        <v/>
      </c>
      <c r="D1208" s="66" t="str">
        <f>IF(Fifth!D211="", "",Fifth!D211)</f>
        <v/>
      </c>
      <c r="E1208" s="66" t="str">
        <f>IF(Fifth!E211="", "",Fifth!E211)</f>
        <v/>
      </c>
      <c r="F1208" s="66" t="str">
        <f>IF(Fifth!F211="", "",Fifth!F211)</f>
        <v/>
      </c>
      <c r="G1208" s="66" t="str">
        <f>IF(Fifth!G211="", "",Fifth!G211)</f>
        <v/>
      </c>
      <c r="H1208" s="66" t="str">
        <f>IF(Fifth!H211="", "",Fifth!H211)</f>
        <v/>
      </c>
      <c r="I1208" s="66" t="str">
        <f>IF(Fifth!I211="", "",Fifth!I211)</f>
        <v/>
      </c>
      <c r="J1208" s="66" t="str">
        <f>IF(Fifth!J211="", "",Fifth!J211)</f>
        <v/>
      </c>
      <c r="K1208" s="86" t="str">
        <f>IF(Fifth!K211="", "",Fifth!K211)</f>
        <v/>
      </c>
      <c r="M1208" s="67" t="str">
        <f t="shared" si="56"/>
        <v/>
      </c>
      <c r="N1208" s="76" t="str">
        <f t="shared" si="57"/>
        <v/>
      </c>
      <c r="O1208" s="33">
        <f t="shared" si="55"/>
        <v>0</v>
      </c>
    </row>
    <row r="1209" spans="1:15" x14ac:dyDescent="0.25">
      <c r="A1209" s="64" t="s">
        <v>224</v>
      </c>
      <c r="B1209" s="79" t="str">
        <f>IF(Fifth!B212="", "",Fifth!B212)</f>
        <v/>
      </c>
      <c r="C1209" s="66" t="str">
        <f>IF(Fifth!C212="", "",Fifth!C212)</f>
        <v/>
      </c>
      <c r="D1209" s="66" t="str">
        <f>IF(Fifth!D212="", "",Fifth!D212)</f>
        <v/>
      </c>
      <c r="E1209" s="66" t="str">
        <f>IF(Fifth!E212="", "",Fifth!E212)</f>
        <v/>
      </c>
      <c r="F1209" s="66" t="str">
        <f>IF(Fifth!F212="", "",Fifth!F212)</f>
        <v/>
      </c>
      <c r="G1209" s="66" t="str">
        <f>IF(Fifth!G212="", "",Fifth!G212)</f>
        <v/>
      </c>
      <c r="H1209" s="66" t="str">
        <f>IF(Fifth!H212="", "",Fifth!H212)</f>
        <v/>
      </c>
      <c r="I1209" s="66" t="str">
        <f>IF(Fifth!I212="", "",Fifth!I212)</f>
        <v/>
      </c>
      <c r="J1209" s="66" t="str">
        <f>IF(Fifth!J212="", "",Fifth!J212)</f>
        <v/>
      </c>
      <c r="K1209" s="86" t="str">
        <f>IF(Fifth!K212="", "",Fifth!K212)</f>
        <v/>
      </c>
      <c r="M1209" s="67" t="str">
        <f t="shared" si="56"/>
        <v/>
      </c>
      <c r="N1209" s="76" t="str">
        <f t="shared" si="57"/>
        <v/>
      </c>
      <c r="O1209" s="33">
        <f t="shared" si="55"/>
        <v>0</v>
      </c>
    </row>
    <row r="1210" spans="1:15" x14ac:dyDescent="0.25">
      <c r="A1210" s="64" t="s">
        <v>224</v>
      </c>
      <c r="B1210" s="79" t="str">
        <f>IF(Fifth!B213="", "",Fifth!B213)</f>
        <v/>
      </c>
      <c r="C1210" s="66" t="str">
        <f>IF(Fifth!C213="", "",Fifth!C213)</f>
        <v/>
      </c>
      <c r="D1210" s="66" t="str">
        <f>IF(Fifth!D213="", "",Fifth!D213)</f>
        <v/>
      </c>
      <c r="E1210" s="66" t="str">
        <f>IF(Fifth!E213="", "",Fifth!E213)</f>
        <v/>
      </c>
      <c r="F1210" s="66" t="str">
        <f>IF(Fifth!F213="", "",Fifth!F213)</f>
        <v/>
      </c>
      <c r="G1210" s="66" t="str">
        <f>IF(Fifth!G213="", "",Fifth!G213)</f>
        <v/>
      </c>
      <c r="H1210" s="66" t="str">
        <f>IF(Fifth!H213="", "",Fifth!H213)</f>
        <v/>
      </c>
      <c r="I1210" s="66" t="str">
        <f>IF(Fifth!I213="", "",Fifth!I213)</f>
        <v/>
      </c>
      <c r="J1210" s="66" t="str">
        <f>IF(Fifth!J213="", "",Fifth!J213)</f>
        <v/>
      </c>
      <c r="K1210" s="86" t="str">
        <f>IF(Fifth!K213="", "",Fifth!K213)</f>
        <v/>
      </c>
      <c r="M1210" s="67" t="str">
        <f t="shared" si="56"/>
        <v/>
      </c>
      <c r="N1210" s="76" t="str">
        <f t="shared" si="57"/>
        <v/>
      </c>
      <c r="O1210" s="33">
        <f t="shared" si="55"/>
        <v>0</v>
      </c>
    </row>
    <row r="1211" spans="1:15" x14ac:dyDescent="0.25">
      <c r="A1211" s="64" t="s">
        <v>224</v>
      </c>
      <c r="B1211" s="79" t="str">
        <f>IF(Fifth!B214="", "",Fifth!B214)</f>
        <v/>
      </c>
      <c r="C1211" s="66" t="str">
        <f>IF(Fifth!C214="", "",Fifth!C214)</f>
        <v/>
      </c>
      <c r="D1211" s="66" t="str">
        <f>IF(Fifth!D214="", "",Fifth!D214)</f>
        <v/>
      </c>
      <c r="E1211" s="66" t="str">
        <f>IF(Fifth!E214="", "",Fifth!E214)</f>
        <v/>
      </c>
      <c r="F1211" s="66" t="str">
        <f>IF(Fifth!F214="", "",Fifth!F214)</f>
        <v/>
      </c>
      <c r="G1211" s="66" t="str">
        <f>IF(Fifth!G214="", "",Fifth!G214)</f>
        <v/>
      </c>
      <c r="H1211" s="66" t="str">
        <f>IF(Fifth!H214="", "",Fifth!H214)</f>
        <v/>
      </c>
      <c r="I1211" s="66" t="str">
        <f>IF(Fifth!I214="", "",Fifth!I214)</f>
        <v/>
      </c>
      <c r="J1211" s="66" t="str">
        <f>IF(Fifth!J214="", "",Fifth!J214)</f>
        <v/>
      </c>
      <c r="K1211" s="86" t="str">
        <f>IF(Fifth!K214="", "",Fifth!K214)</f>
        <v/>
      </c>
      <c r="M1211" s="67" t="str">
        <f t="shared" si="56"/>
        <v/>
      </c>
      <c r="N1211" s="76" t="str">
        <f t="shared" si="57"/>
        <v/>
      </c>
      <c r="O1211" s="33">
        <f t="shared" si="55"/>
        <v>0</v>
      </c>
    </row>
    <row r="1212" spans="1:15" x14ac:dyDescent="0.25">
      <c r="A1212" s="64" t="s">
        <v>224</v>
      </c>
      <c r="B1212" s="79" t="str">
        <f>IF(Fifth!B215="", "",Fifth!B215)</f>
        <v/>
      </c>
      <c r="C1212" s="66" t="str">
        <f>IF(Fifth!C215="", "",Fifth!C215)</f>
        <v/>
      </c>
      <c r="D1212" s="66" t="str">
        <f>IF(Fifth!D215="", "",Fifth!D215)</f>
        <v/>
      </c>
      <c r="E1212" s="66" t="str">
        <f>IF(Fifth!E215="", "",Fifth!E215)</f>
        <v/>
      </c>
      <c r="F1212" s="66" t="str">
        <f>IF(Fifth!F215="", "",Fifth!F215)</f>
        <v/>
      </c>
      <c r="G1212" s="66" t="str">
        <f>IF(Fifth!G215="", "",Fifth!G215)</f>
        <v/>
      </c>
      <c r="H1212" s="66" t="str">
        <f>IF(Fifth!H215="", "",Fifth!H215)</f>
        <v/>
      </c>
      <c r="I1212" s="66" t="str">
        <f>IF(Fifth!I215="", "",Fifth!I215)</f>
        <v/>
      </c>
      <c r="J1212" s="66" t="str">
        <f>IF(Fifth!J215="", "",Fifth!J215)</f>
        <v/>
      </c>
      <c r="K1212" s="86" t="str">
        <f>IF(Fifth!K215="", "",Fifth!K215)</f>
        <v/>
      </c>
      <c r="M1212" s="67" t="str">
        <f t="shared" si="56"/>
        <v/>
      </c>
      <c r="N1212" s="76" t="str">
        <f t="shared" si="57"/>
        <v/>
      </c>
      <c r="O1212" s="33">
        <f t="shared" si="55"/>
        <v>0</v>
      </c>
    </row>
    <row r="1213" spans="1:15" x14ac:dyDescent="0.25">
      <c r="A1213" s="64" t="s">
        <v>224</v>
      </c>
      <c r="B1213" s="79" t="str">
        <f>IF(Fifth!B216="", "",Fifth!B216)</f>
        <v/>
      </c>
      <c r="C1213" s="66" t="str">
        <f>IF(Fifth!C216="", "",Fifth!C216)</f>
        <v/>
      </c>
      <c r="D1213" s="66" t="str">
        <f>IF(Fifth!D216="", "",Fifth!D216)</f>
        <v/>
      </c>
      <c r="E1213" s="66" t="str">
        <f>IF(Fifth!E216="", "",Fifth!E216)</f>
        <v/>
      </c>
      <c r="F1213" s="66" t="str">
        <f>IF(Fifth!F216="", "",Fifth!F216)</f>
        <v/>
      </c>
      <c r="G1213" s="66" t="str">
        <f>IF(Fifth!G216="", "",Fifth!G216)</f>
        <v/>
      </c>
      <c r="H1213" s="66" t="str">
        <f>IF(Fifth!H216="", "",Fifth!H216)</f>
        <v/>
      </c>
      <c r="I1213" s="66" t="str">
        <f>IF(Fifth!I216="", "",Fifth!I216)</f>
        <v/>
      </c>
      <c r="J1213" s="66" t="str">
        <f>IF(Fifth!J216="", "",Fifth!J216)</f>
        <v/>
      </c>
      <c r="K1213" s="86" t="str">
        <f>IF(Fifth!K216="", "",Fifth!K216)</f>
        <v/>
      </c>
      <c r="M1213" s="67" t="str">
        <f t="shared" si="56"/>
        <v/>
      </c>
      <c r="N1213" s="76" t="str">
        <f t="shared" si="57"/>
        <v/>
      </c>
      <c r="O1213" s="33">
        <f t="shared" si="55"/>
        <v>0</v>
      </c>
    </row>
    <row r="1214" spans="1:15" x14ac:dyDescent="0.25">
      <c r="A1214" s="64" t="s">
        <v>224</v>
      </c>
      <c r="B1214" s="79" t="str">
        <f>IF(Fifth!B217="", "",Fifth!B217)</f>
        <v/>
      </c>
      <c r="C1214" s="66" t="str">
        <f>IF(Fifth!C217="", "",Fifth!C217)</f>
        <v/>
      </c>
      <c r="D1214" s="66" t="str">
        <f>IF(Fifth!D217="", "",Fifth!D217)</f>
        <v/>
      </c>
      <c r="E1214" s="66" t="str">
        <f>IF(Fifth!E217="", "",Fifth!E217)</f>
        <v/>
      </c>
      <c r="F1214" s="66" t="str">
        <f>IF(Fifth!F217="", "",Fifth!F217)</f>
        <v/>
      </c>
      <c r="G1214" s="66" t="str">
        <f>IF(Fifth!G217="", "",Fifth!G217)</f>
        <v/>
      </c>
      <c r="H1214" s="66" t="str">
        <f>IF(Fifth!H217="", "",Fifth!H217)</f>
        <v/>
      </c>
      <c r="I1214" s="66" t="str">
        <f>IF(Fifth!I217="", "",Fifth!I217)</f>
        <v/>
      </c>
      <c r="J1214" s="66" t="str">
        <f>IF(Fifth!J217="", "",Fifth!J217)</f>
        <v/>
      </c>
      <c r="K1214" s="86" t="str">
        <f>IF(Fifth!K217="", "",Fifth!K217)</f>
        <v/>
      </c>
      <c r="M1214" s="67" t="str">
        <f t="shared" si="56"/>
        <v/>
      </c>
      <c r="N1214" s="76" t="str">
        <f t="shared" si="57"/>
        <v/>
      </c>
      <c r="O1214" s="33">
        <f t="shared" si="55"/>
        <v>0</v>
      </c>
    </row>
    <row r="1215" spans="1:15" x14ac:dyDescent="0.25">
      <c r="A1215" s="64" t="s">
        <v>224</v>
      </c>
      <c r="B1215" s="79" t="str">
        <f>IF(Fifth!B218="", "",Fifth!B218)</f>
        <v/>
      </c>
      <c r="C1215" s="66" t="str">
        <f>IF(Fifth!C218="", "",Fifth!C218)</f>
        <v/>
      </c>
      <c r="D1215" s="66" t="str">
        <f>IF(Fifth!D218="", "",Fifth!D218)</f>
        <v/>
      </c>
      <c r="E1215" s="66" t="str">
        <f>IF(Fifth!E218="", "",Fifth!E218)</f>
        <v/>
      </c>
      <c r="F1215" s="66" t="str">
        <f>IF(Fifth!F218="", "",Fifth!F218)</f>
        <v/>
      </c>
      <c r="G1215" s="66" t="str">
        <f>IF(Fifth!G218="", "",Fifth!G218)</f>
        <v/>
      </c>
      <c r="H1215" s="66" t="str">
        <f>IF(Fifth!H218="", "",Fifth!H218)</f>
        <v/>
      </c>
      <c r="I1215" s="66" t="str">
        <f>IF(Fifth!I218="", "",Fifth!I218)</f>
        <v/>
      </c>
      <c r="J1215" s="66" t="str">
        <f>IF(Fifth!J218="", "",Fifth!J218)</f>
        <v/>
      </c>
      <c r="K1215" s="86" t="str">
        <f>IF(Fifth!K218="", "",Fifth!K218)</f>
        <v/>
      </c>
      <c r="M1215" s="67" t="str">
        <f t="shared" si="56"/>
        <v/>
      </c>
      <c r="N1215" s="76" t="str">
        <f t="shared" si="57"/>
        <v/>
      </c>
      <c r="O1215" s="33">
        <f t="shared" si="55"/>
        <v>0</v>
      </c>
    </row>
    <row r="1216" spans="1:15" x14ac:dyDescent="0.25">
      <c r="A1216" s="64" t="s">
        <v>224</v>
      </c>
      <c r="B1216" s="79" t="str">
        <f>IF(Fifth!B219="", "",Fifth!B219)</f>
        <v/>
      </c>
      <c r="C1216" s="66" t="str">
        <f>IF(Fifth!C219="", "",Fifth!C219)</f>
        <v/>
      </c>
      <c r="D1216" s="66" t="str">
        <f>IF(Fifth!D219="", "",Fifth!D219)</f>
        <v/>
      </c>
      <c r="E1216" s="66" t="str">
        <f>IF(Fifth!E219="", "",Fifth!E219)</f>
        <v/>
      </c>
      <c r="F1216" s="66" t="str">
        <f>IF(Fifth!F219="", "",Fifth!F219)</f>
        <v/>
      </c>
      <c r="G1216" s="66" t="str">
        <f>IF(Fifth!G219="", "",Fifth!G219)</f>
        <v/>
      </c>
      <c r="H1216" s="66" t="str">
        <f>IF(Fifth!H219="", "",Fifth!H219)</f>
        <v/>
      </c>
      <c r="I1216" s="66" t="str">
        <f>IF(Fifth!I219="", "",Fifth!I219)</f>
        <v/>
      </c>
      <c r="J1216" s="66" t="str">
        <f>IF(Fifth!J219="", "",Fifth!J219)</f>
        <v/>
      </c>
      <c r="K1216" s="86" t="str">
        <f>IF(Fifth!K219="", "",Fifth!K219)</f>
        <v/>
      </c>
      <c r="M1216" s="67" t="str">
        <f t="shared" si="56"/>
        <v/>
      </c>
      <c r="N1216" s="76" t="str">
        <f t="shared" si="57"/>
        <v/>
      </c>
      <c r="O1216" s="33">
        <f t="shared" si="55"/>
        <v>0</v>
      </c>
    </row>
    <row r="1217" spans="1:15" x14ac:dyDescent="0.25">
      <c r="A1217" s="64" t="s">
        <v>224</v>
      </c>
      <c r="B1217" s="79" t="str">
        <f>IF(Fifth!B220="", "",Fifth!B220)</f>
        <v/>
      </c>
      <c r="C1217" s="66" t="str">
        <f>IF(Fifth!C220="", "",Fifth!C220)</f>
        <v/>
      </c>
      <c r="D1217" s="66" t="str">
        <f>IF(Fifth!D220="", "",Fifth!D220)</f>
        <v/>
      </c>
      <c r="E1217" s="66" t="str">
        <f>IF(Fifth!E220="", "",Fifth!E220)</f>
        <v/>
      </c>
      <c r="F1217" s="66" t="str">
        <f>IF(Fifth!F220="", "",Fifth!F220)</f>
        <v/>
      </c>
      <c r="G1217" s="66" t="str">
        <f>IF(Fifth!G220="", "",Fifth!G220)</f>
        <v/>
      </c>
      <c r="H1217" s="66" t="str">
        <f>IF(Fifth!H220="", "",Fifth!H220)</f>
        <v/>
      </c>
      <c r="I1217" s="66" t="str">
        <f>IF(Fifth!I220="", "",Fifth!I220)</f>
        <v/>
      </c>
      <c r="J1217" s="66" t="str">
        <f>IF(Fifth!J220="", "",Fifth!J220)</f>
        <v/>
      </c>
      <c r="K1217" s="86" t="str">
        <f>IF(Fifth!K220="", "",Fifth!K220)</f>
        <v/>
      </c>
      <c r="M1217" s="67" t="str">
        <f t="shared" si="56"/>
        <v/>
      </c>
      <c r="N1217" s="76" t="str">
        <f t="shared" si="57"/>
        <v/>
      </c>
      <c r="O1217" s="33">
        <f t="shared" si="55"/>
        <v>0</v>
      </c>
    </row>
    <row r="1218" spans="1:15" x14ac:dyDescent="0.25">
      <c r="A1218" s="64" t="s">
        <v>224</v>
      </c>
      <c r="B1218" s="79" t="str">
        <f>IF(Fifth!B221="", "",Fifth!B221)</f>
        <v/>
      </c>
      <c r="C1218" s="66" t="str">
        <f>IF(Fifth!C221="", "",Fifth!C221)</f>
        <v/>
      </c>
      <c r="D1218" s="66" t="str">
        <f>IF(Fifth!D221="", "",Fifth!D221)</f>
        <v/>
      </c>
      <c r="E1218" s="66" t="str">
        <f>IF(Fifth!E221="", "",Fifth!E221)</f>
        <v/>
      </c>
      <c r="F1218" s="66" t="str">
        <f>IF(Fifth!F221="", "",Fifth!F221)</f>
        <v/>
      </c>
      <c r="G1218" s="66" t="str">
        <f>IF(Fifth!G221="", "",Fifth!G221)</f>
        <v/>
      </c>
      <c r="H1218" s="66" t="str">
        <f>IF(Fifth!H221="", "",Fifth!H221)</f>
        <v/>
      </c>
      <c r="I1218" s="66" t="str">
        <f>IF(Fifth!I221="", "",Fifth!I221)</f>
        <v/>
      </c>
      <c r="J1218" s="66" t="str">
        <f>IF(Fifth!J221="", "",Fifth!J221)</f>
        <v/>
      </c>
      <c r="K1218" s="86" t="str">
        <f>IF(Fifth!K221="", "",Fifth!K221)</f>
        <v/>
      </c>
      <c r="M1218" s="67" t="str">
        <f t="shared" si="56"/>
        <v/>
      </c>
      <c r="N1218" s="76" t="str">
        <f t="shared" si="57"/>
        <v/>
      </c>
      <c r="O1218" s="33">
        <f t="shared" ref="O1218:O1281" si="58">SUM(M1218:N1218)</f>
        <v>0</v>
      </c>
    </row>
    <row r="1219" spans="1:15" x14ac:dyDescent="0.25">
      <c r="A1219" s="64" t="s">
        <v>224</v>
      </c>
      <c r="B1219" s="79" t="str">
        <f>IF(Fifth!B222="", "",Fifth!B222)</f>
        <v/>
      </c>
      <c r="C1219" s="66" t="str">
        <f>IF(Fifth!C222="", "",Fifth!C222)</f>
        <v/>
      </c>
      <c r="D1219" s="66" t="str">
        <f>IF(Fifth!D222="", "",Fifth!D222)</f>
        <v/>
      </c>
      <c r="E1219" s="66" t="str">
        <f>IF(Fifth!E222="", "",Fifth!E222)</f>
        <v/>
      </c>
      <c r="F1219" s="66" t="str">
        <f>IF(Fifth!F222="", "",Fifth!F222)</f>
        <v/>
      </c>
      <c r="G1219" s="66" t="str">
        <f>IF(Fifth!G222="", "",Fifth!G222)</f>
        <v/>
      </c>
      <c r="H1219" s="66" t="str">
        <f>IF(Fifth!H222="", "",Fifth!H222)</f>
        <v/>
      </c>
      <c r="I1219" s="66" t="str">
        <f>IF(Fifth!I222="", "",Fifth!I222)</f>
        <v/>
      </c>
      <c r="J1219" s="66" t="str">
        <f>IF(Fifth!J222="", "",Fifth!J222)</f>
        <v/>
      </c>
      <c r="K1219" s="86" t="str">
        <f>IF(Fifth!K222="", "",Fifth!K222)</f>
        <v/>
      </c>
      <c r="M1219" s="67" t="str">
        <f t="shared" ref="M1219:M1282" si="59">IF(C1219="PwC",(7-COUNTIF(B1219:H1219,"")),"")</f>
        <v/>
      </c>
      <c r="N1219" s="76" t="str">
        <f t="shared" ref="N1219:N1282" si="60">IF(C1219="Carer",(7-COUNTIF(B1219:H1219,"")),"")</f>
        <v/>
      </c>
      <c r="O1219" s="33">
        <f t="shared" si="58"/>
        <v>0</v>
      </c>
    </row>
    <row r="1220" spans="1:15" x14ac:dyDescent="0.25">
      <c r="A1220" s="64" t="s">
        <v>224</v>
      </c>
      <c r="B1220" s="79" t="str">
        <f>IF(Fifth!B223="", "",Fifth!B223)</f>
        <v/>
      </c>
      <c r="C1220" s="66" t="str">
        <f>IF(Fifth!C223="", "",Fifth!C223)</f>
        <v/>
      </c>
      <c r="D1220" s="66" t="str">
        <f>IF(Fifth!D223="", "",Fifth!D223)</f>
        <v/>
      </c>
      <c r="E1220" s="66" t="str">
        <f>IF(Fifth!E223="", "",Fifth!E223)</f>
        <v/>
      </c>
      <c r="F1220" s="66" t="str">
        <f>IF(Fifth!F223="", "",Fifth!F223)</f>
        <v/>
      </c>
      <c r="G1220" s="66" t="str">
        <f>IF(Fifth!G223="", "",Fifth!G223)</f>
        <v/>
      </c>
      <c r="H1220" s="66" t="str">
        <f>IF(Fifth!H223="", "",Fifth!H223)</f>
        <v/>
      </c>
      <c r="I1220" s="66" t="str">
        <f>IF(Fifth!I223="", "",Fifth!I223)</f>
        <v/>
      </c>
      <c r="J1220" s="66" t="str">
        <f>IF(Fifth!J223="", "",Fifth!J223)</f>
        <v/>
      </c>
      <c r="K1220" s="86" t="str">
        <f>IF(Fifth!K223="", "",Fifth!K223)</f>
        <v/>
      </c>
      <c r="M1220" s="67" t="str">
        <f t="shared" si="59"/>
        <v/>
      </c>
      <c r="N1220" s="76" t="str">
        <f t="shared" si="60"/>
        <v/>
      </c>
      <c r="O1220" s="33">
        <f t="shared" si="58"/>
        <v>0</v>
      </c>
    </row>
    <row r="1221" spans="1:15" x14ac:dyDescent="0.25">
      <c r="A1221" s="64" t="s">
        <v>224</v>
      </c>
      <c r="B1221" s="79" t="str">
        <f>IF(Fifth!B224="", "",Fifth!B224)</f>
        <v/>
      </c>
      <c r="C1221" s="66" t="str">
        <f>IF(Fifth!C224="", "",Fifth!C224)</f>
        <v/>
      </c>
      <c r="D1221" s="66" t="str">
        <f>IF(Fifth!D224="", "",Fifth!D224)</f>
        <v/>
      </c>
      <c r="E1221" s="66" t="str">
        <f>IF(Fifth!E224="", "",Fifth!E224)</f>
        <v/>
      </c>
      <c r="F1221" s="66" t="str">
        <f>IF(Fifth!F224="", "",Fifth!F224)</f>
        <v/>
      </c>
      <c r="G1221" s="66" t="str">
        <f>IF(Fifth!G224="", "",Fifth!G224)</f>
        <v/>
      </c>
      <c r="H1221" s="66" t="str">
        <f>IF(Fifth!H224="", "",Fifth!H224)</f>
        <v/>
      </c>
      <c r="I1221" s="66" t="str">
        <f>IF(Fifth!I224="", "",Fifth!I224)</f>
        <v/>
      </c>
      <c r="J1221" s="66" t="str">
        <f>IF(Fifth!J224="", "",Fifth!J224)</f>
        <v/>
      </c>
      <c r="K1221" s="86" t="str">
        <f>IF(Fifth!K224="", "",Fifth!K224)</f>
        <v/>
      </c>
      <c r="M1221" s="67" t="str">
        <f t="shared" si="59"/>
        <v/>
      </c>
      <c r="N1221" s="76" t="str">
        <f t="shared" si="60"/>
        <v/>
      </c>
      <c r="O1221" s="33">
        <f t="shared" si="58"/>
        <v>0</v>
      </c>
    </row>
    <row r="1222" spans="1:15" x14ac:dyDescent="0.25">
      <c r="A1222" s="64" t="s">
        <v>224</v>
      </c>
      <c r="B1222" s="79" t="str">
        <f>IF(Fifth!B225="", "",Fifth!B225)</f>
        <v/>
      </c>
      <c r="C1222" s="66" t="str">
        <f>IF(Fifth!C225="", "",Fifth!C225)</f>
        <v/>
      </c>
      <c r="D1222" s="66" t="str">
        <f>IF(Fifth!D225="", "",Fifth!D225)</f>
        <v/>
      </c>
      <c r="E1222" s="66" t="str">
        <f>IF(Fifth!E225="", "",Fifth!E225)</f>
        <v/>
      </c>
      <c r="F1222" s="66" t="str">
        <f>IF(Fifth!F225="", "",Fifth!F225)</f>
        <v/>
      </c>
      <c r="G1222" s="66" t="str">
        <f>IF(Fifth!G225="", "",Fifth!G225)</f>
        <v/>
      </c>
      <c r="H1222" s="66" t="str">
        <f>IF(Fifth!H225="", "",Fifth!H225)</f>
        <v/>
      </c>
      <c r="I1222" s="66" t="str">
        <f>IF(Fifth!I225="", "",Fifth!I225)</f>
        <v/>
      </c>
      <c r="J1222" s="66" t="str">
        <f>IF(Fifth!J225="", "",Fifth!J225)</f>
        <v/>
      </c>
      <c r="K1222" s="86" t="str">
        <f>IF(Fifth!K225="", "",Fifth!K225)</f>
        <v/>
      </c>
      <c r="M1222" s="67" t="str">
        <f t="shared" si="59"/>
        <v/>
      </c>
      <c r="N1222" s="76" t="str">
        <f t="shared" si="60"/>
        <v/>
      </c>
      <c r="O1222" s="33">
        <f t="shared" si="58"/>
        <v>0</v>
      </c>
    </row>
    <row r="1223" spans="1:15" x14ac:dyDescent="0.25">
      <c r="A1223" s="64" t="s">
        <v>224</v>
      </c>
      <c r="B1223" s="79" t="str">
        <f>IF(Fifth!B226="", "",Fifth!B226)</f>
        <v/>
      </c>
      <c r="C1223" s="66" t="str">
        <f>IF(Fifth!C226="", "",Fifth!C226)</f>
        <v/>
      </c>
      <c r="D1223" s="66" t="str">
        <f>IF(Fifth!D226="", "",Fifth!D226)</f>
        <v/>
      </c>
      <c r="E1223" s="66" t="str">
        <f>IF(Fifth!E226="", "",Fifth!E226)</f>
        <v/>
      </c>
      <c r="F1223" s="66" t="str">
        <f>IF(Fifth!F226="", "",Fifth!F226)</f>
        <v/>
      </c>
      <c r="G1223" s="66" t="str">
        <f>IF(Fifth!G226="", "",Fifth!G226)</f>
        <v/>
      </c>
      <c r="H1223" s="66" t="str">
        <f>IF(Fifth!H226="", "",Fifth!H226)</f>
        <v/>
      </c>
      <c r="I1223" s="66" t="str">
        <f>IF(Fifth!I226="", "",Fifth!I226)</f>
        <v/>
      </c>
      <c r="J1223" s="66" t="str">
        <f>IF(Fifth!J226="", "",Fifth!J226)</f>
        <v/>
      </c>
      <c r="K1223" s="86" t="str">
        <f>IF(Fifth!K226="", "",Fifth!K226)</f>
        <v/>
      </c>
      <c r="M1223" s="67" t="str">
        <f t="shared" si="59"/>
        <v/>
      </c>
      <c r="N1223" s="76" t="str">
        <f t="shared" si="60"/>
        <v/>
      </c>
      <c r="O1223" s="33">
        <f t="shared" si="58"/>
        <v>0</v>
      </c>
    </row>
    <row r="1224" spans="1:15" x14ac:dyDescent="0.25">
      <c r="A1224" s="64" t="s">
        <v>224</v>
      </c>
      <c r="B1224" s="79" t="str">
        <f>IF(Fifth!B227="", "",Fifth!B227)</f>
        <v/>
      </c>
      <c r="C1224" s="66" t="str">
        <f>IF(Fifth!C227="", "",Fifth!C227)</f>
        <v/>
      </c>
      <c r="D1224" s="66" t="str">
        <f>IF(Fifth!D227="", "",Fifth!D227)</f>
        <v/>
      </c>
      <c r="E1224" s="66" t="str">
        <f>IF(Fifth!E227="", "",Fifth!E227)</f>
        <v/>
      </c>
      <c r="F1224" s="66" t="str">
        <f>IF(Fifth!F227="", "",Fifth!F227)</f>
        <v/>
      </c>
      <c r="G1224" s="66" t="str">
        <f>IF(Fifth!G227="", "",Fifth!G227)</f>
        <v/>
      </c>
      <c r="H1224" s="66" t="str">
        <f>IF(Fifth!H227="", "",Fifth!H227)</f>
        <v/>
      </c>
      <c r="I1224" s="66" t="str">
        <f>IF(Fifth!I227="", "",Fifth!I227)</f>
        <v/>
      </c>
      <c r="J1224" s="66" t="str">
        <f>IF(Fifth!J227="", "",Fifth!J227)</f>
        <v/>
      </c>
      <c r="K1224" s="86" t="str">
        <f>IF(Fifth!K227="", "",Fifth!K227)</f>
        <v/>
      </c>
      <c r="M1224" s="67" t="str">
        <f t="shared" si="59"/>
        <v/>
      </c>
      <c r="N1224" s="76" t="str">
        <f t="shared" si="60"/>
        <v/>
      </c>
      <c r="O1224" s="33">
        <f t="shared" si="58"/>
        <v>0</v>
      </c>
    </row>
    <row r="1225" spans="1:15" x14ac:dyDescent="0.25">
      <c r="A1225" s="64" t="s">
        <v>224</v>
      </c>
      <c r="B1225" s="79" t="str">
        <f>IF(Fifth!B228="", "",Fifth!B228)</f>
        <v/>
      </c>
      <c r="C1225" s="66" t="str">
        <f>IF(Fifth!C228="", "",Fifth!C228)</f>
        <v/>
      </c>
      <c r="D1225" s="66" t="str">
        <f>IF(Fifth!D228="", "",Fifth!D228)</f>
        <v/>
      </c>
      <c r="E1225" s="66" t="str">
        <f>IF(Fifth!E228="", "",Fifth!E228)</f>
        <v/>
      </c>
      <c r="F1225" s="66" t="str">
        <f>IF(Fifth!F228="", "",Fifth!F228)</f>
        <v/>
      </c>
      <c r="G1225" s="66" t="str">
        <f>IF(Fifth!G228="", "",Fifth!G228)</f>
        <v/>
      </c>
      <c r="H1225" s="66" t="str">
        <f>IF(Fifth!H228="", "",Fifth!H228)</f>
        <v/>
      </c>
      <c r="I1225" s="66" t="str">
        <f>IF(Fifth!I228="", "",Fifth!I228)</f>
        <v/>
      </c>
      <c r="J1225" s="66" t="str">
        <f>IF(Fifth!J228="", "",Fifth!J228)</f>
        <v/>
      </c>
      <c r="K1225" s="86" t="str">
        <f>IF(Fifth!K228="", "",Fifth!K228)</f>
        <v/>
      </c>
      <c r="M1225" s="67" t="str">
        <f t="shared" si="59"/>
        <v/>
      </c>
      <c r="N1225" s="76" t="str">
        <f t="shared" si="60"/>
        <v/>
      </c>
      <c r="O1225" s="33">
        <f t="shared" si="58"/>
        <v>0</v>
      </c>
    </row>
    <row r="1226" spans="1:15" x14ac:dyDescent="0.25">
      <c r="A1226" s="64" t="s">
        <v>224</v>
      </c>
      <c r="B1226" s="79" t="str">
        <f>IF(Fifth!B229="", "",Fifth!B229)</f>
        <v/>
      </c>
      <c r="C1226" s="66" t="str">
        <f>IF(Fifth!C229="", "",Fifth!C229)</f>
        <v/>
      </c>
      <c r="D1226" s="66" t="str">
        <f>IF(Fifth!D229="", "",Fifth!D229)</f>
        <v/>
      </c>
      <c r="E1226" s="66" t="str">
        <f>IF(Fifth!E229="", "",Fifth!E229)</f>
        <v/>
      </c>
      <c r="F1226" s="66" t="str">
        <f>IF(Fifth!F229="", "",Fifth!F229)</f>
        <v/>
      </c>
      <c r="G1226" s="66" t="str">
        <f>IF(Fifth!G229="", "",Fifth!G229)</f>
        <v/>
      </c>
      <c r="H1226" s="66" t="str">
        <f>IF(Fifth!H229="", "",Fifth!H229)</f>
        <v/>
      </c>
      <c r="I1226" s="66" t="str">
        <f>IF(Fifth!I229="", "",Fifth!I229)</f>
        <v/>
      </c>
      <c r="J1226" s="66" t="str">
        <f>IF(Fifth!J229="", "",Fifth!J229)</f>
        <v/>
      </c>
      <c r="K1226" s="86" t="str">
        <f>IF(Fifth!K229="", "",Fifth!K229)</f>
        <v/>
      </c>
      <c r="M1226" s="67" t="str">
        <f t="shared" si="59"/>
        <v/>
      </c>
      <c r="N1226" s="76" t="str">
        <f t="shared" si="60"/>
        <v/>
      </c>
      <c r="O1226" s="33">
        <f t="shared" si="58"/>
        <v>0</v>
      </c>
    </row>
    <row r="1227" spans="1:15" x14ac:dyDescent="0.25">
      <c r="A1227" s="64" t="s">
        <v>224</v>
      </c>
      <c r="B1227" s="79" t="str">
        <f>IF(Fifth!B230="", "",Fifth!B230)</f>
        <v/>
      </c>
      <c r="C1227" s="66" t="str">
        <f>IF(Fifth!C230="", "",Fifth!C230)</f>
        <v/>
      </c>
      <c r="D1227" s="66" t="str">
        <f>IF(Fifth!D230="", "",Fifth!D230)</f>
        <v/>
      </c>
      <c r="E1227" s="66" t="str">
        <f>IF(Fifth!E230="", "",Fifth!E230)</f>
        <v/>
      </c>
      <c r="F1227" s="66" t="str">
        <f>IF(Fifth!F230="", "",Fifth!F230)</f>
        <v/>
      </c>
      <c r="G1227" s="66" t="str">
        <f>IF(Fifth!G230="", "",Fifth!G230)</f>
        <v/>
      </c>
      <c r="H1227" s="66" t="str">
        <f>IF(Fifth!H230="", "",Fifth!H230)</f>
        <v/>
      </c>
      <c r="I1227" s="66" t="str">
        <f>IF(Fifth!I230="", "",Fifth!I230)</f>
        <v/>
      </c>
      <c r="J1227" s="66" t="str">
        <f>IF(Fifth!J230="", "",Fifth!J230)</f>
        <v/>
      </c>
      <c r="K1227" s="86" t="str">
        <f>IF(Fifth!K230="", "",Fifth!K230)</f>
        <v/>
      </c>
      <c r="M1227" s="67" t="str">
        <f t="shared" si="59"/>
        <v/>
      </c>
      <c r="N1227" s="76" t="str">
        <f t="shared" si="60"/>
        <v/>
      </c>
      <c r="O1227" s="33">
        <f t="shared" si="58"/>
        <v>0</v>
      </c>
    </row>
    <row r="1228" spans="1:15" x14ac:dyDescent="0.25">
      <c r="A1228" s="64" t="s">
        <v>224</v>
      </c>
      <c r="B1228" s="79" t="str">
        <f>IF(Fifth!B231="", "",Fifth!B231)</f>
        <v/>
      </c>
      <c r="C1228" s="66" t="str">
        <f>IF(Fifth!C231="", "",Fifth!C231)</f>
        <v/>
      </c>
      <c r="D1228" s="66" t="str">
        <f>IF(Fifth!D231="", "",Fifth!D231)</f>
        <v/>
      </c>
      <c r="E1228" s="66" t="str">
        <f>IF(Fifth!E231="", "",Fifth!E231)</f>
        <v/>
      </c>
      <c r="F1228" s="66" t="str">
        <f>IF(Fifth!F231="", "",Fifth!F231)</f>
        <v/>
      </c>
      <c r="G1228" s="66" t="str">
        <f>IF(Fifth!G231="", "",Fifth!G231)</f>
        <v/>
      </c>
      <c r="H1228" s="66" t="str">
        <f>IF(Fifth!H231="", "",Fifth!H231)</f>
        <v/>
      </c>
      <c r="I1228" s="66" t="str">
        <f>IF(Fifth!I231="", "",Fifth!I231)</f>
        <v/>
      </c>
      <c r="J1228" s="66" t="str">
        <f>IF(Fifth!J231="", "",Fifth!J231)</f>
        <v/>
      </c>
      <c r="K1228" s="86" t="str">
        <f>IF(Fifth!K231="", "",Fifth!K231)</f>
        <v/>
      </c>
      <c r="M1228" s="67" t="str">
        <f t="shared" si="59"/>
        <v/>
      </c>
      <c r="N1228" s="76" t="str">
        <f t="shared" si="60"/>
        <v/>
      </c>
      <c r="O1228" s="33">
        <f t="shared" si="58"/>
        <v>0</v>
      </c>
    </row>
    <row r="1229" spans="1:15" x14ac:dyDescent="0.25">
      <c r="A1229" s="64" t="s">
        <v>224</v>
      </c>
      <c r="B1229" s="79" t="str">
        <f>IF(Fifth!B232="", "",Fifth!B232)</f>
        <v/>
      </c>
      <c r="C1229" s="66" t="str">
        <f>IF(Fifth!C232="", "",Fifth!C232)</f>
        <v/>
      </c>
      <c r="D1229" s="66" t="str">
        <f>IF(Fifth!D232="", "",Fifth!D232)</f>
        <v/>
      </c>
      <c r="E1229" s="66" t="str">
        <f>IF(Fifth!E232="", "",Fifth!E232)</f>
        <v/>
      </c>
      <c r="F1229" s="66" t="str">
        <f>IF(Fifth!F232="", "",Fifth!F232)</f>
        <v/>
      </c>
      <c r="G1229" s="66" t="str">
        <f>IF(Fifth!G232="", "",Fifth!G232)</f>
        <v/>
      </c>
      <c r="H1229" s="66" t="str">
        <f>IF(Fifth!H232="", "",Fifth!H232)</f>
        <v/>
      </c>
      <c r="I1229" s="66" t="str">
        <f>IF(Fifth!I232="", "",Fifth!I232)</f>
        <v/>
      </c>
      <c r="J1229" s="66" t="str">
        <f>IF(Fifth!J232="", "",Fifth!J232)</f>
        <v/>
      </c>
      <c r="K1229" s="86" t="str">
        <f>IF(Fifth!K232="", "",Fifth!K232)</f>
        <v/>
      </c>
      <c r="M1229" s="67" t="str">
        <f t="shared" si="59"/>
        <v/>
      </c>
      <c r="N1229" s="76" t="str">
        <f t="shared" si="60"/>
        <v/>
      </c>
      <c r="O1229" s="33">
        <f t="shared" si="58"/>
        <v>0</v>
      </c>
    </row>
    <row r="1230" spans="1:15" x14ac:dyDescent="0.25">
      <c r="A1230" s="64" t="s">
        <v>224</v>
      </c>
      <c r="B1230" s="79" t="str">
        <f>IF(Fifth!B233="", "",Fifth!B233)</f>
        <v/>
      </c>
      <c r="C1230" s="66" t="str">
        <f>IF(Fifth!C233="", "",Fifth!C233)</f>
        <v/>
      </c>
      <c r="D1230" s="66" t="str">
        <f>IF(Fifth!D233="", "",Fifth!D233)</f>
        <v/>
      </c>
      <c r="E1230" s="66" t="str">
        <f>IF(Fifth!E233="", "",Fifth!E233)</f>
        <v/>
      </c>
      <c r="F1230" s="66" t="str">
        <f>IF(Fifth!F233="", "",Fifth!F233)</f>
        <v/>
      </c>
      <c r="G1230" s="66" t="str">
        <f>IF(Fifth!G233="", "",Fifth!G233)</f>
        <v/>
      </c>
      <c r="H1230" s="66" t="str">
        <f>IF(Fifth!H233="", "",Fifth!H233)</f>
        <v/>
      </c>
      <c r="I1230" s="66" t="str">
        <f>IF(Fifth!I233="", "",Fifth!I233)</f>
        <v/>
      </c>
      <c r="J1230" s="66" t="str">
        <f>IF(Fifth!J233="", "",Fifth!J233)</f>
        <v/>
      </c>
      <c r="K1230" s="86" t="str">
        <f>IF(Fifth!K233="", "",Fifth!K233)</f>
        <v/>
      </c>
      <c r="M1230" s="67" t="str">
        <f t="shared" si="59"/>
        <v/>
      </c>
      <c r="N1230" s="76" t="str">
        <f t="shared" si="60"/>
        <v/>
      </c>
      <c r="O1230" s="33">
        <f t="shared" si="58"/>
        <v>0</v>
      </c>
    </row>
    <row r="1231" spans="1:15" x14ac:dyDescent="0.25">
      <c r="A1231" s="64" t="s">
        <v>224</v>
      </c>
      <c r="B1231" s="79" t="str">
        <f>IF(Fifth!B234="", "",Fifth!B234)</f>
        <v/>
      </c>
      <c r="C1231" s="66" t="str">
        <f>IF(Fifth!C234="", "",Fifth!C234)</f>
        <v/>
      </c>
      <c r="D1231" s="66" t="str">
        <f>IF(Fifth!D234="", "",Fifth!D234)</f>
        <v/>
      </c>
      <c r="E1231" s="66" t="str">
        <f>IF(Fifth!E234="", "",Fifth!E234)</f>
        <v/>
      </c>
      <c r="F1231" s="66" t="str">
        <f>IF(Fifth!F234="", "",Fifth!F234)</f>
        <v/>
      </c>
      <c r="G1231" s="66" t="str">
        <f>IF(Fifth!G234="", "",Fifth!G234)</f>
        <v/>
      </c>
      <c r="H1231" s="66" t="str">
        <f>IF(Fifth!H234="", "",Fifth!H234)</f>
        <v/>
      </c>
      <c r="I1231" s="66" t="str">
        <f>IF(Fifth!I234="", "",Fifth!I234)</f>
        <v/>
      </c>
      <c r="J1231" s="66" t="str">
        <f>IF(Fifth!J234="", "",Fifth!J234)</f>
        <v/>
      </c>
      <c r="K1231" s="86" t="str">
        <f>IF(Fifth!K234="", "",Fifth!K234)</f>
        <v/>
      </c>
      <c r="M1231" s="67" t="str">
        <f t="shared" si="59"/>
        <v/>
      </c>
      <c r="N1231" s="76" t="str">
        <f t="shared" si="60"/>
        <v/>
      </c>
      <c r="O1231" s="33">
        <f t="shared" si="58"/>
        <v>0</v>
      </c>
    </row>
    <row r="1232" spans="1:15" x14ac:dyDescent="0.25">
      <c r="A1232" s="64" t="s">
        <v>224</v>
      </c>
      <c r="B1232" s="79" t="str">
        <f>IF(Fifth!B235="", "",Fifth!B235)</f>
        <v/>
      </c>
      <c r="C1232" s="66" t="str">
        <f>IF(Fifth!C235="", "",Fifth!C235)</f>
        <v/>
      </c>
      <c r="D1232" s="66" t="str">
        <f>IF(Fifth!D235="", "",Fifth!D235)</f>
        <v/>
      </c>
      <c r="E1232" s="66" t="str">
        <f>IF(Fifth!E235="", "",Fifth!E235)</f>
        <v/>
      </c>
      <c r="F1232" s="66" t="str">
        <f>IF(Fifth!F235="", "",Fifth!F235)</f>
        <v/>
      </c>
      <c r="G1232" s="66" t="str">
        <f>IF(Fifth!G235="", "",Fifth!G235)</f>
        <v/>
      </c>
      <c r="H1232" s="66" t="str">
        <f>IF(Fifth!H235="", "",Fifth!H235)</f>
        <v/>
      </c>
      <c r="I1232" s="66" t="str">
        <f>IF(Fifth!I235="", "",Fifth!I235)</f>
        <v/>
      </c>
      <c r="J1232" s="66" t="str">
        <f>IF(Fifth!J235="", "",Fifth!J235)</f>
        <v/>
      </c>
      <c r="K1232" s="86" t="str">
        <f>IF(Fifth!K235="", "",Fifth!K235)</f>
        <v/>
      </c>
      <c r="M1232" s="67" t="str">
        <f t="shared" si="59"/>
        <v/>
      </c>
      <c r="N1232" s="76" t="str">
        <f t="shared" si="60"/>
        <v/>
      </c>
      <c r="O1232" s="33">
        <f t="shared" si="58"/>
        <v>0</v>
      </c>
    </row>
    <row r="1233" spans="1:15" x14ac:dyDescent="0.25">
      <c r="A1233" s="64" t="s">
        <v>224</v>
      </c>
      <c r="B1233" s="79" t="str">
        <f>IF(Fifth!B236="", "",Fifth!B236)</f>
        <v/>
      </c>
      <c r="C1233" s="66" t="str">
        <f>IF(Fifth!C236="", "",Fifth!C236)</f>
        <v/>
      </c>
      <c r="D1233" s="66" t="str">
        <f>IF(Fifth!D236="", "",Fifth!D236)</f>
        <v/>
      </c>
      <c r="E1233" s="66" t="str">
        <f>IF(Fifth!E236="", "",Fifth!E236)</f>
        <v/>
      </c>
      <c r="F1233" s="66" t="str">
        <f>IF(Fifth!F236="", "",Fifth!F236)</f>
        <v/>
      </c>
      <c r="G1233" s="66" t="str">
        <f>IF(Fifth!G236="", "",Fifth!G236)</f>
        <v/>
      </c>
      <c r="H1233" s="66" t="str">
        <f>IF(Fifth!H236="", "",Fifth!H236)</f>
        <v/>
      </c>
      <c r="I1233" s="66" t="str">
        <f>IF(Fifth!I236="", "",Fifth!I236)</f>
        <v/>
      </c>
      <c r="J1233" s="66" t="str">
        <f>IF(Fifth!J236="", "",Fifth!J236)</f>
        <v/>
      </c>
      <c r="K1233" s="86" t="str">
        <f>IF(Fifth!K236="", "",Fifth!K236)</f>
        <v/>
      </c>
      <c r="M1233" s="67" t="str">
        <f t="shared" si="59"/>
        <v/>
      </c>
      <c r="N1233" s="76" t="str">
        <f t="shared" si="60"/>
        <v/>
      </c>
      <c r="O1233" s="33">
        <f t="shared" si="58"/>
        <v>0</v>
      </c>
    </row>
    <row r="1234" spans="1:15" x14ac:dyDescent="0.25">
      <c r="A1234" s="64" t="s">
        <v>224</v>
      </c>
      <c r="B1234" s="79" t="str">
        <f>IF(Fifth!B237="", "",Fifth!B237)</f>
        <v/>
      </c>
      <c r="C1234" s="66" t="str">
        <f>IF(Fifth!C237="", "",Fifth!C237)</f>
        <v/>
      </c>
      <c r="D1234" s="66" t="str">
        <f>IF(Fifth!D237="", "",Fifth!D237)</f>
        <v/>
      </c>
      <c r="E1234" s="66" t="str">
        <f>IF(Fifth!E237="", "",Fifth!E237)</f>
        <v/>
      </c>
      <c r="F1234" s="66" t="str">
        <f>IF(Fifth!F237="", "",Fifth!F237)</f>
        <v/>
      </c>
      <c r="G1234" s="66" t="str">
        <f>IF(Fifth!G237="", "",Fifth!G237)</f>
        <v/>
      </c>
      <c r="H1234" s="66" t="str">
        <f>IF(Fifth!H237="", "",Fifth!H237)</f>
        <v/>
      </c>
      <c r="I1234" s="66" t="str">
        <f>IF(Fifth!I237="", "",Fifth!I237)</f>
        <v/>
      </c>
      <c r="J1234" s="66" t="str">
        <f>IF(Fifth!J237="", "",Fifth!J237)</f>
        <v/>
      </c>
      <c r="K1234" s="86" t="str">
        <f>IF(Fifth!K237="", "",Fifth!K237)</f>
        <v/>
      </c>
      <c r="M1234" s="67" t="str">
        <f t="shared" si="59"/>
        <v/>
      </c>
      <c r="N1234" s="76" t="str">
        <f t="shared" si="60"/>
        <v/>
      </c>
      <c r="O1234" s="33">
        <f t="shared" si="58"/>
        <v>0</v>
      </c>
    </row>
    <row r="1235" spans="1:15" x14ac:dyDescent="0.25">
      <c r="A1235" s="64" t="s">
        <v>224</v>
      </c>
      <c r="B1235" s="79" t="str">
        <f>IF(Fifth!B238="", "",Fifth!B238)</f>
        <v/>
      </c>
      <c r="C1235" s="66" t="str">
        <f>IF(Fifth!C238="", "",Fifth!C238)</f>
        <v/>
      </c>
      <c r="D1235" s="66" t="str">
        <f>IF(Fifth!D238="", "",Fifth!D238)</f>
        <v/>
      </c>
      <c r="E1235" s="66" t="str">
        <f>IF(Fifth!E238="", "",Fifth!E238)</f>
        <v/>
      </c>
      <c r="F1235" s="66" t="str">
        <f>IF(Fifth!F238="", "",Fifth!F238)</f>
        <v/>
      </c>
      <c r="G1235" s="66" t="str">
        <f>IF(Fifth!G238="", "",Fifth!G238)</f>
        <v/>
      </c>
      <c r="H1235" s="66" t="str">
        <f>IF(Fifth!H238="", "",Fifth!H238)</f>
        <v/>
      </c>
      <c r="I1235" s="66" t="str">
        <f>IF(Fifth!I238="", "",Fifth!I238)</f>
        <v/>
      </c>
      <c r="J1235" s="66" t="str">
        <f>IF(Fifth!J238="", "",Fifth!J238)</f>
        <v/>
      </c>
      <c r="K1235" s="86" t="str">
        <f>IF(Fifth!K238="", "",Fifth!K238)</f>
        <v/>
      </c>
      <c r="M1235" s="67" t="str">
        <f t="shared" si="59"/>
        <v/>
      </c>
      <c r="N1235" s="76" t="str">
        <f t="shared" si="60"/>
        <v/>
      </c>
      <c r="O1235" s="33">
        <f t="shared" si="58"/>
        <v>0</v>
      </c>
    </row>
    <row r="1236" spans="1:15" x14ac:dyDescent="0.25">
      <c r="A1236" s="64" t="s">
        <v>224</v>
      </c>
      <c r="B1236" s="79" t="str">
        <f>IF(Fifth!B239="", "",Fifth!B239)</f>
        <v/>
      </c>
      <c r="C1236" s="66" t="str">
        <f>IF(Fifth!C239="", "",Fifth!C239)</f>
        <v/>
      </c>
      <c r="D1236" s="66" t="str">
        <f>IF(Fifth!D239="", "",Fifth!D239)</f>
        <v/>
      </c>
      <c r="E1236" s="66" t="str">
        <f>IF(Fifth!E239="", "",Fifth!E239)</f>
        <v/>
      </c>
      <c r="F1236" s="66" t="str">
        <f>IF(Fifth!F239="", "",Fifth!F239)</f>
        <v/>
      </c>
      <c r="G1236" s="66" t="str">
        <f>IF(Fifth!G239="", "",Fifth!G239)</f>
        <v/>
      </c>
      <c r="H1236" s="66" t="str">
        <f>IF(Fifth!H239="", "",Fifth!H239)</f>
        <v/>
      </c>
      <c r="I1236" s="66" t="str">
        <f>IF(Fifth!I239="", "",Fifth!I239)</f>
        <v/>
      </c>
      <c r="J1236" s="66" t="str">
        <f>IF(Fifth!J239="", "",Fifth!J239)</f>
        <v/>
      </c>
      <c r="K1236" s="86" t="str">
        <f>IF(Fifth!K239="", "",Fifth!K239)</f>
        <v/>
      </c>
      <c r="M1236" s="67" t="str">
        <f t="shared" si="59"/>
        <v/>
      </c>
      <c r="N1236" s="76" t="str">
        <f t="shared" si="60"/>
        <v/>
      </c>
      <c r="O1236" s="33">
        <f t="shared" si="58"/>
        <v>0</v>
      </c>
    </row>
    <row r="1237" spans="1:15" x14ac:dyDescent="0.25">
      <c r="A1237" s="64" t="s">
        <v>224</v>
      </c>
      <c r="B1237" s="79" t="str">
        <f>IF(Fifth!B240="", "",Fifth!B240)</f>
        <v/>
      </c>
      <c r="C1237" s="66" t="str">
        <f>IF(Fifth!C240="", "",Fifth!C240)</f>
        <v/>
      </c>
      <c r="D1237" s="66" t="str">
        <f>IF(Fifth!D240="", "",Fifth!D240)</f>
        <v/>
      </c>
      <c r="E1237" s="66" t="str">
        <f>IF(Fifth!E240="", "",Fifth!E240)</f>
        <v/>
      </c>
      <c r="F1237" s="66" t="str">
        <f>IF(Fifth!F240="", "",Fifth!F240)</f>
        <v/>
      </c>
      <c r="G1237" s="66" t="str">
        <f>IF(Fifth!G240="", "",Fifth!G240)</f>
        <v/>
      </c>
      <c r="H1237" s="66" t="str">
        <f>IF(Fifth!H240="", "",Fifth!H240)</f>
        <v/>
      </c>
      <c r="I1237" s="66" t="str">
        <f>IF(Fifth!I240="", "",Fifth!I240)</f>
        <v/>
      </c>
      <c r="J1237" s="66" t="str">
        <f>IF(Fifth!J240="", "",Fifth!J240)</f>
        <v/>
      </c>
      <c r="K1237" s="86" t="str">
        <f>IF(Fifth!K240="", "",Fifth!K240)</f>
        <v/>
      </c>
      <c r="M1237" s="67" t="str">
        <f t="shared" si="59"/>
        <v/>
      </c>
      <c r="N1237" s="76" t="str">
        <f t="shared" si="60"/>
        <v/>
      </c>
      <c r="O1237" s="33">
        <f t="shared" si="58"/>
        <v>0</v>
      </c>
    </row>
    <row r="1238" spans="1:15" x14ac:dyDescent="0.25">
      <c r="A1238" s="64" t="s">
        <v>224</v>
      </c>
      <c r="B1238" s="79" t="str">
        <f>IF(Fifth!B241="", "",Fifth!B241)</f>
        <v/>
      </c>
      <c r="C1238" s="66" t="str">
        <f>IF(Fifth!C241="", "",Fifth!C241)</f>
        <v/>
      </c>
      <c r="D1238" s="66" t="str">
        <f>IF(Fifth!D241="", "",Fifth!D241)</f>
        <v/>
      </c>
      <c r="E1238" s="66" t="str">
        <f>IF(Fifth!E241="", "",Fifth!E241)</f>
        <v/>
      </c>
      <c r="F1238" s="66" t="str">
        <f>IF(Fifth!F241="", "",Fifth!F241)</f>
        <v/>
      </c>
      <c r="G1238" s="66" t="str">
        <f>IF(Fifth!G241="", "",Fifth!G241)</f>
        <v/>
      </c>
      <c r="H1238" s="66" t="str">
        <f>IF(Fifth!H241="", "",Fifth!H241)</f>
        <v/>
      </c>
      <c r="I1238" s="66" t="str">
        <f>IF(Fifth!I241="", "",Fifth!I241)</f>
        <v/>
      </c>
      <c r="J1238" s="66" t="str">
        <f>IF(Fifth!J241="", "",Fifth!J241)</f>
        <v/>
      </c>
      <c r="K1238" s="86" t="str">
        <f>IF(Fifth!K241="", "",Fifth!K241)</f>
        <v/>
      </c>
      <c r="M1238" s="67" t="str">
        <f t="shared" si="59"/>
        <v/>
      </c>
      <c r="N1238" s="76" t="str">
        <f t="shared" si="60"/>
        <v/>
      </c>
      <c r="O1238" s="33">
        <f t="shared" si="58"/>
        <v>0</v>
      </c>
    </row>
    <row r="1239" spans="1:15" x14ac:dyDescent="0.25">
      <c r="A1239" s="64" t="s">
        <v>224</v>
      </c>
      <c r="B1239" s="79" t="str">
        <f>IF(Fifth!B242="", "",Fifth!B242)</f>
        <v/>
      </c>
      <c r="C1239" s="66" t="str">
        <f>IF(Fifth!C242="", "",Fifth!C242)</f>
        <v/>
      </c>
      <c r="D1239" s="66" t="str">
        <f>IF(Fifth!D242="", "",Fifth!D242)</f>
        <v/>
      </c>
      <c r="E1239" s="66" t="str">
        <f>IF(Fifth!E242="", "",Fifth!E242)</f>
        <v/>
      </c>
      <c r="F1239" s="66" t="str">
        <f>IF(Fifth!F242="", "",Fifth!F242)</f>
        <v/>
      </c>
      <c r="G1239" s="66" t="str">
        <f>IF(Fifth!G242="", "",Fifth!G242)</f>
        <v/>
      </c>
      <c r="H1239" s="66" t="str">
        <f>IF(Fifth!H242="", "",Fifth!H242)</f>
        <v/>
      </c>
      <c r="I1239" s="66" t="str">
        <f>IF(Fifth!I242="", "",Fifth!I242)</f>
        <v/>
      </c>
      <c r="J1239" s="66" t="str">
        <f>IF(Fifth!J242="", "",Fifth!J242)</f>
        <v/>
      </c>
      <c r="K1239" s="86" t="str">
        <f>IF(Fifth!K242="", "",Fifth!K242)</f>
        <v/>
      </c>
      <c r="M1239" s="67" t="str">
        <f t="shared" si="59"/>
        <v/>
      </c>
      <c r="N1239" s="76" t="str">
        <f t="shared" si="60"/>
        <v/>
      </c>
      <c r="O1239" s="33">
        <f t="shared" si="58"/>
        <v>0</v>
      </c>
    </row>
    <row r="1240" spans="1:15" x14ac:dyDescent="0.25">
      <c r="A1240" s="64" t="s">
        <v>224</v>
      </c>
      <c r="B1240" s="79" t="str">
        <f>IF(Fifth!B243="", "",Fifth!B243)</f>
        <v/>
      </c>
      <c r="C1240" s="66" t="str">
        <f>IF(Fifth!C243="", "",Fifth!C243)</f>
        <v/>
      </c>
      <c r="D1240" s="66" t="str">
        <f>IF(Fifth!D243="", "",Fifth!D243)</f>
        <v/>
      </c>
      <c r="E1240" s="66" t="str">
        <f>IF(Fifth!E243="", "",Fifth!E243)</f>
        <v/>
      </c>
      <c r="F1240" s="66" t="str">
        <f>IF(Fifth!F243="", "",Fifth!F243)</f>
        <v/>
      </c>
      <c r="G1240" s="66" t="str">
        <f>IF(Fifth!G243="", "",Fifth!G243)</f>
        <v/>
      </c>
      <c r="H1240" s="66" t="str">
        <f>IF(Fifth!H243="", "",Fifth!H243)</f>
        <v/>
      </c>
      <c r="I1240" s="66" t="str">
        <f>IF(Fifth!I243="", "",Fifth!I243)</f>
        <v/>
      </c>
      <c r="J1240" s="66" t="str">
        <f>IF(Fifth!J243="", "",Fifth!J243)</f>
        <v/>
      </c>
      <c r="K1240" s="86" t="str">
        <f>IF(Fifth!K243="", "",Fifth!K243)</f>
        <v/>
      </c>
      <c r="M1240" s="67" t="str">
        <f t="shared" si="59"/>
        <v/>
      </c>
      <c r="N1240" s="76" t="str">
        <f t="shared" si="60"/>
        <v/>
      </c>
      <c r="O1240" s="33">
        <f t="shared" si="58"/>
        <v>0</v>
      </c>
    </row>
    <row r="1241" spans="1:15" x14ac:dyDescent="0.25">
      <c r="A1241" s="64" t="s">
        <v>224</v>
      </c>
      <c r="B1241" s="79" t="str">
        <f>IF(Fifth!B244="", "",Fifth!B244)</f>
        <v/>
      </c>
      <c r="C1241" s="66" t="str">
        <f>IF(Fifth!C244="", "",Fifth!C244)</f>
        <v/>
      </c>
      <c r="D1241" s="66" t="str">
        <f>IF(Fifth!D244="", "",Fifth!D244)</f>
        <v/>
      </c>
      <c r="E1241" s="66" t="str">
        <f>IF(Fifth!E244="", "",Fifth!E244)</f>
        <v/>
      </c>
      <c r="F1241" s="66" t="str">
        <f>IF(Fifth!F244="", "",Fifth!F244)</f>
        <v/>
      </c>
      <c r="G1241" s="66" t="str">
        <f>IF(Fifth!G244="", "",Fifth!G244)</f>
        <v/>
      </c>
      <c r="H1241" s="66" t="str">
        <f>IF(Fifth!H244="", "",Fifth!H244)</f>
        <v/>
      </c>
      <c r="I1241" s="66" t="str">
        <f>IF(Fifth!I244="", "",Fifth!I244)</f>
        <v/>
      </c>
      <c r="J1241" s="66" t="str">
        <f>IF(Fifth!J244="", "",Fifth!J244)</f>
        <v/>
      </c>
      <c r="K1241" s="86" t="str">
        <f>IF(Fifth!K244="", "",Fifth!K244)</f>
        <v/>
      </c>
      <c r="M1241" s="67" t="str">
        <f t="shared" si="59"/>
        <v/>
      </c>
      <c r="N1241" s="76" t="str">
        <f t="shared" si="60"/>
        <v/>
      </c>
      <c r="O1241" s="33">
        <f t="shared" si="58"/>
        <v>0</v>
      </c>
    </row>
    <row r="1242" spans="1:15" x14ac:dyDescent="0.25">
      <c r="A1242" s="64" t="s">
        <v>224</v>
      </c>
      <c r="B1242" s="79" t="str">
        <f>IF(Fifth!B245="", "",Fifth!B245)</f>
        <v/>
      </c>
      <c r="C1242" s="66" t="str">
        <f>IF(Fifth!C245="", "",Fifth!C245)</f>
        <v/>
      </c>
      <c r="D1242" s="66" t="str">
        <f>IF(Fifth!D245="", "",Fifth!D245)</f>
        <v/>
      </c>
      <c r="E1242" s="66" t="str">
        <f>IF(Fifth!E245="", "",Fifth!E245)</f>
        <v/>
      </c>
      <c r="F1242" s="66" t="str">
        <f>IF(Fifth!F245="", "",Fifth!F245)</f>
        <v/>
      </c>
      <c r="G1242" s="66" t="str">
        <f>IF(Fifth!G245="", "",Fifth!G245)</f>
        <v/>
      </c>
      <c r="H1242" s="66" t="str">
        <f>IF(Fifth!H245="", "",Fifth!H245)</f>
        <v/>
      </c>
      <c r="I1242" s="66" t="str">
        <f>IF(Fifth!I245="", "",Fifth!I245)</f>
        <v/>
      </c>
      <c r="J1242" s="66" t="str">
        <f>IF(Fifth!J245="", "",Fifth!J245)</f>
        <v/>
      </c>
      <c r="K1242" s="86" t="str">
        <f>IF(Fifth!K245="", "",Fifth!K245)</f>
        <v/>
      </c>
      <c r="M1242" s="67" t="str">
        <f t="shared" si="59"/>
        <v/>
      </c>
      <c r="N1242" s="76" t="str">
        <f t="shared" si="60"/>
        <v/>
      </c>
      <c r="O1242" s="33">
        <f t="shared" si="58"/>
        <v>0</v>
      </c>
    </row>
    <row r="1243" spans="1:15" x14ac:dyDescent="0.25">
      <c r="A1243" s="64" t="s">
        <v>224</v>
      </c>
      <c r="B1243" s="79" t="str">
        <f>IF(Fifth!B246="", "",Fifth!B246)</f>
        <v/>
      </c>
      <c r="C1243" s="66" t="str">
        <f>IF(Fifth!C246="", "",Fifth!C246)</f>
        <v/>
      </c>
      <c r="D1243" s="66" t="str">
        <f>IF(Fifth!D246="", "",Fifth!D246)</f>
        <v/>
      </c>
      <c r="E1243" s="66" t="str">
        <f>IF(Fifth!E246="", "",Fifth!E246)</f>
        <v/>
      </c>
      <c r="F1243" s="66" t="str">
        <f>IF(Fifth!F246="", "",Fifth!F246)</f>
        <v/>
      </c>
      <c r="G1243" s="66" t="str">
        <f>IF(Fifth!G246="", "",Fifth!G246)</f>
        <v/>
      </c>
      <c r="H1243" s="66" t="str">
        <f>IF(Fifth!H246="", "",Fifth!H246)</f>
        <v/>
      </c>
      <c r="I1243" s="66" t="str">
        <f>IF(Fifth!I246="", "",Fifth!I246)</f>
        <v/>
      </c>
      <c r="J1243" s="66" t="str">
        <f>IF(Fifth!J246="", "",Fifth!J246)</f>
        <v/>
      </c>
      <c r="K1243" s="86" t="str">
        <f>IF(Fifth!K246="", "",Fifth!K246)</f>
        <v/>
      </c>
      <c r="M1243" s="67" t="str">
        <f t="shared" si="59"/>
        <v/>
      </c>
      <c r="N1243" s="76" t="str">
        <f t="shared" si="60"/>
        <v/>
      </c>
      <c r="O1243" s="33">
        <f t="shared" si="58"/>
        <v>0</v>
      </c>
    </row>
    <row r="1244" spans="1:15" x14ac:dyDescent="0.25">
      <c r="A1244" s="64" t="s">
        <v>224</v>
      </c>
      <c r="B1244" s="79" t="str">
        <f>IF(Fifth!B247="", "",Fifth!B247)</f>
        <v/>
      </c>
      <c r="C1244" s="66" t="str">
        <f>IF(Fifth!C247="", "",Fifth!C247)</f>
        <v/>
      </c>
      <c r="D1244" s="66" t="str">
        <f>IF(Fifth!D247="", "",Fifth!D247)</f>
        <v/>
      </c>
      <c r="E1244" s="66" t="str">
        <f>IF(Fifth!E247="", "",Fifth!E247)</f>
        <v/>
      </c>
      <c r="F1244" s="66" t="str">
        <f>IF(Fifth!F247="", "",Fifth!F247)</f>
        <v/>
      </c>
      <c r="G1244" s="66" t="str">
        <f>IF(Fifth!G247="", "",Fifth!G247)</f>
        <v/>
      </c>
      <c r="H1244" s="66" t="str">
        <f>IF(Fifth!H247="", "",Fifth!H247)</f>
        <v/>
      </c>
      <c r="I1244" s="66" t="str">
        <f>IF(Fifth!I247="", "",Fifth!I247)</f>
        <v/>
      </c>
      <c r="J1244" s="66" t="str">
        <f>IF(Fifth!J247="", "",Fifth!J247)</f>
        <v/>
      </c>
      <c r="K1244" s="86" t="str">
        <f>IF(Fifth!K247="", "",Fifth!K247)</f>
        <v/>
      </c>
      <c r="M1244" s="67" t="str">
        <f t="shared" si="59"/>
        <v/>
      </c>
      <c r="N1244" s="76" t="str">
        <f t="shared" si="60"/>
        <v/>
      </c>
      <c r="O1244" s="33">
        <f t="shared" si="58"/>
        <v>0</v>
      </c>
    </row>
    <row r="1245" spans="1:15" x14ac:dyDescent="0.25">
      <c r="A1245" s="64" t="s">
        <v>224</v>
      </c>
      <c r="B1245" s="79" t="str">
        <f>IF(Fifth!B248="", "",Fifth!B248)</f>
        <v/>
      </c>
      <c r="C1245" s="66" t="str">
        <f>IF(Fifth!C248="", "",Fifth!C248)</f>
        <v/>
      </c>
      <c r="D1245" s="66" t="str">
        <f>IF(Fifth!D248="", "",Fifth!D248)</f>
        <v/>
      </c>
      <c r="E1245" s="66" t="str">
        <f>IF(Fifth!E248="", "",Fifth!E248)</f>
        <v/>
      </c>
      <c r="F1245" s="66" t="str">
        <f>IF(Fifth!F248="", "",Fifth!F248)</f>
        <v/>
      </c>
      <c r="G1245" s="66" t="str">
        <f>IF(Fifth!G248="", "",Fifth!G248)</f>
        <v/>
      </c>
      <c r="H1245" s="66" t="str">
        <f>IF(Fifth!H248="", "",Fifth!H248)</f>
        <v/>
      </c>
      <c r="I1245" s="66" t="str">
        <f>IF(Fifth!I248="", "",Fifth!I248)</f>
        <v/>
      </c>
      <c r="J1245" s="66" t="str">
        <f>IF(Fifth!J248="", "",Fifth!J248)</f>
        <v/>
      </c>
      <c r="K1245" s="86" t="str">
        <f>IF(Fifth!K248="", "",Fifth!K248)</f>
        <v/>
      </c>
      <c r="M1245" s="67" t="str">
        <f t="shared" si="59"/>
        <v/>
      </c>
      <c r="N1245" s="76" t="str">
        <f t="shared" si="60"/>
        <v/>
      </c>
      <c r="O1245" s="33">
        <f t="shared" si="58"/>
        <v>0</v>
      </c>
    </row>
    <row r="1246" spans="1:15" x14ac:dyDescent="0.25">
      <c r="A1246" s="64" t="s">
        <v>224</v>
      </c>
      <c r="B1246" s="79" t="str">
        <f>IF(Fifth!B249="", "",Fifth!B249)</f>
        <v/>
      </c>
      <c r="C1246" s="66" t="str">
        <f>IF(Fifth!C249="", "",Fifth!C249)</f>
        <v/>
      </c>
      <c r="D1246" s="66" t="str">
        <f>IF(Fifth!D249="", "",Fifth!D249)</f>
        <v/>
      </c>
      <c r="E1246" s="66" t="str">
        <f>IF(Fifth!E249="", "",Fifth!E249)</f>
        <v/>
      </c>
      <c r="F1246" s="66" t="str">
        <f>IF(Fifth!F249="", "",Fifth!F249)</f>
        <v/>
      </c>
      <c r="G1246" s="66" t="str">
        <f>IF(Fifth!G249="", "",Fifth!G249)</f>
        <v/>
      </c>
      <c r="H1246" s="66" t="str">
        <f>IF(Fifth!H249="", "",Fifth!H249)</f>
        <v/>
      </c>
      <c r="I1246" s="66" t="str">
        <f>IF(Fifth!I249="", "",Fifth!I249)</f>
        <v/>
      </c>
      <c r="J1246" s="66" t="str">
        <f>IF(Fifth!J249="", "",Fifth!J249)</f>
        <v/>
      </c>
      <c r="K1246" s="86" t="str">
        <f>IF(Fifth!K249="", "",Fifth!K249)</f>
        <v/>
      </c>
      <c r="M1246" s="67" t="str">
        <f t="shared" si="59"/>
        <v/>
      </c>
      <c r="N1246" s="76" t="str">
        <f t="shared" si="60"/>
        <v/>
      </c>
      <c r="O1246" s="33">
        <f t="shared" si="58"/>
        <v>0</v>
      </c>
    </row>
    <row r="1247" spans="1:15" x14ac:dyDescent="0.25">
      <c r="A1247" s="64" t="s">
        <v>224</v>
      </c>
      <c r="B1247" s="79" t="str">
        <f>IF(Fifth!B250="", "",Fifth!B250)</f>
        <v/>
      </c>
      <c r="C1247" s="66" t="str">
        <f>IF(Fifth!C250="", "",Fifth!C250)</f>
        <v/>
      </c>
      <c r="D1247" s="66" t="str">
        <f>IF(Fifth!D250="", "",Fifth!D250)</f>
        <v/>
      </c>
      <c r="E1247" s="66" t="str">
        <f>IF(Fifth!E250="", "",Fifth!E250)</f>
        <v/>
      </c>
      <c r="F1247" s="66" t="str">
        <f>IF(Fifth!F250="", "",Fifth!F250)</f>
        <v/>
      </c>
      <c r="G1247" s="66" t="str">
        <f>IF(Fifth!G250="", "",Fifth!G250)</f>
        <v/>
      </c>
      <c r="H1247" s="66" t="str">
        <f>IF(Fifth!H250="", "",Fifth!H250)</f>
        <v/>
      </c>
      <c r="I1247" s="66" t="str">
        <f>IF(Fifth!I250="", "",Fifth!I250)</f>
        <v/>
      </c>
      <c r="J1247" s="66" t="str">
        <f>IF(Fifth!J250="", "",Fifth!J250)</f>
        <v/>
      </c>
      <c r="K1247" s="86" t="str">
        <f>IF(Fifth!K250="", "",Fifth!K250)</f>
        <v/>
      </c>
      <c r="M1247" s="67" t="str">
        <f t="shared" si="59"/>
        <v/>
      </c>
      <c r="N1247" s="76" t="str">
        <f t="shared" si="60"/>
        <v/>
      </c>
      <c r="O1247" s="33">
        <f t="shared" si="58"/>
        <v>0</v>
      </c>
    </row>
    <row r="1248" spans="1:15" x14ac:dyDescent="0.25">
      <c r="A1248" s="64" t="s">
        <v>224</v>
      </c>
      <c r="B1248" s="79" t="str">
        <f>IF(Fifth!B251="", "",Fifth!B251)</f>
        <v/>
      </c>
      <c r="C1248" s="66" t="str">
        <f>IF(Fifth!C251="", "",Fifth!C251)</f>
        <v/>
      </c>
      <c r="D1248" s="66" t="str">
        <f>IF(Fifth!D251="", "",Fifth!D251)</f>
        <v/>
      </c>
      <c r="E1248" s="66" t="str">
        <f>IF(Fifth!E251="", "",Fifth!E251)</f>
        <v/>
      </c>
      <c r="F1248" s="66" t="str">
        <f>IF(Fifth!F251="", "",Fifth!F251)</f>
        <v/>
      </c>
      <c r="G1248" s="66" t="str">
        <f>IF(Fifth!G251="", "",Fifth!G251)</f>
        <v/>
      </c>
      <c r="H1248" s="66" t="str">
        <f>IF(Fifth!H251="", "",Fifth!H251)</f>
        <v/>
      </c>
      <c r="I1248" s="66" t="str">
        <f>IF(Fifth!I251="", "",Fifth!I251)</f>
        <v/>
      </c>
      <c r="J1248" s="66" t="str">
        <f>IF(Fifth!J251="", "",Fifth!J251)</f>
        <v/>
      </c>
      <c r="K1248" s="86" t="str">
        <f>IF(Fifth!K251="", "",Fifth!K251)</f>
        <v/>
      </c>
      <c r="M1248" s="67" t="str">
        <f t="shared" si="59"/>
        <v/>
      </c>
      <c r="N1248" s="76" t="str">
        <f t="shared" si="60"/>
        <v/>
      </c>
      <c r="O1248" s="33">
        <f t="shared" si="58"/>
        <v>0</v>
      </c>
    </row>
    <row r="1249" spans="1:15" x14ac:dyDescent="0.25">
      <c r="A1249" s="64" t="s">
        <v>224</v>
      </c>
      <c r="B1249" s="79" t="str">
        <f>IF(Fifth!B252="", "",Fifth!B252)</f>
        <v/>
      </c>
      <c r="C1249" s="66" t="str">
        <f>IF(Fifth!C252="", "",Fifth!C252)</f>
        <v/>
      </c>
      <c r="D1249" s="66" t="str">
        <f>IF(Fifth!D252="", "",Fifth!D252)</f>
        <v/>
      </c>
      <c r="E1249" s="66" t="str">
        <f>IF(Fifth!E252="", "",Fifth!E252)</f>
        <v/>
      </c>
      <c r="F1249" s="66" t="str">
        <f>IF(Fifth!F252="", "",Fifth!F252)</f>
        <v/>
      </c>
      <c r="G1249" s="66" t="str">
        <f>IF(Fifth!G252="", "",Fifth!G252)</f>
        <v/>
      </c>
      <c r="H1249" s="66" t="str">
        <f>IF(Fifth!H252="", "",Fifth!H252)</f>
        <v/>
      </c>
      <c r="I1249" s="66" t="str">
        <f>IF(Fifth!I252="", "",Fifth!I252)</f>
        <v/>
      </c>
      <c r="J1249" s="66" t="str">
        <f>IF(Fifth!J252="", "",Fifth!J252)</f>
        <v/>
      </c>
      <c r="K1249" s="86" t="str">
        <f>IF(Fifth!K252="", "",Fifth!K252)</f>
        <v/>
      </c>
      <c r="M1249" s="67" t="str">
        <f t="shared" si="59"/>
        <v/>
      </c>
      <c r="N1249" s="76" t="str">
        <f t="shared" si="60"/>
        <v/>
      </c>
      <c r="O1249" s="33">
        <f t="shared" si="58"/>
        <v>0</v>
      </c>
    </row>
    <row r="1250" spans="1:15" x14ac:dyDescent="0.25">
      <c r="A1250" s="64" t="s">
        <v>224</v>
      </c>
      <c r="B1250" s="79" t="str">
        <f>IF(Fifth!B253="", "",Fifth!B253)</f>
        <v/>
      </c>
      <c r="C1250" s="66" t="str">
        <f>IF(Fifth!C253="", "",Fifth!C253)</f>
        <v/>
      </c>
      <c r="D1250" s="66" t="str">
        <f>IF(Fifth!D253="", "",Fifth!D253)</f>
        <v/>
      </c>
      <c r="E1250" s="66" t="str">
        <f>IF(Fifth!E253="", "",Fifth!E253)</f>
        <v/>
      </c>
      <c r="F1250" s="66" t="str">
        <f>IF(Fifth!F253="", "",Fifth!F253)</f>
        <v/>
      </c>
      <c r="G1250" s="66" t="str">
        <f>IF(Fifth!G253="", "",Fifth!G253)</f>
        <v/>
      </c>
      <c r="H1250" s="66" t="str">
        <f>IF(Fifth!H253="", "",Fifth!H253)</f>
        <v/>
      </c>
      <c r="I1250" s="66" t="str">
        <f>IF(Fifth!I253="", "",Fifth!I253)</f>
        <v/>
      </c>
      <c r="J1250" s="66" t="str">
        <f>IF(Fifth!J253="", "",Fifth!J253)</f>
        <v/>
      </c>
      <c r="K1250" s="86" t="str">
        <f>IF(Fifth!K253="", "",Fifth!K253)</f>
        <v/>
      </c>
      <c r="M1250" s="67" t="str">
        <f t="shared" si="59"/>
        <v/>
      </c>
      <c r="N1250" s="76" t="str">
        <f t="shared" si="60"/>
        <v/>
      </c>
      <c r="O1250" s="33">
        <f t="shared" si="58"/>
        <v>0</v>
      </c>
    </row>
    <row r="1251" spans="1:15" ht="15.75" thickBot="1" x14ac:dyDescent="0.3">
      <c r="A1251" s="68" t="s">
        <v>224</v>
      </c>
      <c r="B1251" s="80" t="str">
        <f>IF(Fifth!B254="", "",Fifth!B254)</f>
        <v/>
      </c>
      <c r="C1251" s="70" t="str">
        <f>IF(Fifth!C254="", "",Fifth!C254)</f>
        <v/>
      </c>
      <c r="D1251" s="70" t="str">
        <f>IF(Fifth!D254="", "",Fifth!D254)</f>
        <v/>
      </c>
      <c r="E1251" s="70" t="str">
        <f>IF(Fifth!E254="", "",Fifth!E254)</f>
        <v/>
      </c>
      <c r="F1251" s="70" t="str">
        <f>IF(Fifth!F254="", "",Fifth!F254)</f>
        <v/>
      </c>
      <c r="G1251" s="70" t="str">
        <f>IF(Fifth!G254="", "",Fifth!G254)</f>
        <v/>
      </c>
      <c r="H1251" s="70" t="str">
        <f>IF(Fifth!H254="", "",Fifth!H254)</f>
        <v/>
      </c>
      <c r="I1251" s="70" t="str">
        <f>IF(Fifth!I254="", "",Fifth!I254)</f>
        <v/>
      </c>
      <c r="J1251" s="70" t="str">
        <f>IF(Fifth!J254="", "",Fifth!J254)</f>
        <v/>
      </c>
      <c r="K1251" s="90" t="str">
        <f>IF(Fifth!K254="", "",Fifth!K254)</f>
        <v/>
      </c>
      <c r="L1251" s="91"/>
      <c r="M1251" s="71" t="str">
        <f t="shared" si="59"/>
        <v/>
      </c>
      <c r="N1251" s="77" t="str">
        <f t="shared" si="60"/>
        <v/>
      </c>
      <c r="O1251" s="33">
        <f t="shared" si="58"/>
        <v>0</v>
      </c>
    </row>
    <row r="1252" spans="1:15" x14ac:dyDescent="0.25">
      <c r="A1252" s="64" t="s">
        <v>206</v>
      </c>
      <c r="B1252" s="79" t="str">
        <f>IF(Sixth!B5="", "",Sixth!B5)</f>
        <v>CSS</v>
      </c>
      <c r="C1252" s="66" t="str">
        <f>IF(Sixth!C5="", "",Sixth!C5)</f>
        <v>PwC</v>
      </c>
      <c r="D1252" s="66" t="str">
        <f>IF(Sixth!D5="", "",Sixth!D5)</f>
        <v>Returning</v>
      </c>
      <c r="E1252" s="66" t="str">
        <f>IF(Sixth!E5="", "",Sixth!E5)</f>
        <v>Female</v>
      </c>
      <c r="F1252" s="66" t="str">
        <f>IF(Sixth!F5="", "",Sixth!F5)</f>
        <v>Brain/CNS</v>
      </c>
      <c r="G1252" s="66" t="str">
        <f>IF(Sixth!G5="", "",Sixth!G5)</f>
        <v>Non-Curative Intent</v>
      </c>
      <c r="H1252" s="66" t="str">
        <f>IF(Sixth!H5="", "",Sixth!H5)</f>
        <v>Drop-In</v>
      </c>
      <c r="I1252" s="66" t="str">
        <f>IF(Sixth!I5="", "",Sixth!I5)</f>
        <v/>
      </c>
      <c r="J1252" s="66" t="str">
        <f>IF(Sixth!J5="", "",Sixth!J5)</f>
        <v/>
      </c>
      <c r="K1252" s="86" t="str">
        <f>IF(Sixth!K5="", "",Sixth!K5)</f>
        <v/>
      </c>
      <c r="M1252" s="67">
        <f t="shared" si="59"/>
        <v>7</v>
      </c>
      <c r="N1252" s="76" t="str">
        <f t="shared" si="60"/>
        <v/>
      </c>
      <c r="O1252" s="33">
        <f t="shared" si="58"/>
        <v>7</v>
      </c>
    </row>
    <row r="1253" spans="1:15" x14ac:dyDescent="0.25">
      <c r="A1253" s="64" t="s">
        <v>206</v>
      </c>
      <c r="B1253" s="79" t="str">
        <f>IF(Sixth!B6="", "",Sixth!B6)</f>
        <v>CSS</v>
      </c>
      <c r="C1253" s="66" t="str">
        <f>IF(Sixth!C6="", "",Sixth!C6)</f>
        <v>Carer</v>
      </c>
      <c r="D1253" s="66" t="str">
        <f>IF(Sixth!D6="", "",Sixth!D6)</f>
        <v>Returning</v>
      </c>
      <c r="E1253" s="66" t="str">
        <f>IF(Sixth!E6="", "",Sixth!E6)</f>
        <v>Male</v>
      </c>
      <c r="F1253" s="66" t="str">
        <f>IF(Sixth!F6="", "",Sixth!F6)</f>
        <v>Brain/CNS</v>
      </c>
      <c r="G1253" s="66" t="str">
        <f>IF(Sixth!G6="", "",Sixth!G6)</f>
        <v>Non-Curative Intent</v>
      </c>
      <c r="H1253" s="66" t="str">
        <f>IF(Sixth!H6="", "",Sixth!H6)</f>
        <v>Drop-In</v>
      </c>
      <c r="I1253" s="66" t="str">
        <f>IF(Sixth!I6="", "",Sixth!I6)</f>
        <v/>
      </c>
      <c r="J1253" s="66" t="str">
        <f>IF(Sixth!J6="", "",Sixth!J6)</f>
        <v/>
      </c>
      <c r="K1253" s="86" t="str">
        <f>IF(Sixth!K6="", "",Sixth!K6)</f>
        <v/>
      </c>
      <c r="M1253" s="67" t="str">
        <f t="shared" si="59"/>
        <v/>
      </c>
      <c r="N1253" s="76">
        <f t="shared" si="60"/>
        <v>7</v>
      </c>
      <c r="O1253" s="33">
        <f t="shared" si="58"/>
        <v>7</v>
      </c>
    </row>
    <row r="1254" spans="1:15" x14ac:dyDescent="0.25">
      <c r="A1254" s="64" t="s">
        <v>206</v>
      </c>
      <c r="B1254" s="79" t="str">
        <f>IF(Sixth!B7="", "",Sixth!B7)</f>
        <v>CSS</v>
      </c>
      <c r="C1254" s="66" t="str">
        <f>IF(Sixth!C7="", "",Sixth!C7)</f>
        <v>PwC</v>
      </c>
      <c r="D1254" s="66" t="str">
        <f>IF(Sixth!D7="", "",Sixth!D7)</f>
        <v>Returning</v>
      </c>
      <c r="E1254" s="66" t="str">
        <f>IF(Sixth!E7="", "",Sixth!E7)</f>
        <v>Female</v>
      </c>
      <c r="F1254" s="66" t="str">
        <f>IF(Sixth!F7="", "",Sixth!F7)</f>
        <v>Breast</v>
      </c>
      <c r="G1254" s="66" t="str">
        <f>IF(Sixth!G7="", "",Sixth!G7)</f>
        <v>Post Treatment - Curative Intent</v>
      </c>
      <c r="H1254" s="66" t="str">
        <f>IF(Sixth!H7="", "",Sixth!H7)</f>
        <v>Drop-In</v>
      </c>
      <c r="I1254" s="66" t="str">
        <f>IF(Sixth!I7="", "",Sixth!I7)</f>
        <v/>
      </c>
      <c r="J1254" s="66" t="str">
        <f>IF(Sixth!J7="", "",Sixth!J7)</f>
        <v/>
      </c>
      <c r="K1254" s="86" t="str">
        <f>IF(Sixth!K7="", "",Sixth!K7)</f>
        <v/>
      </c>
      <c r="M1254" s="67">
        <f t="shared" si="59"/>
        <v>7</v>
      </c>
      <c r="N1254" s="76" t="str">
        <f t="shared" si="60"/>
        <v/>
      </c>
      <c r="O1254" s="33">
        <f t="shared" si="58"/>
        <v>7</v>
      </c>
    </row>
    <row r="1255" spans="1:15" x14ac:dyDescent="0.25">
      <c r="A1255" s="64" t="s">
        <v>206</v>
      </c>
      <c r="B1255" s="79" t="str">
        <f>IF(Sixth!B8="", "",Sixth!B8)</f>
        <v>CSS</v>
      </c>
      <c r="C1255" s="66" t="str">
        <f>IF(Sixth!C8="", "",Sixth!C8)</f>
        <v>PwC</v>
      </c>
      <c r="D1255" s="66" t="str">
        <f>IF(Sixth!D8="", "",Sixth!D8)</f>
        <v>Returning</v>
      </c>
      <c r="E1255" s="66" t="str">
        <f>IF(Sixth!E8="", "",Sixth!E8)</f>
        <v>Female</v>
      </c>
      <c r="F1255" s="66" t="str">
        <f>IF(Sixth!F8="", "",Sixth!F8)</f>
        <v>Breast</v>
      </c>
      <c r="G1255" s="66" t="str">
        <f>IF(Sixth!G8="", "",Sixth!G8)</f>
        <v>Curative Intent</v>
      </c>
      <c r="H1255" s="66" t="str">
        <f>IF(Sixth!H8="", "",Sixth!H8)</f>
        <v>Booked</v>
      </c>
      <c r="I1255" s="66" t="str">
        <f>IF(Sixth!I8="", "",Sixth!I8)</f>
        <v>Psych Support - Individual</v>
      </c>
      <c r="J1255" s="66" t="str">
        <f>IF(Sixth!J8="", "",Sixth!J8)</f>
        <v/>
      </c>
      <c r="K1255" s="86" t="str">
        <f>IF(Sixth!K8="", "",Sixth!K8)</f>
        <v/>
      </c>
      <c r="M1255" s="67">
        <f t="shared" si="59"/>
        <v>7</v>
      </c>
      <c r="N1255" s="76" t="str">
        <f t="shared" si="60"/>
        <v/>
      </c>
      <c r="O1255" s="33">
        <f t="shared" si="58"/>
        <v>7</v>
      </c>
    </row>
    <row r="1256" spans="1:15" x14ac:dyDescent="0.25">
      <c r="A1256" s="64" t="s">
        <v>206</v>
      </c>
      <c r="B1256" s="79" t="str">
        <f>IF(Sixth!B9="", "",Sixth!B9)</f>
        <v>CSS</v>
      </c>
      <c r="C1256" s="66" t="str">
        <f>IF(Sixth!C9="", "",Sixth!C9)</f>
        <v>PwC</v>
      </c>
      <c r="D1256" s="66" t="str">
        <f>IF(Sixth!D9="", "",Sixth!D9)</f>
        <v>Returning</v>
      </c>
      <c r="E1256" s="66" t="str">
        <f>IF(Sixth!E9="", "",Sixth!E9)</f>
        <v>Female</v>
      </c>
      <c r="F1256" s="66" t="str">
        <f>IF(Sixth!F9="", "",Sixth!F9)</f>
        <v>Breast</v>
      </c>
      <c r="G1256" s="66" t="str">
        <f>IF(Sixth!G9="", "",Sixth!G9)</f>
        <v>Post Treatment - Curative Intent</v>
      </c>
      <c r="H1256" s="66" t="str">
        <f>IF(Sixth!H9="", "",Sixth!H9)</f>
        <v>Booked</v>
      </c>
      <c r="I1256" s="66" t="str">
        <f>IF(Sixth!I9="", "",Sixth!I9)</f>
        <v>Psych Support - Individual</v>
      </c>
      <c r="J1256" s="66" t="str">
        <f>IF(Sixth!J9="", "",Sixth!J9)</f>
        <v/>
      </c>
      <c r="K1256" s="86" t="str">
        <f>IF(Sixth!K9="", "",Sixth!K9)</f>
        <v/>
      </c>
      <c r="M1256" s="67">
        <f t="shared" si="59"/>
        <v>7</v>
      </c>
      <c r="N1256" s="76" t="str">
        <f t="shared" si="60"/>
        <v/>
      </c>
      <c r="O1256" s="33">
        <f t="shared" si="58"/>
        <v>7</v>
      </c>
    </row>
    <row r="1257" spans="1:15" x14ac:dyDescent="0.25">
      <c r="A1257" s="64" t="s">
        <v>206</v>
      </c>
      <c r="B1257" s="79" t="str">
        <f>IF(Sixth!B10="", "",Sixth!B10)</f>
        <v>CSS</v>
      </c>
      <c r="C1257" s="66" t="str">
        <f>IF(Sixth!C10="", "",Sixth!C10)</f>
        <v>PwC</v>
      </c>
      <c r="D1257" s="66" t="str">
        <f>IF(Sixth!D10="", "",Sixth!D10)</f>
        <v>Returning</v>
      </c>
      <c r="E1257" s="66" t="str">
        <f>IF(Sixth!E10="", "",Sixth!E10)</f>
        <v>Male</v>
      </c>
      <c r="F1257" s="66" t="str">
        <f>IF(Sixth!F10="", "",Sixth!F10)</f>
        <v>Head/Neck</v>
      </c>
      <c r="G1257" s="66" t="str">
        <f>IF(Sixth!G10="", "",Sixth!G10)</f>
        <v>Non-Curative Intent</v>
      </c>
      <c r="H1257" s="66" t="str">
        <f>IF(Sixth!H10="", "",Sixth!H10)</f>
        <v>Drop-In</v>
      </c>
      <c r="I1257" s="66" t="str">
        <f>IF(Sixth!I10="", "",Sixth!I10)</f>
        <v/>
      </c>
      <c r="J1257" s="66" t="str">
        <f>IF(Sixth!J10="", "",Sixth!J10)</f>
        <v/>
      </c>
      <c r="K1257" s="86" t="str">
        <f>IF(Sixth!K10="", "",Sixth!K10)</f>
        <v/>
      </c>
      <c r="M1257" s="67">
        <f t="shared" si="59"/>
        <v>7</v>
      </c>
      <c r="N1257" s="76" t="str">
        <f t="shared" si="60"/>
        <v/>
      </c>
      <c r="O1257" s="33">
        <f t="shared" si="58"/>
        <v>7</v>
      </c>
    </row>
    <row r="1258" spans="1:15" x14ac:dyDescent="0.25">
      <c r="A1258" s="64" t="s">
        <v>206</v>
      </c>
      <c r="B1258" s="79" t="str">
        <f>IF(Sixth!B11="", "",Sixth!B11)</f>
        <v>CSS</v>
      </c>
      <c r="C1258" s="66" t="str">
        <f>IF(Sixth!C11="", "",Sixth!C11)</f>
        <v>PwC</v>
      </c>
      <c r="D1258" s="66" t="str">
        <f>IF(Sixth!D11="", "",Sixth!D11)</f>
        <v>Returning</v>
      </c>
      <c r="E1258" s="66" t="str">
        <f>IF(Sixth!E11="", "",Sixth!E11)</f>
        <v>Female</v>
      </c>
      <c r="F1258" s="66" t="str">
        <f>IF(Sixth!F11="", "",Sixth!F11)</f>
        <v>Gynae</v>
      </c>
      <c r="G1258" s="66" t="str">
        <f>IF(Sixth!G11="", "",Sixth!G11)</f>
        <v>Curative Intent</v>
      </c>
      <c r="H1258" s="66" t="str">
        <f>IF(Sixth!H11="", "",Sixth!H11)</f>
        <v>Drop-In</v>
      </c>
      <c r="I1258" s="66" t="str">
        <f>IF(Sixth!I11="", "",Sixth!I11)</f>
        <v/>
      </c>
      <c r="J1258" s="66" t="str">
        <f>IF(Sixth!J11="", "",Sixth!J11)</f>
        <v/>
      </c>
      <c r="K1258" s="86" t="str">
        <f>IF(Sixth!K11="", "",Sixth!K11)</f>
        <v/>
      </c>
      <c r="M1258" s="67">
        <f t="shared" si="59"/>
        <v>7</v>
      </c>
      <c r="N1258" s="76" t="str">
        <f t="shared" si="60"/>
        <v/>
      </c>
      <c r="O1258" s="33">
        <f t="shared" si="58"/>
        <v>7</v>
      </c>
    </row>
    <row r="1259" spans="1:15" x14ac:dyDescent="0.25">
      <c r="A1259" s="64" t="s">
        <v>206</v>
      </c>
      <c r="B1259" s="79" t="str">
        <f>IF(Sixth!B12="", "",Sixth!B12)</f>
        <v>Sessional Staff</v>
      </c>
      <c r="C1259" s="66" t="str">
        <f>IF(Sixth!C12="", "",Sixth!C12)</f>
        <v>Carer</v>
      </c>
      <c r="D1259" s="66" t="str">
        <f>IF(Sixth!D12="", "",Sixth!D12)</f>
        <v>New</v>
      </c>
      <c r="E1259" s="66" t="str">
        <f>IF(Sixth!E12="", "",Sixth!E12)</f>
        <v>Female</v>
      </c>
      <c r="F1259" s="66" t="str">
        <f>IF(Sixth!F12="", "",Sixth!F12)</f>
        <v>Head/Neck</v>
      </c>
      <c r="G1259" s="66" t="str">
        <f>IF(Sixth!G12="", "",Sixth!G12)</f>
        <v>Curative Intent</v>
      </c>
      <c r="H1259" s="66" t="str">
        <f>IF(Sixth!H12="", "",Sixth!H12)</f>
        <v>Programme</v>
      </c>
      <c r="I1259" s="66" t="str">
        <f>IF(Sixth!I12="", "",Sixth!I12)</f>
        <v>Nutrition</v>
      </c>
      <c r="J1259" s="66" t="str">
        <f>IF(Sixth!J12="", "",Sixth!J12)</f>
        <v/>
      </c>
      <c r="K1259" s="86" t="str">
        <f>IF(Sixth!K12="", "",Sixth!K12)</f>
        <v/>
      </c>
      <c r="M1259" s="67" t="str">
        <f t="shared" si="59"/>
        <v/>
      </c>
      <c r="N1259" s="76">
        <f t="shared" si="60"/>
        <v>7</v>
      </c>
      <c r="O1259" s="33">
        <f t="shared" si="58"/>
        <v>7</v>
      </c>
    </row>
    <row r="1260" spans="1:15" x14ac:dyDescent="0.25">
      <c r="A1260" s="64" t="s">
        <v>206</v>
      </c>
      <c r="B1260" s="79" t="str">
        <f>IF(Sixth!B13="", "",Sixth!B13)</f>
        <v>Sessional Staff</v>
      </c>
      <c r="C1260" s="66" t="str">
        <f>IF(Sixth!C13="", "",Sixth!C13)</f>
        <v>PwC</v>
      </c>
      <c r="D1260" s="66" t="str">
        <f>IF(Sixth!D13="", "",Sixth!D13)</f>
        <v>Returning</v>
      </c>
      <c r="E1260" s="66" t="str">
        <f>IF(Sixth!E13="", "",Sixth!E13)</f>
        <v>Female</v>
      </c>
      <c r="F1260" s="66" t="str">
        <f>IF(Sixth!F13="", "",Sixth!F13)</f>
        <v>Head/Neck</v>
      </c>
      <c r="G1260" s="66" t="str">
        <f>IF(Sixth!G13="", "",Sixth!G13)</f>
        <v>Curative Intent</v>
      </c>
      <c r="H1260" s="66" t="str">
        <f>IF(Sixth!H13="", "",Sixth!H13)</f>
        <v>Programme</v>
      </c>
      <c r="I1260" s="66" t="str">
        <f>IF(Sixth!I13="", "",Sixth!I13)</f>
        <v>Nutrition</v>
      </c>
      <c r="J1260" s="66" t="str">
        <f>IF(Sixth!J13="", "",Sixth!J13)</f>
        <v/>
      </c>
      <c r="K1260" s="86" t="str">
        <f>IF(Sixth!K13="", "",Sixth!K13)</f>
        <v/>
      </c>
      <c r="M1260" s="67">
        <f t="shared" si="59"/>
        <v>7</v>
      </c>
      <c r="N1260" s="76" t="str">
        <f t="shared" si="60"/>
        <v/>
      </c>
      <c r="O1260" s="33">
        <f t="shared" si="58"/>
        <v>7</v>
      </c>
    </row>
    <row r="1261" spans="1:15" x14ac:dyDescent="0.25">
      <c r="A1261" s="64" t="s">
        <v>206</v>
      </c>
      <c r="B1261" s="79" t="str">
        <f>IF(Sixth!B14="", "",Sixth!B14)</f>
        <v>Sessional Staff</v>
      </c>
      <c r="C1261" s="66" t="str">
        <f>IF(Sixth!C14="", "",Sixth!C14)</f>
        <v>Carer</v>
      </c>
      <c r="D1261" s="66" t="str">
        <f>IF(Sixth!D14="", "",Sixth!D14)</f>
        <v>Returning</v>
      </c>
      <c r="E1261" s="66" t="str">
        <f>IF(Sixth!E14="", "",Sixth!E14)</f>
        <v>Female</v>
      </c>
      <c r="F1261" s="66" t="str">
        <f>IF(Sixth!F14="", "",Sixth!F14)</f>
        <v>Haemat</v>
      </c>
      <c r="G1261" s="66" t="str">
        <f>IF(Sixth!G14="", "",Sixth!G14)</f>
        <v>Not Stated</v>
      </c>
      <c r="H1261" s="66" t="str">
        <f>IF(Sixth!H14="", "",Sixth!H14)</f>
        <v>Programme</v>
      </c>
      <c r="I1261" s="66" t="str">
        <f>IF(Sixth!I14="", "",Sixth!I14)</f>
        <v>Nutrition</v>
      </c>
      <c r="J1261" s="66" t="str">
        <f>IF(Sixth!J14="", "",Sixth!J14)</f>
        <v/>
      </c>
      <c r="K1261" s="86" t="str">
        <f>IF(Sixth!K14="", "",Sixth!K14)</f>
        <v/>
      </c>
      <c r="M1261" s="67" t="str">
        <f t="shared" si="59"/>
        <v/>
      </c>
      <c r="N1261" s="76">
        <f t="shared" si="60"/>
        <v>7</v>
      </c>
      <c r="O1261" s="33">
        <f t="shared" si="58"/>
        <v>7</v>
      </c>
    </row>
    <row r="1262" spans="1:15" x14ac:dyDescent="0.25">
      <c r="A1262" s="64" t="s">
        <v>206</v>
      </c>
      <c r="B1262" s="79" t="str">
        <f>IF(Sixth!B15="", "",Sixth!B15)</f>
        <v>Sessional Staff</v>
      </c>
      <c r="C1262" s="66" t="str">
        <f>IF(Sixth!C15="", "",Sixth!C15)</f>
        <v>PwC</v>
      </c>
      <c r="D1262" s="66" t="str">
        <f>IF(Sixth!D15="", "",Sixth!D15)</f>
        <v>Returning</v>
      </c>
      <c r="E1262" s="66" t="str">
        <f>IF(Sixth!E15="", "",Sixth!E15)</f>
        <v>Male</v>
      </c>
      <c r="F1262" s="66" t="str">
        <f>IF(Sixth!F15="", "",Sixth!F15)</f>
        <v>Haemat</v>
      </c>
      <c r="G1262" s="66" t="str">
        <f>IF(Sixth!G15="", "",Sixth!G15)</f>
        <v>Not Stated</v>
      </c>
      <c r="H1262" s="66" t="str">
        <f>IF(Sixth!H15="", "",Sixth!H15)</f>
        <v>Programme</v>
      </c>
      <c r="I1262" s="66" t="str">
        <f>IF(Sixth!I15="", "",Sixth!I15)</f>
        <v>Nutrition</v>
      </c>
      <c r="J1262" s="66" t="str">
        <f>IF(Sixth!J15="", "",Sixth!J15)</f>
        <v/>
      </c>
      <c r="K1262" s="86" t="str">
        <f>IF(Sixth!K15="", "",Sixth!K15)</f>
        <v/>
      </c>
      <c r="M1262" s="67">
        <f t="shared" si="59"/>
        <v>7</v>
      </c>
      <c r="N1262" s="76" t="str">
        <f t="shared" si="60"/>
        <v/>
      </c>
      <c r="O1262" s="33">
        <f t="shared" si="58"/>
        <v>7</v>
      </c>
    </row>
    <row r="1263" spans="1:15" x14ac:dyDescent="0.25">
      <c r="A1263" s="64" t="s">
        <v>206</v>
      </c>
      <c r="B1263" s="79" t="str">
        <f>IF(Sixth!B16="", "",Sixth!B16)</f>
        <v>Sessional Staff</v>
      </c>
      <c r="C1263" s="66" t="str">
        <f>IF(Sixth!C16="", "",Sixth!C16)</f>
        <v>Carer</v>
      </c>
      <c r="D1263" s="66" t="str">
        <f>IF(Sixth!D16="", "",Sixth!D16)</f>
        <v>Returning</v>
      </c>
      <c r="E1263" s="66" t="str">
        <f>IF(Sixth!E16="", "",Sixth!E16)</f>
        <v>Male</v>
      </c>
      <c r="F1263" s="66" t="str">
        <f>IF(Sixth!F16="", "",Sixth!F16)</f>
        <v>Gynae</v>
      </c>
      <c r="G1263" s="66" t="str">
        <f>IF(Sixth!G16="", "",Sixth!G16)</f>
        <v>Not Stated</v>
      </c>
      <c r="H1263" s="66" t="str">
        <f>IF(Sixth!H16="", "",Sixth!H16)</f>
        <v>Programme</v>
      </c>
      <c r="I1263" s="66" t="str">
        <f>IF(Sixth!I16="", "",Sixth!I16)</f>
        <v>Nutrition</v>
      </c>
      <c r="J1263" s="66" t="str">
        <f>IF(Sixth!J16="", "",Sixth!J16)</f>
        <v/>
      </c>
      <c r="K1263" s="86" t="str">
        <f>IF(Sixth!K16="", "",Sixth!K16)</f>
        <v/>
      </c>
      <c r="M1263" s="67" t="str">
        <f t="shared" si="59"/>
        <v/>
      </c>
      <c r="N1263" s="76">
        <f t="shared" si="60"/>
        <v>7</v>
      </c>
      <c r="O1263" s="33">
        <f t="shared" si="58"/>
        <v>7</v>
      </c>
    </row>
    <row r="1264" spans="1:15" x14ac:dyDescent="0.25">
      <c r="A1264" s="64" t="s">
        <v>206</v>
      </c>
      <c r="B1264" s="79" t="str">
        <f>IF(Sixth!B17="", "",Sixth!B17)</f>
        <v>Sessional Staff</v>
      </c>
      <c r="C1264" s="66" t="str">
        <f>IF(Sixth!C17="", "",Sixth!C17)</f>
        <v>PwC</v>
      </c>
      <c r="D1264" s="66" t="str">
        <f>IF(Sixth!D17="", "",Sixth!D17)</f>
        <v>Returning</v>
      </c>
      <c r="E1264" s="66" t="str">
        <f>IF(Sixth!E17="", "",Sixth!E17)</f>
        <v>Male</v>
      </c>
      <c r="F1264" s="66" t="str">
        <f>IF(Sixth!F17="", "",Sixth!F17)</f>
        <v>Haemat</v>
      </c>
      <c r="G1264" s="66" t="str">
        <f>IF(Sixth!G17="", "",Sixth!G17)</f>
        <v>Not Stated</v>
      </c>
      <c r="H1264" s="66" t="str">
        <f>IF(Sixth!H17="", "",Sixth!H17)</f>
        <v>Programme</v>
      </c>
      <c r="I1264" s="66" t="str">
        <f>IF(Sixth!I17="", "",Sixth!I17)</f>
        <v>Nutrition</v>
      </c>
      <c r="J1264" s="66" t="str">
        <f>IF(Sixth!J17="", "",Sixth!J17)</f>
        <v/>
      </c>
      <c r="K1264" s="86" t="str">
        <f>IF(Sixth!K17="", "",Sixth!K17)</f>
        <v/>
      </c>
      <c r="M1264" s="67">
        <f t="shared" si="59"/>
        <v>7</v>
      </c>
      <c r="N1264" s="76" t="str">
        <f t="shared" si="60"/>
        <v/>
      </c>
      <c r="O1264" s="33">
        <f t="shared" si="58"/>
        <v>7</v>
      </c>
    </row>
    <row r="1265" spans="1:15" x14ac:dyDescent="0.25">
      <c r="A1265" s="64" t="s">
        <v>206</v>
      </c>
      <c r="B1265" s="79" t="str">
        <f>IF(Sixth!B18="", "",Sixth!B18)</f>
        <v>Sessional Staff</v>
      </c>
      <c r="C1265" s="66" t="str">
        <f>IF(Sixth!C18="", "",Sixth!C18)</f>
        <v>Carer</v>
      </c>
      <c r="D1265" s="66" t="str">
        <f>IF(Sixth!D18="", "",Sixth!D18)</f>
        <v>Returning</v>
      </c>
      <c r="E1265" s="66" t="str">
        <f>IF(Sixth!E18="", "",Sixth!E18)</f>
        <v>Female</v>
      </c>
      <c r="F1265" s="66" t="str">
        <f>IF(Sixth!F18="", "",Sixth!F18)</f>
        <v>Liver</v>
      </c>
      <c r="G1265" s="66" t="str">
        <f>IF(Sixth!G18="", "",Sixth!G18)</f>
        <v>Not Stated</v>
      </c>
      <c r="H1265" s="66" t="str">
        <f>IF(Sixth!H18="", "",Sixth!H18)</f>
        <v>Programme</v>
      </c>
      <c r="I1265" s="66" t="str">
        <f>IF(Sixth!I18="", "",Sixth!I18)</f>
        <v>Nutrition</v>
      </c>
      <c r="J1265" s="66" t="str">
        <f>IF(Sixth!J18="", "",Sixth!J18)</f>
        <v/>
      </c>
      <c r="K1265" s="86" t="str">
        <f>IF(Sixth!K18="", "",Sixth!K18)</f>
        <v/>
      </c>
      <c r="M1265" s="67" t="str">
        <f t="shared" si="59"/>
        <v/>
      </c>
      <c r="N1265" s="76">
        <f t="shared" si="60"/>
        <v>7</v>
      </c>
      <c r="O1265" s="33">
        <f t="shared" si="58"/>
        <v>7</v>
      </c>
    </row>
    <row r="1266" spans="1:15" x14ac:dyDescent="0.25">
      <c r="A1266" s="64" t="s">
        <v>206</v>
      </c>
      <c r="B1266" s="79" t="str">
        <f>IF(Sixth!B19="", "",Sixth!B19)</f>
        <v>Sessional Staff</v>
      </c>
      <c r="C1266" s="66" t="str">
        <f>IF(Sixth!C19="", "",Sixth!C19)</f>
        <v>PwC</v>
      </c>
      <c r="D1266" s="66" t="str">
        <f>IF(Sixth!D19="", "",Sixth!D19)</f>
        <v>Returning</v>
      </c>
      <c r="E1266" s="66" t="str">
        <f>IF(Sixth!E19="", "",Sixth!E19)</f>
        <v>Female</v>
      </c>
      <c r="F1266" s="66" t="str">
        <f>IF(Sixth!F19="", "",Sixth!F19)</f>
        <v>Breast</v>
      </c>
      <c r="G1266" s="66" t="str">
        <f>IF(Sixth!G19="", "",Sixth!G19)</f>
        <v>Not Stated</v>
      </c>
      <c r="H1266" s="66" t="str">
        <f>IF(Sixth!H19="", "",Sixth!H19)</f>
        <v>Programme</v>
      </c>
      <c r="I1266" s="66" t="str">
        <f>IF(Sixth!I19="", "",Sixth!I19)</f>
        <v>Nutrition</v>
      </c>
      <c r="J1266" s="66" t="str">
        <f>IF(Sixth!J19="", "",Sixth!J19)</f>
        <v/>
      </c>
      <c r="K1266" s="86" t="str">
        <f>IF(Sixth!K19="", "",Sixth!K19)</f>
        <v/>
      </c>
      <c r="M1266" s="67">
        <f t="shared" si="59"/>
        <v>7</v>
      </c>
      <c r="N1266" s="76" t="str">
        <f t="shared" si="60"/>
        <v/>
      </c>
      <c r="O1266" s="33">
        <f t="shared" si="58"/>
        <v>7</v>
      </c>
    </row>
    <row r="1267" spans="1:15" x14ac:dyDescent="0.25">
      <c r="A1267" s="64" t="s">
        <v>206</v>
      </c>
      <c r="B1267" s="79" t="str">
        <f>IF(Sixth!B20="", "",Sixth!B20)</f>
        <v>Psychologist</v>
      </c>
      <c r="C1267" s="66" t="str">
        <f>IF(Sixth!C20="", "",Sixth!C20)</f>
        <v>Carer</v>
      </c>
      <c r="D1267" s="66" t="str">
        <f>IF(Sixth!D20="", "",Sixth!D20)</f>
        <v>Returning</v>
      </c>
      <c r="E1267" s="66" t="str">
        <f>IF(Sixth!E20="", "",Sixth!E20)</f>
        <v>Female</v>
      </c>
      <c r="F1267" s="66" t="str">
        <f>IF(Sixth!F20="", "",Sixth!F20)</f>
        <v>Lung</v>
      </c>
      <c r="G1267" s="66" t="str">
        <f>IF(Sixth!G20="", "",Sixth!G20)</f>
        <v>Bereaved</v>
      </c>
      <c r="H1267" s="66" t="str">
        <f>IF(Sixth!H20="", "",Sixth!H20)</f>
        <v>Booked</v>
      </c>
      <c r="I1267" s="66" t="str">
        <f>IF(Sixth!I20="", "",Sixth!I20)</f>
        <v>Psych Support - Individual</v>
      </c>
      <c r="J1267" s="66" t="str">
        <f>IF(Sixth!J20="", "",Sixth!J20)</f>
        <v/>
      </c>
      <c r="K1267" s="86" t="str">
        <f>IF(Sixth!K20="", "",Sixth!K20)</f>
        <v/>
      </c>
      <c r="M1267" s="67" t="str">
        <f t="shared" si="59"/>
        <v/>
      </c>
      <c r="N1267" s="76">
        <f t="shared" si="60"/>
        <v>7</v>
      </c>
      <c r="O1267" s="33">
        <f t="shared" si="58"/>
        <v>7</v>
      </c>
    </row>
    <row r="1268" spans="1:15" x14ac:dyDescent="0.25">
      <c r="A1268" s="64" t="s">
        <v>206</v>
      </c>
      <c r="B1268" s="79" t="str">
        <f>IF(Sixth!B21="", "",Sixth!B21)</f>
        <v>Psychologist</v>
      </c>
      <c r="C1268" s="66" t="str">
        <f>IF(Sixth!C21="", "",Sixth!C21)</f>
        <v>Carer</v>
      </c>
      <c r="D1268" s="66" t="str">
        <f>IF(Sixth!D21="", "",Sixth!D21)</f>
        <v>Returning</v>
      </c>
      <c r="E1268" s="66" t="str">
        <f>IF(Sixth!E21="", "",Sixth!E21)</f>
        <v>Female</v>
      </c>
      <c r="F1268" s="66" t="str">
        <f>IF(Sixth!F21="", "",Sixth!F21)</f>
        <v>Brain/CNS</v>
      </c>
      <c r="G1268" s="66" t="str">
        <f>IF(Sixth!G21="", "",Sixth!G21)</f>
        <v>Non-Curative Intent</v>
      </c>
      <c r="H1268" s="66" t="str">
        <f>IF(Sixth!H21="", "",Sixth!H21)</f>
        <v>Booked</v>
      </c>
      <c r="I1268" s="66" t="str">
        <f>IF(Sixth!I21="", "",Sixth!I21)</f>
        <v>Psych Support - Individual</v>
      </c>
      <c r="J1268" s="66" t="str">
        <f>IF(Sixth!J21="", "",Sixth!J21)</f>
        <v/>
      </c>
      <c r="K1268" s="86" t="str">
        <f>IF(Sixth!K21="", "",Sixth!K21)</f>
        <v/>
      </c>
      <c r="M1268" s="67" t="str">
        <f t="shared" si="59"/>
        <v/>
      </c>
      <c r="N1268" s="76">
        <f t="shared" si="60"/>
        <v>7</v>
      </c>
      <c r="O1268" s="33">
        <f t="shared" si="58"/>
        <v>7</v>
      </c>
    </row>
    <row r="1269" spans="1:15" x14ac:dyDescent="0.25">
      <c r="A1269" s="64" t="s">
        <v>206</v>
      </c>
      <c r="B1269" s="79" t="str">
        <f>IF(Sixth!B22="", "",Sixth!B22)</f>
        <v>Psychologist</v>
      </c>
      <c r="C1269" s="66" t="str">
        <f>IF(Sixth!C22="", "",Sixth!C22)</f>
        <v>Carer</v>
      </c>
      <c r="D1269" s="66" t="str">
        <f>IF(Sixth!D22="", "",Sixth!D22)</f>
        <v>Returning</v>
      </c>
      <c r="E1269" s="66" t="str">
        <f>IF(Sixth!E22="", "",Sixth!E22)</f>
        <v>Male</v>
      </c>
      <c r="F1269" s="66" t="str">
        <f>IF(Sixth!F22="", "",Sixth!F22)</f>
        <v>Brain/CNS</v>
      </c>
      <c r="G1269" s="66" t="str">
        <f>IF(Sixth!G22="", "",Sixth!G22)</f>
        <v>Non-Curative Intent</v>
      </c>
      <c r="H1269" s="66" t="str">
        <f>IF(Sixth!H22="", "",Sixth!H22)</f>
        <v>Booked</v>
      </c>
      <c r="I1269" s="66" t="str">
        <f>IF(Sixth!I22="", "",Sixth!I22)</f>
        <v>Psych Support - Individual</v>
      </c>
      <c r="J1269" s="66" t="str">
        <f>IF(Sixth!J22="", "",Sixth!J22)</f>
        <v/>
      </c>
      <c r="K1269" s="86" t="str">
        <f>IF(Sixth!K22="", "",Sixth!K22)</f>
        <v/>
      </c>
      <c r="M1269" s="67" t="str">
        <f t="shared" si="59"/>
        <v/>
      </c>
      <c r="N1269" s="76">
        <f t="shared" si="60"/>
        <v>7</v>
      </c>
      <c r="O1269" s="33">
        <f t="shared" si="58"/>
        <v>7</v>
      </c>
    </row>
    <row r="1270" spans="1:15" x14ac:dyDescent="0.25">
      <c r="A1270" s="64" t="s">
        <v>206</v>
      </c>
      <c r="B1270" s="79" t="str">
        <f>IF(Sixth!B23="", "",Sixth!B23)</f>
        <v>CSS</v>
      </c>
      <c r="C1270" s="66" t="str">
        <f>IF(Sixth!C23="", "",Sixth!C23)</f>
        <v>PwC</v>
      </c>
      <c r="D1270" s="66" t="str">
        <f>IF(Sixth!D23="", "",Sixth!D23)</f>
        <v>New</v>
      </c>
      <c r="E1270" s="66" t="str">
        <f>IF(Sixth!E23="", "",Sixth!E23)</f>
        <v>Female</v>
      </c>
      <c r="F1270" s="66" t="str">
        <f>IF(Sixth!F23="", "",Sixth!F23)</f>
        <v>Gynae</v>
      </c>
      <c r="G1270" s="66" t="str">
        <f>IF(Sixth!G23="", "",Sixth!G23)</f>
        <v>Non-Curative Intent</v>
      </c>
      <c r="H1270" s="66" t="str">
        <f>IF(Sixth!H23="", "",Sixth!H23)</f>
        <v>Drop-In</v>
      </c>
      <c r="I1270" s="66" t="str">
        <f>IF(Sixth!I23="", "",Sixth!I23)</f>
        <v/>
      </c>
      <c r="J1270" s="66" t="str">
        <f>IF(Sixth!J23="", "",Sixth!J23)</f>
        <v/>
      </c>
      <c r="K1270" s="86" t="str">
        <f>IF(Sixth!K23="", "",Sixth!K23)</f>
        <v/>
      </c>
      <c r="M1270" s="67">
        <f t="shared" si="59"/>
        <v>7</v>
      </c>
      <c r="N1270" s="76" t="str">
        <f t="shared" si="60"/>
        <v/>
      </c>
      <c r="O1270" s="33">
        <f t="shared" si="58"/>
        <v>7</v>
      </c>
    </row>
    <row r="1271" spans="1:15" x14ac:dyDescent="0.25">
      <c r="A1271" s="64" t="s">
        <v>206</v>
      </c>
      <c r="B1271" s="79" t="str">
        <f>IF(Sixth!B24="", "",Sixth!B24)</f>
        <v>CSS</v>
      </c>
      <c r="C1271" s="66" t="str">
        <f>IF(Sixth!C24="", "",Sixth!C24)</f>
        <v>Carer</v>
      </c>
      <c r="D1271" s="66" t="str">
        <f>IF(Sixth!D24="", "",Sixth!D24)</f>
        <v>New</v>
      </c>
      <c r="E1271" s="66" t="str">
        <f>IF(Sixth!E24="", "",Sixth!E24)</f>
        <v>Female</v>
      </c>
      <c r="F1271" s="66" t="str">
        <f>IF(Sixth!F24="", "",Sixth!F24)</f>
        <v>Gynae</v>
      </c>
      <c r="G1271" s="66" t="str">
        <f>IF(Sixth!G24="", "",Sixth!G24)</f>
        <v>Non-Curative Intent</v>
      </c>
      <c r="H1271" s="66" t="str">
        <f>IF(Sixth!H24="", "",Sixth!H24)</f>
        <v>Drop-In</v>
      </c>
      <c r="I1271" s="66" t="str">
        <f>IF(Sixth!I24="", "",Sixth!I24)</f>
        <v/>
      </c>
      <c r="J1271" s="66" t="str">
        <f>IF(Sixth!J24="", "",Sixth!J24)</f>
        <v/>
      </c>
      <c r="K1271" s="86" t="str">
        <f>IF(Sixth!K24="", "",Sixth!K24)</f>
        <v/>
      </c>
      <c r="M1271" s="67" t="str">
        <f t="shared" si="59"/>
        <v/>
      </c>
      <c r="N1271" s="76">
        <f t="shared" si="60"/>
        <v>7</v>
      </c>
      <c r="O1271" s="33">
        <f t="shared" si="58"/>
        <v>7</v>
      </c>
    </row>
    <row r="1272" spans="1:15" x14ac:dyDescent="0.25">
      <c r="A1272" s="64" t="s">
        <v>206</v>
      </c>
      <c r="B1272" s="79" t="str">
        <f>IF(Sixth!B25="", "",Sixth!B25)</f>
        <v>CSS</v>
      </c>
      <c r="C1272" s="66" t="str">
        <f>IF(Sixth!C25="", "",Sixth!C25)</f>
        <v>PwC</v>
      </c>
      <c r="D1272" s="66" t="str">
        <f>IF(Sixth!D25="", "",Sixth!D25)</f>
        <v>Returning</v>
      </c>
      <c r="E1272" s="66" t="str">
        <f>IF(Sixth!E25="", "",Sixth!E25)</f>
        <v>Female</v>
      </c>
      <c r="F1272" s="66" t="str">
        <f>IF(Sixth!F25="", "",Sixth!F25)</f>
        <v>Breast</v>
      </c>
      <c r="G1272" s="66" t="str">
        <f>IF(Sixth!G25="", "",Sixth!G25)</f>
        <v>Curative Intent</v>
      </c>
      <c r="H1272" s="66" t="str">
        <f>IF(Sixth!H25="", "",Sixth!H25)</f>
        <v>Booked</v>
      </c>
      <c r="I1272" s="66" t="str">
        <f>IF(Sixth!I25="", "",Sixth!I25)</f>
        <v>Psych Support - Family</v>
      </c>
      <c r="J1272" s="66" t="str">
        <f>IF(Sixth!J25="", "",Sixth!J25)</f>
        <v/>
      </c>
      <c r="K1272" s="86" t="str">
        <f>IF(Sixth!K25="", "",Sixth!K25)</f>
        <v/>
      </c>
      <c r="M1272" s="67">
        <f t="shared" si="59"/>
        <v>7</v>
      </c>
      <c r="N1272" s="76" t="str">
        <f t="shared" si="60"/>
        <v/>
      </c>
      <c r="O1272" s="33">
        <f t="shared" si="58"/>
        <v>7</v>
      </c>
    </row>
    <row r="1273" spans="1:15" x14ac:dyDescent="0.25">
      <c r="A1273" s="64" t="s">
        <v>206</v>
      </c>
      <c r="B1273" s="79" t="str">
        <f>IF(Sixth!B26="", "",Sixth!B26)</f>
        <v>CSS</v>
      </c>
      <c r="C1273" s="66" t="str">
        <f>IF(Sixth!C26="", "",Sixth!C26)</f>
        <v>Carer</v>
      </c>
      <c r="D1273" s="66" t="str">
        <f>IF(Sixth!D26="", "",Sixth!D26)</f>
        <v>New</v>
      </c>
      <c r="E1273" s="66" t="str">
        <f>IF(Sixth!E26="", "",Sixth!E26)</f>
        <v>Female</v>
      </c>
      <c r="F1273" s="66" t="str">
        <f>IF(Sixth!F26="", "",Sixth!F26)</f>
        <v>Breast</v>
      </c>
      <c r="G1273" s="66" t="str">
        <f>IF(Sixth!G26="", "",Sixth!G26)</f>
        <v>Curative Intent</v>
      </c>
      <c r="H1273" s="66" t="str">
        <f>IF(Sixth!H26="", "",Sixth!H26)</f>
        <v>Booked</v>
      </c>
      <c r="I1273" s="66" t="str">
        <f>IF(Sixth!I26="", "",Sixth!I26)</f>
        <v>Psych Support - Family</v>
      </c>
      <c r="J1273" s="66" t="str">
        <f>IF(Sixth!J26="", "",Sixth!J26)</f>
        <v/>
      </c>
      <c r="K1273" s="86" t="str">
        <f>IF(Sixth!K26="", "",Sixth!K26)</f>
        <v/>
      </c>
      <c r="M1273" s="67" t="str">
        <f t="shared" si="59"/>
        <v/>
      </c>
      <c r="N1273" s="76">
        <f t="shared" si="60"/>
        <v>7</v>
      </c>
      <c r="O1273" s="33">
        <f t="shared" si="58"/>
        <v>7</v>
      </c>
    </row>
    <row r="1274" spans="1:15" x14ac:dyDescent="0.25">
      <c r="A1274" s="64" t="s">
        <v>206</v>
      </c>
      <c r="B1274" s="79" t="str">
        <f>IF(Sixth!B27="", "",Sixth!B27)</f>
        <v>CSS</v>
      </c>
      <c r="C1274" s="66" t="str">
        <f>IF(Sixth!C27="", "",Sixth!C27)</f>
        <v>Carer</v>
      </c>
      <c r="D1274" s="66" t="str">
        <f>IF(Sixth!D27="", "",Sixth!D27)</f>
        <v>New</v>
      </c>
      <c r="E1274" s="66" t="str">
        <f>IF(Sixth!E27="", "",Sixth!E27)</f>
        <v>Male</v>
      </c>
      <c r="F1274" s="66" t="str">
        <f>IF(Sixth!F27="", "",Sixth!F27)</f>
        <v>Breast</v>
      </c>
      <c r="G1274" s="66" t="str">
        <f>IF(Sixth!G27="", "",Sixth!G27)</f>
        <v>Curative Intent</v>
      </c>
      <c r="H1274" s="66" t="str">
        <f>IF(Sixth!H27="", "",Sixth!H27)</f>
        <v>Booked</v>
      </c>
      <c r="I1274" s="66" t="str">
        <f>IF(Sixth!I27="", "",Sixth!I27)</f>
        <v>Psych Support - Family</v>
      </c>
      <c r="J1274" s="66" t="str">
        <f>IF(Sixth!J27="", "",Sixth!J27)</f>
        <v/>
      </c>
      <c r="K1274" s="86" t="str">
        <f>IF(Sixth!K27="", "",Sixth!K27)</f>
        <v/>
      </c>
      <c r="M1274" s="67" t="str">
        <f t="shared" si="59"/>
        <v/>
      </c>
      <c r="N1274" s="76">
        <f t="shared" si="60"/>
        <v>7</v>
      </c>
      <c r="O1274" s="33">
        <f t="shared" si="58"/>
        <v>7</v>
      </c>
    </row>
    <row r="1275" spans="1:15" x14ac:dyDescent="0.25">
      <c r="A1275" s="64" t="s">
        <v>206</v>
      </c>
      <c r="B1275" s="79" t="str">
        <f>IF(Sixth!B28="", "",Sixth!B28)</f>
        <v>CSS</v>
      </c>
      <c r="C1275" s="66" t="str">
        <f>IF(Sixth!C28="", "",Sixth!C28)</f>
        <v>PwC</v>
      </c>
      <c r="D1275" s="66" t="str">
        <f>IF(Sixth!D28="", "",Sixth!D28)</f>
        <v>Returning</v>
      </c>
      <c r="E1275" s="66" t="str">
        <f>IF(Sixth!E28="", "",Sixth!E28)</f>
        <v>Female</v>
      </c>
      <c r="F1275" s="66" t="str">
        <f>IF(Sixth!F28="", "",Sixth!F28)</f>
        <v>Breast</v>
      </c>
      <c r="G1275" s="66" t="str">
        <f>IF(Sixth!G28="", "",Sixth!G28)</f>
        <v>Curative Intent</v>
      </c>
      <c r="H1275" s="66" t="str">
        <f>IF(Sixth!H28="", "",Sixth!H28)</f>
        <v>Drop-In</v>
      </c>
      <c r="I1275" s="66" t="str">
        <f>IF(Sixth!I28="", "",Sixth!I28)</f>
        <v/>
      </c>
      <c r="J1275" s="66" t="str">
        <f>IF(Sixth!J28="", "",Sixth!J28)</f>
        <v/>
      </c>
      <c r="K1275" s="86" t="str">
        <f>IF(Sixth!K28="", "",Sixth!K28)</f>
        <v/>
      </c>
      <c r="M1275" s="67">
        <f t="shared" si="59"/>
        <v>7</v>
      </c>
      <c r="N1275" s="76" t="str">
        <f t="shared" si="60"/>
        <v/>
      </c>
      <c r="O1275" s="33">
        <f t="shared" si="58"/>
        <v>7</v>
      </c>
    </row>
    <row r="1276" spans="1:15" x14ac:dyDescent="0.25">
      <c r="A1276" s="64" t="s">
        <v>206</v>
      </c>
      <c r="B1276" s="79" t="str">
        <f>IF(Sixth!B29="", "",Sixth!B29)</f>
        <v>CSS</v>
      </c>
      <c r="C1276" s="66" t="str">
        <f>IF(Sixth!C29="", "",Sixth!C29)</f>
        <v>Carer</v>
      </c>
      <c r="D1276" s="66" t="str">
        <f>IF(Sixth!D29="", "",Sixth!D29)</f>
        <v>Returning</v>
      </c>
      <c r="E1276" s="66" t="str">
        <f>IF(Sixth!E29="", "",Sixth!E29)</f>
        <v>Female</v>
      </c>
      <c r="F1276" s="66" t="str">
        <f>IF(Sixth!F29="", "",Sixth!F29)</f>
        <v>Breast</v>
      </c>
      <c r="G1276" s="66" t="str">
        <f>IF(Sixth!G29="", "",Sixth!G29)</f>
        <v>Curative Intent</v>
      </c>
      <c r="H1276" s="66" t="str">
        <f>IF(Sixth!H29="", "",Sixth!H29)</f>
        <v>Drop-In</v>
      </c>
      <c r="I1276" s="66" t="str">
        <f>IF(Sixth!I29="", "",Sixth!I29)</f>
        <v/>
      </c>
      <c r="J1276" s="66" t="str">
        <f>IF(Sixth!J29="", "",Sixth!J29)</f>
        <v/>
      </c>
      <c r="K1276" s="86" t="str">
        <f>IF(Sixth!K29="", "",Sixth!K29)</f>
        <v/>
      </c>
      <c r="M1276" s="67" t="str">
        <f t="shared" si="59"/>
        <v/>
      </c>
      <c r="N1276" s="76">
        <f t="shared" si="60"/>
        <v>7</v>
      </c>
      <c r="O1276" s="33">
        <f t="shared" si="58"/>
        <v>7</v>
      </c>
    </row>
    <row r="1277" spans="1:15" x14ac:dyDescent="0.25">
      <c r="A1277" s="64" t="s">
        <v>206</v>
      </c>
      <c r="B1277" s="79" t="str">
        <f>IF(Sixth!B30="", "",Sixth!B30)</f>
        <v>CSS</v>
      </c>
      <c r="C1277" s="66" t="str">
        <f>IF(Sixth!C30="", "",Sixth!C30)</f>
        <v>PwC</v>
      </c>
      <c r="D1277" s="66" t="str">
        <f>IF(Sixth!D30="", "",Sixth!D30)</f>
        <v>Returning</v>
      </c>
      <c r="E1277" s="66" t="str">
        <f>IF(Sixth!E30="", "",Sixth!E30)</f>
        <v>Female</v>
      </c>
      <c r="F1277" s="66" t="str">
        <f>IF(Sixth!F30="", "",Sixth!F30)</f>
        <v>Lower GI</v>
      </c>
      <c r="G1277" s="66" t="str">
        <f>IF(Sixth!G30="", "",Sixth!G30)</f>
        <v>Bereaved</v>
      </c>
      <c r="H1277" s="66" t="str">
        <f>IF(Sixth!H30="", "",Sixth!H30)</f>
        <v>Booked</v>
      </c>
      <c r="I1277" s="66" t="str">
        <f>IF(Sixth!I30="", "",Sixth!I30)</f>
        <v>Psych Support - Individual</v>
      </c>
      <c r="J1277" s="66" t="str">
        <f>IF(Sixth!J30="", "",Sixth!J30)</f>
        <v/>
      </c>
      <c r="K1277" s="86" t="str">
        <f>IF(Sixth!K30="", "",Sixth!K30)</f>
        <v/>
      </c>
      <c r="M1277" s="67">
        <f t="shared" si="59"/>
        <v>7</v>
      </c>
      <c r="N1277" s="76" t="str">
        <f t="shared" si="60"/>
        <v/>
      </c>
      <c r="O1277" s="33">
        <f t="shared" si="58"/>
        <v>7</v>
      </c>
    </row>
    <row r="1278" spans="1:15" x14ac:dyDescent="0.25">
      <c r="A1278" s="64" t="s">
        <v>206</v>
      </c>
      <c r="B1278" s="79" t="str">
        <f>IF(Sixth!B31="", "",Sixth!B31)</f>
        <v>Psychologist</v>
      </c>
      <c r="C1278" s="66" t="str">
        <f>IF(Sixth!C31="", "",Sixth!C31)</f>
        <v>PwC</v>
      </c>
      <c r="D1278" s="66" t="str">
        <f>IF(Sixth!D31="", "",Sixth!D31)</f>
        <v>New</v>
      </c>
      <c r="E1278" s="66" t="str">
        <f>IF(Sixth!E31="", "",Sixth!E31)</f>
        <v>Female</v>
      </c>
      <c r="F1278" s="66" t="str">
        <f>IF(Sixth!F31="", "",Sixth!F31)</f>
        <v>Breast</v>
      </c>
      <c r="G1278" s="66" t="str">
        <f>IF(Sixth!G31="", "",Sixth!G31)</f>
        <v>Post Treatment - Curative Intent</v>
      </c>
      <c r="H1278" s="66" t="str">
        <f>IF(Sixth!H31="", "",Sixth!H31)</f>
        <v>Programme</v>
      </c>
      <c r="I1278" s="66" t="str">
        <f>IF(Sixth!I31="", "",Sixth!I31)</f>
        <v>Where Now?</v>
      </c>
      <c r="J1278" s="66" t="str">
        <f>IF(Sixth!J31="", "",Sixth!J31)</f>
        <v/>
      </c>
      <c r="K1278" s="86" t="str">
        <f>IF(Sixth!K31="", "",Sixth!K31)</f>
        <v/>
      </c>
      <c r="M1278" s="67">
        <f t="shared" si="59"/>
        <v>7</v>
      </c>
      <c r="N1278" s="76" t="str">
        <f t="shared" si="60"/>
        <v/>
      </c>
      <c r="O1278" s="33">
        <f t="shared" si="58"/>
        <v>7</v>
      </c>
    </row>
    <row r="1279" spans="1:15" x14ac:dyDescent="0.25">
      <c r="A1279" s="64" t="s">
        <v>206</v>
      </c>
      <c r="B1279" s="79" t="str">
        <f>IF(Sixth!B32="", "",Sixth!B32)</f>
        <v>Psychologist</v>
      </c>
      <c r="C1279" s="66" t="str">
        <f>IF(Sixth!C32="", "",Sixth!C32)</f>
        <v>PwC</v>
      </c>
      <c r="D1279" s="66" t="str">
        <f>IF(Sixth!D32="", "",Sixth!D32)</f>
        <v>New</v>
      </c>
      <c r="E1279" s="66" t="str">
        <f>IF(Sixth!E32="", "",Sixth!E32)</f>
        <v>Female</v>
      </c>
      <c r="F1279" s="66" t="str">
        <f>IF(Sixth!F32="", "",Sixth!F32)</f>
        <v>Breast</v>
      </c>
      <c r="G1279" s="66" t="str">
        <f>IF(Sixth!G32="", "",Sixth!G32)</f>
        <v>Post Treatment - Curative Intent</v>
      </c>
      <c r="H1279" s="66" t="str">
        <f>IF(Sixth!H32="", "",Sixth!H32)</f>
        <v>Programme</v>
      </c>
      <c r="I1279" s="66" t="str">
        <f>IF(Sixth!I32="", "",Sixth!I32)</f>
        <v>Where Now?</v>
      </c>
      <c r="J1279" s="66" t="str">
        <f>IF(Sixth!J32="", "",Sixth!J32)</f>
        <v/>
      </c>
      <c r="K1279" s="86" t="str">
        <f>IF(Sixth!K32="", "",Sixth!K32)</f>
        <v/>
      </c>
      <c r="M1279" s="67">
        <f t="shared" si="59"/>
        <v>7</v>
      </c>
      <c r="N1279" s="76" t="str">
        <f t="shared" si="60"/>
        <v/>
      </c>
      <c r="O1279" s="33">
        <f t="shared" si="58"/>
        <v>7</v>
      </c>
    </row>
    <row r="1280" spans="1:15" x14ac:dyDescent="0.25">
      <c r="A1280" s="64" t="s">
        <v>206</v>
      </c>
      <c r="B1280" s="79" t="str">
        <f>IF(Sixth!B33="", "",Sixth!B33)</f>
        <v>Psychologist</v>
      </c>
      <c r="C1280" s="66" t="str">
        <f>IF(Sixth!C33="", "",Sixth!C33)</f>
        <v>PwC</v>
      </c>
      <c r="D1280" s="66" t="str">
        <f>IF(Sixth!D33="", "",Sixth!D33)</f>
        <v>Returning</v>
      </c>
      <c r="E1280" s="66" t="str">
        <f>IF(Sixth!E33="", "",Sixth!E33)</f>
        <v>Female</v>
      </c>
      <c r="F1280" s="66" t="str">
        <f>IF(Sixth!F33="", "",Sixth!F33)</f>
        <v>Breast</v>
      </c>
      <c r="G1280" s="66" t="str">
        <f>IF(Sixth!G33="", "",Sixth!G33)</f>
        <v>Post Treatment - Curative Intent</v>
      </c>
      <c r="H1280" s="66" t="str">
        <f>IF(Sixth!H33="", "",Sixth!H33)</f>
        <v>Programme</v>
      </c>
      <c r="I1280" s="66" t="str">
        <f>IF(Sixth!I33="", "",Sixth!I33)</f>
        <v>Where Now?</v>
      </c>
      <c r="J1280" s="66" t="str">
        <f>IF(Sixth!J33="", "",Sixth!J33)</f>
        <v/>
      </c>
      <c r="K1280" s="86" t="str">
        <f>IF(Sixth!K33="", "",Sixth!K33)</f>
        <v/>
      </c>
      <c r="M1280" s="67">
        <f t="shared" si="59"/>
        <v>7</v>
      </c>
      <c r="N1280" s="76" t="str">
        <f t="shared" si="60"/>
        <v/>
      </c>
      <c r="O1280" s="33">
        <f t="shared" si="58"/>
        <v>7</v>
      </c>
    </row>
    <row r="1281" spans="1:15" x14ac:dyDescent="0.25">
      <c r="A1281" s="64" t="s">
        <v>206</v>
      </c>
      <c r="B1281" s="79" t="str">
        <f>IF(Sixth!B34="", "",Sixth!B34)</f>
        <v>Psychologist</v>
      </c>
      <c r="C1281" s="66" t="str">
        <f>IF(Sixth!C34="", "",Sixth!C34)</f>
        <v>PwC</v>
      </c>
      <c r="D1281" s="66" t="str">
        <f>IF(Sixth!D34="", "",Sixth!D34)</f>
        <v>Returning</v>
      </c>
      <c r="E1281" s="66" t="str">
        <f>IF(Sixth!E34="", "",Sixth!E34)</f>
        <v>Female</v>
      </c>
      <c r="F1281" s="66" t="str">
        <f>IF(Sixth!F34="", "",Sixth!F34)</f>
        <v>Breast</v>
      </c>
      <c r="G1281" s="66" t="str">
        <f>IF(Sixth!G34="", "",Sixth!G34)</f>
        <v>Post Treatment - Curative Intent</v>
      </c>
      <c r="H1281" s="66" t="str">
        <f>IF(Sixth!H34="", "",Sixth!H34)</f>
        <v>Programme</v>
      </c>
      <c r="I1281" s="66" t="str">
        <f>IF(Sixth!I34="", "",Sixth!I34)</f>
        <v>Where Now?</v>
      </c>
      <c r="J1281" s="66" t="str">
        <f>IF(Sixth!J34="", "",Sixth!J34)</f>
        <v/>
      </c>
      <c r="K1281" s="86" t="str">
        <f>IF(Sixth!K34="", "",Sixth!K34)</f>
        <v/>
      </c>
      <c r="M1281" s="67">
        <f t="shared" si="59"/>
        <v>7</v>
      </c>
      <c r="N1281" s="76" t="str">
        <f t="shared" si="60"/>
        <v/>
      </c>
      <c r="O1281" s="33">
        <f t="shared" si="58"/>
        <v>7</v>
      </c>
    </row>
    <row r="1282" spans="1:15" x14ac:dyDescent="0.25">
      <c r="A1282" s="64" t="s">
        <v>206</v>
      </c>
      <c r="B1282" s="79" t="str">
        <f>IF(Sixth!B35="", "",Sixth!B35)</f>
        <v>Psychologist</v>
      </c>
      <c r="C1282" s="66" t="str">
        <f>IF(Sixth!C35="", "",Sixth!C35)</f>
        <v>PwC</v>
      </c>
      <c r="D1282" s="66" t="str">
        <f>IF(Sixth!D35="", "",Sixth!D35)</f>
        <v>Returning</v>
      </c>
      <c r="E1282" s="66" t="str">
        <f>IF(Sixth!E35="", "",Sixth!E35)</f>
        <v>Female</v>
      </c>
      <c r="F1282" s="66" t="str">
        <f>IF(Sixth!F35="", "",Sixth!F35)</f>
        <v>Breast</v>
      </c>
      <c r="G1282" s="66" t="str">
        <f>IF(Sixth!G35="", "",Sixth!G35)</f>
        <v>Post Treatment - Curative Intent</v>
      </c>
      <c r="H1282" s="66" t="str">
        <f>IF(Sixth!H35="", "",Sixth!H35)</f>
        <v>Programme</v>
      </c>
      <c r="I1282" s="66" t="str">
        <f>IF(Sixth!I35="", "",Sixth!I35)</f>
        <v>Where Now?</v>
      </c>
      <c r="J1282" s="66" t="str">
        <f>IF(Sixth!J35="", "",Sixth!J35)</f>
        <v/>
      </c>
      <c r="K1282" s="86" t="str">
        <f>IF(Sixth!K35="", "",Sixth!K35)</f>
        <v/>
      </c>
      <c r="M1282" s="67">
        <f t="shared" si="59"/>
        <v>7</v>
      </c>
      <c r="N1282" s="76" t="str">
        <f t="shared" si="60"/>
        <v/>
      </c>
      <c r="O1282" s="33">
        <f t="shared" ref="O1282:O1345" si="61">SUM(M1282:N1282)</f>
        <v>7</v>
      </c>
    </row>
    <row r="1283" spans="1:15" x14ac:dyDescent="0.25">
      <c r="A1283" s="64" t="s">
        <v>206</v>
      </c>
      <c r="B1283" s="79" t="str">
        <f>IF(Sixth!B36="", "",Sixth!B36)</f>
        <v>Psychologist</v>
      </c>
      <c r="C1283" s="66" t="str">
        <f>IF(Sixth!C36="", "",Sixth!C36)</f>
        <v>PwC</v>
      </c>
      <c r="D1283" s="66" t="str">
        <f>IF(Sixth!D36="", "",Sixth!D36)</f>
        <v>Returning</v>
      </c>
      <c r="E1283" s="66" t="str">
        <f>IF(Sixth!E36="", "",Sixth!E36)</f>
        <v>Female</v>
      </c>
      <c r="F1283" s="66" t="str">
        <f>IF(Sixth!F36="", "",Sixth!F36)</f>
        <v>Breast</v>
      </c>
      <c r="G1283" s="66" t="str">
        <f>IF(Sixth!G36="", "",Sixth!G36)</f>
        <v>Post Treatment - Curative Intent</v>
      </c>
      <c r="H1283" s="66" t="str">
        <f>IF(Sixth!H36="", "",Sixth!H36)</f>
        <v>Programme</v>
      </c>
      <c r="I1283" s="66" t="str">
        <f>IF(Sixth!I36="", "",Sixth!I36)</f>
        <v>Where Now?</v>
      </c>
      <c r="J1283" s="66" t="str">
        <f>IF(Sixth!J36="", "",Sixth!J36)</f>
        <v/>
      </c>
      <c r="K1283" s="86" t="str">
        <f>IF(Sixth!K36="", "",Sixth!K36)</f>
        <v/>
      </c>
      <c r="M1283" s="67">
        <f t="shared" ref="M1283:M1346" si="62">IF(C1283="PwC",(7-COUNTIF(B1283:H1283,"")),"")</f>
        <v>7</v>
      </c>
      <c r="N1283" s="76" t="str">
        <f t="shared" ref="N1283:N1346" si="63">IF(C1283="Carer",(7-COUNTIF(B1283:H1283,"")),"")</f>
        <v/>
      </c>
      <c r="O1283" s="33">
        <f t="shared" si="61"/>
        <v>7</v>
      </c>
    </row>
    <row r="1284" spans="1:15" x14ac:dyDescent="0.25">
      <c r="A1284" s="64" t="s">
        <v>206</v>
      </c>
      <c r="B1284" s="79" t="str">
        <f>IF(Sixth!B37="", "",Sixth!B37)</f>
        <v>Psychologist</v>
      </c>
      <c r="C1284" s="66" t="str">
        <f>IF(Sixth!C37="", "",Sixth!C37)</f>
        <v>Carer</v>
      </c>
      <c r="D1284" s="66" t="str">
        <f>IF(Sixth!D37="", "",Sixth!D37)</f>
        <v>Returning</v>
      </c>
      <c r="E1284" s="66" t="str">
        <f>IF(Sixth!E37="", "",Sixth!E37)</f>
        <v>Female</v>
      </c>
      <c r="F1284" s="66" t="str">
        <f>IF(Sixth!F37="", "",Sixth!F37)</f>
        <v>Breast</v>
      </c>
      <c r="G1284" s="66" t="str">
        <f>IF(Sixth!G37="", "",Sixth!G37)</f>
        <v>Bereaved</v>
      </c>
      <c r="H1284" s="66" t="str">
        <f>IF(Sixth!H37="", "",Sixth!H37)</f>
        <v>Booked</v>
      </c>
      <c r="I1284" s="66" t="str">
        <f>IF(Sixth!I37="", "",Sixth!I37)</f>
        <v>Psych Support - Individual</v>
      </c>
      <c r="J1284" s="66" t="str">
        <f>IF(Sixth!J37="", "",Sixth!J37)</f>
        <v/>
      </c>
      <c r="K1284" s="86" t="str">
        <f>IF(Sixth!K37="", "",Sixth!K37)</f>
        <v/>
      </c>
      <c r="M1284" s="67" t="str">
        <f t="shared" si="62"/>
        <v/>
      </c>
      <c r="N1284" s="76">
        <f t="shared" si="63"/>
        <v>7</v>
      </c>
      <c r="O1284" s="33">
        <f t="shared" si="61"/>
        <v>7</v>
      </c>
    </row>
    <row r="1285" spans="1:15" x14ac:dyDescent="0.25">
      <c r="A1285" s="64" t="s">
        <v>206</v>
      </c>
      <c r="B1285" s="79" t="str">
        <f>IF(Sixth!B38="", "",Sixth!B38)</f>
        <v>Psychologist</v>
      </c>
      <c r="C1285" s="66" t="str">
        <f>IF(Sixth!C38="", "",Sixth!C38)</f>
        <v>Carer</v>
      </c>
      <c r="D1285" s="66" t="str">
        <f>IF(Sixth!D38="", "",Sixth!D38)</f>
        <v>Returning</v>
      </c>
      <c r="E1285" s="66" t="str">
        <f>IF(Sixth!E38="", "",Sixth!E38)</f>
        <v>Female</v>
      </c>
      <c r="F1285" s="66" t="str">
        <f>IF(Sixth!F38="", "",Sixth!F38)</f>
        <v>Brain/CNS</v>
      </c>
      <c r="G1285" s="66" t="str">
        <f>IF(Sixth!G38="", "",Sixth!G38)</f>
        <v>Bereaved</v>
      </c>
      <c r="H1285" s="66" t="str">
        <f>IF(Sixth!H38="", "",Sixth!H38)</f>
        <v>Booked</v>
      </c>
      <c r="I1285" s="66" t="str">
        <f>IF(Sixth!I38="", "",Sixth!I38)</f>
        <v>Psych Support - Individual</v>
      </c>
      <c r="J1285" s="66" t="str">
        <f>IF(Sixth!J38="", "",Sixth!J38)</f>
        <v/>
      </c>
      <c r="K1285" s="86" t="str">
        <f>IF(Sixth!K38="", "",Sixth!K38)</f>
        <v/>
      </c>
      <c r="M1285" s="67" t="str">
        <f t="shared" si="62"/>
        <v/>
      </c>
      <c r="N1285" s="76">
        <f t="shared" si="63"/>
        <v>7</v>
      </c>
      <c r="O1285" s="33">
        <f t="shared" si="61"/>
        <v>7</v>
      </c>
    </row>
    <row r="1286" spans="1:15" x14ac:dyDescent="0.25">
      <c r="A1286" s="64" t="s">
        <v>206</v>
      </c>
      <c r="B1286" s="79" t="str">
        <f>IF(Sixth!B39="", "",Sixth!B39)</f>
        <v>Centre Head</v>
      </c>
      <c r="C1286" s="66" t="str">
        <f>IF(Sixth!C39="", "",Sixth!C39)</f>
        <v>PwC</v>
      </c>
      <c r="D1286" s="66" t="str">
        <f>IF(Sixth!D39="", "",Sixth!D39)</f>
        <v>New</v>
      </c>
      <c r="E1286" s="66" t="str">
        <f>IF(Sixth!E39="", "",Sixth!E39)</f>
        <v>Male</v>
      </c>
      <c r="F1286" s="66" t="str">
        <f>IF(Sixth!F39="", "",Sixth!F39)</f>
        <v>Lung</v>
      </c>
      <c r="G1286" s="66" t="str">
        <f>IF(Sixth!G39="", "",Sixth!G39)</f>
        <v>Not Stated</v>
      </c>
      <c r="H1286" s="66" t="str">
        <f>IF(Sixth!H39="", "",Sixth!H39)</f>
        <v>Drop-In</v>
      </c>
      <c r="I1286" s="66" t="str">
        <f>IF(Sixth!I39="", "",Sixth!I39)</f>
        <v/>
      </c>
      <c r="J1286" s="66" t="str">
        <f>IF(Sixth!J39="", "",Sixth!J39)</f>
        <v/>
      </c>
      <c r="K1286" s="86" t="str">
        <f>IF(Sixth!K39="", "",Sixth!K39)</f>
        <v/>
      </c>
      <c r="M1286" s="67">
        <f t="shared" si="62"/>
        <v>7</v>
      </c>
      <c r="N1286" s="76" t="str">
        <f t="shared" si="63"/>
        <v/>
      </c>
      <c r="O1286" s="33">
        <f t="shared" si="61"/>
        <v>7</v>
      </c>
    </row>
    <row r="1287" spans="1:15" x14ac:dyDescent="0.25">
      <c r="A1287" s="64" t="s">
        <v>206</v>
      </c>
      <c r="B1287" s="79" t="str">
        <f>IF(Sixth!B40="", "",Sixth!B40)</f>
        <v>Centre Head</v>
      </c>
      <c r="C1287" s="66" t="str">
        <f>IF(Sixth!C40="", "",Sixth!C40)</f>
        <v>Carer</v>
      </c>
      <c r="D1287" s="66" t="str">
        <f>IF(Sixth!D40="", "",Sixth!D40)</f>
        <v>New</v>
      </c>
      <c r="E1287" s="66" t="str">
        <f>IF(Sixth!E40="", "",Sixth!E40)</f>
        <v>Female</v>
      </c>
      <c r="F1287" s="66" t="str">
        <f>IF(Sixth!F40="", "",Sixth!F40)</f>
        <v>Lung</v>
      </c>
      <c r="G1287" s="66" t="str">
        <f>IF(Sixth!G40="", "",Sixth!G40)</f>
        <v>Not Stated</v>
      </c>
      <c r="H1287" s="66" t="str">
        <f>IF(Sixth!H40="", "",Sixth!H40)</f>
        <v>Drop-In</v>
      </c>
      <c r="I1287" s="66" t="str">
        <f>IF(Sixth!I40="", "",Sixth!I40)</f>
        <v/>
      </c>
      <c r="J1287" s="66" t="str">
        <f>IF(Sixth!J40="", "",Sixth!J40)</f>
        <v/>
      </c>
      <c r="K1287" s="86" t="str">
        <f>IF(Sixth!K40="", "",Sixth!K40)</f>
        <v/>
      </c>
      <c r="M1287" s="67" t="str">
        <f t="shared" si="62"/>
        <v/>
      </c>
      <c r="N1287" s="76">
        <f t="shared" si="63"/>
        <v>7</v>
      </c>
      <c r="O1287" s="33">
        <f t="shared" si="61"/>
        <v>7</v>
      </c>
    </row>
    <row r="1288" spans="1:15" x14ac:dyDescent="0.25">
      <c r="A1288" s="64" t="s">
        <v>206</v>
      </c>
      <c r="B1288" s="79" t="str">
        <f>IF(Sixth!B41="", "",Sixth!B41)</f>
        <v>Centre Head</v>
      </c>
      <c r="C1288" s="66" t="str">
        <f>IF(Sixth!C41="", "",Sixth!C41)</f>
        <v>Carer</v>
      </c>
      <c r="D1288" s="66" t="str">
        <f>IF(Sixth!D41="", "",Sixth!D41)</f>
        <v>New</v>
      </c>
      <c r="E1288" s="66" t="str">
        <f>IF(Sixth!E41="", "",Sixth!E41)</f>
        <v>Female</v>
      </c>
      <c r="F1288" s="66" t="str">
        <f>IF(Sixth!F41="", "",Sixth!F41)</f>
        <v>Lung</v>
      </c>
      <c r="G1288" s="66" t="str">
        <f>IF(Sixth!G41="", "",Sixth!G41)</f>
        <v>Not Stated</v>
      </c>
      <c r="H1288" s="66" t="str">
        <f>IF(Sixth!H41="", "",Sixth!H41)</f>
        <v>Drop-In</v>
      </c>
      <c r="I1288" s="66" t="str">
        <f>IF(Sixth!I41="", "",Sixth!I41)</f>
        <v/>
      </c>
      <c r="J1288" s="66" t="str">
        <f>IF(Sixth!J41="", "",Sixth!J41)</f>
        <v/>
      </c>
      <c r="K1288" s="86" t="str">
        <f>IF(Sixth!K41="", "",Sixth!K41)</f>
        <v/>
      </c>
      <c r="M1288" s="67" t="str">
        <f t="shared" si="62"/>
        <v/>
      </c>
      <c r="N1288" s="76">
        <f t="shared" si="63"/>
        <v>7</v>
      </c>
      <c r="O1288" s="33">
        <f t="shared" si="61"/>
        <v>7</v>
      </c>
    </row>
    <row r="1289" spans="1:15" x14ac:dyDescent="0.25">
      <c r="A1289" s="64" t="s">
        <v>206</v>
      </c>
      <c r="B1289" s="79" t="str">
        <f>IF(Sixth!B42="", "",Sixth!B42)</f>
        <v>Centre Head</v>
      </c>
      <c r="C1289" s="66" t="str">
        <f>IF(Sixth!C42="", "",Sixth!C42)</f>
        <v>PwC</v>
      </c>
      <c r="D1289" s="66" t="str">
        <f>IF(Sixth!D42="", "",Sixth!D42)</f>
        <v>Returning</v>
      </c>
      <c r="E1289" s="66" t="str">
        <f>IF(Sixth!E42="", "",Sixth!E42)</f>
        <v>Female</v>
      </c>
      <c r="F1289" s="66" t="str">
        <f>IF(Sixth!F42="", "",Sixth!F42)</f>
        <v>Breast</v>
      </c>
      <c r="G1289" s="66" t="str">
        <f>IF(Sixth!G42="", "",Sixth!G42)</f>
        <v>Not Stated</v>
      </c>
      <c r="H1289" s="66" t="str">
        <f>IF(Sixth!H42="", "",Sixth!H42)</f>
        <v>Drop-In</v>
      </c>
      <c r="I1289" s="66" t="str">
        <f>IF(Sixth!I42="", "",Sixth!I42)</f>
        <v/>
      </c>
      <c r="J1289" s="66" t="str">
        <f>IF(Sixth!J42="", "",Sixth!J42)</f>
        <v/>
      </c>
      <c r="K1289" s="86" t="str">
        <f>IF(Sixth!K42="", "",Sixth!K42)</f>
        <v/>
      </c>
      <c r="M1289" s="67">
        <f t="shared" si="62"/>
        <v>7</v>
      </c>
      <c r="N1289" s="76" t="str">
        <f t="shared" si="63"/>
        <v/>
      </c>
      <c r="O1289" s="33">
        <f t="shared" si="61"/>
        <v>7</v>
      </c>
    </row>
    <row r="1290" spans="1:15" x14ac:dyDescent="0.25">
      <c r="A1290" s="64" t="s">
        <v>206</v>
      </c>
      <c r="B1290" s="79" t="str">
        <f>IF(Sixth!B43="", "",Sixth!B43)</f>
        <v>Centre Head</v>
      </c>
      <c r="C1290" s="66" t="str">
        <f>IF(Sixth!C43="", "",Sixth!C43)</f>
        <v>PwC</v>
      </c>
      <c r="D1290" s="66" t="str">
        <f>IF(Sixth!D43="", "",Sixth!D43)</f>
        <v>Returning</v>
      </c>
      <c r="E1290" s="66" t="str">
        <f>IF(Sixth!E43="", "",Sixth!E43)</f>
        <v>Male</v>
      </c>
      <c r="F1290" s="66" t="str">
        <f>IF(Sixth!F43="", "",Sixth!F43)</f>
        <v>Head/Neck</v>
      </c>
      <c r="G1290" s="66" t="str">
        <f>IF(Sixth!G43="", "",Sixth!G43)</f>
        <v>Not Stated</v>
      </c>
      <c r="H1290" s="66" t="str">
        <f>IF(Sixth!H43="", "",Sixth!H43)</f>
        <v>Drop-In</v>
      </c>
      <c r="I1290" s="66" t="str">
        <f>IF(Sixth!I43="", "",Sixth!I43)</f>
        <v/>
      </c>
      <c r="J1290" s="66" t="str">
        <f>IF(Sixth!J43="", "",Sixth!J43)</f>
        <v/>
      </c>
      <c r="K1290" s="86" t="str">
        <f>IF(Sixth!K43="", "",Sixth!K43)</f>
        <v/>
      </c>
      <c r="M1290" s="67">
        <f t="shared" si="62"/>
        <v>7</v>
      </c>
      <c r="N1290" s="76" t="str">
        <f t="shared" si="63"/>
        <v/>
      </c>
      <c r="O1290" s="33">
        <f t="shared" si="61"/>
        <v>7</v>
      </c>
    </row>
    <row r="1291" spans="1:15" x14ac:dyDescent="0.25">
      <c r="A1291" s="64" t="s">
        <v>206</v>
      </c>
      <c r="B1291" s="79" t="str">
        <f>IF(Sixth!B44="", "",Sixth!B44)</f>
        <v>Centre Head</v>
      </c>
      <c r="C1291" s="66" t="str">
        <f>IF(Sixth!C44="", "",Sixth!C44)</f>
        <v>Carer</v>
      </c>
      <c r="D1291" s="66" t="str">
        <f>IF(Sixth!D44="", "",Sixth!D44)</f>
        <v>Returning</v>
      </c>
      <c r="E1291" s="66" t="str">
        <f>IF(Sixth!E44="", "",Sixth!E44)</f>
        <v>Female</v>
      </c>
      <c r="F1291" s="66" t="str">
        <f>IF(Sixth!F44="", "",Sixth!F44)</f>
        <v>Head/Neck</v>
      </c>
      <c r="G1291" s="66" t="str">
        <f>IF(Sixth!G44="", "",Sixth!G44)</f>
        <v>Not Stated</v>
      </c>
      <c r="H1291" s="66" t="str">
        <f>IF(Sixth!H44="", "",Sixth!H44)</f>
        <v>Drop-In</v>
      </c>
      <c r="I1291" s="66" t="str">
        <f>IF(Sixth!I44="", "",Sixth!I44)</f>
        <v/>
      </c>
      <c r="J1291" s="66" t="str">
        <f>IF(Sixth!J44="", "",Sixth!J44)</f>
        <v/>
      </c>
      <c r="K1291" s="86" t="str">
        <f>IF(Sixth!K44="", "",Sixth!K44)</f>
        <v/>
      </c>
      <c r="M1291" s="67" t="str">
        <f t="shared" si="62"/>
        <v/>
      </c>
      <c r="N1291" s="76">
        <f t="shared" si="63"/>
        <v>7</v>
      </c>
      <c r="O1291" s="33">
        <f t="shared" si="61"/>
        <v>7</v>
      </c>
    </row>
    <row r="1292" spans="1:15" x14ac:dyDescent="0.25">
      <c r="A1292" s="64" t="s">
        <v>206</v>
      </c>
      <c r="B1292" s="79" t="str">
        <f>IF(Sixth!B45="", "",Sixth!B45)</f>
        <v>Centre Head</v>
      </c>
      <c r="C1292" s="66" t="str">
        <f>IF(Sixth!C45="", "",Sixth!C45)</f>
        <v>PwC</v>
      </c>
      <c r="D1292" s="66" t="str">
        <f>IF(Sixth!D45="", "",Sixth!D45)</f>
        <v>Returning</v>
      </c>
      <c r="E1292" s="66" t="str">
        <f>IF(Sixth!E45="", "",Sixth!E45)</f>
        <v>Male</v>
      </c>
      <c r="F1292" s="66" t="str">
        <f>IF(Sixth!F45="", "",Sixth!F45)</f>
        <v>Lower GI</v>
      </c>
      <c r="G1292" s="66" t="str">
        <f>IF(Sixth!G45="", "",Sixth!G45)</f>
        <v>Non-Curative Intent</v>
      </c>
      <c r="H1292" s="66" t="str">
        <f>IF(Sixth!H45="", "",Sixth!H45)</f>
        <v>Drop-In</v>
      </c>
      <c r="I1292" s="66" t="str">
        <f>IF(Sixth!I45="", "",Sixth!I45)</f>
        <v/>
      </c>
      <c r="J1292" s="66" t="str">
        <f>IF(Sixth!J45="", "",Sixth!J45)</f>
        <v/>
      </c>
      <c r="K1292" s="86" t="str">
        <f>IF(Sixth!K45="", "",Sixth!K45)</f>
        <v/>
      </c>
      <c r="M1292" s="67">
        <f t="shared" si="62"/>
        <v>7</v>
      </c>
      <c r="N1292" s="76" t="str">
        <f t="shared" si="63"/>
        <v/>
      </c>
      <c r="O1292" s="33">
        <f t="shared" si="61"/>
        <v>7</v>
      </c>
    </row>
    <row r="1293" spans="1:15" x14ac:dyDescent="0.25">
      <c r="A1293" s="64" t="s">
        <v>206</v>
      </c>
      <c r="B1293" s="79" t="str">
        <f>IF(Sixth!B46="", "",Sixth!B46)</f>
        <v>Centre Head</v>
      </c>
      <c r="C1293" s="66" t="str">
        <f>IF(Sixth!C46="", "",Sixth!C46)</f>
        <v>Carer</v>
      </c>
      <c r="D1293" s="66" t="str">
        <f>IF(Sixth!D46="", "",Sixth!D46)</f>
        <v>Returning</v>
      </c>
      <c r="E1293" s="66" t="str">
        <f>IF(Sixth!E46="", "",Sixth!E46)</f>
        <v>Female</v>
      </c>
      <c r="F1293" s="66" t="str">
        <f>IF(Sixth!F46="", "",Sixth!F46)</f>
        <v>Lower GI</v>
      </c>
      <c r="G1293" s="66" t="str">
        <f>IF(Sixth!G46="", "",Sixth!G46)</f>
        <v>Non-Curative Intent</v>
      </c>
      <c r="H1293" s="66" t="str">
        <f>IF(Sixth!H46="", "",Sixth!H46)</f>
        <v>Drop-In</v>
      </c>
      <c r="I1293" s="66" t="str">
        <f>IF(Sixth!I46="", "",Sixth!I46)</f>
        <v/>
      </c>
      <c r="J1293" s="66" t="str">
        <f>IF(Sixth!J46="", "",Sixth!J46)</f>
        <v/>
      </c>
      <c r="K1293" s="86" t="str">
        <f>IF(Sixth!K46="", "",Sixth!K46)</f>
        <v/>
      </c>
      <c r="M1293" s="67" t="str">
        <f t="shared" si="62"/>
        <v/>
      </c>
      <c r="N1293" s="76">
        <f t="shared" si="63"/>
        <v>7</v>
      </c>
      <c r="O1293" s="33">
        <f t="shared" si="61"/>
        <v>7</v>
      </c>
    </row>
    <row r="1294" spans="1:15" x14ac:dyDescent="0.25">
      <c r="A1294" s="64" t="s">
        <v>206</v>
      </c>
      <c r="B1294" s="79" t="str">
        <f>IF(Sixth!B47="", "",Sixth!B47)</f>
        <v>Centre Head</v>
      </c>
      <c r="C1294" s="66" t="str">
        <f>IF(Sixth!C47="", "",Sixth!C47)</f>
        <v>PwC</v>
      </c>
      <c r="D1294" s="66" t="str">
        <f>IF(Sixth!D47="", "",Sixth!D47)</f>
        <v>Returning</v>
      </c>
      <c r="E1294" s="66" t="str">
        <f>IF(Sixth!E47="", "",Sixth!E47)</f>
        <v>Female</v>
      </c>
      <c r="F1294" s="66" t="str">
        <f>IF(Sixth!F47="", "",Sixth!F47)</f>
        <v>Breast</v>
      </c>
      <c r="G1294" s="66" t="str">
        <f>IF(Sixth!G47="", "",Sixth!G47)</f>
        <v>Post Treatment - Curative Intent</v>
      </c>
      <c r="H1294" s="66" t="str">
        <f>IF(Sixth!H47="", "",Sixth!H47)</f>
        <v>Drop-In</v>
      </c>
      <c r="I1294" s="66" t="str">
        <f>IF(Sixth!I47="", "",Sixth!I47)</f>
        <v/>
      </c>
      <c r="J1294" s="66" t="str">
        <f>IF(Sixth!J47="", "",Sixth!J47)</f>
        <v/>
      </c>
      <c r="K1294" s="86" t="str">
        <f>IF(Sixth!K47="", "",Sixth!K47)</f>
        <v/>
      </c>
      <c r="M1294" s="67">
        <f t="shared" si="62"/>
        <v>7</v>
      </c>
      <c r="N1294" s="76" t="str">
        <f t="shared" si="63"/>
        <v/>
      </c>
      <c r="O1294" s="33">
        <f t="shared" si="61"/>
        <v>7</v>
      </c>
    </row>
    <row r="1295" spans="1:15" x14ac:dyDescent="0.25">
      <c r="A1295" s="64" t="s">
        <v>206</v>
      </c>
      <c r="B1295" s="79" t="str">
        <f>IF(Sixth!B48="", "",Sixth!B48)</f>
        <v>Centre Head</v>
      </c>
      <c r="C1295" s="66" t="str">
        <f>IF(Sixth!C48="", "",Sixth!C48)</f>
        <v>PwC</v>
      </c>
      <c r="D1295" s="66" t="str">
        <f>IF(Sixth!D48="", "",Sixth!D48)</f>
        <v>Returning</v>
      </c>
      <c r="E1295" s="66" t="str">
        <f>IF(Sixth!E48="", "",Sixth!E48)</f>
        <v>Female</v>
      </c>
      <c r="F1295" s="66" t="str">
        <f>IF(Sixth!F48="", "",Sixth!F48)</f>
        <v>Urolog</v>
      </c>
      <c r="G1295" s="66" t="str">
        <f>IF(Sixth!G48="", "",Sixth!G48)</f>
        <v>Post Treatment - Curative Intent</v>
      </c>
      <c r="H1295" s="66" t="str">
        <f>IF(Sixth!H48="", "",Sixth!H48)</f>
        <v>Drop-In</v>
      </c>
      <c r="I1295" s="66" t="str">
        <f>IF(Sixth!I48="", "",Sixth!I48)</f>
        <v/>
      </c>
      <c r="J1295" s="66" t="str">
        <f>IF(Sixth!J48="", "",Sixth!J48)</f>
        <v/>
      </c>
      <c r="K1295" s="86" t="str">
        <f>IF(Sixth!K48="", "",Sixth!K48)</f>
        <v/>
      </c>
      <c r="M1295" s="67">
        <f t="shared" si="62"/>
        <v>7</v>
      </c>
      <c r="N1295" s="76" t="str">
        <f t="shared" si="63"/>
        <v/>
      </c>
      <c r="O1295" s="33">
        <f t="shared" si="61"/>
        <v>7</v>
      </c>
    </row>
    <row r="1296" spans="1:15" x14ac:dyDescent="0.25">
      <c r="A1296" s="64" t="s">
        <v>206</v>
      </c>
      <c r="B1296" s="79" t="str">
        <f>IF(Sixth!B49="", "",Sixth!B49)</f>
        <v>Centre Head</v>
      </c>
      <c r="C1296" s="66" t="str">
        <f>IF(Sixth!C49="", "",Sixth!C49)</f>
        <v>PwC</v>
      </c>
      <c r="D1296" s="66" t="str">
        <f>IF(Sixth!D49="", "",Sixth!D49)</f>
        <v>Returning</v>
      </c>
      <c r="E1296" s="66" t="str">
        <f>IF(Sixth!E49="", "",Sixth!E49)</f>
        <v>Male</v>
      </c>
      <c r="F1296" s="66" t="str">
        <f>IF(Sixth!F49="", "",Sixth!F49)</f>
        <v>Head/Neck</v>
      </c>
      <c r="G1296" s="66" t="str">
        <f>IF(Sixth!G49="", "",Sixth!G49)</f>
        <v>Curative Intent</v>
      </c>
      <c r="H1296" s="66" t="str">
        <f>IF(Sixth!H49="", "",Sixth!H49)</f>
        <v>Drop-In</v>
      </c>
      <c r="I1296" s="66" t="str">
        <f>IF(Sixth!I49="", "",Sixth!I49)</f>
        <v/>
      </c>
      <c r="J1296" s="66" t="str">
        <f>IF(Sixth!J49="", "",Sixth!J49)</f>
        <v/>
      </c>
      <c r="K1296" s="86" t="str">
        <f>IF(Sixth!K49="", "",Sixth!K49)</f>
        <v/>
      </c>
      <c r="M1296" s="67">
        <f t="shared" si="62"/>
        <v>7</v>
      </c>
      <c r="N1296" s="76" t="str">
        <f t="shared" si="63"/>
        <v/>
      </c>
      <c r="O1296" s="33">
        <f t="shared" si="61"/>
        <v>7</v>
      </c>
    </row>
    <row r="1297" spans="1:15" x14ac:dyDescent="0.25">
      <c r="A1297" s="64" t="s">
        <v>206</v>
      </c>
      <c r="B1297" s="79" t="str">
        <f>IF(Sixth!B50="", "",Sixth!B50)</f>
        <v>Centre Head</v>
      </c>
      <c r="C1297" s="66" t="str">
        <f>IF(Sixth!C50="", "",Sixth!C50)</f>
        <v>Carer</v>
      </c>
      <c r="D1297" s="66" t="str">
        <f>IF(Sixth!D50="", "",Sixth!D50)</f>
        <v>Returning</v>
      </c>
      <c r="E1297" s="66" t="str">
        <f>IF(Sixth!E50="", "",Sixth!E50)</f>
        <v>Female</v>
      </c>
      <c r="F1297" s="66" t="str">
        <f>IF(Sixth!F50="", "",Sixth!F50)</f>
        <v>Head/Neck</v>
      </c>
      <c r="G1297" s="66" t="str">
        <f>IF(Sixth!G50="", "",Sixth!G50)</f>
        <v>Curative Intent</v>
      </c>
      <c r="H1297" s="66" t="str">
        <f>IF(Sixth!H50="", "",Sixth!H50)</f>
        <v>Drop-In</v>
      </c>
      <c r="I1297" s="66" t="str">
        <f>IF(Sixth!I50="", "",Sixth!I50)</f>
        <v/>
      </c>
      <c r="J1297" s="66" t="str">
        <f>IF(Sixth!J50="", "",Sixth!J50)</f>
        <v/>
      </c>
      <c r="K1297" s="86" t="str">
        <f>IF(Sixth!K50="", "",Sixth!K50)</f>
        <v/>
      </c>
      <c r="M1297" s="67" t="str">
        <f t="shared" si="62"/>
        <v/>
      </c>
      <c r="N1297" s="76">
        <f t="shared" si="63"/>
        <v>7</v>
      </c>
      <c r="O1297" s="33">
        <f t="shared" si="61"/>
        <v>7</v>
      </c>
    </row>
    <row r="1298" spans="1:15" x14ac:dyDescent="0.25">
      <c r="A1298" s="64" t="s">
        <v>206</v>
      </c>
      <c r="B1298" s="79" t="str">
        <f>IF(Sixth!B51="", "",Sixth!B51)</f>
        <v>Centre Head</v>
      </c>
      <c r="C1298" s="66" t="str">
        <f>IF(Sixth!C51="", "",Sixth!C51)</f>
        <v>PwC</v>
      </c>
      <c r="D1298" s="66" t="str">
        <f>IF(Sixth!D51="", "",Sixth!D51)</f>
        <v>Returning</v>
      </c>
      <c r="E1298" s="66" t="str">
        <f>IF(Sixth!E51="", "",Sixth!E51)</f>
        <v>Female</v>
      </c>
      <c r="F1298" s="66" t="str">
        <f>IF(Sixth!F51="", "",Sixth!F51)</f>
        <v>Lung</v>
      </c>
      <c r="G1298" s="66" t="str">
        <f>IF(Sixth!G51="", "",Sixth!G51)</f>
        <v>Non-Curative Intent</v>
      </c>
      <c r="H1298" s="66" t="str">
        <f>IF(Sixth!H51="", "",Sixth!H51)</f>
        <v>Drop-In</v>
      </c>
      <c r="I1298" s="66" t="str">
        <f>IF(Sixth!I51="", "",Sixth!I51)</f>
        <v/>
      </c>
      <c r="J1298" s="66" t="str">
        <f>IF(Sixth!J51="", "",Sixth!J51)</f>
        <v/>
      </c>
      <c r="K1298" s="86" t="str">
        <f>IF(Sixth!K51="", "",Sixth!K51)</f>
        <v/>
      </c>
      <c r="M1298" s="67">
        <f t="shared" si="62"/>
        <v>7</v>
      </c>
      <c r="N1298" s="76" t="str">
        <f t="shared" si="63"/>
        <v/>
      </c>
      <c r="O1298" s="33">
        <f t="shared" si="61"/>
        <v>7</v>
      </c>
    </row>
    <row r="1299" spans="1:15" x14ac:dyDescent="0.25">
      <c r="A1299" s="64" t="s">
        <v>206</v>
      </c>
      <c r="B1299" s="79" t="str">
        <f>IF(Sixth!B52="", "",Sixth!B52)</f>
        <v>Centre Head</v>
      </c>
      <c r="C1299" s="66" t="str">
        <f>IF(Sixth!C52="", "",Sixth!C52)</f>
        <v>Carer</v>
      </c>
      <c r="D1299" s="66" t="str">
        <f>IF(Sixth!D52="", "",Sixth!D52)</f>
        <v>Returning</v>
      </c>
      <c r="E1299" s="66" t="str">
        <f>IF(Sixth!E52="", "",Sixth!E52)</f>
        <v>Male</v>
      </c>
      <c r="F1299" s="66" t="str">
        <f>IF(Sixth!F52="", "",Sixth!F52)</f>
        <v>Liver</v>
      </c>
      <c r="G1299" s="66" t="str">
        <f>IF(Sixth!G52="", "",Sixth!G52)</f>
        <v>Non-Curative Intent</v>
      </c>
      <c r="H1299" s="66" t="str">
        <f>IF(Sixth!H52="", "",Sixth!H52)</f>
        <v>Drop-In</v>
      </c>
      <c r="I1299" s="66" t="str">
        <f>IF(Sixth!I52="", "",Sixth!I52)</f>
        <v/>
      </c>
      <c r="J1299" s="66" t="str">
        <f>IF(Sixth!J52="", "",Sixth!J52)</f>
        <v/>
      </c>
      <c r="K1299" s="86" t="str">
        <f>IF(Sixth!K52="", "",Sixth!K52)</f>
        <v/>
      </c>
      <c r="M1299" s="67" t="str">
        <f t="shared" si="62"/>
        <v/>
      </c>
      <c r="N1299" s="76">
        <f t="shared" si="63"/>
        <v>7</v>
      </c>
      <c r="O1299" s="33">
        <f t="shared" si="61"/>
        <v>7</v>
      </c>
    </row>
    <row r="1300" spans="1:15" x14ac:dyDescent="0.25">
      <c r="A1300" s="64" t="s">
        <v>206</v>
      </c>
      <c r="B1300" s="79" t="str">
        <f>IF(Sixth!B53="", "",Sixth!B53)</f>
        <v>Centre Head</v>
      </c>
      <c r="C1300" s="66" t="str">
        <f>IF(Sixth!C53="", "",Sixth!C53)</f>
        <v>Carer</v>
      </c>
      <c r="D1300" s="66" t="str">
        <f>IF(Sixth!D53="", "",Sixth!D53)</f>
        <v>Returning</v>
      </c>
      <c r="E1300" s="66" t="str">
        <f>IF(Sixth!E53="", "",Sixth!E53)</f>
        <v>Female</v>
      </c>
      <c r="F1300" s="66" t="str">
        <f>IF(Sixth!F53="", "",Sixth!F53)</f>
        <v>Lower GI</v>
      </c>
      <c r="G1300" s="66" t="str">
        <f>IF(Sixth!G53="", "",Sixth!G53)</f>
        <v>Non-Curative Intent</v>
      </c>
      <c r="H1300" s="66" t="str">
        <f>IF(Sixth!H53="", "",Sixth!H53)</f>
        <v>Drop-In</v>
      </c>
      <c r="I1300" s="66" t="str">
        <f>IF(Sixth!I53="", "",Sixth!I53)</f>
        <v/>
      </c>
      <c r="J1300" s="66" t="str">
        <f>IF(Sixth!J53="", "",Sixth!J53)</f>
        <v/>
      </c>
      <c r="K1300" s="86" t="str">
        <f>IF(Sixth!K53="", "",Sixth!K53)</f>
        <v/>
      </c>
      <c r="M1300" s="67" t="str">
        <f t="shared" si="62"/>
        <v/>
      </c>
      <c r="N1300" s="76">
        <f t="shared" si="63"/>
        <v>7</v>
      </c>
      <c r="O1300" s="33">
        <f t="shared" si="61"/>
        <v>7</v>
      </c>
    </row>
    <row r="1301" spans="1:15" x14ac:dyDescent="0.25">
      <c r="A1301" s="64" t="s">
        <v>206</v>
      </c>
      <c r="B1301" s="79" t="str">
        <f>IF(Sixth!B54="", "",Sixth!B54)</f>
        <v>Centre Head</v>
      </c>
      <c r="C1301" s="66" t="str">
        <f>IF(Sixth!C54="", "",Sixth!C54)</f>
        <v>PwC</v>
      </c>
      <c r="D1301" s="66" t="str">
        <f>IF(Sixth!D54="", "",Sixth!D54)</f>
        <v>Returning</v>
      </c>
      <c r="E1301" s="66" t="str">
        <f>IF(Sixth!E54="", "",Sixth!E54)</f>
        <v>Male</v>
      </c>
      <c r="F1301" s="66" t="str">
        <f>IF(Sixth!F54="", "",Sixth!F54)</f>
        <v>Urolog</v>
      </c>
      <c r="G1301" s="66" t="str">
        <f>IF(Sixth!G54="", "",Sixth!G54)</f>
        <v>Post Treatment - Curative Intent</v>
      </c>
      <c r="H1301" s="66" t="str">
        <f>IF(Sixth!H54="", "",Sixth!H54)</f>
        <v>Drop-In</v>
      </c>
      <c r="I1301" s="66" t="str">
        <f>IF(Sixth!I54="", "",Sixth!I54)</f>
        <v/>
      </c>
      <c r="J1301" s="66" t="str">
        <f>IF(Sixth!J54="", "",Sixth!J54)</f>
        <v/>
      </c>
      <c r="K1301" s="86" t="str">
        <f>IF(Sixth!K54="", "",Sixth!K54)</f>
        <v/>
      </c>
      <c r="M1301" s="67">
        <f t="shared" si="62"/>
        <v>7</v>
      </c>
      <c r="N1301" s="76" t="str">
        <f t="shared" si="63"/>
        <v/>
      </c>
      <c r="O1301" s="33">
        <f t="shared" si="61"/>
        <v>7</v>
      </c>
    </row>
    <row r="1302" spans="1:15" x14ac:dyDescent="0.25">
      <c r="A1302" s="64" t="s">
        <v>206</v>
      </c>
      <c r="B1302" s="79" t="str">
        <f>IF(Sixth!B55="", "",Sixth!B55)</f>
        <v>Centre Head</v>
      </c>
      <c r="C1302" s="66" t="str">
        <f>IF(Sixth!C55="", "",Sixth!C55)</f>
        <v>Carer</v>
      </c>
      <c r="D1302" s="66" t="str">
        <f>IF(Sixth!D55="", "",Sixth!D55)</f>
        <v>Returning</v>
      </c>
      <c r="E1302" s="66" t="str">
        <f>IF(Sixth!E55="", "",Sixth!E55)</f>
        <v>Male</v>
      </c>
      <c r="F1302" s="66" t="str">
        <f>IF(Sixth!F55="", "",Sixth!F55)</f>
        <v>Haemat</v>
      </c>
      <c r="G1302" s="66" t="str">
        <f>IF(Sixth!G55="", "",Sixth!G55)</f>
        <v>Bereaved</v>
      </c>
      <c r="H1302" s="66" t="str">
        <f>IF(Sixth!H55="", "",Sixth!H55)</f>
        <v>Drop-In</v>
      </c>
      <c r="I1302" s="66" t="str">
        <f>IF(Sixth!I55="", "",Sixth!I55)</f>
        <v/>
      </c>
      <c r="J1302" s="66" t="str">
        <f>IF(Sixth!J55="", "",Sixth!J55)</f>
        <v/>
      </c>
      <c r="K1302" s="86" t="str">
        <f>IF(Sixth!K55="", "",Sixth!K55)</f>
        <v/>
      </c>
      <c r="M1302" s="67" t="str">
        <f t="shared" si="62"/>
        <v/>
      </c>
      <c r="N1302" s="76">
        <f t="shared" si="63"/>
        <v>7</v>
      </c>
      <c r="O1302" s="33">
        <f t="shared" si="61"/>
        <v>7</v>
      </c>
    </row>
    <row r="1303" spans="1:15" x14ac:dyDescent="0.25">
      <c r="A1303" s="64" t="s">
        <v>206</v>
      </c>
      <c r="B1303" s="79" t="str">
        <f>IF(Sixth!B56="", "",Sixth!B56)</f>
        <v>Centre Head</v>
      </c>
      <c r="C1303" s="66" t="str">
        <f>IF(Sixth!C56="", "",Sixth!C56)</f>
        <v>PwC</v>
      </c>
      <c r="D1303" s="66" t="str">
        <f>IF(Sixth!D56="", "",Sixth!D56)</f>
        <v>Returning</v>
      </c>
      <c r="E1303" s="66" t="str">
        <f>IF(Sixth!E56="", "",Sixth!E56)</f>
        <v>Male</v>
      </c>
      <c r="F1303" s="66" t="str">
        <f>IF(Sixth!F56="", "",Sixth!F56)</f>
        <v>Brain/CNS</v>
      </c>
      <c r="G1303" s="66" t="str">
        <f>IF(Sixth!G56="", "",Sixth!G56)</f>
        <v>Non-Curative Intent</v>
      </c>
      <c r="H1303" s="66" t="str">
        <f>IF(Sixth!H56="", "",Sixth!H56)</f>
        <v>Drop-In</v>
      </c>
      <c r="I1303" s="66" t="str">
        <f>IF(Sixth!I56="", "",Sixth!I56)</f>
        <v/>
      </c>
      <c r="J1303" s="66" t="str">
        <f>IF(Sixth!J56="", "",Sixth!J56)</f>
        <v/>
      </c>
      <c r="K1303" s="86" t="str">
        <f>IF(Sixth!K56="", "",Sixth!K56)</f>
        <v/>
      </c>
      <c r="M1303" s="67">
        <f t="shared" si="62"/>
        <v>7</v>
      </c>
      <c r="N1303" s="76" t="str">
        <f t="shared" si="63"/>
        <v/>
      </c>
      <c r="O1303" s="33">
        <f t="shared" si="61"/>
        <v>7</v>
      </c>
    </row>
    <row r="1304" spans="1:15" x14ac:dyDescent="0.25">
      <c r="A1304" s="64" t="s">
        <v>206</v>
      </c>
      <c r="B1304" s="79" t="str">
        <f>IF(Sixth!B57="", "",Sixth!B57)</f>
        <v>CSS</v>
      </c>
      <c r="C1304" s="66" t="str">
        <f>IF(Sixth!C57="", "",Sixth!C57)</f>
        <v>PwC</v>
      </c>
      <c r="D1304" s="66" t="str">
        <f>IF(Sixth!D57="", "",Sixth!D57)</f>
        <v>New</v>
      </c>
      <c r="E1304" s="66" t="str">
        <f>IF(Sixth!E57="", "",Sixth!E57)</f>
        <v>Male</v>
      </c>
      <c r="F1304" s="66" t="str">
        <f>IF(Sixth!F57="", "",Sixth!F57)</f>
        <v>Lung</v>
      </c>
      <c r="G1304" s="66" t="str">
        <f>IF(Sixth!G57="", "",Sixth!G57)</f>
        <v>Non-Curative Intent</v>
      </c>
      <c r="H1304" s="66" t="str">
        <f>IF(Sixth!H57="", "",Sixth!H57)</f>
        <v>Drop-In</v>
      </c>
      <c r="I1304" s="66" t="str">
        <f>IF(Sixth!I57="", "",Sixth!I57)</f>
        <v/>
      </c>
      <c r="J1304" s="66" t="str">
        <f>IF(Sixth!J57="", "",Sixth!J57)</f>
        <v/>
      </c>
      <c r="K1304" s="86" t="str">
        <f>IF(Sixth!K57="", "",Sixth!K57)</f>
        <v/>
      </c>
      <c r="M1304" s="67">
        <f t="shared" si="62"/>
        <v>7</v>
      </c>
      <c r="N1304" s="76" t="str">
        <f t="shared" si="63"/>
        <v/>
      </c>
      <c r="O1304" s="33">
        <f t="shared" si="61"/>
        <v>7</v>
      </c>
    </row>
    <row r="1305" spans="1:15" x14ac:dyDescent="0.25">
      <c r="A1305" s="64" t="s">
        <v>206</v>
      </c>
      <c r="B1305" s="79" t="str">
        <f>IF(Sixth!B58="", "",Sixth!B58)</f>
        <v>CSS</v>
      </c>
      <c r="C1305" s="66" t="str">
        <f>IF(Sixth!C58="", "",Sixth!C58)</f>
        <v>Carer</v>
      </c>
      <c r="D1305" s="66" t="str">
        <f>IF(Sixth!D58="", "",Sixth!D58)</f>
        <v>New</v>
      </c>
      <c r="E1305" s="66" t="str">
        <f>IF(Sixth!E58="", "",Sixth!E58)</f>
        <v>Female</v>
      </c>
      <c r="F1305" s="66" t="str">
        <f>IF(Sixth!F58="", "",Sixth!F58)</f>
        <v>Lung</v>
      </c>
      <c r="G1305" s="66" t="str">
        <f>IF(Sixth!G58="", "",Sixth!G58)</f>
        <v>Non-Curative Intent</v>
      </c>
      <c r="H1305" s="66" t="str">
        <f>IF(Sixth!H58="", "",Sixth!H58)</f>
        <v>Drop-In</v>
      </c>
      <c r="I1305" s="66" t="str">
        <f>IF(Sixth!I58="", "",Sixth!I58)</f>
        <v/>
      </c>
      <c r="J1305" s="66" t="str">
        <f>IF(Sixth!J58="", "",Sixth!J58)</f>
        <v/>
      </c>
      <c r="K1305" s="86" t="str">
        <f>IF(Sixth!K58="", "",Sixth!K58)</f>
        <v/>
      </c>
      <c r="M1305" s="67" t="str">
        <f t="shared" si="62"/>
        <v/>
      </c>
      <c r="N1305" s="76">
        <f t="shared" si="63"/>
        <v>7</v>
      </c>
      <c r="O1305" s="33">
        <f t="shared" si="61"/>
        <v>7</v>
      </c>
    </row>
    <row r="1306" spans="1:15" x14ac:dyDescent="0.25">
      <c r="A1306" s="64" t="s">
        <v>206</v>
      </c>
      <c r="B1306" s="79" t="str">
        <f>IF(Sixth!B59="", "",Sixth!B59)</f>
        <v>CSS</v>
      </c>
      <c r="C1306" s="66" t="str">
        <f>IF(Sixth!C59="", "",Sixth!C59)</f>
        <v>Carer</v>
      </c>
      <c r="D1306" s="66" t="str">
        <f>IF(Sixth!D59="", "",Sixth!D59)</f>
        <v>New</v>
      </c>
      <c r="E1306" s="66" t="str">
        <f>IF(Sixth!E59="", "",Sixth!E59)</f>
        <v>Female</v>
      </c>
      <c r="F1306" s="66" t="str">
        <f>IF(Sixth!F59="", "",Sixth!F59)</f>
        <v>Lung</v>
      </c>
      <c r="G1306" s="66" t="str">
        <f>IF(Sixth!G59="", "",Sixth!G59)</f>
        <v>Non-Curative Intent</v>
      </c>
      <c r="H1306" s="66" t="str">
        <f>IF(Sixth!H59="", "",Sixth!H59)</f>
        <v>Drop-In</v>
      </c>
      <c r="I1306" s="66" t="str">
        <f>IF(Sixth!I59="", "",Sixth!I59)</f>
        <v/>
      </c>
      <c r="J1306" s="66" t="str">
        <f>IF(Sixth!J59="", "",Sixth!J59)</f>
        <v/>
      </c>
      <c r="K1306" s="86" t="str">
        <f>IF(Sixth!K59="", "",Sixth!K59)</f>
        <v/>
      </c>
      <c r="M1306" s="67" t="str">
        <f t="shared" si="62"/>
        <v/>
      </c>
      <c r="N1306" s="76">
        <f t="shared" si="63"/>
        <v>7</v>
      </c>
      <c r="O1306" s="33">
        <f t="shared" si="61"/>
        <v>7</v>
      </c>
    </row>
    <row r="1307" spans="1:15" x14ac:dyDescent="0.25">
      <c r="A1307" s="64" t="s">
        <v>206</v>
      </c>
      <c r="B1307" s="79" t="str">
        <f>IF(Sixth!B60="", "",Sixth!B60)</f>
        <v>CSS</v>
      </c>
      <c r="C1307" s="66" t="str">
        <f>IF(Sixth!C60="", "",Sixth!C60)</f>
        <v>PwC</v>
      </c>
      <c r="D1307" s="66" t="str">
        <f>IF(Sixth!D60="", "",Sixth!D60)</f>
        <v>Returning</v>
      </c>
      <c r="E1307" s="66" t="str">
        <f>IF(Sixth!E60="", "",Sixth!E60)</f>
        <v>Female</v>
      </c>
      <c r="F1307" s="66" t="str">
        <f>IF(Sixth!F60="", "",Sixth!F60)</f>
        <v>Breast</v>
      </c>
      <c r="G1307" s="66" t="str">
        <f>IF(Sixth!G60="", "",Sixth!G60)</f>
        <v>Post Treatment - Curative Intent</v>
      </c>
      <c r="H1307" s="66" t="str">
        <f>IF(Sixth!H60="", "",Sixth!H60)</f>
        <v>Drop-In</v>
      </c>
      <c r="I1307" s="66" t="str">
        <f>IF(Sixth!I60="", "",Sixth!I60)</f>
        <v/>
      </c>
      <c r="J1307" s="66" t="str">
        <f>IF(Sixth!J60="", "",Sixth!J60)</f>
        <v/>
      </c>
      <c r="K1307" s="86" t="str">
        <f>IF(Sixth!K60="", "",Sixth!K60)</f>
        <v/>
      </c>
      <c r="M1307" s="67">
        <f t="shared" si="62"/>
        <v>7</v>
      </c>
      <c r="N1307" s="76" t="str">
        <f t="shared" si="63"/>
        <v/>
      </c>
      <c r="O1307" s="33">
        <f t="shared" si="61"/>
        <v>7</v>
      </c>
    </row>
    <row r="1308" spans="1:15" x14ac:dyDescent="0.25">
      <c r="A1308" s="64" t="s">
        <v>206</v>
      </c>
      <c r="B1308" s="79" t="str">
        <f>IF(Sixth!B61="", "",Sixth!B61)</f>
        <v>CSS</v>
      </c>
      <c r="C1308" s="66" t="str">
        <f>IF(Sixth!C61="", "",Sixth!C61)</f>
        <v>PwC</v>
      </c>
      <c r="D1308" s="66" t="str">
        <f>IF(Sixth!D61="", "",Sixth!D61)</f>
        <v>Returning</v>
      </c>
      <c r="E1308" s="66" t="str">
        <f>IF(Sixth!E61="", "",Sixth!E61)</f>
        <v>Male</v>
      </c>
      <c r="F1308" s="66" t="str">
        <f>IF(Sixth!F61="", "",Sixth!F61)</f>
        <v>Head/Neck</v>
      </c>
      <c r="G1308" s="66" t="str">
        <f>IF(Sixth!G61="", "",Sixth!G61)</f>
        <v>Post Treatment - Curative Intent</v>
      </c>
      <c r="H1308" s="66" t="str">
        <f>IF(Sixth!H61="", "",Sixth!H61)</f>
        <v>Drop-In</v>
      </c>
      <c r="I1308" s="66" t="str">
        <f>IF(Sixth!I61="", "",Sixth!I61)</f>
        <v/>
      </c>
      <c r="J1308" s="66" t="str">
        <f>IF(Sixth!J61="", "",Sixth!J61)</f>
        <v/>
      </c>
      <c r="K1308" s="86" t="str">
        <f>IF(Sixth!K61="", "",Sixth!K61)</f>
        <v/>
      </c>
      <c r="M1308" s="67">
        <f t="shared" si="62"/>
        <v>7</v>
      </c>
      <c r="N1308" s="76" t="str">
        <f t="shared" si="63"/>
        <v/>
      </c>
      <c r="O1308" s="33">
        <f t="shared" si="61"/>
        <v>7</v>
      </c>
    </row>
    <row r="1309" spans="1:15" x14ac:dyDescent="0.25">
      <c r="A1309" s="64" t="s">
        <v>206</v>
      </c>
      <c r="B1309" s="79" t="str">
        <f>IF(Sixth!B62="", "",Sixth!B62)</f>
        <v>CSS</v>
      </c>
      <c r="C1309" s="66" t="str">
        <f>IF(Sixth!C62="", "",Sixth!C62)</f>
        <v>Carer</v>
      </c>
      <c r="D1309" s="66" t="str">
        <f>IF(Sixth!D62="", "",Sixth!D62)</f>
        <v>Returning</v>
      </c>
      <c r="E1309" s="66" t="str">
        <f>IF(Sixth!E62="", "",Sixth!E62)</f>
        <v>Female</v>
      </c>
      <c r="F1309" s="66" t="str">
        <f>IF(Sixth!F62="", "",Sixth!F62)</f>
        <v>Head/Neck</v>
      </c>
      <c r="G1309" s="66" t="str">
        <f>IF(Sixth!G62="", "",Sixth!G62)</f>
        <v>Post Treatment - Curative Intent</v>
      </c>
      <c r="H1309" s="66" t="str">
        <f>IF(Sixth!H62="", "",Sixth!H62)</f>
        <v>Drop-In</v>
      </c>
      <c r="I1309" s="66" t="str">
        <f>IF(Sixth!I62="", "",Sixth!I62)</f>
        <v/>
      </c>
      <c r="J1309" s="66" t="str">
        <f>IF(Sixth!J62="", "",Sixth!J62)</f>
        <v/>
      </c>
      <c r="K1309" s="86" t="str">
        <f>IF(Sixth!K62="", "",Sixth!K62)</f>
        <v/>
      </c>
      <c r="M1309" s="67" t="str">
        <f t="shared" si="62"/>
        <v/>
      </c>
      <c r="N1309" s="76">
        <f t="shared" si="63"/>
        <v>7</v>
      </c>
      <c r="O1309" s="33">
        <f t="shared" si="61"/>
        <v>7</v>
      </c>
    </row>
    <row r="1310" spans="1:15" x14ac:dyDescent="0.25">
      <c r="A1310" s="64" t="s">
        <v>206</v>
      </c>
      <c r="B1310" s="79" t="str">
        <f>IF(Sixth!B63="", "",Sixth!B63)</f>
        <v>CSS</v>
      </c>
      <c r="C1310" s="66" t="str">
        <f>IF(Sixth!C63="", "",Sixth!C63)</f>
        <v>PwC</v>
      </c>
      <c r="D1310" s="66" t="str">
        <f>IF(Sixth!D63="", "",Sixth!D63)</f>
        <v>Returning</v>
      </c>
      <c r="E1310" s="66" t="str">
        <f>IF(Sixth!E63="", "",Sixth!E63)</f>
        <v>Male</v>
      </c>
      <c r="F1310" s="66" t="str">
        <f>IF(Sixth!F63="", "",Sixth!F63)</f>
        <v>Lower GI</v>
      </c>
      <c r="G1310" s="66" t="str">
        <f>IF(Sixth!G63="", "",Sixth!G63)</f>
        <v>Non-Curative Intent</v>
      </c>
      <c r="H1310" s="66" t="str">
        <f>IF(Sixth!H63="", "",Sixth!H63)</f>
        <v>Drop-In</v>
      </c>
      <c r="I1310" s="66" t="str">
        <f>IF(Sixth!I63="", "",Sixth!I63)</f>
        <v/>
      </c>
      <c r="J1310" s="66" t="str">
        <f>IF(Sixth!J63="", "",Sixth!J63)</f>
        <v/>
      </c>
      <c r="K1310" s="86" t="str">
        <f>IF(Sixth!K63="", "",Sixth!K63)</f>
        <v/>
      </c>
      <c r="M1310" s="67">
        <f t="shared" si="62"/>
        <v>7</v>
      </c>
      <c r="N1310" s="76" t="str">
        <f t="shared" si="63"/>
        <v/>
      </c>
      <c r="O1310" s="33">
        <f t="shared" si="61"/>
        <v>7</v>
      </c>
    </row>
    <row r="1311" spans="1:15" x14ac:dyDescent="0.25">
      <c r="A1311" s="64" t="s">
        <v>206</v>
      </c>
      <c r="B1311" s="79" t="str">
        <f>IF(Sixth!B64="", "",Sixth!B64)</f>
        <v>CSS</v>
      </c>
      <c r="C1311" s="66" t="str">
        <f>IF(Sixth!C64="", "",Sixth!C64)</f>
        <v>Carer</v>
      </c>
      <c r="D1311" s="66" t="str">
        <f>IF(Sixth!D64="", "",Sixth!D64)</f>
        <v>Returning</v>
      </c>
      <c r="E1311" s="66" t="str">
        <f>IF(Sixth!E64="", "",Sixth!E64)</f>
        <v>Female</v>
      </c>
      <c r="F1311" s="66" t="str">
        <f>IF(Sixth!F64="", "",Sixth!F64)</f>
        <v>Lower GI</v>
      </c>
      <c r="G1311" s="66" t="str">
        <f>IF(Sixth!G64="", "",Sixth!G64)</f>
        <v>Non-Curative Intent</v>
      </c>
      <c r="H1311" s="66" t="str">
        <f>IF(Sixth!H64="", "",Sixth!H64)</f>
        <v>Drop-In</v>
      </c>
      <c r="I1311" s="66" t="str">
        <f>IF(Sixth!I64="", "",Sixth!I64)</f>
        <v/>
      </c>
      <c r="J1311" s="66" t="str">
        <f>IF(Sixth!J64="", "",Sixth!J64)</f>
        <v/>
      </c>
      <c r="K1311" s="86" t="str">
        <f>IF(Sixth!K64="", "",Sixth!K64)</f>
        <v/>
      </c>
      <c r="M1311" s="67" t="str">
        <f t="shared" si="62"/>
        <v/>
      </c>
      <c r="N1311" s="76">
        <f t="shared" si="63"/>
        <v>7</v>
      </c>
      <c r="O1311" s="33">
        <f t="shared" si="61"/>
        <v>7</v>
      </c>
    </row>
    <row r="1312" spans="1:15" x14ac:dyDescent="0.25">
      <c r="A1312" s="64" t="s">
        <v>206</v>
      </c>
      <c r="B1312" s="79" t="str">
        <f>IF(Sixth!B65="", "",Sixth!B65)</f>
        <v>Centre Head</v>
      </c>
      <c r="C1312" s="66" t="str">
        <f>IF(Sixth!C65="", "",Sixth!C65)</f>
        <v>PwC</v>
      </c>
      <c r="D1312" s="66" t="str">
        <f>IF(Sixth!D65="", "",Sixth!D65)</f>
        <v>Returning</v>
      </c>
      <c r="E1312" s="66" t="str">
        <f>IF(Sixth!E65="", "",Sixth!E65)</f>
        <v>Male</v>
      </c>
      <c r="F1312" s="66" t="str">
        <f>IF(Sixth!F65="", "",Sixth!F65)</f>
        <v>Haemat</v>
      </c>
      <c r="G1312" s="66" t="str">
        <f>IF(Sixth!G65="", "",Sixth!G65)</f>
        <v>Non-Curative Intent</v>
      </c>
      <c r="H1312" s="66" t="str">
        <f>IF(Sixth!H65="", "",Sixth!H65)</f>
        <v>Programme</v>
      </c>
      <c r="I1312" s="66" t="str">
        <f>IF(Sixth!I65="", "",Sixth!I65)</f>
        <v>NG Haematology</v>
      </c>
      <c r="J1312" s="66" t="str">
        <f>IF(Sixth!J65="", "",Sixth!J65)</f>
        <v/>
      </c>
      <c r="K1312" s="86" t="str">
        <f>IF(Sixth!K65="", "",Sixth!K65)</f>
        <v/>
      </c>
      <c r="M1312" s="67">
        <f t="shared" si="62"/>
        <v>7</v>
      </c>
      <c r="N1312" s="76" t="str">
        <f t="shared" si="63"/>
        <v/>
      </c>
      <c r="O1312" s="33">
        <f t="shared" si="61"/>
        <v>7</v>
      </c>
    </row>
    <row r="1313" spans="1:15" x14ac:dyDescent="0.25">
      <c r="A1313" s="64" t="s">
        <v>206</v>
      </c>
      <c r="B1313" s="79" t="str">
        <f>IF(Sixth!B66="", "",Sixth!B66)</f>
        <v>Centre Head</v>
      </c>
      <c r="C1313" s="66" t="str">
        <f>IF(Sixth!C66="", "",Sixth!C66)</f>
        <v>PwC</v>
      </c>
      <c r="D1313" s="66" t="str">
        <f>IF(Sixth!D66="", "",Sixth!D66)</f>
        <v>Returning</v>
      </c>
      <c r="E1313" s="66" t="str">
        <f>IF(Sixth!E66="", "",Sixth!E66)</f>
        <v>Male</v>
      </c>
      <c r="F1313" s="66" t="str">
        <f>IF(Sixth!F66="", "",Sixth!F66)</f>
        <v>Haemat</v>
      </c>
      <c r="G1313" s="66" t="str">
        <f>IF(Sixth!G66="", "",Sixth!G66)</f>
        <v>Non-Curative Intent</v>
      </c>
      <c r="H1313" s="66" t="str">
        <f>IF(Sixth!H66="", "",Sixth!H66)</f>
        <v>Programme</v>
      </c>
      <c r="I1313" s="66" t="str">
        <f>IF(Sixth!I66="", "",Sixth!I66)</f>
        <v>NG Haematology</v>
      </c>
      <c r="J1313" s="66" t="str">
        <f>IF(Sixth!J66="", "",Sixth!J66)</f>
        <v/>
      </c>
      <c r="K1313" s="86" t="str">
        <f>IF(Sixth!K66="", "",Sixth!K66)</f>
        <v/>
      </c>
      <c r="M1313" s="67">
        <f t="shared" si="62"/>
        <v>7</v>
      </c>
      <c r="N1313" s="76" t="str">
        <f t="shared" si="63"/>
        <v/>
      </c>
      <c r="O1313" s="33">
        <f t="shared" si="61"/>
        <v>7</v>
      </c>
    </row>
    <row r="1314" spans="1:15" x14ac:dyDescent="0.25">
      <c r="A1314" s="64" t="s">
        <v>206</v>
      </c>
      <c r="B1314" s="79" t="str">
        <f>IF(Sixth!B67="", "",Sixth!B67)</f>
        <v>Centre Head</v>
      </c>
      <c r="C1314" s="66" t="str">
        <f>IF(Sixth!C67="", "",Sixth!C67)</f>
        <v>PwC</v>
      </c>
      <c r="D1314" s="66" t="str">
        <f>IF(Sixth!D67="", "",Sixth!D67)</f>
        <v>Returning</v>
      </c>
      <c r="E1314" s="66" t="str">
        <f>IF(Sixth!E67="", "",Sixth!E67)</f>
        <v>Male</v>
      </c>
      <c r="F1314" s="66" t="str">
        <f>IF(Sixth!F67="", "",Sixth!F67)</f>
        <v>Haemat</v>
      </c>
      <c r="G1314" s="66" t="str">
        <f>IF(Sixth!G67="", "",Sixth!G67)</f>
        <v>Non-Curative Intent</v>
      </c>
      <c r="H1314" s="66" t="str">
        <f>IF(Sixth!H67="", "",Sixth!H67)</f>
        <v>Programme</v>
      </c>
      <c r="I1314" s="66" t="str">
        <f>IF(Sixth!I67="", "",Sixth!I67)</f>
        <v>NG Haematology</v>
      </c>
      <c r="J1314" s="66" t="str">
        <f>IF(Sixth!J67="", "",Sixth!J67)</f>
        <v/>
      </c>
      <c r="K1314" s="86" t="str">
        <f>IF(Sixth!K67="", "",Sixth!K67)</f>
        <v/>
      </c>
      <c r="M1314" s="67">
        <f t="shared" si="62"/>
        <v>7</v>
      </c>
      <c r="N1314" s="76" t="str">
        <f t="shared" si="63"/>
        <v/>
      </c>
      <c r="O1314" s="33">
        <f t="shared" si="61"/>
        <v>7</v>
      </c>
    </row>
    <row r="1315" spans="1:15" x14ac:dyDescent="0.25">
      <c r="A1315" s="64" t="s">
        <v>206</v>
      </c>
      <c r="B1315" s="79" t="str">
        <f>IF(Sixth!B68="", "",Sixth!B68)</f>
        <v>Centre Head</v>
      </c>
      <c r="C1315" s="66" t="str">
        <f>IF(Sixth!C68="", "",Sixth!C68)</f>
        <v>PwC</v>
      </c>
      <c r="D1315" s="66" t="str">
        <f>IF(Sixth!D68="", "",Sixth!D68)</f>
        <v>Returning</v>
      </c>
      <c r="E1315" s="66" t="str">
        <f>IF(Sixth!E68="", "",Sixth!E68)</f>
        <v>Male</v>
      </c>
      <c r="F1315" s="66" t="str">
        <f>IF(Sixth!F68="", "",Sixth!F68)</f>
        <v>Haemat</v>
      </c>
      <c r="G1315" s="66" t="str">
        <f>IF(Sixth!G68="", "",Sixth!G68)</f>
        <v>Non-Curative Intent</v>
      </c>
      <c r="H1315" s="66" t="str">
        <f>IF(Sixth!H68="", "",Sixth!H68)</f>
        <v>Programme</v>
      </c>
      <c r="I1315" s="66" t="str">
        <f>IF(Sixth!I68="", "",Sixth!I68)</f>
        <v>NG Haematology</v>
      </c>
      <c r="J1315" s="66" t="str">
        <f>IF(Sixth!J68="", "",Sixth!J68)</f>
        <v/>
      </c>
      <c r="K1315" s="86" t="str">
        <f>IF(Sixth!K68="", "",Sixth!K68)</f>
        <v/>
      </c>
      <c r="M1315" s="67">
        <f t="shared" si="62"/>
        <v>7</v>
      </c>
      <c r="N1315" s="76" t="str">
        <f t="shared" si="63"/>
        <v/>
      </c>
      <c r="O1315" s="33">
        <f t="shared" si="61"/>
        <v>7</v>
      </c>
    </row>
    <row r="1316" spans="1:15" x14ac:dyDescent="0.25">
      <c r="A1316" s="64" t="s">
        <v>206</v>
      </c>
      <c r="B1316" s="79" t="str">
        <f>IF(Sixth!B69="", "",Sixth!B69)</f>
        <v>Centre Head</v>
      </c>
      <c r="C1316" s="66" t="str">
        <f>IF(Sixth!C69="", "",Sixth!C69)</f>
        <v>PwC</v>
      </c>
      <c r="D1316" s="66" t="str">
        <f>IF(Sixth!D69="", "",Sixth!D69)</f>
        <v>Returning</v>
      </c>
      <c r="E1316" s="66" t="str">
        <f>IF(Sixth!E69="", "",Sixth!E69)</f>
        <v>Male</v>
      </c>
      <c r="F1316" s="66" t="str">
        <f>IF(Sixth!F69="", "",Sixth!F69)</f>
        <v>Haemat</v>
      </c>
      <c r="G1316" s="66" t="str">
        <f>IF(Sixth!G69="", "",Sixth!G69)</f>
        <v>Non-Curative Intent</v>
      </c>
      <c r="H1316" s="66" t="str">
        <f>IF(Sixth!H69="", "",Sixth!H69)</f>
        <v>Programme</v>
      </c>
      <c r="I1316" s="66" t="str">
        <f>IF(Sixth!I69="", "",Sixth!I69)</f>
        <v>NG Haematology</v>
      </c>
      <c r="J1316" s="66" t="str">
        <f>IF(Sixth!J69="", "",Sixth!J69)</f>
        <v/>
      </c>
      <c r="K1316" s="86" t="str">
        <f>IF(Sixth!K69="", "",Sixth!K69)</f>
        <v/>
      </c>
      <c r="M1316" s="67">
        <f t="shared" si="62"/>
        <v>7</v>
      </c>
      <c r="N1316" s="76" t="str">
        <f t="shared" si="63"/>
        <v/>
      </c>
      <c r="O1316" s="33">
        <f t="shared" si="61"/>
        <v>7</v>
      </c>
    </row>
    <row r="1317" spans="1:15" x14ac:dyDescent="0.25">
      <c r="A1317" s="64" t="s">
        <v>206</v>
      </c>
      <c r="B1317" s="79" t="str">
        <f>IF(Sixth!B70="", "",Sixth!B70)</f>
        <v>Centre Head</v>
      </c>
      <c r="C1317" s="66" t="str">
        <f>IF(Sixth!C70="", "",Sixth!C70)</f>
        <v>PwC</v>
      </c>
      <c r="D1317" s="66" t="str">
        <f>IF(Sixth!D70="", "",Sixth!D70)</f>
        <v>Returning</v>
      </c>
      <c r="E1317" s="66" t="str">
        <f>IF(Sixth!E70="", "",Sixth!E70)</f>
        <v>Male</v>
      </c>
      <c r="F1317" s="66" t="str">
        <f>IF(Sixth!F70="", "",Sixth!F70)</f>
        <v>Haemat</v>
      </c>
      <c r="G1317" s="66" t="str">
        <f>IF(Sixth!G70="", "",Sixth!G70)</f>
        <v>Non-Curative Intent</v>
      </c>
      <c r="H1317" s="66" t="str">
        <f>IF(Sixth!H70="", "",Sixth!H70)</f>
        <v>Programme</v>
      </c>
      <c r="I1317" s="66" t="str">
        <f>IF(Sixth!I70="", "",Sixth!I70)</f>
        <v>NG Haematology</v>
      </c>
      <c r="J1317" s="66" t="str">
        <f>IF(Sixth!J70="", "",Sixth!J70)</f>
        <v/>
      </c>
      <c r="K1317" s="86" t="str">
        <f>IF(Sixth!K70="", "",Sixth!K70)</f>
        <v/>
      </c>
      <c r="M1317" s="67">
        <f t="shared" si="62"/>
        <v>7</v>
      </c>
      <c r="N1317" s="76" t="str">
        <f t="shared" si="63"/>
        <v/>
      </c>
      <c r="O1317" s="33">
        <f t="shared" si="61"/>
        <v>7</v>
      </c>
    </row>
    <row r="1318" spans="1:15" x14ac:dyDescent="0.25">
      <c r="A1318" s="64" t="s">
        <v>206</v>
      </c>
      <c r="B1318" s="79" t="str">
        <f>IF(Sixth!B71="", "",Sixth!B71)</f>
        <v>Centre Head</v>
      </c>
      <c r="C1318" s="66" t="str">
        <f>IF(Sixth!C71="", "",Sixth!C71)</f>
        <v>PwC</v>
      </c>
      <c r="D1318" s="66" t="str">
        <f>IF(Sixth!D71="", "",Sixth!D71)</f>
        <v>Returning</v>
      </c>
      <c r="E1318" s="66" t="str">
        <f>IF(Sixth!E71="", "",Sixth!E71)</f>
        <v>Male</v>
      </c>
      <c r="F1318" s="66" t="str">
        <f>IF(Sixth!F71="", "",Sixth!F71)</f>
        <v>Haemat</v>
      </c>
      <c r="G1318" s="66" t="str">
        <f>IF(Sixth!G71="", "",Sixth!G71)</f>
        <v>Non-Curative Intent</v>
      </c>
      <c r="H1318" s="66" t="str">
        <f>IF(Sixth!H71="", "",Sixth!H71)</f>
        <v>Programme</v>
      </c>
      <c r="I1318" s="66" t="str">
        <f>IF(Sixth!I71="", "",Sixth!I71)</f>
        <v>NG Haematology</v>
      </c>
      <c r="J1318" s="66" t="str">
        <f>IF(Sixth!J71="", "",Sixth!J71)</f>
        <v/>
      </c>
      <c r="K1318" s="86" t="str">
        <f>IF(Sixth!K71="", "",Sixth!K71)</f>
        <v/>
      </c>
      <c r="M1318" s="67">
        <f t="shared" si="62"/>
        <v>7</v>
      </c>
      <c r="N1318" s="76" t="str">
        <f t="shared" si="63"/>
        <v/>
      </c>
      <c r="O1318" s="33">
        <f t="shared" si="61"/>
        <v>7</v>
      </c>
    </row>
    <row r="1319" spans="1:15" x14ac:dyDescent="0.25">
      <c r="A1319" s="64" t="s">
        <v>206</v>
      </c>
      <c r="B1319" s="79" t="str">
        <f>IF(Sixth!B72="", "",Sixth!B72)</f>
        <v>Centre Head</v>
      </c>
      <c r="C1319" s="66" t="str">
        <f>IF(Sixth!C72="", "",Sixth!C72)</f>
        <v>PwC</v>
      </c>
      <c r="D1319" s="66" t="str">
        <f>IF(Sixth!D72="", "",Sixth!D72)</f>
        <v>Returning</v>
      </c>
      <c r="E1319" s="66" t="str">
        <f>IF(Sixth!E72="", "",Sixth!E72)</f>
        <v>Male</v>
      </c>
      <c r="F1319" s="66" t="str">
        <f>IF(Sixth!F72="", "",Sixth!F72)</f>
        <v>Haemat</v>
      </c>
      <c r="G1319" s="66" t="str">
        <f>IF(Sixth!G72="", "",Sixth!G72)</f>
        <v>Non-Curative Intent</v>
      </c>
      <c r="H1319" s="66" t="str">
        <f>IF(Sixth!H72="", "",Sixth!H72)</f>
        <v>Programme</v>
      </c>
      <c r="I1319" s="66" t="str">
        <f>IF(Sixth!I72="", "",Sixth!I72)</f>
        <v>NG Haematology</v>
      </c>
      <c r="J1319" s="66" t="str">
        <f>IF(Sixth!J72="", "",Sixth!J72)</f>
        <v/>
      </c>
      <c r="K1319" s="86" t="str">
        <f>IF(Sixth!K72="", "",Sixth!K72)</f>
        <v/>
      </c>
      <c r="M1319" s="67">
        <f t="shared" si="62"/>
        <v>7</v>
      </c>
      <c r="N1319" s="76" t="str">
        <f t="shared" si="63"/>
        <v/>
      </c>
      <c r="O1319" s="33">
        <f t="shared" si="61"/>
        <v>7</v>
      </c>
    </row>
    <row r="1320" spans="1:15" x14ac:dyDescent="0.25">
      <c r="A1320" s="64" t="s">
        <v>206</v>
      </c>
      <c r="B1320" s="79" t="str">
        <f>IF(Sixth!B73="", "",Sixth!B73)</f>
        <v>Centre Head</v>
      </c>
      <c r="C1320" s="66" t="str">
        <f>IF(Sixth!C73="", "",Sixth!C73)</f>
        <v>PwC</v>
      </c>
      <c r="D1320" s="66" t="str">
        <f>IF(Sixth!D73="", "",Sixth!D73)</f>
        <v>Returning</v>
      </c>
      <c r="E1320" s="66" t="str">
        <f>IF(Sixth!E73="", "",Sixth!E73)</f>
        <v>Male</v>
      </c>
      <c r="F1320" s="66" t="str">
        <f>IF(Sixth!F73="", "",Sixth!F73)</f>
        <v>Haemat</v>
      </c>
      <c r="G1320" s="66" t="str">
        <f>IF(Sixth!G73="", "",Sixth!G73)</f>
        <v>Post Treatment - Curative Intent</v>
      </c>
      <c r="H1320" s="66" t="str">
        <f>IF(Sixth!H73="", "",Sixth!H73)</f>
        <v>Programme</v>
      </c>
      <c r="I1320" s="66" t="str">
        <f>IF(Sixth!I73="", "",Sixth!I73)</f>
        <v>NG Haematology</v>
      </c>
      <c r="J1320" s="66" t="str">
        <f>IF(Sixth!J73="", "",Sixth!J73)</f>
        <v/>
      </c>
      <c r="K1320" s="86" t="str">
        <f>IF(Sixth!K73="", "",Sixth!K73)</f>
        <v/>
      </c>
      <c r="M1320" s="67">
        <f t="shared" si="62"/>
        <v>7</v>
      </c>
      <c r="N1320" s="76" t="str">
        <f t="shared" si="63"/>
        <v/>
      </c>
      <c r="O1320" s="33">
        <f t="shared" si="61"/>
        <v>7</v>
      </c>
    </row>
    <row r="1321" spans="1:15" x14ac:dyDescent="0.25">
      <c r="A1321" s="64" t="s">
        <v>206</v>
      </c>
      <c r="B1321" s="79" t="str">
        <f>IF(Sixth!B74="", "",Sixth!B74)</f>
        <v>Centre Head</v>
      </c>
      <c r="C1321" s="66" t="str">
        <f>IF(Sixth!C74="", "",Sixth!C74)</f>
        <v>PwC</v>
      </c>
      <c r="D1321" s="66" t="str">
        <f>IF(Sixth!D74="", "",Sixth!D74)</f>
        <v>Returning</v>
      </c>
      <c r="E1321" s="66" t="str">
        <f>IF(Sixth!E74="", "",Sixth!E74)</f>
        <v>Male</v>
      </c>
      <c r="F1321" s="66" t="str">
        <f>IF(Sixth!F74="", "",Sixth!F74)</f>
        <v>Haemat</v>
      </c>
      <c r="G1321" s="66" t="str">
        <f>IF(Sixth!G74="", "",Sixth!G74)</f>
        <v>Post Treatment - Curative Intent</v>
      </c>
      <c r="H1321" s="66" t="str">
        <f>IF(Sixth!H74="", "",Sixth!H74)</f>
        <v>Programme</v>
      </c>
      <c r="I1321" s="66" t="str">
        <f>IF(Sixth!I74="", "",Sixth!I74)</f>
        <v>NG Haematology</v>
      </c>
      <c r="J1321" s="66" t="str">
        <f>IF(Sixth!J74="", "",Sixth!J74)</f>
        <v/>
      </c>
      <c r="K1321" s="86" t="str">
        <f>IF(Sixth!K74="", "",Sixth!K74)</f>
        <v/>
      </c>
      <c r="M1321" s="67">
        <f t="shared" si="62"/>
        <v>7</v>
      </c>
      <c r="N1321" s="76" t="str">
        <f t="shared" si="63"/>
        <v/>
      </c>
      <c r="O1321" s="33">
        <f t="shared" si="61"/>
        <v>7</v>
      </c>
    </row>
    <row r="1322" spans="1:15" x14ac:dyDescent="0.25">
      <c r="A1322" s="64" t="s">
        <v>206</v>
      </c>
      <c r="B1322" s="79" t="str">
        <f>IF(Sixth!B75="", "",Sixth!B75)</f>
        <v>Centre Head</v>
      </c>
      <c r="C1322" s="66" t="str">
        <f>IF(Sixth!C75="", "",Sixth!C75)</f>
        <v>PwC</v>
      </c>
      <c r="D1322" s="66" t="str">
        <f>IF(Sixth!D75="", "",Sixth!D75)</f>
        <v>Returning</v>
      </c>
      <c r="E1322" s="66" t="str">
        <f>IF(Sixth!E75="", "",Sixth!E75)</f>
        <v>Male</v>
      </c>
      <c r="F1322" s="66" t="str">
        <f>IF(Sixth!F75="", "",Sixth!F75)</f>
        <v>Haemat</v>
      </c>
      <c r="G1322" s="66" t="str">
        <f>IF(Sixth!G75="", "",Sixth!G75)</f>
        <v>Post Treatment - Curative Intent</v>
      </c>
      <c r="H1322" s="66" t="str">
        <f>IF(Sixth!H75="", "",Sixth!H75)</f>
        <v>Programme</v>
      </c>
      <c r="I1322" s="66" t="str">
        <f>IF(Sixth!I75="", "",Sixth!I75)</f>
        <v>NG Haematology</v>
      </c>
      <c r="J1322" s="66" t="str">
        <f>IF(Sixth!J75="", "",Sixth!J75)</f>
        <v/>
      </c>
      <c r="K1322" s="86" t="str">
        <f>IF(Sixth!K75="", "",Sixth!K75)</f>
        <v/>
      </c>
      <c r="M1322" s="67">
        <f t="shared" si="62"/>
        <v>7</v>
      </c>
      <c r="N1322" s="76" t="str">
        <f t="shared" si="63"/>
        <v/>
      </c>
      <c r="O1322" s="33">
        <f t="shared" si="61"/>
        <v>7</v>
      </c>
    </row>
    <row r="1323" spans="1:15" x14ac:dyDescent="0.25">
      <c r="A1323" s="64" t="s">
        <v>206</v>
      </c>
      <c r="B1323" s="79" t="str">
        <f>IF(Sixth!B76="", "",Sixth!B76)</f>
        <v>Centre Head</v>
      </c>
      <c r="C1323" s="66" t="str">
        <f>IF(Sixth!C76="", "",Sixth!C76)</f>
        <v>PwC</v>
      </c>
      <c r="D1323" s="66" t="str">
        <f>IF(Sixth!D76="", "",Sixth!D76)</f>
        <v>Returning</v>
      </c>
      <c r="E1323" s="66" t="str">
        <f>IF(Sixth!E76="", "",Sixth!E76)</f>
        <v>Male</v>
      </c>
      <c r="F1323" s="66" t="str">
        <f>IF(Sixth!F76="", "",Sixth!F76)</f>
        <v>Haemat</v>
      </c>
      <c r="G1323" s="66" t="str">
        <f>IF(Sixth!G76="", "",Sixth!G76)</f>
        <v>Post Treatment - Curative Intent</v>
      </c>
      <c r="H1323" s="66" t="str">
        <f>IF(Sixth!H76="", "",Sixth!H76)</f>
        <v>Programme</v>
      </c>
      <c r="I1323" s="66" t="str">
        <f>IF(Sixth!I76="", "",Sixth!I76)</f>
        <v>NG Haematology</v>
      </c>
      <c r="J1323" s="66" t="str">
        <f>IF(Sixth!J76="", "",Sixth!J76)</f>
        <v/>
      </c>
      <c r="K1323" s="86" t="str">
        <f>IF(Sixth!K76="", "",Sixth!K76)</f>
        <v/>
      </c>
      <c r="M1323" s="67">
        <f t="shared" si="62"/>
        <v>7</v>
      </c>
      <c r="N1323" s="76" t="str">
        <f t="shared" si="63"/>
        <v/>
      </c>
      <c r="O1323" s="33">
        <f t="shared" si="61"/>
        <v>7</v>
      </c>
    </row>
    <row r="1324" spans="1:15" x14ac:dyDescent="0.25">
      <c r="A1324" s="64" t="s">
        <v>206</v>
      </c>
      <c r="B1324" s="79" t="str">
        <f>IF(Sixth!B77="", "",Sixth!B77)</f>
        <v>Centre Head</v>
      </c>
      <c r="C1324" s="66" t="str">
        <f>IF(Sixth!C77="", "",Sixth!C77)</f>
        <v>PwC</v>
      </c>
      <c r="D1324" s="66" t="str">
        <f>IF(Sixth!D77="", "",Sixth!D77)</f>
        <v>Returning</v>
      </c>
      <c r="E1324" s="66" t="str">
        <f>IF(Sixth!E77="", "",Sixth!E77)</f>
        <v>Male</v>
      </c>
      <c r="F1324" s="66" t="str">
        <f>IF(Sixth!F77="", "",Sixth!F77)</f>
        <v>Haemat</v>
      </c>
      <c r="G1324" s="66" t="str">
        <f>IF(Sixth!G77="", "",Sixth!G77)</f>
        <v>Post Treatment - Curative Intent</v>
      </c>
      <c r="H1324" s="66" t="str">
        <f>IF(Sixth!H77="", "",Sixth!H77)</f>
        <v>Programme</v>
      </c>
      <c r="I1324" s="66" t="str">
        <f>IF(Sixth!I77="", "",Sixth!I77)</f>
        <v>NG Haematology</v>
      </c>
      <c r="J1324" s="66" t="str">
        <f>IF(Sixth!J77="", "",Sixth!J77)</f>
        <v/>
      </c>
      <c r="K1324" s="86" t="str">
        <f>IF(Sixth!K77="", "",Sixth!K77)</f>
        <v/>
      </c>
      <c r="M1324" s="67">
        <f t="shared" si="62"/>
        <v>7</v>
      </c>
      <c r="N1324" s="76" t="str">
        <f t="shared" si="63"/>
        <v/>
      </c>
      <c r="O1324" s="33">
        <f t="shared" si="61"/>
        <v>7</v>
      </c>
    </row>
    <row r="1325" spans="1:15" x14ac:dyDescent="0.25">
      <c r="A1325" s="64" t="s">
        <v>206</v>
      </c>
      <c r="B1325" s="79" t="str">
        <f>IF(Sixth!B78="", "",Sixth!B78)</f>
        <v>Centre Head</v>
      </c>
      <c r="C1325" s="66" t="str">
        <f>IF(Sixth!C78="", "",Sixth!C78)</f>
        <v>PwC</v>
      </c>
      <c r="D1325" s="66" t="str">
        <f>IF(Sixth!D78="", "",Sixth!D78)</f>
        <v>Returning</v>
      </c>
      <c r="E1325" s="66" t="str">
        <f>IF(Sixth!E78="", "",Sixth!E78)</f>
        <v>Female</v>
      </c>
      <c r="F1325" s="66" t="str">
        <f>IF(Sixth!F78="", "",Sixth!F78)</f>
        <v>Haemat</v>
      </c>
      <c r="G1325" s="66" t="str">
        <f>IF(Sixth!G78="", "",Sixth!G78)</f>
        <v>Post Treatment - Curative Intent</v>
      </c>
      <c r="H1325" s="66" t="str">
        <f>IF(Sixth!H78="", "",Sixth!H78)</f>
        <v>Programme</v>
      </c>
      <c r="I1325" s="66" t="str">
        <f>IF(Sixth!I78="", "",Sixth!I78)</f>
        <v>NG Haematology</v>
      </c>
      <c r="J1325" s="66" t="str">
        <f>IF(Sixth!J78="", "",Sixth!J78)</f>
        <v/>
      </c>
      <c r="K1325" s="86" t="str">
        <f>IF(Sixth!K78="", "",Sixth!K78)</f>
        <v/>
      </c>
      <c r="M1325" s="67">
        <f t="shared" si="62"/>
        <v>7</v>
      </c>
      <c r="N1325" s="76" t="str">
        <f t="shared" si="63"/>
        <v/>
      </c>
      <c r="O1325" s="33">
        <f t="shared" si="61"/>
        <v>7</v>
      </c>
    </row>
    <row r="1326" spans="1:15" x14ac:dyDescent="0.25">
      <c r="A1326" s="64" t="s">
        <v>206</v>
      </c>
      <c r="B1326" s="79" t="str">
        <f>IF(Sixth!B79="", "",Sixth!B79)</f>
        <v>Centre Head</v>
      </c>
      <c r="C1326" s="66" t="str">
        <f>IF(Sixth!C79="", "",Sixth!C79)</f>
        <v>PwC</v>
      </c>
      <c r="D1326" s="66" t="str">
        <f>IF(Sixth!D79="", "",Sixth!D79)</f>
        <v>Returning</v>
      </c>
      <c r="E1326" s="66" t="str">
        <f>IF(Sixth!E79="", "",Sixth!E79)</f>
        <v>Female</v>
      </c>
      <c r="F1326" s="66" t="str">
        <f>IF(Sixth!F79="", "",Sixth!F79)</f>
        <v>Haemat</v>
      </c>
      <c r="G1326" s="66" t="str">
        <f>IF(Sixth!G79="", "",Sixth!G79)</f>
        <v>Post Treatment - Curative Intent</v>
      </c>
      <c r="H1326" s="66" t="str">
        <f>IF(Sixth!H79="", "",Sixth!H79)</f>
        <v>Programme</v>
      </c>
      <c r="I1326" s="66" t="str">
        <f>IF(Sixth!I79="", "",Sixth!I79)</f>
        <v>NG Haematology</v>
      </c>
      <c r="J1326" s="66" t="str">
        <f>IF(Sixth!J79="", "",Sixth!J79)</f>
        <v/>
      </c>
      <c r="K1326" s="86" t="str">
        <f>IF(Sixth!K79="", "",Sixth!K79)</f>
        <v/>
      </c>
      <c r="M1326" s="67">
        <f t="shared" si="62"/>
        <v>7</v>
      </c>
      <c r="N1326" s="76" t="str">
        <f t="shared" si="63"/>
        <v/>
      </c>
      <c r="O1326" s="33">
        <f t="shared" si="61"/>
        <v>7</v>
      </c>
    </row>
    <row r="1327" spans="1:15" x14ac:dyDescent="0.25">
      <c r="A1327" s="64" t="s">
        <v>206</v>
      </c>
      <c r="B1327" s="79" t="str">
        <f>IF(Sixth!B80="", "",Sixth!B80)</f>
        <v>Centre Head</v>
      </c>
      <c r="C1327" s="66" t="str">
        <f>IF(Sixth!C80="", "",Sixth!C80)</f>
        <v>PwC</v>
      </c>
      <c r="D1327" s="66" t="str">
        <f>IF(Sixth!D80="", "",Sixth!D80)</f>
        <v>Returning</v>
      </c>
      <c r="E1327" s="66" t="str">
        <f>IF(Sixth!E80="", "",Sixth!E80)</f>
        <v>Female</v>
      </c>
      <c r="F1327" s="66" t="str">
        <f>IF(Sixth!F80="", "",Sixth!F80)</f>
        <v>Haemat</v>
      </c>
      <c r="G1327" s="66" t="str">
        <f>IF(Sixth!G80="", "",Sixth!G80)</f>
        <v>Post Treatment - Curative Intent</v>
      </c>
      <c r="H1327" s="66" t="str">
        <f>IF(Sixth!H80="", "",Sixth!H80)</f>
        <v>Programme</v>
      </c>
      <c r="I1327" s="66" t="str">
        <f>IF(Sixth!I80="", "",Sixth!I80)</f>
        <v>NG Haematology</v>
      </c>
      <c r="J1327" s="66" t="str">
        <f>IF(Sixth!J80="", "",Sixth!J80)</f>
        <v/>
      </c>
      <c r="K1327" s="86" t="str">
        <f>IF(Sixth!K80="", "",Sixth!K80)</f>
        <v/>
      </c>
      <c r="M1327" s="67">
        <f t="shared" si="62"/>
        <v>7</v>
      </c>
      <c r="N1327" s="76" t="str">
        <f t="shared" si="63"/>
        <v/>
      </c>
      <c r="O1327" s="33">
        <f t="shared" si="61"/>
        <v>7</v>
      </c>
    </row>
    <row r="1328" spans="1:15" x14ac:dyDescent="0.25">
      <c r="A1328" s="64" t="s">
        <v>206</v>
      </c>
      <c r="B1328" s="79" t="str">
        <f>IF(Sixth!B81="", "",Sixth!B81)</f>
        <v>Centre Head</v>
      </c>
      <c r="C1328" s="66" t="str">
        <f>IF(Sixth!C81="", "",Sixth!C81)</f>
        <v>PwC</v>
      </c>
      <c r="D1328" s="66" t="str">
        <f>IF(Sixth!D81="", "",Sixth!D81)</f>
        <v>Returning</v>
      </c>
      <c r="E1328" s="66" t="str">
        <f>IF(Sixth!E81="", "",Sixth!E81)</f>
        <v>Female</v>
      </c>
      <c r="F1328" s="66" t="str">
        <f>IF(Sixth!F81="", "",Sixth!F81)</f>
        <v>Haemat</v>
      </c>
      <c r="G1328" s="66" t="str">
        <f>IF(Sixth!G81="", "",Sixth!G81)</f>
        <v>Post Treatment - Curative Intent</v>
      </c>
      <c r="H1328" s="66" t="str">
        <f>IF(Sixth!H81="", "",Sixth!H81)</f>
        <v>Programme</v>
      </c>
      <c r="I1328" s="66" t="str">
        <f>IF(Sixth!I81="", "",Sixth!I81)</f>
        <v>NG Haematology</v>
      </c>
      <c r="J1328" s="66" t="str">
        <f>IF(Sixth!J81="", "",Sixth!J81)</f>
        <v/>
      </c>
      <c r="K1328" s="86" t="str">
        <f>IF(Sixth!K81="", "",Sixth!K81)</f>
        <v/>
      </c>
      <c r="M1328" s="67">
        <f t="shared" si="62"/>
        <v>7</v>
      </c>
      <c r="N1328" s="76" t="str">
        <f t="shared" si="63"/>
        <v/>
      </c>
      <c r="O1328" s="33">
        <f t="shared" si="61"/>
        <v>7</v>
      </c>
    </row>
    <row r="1329" spans="1:15" x14ac:dyDescent="0.25">
      <c r="A1329" s="64" t="s">
        <v>206</v>
      </c>
      <c r="B1329" s="79" t="str">
        <f>IF(Sixth!B82="", "",Sixth!B82)</f>
        <v>Centre Head</v>
      </c>
      <c r="C1329" s="66" t="str">
        <f>IF(Sixth!C82="", "",Sixth!C82)</f>
        <v>PwC</v>
      </c>
      <c r="D1329" s="66" t="str">
        <f>IF(Sixth!D82="", "",Sixth!D82)</f>
        <v>Returning</v>
      </c>
      <c r="E1329" s="66" t="str">
        <f>IF(Sixth!E82="", "",Sixth!E82)</f>
        <v>Female</v>
      </c>
      <c r="F1329" s="66" t="str">
        <f>IF(Sixth!F82="", "",Sixth!F82)</f>
        <v>Haemat</v>
      </c>
      <c r="G1329" s="66" t="str">
        <f>IF(Sixth!G82="", "",Sixth!G82)</f>
        <v>Non-Curative Intent</v>
      </c>
      <c r="H1329" s="66" t="str">
        <f>IF(Sixth!H82="", "",Sixth!H82)</f>
        <v>Programme</v>
      </c>
      <c r="I1329" s="66" t="str">
        <f>IF(Sixth!I82="", "",Sixth!I82)</f>
        <v>NG Haematology</v>
      </c>
      <c r="J1329" s="66" t="str">
        <f>IF(Sixth!J82="", "",Sixth!J82)</f>
        <v/>
      </c>
      <c r="K1329" s="86" t="str">
        <f>IF(Sixth!K82="", "",Sixth!K82)</f>
        <v/>
      </c>
      <c r="M1329" s="67">
        <f t="shared" si="62"/>
        <v>7</v>
      </c>
      <c r="N1329" s="76" t="str">
        <f t="shared" si="63"/>
        <v/>
      </c>
      <c r="O1329" s="33">
        <f t="shared" si="61"/>
        <v>7</v>
      </c>
    </row>
    <row r="1330" spans="1:15" x14ac:dyDescent="0.25">
      <c r="A1330" s="64" t="s">
        <v>206</v>
      </c>
      <c r="B1330" s="79" t="str">
        <f>IF(Sixth!B83="", "",Sixth!B83)</f>
        <v>Centre Head</v>
      </c>
      <c r="C1330" s="66" t="str">
        <f>IF(Sixth!C83="", "",Sixth!C83)</f>
        <v>PwC</v>
      </c>
      <c r="D1330" s="66" t="str">
        <f>IF(Sixth!D83="", "",Sixth!D83)</f>
        <v>Returning</v>
      </c>
      <c r="E1330" s="66" t="str">
        <f>IF(Sixth!E83="", "",Sixth!E83)</f>
        <v>Female</v>
      </c>
      <c r="F1330" s="66" t="str">
        <f>IF(Sixth!F83="", "",Sixth!F83)</f>
        <v>Haemat</v>
      </c>
      <c r="G1330" s="66" t="str">
        <f>IF(Sixth!G83="", "",Sixth!G83)</f>
        <v>Non-Curative Intent</v>
      </c>
      <c r="H1330" s="66" t="str">
        <f>IF(Sixth!H83="", "",Sixth!H83)</f>
        <v>Programme</v>
      </c>
      <c r="I1330" s="66" t="str">
        <f>IF(Sixth!I83="", "",Sixth!I83)</f>
        <v>NG Haematology</v>
      </c>
      <c r="J1330" s="66" t="str">
        <f>IF(Sixth!J83="", "",Sixth!J83)</f>
        <v/>
      </c>
      <c r="K1330" s="86" t="str">
        <f>IF(Sixth!K83="", "",Sixth!K83)</f>
        <v/>
      </c>
      <c r="M1330" s="67">
        <f t="shared" si="62"/>
        <v>7</v>
      </c>
      <c r="N1330" s="76" t="str">
        <f t="shared" si="63"/>
        <v/>
      </c>
      <c r="O1330" s="33">
        <f t="shared" si="61"/>
        <v>7</v>
      </c>
    </row>
    <row r="1331" spans="1:15" x14ac:dyDescent="0.25">
      <c r="A1331" s="64" t="s">
        <v>206</v>
      </c>
      <c r="B1331" s="79" t="str">
        <f>IF(Sixth!B84="", "",Sixth!B84)</f>
        <v>Centre Head</v>
      </c>
      <c r="C1331" s="66" t="str">
        <f>IF(Sixth!C84="", "",Sixth!C84)</f>
        <v>PwC</v>
      </c>
      <c r="D1331" s="66" t="str">
        <f>IF(Sixth!D84="", "",Sixth!D84)</f>
        <v>Returning</v>
      </c>
      <c r="E1331" s="66" t="str">
        <f>IF(Sixth!E84="", "",Sixth!E84)</f>
        <v>Female</v>
      </c>
      <c r="F1331" s="66" t="str">
        <f>IF(Sixth!F84="", "",Sixth!F84)</f>
        <v>Haemat</v>
      </c>
      <c r="G1331" s="66" t="str">
        <f>IF(Sixth!G84="", "",Sixth!G84)</f>
        <v>Non-Curative Intent</v>
      </c>
      <c r="H1331" s="66" t="str">
        <f>IF(Sixth!H84="", "",Sixth!H84)</f>
        <v>Programme</v>
      </c>
      <c r="I1331" s="66" t="str">
        <f>IF(Sixth!I84="", "",Sixth!I84)</f>
        <v>NG Haematology</v>
      </c>
      <c r="J1331" s="66" t="str">
        <f>IF(Sixth!J84="", "",Sixth!J84)</f>
        <v/>
      </c>
      <c r="K1331" s="86" t="str">
        <f>IF(Sixth!K84="", "",Sixth!K84)</f>
        <v/>
      </c>
      <c r="M1331" s="67">
        <f t="shared" si="62"/>
        <v>7</v>
      </c>
      <c r="N1331" s="76" t="str">
        <f t="shared" si="63"/>
        <v/>
      </c>
      <c r="O1331" s="33">
        <f t="shared" si="61"/>
        <v>7</v>
      </c>
    </row>
    <row r="1332" spans="1:15" x14ac:dyDescent="0.25">
      <c r="A1332" s="64" t="s">
        <v>206</v>
      </c>
      <c r="B1332" s="79" t="str">
        <f>IF(Sixth!B85="", "",Sixth!B85)</f>
        <v>Centre Head</v>
      </c>
      <c r="C1332" s="66" t="str">
        <f>IF(Sixth!C85="", "",Sixth!C85)</f>
        <v>PwC</v>
      </c>
      <c r="D1332" s="66" t="str">
        <f>IF(Sixth!D85="", "",Sixth!D85)</f>
        <v>Returning</v>
      </c>
      <c r="E1332" s="66" t="str">
        <f>IF(Sixth!E85="", "",Sixth!E85)</f>
        <v>Female</v>
      </c>
      <c r="F1332" s="66" t="str">
        <f>IF(Sixth!F85="", "",Sixth!F85)</f>
        <v>Haemat</v>
      </c>
      <c r="G1332" s="66" t="str">
        <f>IF(Sixth!G85="", "",Sixth!G85)</f>
        <v>Non-Curative Intent</v>
      </c>
      <c r="H1332" s="66" t="str">
        <f>IF(Sixth!H85="", "",Sixth!H85)</f>
        <v>Programme</v>
      </c>
      <c r="I1332" s="66" t="str">
        <f>IF(Sixth!I85="", "",Sixth!I85)</f>
        <v>NG Haematology</v>
      </c>
      <c r="J1332" s="66" t="str">
        <f>IF(Sixth!J85="", "",Sixth!J85)</f>
        <v/>
      </c>
      <c r="K1332" s="86" t="str">
        <f>IF(Sixth!K85="", "",Sixth!K85)</f>
        <v/>
      </c>
      <c r="M1332" s="67">
        <f t="shared" si="62"/>
        <v>7</v>
      </c>
      <c r="N1332" s="76" t="str">
        <f t="shared" si="63"/>
        <v/>
      </c>
      <c r="O1332" s="33">
        <f t="shared" si="61"/>
        <v>7</v>
      </c>
    </row>
    <row r="1333" spans="1:15" x14ac:dyDescent="0.25">
      <c r="A1333" s="64" t="s">
        <v>206</v>
      </c>
      <c r="B1333" s="79" t="str">
        <f>IF(Sixth!B86="", "",Sixth!B86)</f>
        <v>Centre Head</v>
      </c>
      <c r="C1333" s="66" t="str">
        <f>IF(Sixth!C86="", "",Sixth!C86)</f>
        <v>PwC</v>
      </c>
      <c r="D1333" s="66" t="str">
        <f>IF(Sixth!D86="", "",Sixth!D86)</f>
        <v>Returning</v>
      </c>
      <c r="E1333" s="66" t="str">
        <f>IF(Sixth!E86="", "",Sixth!E86)</f>
        <v>Female</v>
      </c>
      <c r="F1333" s="66" t="str">
        <f>IF(Sixth!F86="", "",Sixth!F86)</f>
        <v>Haemat</v>
      </c>
      <c r="G1333" s="66" t="str">
        <f>IF(Sixth!G86="", "",Sixth!G86)</f>
        <v>Non-Curative Intent</v>
      </c>
      <c r="H1333" s="66" t="str">
        <f>IF(Sixth!H86="", "",Sixth!H86)</f>
        <v>Programme</v>
      </c>
      <c r="I1333" s="66" t="str">
        <f>IF(Sixth!I86="", "",Sixth!I86)</f>
        <v>NG Haematology</v>
      </c>
      <c r="J1333" s="66" t="str">
        <f>IF(Sixth!J86="", "",Sixth!J86)</f>
        <v/>
      </c>
      <c r="K1333" s="86" t="str">
        <f>IF(Sixth!K86="", "",Sixth!K86)</f>
        <v/>
      </c>
      <c r="M1333" s="67">
        <f t="shared" si="62"/>
        <v>7</v>
      </c>
      <c r="N1333" s="76" t="str">
        <f t="shared" si="63"/>
        <v/>
      </c>
      <c r="O1333" s="33">
        <f t="shared" si="61"/>
        <v>7</v>
      </c>
    </row>
    <row r="1334" spans="1:15" x14ac:dyDescent="0.25">
      <c r="A1334" s="64" t="s">
        <v>206</v>
      </c>
      <c r="B1334" s="79" t="str">
        <f>IF(Sixth!B87="", "",Sixth!B87)</f>
        <v>Centre Head</v>
      </c>
      <c r="C1334" s="66" t="str">
        <f>IF(Sixth!C87="", "",Sixth!C87)</f>
        <v>PwC</v>
      </c>
      <c r="D1334" s="66" t="str">
        <f>IF(Sixth!D87="", "",Sixth!D87)</f>
        <v>Returning</v>
      </c>
      <c r="E1334" s="66" t="str">
        <f>IF(Sixth!E87="", "",Sixth!E87)</f>
        <v>Female</v>
      </c>
      <c r="F1334" s="66" t="str">
        <f>IF(Sixth!F87="", "",Sixth!F87)</f>
        <v>Haemat</v>
      </c>
      <c r="G1334" s="66" t="str">
        <f>IF(Sixth!G87="", "",Sixth!G87)</f>
        <v>Non-Curative Intent</v>
      </c>
      <c r="H1334" s="66" t="str">
        <f>IF(Sixth!H87="", "",Sixth!H87)</f>
        <v>Programme</v>
      </c>
      <c r="I1334" s="66" t="str">
        <f>IF(Sixth!I87="", "",Sixth!I87)</f>
        <v>NG Haematology</v>
      </c>
      <c r="J1334" s="66" t="str">
        <f>IF(Sixth!J87="", "",Sixth!J87)</f>
        <v/>
      </c>
      <c r="K1334" s="86" t="str">
        <f>IF(Sixth!K87="", "",Sixth!K87)</f>
        <v/>
      </c>
      <c r="M1334" s="67">
        <f t="shared" si="62"/>
        <v>7</v>
      </c>
      <c r="N1334" s="76" t="str">
        <f t="shared" si="63"/>
        <v/>
      </c>
      <c r="O1334" s="33">
        <f t="shared" si="61"/>
        <v>7</v>
      </c>
    </row>
    <row r="1335" spans="1:15" x14ac:dyDescent="0.25">
      <c r="A1335" s="64" t="s">
        <v>206</v>
      </c>
      <c r="B1335" s="79" t="str">
        <f>IF(Sixth!B88="", "",Sixth!B88)</f>
        <v>Centre Head</v>
      </c>
      <c r="C1335" s="66" t="str">
        <f>IF(Sixth!C88="", "",Sixth!C88)</f>
        <v>PwC</v>
      </c>
      <c r="D1335" s="66" t="str">
        <f>IF(Sixth!D88="", "",Sixth!D88)</f>
        <v>Returning</v>
      </c>
      <c r="E1335" s="66" t="str">
        <f>IF(Sixth!E88="", "",Sixth!E88)</f>
        <v>Female</v>
      </c>
      <c r="F1335" s="66" t="str">
        <f>IF(Sixth!F88="", "",Sixth!F88)</f>
        <v>Haemat</v>
      </c>
      <c r="G1335" s="66" t="str">
        <f>IF(Sixth!G88="", "",Sixth!G88)</f>
        <v>Non-Curative Intent</v>
      </c>
      <c r="H1335" s="66" t="str">
        <f>IF(Sixth!H88="", "",Sixth!H88)</f>
        <v>Programme</v>
      </c>
      <c r="I1335" s="66" t="str">
        <f>IF(Sixth!I88="", "",Sixth!I88)</f>
        <v>NG Haematology</v>
      </c>
      <c r="J1335" s="66" t="str">
        <f>IF(Sixth!J88="", "",Sixth!J88)</f>
        <v/>
      </c>
      <c r="K1335" s="86" t="str">
        <f>IF(Sixth!K88="", "",Sixth!K88)</f>
        <v/>
      </c>
      <c r="M1335" s="67">
        <f t="shared" si="62"/>
        <v>7</v>
      </c>
      <c r="N1335" s="76" t="str">
        <f t="shared" si="63"/>
        <v/>
      </c>
      <c r="O1335" s="33">
        <f t="shared" si="61"/>
        <v>7</v>
      </c>
    </row>
    <row r="1336" spans="1:15" x14ac:dyDescent="0.25">
      <c r="A1336" s="64" t="s">
        <v>206</v>
      </c>
      <c r="B1336" s="79" t="str">
        <f>IF(Sixth!B89="", "",Sixth!B89)</f>
        <v/>
      </c>
      <c r="C1336" s="66" t="str">
        <f>IF(Sixth!C89="", "",Sixth!C89)</f>
        <v/>
      </c>
      <c r="D1336" s="66" t="str">
        <f>IF(Sixth!D89="", "",Sixth!D89)</f>
        <v/>
      </c>
      <c r="E1336" s="66" t="str">
        <f>IF(Sixth!E89="", "",Sixth!E89)</f>
        <v/>
      </c>
      <c r="F1336" s="66" t="str">
        <f>IF(Sixth!F89="", "",Sixth!F89)</f>
        <v/>
      </c>
      <c r="G1336" s="66" t="str">
        <f>IF(Sixth!G89="", "",Sixth!G89)</f>
        <v/>
      </c>
      <c r="H1336" s="66" t="str">
        <f>IF(Sixth!H89="", "",Sixth!H89)</f>
        <v/>
      </c>
      <c r="I1336" s="66" t="str">
        <f>IF(Sixth!I89="", "",Sixth!I89)</f>
        <v/>
      </c>
      <c r="J1336" s="66" t="str">
        <f>IF(Sixth!J89="", "",Sixth!J89)</f>
        <v/>
      </c>
      <c r="K1336" s="86" t="str">
        <f>IF(Sixth!K89="", "",Sixth!K89)</f>
        <v/>
      </c>
      <c r="M1336" s="67" t="str">
        <f t="shared" si="62"/>
        <v/>
      </c>
      <c r="N1336" s="76" t="str">
        <f t="shared" si="63"/>
        <v/>
      </c>
      <c r="O1336" s="33">
        <f t="shared" si="61"/>
        <v>0</v>
      </c>
    </row>
    <row r="1337" spans="1:15" x14ac:dyDescent="0.25">
      <c r="A1337" s="64" t="s">
        <v>206</v>
      </c>
      <c r="B1337" s="79" t="str">
        <f>IF(Sixth!B90="", "",Sixth!B90)</f>
        <v/>
      </c>
      <c r="C1337" s="66" t="str">
        <f>IF(Sixth!C90="", "",Sixth!C90)</f>
        <v/>
      </c>
      <c r="D1337" s="66" t="str">
        <f>IF(Sixth!D90="", "",Sixth!D90)</f>
        <v/>
      </c>
      <c r="E1337" s="66" t="str">
        <f>IF(Sixth!E90="", "",Sixth!E90)</f>
        <v/>
      </c>
      <c r="F1337" s="66" t="str">
        <f>IF(Sixth!F90="", "",Sixth!F90)</f>
        <v/>
      </c>
      <c r="G1337" s="66" t="str">
        <f>IF(Sixth!G90="", "",Sixth!G90)</f>
        <v/>
      </c>
      <c r="H1337" s="66" t="str">
        <f>IF(Sixth!H90="", "",Sixth!H90)</f>
        <v/>
      </c>
      <c r="I1337" s="66" t="str">
        <f>IF(Sixth!I90="", "",Sixth!I90)</f>
        <v/>
      </c>
      <c r="J1337" s="66" t="str">
        <f>IF(Sixth!J90="", "",Sixth!J90)</f>
        <v/>
      </c>
      <c r="K1337" s="86" t="str">
        <f>IF(Sixth!K90="", "",Sixth!K90)</f>
        <v/>
      </c>
      <c r="M1337" s="67" t="str">
        <f t="shared" si="62"/>
        <v/>
      </c>
      <c r="N1337" s="76" t="str">
        <f t="shared" si="63"/>
        <v/>
      </c>
      <c r="O1337" s="33">
        <f t="shared" si="61"/>
        <v>0</v>
      </c>
    </row>
    <row r="1338" spans="1:15" x14ac:dyDescent="0.25">
      <c r="A1338" s="64" t="s">
        <v>206</v>
      </c>
      <c r="B1338" s="79" t="str">
        <f>IF(Sixth!B91="", "",Sixth!B91)</f>
        <v/>
      </c>
      <c r="C1338" s="66" t="str">
        <f>IF(Sixth!C91="", "",Sixth!C91)</f>
        <v/>
      </c>
      <c r="D1338" s="66" t="str">
        <f>IF(Sixth!D91="", "",Sixth!D91)</f>
        <v/>
      </c>
      <c r="E1338" s="66" t="str">
        <f>IF(Sixth!E91="", "",Sixth!E91)</f>
        <v/>
      </c>
      <c r="F1338" s="66" t="str">
        <f>IF(Sixth!F91="", "",Sixth!F91)</f>
        <v/>
      </c>
      <c r="G1338" s="66" t="str">
        <f>IF(Sixth!G91="", "",Sixth!G91)</f>
        <v/>
      </c>
      <c r="H1338" s="66" t="str">
        <f>IF(Sixth!H91="", "",Sixth!H91)</f>
        <v/>
      </c>
      <c r="I1338" s="66" t="str">
        <f>IF(Sixth!I91="", "",Sixth!I91)</f>
        <v/>
      </c>
      <c r="J1338" s="66" t="str">
        <f>IF(Sixth!J91="", "",Sixth!J91)</f>
        <v/>
      </c>
      <c r="K1338" s="86" t="str">
        <f>IF(Sixth!K91="", "",Sixth!K91)</f>
        <v/>
      </c>
      <c r="M1338" s="67" t="str">
        <f t="shared" si="62"/>
        <v/>
      </c>
      <c r="N1338" s="76" t="str">
        <f t="shared" si="63"/>
        <v/>
      </c>
      <c r="O1338" s="33">
        <f t="shared" si="61"/>
        <v>0</v>
      </c>
    </row>
    <row r="1339" spans="1:15" x14ac:dyDescent="0.25">
      <c r="A1339" s="64" t="s">
        <v>206</v>
      </c>
      <c r="B1339" s="79" t="str">
        <f>IF(Sixth!B92="", "",Sixth!B92)</f>
        <v/>
      </c>
      <c r="C1339" s="66" t="str">
        <f>IF(Sixth!C92="", "",Sixth!C92)</f>
        <v/>
      </c>
      <c r="D1339" s="66" t="str">
        <f>IF(Sixth!D92="", "",Sixth!D92)</f>
        <v/>
      </c>
      <c r="E1339" s="66" t="str">
        <f>IF(Sixth!E92="", "",Sixth!E92)</f>
        <v/>
      </c>
      <c r="F1339" s="66" t="str">
        <f>IF(Sixth!F92="", "",Sixth!F92)</f>
        <v/>
      </c>
      <c r="G1339" s="66" t="str">
        <f>IF(Sixth!G92="", "",Sixth!G92)</f>
        <v/>
      </c>
      <c r="H1339" s="66" t="str">
        <f>IF(Sixth!H92="", "",Sixth!H92)</f>
        <v/>
      </c>
      <c r="I1339" s="66" t="str">
        <f>IF(Sixth!I92="", "",Sixth!I92)</f>
        <v/>
      </c>
      <c r="J1339" s="66" t="str">
        <f>IF(Sixth!J92="", "",Sixth!J92)</f>
        <v/>
      </c>
      <c r="K1339" s="86" t="str">
        <f>IF(Sixth!K92="", "",Sixth!K92)</f>
        <v/>
      </c>
      <c r="M1339" s="67" t="str">
        <f t="shared" si="62"/>
        <v/>
      </c>
      <c r="N1339" s="76" t="str">
        <f t="shared" si="63"/>
        <v/>
      </c>
      <c r="O1339" s="33">
        <f t="shared" si="61"/>
        <v>0</v>
      </c>
    </row>
    <row r="1340" spans="1:15" x14ac:dyDescent="0.25">
      <c r="A1340" s="64" t="s">
        <v>206</v>
      </c>
      <c r="B1340" s="79" t="str">
        <f>IF(Sixth!B93="", "",Sixth!B93)</f>
        <v/>
      </c>
      <c r="C1340" s="66" t="str">
        <f>IF(Sixth!C93="", "",Sixth!C93)</f>
        <v/>
      </c>
      <c r="D1340" s="66" t="str">
        <f>IF(Sixth!D93="", "",Sixth!D93)</f>
        <v/>
      </c>
      <c r="E1340" s="66" t="str">
        <f>IF(Sixth!E93="", "",Sixth!E93)</f>
        <v/>
      </c>
      <c r="F1340" s="66" t="str">
        <f>IF(Sixth!F93="", "",Sixth!F93)</f>
        <v/>
      </c>
      <c r="G1340" s="66" t="str">
        <f>IF(Sixth!G93="", "",Sixth!G93)</f>
        <v/>
      </c>
      <c r="H1340" s="66" t="str">
        <f>IF(Sixth!H93="", "",Sixth!H93)</f>
        <v/>
      </c>
      <c r="I1340" s="66" t="str">
        <f>IF(Sixth!I93="", "",Sixth!I93)</f>
        <v/>
      </c>
      <c r="J1340" s="66" t="str">
        <f>IF(Sixth!J93="", "",Sixth!J93)</f>
        <v/>
      </c>
      <c r="K1340" s="86" t="str">
        <f>IF(Sixth!K93="", "",Sixth!K93)</f>
        <v/>
      </c>
      <c r="M1340" s="67" t="str">
        <f t="shared" si="62"/>
        <v/>
      </c>
      <c r="N1340" s="76" t="str">
        <f t="shared" si="63"/>
        <v/>
      </c>
      <c r="O1340" s="33">
        <f t="shared" si="61"/>
        <v>0</v>
      </c>
    </row>
    <row r="1341" spans="1:15" x14ac:dyDescent="0.25">
      <c r="A1341" s="64" t="s">
        <v>206</v>
      </c>
      <c r="B1341" s="79" t="str">
        <f>IF(Sixth!B94="", "",Sixth!B94)</f>
        <v/>
      </c>
      <c r="C1341" s="66" t="str">
        <f>IF(Sixth!C94="", "",Sixth!C94)</f>
        <v/>
      </c>
      <c r="D1341" s="66" t="str">
        <f>IF(Sixth!D94="", "",Sixth!D94)</f>
        <v/>
      </c>
      <c r="E1341" s="66" t="str">
        <f>IF(Sixth!E94="", "",Sixth!E94)</f>
        <v/>
      </c>
      <c r="F1341" s="66" t="str">
        <f>IF(Sixth!F94="", "",Sixth!F94)</f>
        <v/>
      </c>
      <c r="G1341" s="66" t="str">
        <f>IF(Sixth!G94="", "",Sixth!G94)</f>
        <v/>
      </c>
      <c r="H1341" s="66" t="str">
        <f>IF(Sixth!H94="", "",Sixth!H94)</f>
        <v/>
      </c>
      <c r="I1341" s="66" t="str">
        <f>IF(Sixth!I94="", "",Sixth!I94)</f>
        <v/>
      </c>
      <c r="J1341" s="66" t="str">
        <f>IF(Sixth!J94="", "",Sixth!J94)</f>
        <v/>
      </c>
      <c r="K1341" s="86" t="str">
        <f>IF(Sixth!K94="", "",Sixth!K94)</f>
        <v/>
      </c>
      <c r="M1341" s="67" t="str">
        <f t="shared" si="62"/>
        <v/>
      </c>
      <c r="N1341" s="76" t="str">
        <f t="shared" si="63"/>
        <v/>
      </c>
      <c r="O1341" s="33">
        <f t="shared" si="61"/>
        <v>0</v>
      </c>
    </row>
    <row r="1342" spans="1:15" x14ac:dyDescent="0.25">
      <c r="A1342" s="64" t="s">
        <v>206</v>
      </c>
      <c r="B1342" s="79" t="str">
        <f>IF(Sixth!B95="", "",Sixth!B95)</f>
        <v/>
      </c>
      <c r="C1342" s="66" t="str">
        <f>IF(Sixth!C95="", "",Sixth!C95)</f>
        <v/>
      </c>
      <c r="D1342" s="66" t="str">
        <f>IF(Sixth!D95="", "",Sixth!D95)</f>
        <v/>
      </c>
      <c r="E1342" s="66" t="str">
        <f>IF(Sixth!E95="", "",Sixth!E95)</f>
        <v/>
      </c>
      <c r="F1342" s="66" t="str">
        <f>IF(Sixth!F95="", "",Sixth!F95)</f>
        <v/>
      </c>
      <c r="G1342" s="66" t="str">
        <f>IF(Sixth!G95="", "",Sixth!G95)</f>
        <v/>
      </c>
      <c r="H1342" s="66" t="str">
        <f>IF(Sixth!H95="", "",Sixth!H95)</f>
        <v/>
      </c>
      <c r="I1342" s="66" t="str">
        <f>IF(Sixth!I95="", "",Sixth!I95)</f>
        <v/>
      </c>
      <c r="J1342" s="66" t="str">
        <f>IF(Sixth!J95="", "",Sixth!J95)</f>
        <v/>
      </c>
      <c r="K1342" s="86" t="str">
        <f>IF(Sixth!K95="", "",Sixth!K95)</f>
        <v/>
      </c>
      <c r="M1342" s="67" t="str">
        <f t="shared" si="62"/>
        <v/>
      </c>
      <c r="N1342" s="76" t="str">
        <f t="shared" si="63"/>
        <v/>
      </c>
      <c r="O1342" s="33">
        <f t="shared" si="61"/>
        <v>0</v>
      </c>
    </row>
    <row r="1343" spans="1:15" x14ac:dyDescent="0.25">
      <c r="A1343" s="64" t="s">
        <v>206</v>
      </c>
      <c r="B1343" s="79" t="str">
        <f>IF(Sixth!B96="", "",Sixth!B96)</f>
        <v/>
      </c>
      <c r="C1343" s="66" t="str">
        <f>IF(Sixth!C96="", "",Sixth!C96)</f>
        <v/>
      </c>
      <c r="D1343" s="66" t="str">
        <f>IF(Sixth!D96="", "",Sixth!D96)</f>
        <v/>
      </c>
      <c r="E1343" s="66" t="str">
        <f>IF(Sixth!E96="", "",Sixth!E96)</f>
        <v/>
      </c>
      <c r="F1343" s="66" t="str">
        <f>IF(Sixth!F96="", "",Sixth!F96)</f>
        <v/>
      </c>
      <c r="G1343" s="66" t="str">
        <f>IF(Sixth!G96="", "",Sixth!G96)</f>
        <v/>
      </c>
      <c r="H1343" s="66" t="str">
        <f>IF(Sixth!H96="", "",Sixth!H96)</f>
        <v/>
      </c>
      <c r="I1343" s="66" t="str">
        <f>IF(Sixth!I96="", "",Sixth!I96)</f>
        <v/>
      </c>
      <c r="J1343" s="66" t="str">
        <f>IF(Sixth!J96="", "",Sixth!J96)</f>
        <v/>
      </c>
      <c r="K1343" s="86" t="str">
        <f>IF(Sixth!K96="", "",Sixth!K96)</f>
        <v/>
      </c>
      <c r="M1343" s="67" t="str">
        <f t="shared" si="62"/>
        <v/>
      </c>
      <c r="N1343" s="76" t="str">
        <f t="shared" si="63"/>
        <v/>
      </c>
      <c r="O1343" s="33">
        <f t="shared" si="61"/>
        <v>0</v>
      </c>
    </row>
    <row r="1344" spans="1:15" x14ac:dyDescent="0.25">
      <c r="A1344" s="64" t="s">
        <v>206</v>
      </c>
      <c r="B1344" s="79" t="str">
        <f>IF(Sixth!B97="", "",Sixth!B97)</f>
        <v/>
      </c>
      <c r="C1344" s="66" t="str">
        <f>IF(Sixth!C97="", "",Sixth!C97)</f>
        <v/>
      </c>
      <c r="D1344" s="66" t="str">
        <f>IF(Sixth!D97="", "",Sixth!D97)</f>
        <v/>
      </c>
      <c r="E1344" s="66" t="str">
        <f>IF(Sixth!E97="", "",Sixth!E97)</f>
        <v/>
      </c>
      <c r="F1344" s="66" t="str">
        <f>IF(Sixth!F97="", "",Sixth!F97)</f>
        <v/>
      </c>
      <c r="G1344" s="66" t="str">
        <f>IF(Sixth!G97="", "",Sixth!G97)</f>
        <v/>
      </c>
      <c r="H1344" s="66" t="str">
        <f>IF(Sixth!H97="", "",Sixth!H97)</f>
        <v/>
      </c>
      <c r="I1344" s="66" t="str">
        <f>IF(Sixth!I97="", "",Sixth!I97)</f>
        <v/>
      </c>
      <c r="J1344" s="66" t="str">
        <f>IF(Sixth!J97="", "",Sixth!J97)</f>
        <v/>
      </c>
      <c r="K1344" s="86" t="str">
        <f>IF(Sixth!K97="", "",Sixth!K97)</f>
        <v/>
      </c>
      <c r="M1344" s="67" t="str">
        <f t="shared" si="62"/>
        <v/>
      </c>
      <c r="N1344" s="76" t="str">
        <f t="shared" si="63"/>
        <v/>
      </c>
      <c r="O1344" s="33">
        <f t="shared" si="61"/>
        <v>0</v>
      </c>
    </row>
    <row r="1345" spans="1:15" x14ac:dyDescent="0.25">
      <c r="A1345" s="64" t="s">
        <v>206</v>
      </c>
      <c r="B1345" s="79" t="str">
        <f>IF(Sixth!B98="", "",Sixth!B98)</f>
        <v/>
      </c>
      <c r="C1345" s="66" t="str">
        <f>IF(Sixth!C98="", "",Sixth!C98)</f>
        <v/>
      </c>
      <c r="D1345" s="66" t="str">
        <f>IF(Sixth!D98="", "",Sixth!D98)</f>
        <v/>
      </c>
      <c r="E1345" s="66" t="str">
        <f>IF(Sixth!E98="", "",Sixth!E98)</f>
        <v/>
      </c>
      <c r="F1345" s="66" t="str">
        <f>IF(Sixth!F98="", "",Sixth!F98)</f>
        <v/>
      </c>
      <c r="G1345" s="66" t="str">
        <f>IF(Sixth!G98="", "",Sixth!G98)</f>
        <v/>
      </c>
      <c r="H1345" s="66" t="str">
        <f>IF(Sixth!H98="", "",Sixth!H98)</f>
        <v/>
      </c>
      <c r="I1345" s="66" t="str">
        <f>IF(Sixth!I98="", "",Sixth!I98)</f>
        <v/>
      </c>
      <c r="J1345" s="66" t="str">
        <f>IF(Sixth!J98="", "",Sixth!J98)</f>
        <v/>
      </c>
      <c r="K1345" s="86" t="str">
        <f>IF(Sixth!K98="", "",Sixth!K98)</f>
        <v/>
      </c>
      <c r="M1345" s="67" t="str">
        <f t="shared" si="62"/>
        <v/>
      </c>
      <c r="N1345" s="76" t="str">
        <f t="shared" si="63"/>
        <v/>
      </c>
      <c r="O1345" s="33">
        <f t="shared" si="61"/>
        <v>0</v>
      </c>
    </row>
    <row r="1346" spans="1:15" x14ac:dyDescent="0.25">
      <c r="A1346" s="64" t="s">
        <v>206</v>
      </c>
      <c r="B1346" s="79" t="str">
        <f>IF(Sixth!B99="", "",Sixth!B99)</f>
        <v/>
      </c>
      <c r="C1346" s="66" t="str">
        <f>IF(Sixth!C99="", "",Sixth!C99)</f>
        <v/>
      </c>
      <c r="D1346" s="66" t="str">
        <f>IF(Sixth!D99="", "",Sixth!D99)</f>
        <v/>
      </c>
      <c r="E1346" s="66" t="str">
        <f>IF(Sixth!E99="", "",Sixth!E99)</f>
        <v/>
      </c>
      <c r="F1346" s="66" t="str">
        <f>IF(Sixth!F99="", "",Sixth!F99)</f>
        <v/>
      </c>
      <c r="G1346" s="66" t="str">
        <f>IF(Sixth!G99="", "",Sixth!G99)</f>
        <v/>
      </c>
      <c r="H1346" s="66" t="str">
        <f>IF(Sixth!H99="", "",Sixth!H99)</f>
        <v/>
      </c>
      <c r="I1346" s="66" t="str">
        <f>IF(Sixth!I99="", "",Sixth!I99)</f>
        <v/>
      </c>
      <c r="J1346" s="66" t="str">
        <f>IF(Sixth!J99="", "",Sixth!J99)</f>
        <v/>
      </c>
      <c r="K1346" s="86" t="str">
        <f>IF(Sixth!K99="", "",Sixth!K99)</f>
        <v/>
      </c>
      <c r="M1346" s="67" t="str">
        <f t="shared" si="62"/>
        <v/>
      </c>
      <c r="N1346" s="76" t="str">
        <f t="shared" si="63"/>
        <v/>
      </c>
      <c r="O1346" s="33">
        <f t="shared" ref="O1346:O1409" si="64">SUM(M1346:N1346)</f>
        <v>0</v>
      </c>
    </row>
    <row r="1347" spans="1:15" x14ac:dyDescent="0.25">
      <c r="A1347" s="64" t="s">
        <v>206</v>
      </c>
      <c r="B1347" s="79" t="str">
        <f>IF(Sixth!B100="", "",Sixth!B100)</f>
        <v/>
      </c>
      <c r="C1347" s="66" t="str">
        <f>IF(Sixth!C100="", "",Sixth!C100)</f>
        <v/>
      </c>
      <c r="D1347" s="66" t="str">
        <f>IF(Sixth!D100="", "",Sixth!D100)</f>
        <v/>
      </c>
      <c r="E1347" s="66" t="str">
        <f>IF(Sixth!E100="", "",Sixth!E100)</f>
        <v/>
      </c>
      <c r="F1347" s="66" t="str">
        <f>IF(Sixth!F100="", "",Sixth!F100)</f>
        <v/>
      </c>
      <c r="G1347" s="66" t="str">
        <f>IF(Sixth!G100="", "",Sixth!G100)</f>
        <v/>
      </c>
      <c r="H1347" s="66" t="str">
        <f>IF(Sixth!H100="", "",Sixth!H100)</f>
        <v/>
      </c>
      <c r="I1347" s="66" t="str">
        <f>IF(Sixth!I100="", "",Sixth!I100)</f>
        <v/>
      </c>
      <c r="J1347" s="66" t="str">
        <f>IF(Sixth!J100="", "",Sixth!J100)</f>
        <v/>
      </c>
      <c r="K1347" s="86" t="str">
        <f>IF(Sixth!K100="", "",Sixth!K100)</f>
        <v/>
      </c>
      <c r="M1347" s="67" t="str">
        <f t="shared" ref="M1347:M1410" si="65">IF(C1347="PwC",(7-COUNTIF(B1347:H1347,"")),"")</f>
        <v/>
      </c>
      <c r="N1347" s="76" t="str">
        <f t="shared" ref="N1347:N1410" si="66">IF(C1347="Carer",(7-COUNTIF(B1347:H1347,"")),"")</f>
        <v/>
      </c>
      <c r="O1347" s="33">
        <f t="shared" si="64"/>
        <v>0</v>
      </c>
    </row>
    <row r="1348" spans="1:15" x14ac:dyDescent="0.25">
      <c r="A1348" s="64" t="s">
        <v>206</v>
      </c>
      <c r="B1348" s="79" t="str">
        <f>IF(Sixth!B101="", "",Sixth!B101)</f>
        <v/>
      </c>
      <c r="C1348" s="66" t="str">
        <f>IF(Sixth!C101="", "",Sixth!C101)</f>
        <v/>
      </c>
      <c r="D1348" s="66" t="str">
        <f>IF(Sixth!D101="", "",Sixth!D101)</f>
        <v/>
      </c>
      <c r="E1348" s="66" t="str">
        <f>IF(Sixth!E101="", "",Sixth!E101)</f>
        <v/>
      </c>
      <c r="F1348" s="66" t="str">
        <f>IF(Sixth!F101="", "",Sixth!F101)</f>
        <v/>
      </c>
      <c r="G1348" s="66" t="str">
        <f>IF(Sixth!G101="", "",Sixth!G101)</f>
        <v/>
      </c>
      <c r="H1348" s="66" t="str">
        <f>IF(Sixth!H101="", "",Sixth!H101)</f>
        <v/>
      </c>
      <c r="I1348" s="66" t="str">
        <f>IF(Sixth!I101="", "",Sixth!I101)</f>
        <v/>
      </c>
      <c r="J1348" s="66" t="str">
        <f>IF(Sixth!J101="", "",Sixth!J101)</f>
        <v/>
      </c>
      <c r="K1348" s="86" t="str">
        <f>IF(Sixth!K101="", "",Sixth!K101)</f>
        <v/>
      </c>
      <c r="M1348" s="67" t="str">
        <f t="shared" si="65"/>
        <v/>
      </c>
      <c r="N1348" s="76" t="str">
        <f t="shared" si="66"/>
        <v/>
      </c>
      <c r="O1348" s="33">
        <f t="shared" si="64"/>
        <v>0</v>
      </c>
    </row>
    <row r="1349" spans="1:15" x14ac:dyDescent="0.25">
      <c r="A1349" s="64" t="s">
        <v>206</v>
      </c>
      <c r="B1349" s="79" t="str">
        <f>IF(Sixth!B102="", "",Sixth!B102)</f>
        <v/>
      </c>
      <c r="C1349" s="66" t="str">
        <f>IF(Sixth!C102="", "",Sixth!C102)</f>
        <v/>
      </c>
      <c r="D1349" s="66" t="str">
        <f>IF(Sixth!D102="", "",Sixth!D102)</f>
        <v/>
      </c>
      <c r="E1349" s="66" t="str">
        <f>IF(Sixth!E102="", "",Sixth!E102)</f>
        <v/>
      </c>
      <c r="F1349" s="66" t="str">
        <f>IF(Sixth!F102="", "",Sixth!F102)</f>
        <v/>
      </c>
      <c r="G1349" s="66" t="str">
        <f>IF(Sixth!G102="", "",Sixth!G102)</f>
        <v/>
      </c>
      <c r="H1349" s="66" t="str">
        <f>IF(Sixth!H102="", "",Sixth!H102)</f>
        <v/>
      </c>
      <c r="I1349" s="66" t="str">
        <f>IF(Sixth!I102="", "",Sixth!I102)</f>
        <v/>
      </c>
      <c r="J1349" s="66" t="str">
        <f>IF(Sixth!J102="", "",Sixth!J102)</f>
        <v/>
      </c>
      <c r="K1349" s="86" t="str">
        <f>IF(Sixth!K102="", "",Sixth!K102)</f>
        <v/>
      </c>
      <c r="M1349" s="67" t="str">
        <f t="shared" si="65"/>
        <v/>
      </c>
      <c r="N1349" s="76" t="str">
        <f t="shared" si="66"/>
        <v/>
      </c>
      <c r="O1349" s="33">
        <f t="shared" si="64"/>
        <v>0</v>
      </c>
    </row>
    <row r="1350" spans="1:15" x14ac:dyDescent="0.25">
      <c r="A1350" s="64" t="s">
        <v>206</v>
      </c>
      <c r="B1350" s="79" t="str">
        <f>IF(Sixth!B103="", "",Sixth!B103)</f>
        <v/>
      </c>
      <c r="C1350" s="66" t="str">
        <f>IF(Sixth!C103="", "",Sixth!C103)</f>
        <v/>
      </c>
      <c r="D1350" s="66" t="str">
        <f>IF(Sixth!D103="", "",Sixth!D103)</f>
        <v/>
      </c>
      <c r="E1350" s="66" t="str">
        <f>IF(Sixth!E103="", "",Sixth!E103)</f>
        <v/>
      </c>
      <c r="F1350" s="66" t="str">
        <f>IF(Sixth!F103="", "",Sixth!F103)</f>
        <v/>
      </c>
      <c r="G1350" s="66" t="str">
        <f>IF(Sixth!G103="", "",Sixth!G103)</f>
        <v/>
      </c>
      <c r="H1350" s="66" t="str">
        <f>IF(Sixth!H103="", "",Sixth!H103)</f>
        <v/>
      </c>
      <c r="I1350" s="66" t="str">
        <f>IF(Sixth!I103="", "",Sixth!I103)</f>
        <v/>
      </c>
      <c r="J1350" s="66" t="str">
        <f>IF(Sixth!J103="", "",Sixth!J103)</f>
        <v/>
      </c>
      <c r="K1350" s="86" t="str">
        <f>IF(Sixth!K103="", "",Sixth!K103)</f>
        <v/>
      </c>
      <c r="M1350" s="67" t="str">
        <f t="shared" si="65"/>
        <v/>
      </c>
      <c r="N1350" s="76" t="str">
        <f t="shared" si="66"/>
        <v/>
      </c>
      <c r="O1350" s="33">
        <f t="shared" si="64"/>
        <v>0</v>
      </c>
    </row>
    <row r="1351" spans="1:15" x14ac:dyDescent="0.25">
      <c r="A1351" s="64" t="s">
        <v>206</v>
      </c>
      <c r="B1351" s="79" t="str">
        <f>IF(Sixth!B104="", "",Sixth!B104)</f>
        <v/>
      </c>
      <c r="C1351" s="66" t="str">
        <f>IF(Sixth!C104="", "",Sixth!C104)</f>
        <v/>
      </c>
      <c r="D1351" s="66" t="str">
        <f>IF(Sixth!D104="", "",Sixth!D104)</f>
        <v/>
      </c>
      <c r="E1351" s="66" t="str">
        <f>IF(Sixth!E104="", "",Sixth!E104)</f>
        <v/>
      </c>
      <c r="F1351" s="66" t="str">
        <f>IF(Sixth!F104="", "",Sixth!F104)</f>
        <v/>
      </c>
      <c r="G1351" s="66" t="str">
        <f>IF(Sixth!G104="", "",Sixth!G104)</f>
        <v/>
      </c>
      <c r="H1351" s="66" t="str">
        <f>IF(Sixth!H104="", "",Sixth!H104)</f>
        <v/>
      </c>
      <c r="I1351" s="66" t="str">
        <f>IF(Sixth!I104="", "",Sixth!I104)</f>
        <v/>
      </c>
      <c r="J1351" s="66" t="str">
        <f>IF(Sixth!J104="", "",Sixth!J104)</f>
        <v/>
      </c>
      <c r="K1351" s="86" t="str">
        <f>IF(Sixth!K104="", "",Sixth!K104)</f>
        <v/>
      </c>
      <c r="M1351" s="67" t="str">
        <f t="shared" si="65"/>
        <v/>
      </c>
      <c r="N1351" s="76" t="str">
        <f t="shared" si="66"/>
        <v/>
      </c>
      <c r="O1351" s="33">
        <f t="shared" si="64"/>
        <v>0</v>
      </c>
    </row>
    <row r="1352" spans="1:15" x14ac:dyDescent="0.25">
      <c r="A1352" s="64" t="s">
        <v>206</v>
      </c>
      <c r="B1352" s="79" t="str">
        <f>IF(Sixth!B105="", "",Sixth!B105)</f>
        <v/>
      </c>
      <c r="C1352" s="66" t="str">
        <f>IF(Sixth!C105="", "",Sixth!C105)</f>
        <v/>
      </c>
      <c r="D1352" s="66" t="str">
        <f>IF(Sixth!D105="", "",Sixth!D105)</f>
        <v/>
      </c>
      <c r="E1352" s="66" t="str">
        <f>IF(Sixth!E105="", "",Sixth!E105)</f>
        <v/>
      </c>
      <c r="F1352" s="66" t="str">
        <f>IF(Sixth!F105="", "",Sixth!F105)</f>
        <v/>
      </c>
      <c r="G1352" s="66" t="str">
        <f>IF(Sixth!G105="", "",Sixth!G105)</f>
        <v/>
      </c>
      <c r="H1352" s="66" t="str">
        <f>IF(Sixth!H105="", "",Sixth!H105)</f>
        <v/>
      </c>
      <c r="I1352" s="66" t="str">
        <f>IF(Sixth!I105="", "",Sixth!I105)</f>
        <v/>
      </c>
      <c r="J1352" s="66" t="str">
        <f>IF(Sixth!J105="", "",Sixth!J105)</f>
        <v/>
      </c>
      <c r="K1352" s="86" t="str">
        <f>IF(Sixth!K105="", "",Sixth!K105)</f>
        <v/>
      </c>
      <c r="M1352" s="67" t="str">
        <f t="shared" si="65"/>
        <v/>
      </c>
      <c r="N1352" s="76" t="str">
        <f t="shared" si="66"/>
        <v/>
      </c>
      <c r="O1352" s="33">
        <f t="shared" si="64"/>
        <v>0</v>
      </c>
    </row>
    <row r="1353" spans="1:15" x14ac:dyDescent="0.25">
      <c r="A1353" s="64" t="s">
        <v>206</v>
      </c>
      <c r="B1353" s="79" t="str">
        <f>IF(Sixth!B106="", "",Sixth!B106)</f>
        <v/>
      </c>
      <c r="C1353" s="66" t="str">
        <f>IF(Sixth!C106="", "",Sixth!C106)</f>
        <v/>
      </c>
      <c r="D1353" s="66" t="str">
        <f>IF(Sixth!D106="", "",Sixth!D106)</f>
        <v/>
      </c>
      <c r="E1353" s="66" t="str">
        <f>IF(Sixth!E106="", "",Sixth!E106)</f>
        <v/>
      </c>
      <c r="F1353" s="66" t="str">
        <f>IF(Sixth!F106="", "",Sixth!F106)</f>
        <v/>
      </c>
      <c r="G1353" s="66" t="str">
        <f>IF(Sixth!G106="", "",Sixth!G106)</f>
        <v/>
      </c>
      <c r="H1353" s="66" t="str">
        <f>IF(Sixth!H106="", "",Sixth!H106)</f>
        <v/>
      </c>
      <c r="I1353" s="66" t="str">
        <f>IF(Sixth!I106="", "",Sixth!I106)</f>
        <v/>
      </c>
      <c r="J1353" s="66" t="str">
        <f>IF(Sixth!J106="", "",Sixth!J106)</f>
        <v/>
      </c>
      <c r="K1353" s="86" t="str">
        <f>IF(Sixth!K106="", "",Sixth!K106)</f>
        <v/>
      </c>
      <c r="M1353" s="67" t="str">
        <f t="shared" si="65"/>
        <v/>
      </c>
      <c r="N1353" s="76" t="str">
        <f t="shared" si="66"/>
        <v/>
      </c>
      <c r="O1353" s="33">
        <f t="shared" si="64"/>
        <v>0</v>
      </c>
    </row>
    <row r="1354" spans="1:15" x14ac:dyDescent="0.25">
      <c r="A1354" s="64" t="s">
        <v>206</v>
      </c>
      <c r="B1354" s="79" t="str">
        <f>IF(Sixth!B107="", "",Sixth!B107)</f>
        <v/>
      </c>
      <c r="C1354" s="66" t="str">
        <f>IF(Sixth!C107="", "",Sixth!C107)</f>
        <v/>
      </c>
      <c r="D1354" s="66" t="str">
        <f>IF(Sixth!D107="", "",Sixth!D107)</f>
        <v/>
      </c>
      <c r="E1354" s="66" t="str">
        <f>IF(Sixth!E107="", "",Sixth!E107)</f>
        <v/>
      </c>
      <c r="F1354" s="66" t="str">
        <f>IF(Sixth!F107="", "",Sixth!F107)</f>
        <v/>
      </c>
      <c r="G1354" s="66" t="str">
        <f>IF(Sixth!G107="", "",Sixth!G107)</f>
        <v/>
      </c>
      <c r="H1354" s="66" t="str">
        <f>IF(Sixth!H107="", "",Sixth!H107)</f>
        <v/>
      </c>
      <c r="I1354" s="66" t="str">
        <f>IF(Sixth!I107="", "",Sixth!I107)</f>
        <v/>
      </c>
      <c r="J1354" s="66" t="str">
        <f>IF(Sixth!J107="", "",Sixth!J107)</f>
        <v/>
      </c>
      <c r="K1354" s="86" t="str">
        <f>IF(Sixth!K107="", "",Sixth!K107)</f>
        <v/>
      </c>
      <c r="M1354" s="67" t="str">
        <f t="shared" si="65"/>
        <v/>
      </c>
      <c r="N1354" s="76" t="str">
        <f t="shared" si="66"/>
        <v/>
      </c>
      <c r="O1354" s="33">
        <f t="shared" si="64"/>
        <v>0</v>
      </c>
    </row>
    <row r="1355" spans="1:15" x14ac:dyDescent="0.25">
      <c r="A1355" s="64" t="s">
        <v>206</v>
      </c>
      <c r="B1355" s="79" t="str">
        <f>IF(Sixth!B108="", "",Sixth!B108)</f>
        <v/>
      </c>
      <c r="C1355" s="66" t="str">
        <f>IF(Sixth!C108="", "",Sixth!C108)</f>
        <v/>
      </c>
      <c r="D1355" s="66" t="str">
        <f>IF(Sixth!D108="", "",Sixth!D108)</f>
        <v/>
      </c>
      <c r="E1355" s="66" t="str">
        <f>IF(Sixth!E108="", "",Sixth!E108)</f>
        <v/>
      </c>
      <c r="F1355" s="66" t="str">
        <f>IF(Sixth!F108="", "",Sixth!F108)</f>
        <v/>
      </c>
      <c r="G1355" s="66" t="str">
        <f>IF(Sixth!G108="", "",Sixth!G108)</f>
        <v/>
      </c>
      <c r="H1355" s="66" t="str">
        <f>IF(Sixth!H108="", "",Sixth!H108)</f>
        <v/>
      </c>
      <c r="I1355" s="66" t="str">
        <f>IF(Sixth!I108="", "",Sixth!I108)</f>
        <v/>
      </c>
      <c r="J1355" s="66" t="str">
        <f>IF(Sixth!J108="", "",Sixth!J108)</f>
        <v/>
      </c>
      <c r="K1355" s="86" t="str">
        <f>IF(Sixth!K108="", "",Sixth!K108)</f>
        <v/>
      </c>
      <c r="M1355" s="67" t="str">
        <f t="shared" si="65"/>
        <v/>
      </c>
      <c r="N1355" s="76" t="str">
        <f t="shared" si="66"/>
        <v/>
      </c>
      <c r="O1355" s="33">
        <f t="shared" si="64"/>
        <v>0</v>
      </c>
    </row>
    <row r="1356" spans="1:15" x14ac:dyDescent="0.25">
      <c r="A1356" s="64" t="s">
        <v>206</v>
      </c>
      <c r="B1356" s="79" t="str">
        <f>IF(Sixth!B109="", "",Sixth!B109)</f>
        <v/>
      </c>
      <c r="C1356" s="66" t="str">
        <f>IF(Sixth!C109="", "",Sixth!C109)</f>
        <v/>
      </c>
      <c r="D1356" s="66" t="str">
        <f>IF(Sixth!D109="", "",Sixth!D109)</f>
        <v/>
      </c>
      <c r="E1356" s="66" t="str">
        <f>IF(Sixth!E109="", "",Sixth!E109)</f>
        <v/>
      </c>
      <c r="F1356" s="66" t="str">
        <f>IF(Sixth!F109="", "",Sixth!F109)</f>
        <v/>
      </c>
      <c r="G1356" s="66" t="str">
        <f>IF(Sixth!G109="", "",Sixth!G109)</f>
        <v/>
      </c>
      <c r="H1356" s="66" t="str">
        <f>IF(Sixth!H109="", "",Sixth!H109)</f>
        <v/>
      </c>
      <c r="I1356" s="66" t="str">
        <f>IF(Sixth!I109="", "",Sixth!I109)</f>
        <v/>
      </c>
      <c r="J1356" s="66" t="str">
        <f>IF(Sixth!J109="", "",Sixth!J109)</f>
        <v/>
      </c>
      <c r="K1356" s="86" t="str">
        <f>IF(Sixth!K109="", "",Sixth!K109)</f>
        <v/>
      </c>
      <c r="M1356" s="67" t="str">
        <f t="shared" si="65"/>
        <v/>
      </c>
      <c r="N1356" s="76" t="str">
        <f t="shared" si="66"/>
        <v/>
      </c>
      <c r="O1356" s="33">
        <f t="shared" si="64"/>
        <v>0</v>
      </c>
    </row>
    <row r="1357" spans="1:15" x14ac:dyDescent="0.25">
      <c r="A1357" s="64" t="s">
        <v>206</v>
      </c>
      <c r="B1357" s="79" t="str">
        <f>IF(Sixth!B110="", "",Sixth!B110)</f>
        <v/>
      </c>
      <c r="C1357" s="66" t="str">
        <f>IF(Sixth!C110="", "",Sixth!C110)</f>
        <v/>
      </c>
      <c r="D1357" s="66" t="str">
        <f>IF(Sixth!D110="", "",Sixth!D110)</f>
        <v/>
      </c>
      <c r="E1357" s="66" t="str">
        <f>IF(Sixth!E110="", "",Sixth!E110)</f>
        <v/>
      </c>
      <c r="F1357" s="66" t="str">
        <f>IF(Sixth!F110="", "",Sixth!F110)</f>
        <v/>
      </c>
      <c r="G1357" s="66" t="str">
        <f>IF(Sixth!G110="", "",Sixth!G110)</f>
        <v/>
      </c>
      <c r="H1357" s="66" t="str">
        <f>IF(Sixth!H110="", "",Sixth!H110)</f>
        <v/>
      </c>
      <c r="I1357" s="66" t="str">
        <f>IF(Sixth!I110="", "",Sixth!I110)</f>
        <v/>
      </c>
      <c r="J1357" s="66" t="str">
        <f>IF(Sixth!J110="", "",Sixth!J110)</f>
        <v/>
      </c>
      <c r="K1357" s="86" t="str">
        <f>IF(Sixth!K110="", "",Sixth!K110)</f>
        <v/>
      </c>
      <c r="M1357" s="67" t="str">
        <f t="shared" si="65"/>
        <v/>
      </c>
      <c r="N1357" s="76" t="str">
        <f t="shared" si="66"/>
        <v/>
      </c>
      <c r="O1357" s="33">
        <f t="shared" si="64"/>
        <v>0</v>
      </c>
    </row>
    <row r="1358" spans="1:15" x14ac:dyDescent="0.25">
      <c r="A1358" s="64" t="s">
        <v>206</v>
      </c>
      <c r="B1358" s="79" t="str">
        <f>IF(Sixth!B111="", "",Sixth!B111)</f>
        <v/>
      </c>
      <c r="C1358" s="66" t="str">
        <f>IF(Sixth!C111="", "",Sixth!C111)</f>
        <v/>
      </c>
      <c r="D1358" s="66" t="str">
        <f>IF(Sixth!D111="", "",Sixth!D111)</f>
        <v/>
      </c>
      <c r="E1358" s="66" t="str">
        <f>IF(Sixth!E111="", "",Sixth!E111)</f>
        <v/>
      </c>
      <c r="F1358" s="66" t="str">
        <f>IF(Sixth!F111="", "",Sixth!F111)</f>
        <v/>
      </c>
      <c r="G1358" s="66" t="str">
        <f>IF(Sixth!G111="", "",Sixth!G111)</f>
        <v/>
      </c>
      <c r="H1358" s="66" t="str">
        <f>IF(Sixth!H111="", "",Sixth!H111)</f>
        <v/>
      </c>
      <c r="I1358" s="66" t="str">
        <f>IF(Sixth!I111="", "",Sixth!I111)</f>
        <v/>
      </c>
      <c r="J1358" s="66" t="str">
        <f>IF(Sixth!J111="", "",Sixth!J111)</f>
        <v/>
      </c>
      <c r="K1358" s="86" t="str">
        <f>IF(Sixth!K111="", "",Sixth!K111)</f>
        <v/>
      </c>
      <c r="M1358" s="67" t="str">
        <f t="shared" si="65"/>
        <v/>
      </c>
      <c r="N1358" s="76" t="str">
        <f t="shared" si="66"/>
        <v/>
      </c>
      <c r="O1358" s="33">
        <f t="shared" si="64"/>
        <v>0</v>
      </c>
    </row>
    <row r="1359" spans="1:15" x14ac:dyDescent="0.25">
      <c r="A1359" s="64" t="s">
        <v>206</v>
      </c>
      <c r="B1359" s="79" t="str">
        <f>IF(Sixth!B112="", "",Sixth!B112)</f>
        <v/>
      </c>
      <c r="C1359" s="66" t="str">
        <f>IF(Sixth!C112="", "",Sixth!C112)</f>
        <v/>
      </c>
      <c r="D1359" s="66" t="str">
        <f>IF(Sixth!D112="", "",Sixth!D112)</f>
        <v/>
      </c>
      <c r="E1359" s="66" t="str">
        <f>IF(Sixth!E112="", "",Sixth!E112)</f>
        <v/>
      </c>
      <c r="F1359" s="66" t="str">
        <f>IF(Sixth!F112="", "",Sixth!F112)</f>
        <v/>
      </c>
      <c r="G1359" s="66" t="str">
        <f>IF(Sixth!G112="", "",Sixth!G112)</f>
        <v/>
      </c>
      <c r="H1359" s="66" t="str">
        <f>IF(Sixth!H112="", "",Sixth!H112)</f>
        <v/>
      </c>
      <c r="I1359" s="66" t="str">
        <f>IF(Sixth!I112="", "",Sixth!I112)</f>
        <v/>
      </c>
      <c r="J1359" s="66" t="str">
        <f>IF(Sixth!J112="", "",Sixth!J112)</f>
        <v/>
      </c>
      <c r="K1359" s="86" t="str">
        <f>IF(Sixth!K112="", "",Sixth!K112)</f>
        <v/>
      </c>
      <c r="M1359" s="67" t="str">
        <f t="shared" si="65"/>
        <v/>
      </c>
      <c r="N1359" s="76" t="str">
        <f t="shared" si="66"/>
        <v/>
      </c>
      <c r="O1359" s="33">
        <f t="shared" si="64"/>
        <v>0</v>
      </c>
    </row>
    <row r="1360" spans="1:15" x14ac:dyDescent="0.25">
      <c r="A1360" s="64" t="s">
        <v>206</v>
      </c>
      <c r="B1360" s="79" t="str">
        <f>IF(Sixth!B113="", "",Sixth!B113)</f>
        <v/>
      </c>
      <c r="C1360" s="66" t="str">
        <f>IF(Sixth!C113="", "",Sixth!C113)</f>
        <v/>
      </c>
      <c r="D1360" s="66" t="str">
        <f>IF(Sixth!D113="", "",Sixth!D113)</f>
        <v/>
      </c>
      <c r="E1360" s="66" t="str">
        <f>IF(Sixth!E113="", "",Sixth!E113)</f>
        <v/>
      </c>
      <c r="F1360" s="66" t="str">
        <f>IF(Sixth!F113="", "",Sixth!F113)</f>
        <v/>
      </c>
      <c r="G1360" s="66" t="str">
        <f>IF(Sixth!G113="", "",Sixth!G113)</f>
        <v/>
      </c>
      <c r="H1360" s="66" t="str">
        <f>IF(Sixth!H113="", "",Sixth!H113)</f>
        <v/>
      </c>
      <c r="I1360" s="66" t="str">
        <f>IF(Sixth!I113="", "",Sixth!I113)</f>
        <v/>
      </c>
      <c r="J1360" s="66" t="str">
        <f>IF(Sixth!J113="", "",Sixth!J113)</f>
        <v/>
      </c>
      <c r="K1360" s="86" t="str">
        <f>IF(Sixth!K113="", "",Sixth!K113)</f>
        <v/>
      </c>
      <c r="M1360" s="67" t="str">
        <f t="shared" si="65"/>
        <v/>
      </c>
      <c r="N1360" s="76" t="str">
        <f t="shared" si="66"/>
        <v/>
      </c>
      <c r="O1360" s="33">
        <f t="shared" si="64"/>
        <v>0</v>
      </c>
    </row>
    <row r="1361" spans="1:15" x14ac:dyDescent="0.25">
      <c r="A1361" s="64" t="s">
        <v>206</v>
      </c>
      <c r="B1361" s="79" t="str">
        <f>IF(Sixth!B114="", "",Sixth!B114)</f>
        <v/>
      </c>
      <c r="C1361" s="66" t="str">
        <f>IF(Sixth!C114="", "",Sixth!C114)</f>
        <v/>
      </c>
      <c r="D1361" s="66" t="str">
        <f>IF(Sixth!D114="", "",Sixth!D114)</f>
        <v/>
      </c>
      <c r="E1361" s="66" t="str">
        <f>IF(Sixth!E114="", "",Sixth!E114)</f>
        <v/>
      </c>
      <c r="F1361" s="66" t="str">
        <f>IF(Sixth!F114="", "",Sixth!F114)</f>
        <v/>
      </c>
      <c r="G1361" s="66" t="str">
        <f>IF(Sixth!G114="", "",Sixth!G114)</f>
        <v/>
      </c>
      <c r="H1361" s="66" t="str">
        <f>IF(Sixth!H114="", "",Sixth!H114)</f>
        <v/>
      </c>
      <c r="I1361" s="66" t="str">
        <f>IF(Sixth!I114="", "",Sixth!I114)</f>
        <v/>
      </c>
      <c r="J1361" s="66" t="str">
        <f>IF(Sixth!J114="", "",Sixth!J114)</f>
        <v/>
      </c>
      <c r="K1361" s="86" t="str">
        <f>IF(Sixth!K114="", "",Sixth!K114)</f>
        <v/>
      </c>
      <c r="M1361" s="67" t="str">
        <f t="shared" si="65"/>
        <v/>
      </c>
      <c r="N1361" s="76" t="str">
        <f t="shared" si="66"/>
        <v/>
      </c>
      <c r="O1361" s="33">
        <f t="shared" si="64"/>
        <v>0</v>
      </c>
    </row>
    <row r="1362" spans="1:15" x14ac:dyDescent="0.25">
      <c r="A1362" s="64" t="s">
        <v>206</v>
      </c>
      <c r="B1362" s="79" t="str">
        <f>IF(Sixth!B115="", "",Sixth!B115)</f>
        <v/>
      </c>
      <c r="C1362" s="66" t="str">
        <f>IF(Sixth!C115="", "",Sixth!C115)</f>
        <v/>
      </c>
      <c r="D1362" s="66" t="str">
        <f>IF(Sixth!D115="", "",Sixth!D115)</f>
        <v/>
      </c>
      <c r="E1362" s="66" t="str">
        <f>IF(Sixth!E115="", "",Sixth!E115)</f>
        <v/>
      </c>
      <c r="F1362" s="66" t="str">
        <f>IF(Sixth!F115="", "",Sixth!F115)</f>
        <v/>
      </c>
      <c r="G1362" s="66" t="str">
        <f>IF(Sixth!G115="", "",Sixth!G115)</f>
        <v/>
      </c>
      <c r="H1362" s="66" t="str">
        <f>IF(Sixth!H115="", "",Sixth!H115)</f>
        <v/>
      </c>
      <c r="I1362" s="66" t="str">
        <f>IF(Sixth!I115="", "",Sixth!I115)</f>
        <v/>
      </c>
      <c r="J1362" s="66" t="str">
        <f>IF(Sixth!J115="", "",Sixth!J115)</f>
        <v/>
      </c>
      <c r="K1362" s="86" t="str">
        <f>IF(Sixth!K115="", "",Sixth!K115)</f>
        <v/>
      </c>
      <c r="M1362" s="67" t="str">
        <f t="shared" si="65"/>
        <v/>
      </c>
      <c r="N1362" s="76" t="str">
        <f t="shared" si="66"/>
        <v/>
      </c>
      <c r="O1362" s="33">
        <f t="shared" si="64"/>
        <v>0</v>
      </c>
    </row>
    <row r="1363" spans="1:15" x14ac:dyDescent="0.25">
      <c r="A1363" s="64" t="s">
        <v>206</v>
      </c>
      <c r="B1363" s="79" t="str">
        <f>IF(Sixth!B116="", "",Sixth!B116)</f>
        <v/>
      </c>
      <c r="C1363" s="66" t="str">
        <f>IF(Sixth!C116="", "",Sixth!C116)</f>
        <v/>
      </c>
      <c r="D1363" s="66" t="str">
        <f>IF(Sixth!D116="", "",Sixth!D116)</f>
        <v/>
      </c>
      <c r="E1363" s="66" t="str">
        <f>IF(Sixth!E116="", "",Sixth!E116)</f>
        <v/>
      </c>
      <c r="F1363" s="66" t="str">
        <f>IF(Sixth!F116="", "",Sixth!F116)</f>
        <v/>
      </c>
      <c r="G1363" s="66" t="str">
        <f>IF(Sixth!G116="", "",Sixth!G116)</f>
        <v/>
      </c>
      <c r="H1363" s="66" t="str">
        <f>IF(Sixth!H116="", "",Sixth!H116)</f>
        <v/>
      </c>
      <c r="I1363" s="66" t="str">
        <f>IF(Sixth!I116="", "",Sixth!I116)</f>
        <v/>
      </c>
      <c r="J1363" s="66" t="str">
        <f>IF(Sixth!J116="", "",Sixth!J116)</f>
        <v/>
      </c>
      <c r="K1363" s="86" t="str">
        <f>IF(Sixth!K116="", "",Sixth!K116)</f>
        <v/>
      </c>
      <c r="M1363" s="67" t="str">
        <f t="shared" si="65"/>
        <v/>
      </c>
      <c r="N1363" s="76" t="str">
        <f t="shared" si="66"/>
        <v/>
      </c>
      <c r="O1363" s="33">
        <f t="shared" si="64"/>
        <v>0</v>
      </c>
    </row>
    <row r="1364" spans="1:15" x14ac:dyDescent="0.25">
      <c r="A1364" s="64" t="s">
        <v>206</v>
      </c>
      <c r="B1364" s="79" t="str">
        <f>IF(Sixth!B117="", "",Sixth!B117)</f>
        <v/>
      </c>
      <c r="C1364" s="66" t="str">
        <f>IF(Sixth!C117="", "",Sixth!C117)</f>
        <v/>
      </c>
      <c r="D1364" s="66" t="str">
        <f>IF(Sixth!D117="", "",Sixth!D117)</f>
        <v/>
      </c>
      <c r="E1364" s="66" t="str">
        <f>IF(Sixth!E117="", "",Sixth!E117)</f>
        <v/>
      </c>
      <c r="F1364" s="66" t="str">
        <f>IF(Sixth!F117="", "",Sixth!F117)</f>
        <v/>
      </c>
      <c r="G1364" s="66" t="str">
        <f>IF(Sixth!G117="", "",Sixth!G117)</f>
        <v/>
      </c>
      <c r="H1364" s="66" t="str">
        <f>IF(Sixth!H117="", "",Sixth!H117)</f>
        <v/>
      </c>
      <c r="I1364" s="66" t="str">
        <f>IF(Sixth!I117="", "",Sixth!I117)</f>
        <v/>
      </c>
      <c r="J1364" s="66" t="str">
        <f>IF(Sixth!J117="", "",Sixth!J117)</f>
        <v/>
      </c>
      <c r="K1364" s="86" t="str">
        <f>IF(Sixth!K117="", "",Sixth!K117)</f>
        <v/>
      </c>
      <c r="M1364" s="67" t="str">
        <f t="shared" si="65"/>
        <v/>
      </c>
      <c r="N1364" s="76" t="str">
        <f t="shared" si="66"/>
        <v/>
      </c>
      <c r="O1364" s="33">
        <f t="shared" si="64"/>
        <v>0</v>
      </c>
    </row>
    <row r="1365" spans="1:15" x14ac:dyDescent="0.25">
      <c r="A1365" s="64" t="s">
        <v>206</v>
      </c>
      <c r="B1365" s="79" t="str">
        <f>IF(Sixth!B118="", "",Sixth!B118)</f>
        <v/>
      </c>
      <c r="C1365" s="66" t="str">
        <f>IF(Sixth!C118="", "",Sixth!C118)</f>
        <v/>
      </c>
      <c r="D1365" s="66" t="str">
        <f>IF(Sixth!D118="", "",Sixth!D118)</f>
        <v/>
      </c>
      <c r="E1365" s="66" t="str">
        <f>IF(Sixth!E118="", "",Sixth!E118)</f>
        <v/>
      </c>
      <c r="F1365" s="66" t="str">
        <f>IF(Sixth!F118="", "",Sixth!F118)</f>
        <v/>
      </c>
      <c r="G1365" s="66" t="str">
        <f>IF(Sixth!G118="", "",Sixth!G118)</f>
        <v/>
      </c>
      <c r="H1365" s="66" t="str">
        <f>IF(Sixth!H118="", "",Sixth!H118)</f>
        <v/>
      </c>
      <c r="I1365" s="66" t="str">
        <f>IF(Sixth!I118="", "",Sixth!I118)</f>
        <v/>
      </c>
      <c r="J1365" s="66" t="str">
        <f>IF(Sixth!J118="", "",Sixth!J118)</f>
        <v/>
      </c>
      <c r="K1365" s="86" t="str">
        <f>IF(Sixth!K118="", "",Sixth!K118)</f>
        <v/>
      </c>
      <c r="M1365" s="67" t="str">
        <f t="shared" si="65"/>
        <v/>
      </c>
      <c r="N1365" s="76" t="str">
        <f t="shared" si="66"/>
        <v/>
      </c>
      <c r="O1365" s="33">
        <f t="shared" si="64"/>
        <v>0</v>
      </c>
    </row>
    <row r="1366" spans="1:15" x14ac:dyDescent="0.25">
      <c r="A1366" s="64" t="s">
        <v>206</v>
      </c>
      <c r="B1366" s="79" t="str">
        <f>IF(Sixth!B119="", "",Sixth!B119)</f>
        <v/>
      </c>
      <c r="C1366" s="66" t="str">
        <f>IF(Sixth!C119="", "",Sixth!C119)</f>
        <v/>
      </c>
      <c r="D1366" s="66" t="str">
        <f>IF(Sixth!D119="", "",Sixth!D119)</f>
        <v/>
      </c>
      <c r="E1366" s="66" t="str">
        <f>IF(Sixth!E119="", "",Sixth!E119)</f>
        <v/>
      </c>
      <c r="F1366" s="66" t="str">
        <f>IF(Sixth!F119="", "",Sixth!F119)</f>
        <v/>
      </c>
      <c r="G1366" s="66" t="str">
        <f>IF(Sixth!G119="", "",Sixth!G119)</f>
        <v/>
      </c>
      <c r="H1366" s="66" t="str">
        <f>IF(Sixth!H119="", "",Sixth!H119)</f>
        <v/>
      </c>
      <c r="I1366" s="66" t="str">
        <f>IF(Sixth!I119="", "",Sixth!I119)</f>
        <v/>
      </c>
      <c r="J1366" s="66" t="str">
        <f>IF(Sixth!J119="", "",Sixth!J119)</f>
        <v/>
      </c>
      <c r="K1366" s="86" t="str">
        <f>IF(Sixth!K119="", "",Sixth!K119)</f>
        <v/>
      </c>
      <c r="M1366" s="67" t="str">
        <f t="shared" si="65"/>
        <v/>
      </c>
      <c r="N1366" s="76" t="str">
        <f t="shared" si="66"/>
        <v/>
      </c>
      <c r="O1366" s="33">
        <f t="shared" si="64"/>
        <v>0</v>
      </c>
    </row>
    <row r="1367" spans="1:15" x14ac:dyDescent="0.25">
      <c r="A1367" s="64" t="s">
        <v>206</v>
      </c>
      <c r="B1367" s="79" t="str">
        <f>IF(Sixth!B120="", "",Sixth!B120)</f>
        <v/>
      </c>
      <c r="C1367" s="66" t="str">
        <f>IF(Sixth!C120="", "",Sixth!C120)</f>
        <v/>
      </c>
      <c r="D1367" s="66" t="str">
        <f>IF(Sixth!D120="", "",Sixth!D120)</f>
        <v/>
      </c>
      <c r="E1367" s="66" t="str">
        <f>IF(Sixth!E120="", "",Sixth!E120)</f>
        <v/>
      </c>
      <c r="F1367" s="66" t="str">
        <f>IF(Sixth!F120="", "",Sixth!F120)</f>
        <v/>
      </c>
      <c r="G1367" s="66" t="str">
        <f>IF(Sixth!G120="", "",Sixth!G120)</f>
        <v/>
      </c>
      <c r="H1367" s="66" t="str">
        <f>IF(Sixth!H120="", "",Sixth!H120)</f>
        <v/>
      </c>
      <c r="I1367" s="66" t="str">
        <f>IF(Sixth!I120="", "",Sixth!I120)</f>
        <v/>
      </c>
      <c r="J1367" s="66" t="str">
        <f>IF(Sixth!J120="", "",Sixth!J120)</f>
        <v/>
      </c>
      <c r="K1367" s="86" t="str">
        <f>IF(Sixth!K120="", "",Sixth!K120)</f>
        <v/>
      </c>
      <c r="M1367" s="67" t="str">
        <f t="shared" si="65"/>
        <v/>
      </c>
      <c r="N1367" s="76" t="str">
        <f t="shared" si="66"/>
        <v/>
      </c>
      <c r="O1367" s="33">
        <f t="shared" si="64"/>
        <v>0</v>
      </c>
    </row>
    <row r="1368" spans="1:15" x14ac:dyDescent="0.25">
      <c r="A1368" s="64" t="s">
        <v>206</v>
      </c>
      <c r="B1368" s="79" t="str">
        <f>IF(Sixth!B121="", "",Sixth!B121)</f>
        <v/>
      </c>
      <c r="C1368" s="66" t="str">
        <f>IF(Sixth!C121="", "",Sixth!C121)</f>
        <v/>
      </c>
      <c r="D1368" s="66" t="str">
        <f>IF(Sixth!D121="", "",Sixth!D121)</f>
        <v/>
      </c>
      <c r="E1368" s="66" t="str">
        <f>IF(Sixth!E121="", "",Sixth!E121)</f>
        <v/>
      </c>
      <c r="F1368" s="66" t="str">
        <f>IF(Sixth!F121="", "",Sixth!F121)</f>
        <v/>
      </c>
      <c r="G1368" s="66" t="str">
        <f>IF(Sixth!G121="", "",Sixth!G121)</f>
        <v/>
      </c>
      <c r="H1368" s="66" t="str">
        <f>IF(Sixth!H121="", "",Sixth!H121)</f>
        <v/>
      </c>
      <c r="I1368" s="66" t="str">
        <f>IF(Sixth!I121="", "",Sixth!I121)</f>
        <v/>
      </c>
      <c r="J1368" s="66" t="str">
        <f>IF(Sixth!J121="", "",Sixth!J121)</f>
        <v/>
      </c>
      <c r="K1368" s="86" t="str">
        <f>IF(Sixth!K121="", "",Sixth!K121)</f>
        <v/>
      </c>
      <c r="M1368" s="67" t="str">
        <f t="shared" si="65"/>
        <v/>
      </c>
      <c r="N1368" s="76" t="str">
        <f t="shared" si="66"/>
        <v/>
      </c>
      <c r="O1368" s="33">
        <f t="shared" si="64"/>
        <v>0</v>
      </c>
    </row>
    <row r="1369" spans="1:15" x14ac:dyDescent="0.25">
      <c r="A1369" s="64" t="s">
        <v>206</v>
      </c>
      <c r="B1369" s="79" t="str">
        <f>IF(Sixth!B122="", "",Sixth!B122)</f>
        <v/>
      </c>
      <c r="C1369" s="66" t="str">
        <f>IF(Sixth!C122="", "",Sixth!C122)</f>
        <v/>
      </c>
      <c r="D1369" s="66" t="str">
        <f>IF(Sixth!D122="", "",Sixth!D122)</f>
        <v/>
      </c>
      <c r="E1369" s="66" t="str">
        <f>IF(Sixth!E122="", "",Sixth!E122)</f>
        <v/>
      </c>
      <c r="F1369" s="66" t="str">
        <f>IF(Sixth!F122="", "",Sixth!F122)</f>
        <v/>
      </c>
      <c r="G1369" s="66" t="str">
        <f>IF(Sixth!G122="", "",Sixth!G122)</f>
        <v/>
      </c>
      <c r="H1369" s="66" t="str">
        <f>IF(Sixth!H122="", "",Sixth!H122)</f>
        <v/>
      </c>
      <c r="I1369" s="66" t="str">
        <f>IF(Sixth!I122="", "",Sixth!I122)</f>
        <v/>
      </c>
      <c r="J1369" s="66" t="str">
        <f>IF(Sixth!J122="", "",Sixth!J122)</f>
        <v/>
      </c>
      <c r="K1369" s="86" t="str">
        <f>IF(Sixth!K122="", "",Sixth!K122)</f>
        <v/>
      </c>
      <c r="M1369" s="67" t="str">
        <f t="shared" si="65"/>
        <v/>
      </c>
      <c r="N1369" s="76" t="str">
        <f t="shared" si="66"/>
        <v/>
      </c>
      <c r="O1369" s="33">
        <f t="shared" si="64"/>
        <v>0</v>
      </c>
    </row>
    <row r="1370" spans="1:15" x14ac:dyDescent="0.25">
      <c r="A1370" s="64" t="s">
        <v>206</v>
      </c>
      <c r="B1370" s="79" t="str">
        <f>IF(Sixth!B123="", "",Sixth!B123)</f>
        <v/>
      </c>
      <c r="C1370" s="66" t="str">
        <f>IF(Sixth!C123="", "",Sixth!C123)</f>
        <v/>
      </c>
      <c r="D1370" s="66" t="str">
        <f>IF(Sixth!D123="", "",Sixth!D123)</f>
        <v/>
      </c>
      <c r="E1370" s="66" t="str">
        <f>IF(Sixth!E123="", "",Sixth!E123)</f>
        <v/>
      </c>
      <c r="F1370" s="66" t="str">
        <f>IF(Sixth!F123="", "",Sixth!F123)</f>
        <v/>
      </c>
      <c r="G1370" s="66" t="str">
        <f>IF(Sixth!G123="", "",Sixth!G123)</f>
        <v/>
      </c>
      <c r="H1370" s="66" t="str">
        <f>IF(Sixth!H123="", "",Sixth!H123)</f>
        <v/>
      </c>
      <c r="I1370" s="66" t="str">
        <f>IF(Sixth!I123="", "",Sixth!I123)</f>
        <v/>
      </c>
      <c r="J1370" s="66" t="str">
        <f>IF(Sixth!J123="", "",Sixth!J123)</f>
        <v/>
      </c>
      <c r="K1370" s="86" t="str">
        <f>IF(Sixth!K123="", "",Sixth!K123)</f>
        <v/>
      </c>
      <c r="M1370" s="67" t="str">
        <f t="shared" si="65"/>
        <v/>
      </c>
      <c r="N1370" s="76" t="str">
        <f t="shared" si="66"/>
        <v/>
      </c>
      <c r="O1370" s="33">
        <f t="shared" si="64"/>
        <v>0</v>
      </c>
    </row>
    <row r="1371" spans="1:15" x14ac:dyDescent="0.25">
      <c r="A1371" s="64" t="s">
        <v>206</v>
      </c>
      <c r="B1371" s="79" t="str">
        <f>IF(Sixth!B124="", "",Sixth!B124)</f>
        <v/>
      </c>
      <c r="C1371" s="66" t="str">
        <f>IF(Sixth!C124="", "",Sixth!C124)</f>
        <v/>
      </c>
      <c r="D1371" s="66" t="str">
        <f>IF(Sixth!D124="", "",Sixth!D124)</f>
        <v/>
      </c>
      <c r="E1371" s="66" t="str">
        <f>IF(Sixth!E124="", "",Sixth!E124)</f>
        <v/>
      </c>
      <c r="F1371" s="66" t="str">
        <f>IF(Sixth!F124="", "",Sixth!F124)</f>
        <v/>
      </c>
      <c r="G1371" s="66" t="str">
        <f>IF(Sixth!G124="", "",Sixth!G124)</f>
        <v/>
      </c>
      <c r="H1371" s="66" t="str">
        <f>IF(Sixth!H124="", "",Sixth!H124)</f>
        <v/>
      </c>
      <c r="I1371" s="66" t="str">
        <f>IF(Sixth!I124="", "",Sixth!I124)</f>
        <v/>
      </c>
      <c r="J1371" s="66" t="str">
        <f>IF(Sixth!J124="", "",Sixth!J124)</f>
        <v/>
      </c>
      <c r="K1371" s="86" t="str">
        <f>IF(Sixth!K124="", "",Sixth!K124)</f>
        <v/>
      </c>
      <c r="M1371" s="67" t="str">
        <f t="shared" si="65"/>
        <v/>
      </c>
      <c r="N1371" s="76" t="str">
        <f t="shared" si="66"/>
        <v/>
      </c>
      <c r="O1371" s="33">
        <f t="shared" si="64"/>
        <v>0</v>
      </c>
    </row>
    <row r="1372" spans="1:15" x14ac:dyDescent="0.25">
      <c r="A1372" s="64" t="s">
        <v>206</v>
      </c>
      <c r="B1372" s="79" t="str">
        <f>IF(Sixth!B125="", "",Sixth!B125)</f>
        <v/>
      </c>
      <c r="C1372" s="66" t="str">
        <f>IF(Sixth!C125="", "",Sixth!C125)</f>
        <v/>
      </c>
      <c r="D1372" s="66" t="str">
        <f>IF(Sixth!D125="", "",Sixth!D125)</f>
        <v/>
      </c>
      <c r="E1372" s="66" t="str">
        <f>IF(Sixth!E125="", "",Sixth!E125)</f>
        <v/>
      </c>
      <c r="F1372" s="66" t="str">
        <f>IF(Sixth!F125="", "",Sixth!F125)</f>
        <v/>
      </c>
      <c r="G1372" s="66" t="str">
        <f>IF(Sixth!G125="", "",Sixth!G125)</f>
        <v/>
      </c>
      <c r="H1372" s="66" t="str">
        <f>IF(Sixth!H125="", "",Sixth!H125)</f>
        <v/>
      </c>
      <c r="I1372" s="66" t="str">
        <f>IF(Sixth!I125="", "",Sixth!I125)</f>
        <v/>
      </c>
      <c r="J1372" s="66" t="str">
        <f>IF(Sixth!J125="", "",Sixth!J125)</f>
        <v/>
      </c>
      <c r="K1372" s="86" t="str">
        <f>IF(Sixth!K125="", "",Sixth!K125)</f>
        <v/>
      </c>
      <c r="M1372" s="67" t="str">
        <f t="shared" si="65"/>
        <v/>
      </c>
      <c r="N1372" s="76" t="str">
        <f t="shared" si="66"/>
        <v/>
      </c>
      <c r="O1372" s="33">
        <f t="shared" si="64"/>
        <v>0</v>
      </c>
    </row>
    <row r="1373" spans="1:15" x14ac:dyDescent="0.25">
      <c r="A1373" s="64" t="s">
        <v>206</v>
      </c>
      <c r="B1373" s="79" t="str">
        <f>IF(Sixth!B126="", "",Sixth!B126)</f>
        <v/>
      </c>
      <c r="C1373" s="66" t="str">
        <f>IF(Sixth!C126="", "",Sixth!C126)</f>
        <v/>
      </c>
      <c r="D1373" s="66" t="str">
        <f>IF(Sixth!D126="", "",Sixth!D126)</f>
        <v/>
      </c>
      <c r="E1373" s="66" t="str">
        <f>IF(Sixth!E126="", "",Sixth!E126)</f>
        <v/>
      </c>
      <c r="F1373" s="66" t="str">
        <f>IF(Sixth!F126="", "",Sixth!F126)</f>
        <v/>
      </c>
      <c r="G1373" s="66" t="str">
        <f>IF(Sixth!G126="", "",Sixth!G126)</f>
        <v/>
      </c>
      <c r="H1373" s="66" t="str">
        <f>IF(Sixth!H126="", "",Sixth!H126)</f>
        <v/>
      </c>
      <c r="I1373" s="66" t="str">
        <f>IF(Sixth!I126="", "",Sixth!I126)</f>
        <v/>
      </c>
      <c r="J1373" s="66" t="str">
        <f>IF(Sixth!J126="", "",Sixth!J126)</f>
        <v/>
      </c>
      <c r="K1373" s="86" t="str">
        <f>IF(Sixth!K126="", "",Sixth!K126)</f>
        <v/>
      </c>
      <c r="M1373" s="67" t="str">
        <f t="shared" si="65"/>
        <v/>
      </c>
      <c r="N1373" s="76" t="str">
        <f t="shared" si="66"/>
        <v/>
      </c>
      <c r="O1373" s="33">
        <f t="shared" si="64"/>
        <v>0</v>
      </c>
    </row>
    <row r="1374" spans="1:15" x14ac:dyDescent="0.25">
      <c r="A1374" s="64" t="s">
        <v>206</v>
      </c>
      <c r="B1374" s="79" t="str">
        <f>IF(Sixth!B127="", "",Sixth!B127)</f>
        <v/>
      </c>
      <c r="C1374" s="66" t="str">
        <f>IF(Sixth!C127="", "",Sixth!C127)</f>
        <v/>
      </c>
      <c r="D1374" s="66" t="str">
        <f>IF(Sixth!D127="", "",Sixth!D127)</f>
        <v/>
      </c>
      <c r="E1374" s="66" t="str">
        <f>IF(Sixth!E127="", "",Sixth!E127)</f>
        <v/>
      </c>
      <c r="F1374" s="66" t="str">
        <f>IF(Sixth!F127="", "",Sixth!F127)</f>
        <v/>
      </c>
      <c r="G1374" s="66" t="str">
        <f>IF(Sixth!G127="", "",Sixth!G127)</f>
        <v/>
      </c>
      <c r="H1374" s="66" t="str">
        <f>IF(Sixth!H127="", "",Sixth!H127)</f>
        <v/>
      </c>
      <c r="I1374" s="66" t="str">
        <f>IF(Sixth!I127="", "",Sixth!I127)</f>
        <v/>
      </c>
      <c r="J1374" s="66" t="str">
        <f>IF(Sixth!J127="", "",Sixth!J127)</f>
        <v/>
      </c>
      <c r="K1374" s="86" t="str">
        <f>IF(Sixth!K127="", "",Sixth!K127)</f>
        <v/>
      </c>
      <c r="M1374" s="67" t="str">
        <f t="shared" si="65"/>
        <v/>
      </c>
      <c r="N1374" s="76" t="str">
        <f t="shared" si="66"/>
        <v/>
      </c>
      <c r="O1374" s="33">
        <f t="shared" si="64"/>
        <v>0</v>
      </c>
    </row>
    <row r="1375" spans="1:15" x14ac:dyDescent="0.25">
      <c r="A1375" s="64" t="s">
        <v>206</v>
      </c>
      <c r="B1375" s="79" t="str">
        <f>IF(Sixth!B128="", "",Sixth!B128)</f>
        <v/>
      </c>
      <c r="C1375" s="66" t="str">
        <f>IF(Sixth!C128="", "",Sixth!C128)</f>
        <v/>
      </c>
      <c r="D1375" s="66" t="str">
        <f>IF(Sixth!D128="", "",Sixth!D128)</f>
        <v/>
      </c>
      <c r="E1375" s="66" t="str">
        <f>IF(Sixth!E128="", "",Sixth!E128)</f>
        <v/>
      </c>
      <c r="F1375" s="66" t="str">
        <f>IF(Sixth!F128="", "",Sixth!F128)</f>
        <v/>
      </c>
      <c r="G1375" s="66" t="str">
        <f>IF(Sixth!G128="", "",Sixth!G128)</f>
        <v/>
      </c>
      <c r="H1375" s="66" t="str">
        <f>IF(Sixth!H128="", "",Sixth!H128)</f>
        <v/>
      </c>
      <c r="I1375" s="66" t="str">
        <f>IF(Sixth!I128="", "",Sixth!I128)</f>
        <v/>
      </c>
      <c r="J1375" s="66" t="str">
        <f>IF(Sixth!J128="", "",Sixth!J128)</f>
        <v/>
      </c>
      <c r="K1375" s="86" t="str">
        <f>IF(Sixth!K128="", "",Sixth!K128)</f>
        <v/>
      </c>
      <c r="M1375" s="67" t="str">
        <f t="shared" si="65"/>
        <v/>
      </c>
      <c r="N1375" s="76" t="str">
        <f t="shared" si="66"/>
        <v/>
      </c>
      <c r="O1375" s="33">
        <f t="shared" si="64"/>
        <v>0</v>
      </c>
    </row>
    <row r="1376" spans="1:15" x14ac:dyDescent="0.25">
      <c r="A1376" s="64" t="s">
        <v>206</v>
      </c>
      <c r="B1376" s="79" t="str">
        <f>IF(Sixth!B129="", "",Sixth!B129)</f>
        <v/>
      </c>
      <c r="C1376" s="66" t="str">
        <f>IF(Sixth!C129="", "",Sixth!C129)</f>
        <v/>
      </c>
      <c r="D1376" s="66" t="str">
        <f>IF(Sixth!D129="", "",Sixth!D129)</f>
        <v/>
      </c>
      <c r="E1376" s="66" t="str">
        <f>IF(Sixth!E129="", "",Sixth!E129)</f>
        <v/>
      </c>
      <c r="F1376" s="66" t="str">
        <f>IF(Sixth!F129="", "",Sixth!F129)</f>
        <v/>
      </c>
      <c r="G1376" s="66" t="str">
        <f>IF(Sixth!G129="", "",Sixth!G129)</f>
        <v/>
      </c>
      <c r="H1376" s="66" t="str">
        <f>IF(Sixth!H129="", "",Sixth!H129)</f>
        <v/>
      </c>
      <c r="I1376" s="66" t="str">
        <f>IF(Sixth!I129="", "",Sixth!I129)</f>
        <v/>
      </c>
      <c r="J1376" s="66" t="str">
        <f>IF(Sixth!J129="", "",Sixth!J129)</f>
        <v/>
      </c>
      <c r="K1376" s="86" t="str">
        <f>IF(Sixth!K129="", "",Sixth!K129)</f>
        <v/>
      </c>
      <c r="M1376" s="67" t="str">
        <f t="shared" si="65"/>
        <v/>
      </c>
      <c r="N1376" s="76" t="str">
        <f t="shared" si="66"/>
        <v/>
      </c>
      <c r="O1376" s="33">
        <f t="shared" si="64"/>
        <v>0</v>
      </c>
    </row>
    <row r="1377" spans="1:15" x14ac:dyDescent="0.25">
      <c r="A1377" s="64" t="s">
        <v>206</v>
      </c>
      <c r="B1377" s="79" t="str">
        <f>IF(Sixth!B130="", "",Sixth!B130)</f>
        <v/>
      </c>
      <c r="C1377" s="66" t="str">
        <f>IF(Sixth!C130="", "",Sixth!C130)</f>
        <v/>
      </c>
      <c r="D1377" s="66" t="str">
        <f>IF(Sixth!D130="", "",Sixth!D130)</f>
        <v/>
      </c>
      <c r="E1377" s="66" t="str">
        <f>IF(Sixth!E130="", "",Sixth!E130)</f>
        <v/>
      </c>
      <c r="F1377" s="66" t="str">
        <f>IF(Sixth!F130="", "",Sixth!F130)</f>
        <v/>
      </c>
      <c r="G1377" s="66" t="str">
        <f>IF(Sixth!G130="", "",Sixth!G130)</f>
        <v/>
      </c>
      <c r="H1377" s="66" t="str">
        <f>IF(Sixth!H130="", "",Sixth!H130)</f>
        <v/>
      </c>
      <c r="I1377" s="66" t="str">
        <f>IF(Sixth!I130="", "",Sixth!I130)</f>
        <v/>
      </c>
      <c r="J1377" s="66" t="str">
        <f>IF(Sixth!J130="", "",Sixth!J130)</f>
        <v/>
      </c>
      <c r="K1377" s="86" t="str">
        <f>IF(Sixth!K130="", "",Sixth!K130)</f>
        <v/>
      </c>
      <c r="M1377" s="67" t="str">
        <f t="shared" si="65"/>
        <v/>
      </c>
      <c r="N1377" s="76" t="str">
        <f t="shared" si="66"/>
        <v/>
      </c>
      <c r="O1377" s="33">
        <f t="shared" si="64"/>
        <v>0</v>
      </c>
    </row>
    <row r="1378" spans="1:15" x14ac:dyDescent="0.25">
      <c r="A1378" s="64" t="s">
        <v>206</v>
      </c>
      <c r="B1378" s="79" t="str">
        <f>IF(Sixth!B131="", "",Sixth!B131)</f>
        <v/>
      </c>
      <c r="C1378" s="66" t="str">
        <f>IF(Sixth!C131="", "",Sixth!C131)</f>
        <v/>
      </c>
      <c r="D1378" s="66" t="str">
        <f>IF(Sixth!D131="", "",Sixth!D131)</f>
        <v/>
      </c>
      <c r="E1378" s="66" t="str">
        <f>IF(Sixth!E131="", "",Sixth!E131)</f>
        <v/>
      </c>
      <c r="F1378" s="66" t="str">
        <f>IF(Sixth!F131="", "",Sixth!F131)</f>
        <v/>
      </c>
      <c r="G1378" s="66" t="str">
        <f>IF(Sixth!G131="", "",Sixth!G131)</f>
        <v/>
      </c>
      <c r="H1378" s="66" t="str">
        <f>IF(Sixth!H131="", "",Sixth!H131)</f>
        <v/>
      </c>
      <c r="I1378" s="66" t="str">
        <f>IF(Sixth!I131="", "",Sixth!I131)</f>
        <v/>
      </c>
      <c r="J1378" s="66" t="str">
        <f>IF(Sixth!J131="", "",Sixth!J131)</f>
        <v/>
      </c>
      <c r="K1378" s="86" t="str">
        <f>IF(Sixth!K131="", "",Sixth!K131)</f>
        <v/>
      </c>
      <c r="M1378" s="67" t="str">
        <f t="shared" si="65"/>
        <v/>
      </c>
      <c r="N1378" s="76" t="str">
        <f t="shared" si="66"/>
        <v/>
      </c>
      <c r="O1378" s="33">
        <f t="shared" si="64"/>
        <v>0</v>
      </c>
    </row>
    <row r="1379" spans="1:15" x14ac:dyDescent="0.25">
      <c r="A1379" s="64" t="s">
        <v>206</v>
      </c>
      <c r="B1379" s="79" t="str">
        <f>IF(Sixth!B132="", "",Sixth!B132)</f>
        <v/>
      </c>
      <c r="C1379" s="66" t="str">
        <f>IF(Sixth!C132="", "",Sixth!C132)</f>
        <v/>
      </c>
      <c r="D1379" s="66" t="str">
        <f>IF(Sixth!D132="", "",Sixth!D132)</f>
        <v/>
      </c>
      <c r="E1379" s="66" t="str">
        <f>IF(Sixth!E132="", "",Sixth!E132)</f>
        <v/>
      </c>
      <c r="F1379" s="66" t="str">
        <f>IF(Sixth!F132="", "",Sixth!F132)</f>
        <v/>
      </c>
      <c r="G1379" s="66" t="str">
        <f>IF(Sixth!G132="", "",Sixth!G132)</f>
        <v/>
      </c>
      <c r="H1379" s="66" t="str">
        <f>IF(Sixth!H132="", "",Sixth!H132)</f>
        <v/>
      </c>
      <c r="I1379" s="66" t="str">
        <f>IF(Sixth!I132="", "",Sixth!I132)</f>
        <v/>
      </c>
      <c r="J1379" s="66" t="str">
        <f>IF(Sixth!J132="", "",Sixth!J132)</f>
        <v/>
      </c>
      <c r="K1379" s="86" t="str">
        <f>IF(Sixth!K132="", "",Sixth!K132)</f>
        <v/>
      </c>
      <c r="M1379" s="67" t="str">
        <f t="shared" si="65"/>
        <v/>
      </c>
      <c r="N1379" s="76" t="str">
        <f t="shared" si="66"/>
        <v/>
      </c>
      <c r="O1379" s="33">
        <f t="shared" si="64"/>
        <v>0</v>
      </c>
    </row>
    <row r="1380" spans="1:15" x14ac:dyDescent="0.25">
      <c r="A1380" s="64" t="s">
        <v>206</v>
      </c>
      <c r="B1380" s="79" t="str">
        <f>IF(Sixth!B133="", "",Sixth!B133)</f>
        <v/>
      </c>
      <c r="C1380" s="66" t="str">
        <f>IF(Sixth!C133="", "",Sixth!C133)</f>
        <v/>
      </c>
      <c r="D1380" s="66" t="str">
        <f>IF(Sixth!D133="", "",Sixth!D133)</f>
        <v/>
      </c>
      <c r="E1380" s="66" t="str">
        <f>IF(Sixth!E133="", "",Sixth!E133)</f>
        <v/>
      </c>
      <c r="F1380" s="66" t="str">
        <f>IF(Sixth!F133="", "",Sixth!F133)</f>
        <v/>
      </c>
      <c r="G1380" s="66" t="str">
        <f>IF(Sixth!G133="", "",Sixth!G133)</f>
        <v/>
      </c>
      <c r="H1380" s="66" t="str">
        <f>IF(Sixth!H133="", "",Sixth!H133)</f>
        <v/>
      </c>
      <c r="I1380" s="66" t="str">
        <f>IF(Sixth!I133="", "",Sixth!I133)</f>
        <v/>
      </c>
      <c r="J1380" s="66" t="str">
        <f>IF(Sixth!J133="", "",Sixth!J133)</f>
        <v/>
      </c>
      <c r="K1380" s="86" t="str">
        <f>IF(Sixth!K133="", "",Sixth!K133)</f>
        <v/>
      </c>
      <c r="M1380" s="67" t="str">
        <f t="shared" si="65"/>
        <v/>
      </c>
      <c r="N1380" s="76" t="str">
        <f t="shared" si="66"/>
        <v/>
      </c>
      <c r="O1380" s="33">
        <f t="shared" si="64"/>
        <v>0</v>
      </c>
    </row>
    <row r="1381" spans="1:15" x14ac:dyDescent="0.25">
      <c r="A1381" s="64" t="s">
        <v>206</v>
      </c>
      <c r="B1381" s="79" t="str">
        <f>IF(Sixth!B134="", "",Sixth!B134)</f>
        <v/>
      </c>
      <c r="C1381" s="66" t="str">
        <f>IF(Sixth!C134="", "",Sixth!C134)</f>
        <v/>
      </c>
      <c r="D1381" s="66" t="str">
        <f>IF(Sixth!D134="", "",Sixth!D134)</f>
        <v/>
      </c>
      <c r="E1381" s="66" t="str">
        <f>IF(Sixth!E134="", "",Sixth!E134)</f>
        <v/>
      </c>
      <c r="F1381" s="66" t="str">
        <f>IF(Sixth!F134="", "",Sixth!F134)</f>
        <v/>
      </c>
      <c r="G1381" s="66" t="str">
        <f>IF(Sixth!G134="", "",Sixth!G134)</f>
        <v/>
      </c>
      <c r="H1381" s="66" t="str">
        <f>IF(Sixth!H134="", "",Sixth!H134)</f>
        <v/>
      </c>
      <c r="I1381" s="66" t="str">
        <f>IF(Sixth!I134="", "",Sixth!I134)</f>
        <v/>
      </c>
      <c r="J1381" s="66" t="str">
        <f>IF(Sixth!J134="", "",Sixth!J134)</f>
        <v/>
      </c>
      <c r="K1381" s="86" t="str">
        <f>IF(Sixth!K134="", "",Sixth!K134)</f>
        <v/>
      </c>
      <c r="M1381" s="67" t="str">
        <f t="shared" si="65"/>
        <v/>
      </c>
      <c r="N1381" s="76" t="str">
        <f t="shared" si="66"/>
        <v/>
      </c>
      <c r="O1381" s="33">
        <f t="shared" si="64"/>
        <v>0</v>
      </c>
    </row>
    <row r="1382" spans="1:15" x14ac:dyDescent="0.25">
      <c r="A1382" s="64" t="s">
        <v>206</v>
      </c>
      <c r="B1382" s="79" t="str">
        <f>IF(Sixth!B135="", "",Sixth!B135)</f>
        <v/>
      </c>
      <c r="C1382" s="66" t="str">
        <f>IF(Sixth!C135="", "",Sixth!C135)</f>
        <v/>
      </c>
      <c r="D1382" s="66" t="str">
        <f>IF(Sixth!D135="", "",Sixth!D135)</f>
        <v/>
      </c>
      <c r="E1382" s="66" t="str">
        <f>IF(Sixth!E135="", "",Sixth!E135)</f>
        <v/>
      </c>
      <c r="F1382" s="66" t="str">
        <f>IF(Sixth!F135="", "",Sixth!F135)</f>
        <v/>
      </c>
      <c r="G1382" s="66" t="str">
        <f>IF(Sixth!G135="", "",Sixth!G135)</f>
        <v/>
      </c>
      <c r="H1382" s="66" t="str">
        <f>IF(Sixth!H135="", "",Sixth!H135)</f>
        <v/>
      </c>
      <c r="I1382" s="66" t="str">
        <f>IF(Sixth!I135="", "",Sixth!I135)</f>
        <v/>
      </c>
      <c r="J1382" s="66" t="str">
        <f>IF(Sixth!J135="", "",Sixth!J135)</f>
        <v/>
      </c>
      <c r="K1382" s="86" t="str">
        <f>IF(Sixth!K135="", "",Sixth!K135)</f>
        <v/>
      </c>
      <c r="M1382" s="67" t="str">
        <f t="shared" si="65"/>
        <v/>
      </c>
      <c r="N1382" s="76" t="str">
        <f t="shared" si="66"/>
        <v/>
      </c>
      <c r="O1382" s="33">
        <f t="shared" si="64"/>
        <v>0</v>
      </c>
    </row>
    <row r="1383" spans="1:15" x14ac:dyDescent="0.25">
      <c r="A1383" s="64" t="s">
        <v>206</v>
      </c>
      <c r="B1383" s="79" t="str">
        <f>IF(Sixth!B136="", "",Sixth!B136)</f>
        <v/>
      </c>
      <c r="C1383" s="66" t="str">
        <f>IF(Sixth!C136="", "",Sixth!C136)</f>
        <v/>
      </c>
      <c r="D1383" s="66" t="str">
        <f>IF(Sixth!D136="", "",Sixth!D136)</f>
        <v/>
      </c>
      <c r="E1383" s="66" t="str">
        <f>IF(Sixth!E136="", "",Sixth!E136)</f>
        <v/>
      </c>
      <c r="F1383" s="66" t="str">
        <f>IF(Sixth!F136="", "",Sixth!F136)</f>
        <v/>
      </c>
      <c r="G1383" s="66" t="str">
        <f>IF(Sixth!G136="", "",Sixth!G136)</f>
        <v/>
      </c>
      <c r="H1383" s="66" t="str">
        <f>IF(Sixth!H136="", "",Sixth!H136)</f>
        <v/>
      </c>
      <c r="I1383" s="66" t="str">
        <f>IF(Sixth!I136="", "",Sixth!I136)</f>
        <v/>
      </c>
      <c r="J1383" s="66" t="str">
        <f>IF(Sixth!J136="", "",Sixth!J136)</f>
        <v/>
      </c>
      <c r="K1383" s="86" t="str">
        <f>IF(Sixth!K136="", "",Sixth!K136)</f>
        <v/>
      </c>
      <c r="M1383" s="67" t="str">
        <f t="shared" si="65"/>
        <v/>
      </c>
      <c r="N1383" s="76" t="str">
        <f t="shared" si="66"/>
        <v/>
      </c>
      <c r="O1383" s="33">
        <f t="shared" si="64"/>
        <v>0</v>
      </c>
    </row>
    <row r="1384" spans="1:15" x14ac:dyDescent="0.25">
      <c r="A1384" s="64" t="s">
        <v>206</v>
      </c>
      <c r="B1384" s="79" t="str">
        <f>IF(Sixth!B137="", "",Sixth!B137)</f>
        <v/>
      </c>
      <c r="C1384" s="66" t="str">
        <f>IF(Sixth!C137="", "",Sixth!C137)</f>
        <v/>
      </c>
      <c r="D1384" s="66" t="str">
        <f>IF(Sixth!D137="", "",Sixth!D137)</f>
        <v/>
      </c>
      <c r="E1384" s="66" t="str">
        <f>IF(Sixth!E137="", "",Sixth!E137)</f>
        <v/>
      </c>
      <c r="F1384" s="66" t="str">
        <f>IF(Sixth!F137="", "",Sixth!F137)</f>
        <v/>
      </c>
      <c r="G1384" s="66" t="str">
        <f>IF(Sixth!G137="", "",Sixth!G137)</f>
        <v/>
      </c>
      <c r="H1384" s="66" t="str">
        <f>IF(Sixth!H137="", "",Sixth!H137)</f>
        <v/>
      </c>
      <c r="I1384" s="66" t="str">
        <f>IF(Sixth!I137="", "",Sixth!I137)</f>
        <v/>
      </c>
      <c r="J1384" s="66" t="str">
        <f>IF(Sixth!J137="", "",Sixth!J137)</f>
        <v/>
      </c>
      <c r="K1384" s="86" t="str">
        <f>IF(Sixth!K137="", "",Sixth!K137)</f>
        <v/>
      </c>
      <c r="M1384" s="67" t="str">
        <f t="shared" si="65"/>
        <v/>
      </c>
      <c r="N1384" s="76" t="str">
        <f t="shared" si="66"/>
        <v/>
      </c>
      <c r="O1384" s="33">
        <f t="shared" si="64"/>
        <v>0</v>
      </c>
    </row>
    <row r="1385" spans="1:15" x14ac:dyDescent="0.25">
      <c r="A1385" s="64" t="s">
        <v>206</v>
      </c>
      <c r="B1385" s="79" t="str">
        <f>IF(Sixth!B138="", "",Sixth!B138)</f>
        <v/>
      </c>
      <c r="C1385" s="66" t="str">
        <f>IF(Sixth!C138="", "",Sixth!C138)</f>
        <v/>
      </c>
      <c r="D1385" s="66" t="str">
        <f>IF(Sixth!D138="", "",Sixth!D138)</f>
        <v/>
      </c>
      <c r="E1385" s="66" t="str">
        <f>IF(Sixth!E138="", "",Sixth!E138)</f>
        <v/>
      </c>
      <c r="F1385" s="66" t="str">
        <f>IF(Sixth!F138="", "",Sixth!F138)</f>
        <v/>
      </c>
      <c r="G1385" s="66" t="str">
        <f>IF(Sixth!G138="", "",Sixth!G138)</f>
        <v/>
      </c>
      <c r="H1385" s="66" t="str">
        <f>IF(Sixth!H138="", "",Sixth!H138)</f>
        <v/>
      </c>
      <c r="I1385" s="66" t="str">
        <f>IF(Sixth!I138="", "",Sixth!I138)</f>
        <v/>
      </c>
      <c r="J1385" s="66" t="str">
        <f>IF(Sixth!J138="", "",Sixth!J138)</f>
        <v/>
      </c>
      <c r="K1385" s="86" t="str">
        <f>IF(Sixth!K138="", "",Sixth!K138)</f>
        <v/>
      </c>
      <c r="M1385" s="67" t="str">
        <f t="shared" si="65"/>
        <v/>
      </c>
      <c r="N1385" s="76" t="str">
        <f t="shared" si="66"/>
        <v/>
      </c>
      <c r="O1385" s="33">
        <f t="shared" si="64"/>
        <v>0</v>
      </c>
    </row>
    <row r="1386" spans="1:15" x14ac:dyDescent="0.25">
      <c r="A1386" s="64" t="s">
        <v>206</v>
      </c>
      <c r="B1386" s="79" t="str">
        <f>IF(Sixth!B139="", "",Sixth!B139)</f>
        <v/>
      </c>
      <c r="C1386" s="66" t="str">
        <f>IF(Sixth!C139="", "",Sixth!C139)</f>
        <v/>
      </c>
      <c r="D1386" s="66" t="str">
        <f>IF(Sixth!D139="", "",Sixth!D139)</f>
        <v/>
      </c>
      <c r="E1386" s="66" t="str">
        <f>IF(Sixth!E139="", "",Sixth!E139)</f>
        <v/>
      </c>
      <c r="F1386" s="66" t="str">
        <f>IF(Sixth!F139="", "",Sixth!F139)</f>
        <v/>
      </c>
      <c r="G1386" s="66" t="str">
        <f>IF(Sixth!G139="", "",Sixth!G139)</f>
        <v/>
      </c>
      <c r="H1386" s="66" t="str">
        <f>IF(Sixth!H139="", "",Sixth!H139)</f>
        <v/>
      </c>
      <c r="I1386" s="66" t="str">
        <f>IF(Sixth!I139="", "",Sixth!I139)</f>
        <v/>
      </c>
      <c r="J1386" s="66" t="str">
        <f>IF(Sixth!J139="", "",Sixth!J139)</f>
        <v/>
      </c>
      <c r="K1386" s="86" t="str">
        <f>IF(Sixth!K139="", "",Sixth!K139)</f>
        <v/>
      </c>
      <c r="M1386" s="67" t="str">
        <f t="shared" si="65"/>
        <v/>
      </c>
      <c r="N1386" s="76" t="str">
        <f t="shared" si="66"/>
        <v/>
      </c>
      <c r="O1386" s="33">
        <f t="shared" si="64"/>
        <v>0</v>
      </c>
    </row>
    <row r="1387" spans="1:15" x14ac:dyDescent="0.25">
      <c r="A1387" s="64" t="s">
        <v>206</v>
      </c>
      <c r="B1387" s="79" t="str">
        <f>IF(Sixth!B140="", "",Sixth!B140)</f>
        <v/>
      </c>
      <c r="C1387" s="66" t="str">
        <f>IF(Sixth!C140="", "",Sixth!C140)</f>
        <v/>
      </c>
      <c r="D1387" s="66" t="str">
        <f>IF(Sixth!D140="", "",Sixth!D140)</f>
        <v/>
      </c>
      <c r="E1387" s="66" t="str">
        <f>IF(Sixth!E140="", "",Sixth!E140)</f>
        <v/>
      </c>
      <c r="F1387" s="66" t="str">
        <f>IF(Sixth!F140="", "",Sixth!F140)</f>
        <v/>
      </c>
      <c r="G1387" s="66" t="str">
        <f>IF(Sixth!G140="", "",Sixth!G140)</f>
        <v/>
      </c>
      <c r="H1387" s="66" t="str">
        <f>IF(Sixth!H140="", "",Sixth!H140)</f>
        <v/>
      </c>
      <c r="I1387" s="66" t="str">
        <f>IF(Sixth!I140="", "",Sixth!I140)</f>
        <v/>
      </c>
      <c r="J1387" s="66" t="str">
        <f>IF(Sixth!J140="", "",Sixth!J140)</f>
        <v/>
      </c>
      <c r="K1387" s="86" t="str">
        <f>IF(Sixth!K140="", "",Sixth!K140)</f>
        <v/>
      </c>
      <c r="M1387" s="67" t="str">
        <f t="shared" si="65"/>
        <v/>
      </c>
      <c r="N1387" s="76" t="str">
        <f t="shared" si="66"/>
        <v/>
      </c>
      <c r="O1387" s="33">
        <f t="shared" si="64"/>
        <v>0</v>
      </c>
    </row>
    <row r="1388" spans="1:15" x14ac:dyDescent="0.25">
      <c r="A1388" s="64" t="s">
        <v>206</v>
      </c>
      <c r="B1388" s="79" t="str">
        <f>IF(Sixth!B141="", "",Sixth!B141)</f>
        <v/>
      </c>
      <c r="C1388" s="66" t="str">
        <f>IF(Sixth!C141="", "",Sixth!C141)</f>
        <v/>
      </c>
      <c r="D1388" s="66" t="str">
        <f>IF(Sixth!D141="", "",Sixth!D141)</f>
        <v/>
      </c>
      <c r="E1388" s="66" t="str">
        <f>IF(Sixth!E141="", "",Sixth!E141)</f>
        <v/>
      </c>
      <c r="F1388" s="66" t="str">
        <f>IF(Sixth!F141="", "",Sixth!F141)</f>
        <v/>
      </c>
      <c r="G1388" s="66" t="str">
        <f>IF(Sixth!G141="", "",Sixth!G141)</f>
        <v/>
      </c>
      <c r="H1388" s="66" t="str">
        <f>IF(Sixth!H141="", "",Sixth!H141)</f>
        <v/>
      </c>
      <c r="I1388" s="66" t="str">
        <f>IF(Sixth!I141="", "",Sixth!I141)</f>
        <v/>
      </c>
      <c r="J1388" s="66" t="str">
        <f>IF(Sixth!J141="", "",Sixth!J141)</f>
        <v/>
      </c>
      <c r="K1388" s="86" t="str">
        <f>IF(Sixth!K141="", "",Sixth!K141)</f>
        <v/>
      </c>
      <c r="M1388" s="67" t="str">
        <f t="shared" si="65"/>
        <v/>
      </c>
      <c r="N1388" s="76" t="str">
        <f t="shared" si="66"/>
        <v/>
      </c>
      <c r="O1388" s="33">
        <f t="shared" si="64"/>
        <v>0</v>
      </c>
    </row>
    <row r="1389" spans="1:15" x14ac:dyDescent="0.25">
      <c r="A1389" s="64" t="s">
        <v>206</v>
      </c>
      <c r="B1389" s="79" t="str">
        <f>IF(Sixth!B142="", "",Sixth!B142)</f>
        <v/>
      </c>
      <c r="C1389" s="66" t="str">
        <f>IF(Sixth!C142="", "",Sixth!C142)</f>
        <v/>
      </c>
      <c r="D1389" s="66" t="str">
        <f>IF(Sixth!D142="", "",Sixth!D142)</f>
        <v/>
      </c>
      <c r="E1389" s="66" t="str">
        <f>IF(Sixth!E142="", "",Sixth!E142)</f>
        <v/>
      </c>
      <c r="F1389" s="66" t="str">
        <f>IF(Sixth!F142="", "",Sixth!F142)</f>
        <v/>
      </c>
      <c r="G1389" s="66" t="str">
        <f>IF(Sixth!G142="", "",Sixth!G142)</f>
        <v/>
      </c>
      <c r="H1389" s="66" t="str">
        <f>IF(Sixth!H142="", "",Sixth!H142)</f>
        <v/>
      </c>
      <c r="I1389" s="66" t="str">
        <f>IF(Sixth!I142="", "",Sixth!I142)</f>
        <v/>
      </c>
      <c r="J1389" s="66" t="str">
        <f>IF(Sixth!J142="", "",Sixth!J142)</f>
        <v/>
      </c>
      <c r="K1389" s="86" t="str">
        <f>IF(Sixth!K142="", "",Sixth!K142)</f>
        <v/>
      </c>
      <c r="M1389" s="67" t="str">
        <f t="shared" si="65"/>
        <v/>
      </c>
      <c r="N1389" s="76" t="str">
        <f t="shared" si="66"/>
        <v/>
      </c>
      <c r="O1389" s="33">
        <f t="shared" si="64"/>
        <v>0</v>
      </c>
    </row>
    <row r="1390" spans="1:15" x14ac:dyDescent="0.25">
      <c r="A1390" s="64" t="s">
        <v>206</v>
      </c>
      <c r="B1390" s="79" t="str">
        <f>IF(Sixth!B143="", "",Sixth!B143)</f>
        <v/>
      </c>
      <c r="C1390" s="66" t="str">
        <f>IF(Sixth!C143="", "",Sixth!C143)</f>
        <v/>
      </c>
      <c r="D1390" s="66" t="str">
        <f>IF(Sixth!D143="", "",Sixth!D143)</f>
        <v/>
      </c>
      <c r="E1390" s="66" t="str">
        <f>IF(Sixth!E143="", "",Sixth!E143)</f>
        <v/>
      </c>
      <c r="F1390" s="66" t="str">
        <f>IF(Sixth!F143="", "",Sixth!F143)</f>
        <v/>
      </c>
      <c r="G1390" s="66" t="str">
        <f>IF(Sixth!G143="", "",Sixth!G143)</f>
        <v/>
      </c>
      <c r="H1390" s="66" t="str">
        <f>IF(Sixth!H143="", "",Sixth!H143)</f>
        <v/>
      </c>
      <c r="I1390" s="66" t="str">
        <f>IF(Sixth!I143="", "",Sixth!I143)</f>
        <v/>
      </c>
      <c r="J1390" s="66" t="str">
        <f>IF(Sixth!J143="", "",Sixth!J143)</f>
        <v/>
      </c>
      <c r="K1390" s="86" t="str">
        <f>IF(Sixth!K143="", "",Sixth!K143)</f>
        <v/>
      </c>
      <c r="M1390" s="67" t="str">
        <f t="shared" si="65"/>
        <v/>
      </c>
      <c r="N1390" s="76" t="str">
        <f t="shared" si="66"/>
        <v/>
      </c>
      <c r="O1390" s="33">
        <f t="shared" si="64"/>
        <v>0</v>
      </c>
    </row>
    <row r="1391" spans="1:15" x14ac:dyDescent="0.25">
      <c r="A1391" s="64" t="s">
        <v>206</v>
      </c>
      <c r="B1391" s="79" t="str">
        <f>IF(Sixth!B144="", "",Sixth!B144)</f>
        <v/>
      </c>
      <c r="C1391" s="66" t="str">
        <f>IF(Sixth!C144="", "",Sixth!C144)</f>
        <v/>
      </c>
      <c r="D1391" s="66" t="str">
        <f>IF(Sixth!D144="", "",Sixth!D144)</f>
        <v/>
      </c>
      <c r="E1391" s="66" t="str">
        <f>IF(Sixth!E144="", "",Sixth!E144)</f>
        <v/>
      </c>
      <c r="F1391" s="66" t="str">
        <f>IF(Sixth!F144="", "",Sixth!F144)</f>
        <v/>
      </c>
      <c r="G1391" s="66" t="str">
        <f>IF(Sixth!G144="", "",Sixth!G144)</f>
        <v/>
      </c>
      <c r="H1391" s="66" t="str">
        <f>IF(Sixth!H144="", "",Sixth!H144)</f>
        <v/>
      </c>
      <c r="I1391" s="66" t="str">
        <f>IF(Sixth!I144="", "",Sixth!I144)</f>
        <v/>
      </c>
      <c r="J1391" s="66" t="str">
        <f>IF(Sixth!J144="", "",Sixth!J144)</f>
        <v/>
      </c>
      <c r="K1391" s="86" t="str">
        <f>IF(Sixth!K144="", "",Sixth!K144)</f>
        <v/>
      </c>
      <c r="M1391" s="67" t="str">
        <f t="shared" si="65"/>
        <v/>
      </c>
      <c r="N1391" s="76" t="str">
        <f t="shared" si="66"/>
        <v/>
      </c>
      <c r="O1391" s="33">
        <f t="shared" si="64"/>
        <v>0</v>
      </c>
    </row>
    <row r="1392" spans="1:15" x14ac:dyDescent="0.25">
      <c r="A1392" s="64" t="s">
        <v>206</v>
      </c>
      <c r="B1392" s="79" t="str">
        <f>IF(Sixth!B145="", "",Sixth!B145)</f>
        <v/>
      </c>
      <c r="C1392" s="66" t="str">
        <f>IF(Sixth!C145="", "",Sixth!C145)</f>
        <v/>
      </c>
      <c r="D1392" s="66" t="str">
        <f>IF(Sixth!D145="", "",Sixth!D145)</f>
        <v/>
      </c>
      <c r="E1392" s="66" t="str">
        <f>IF(Sixth!E145="", "",Sixth!E145)</f>
        <v/>
      </c>
      <c r="F1392" s="66" t="str">
        <f>IF(Sixth!F145="", "",Sixth!F145)</f>
        <v/>
      </c>
      <c r="G1392" s="66" t="str">
        <f>IF(Sixth!G145="", "",Sixth!G145)</f>
        <v/>
      </c>
      <c r="H1392" s="66" t="str">
        <f>IF(Sixth!H145="", "",Sixth!H145)</f>
        <v/>
      </c>
      <c r="I1392" s="66" t="str">
        <f>IF(Sixth!I145="", "",Sixth!I145)</f>
        <v/>
      </c>
      <c r="J1392" s="66" t="str">
        <f>IF(Sixth!J145="", "",Sixth!J145)</f>
        <v/>
      </c>
      <c r="K1392" s="86" t="str">
        <f>IF(Sixth!K145="", "",Sixth!K145)</f>
        <v/>
      </c>
      <c r="M1392" s="67" t="str">
        <f t="shared" si="65"/>
        <v/>
      </c>
      <c r="N1392" s="76" t="str">
        <f t="shared" si="66"/>
        <v/>
      </c>
      <c r="O1392" s="33">
        <f t="shared" si="64"/>
        <v>0</v>
      </c>
    </row>
    <row r="1393" spans="1:15" x14ac:dyDescent="0.25">
      <c r="A1393" s="64" t="s">
        <v>206</v>
      </c>
      <c r="B1393" s="79" t="str">
        <f>IF(Sixth!B146="", "",Sixth!B146)</f>
        <v/>
      </c>
      <c r="C1393" s="66" t="str">
        <f>IF(Sixth!C146="", "",Sixth!C146)</f>
        <v/>
      </c>
      <c r="D1393" s="66" t="str">
        <f>IF(Sixth!D146="", "",Sixth!D146)</f>
        <v/>
      </c>
      <c r="E1393" s="66" t="str">
        <f>IF(Sixth!E146="", "",Sixth!E146)</f>
        <v/>
      </c>
      <c r="F1393" s="66" t="str">
        <f>IF(Sixth!F146="", "",Sixth!F146)</f>
        <v/>
      </c>
      <c r="G1393" s="66" t="str">
        <f>IF(Sixth!G146="", "",Sixth!G146)</f>
        <v/>
      </c>
      <c r="H1393" s="66" t="str">
        <f>IF(Sixth!H146="", "",Sixth!H146)</f>
        <v/>
      </c>
      <c r="I1393" s="66" t="str">
        <f>IF(Sixth!I146="", "",Sixth!I146)</f>
        <v/>
      </c>
      <c r="J1393" s="66" t="str">
        <f>IF(Sixth!J146="", "",Sixth!J146)</f>
        <v/>
      </c>
      <c r="K1393" s="86" t="str">
        <f>IF(Sixth!K146="", "",Sixth!K146)</f>
        <v/>
      </c>
      <c r="M1393" s="67" t="str">
        <f t="shared" si="65"/>
        <v/>
      </c>
      <c r="N1393" s="76" t="str">
        <f t="shared" si="66"/>
        <v/>
      </c>
      <c r="O1393" s="33">
        <f t="shared" si="64"/>
        <v>0</v>
      </c>
    </row>
    <row r="1394" spans="1:15" x14ac:dyDescent="0.25">
      <c r="A1394" s="64" t="s">
        <v>206</v>
      </c>
      <c r="B1394" s="79" t="str">
        <f>IF(Sixth!B147="", "",Sixth!B147)</f>
        <v/>
      </c>
      <c r="C1394" s="66" t="str">
        <f>IF(Sixth!C147="", "",Sixth!C147)</f>
        <v/>
      </c>
      <c r="D1394" s="66" t="str">
        <f>IF(Sixth!D147="", "",Sixth!D147)</f>
        <v/>
      </c>
      <c r="E1394" s="66" t="str">
        <f>IF(Sixth!E147="", "",Sixth!E147)</f>
        <v/>
      </c>
      <c r="F1394" s="66" t="str">
        <f>IF(Sixth!F147="", "",Sixth!F147)</f>
        <v/>
      </c>
      <c r="G1394" s="66" t="str">
        <f>IF(Sixth!G147="", "",Sixth!G147)</f>
        <v/>
      </c>
      <c r="H1394" s="66" t="str">
        <f>IF(Sixth!H147="", "",Sixth!H147)</f>
        <v/>
      </c>
      <c r="I1394" s="66" t="str">
        <f>IF(Sixth!I147="", "",Sixth!I147)</f>
        <v/>
      </c>
      <c r="J1394" s="66" t="str">
        <f>IF(Sixth!J147="", "",Sixth!J147)</f>
        <v/>
      </c>
      <c r="K1394" s="86" t="str">
        <f>IF(Sixth!K147="", "",Sixth!K147)</f>
        <v/>
      </c>
      <c r="M1394" s="67" t="str">
        <f t="shared" si="65"/>
        <v/>
      </c>
      <c r="N1394" s="76" t="str">
        <f t="shared" si="66"/>
        <v/>
      </c>
      <c r="O1394" s="33">
        <f t="shared" si="64"/>
        <v>0</v>
      </c>
    </row>
    <row r="1395" spans="1:15" x14ac:dyDescent="0.25">
      <c r="A1395" s="64" t="s">
        <v>206</v>
      </c>
      <c r="B1395" s="79" t="str">
        <f>IF(Sixth!B148="", "",Sixth!B148)</f>
        <v/>
      </c>
      <c r="C1395" s="66" t="str">
        <f>IF(Sixth!C148="", "",Sixth!C148)</f>
        <v/>
      </c>
      <c r="D1395" s="66" t="str">
        <f>IF(Sixth!D148="", "",Sixth!D148)</f>
        <v/>
      </c>
      <c r="E1395" s="66" t="str">
        <f>IF(Sixth!E148="", "",Sixth!E148)</f>
        <v/>
      </c>
      <c r="F1395" s="66" t="str">
        <f>IF(Sixth!F148="", "",Sixth!F148)</f>
        <v/>
      </c>
      <c r="G1395" s="66" t="str">
        <f>IF(Sixth!G148="", "",Sixth!G148)</f>
        <v/>
      </c>
      <c r="H1395" s="66" t="str">
        <f>IF(Sixth!H148="", "",Sixth!H148)</f>
        <v/>
      </c>
      <c r="I1395" s="66" t="str">
        <f>IF(Sixth!I148="", "",Sixth!I148)</f>
        <v/>
      </c>
      <c r="J1395" s="66" t="str">
        <f>IF(Sixth!J148="", "",Sixth!J148)</f>
        <v/>
      </c>
      <c r="K1395" s="86" t="str">
        <f>IF(Sixth!K148="", "",Sixth!K148)</f>
        <v/>
      </c>
      <c r="M1395" s="67" t="str">
        <f t="shared" si="65"/>
        <v/>
      </c>
      <c r="N1395" s="76" t="str">
        <f t="shared" si="66"/>
        <v/>
      </c>
      <c r="O1395" s="33">
        <f t="shared" si="64"/>
        <v>0</v>
      </c>
    </row>
    <row r="1396" spans="1:15" x14ac:dyDescent="0.25">
      <c r="A1396" s="64" t="s">
        <v>206</v>
      </c>
      <c r="B1396" s="79" t="str">
        <f>IF(Sixth!B149="", "",Sixth!B149)</f>
        <v/>
      </c>
      <c r="C1396" s="66" t="str">
        <f>IF(Sixth!C149="", "",Sixth!C149)</f>
        <v/>
      </c>
      <c r="D1396" s="66" t="str">
        <f>IF(Sixth!D149="", "",Sixth!D149)</f>
        <v/>
      </c>
      <c r="E1396" s="66" t="str">
        <f>IF(Sixth!E149="", "",Sixth!E149)</f>
        <v/>
      </c>
      <c r="F1396" s="66" t="str">
        <f>IF(Sixth!F149="", "",Sixth!F149)</f>
        <v/>
      </c>
      <c r="G1396" s="66" t="str">
        <f>IF(Sixth!G149="", "",Sixth!G149)</f>
        <v/>
      </c>
      <c r="H1396" s="66" t="str">
        <f>IF(Sixth!H149="", "",Sixth!H149)</f>
        <v/>
      </c>
      <c r="I1396" s="66" t="str">
        <f>IF(Sixth!I149="", "",Sixth!I149)</f>
        <v/>
      </c>
      <c r="J1396" s="66" t="str">
        <f>IF(Sixth!J149="", "",Sixth!J149)</f>
        <v/>
      </c>
      <c r="K1396" s="86" t="str">
        <f>IF(Sixth!K149="", "",Sixth!K149)</f>
        <v/>
      </c>
      <c r="M1396" s="67" t="str">
        <f t="shared" si="65"/>
        <v/>
      </c>
      <c r="N1396" s="76" t="str">
        <f t="shared" si="66"/>
        <v/>
      </c>
      <c r="O1396" s="33">
        <f t="shared" si="64"/>
        <v>0</v>
      </c>
    </row>
    <row r="1397" spans="1:15" x14ac:dyDescent="0.25">
      <c r="A1397" s="64" t="s">
        <v>206</v>
      </c>
      <c r="B1397" s="79" t="str">
        <f>IF(Sixth!B150="", "",Sixth!B150)</f>
        <v/>
      </c>
      <c r="C1397" s="66" t="str">
        <f>IF(Sixth!C150="", "",Sixth!C150)</f>
        <v/>
      </c>
      <c r="D1397" s="66" t="str">
        <f>IF(Sixth!D150="", "",Sixth!D150)</f>
        <v/>
      </c>
      <c r="E1397" s="66" t="str">
        <f>IF(Sixth!E150="", "",Sixth!E150)</f>
        <v/>
      </c>
      <c r="F1397" s="66" t="str">
        <f>IF(Sixth!F150="", "",Sixth!F150)</f>
        <v/>
      </c>
      <c r="G1397" s="66" t="str">
        <f>IF(Sixth!G150="", "",Sixth!G150)</f>
        <v/>
      </c>
      <c r="H1397" s="66" t="str">
        <f>IF(Sixth!H150="", "",Sixth!H150)</f>
        <v/>
      </c>
      <c r="I1397" s="66" t="str">
        <f>IF(Sixth!I150="", "",Sixth!I150)</f>
        <v/>
      </c>
      <c r="J1397" s="66" t="str">
        <f>IF(Sixth!J150="", "",Sixth!J150)</f>
        <v/>
      </c>
      <c r="K1397" s="86" t="str">
        <f>IF(Sixth!K150="", "",Sixth!K150)</f>
        <v/>
      </c>
      <c r="M1397" s="67" t="str">
        <f t="shared" si="65"/>
        <v/>
      </c>
      <c r="N1397" s="76" t="str">
        <f t="shared" si="66"/>
        <v/>
      </c>
      <c r="O1397" s="33">
        <f t="shared" si="64"/>
        <v>0</v>
      </c>
    </row>
    <row r="1398" spans="1:15" x14ac:dyDescent="0.25">
      <c r="A1398" s="64" t="s">
        <v>206</v>
      </c>
      <c r="B1398" s="79" t="str">
        <f>IF(Sixth!B151="", "",Sixth!B151)</f>
        <v/>
      </c>
      <c r="C1398" s="66" t="str">
        <f>IF(Sixth!C151="", "",Sixth!C151)</f>
        <v/>
      </c>
      <c r="D1398" s="66" t="str">
        <f>IF(Sixth!D151="", "",Sixth!D151)</f>
        <v/>
      </c>
      <c r="E1398" s="66" t="str">
        <f>IF(Sixth!E151="", "",Sixth!E151)</f>
        <v/>
      </c>
      <c r="F1398" s="66" t="str">
        <f>IF(Sixth!F151="", "",Sixth!F151)</f>
        <v/>
      </c>
      <c r="G1398" s="66" t="str">
        <f>IF(Sixth!G151="", "",Sixth!G151)</f>
        <v/>
      </c>
      <c r="H1398" s="66" t="str">
        <f>IF(Sixth!H151="", "",Sixth!H151)</f>
        <v/>
      </c>
      <c r="I1398" s="66" t="str">
        <f>IF(Sixth!I151="", "",Sixth!I151)</f>
        <v/>
      </c>
      <c r="J1398" s="66" t="str">
        <f>IF(Sixth!J151="", "",Sixth!J151)</f>
        <v/>
      </c>
      <c r="K1398" s="86" t="str">
        <f>IF(Sixth!K151="", "",Sixth!K151)</f>
        <v/>
      </c>
      <c r="M1398" s="67" t="str">
        <f t="shared" si="65"/>
        <v/>
      </c>
      <c r="N1398" s="76" t="str">
        <f t="shared" si="66"/>
        <v/>
      </c>
      <c r="O1398" s="33">
        <f t="shared" si="64"/>
        <v>0</v>
      </c>
    </row>
    <row r="1399" spans="1:15" x14ac:dyDescent="0.25">
      <c r="A1399" s="64" t="s">
        <v>206</v>
      </c>
      <c r="B1399" s="79" t="str">
        <f>IF(Sixth!B152="", "",Sixth!B152)</f>
        <v/>
      </c>
      <c r="C1399" s="66" t="str">
        <f>IF(Sixth!C152="", "",Sixth!C152)</f>
        <v/>
      </c>
      <c r="D1399" s="66" t="str">
        <f>IF(Sixth!D152="", "",Sixth!D152)</f>
        <v/>
      </c>
      <c r="E1399" s="66" t="str">
        <f>IF(Sixth!E152="", "",Sixth!E152)</f>
        <v/>
      </c>
      <c r="F1399" s="66" t="str">
        <f>IF(Sixth!F152="", "",Sixth!F152)</f>
        <v/>
      </c>
      <c r="G1399" s="66" t="str">
        <f>IF(Sixth!G152="", "",Sixth!G152)</f>
        <v/>
      </c>
      <c r="H1399" s="66" t="str">
        <f>IF(Sixth!H152="", "",Sixth!H152)</f>
        <v/>
      </c>
      <c r="I1399" s="66" t="str">
        <f>IF(Sixth!I152="", "",Sixth!I152)</f>
        <v/>
      </c>
      <c r="J1399" s="66" t="str">
        <f>IF(Sixth!J152="", "",Sixth!J152)</f>
        <v/>
      </c>
      <c r="K1399" s="86" t="str">
        <f>IF(Sixth!K152="", "",Sixth!K152)</f>
        <v/>
      </c>
      <c r="M1399" s="67" t="str">
        <f t="shared" si="65"/>
        <v/>
      </c>
      <c r="N1399" s="76" t="str">
        <f t="shared" si="66"/>
        <v/>
      </c>
      <c r="O1399" s="33">
        <f t="shared" si="64"/>
        <v>0</v>
      </c>
    </row>
    <row r="1400" spans="1:15" x14ac:dyDescent="0.25">
      <c r="A1400" s="64" t="s">
        <v>206</v>
      </c>
      <c r="B1400" s="79" t="str">
        <f>IF(Sixth!B153="", "",Sixth!B153)</f>
        <v/>
      </c>
      <c r="C1400" s="66" t="str">
        <f>IF(Sixth!C153="", "",Sixth!C153)</f>
        <v/>
      </c>
      <c r="D1400" s="66" t="str">
        <f>IF(Sixth!D153="", "",Sixth!D153)</f>
        <v/>
      </c>
      <c r="E1400" s="66" t="str">
        <f>IF(Sixth!E153="", "",Sixth!E153)</f>
        <v/>
      </c>
      <c r="F1400" s="66" t="str">
        <f>IF(Sixth!F153="", "",Sixth!F153)</f>
        <v/>
      </c>
      <c r="G1400" s="66" t="str">
        <f>IF(Sixth!G153="", "",Sixth!G153)</f>
        <v/>
      </c>
      <c r="H1400" s="66" t="str">
        <f>IF(Sixth!H153="", "",Sixth!H153)</f>
        <v/>
      </c>
      <c r="I1400" s="66" t="str">
        <f>IF(Sixth!I153="", "",Sixth!I153)</f>
        <v/>
      </c>
      <c r="J1400" s="66" t="str">
        <f>IF(Sixth!J153="", "",Sixth!J153)</f>
        <v/>
      </c>
      <c r="K1400" s="86" t="str">
        <f>IF(Sixth!K153="", "",Sixth!K153)</f>
        <v/>
      </c>
      <c r="M1400" s="67" t="str">
        <f t="shared" si="65"/>
        <v/>
      </c>
      <c r="N1400" s="76" t="str">
        <f t="shared" si="66"/>
        <v/>
      </c>
      <c r="O1400" s="33">
        <f t="shared" si="64"/>
        <v>0</v>
      </c>
    </row>
    <row r="1401" spans="1:15" x14ac:dyDescent="0.25">
      <c r="A1401" s="64" t="s">
        <v>206</v>
      </c>
      <c r="B1401" s="79" t="str">
        <f>IF(Sixth!B154="", "",Sixth!B154)</f>
        <v/>
      </c>
      <c r="C1401" s="66" t="str">
        <f>IF(Sixth!C154="", "",Sixth!C154)</f>
        <v/>
      </c>
      <c r="D1401" s="66" t="str">
        <f>IF(Sixth!D154="", "",Sixth!D154)</f>
        <v/>
      </c>
      <c r="E1401" s="66" t="str">
        <f>IF(Sixth!E154="", "",Sixth!E154)</f>
        <v/>
      </c>
      <c r="F1401" s="66" t="str">
        <f>IF(Sixth!F154="", "",Sixth!F154)</f>
        <v/>
      </c>
      <c r="G1401" s="66" t="str">
        <f>IF(Sixth!G154="", "",Sixth!G154)</f>
        <v/>
      </c>
      <c r="H1401" s="66" t="str">
        <f>IF(Sixth!H154="", "",Sixth!H154)</f>
        <v/>
      </c>
      <c r="I1401" s="66" t="str">
        <f>IF(Sixth!I154="", "",Sixth!I154)</f>
        <v/>
      </c>
      <c r="J1401" s="66" t="str">
        <f>IF(Sixth!J154="", "",Sixth!J154)</f>
        <v/>
      </c>
      <c r="K1401" s="86" t="str">
        <f>IF(Sixth!K154="", "",Sixth!K154)</f>
        <v/>
      </c>
      <c r="M1401" s="67" t="str">
        <f t="shared" si="65"/>
        <v/>
      </c>
      <c r="N1401" s="76" t="str">
        <f t="shared" si="66"/>
        <v/>
      </c>
      <c r="O1401" s="33">
        <f t="shared" si="64"/>
        <v>0</v>
      </c>
    </row>
    <row r="1402" spans="1:15" x14ac:dyDescent="0.25">
      <c r="A1402" s="64" t="s">
        <v>206</v>
      </c>
      <c r="B1402" s="79" t="str">
        <f>IF(Sixth!B155="", "",Sixth!B155)</f>
        <v/>
      </c>
      <c r="C1402" s="66" t="str">
        <f>IF(Sixth!C155="", "",Sixth!C155)</f>
        <v/>
      </c>
      <c r="D1402" s="66" t="str">
        <f>IF(Sixth!D155="", "",Sixth!D155)</f>
        <v/>
      </c>
      <c r="E1402" s="66" t="str">
        <f>IF(Sixth!E155="", "",Sixth!E155)</f>
        <v/>
      </c>
      <c r="F1402" s="66" t="str">
        <f>IF(Sixth!F155="", "",Sixth!F155)</f>
        <v/>
      </c>
      <c r="G1402" s="66" t="str">
        <f>IF(Sixth!G155="", "",Sixth!G155)</f>
        <v/>
      </c>
      <c r="H1402" s="66" t="str">
        <f>IF(Sixth!H155="", "",Sixth!H155)</f>
        <v/>
      </c>
      <c r="I1402" s="66" t="str">
        <f>IF(Sixth!I155="", "",Sixth!I155)</f>
        <v/>
      </c>
      <c r="J1402" s="66" t="str">
        <f>IF(Sixth!J155="", "",Sixth!J155)</f>
        <v/>
      </c>
      <c r="K1402" s="86" t="str">
        <f>IF(Sixth!K155="", "",Sixth!K155)</f>
        <v/>
      </c>
      <c r="M1402" s="67" t="str">
        <f t="shared" si="65"/>
        <v/>
      </c>
      <c r="N1402" s="76" t="str">
        <f t="shared" si="66"/>
        <v/>
      </c>
      <c r="O1402" s="33">
        <f t="shared" si="64"/>
        <v>0</v>
      </c>
    </row>
    <row r="1403" spans="1:15" x14ac:dyDescent="0.25">
      <c r="A1403" s="64" t="s">
        <v>206</v>
      </c>
      <c r="B1403" s="79" t="str">
        <f>IF(Sixth!B156="", "",Sixth!B156)</f>
        <v/>
      </c>
      <c r="C1403" s="66" t="str">
        <f>IF(Sixth!C156="", "",Sixth!C156)</f>
        <v/>
      </c>
      <c r="D1403" s="66" t="str">
        <f>IF(Sixth!D156="", "",Sixth!D156)</f>
        <v/>
      </c>
      <c r="E1403" s="66" t="str">
        <f>IF(Sixth!E156="", "",Sixth!E156)</f>
        <v/>
      </c>
      <c r="F1403" s="66" t="str">
        <f>IF(Sixth!F156="", "",Sixth!F156)</f>
        <v/>
      </c>
      <c r="G1403" s="66" t="str">
        <f>IF(Sixth!G156="", "",Sixth!G156)</f>
        <v/>
      </c>
      <c r="H1403" s="66" t="str">
        <f>IF(Sixth!H156="", "",Sixth!H156)</f>
        <v/>
      </c>
      <c r="I1403" s="66" t="str">
        <f>IF(Sixth!I156="", "",Sixth!I156)</f>
        <v/>
      </c>
      <c r="J1403" s="66" t="str">
        <f>IF(Sixth!J156="", "",Sixth!J156)</f>
        <v/>
      </c>
      <c r="K1403" s="86" t="str">
        <f>IF(Sixth!K156="", "",Sixth!K156)</f>
        <v/>
      </c>
      <c r="M1403" s="67" t="str">
        <f t="shared" si="65"/>
        <v/>
      </c>
      <c r="N1403" s="76" t="str">
        <f t="shared" si="66"/>
        <v/>
      </c>
      <c r="O1403" s="33">
        <f t="shared" si="64"/>
        <v>0</v>
      </c>
    </row>
    <row r="1404" spans="1:15" x14ac:dyDescent="0.25">
      <c r="A1404" s="64" t="s">
        <v>206</v>
      </c>
      <c r="B1404" s="79" t="str">
        <f>IF(Sixth!B157="", "",Sixth!B157)</f>
        <v/>
      </c>
      <c r="C1404" s="66" t="str">
        <f>IF(Sixth!C157="", "",Sixth!C157)</f>
        <v/>
      </c>
      <c r="D1404" s="66" t="str">
        <f>IF(Sixth!D157="", "",Sixth!D157)</f>
        <v/>
      </c>
      <c r="E1404" s="66" t="str">
        <f>IF(Sixth!E157="", "",Sixth!E157)</f>
        <v/>
      </c>
      <c r="F1404" s="66" t="str">
        <f>IF(Sixth!F157="", "",Sixth!F157)</f>
        <v/>
      </c>
      <c r="G1404" s="66" t="str">
        <f>IF(Sixth!G157="", "",Sixth!G157)</f>
        <v/>
      </c>
      <c r="H1404" s="66" t="str">
        <f>IF(Sixth!H157="", "",Sixth!H157)</f>
        <v/>
      </c>
      <c r="I1404" s="66" t="str">
        <f>IF(Sixth!I157="", "",Sixth!I157)</f>
        <v/>
      </c>
      <c r="J1404" s="66" t="str">
        <f>IF(Sixth!J157="", "",Sixth!J157)</f>
        <v/>
      </c>
      <c r="K1404" s="86" t="str">
        <f>IF(Sixth!K157="", "",Sixth!K157)</f>
        <v/>
      </c>
      <c r="M1404" s="67" t="str">
        <f t="shared" si="65"/>
        <v/>
      </c>
      <c r="N1404" s="76" t="str">
        <f t="shared" si="66"/>
        <v/>
      </c>
      <c r="O1404" s="33">
        <f t="shared" si="64"/>
        <v>0</v>
      </c>
    </row>
    <row r="1405" spans="1:15" x14ac:dyDescent="0.25">
      <c r="A1405" s="64" t="s">
        <v>206</v>
      </c>
      <c r="B1405" s="79" t="str">
        <f>IF(Sixth!B158="", "",Sixth!B158)</f>
        <v/>
      </c>
      <c r="C1405" s="66" t="str">
        <f>IF(Sixth!C158="", "",Sixth!C158)</f>
        <v/>
      </c>
      <c r="D1405" s="66" t="str">
        <f>IF(Sixth!D158="", "",Sixth!D158)</f>
        <v/>
      </c>
      <c r="E1405" s="66" t="str">
        <f>IF(Sixth!E158="", "",Sixth!E158)</f>
        <v/>
      </c>
      <c r="F1405" s="66" t="str">
        <f>IF(Sixth!F158="", "",Sixth!F158)</f>
        <v/>
      </c>
      <c r="G1405" s="66" t="str">
        <f>IF(Sixth!G158="", "",Sixth!G158)</f>
        <v/>
      </c>
      <c r="H1405" s="66" t="str">
        <f>IF(Sixth!H158="", "",Sixth!H158)</f>
        <v/>
      </c>
      <c r="I1405" s="66" t="str">
        <f>IF(Sixth!I158="", "",Sixth!I158)</f>
        <v/>
      </c>
      <c r="J1405" s="66" t="str">
        <f>IF(Sixth!J158="", "",Sixth!J158)</f>
        <v/>
      </c>
      <c r="K1405" s="86" t="str">
        <f>IF(Sixth!K158="", "",Sixth!K158)</f>
        <v/>
      </c>
      <c r="M1405" s="67" t="str">
        <f t="shared" si="65"/>
        <v/>
      </c>
      <c r="N1405" s="76" t="str">
        <f t="shared" si="66"/>
        <v/>
      </c>
      <c r="O1405" s="33">
        <f t="shared" si="64"/>
        <v>0</v>
      </c>
    </row>
    <row r="1406" spans="1:15" x14ac:dyDescent="0.25">
      <c r="A1406" s="64" t="s">
        <v>206</v>
      </c>
      <c r="B1406" s="79" t="str">
        <f>IF(Sixth!B159="", "",Sixth!B159)</f>
        <v/>
      </c>
      <c r="C1406" s="66" t="str">
        <f>IF(Sixth!C159="", "",Sixth!C159)</f>
        <v/>
      </c>
      <c r="D1406" s="66" t="str">
        <f>IF(Sixth!D159="", "",Sixth!D159)</f>
        <v/>
      </c>
      <c r="E1406" s="66" t="str">
        <f>IF(Sixth!E159="", "",Sixth!E159)</f>
        <v/>
      </c>
      <c r="F1406" s="66" t="str">
        <f>IF(Sixth!F159="", "",Sixth!F159)</f>
        <v/>
      </c>
      <c r="G1406" s="66" t="str">
        <f>IF(Sixth!G159="", "",Sixth!G159)</f>
        <v/>
      </c>
      <c r="H1406" s="66" t="str">
        <f>IF(Sixth!H159="", "",Sixth!H159)</f>
        <v/>
      </c>
      <c r="I1406" s="66" t="str">
        <f>IF(Sixth!I159="", "",Sixth!I159)</f>
        <v/>
      </c>
      <c r="J1406" s="66" t="str">
        <f>IF(Sixth!J159="", "",Sixth!J159)</f>
        <v/>
      </c>
      <c r="K1406" s="86" t="str">
        <f>IF(Sixth!K159="", "",Sixth!K159)</f>
        <v/>
      </c>
      <c r="M1406" s="67" t="str">
        <f t="shared" si="65"/>
        <v/>
      </c>
      <c r="N1406" s="76" t="str">
        <f t="shared" si="66"/>
        <v/>
      </c>
      <c r="O1406" s="33">
        <f t="shared" si="64"/>
        <v>0</v>
      </c>
    </row>
    <row r="1407" spans="1:15" x14ac:dyDescent="0.25">
      <c r="A1407" s="64" t="s">
        <v>206</v>
      </c>
      <c r="B1407" s="79" t="str">
        <f>IF(Sixth!B160="", "",Sixth!B160)</f>
        <v/>
      </c>
      <c r="C1407" s="66" t="str">
        <f>IF(Sixth!C160="", "",Sixth!C160)</f>
        <v/>
      </c>
      <c r="D1407" s="66" t="str">
        <f>IF(Sixth!D160="", "",Sixth!D160)</f>
        <v/>
      </c>
      <c r="E1407" s="66" t="str">
        <f>IF(Sixth!E160="", "",Sixth!E160)</f>
        <v/>
      </c>
      <c r="F1407" s="66" t="str">
        <f>IF(Sixth!F160="", "",Sixth!F160)</f>
        <v/>
      </c>
      <c r="G1407" s="66" t="str">
        <f>IF(Sixth!G160="", "",Sixth!G160)</f>
        <v/>
      </c>
      <c r="H1407" s="66" t="str">
        <f>IF(Sixth!H160="", "",Sixth!H160)</f>
        <v/>
      </c>
      <c r="I1407" s="66" t="str">
        <f>IF(Sixth!I160="", "",Sixth!I160)</f>
        <v/>
      </c>
      <c r="J1407" s="66" t="str">
        <f>IF(Sixth!J160="", "",Sixth!J160)</f>
        <v/>
      </c>
      <c r="K1407" s="86" t="str">
        <f>IF(Sixth!K160="", "",Sixth!K160)</f>
        <v/>
      </c>
      <c r="M1407" s="67" t="str">
        <f t="shared" si="65"/>
        <v/>
      </c>
      <c r="N1407" s="76" t="str">
        <f t="shared" si="66"/>
        <v/>
      </c>
      <c r="O1407" s="33">
        <f t="shared" si="64"/>
        <v>0</v>
      </c>
    </row>
    <row r="1408" spans="1:15" x14ac:dyDescent="0.25">
      <c r="A1408" s="64" t="s">
        <v>206</v>
      </c>
      <c r="B1408" s="79" t="str">
        <f>IF(Sixth!B161="", "",Sixth!B161)</f>
        <v/>
      </c>
      <c r="C1408" s="66" t="str">
        <f>IF(Sixth!C161="", "",Sixth!C161)</f>
        <v/>
      </c>
      <c r="D1408" s="66" t="str">
        <f>IF(Sixth!D161="", "",Sixth!D161)</f>
        <v/>
      </c>
      <c r="E1408" s="66" t="str">
        <f>IF(Sixth!E161="", "",Sixth!E161)</f>
        <v/>
      </c>
      <c r="F1408" s="66" t="str">
        <f>IF(Sixth!F161="", "",Sixth!F161)</f>
        <v/>
      </c>
      <c r="G1408" s="66" t="str">
        <f>IF(Sixth!G161="", "",Sixth!G161)</f>
        <v/>
      </c>
      <c r="H1408" s="66" t="str">
        <f>IF(Sixth!H161="", "",Sixth!H161)</f>
        <v/>
      </c>
      <c r="I1408" s="66" t="str">
        <f>IF(Sixth!I161="", "",Sixth!I161)</f>
        <v/>
      </c>
      <c r="J1408" s="66" t="str">
        <f>IF(Sixth!J161="", "",Sixth!J161)</f>
        <v/>
      </c>
      <c r="K1408" s="86" t="str">
        <f>IF(Sixth!K161="", "",Sixth!K161)</f>
        <v/>
      </c>
      <c r="M1408" s="67" t="str">
        <f t="shared" si="65"/>
        <v/>
      </c>
      <c r="N1408" s="76" t="str">
        <f t="shared" si="66"/>
        <v/>
      </c>
      <c r="O1408" s="33">
        <f t="shared" si="64"/>
        <v>0</v>
      </c>
    </row>
    <row r="1409" spans="1:15" x14ac:dyDescent="0.25">
      <c r="A1409" s="64" t="s">
        <v>206</v>
      </c>
      <c r="B1409" s="79" t="str">
        <f>IF(Sixth!B162="", "",Sixth!B162)</f>
        <v/>
      </c>
      <c r="C1409" s="66" t="str">
        <f>IF(Sixth!C162="", "",Sixth!C162)</f>
        <v/>
      </c>
      <c r="D1409" s="66" t="str">
        <f>IF(Sixth!D162="", "",Sixth!D162)</f>
        <v/>
      </c>
      <c r="E1409" s="66" t="str">
        <f>IF(Sixth!E162="", "",Sixth!E162)</f>
        <v/>
      </c>
      <c r="F1409" s="66" t="str">
        <f>IF(Sixth!F162="", "",Sixth!F162)</f>
        <v/>
      </c>
      <c r="G1409" s="66" t="str">
        <f>IF(Sixth!G162="", "",Sixth!G162)</f>
        <v/>
      </c>
      <c r="H1409" s="66" t="str">
        <f>IF(Sixth!H162="", "",Sixth!H162)</f>
        <v/>
      </c>
      <c r="I1409" s="66" t="str">
        <f>IF(Sixth!I162="", "",Sixth!I162)</f>
        <v/>
      </c>
      <c r="J1409" s="66" t="str">
        <f>IF(Sixth!J162="", "",Sixth!J162)</f>
        <v/>
      </c>
      <c r="K1409" s="86" t="str">
        <f>IF(Sixth!K162="", "",Sixth!K162)</f>
        <v/>
      </c>
      <c r="M1409" s="67" t="str">
        <f t="shared" si="65"/>
        <v/>
      </c>
      <c r="N1409" s="76" t="str">
        <f t="shared" si="66"/>
        <v/>
      </c>
      <c r="O1409" s="33">
        <f t="shared" si="64"/>
        <v>0</v>
      </c>
    </row>
    <row r="1410" spans="1:15" x14ac:dyDescent="0.25">
      <c r="A1410" s="64" t="s">
        <v>206</v>
      </c>
      <c r="B1410" s="79" t="str">
        <f>IF(Sixth!B163="", "",Sixth!B163)</f>
        <v/>
      </c>
      <c r="C1410" s="66" t="str">
        <f>IF(Sixth!C163="", "",Sixth!C163)</f>
        <v/>
      </c>
      <c r="D1410" s="66" t="str">
        <f>IF(Sixth!D163="", "",Sixth!D163)</f>
        <v/>
      </c>
      <c r="E1410" s="66" t="str">
        <f>IF(Sixth!E163="", "",Sixth!E163)</f>
        <v/>
      </c>
      <c r="F1410" s="66" t="str">
        <f>IF(Sixth!F163="", "",Sixth!F163)</f>
        <v/>
      </c>
      <c r="G1410" s="66" t="str">
        <f>IF(Sixth!G163="", "",Sixth!G163)</f>
        <v/>
      </c>
      <c r="H1410" s="66" t="str">
        <f>IF(Sixth!H163="", "",Sixth!H163)</f>
        <v/>
      </c>
      <c r="I1410" s="66" t="str">
        <f>IF(Sixth!I163="", "",Sixth!I163)</f>
        <v/>
      </c>
      <c r="J1410" s="66" t="str">
        <f>IF(Sixth!J163="", "",Sixth!J163)</f>
        <v/>
      </c>
      <c r="K1410" s="86" t="str">
        <f>IF(Sixth!K163="", "",Sixth!K163)</f>
        <v/>
      </c>
      <c r="M1410" s="67" t="str">
        <f t="shared" si="65"/>
        <v/>
      </c>
      <c r="N1410" s="76" t="str">
        <f t="shared" si="66"/>
        <v/>
      </c>
      <c r="O1410" s="33">
        <f t="shared" ref="O1410:O1473" si="67">SUM(M1410:N1410)</f>
        <v>0</v>
      </c>
    </row>
    <row r="1411" spans="1:15" x14ac:dyDescent="0.25">
      <c r="A1411" s="64" t="s">
        <v>206</v>
      </c>
      <c r="B1411" s="79" t="str">
        <f>IF(Sixth!B164="", "",Sixth!B164)</f>
        <v/>
      </c>
      <c r="C1411" s="66" t="str">
        <f>IF(Sixth!C164="", "",Sixth!C164)</f>
        <v/>
      </c>
      <c r="D1411" s="66" t="str">
        <f>IF(Sixth!D164="", "",Sixth!D164)</f>
        <v/>
      </c>
      <c r="E1411" s="66" t="str">
        <f>IF(Sixth!E164="", "",Sixth!E164)</f>
        <v/>
      </c>
      <c r="F1411" s="66" t="str">
        <f>IF(Sixth!F164="", "",Sixth!F164)</f>
        <v/>
      </c>
      <c r="G1411" s="66" t="str">
        <f>IF(Sixth!G164="", "",Sixth!G164)</f>
        <v/>
      </c>
      <c r="H1411" s="66" t="str">
        <f>IF(Sixth!H164="", "",Sixth!H164)</f>
        <v/>
      </c>
      <c r="I1411" s="66" t="str">
        <f>IF(Sixth!I164="", "",Sixth!I164)</f>
        <v/>
      </c>
      <c r="J1411" s="66" t="str">
        <f>IF(Sixth!J164="", "",Sixth!J164)</f>
        <v/>
      </c>
      <c r="K1411" s="86" t="str">
        <f>IF(Sixth!K164="", "",Sixth!K164)</f>
        <v/>
      </c>
      <c r="M1411" s="67" t="str">
        <f t="shared" ref="M1411:M1474" si="68">IF(C1411="PwC",(7-COUNTIF(B1411:H1411,"")),"")</f>
        <v/>
      </c>
      <c r="N1411" s="76" t="str">
        <f t="shared" ref="N1411:N1474" si="69">IF(C1411="Carer",(7-COUNTIF(B1411:H1411,"")),"")</f>
        <v/>
      </c>
      <c r="O1411" s="33">
        <f t="shared" si="67"/>
        <v>0</v>
      </c>
    </row>
    <row r="1412" spans="1:15" x14ac:dyDescent="0.25">
      <c r="A1412" s="64" t="s">
        <v>206</v>
      </c>
      <c r="B1412" s="79" t="str">
        <f>IF(Sixth!B165="", "",Sixth!B165)</f>
        <v/>
      </c>
      <c r="C1412" s="66" t="str">
        <f>IF(Sixth!C165="", "",Sixth!C165)</f>
        <v/>
      </c>
      <c r="D1412" s="66" t="str">
        <f>IF(Sixth!D165="", "",Sixth!D165)</f>
        <v/>
      </c>
      <c r="E1412" s="66" t="str">
        <f>IF(Sixth!E165="", "",Sixth!E165)</f>
        <v/>
      </c>
      <c r="F1412" s="66" t="str">
        <f>IF(Sixth!F165="", "",Sixth!F165)</f>
        <v/>
      </c>
      <c r="G1412" s="66" t="str">
        <f>IF(Sixth!G165="", "",Sixth!G165)</f>
        <v/>
      </c>
      <c r="H1412" s="66" t="str">
        <f>IF(Sixth!H165="", "",Sixth!H165)</f>
        <v/>
      </c>
      <c r="I1412" s="66" t="str">
        <f>IF(Sixth!I165="", "",Sixth!I165)</f>
        <v/>
      </c>
      <c r="J1412" s="66" t="str">
        <f>IF(Sixth!J165="", "",Sixth!J165)</f>
        <v/>
      </c>
      <c r="K1412" s="86" t="str">
        <f>IF(Sixth!K165="", "",Sixth!K165)</f>
        <v/>
      </c>
      <c r="M1412" s="67" t="str">
        <f t="shared" si="68"/>
        <v/>
      </c>
      <c r="N1412" s="76" t="str">
        <f t="shared" si="69"/>
        <v/>
      </c>
      <c r="O1412" s="33">
        <f t="shared" si="67"/>
        <v>0</v>
      </c>
    </row>
    <row r="1413" spans="1:15" x14ac:dyDescent="0.25">
      <c r="A1413" s="64" t="s">
        <v>206</v>
      </c>
      <c r="B1413" s="79" t="str">
        <f>IF(Sixth!B166="", "",Sixth!B166)</f>
        <v/>
      </c>
      <c r="C1413" s="66" t="str">
        <f>IF(Sixth!C166="", "",Sixth!C166)</f>
        <v/>
      </c>
      <c r="D1413" s="66" t="str">
        <f>IF(Sixth!D166="", "",Sixth!D166)</f>
        <v/>
      </c>
      <c r="E1413" s="66" t="str">
        <f>IF(Sixth!E166="", "",Sixth!E166)</f>
        <v/>
      </c>
      <c r="F1413" s="66" t="str">
        <f>IF(Sixth!F166="", "",Sixth!F166)</f>
        <v/>
      </c>
      <c r="G1413" s="66" t="str">
        <f>IF(Sixth!G166="", "",Sixth!G166)</f>
        <v/>
      </c>
      <c r="H1413" s="66" t="str">
        <f>IF(Sixth!H166="", "",Sixth!H166)</f>
        <v/>
      </c>
      <c r="I1413" s="66" t="str">
        <f>IF(Sixth!I166="", "",Sixth!I166)</f>
        <v/>
      </c>
      <c r="J1413" s="66" t="str">
        <f>IF(Sixth!J166="", "",Sixth!J166)</f>
        <v/>
      </c>
      <c r="K1413" s="86" t="str">
        <f>IF(Sixth!K166="", "",Sixth!K166)</f>
        <v/>
      </c>
      <c r="M1413" s="67" t="str">
        <f t="shared" si="68"/>
        <v/>
      </c>
      <c r="N1413" s="76" t="str">
        <f t="shared" si="69"/>
        <v/>
      </c>
      <c r="O1413" s="33">
        <f t="shared" si="67"/>
        <v>0</v>
      </c>
    </row>
    <row r="1414" spans="1:15" x14ac:dyDescent="0.25">
      <c r="A1414" s="64" t="s">
        <v>206</v>
      </c>
      <c r="B1414" s="79" t="str">
        <f>IF(Sixth!B167="", "",Sixth!B167)</f>
        <v/>
      </c>
      <c r="C1414" s="66" t="str">
        <f>IF(Sixth!C167="", "",Sixth!C167)</f>
        <v/>
      </c>
      <c r="D1414" s="66" t="str">
        <f>IF(Sixth!D167="", "",Sixth!D167)</f>
        <v/>
      </c>
      <c r="E1414" s="66" t="str">
        <f>IF(Sixth!E167="", "",Sixth!E167)</f>
        <v/>
      </c>
      <c r="F1414" s="66" t="str">
        <f>IF(Sixth!F167="", "",Sixth!F167)</f>
        <v/>
      </c>
      <c r="G1414" s="66" t="str">
        <f>IF(Sixth!G167="", "",Sixth!G167)</f>
        <v/>
      </c>
      <c r="H1414" s="66" t="str">
        <f>IF(Sixth!H167="", "",Sixth!H167)</f>
        <v/>
      </c>
      <c r="I1414" s="66" t="str">
        <f>IF(Sixth!I167="", "",Sixth!I167)</f>
        <v/>
      </c>
      <c r="J1414" s="66" t="str">
        <f>IF(Sixth!J167="", "",Sixth!J167)</f>
        <v/>
      </c>
      <c r="K1414" s="86" t="str">
        <f>IF(Sixth!K167="", "",Sixth!K167)</f>
        <v/>
      </c>
      <c r="M1414" s="67" t="str">
        <f t="shared" si="68"/>
        <v/>
      </c>
      <c r="N1414" s="76" t="str">
        <f t="shared" si="69"/>
        <v/>
      </c>
      <c r="O1414" s="33">
        <f t="shared" si="67"/>
        <v>0</v>
      </c>
    </row>
    <row r="1415" spans="1:15" x14ac:dyDescent="0.25">
      <c r="A1415" s="64" t="s">
        <v>206</v>
      </c>
      <c r="B1415" s="79" t="str">
        <f>IF(Sixth!B168="", "",Sixth!B168)</f>
        <v/>
      </c>
      <c r="C1415" s="66" t="str">
        <f>IF(Sixth!C168="", "",Sixth!C168)</f>
        <v/>
      </c>
      <c r="D1415" s="66" t="str">
        <f>IF(Sixth!D168="", "",Sixth!D168)</f>
        <v/>
      </c>
      <c r="E1415" s="66" t="str">
        <f>IF(Sixth!E168="", "",Sixth!E168)</f>
        <v/>
      </c>
      <c r="F1415" s="66" t="str">
        <f>IF(Sixth!F168="", "",Sixth!F168)</f>
        <v/>
      </c>
      <c r="G1415" s="66" t="str">
        <f>IF(Sixth!G168="", "",Sixth!G168)</f>
        <v/>
      </c>
      <c r="H1415" s="66" t="str">
        <f>IF(Sixth!H168="", "",Sixth!H168)</f>
        <v/>
      </c>
      <c r="I1415" s="66" t="str">
        <f>IF(Sixth!I168="", "",Sixth!I168)</f>
        <v/>
      </c>
      <c r="J1415" s="66" t="str">
        <f>IF(Sixth!J168="", "",Sixth!J168)</f>
        <v/>
      </c>
      <c r="K1415" s="86" t="str">
        <f>IF(Sixth!K168="", "",Sixth!K168)</f>
        <v/>
      </c>
      <c r="M1415" s="67" t="str">
        <f t="shared" si="68"/>
        <v/>
      </c>
      <c r="N1415" s="76" t="str">
        <f t="shared" si="69"/>
        <v/>
      </c>
      <c r="O1415" s="33">
        <f t="shared" si="67"/>
        <v>0</v>
      </c>
    </row>
    <row r="1416" spans="1:15" x14ac:dyDescent="0.25">
      <c r="A1416" s="64" t="s">
        <v>206</v>
      </c>
      <c r="B1416" s="79" t="str">
        <f>IF(Sixth!B169="", "",Sixth!B169)</f>
        <v/>
      </c>
      <c r="C1416" s="66" t="str">
        <f>IF(Sixth!C169="", "",Sixth!C169)</f>
        <v/>
      </c>
      <c r="D1416" s="66" t="str">
        <f>IF(Sixth!D169="", "",Sixth!D169)</f>
        <v/>
      </c>
      <c r="E1416" s="66" t="str">
        <f>IF(Sixth!E169="", "",Sixth!E169)</f>
        <v/>
      </c>
      <c r="F1416" s="66" t="str">
        <f>IF(Sixth!F169="", "",Sixth!F169)</f>
        <v/>
      </c>
      <c r="G1416" s="66" t="str">
        <f>IF(Sixth!G169="", "",Sixth!G169)</f>
        <v/>
      </c>
      <c r="H1416" s="66" t="str">
        <f>IF(Sixth!H169="", "",Sixth!H169)</f>
        <v/>
      </c>
      <c r="I1416" s="66" t="str">
        <f>IF(Sixth!I169="", "",Sixth!I169)</f>
        <v/>
      </c>
      <c r="J1416" s="66" t="str">
        <f>IF(Sixth!J169="", "",Sixth!J169)</f>
        <v/>
      </c>
      <c r="K1416" s="86" t="str">
        <f>IF(Sixth!K169="", "",Sixth!K169)</f>
        <v/>
      </c>
      <c r="M1416" s="67" t="str">
        <f t="shared" si="68"/>
        <v/>
      </c>
      <c r="N1416" s="76" t="str">
        <f t="shared" si="69"/>
        <v/>
      </c>
      <c r="O1416" s="33">
        <f t="shared" si="67"/>
        <v>0</v>
      </c>
    </row>
    <row r="1417" spans="1:15" x14ac:dyDescent="0.25">
      <c r="A1417" s="64" t="s">
        <v>206</v>
      </c>
      <c r="B1417" s="79" t="str">
        <f>IF(Sixth!B170="", "",Sixth!B170)</f>
        <v/>
      </c>
      <c r="C1417" s="66" t="str">
        <f>IF(Sixth!C170="", "",Sixth!C170)</f>
        <v/>
      </c>
      <c r="D1417" s="66" t="str">
        <f>IF(Sixth!D170="", "",Sixth!D170)</f>
        <v/>
      </c>
      <c r="E1417" s="66" t="str">
        <f>IF(Sixth!E170="", "",Sixth!E170)</f>
        <v/>
      </c>
      <c r="F1417" s="66" t="str">
        <f>IF(Sixth!F170="", "",Sixth!F170)</f>
        <v/>
      </c>
      <c r="G1417" s="66" t="str">
        <f>IF(Sixth!G170="", "",Sixth!G170)</f>
        <v/>
      </c>
      <c r="H1417" s="66" t="str">
        <f>IF(Sixth!H170="", "",Sixth!H170)</f>
        <v/>
      </c>
      <c r="I1417" s="66" t="str">
        <f>IF(Sixth!I170="", "",Sixth!I170)</f>
        <v/>
      </c>
      <c r="J1417" s="66" t="str">
        <f>IF(Sixth!J170="", "",Sixth!J170)</f>
        <v/>
      </c>
      <c r="K1417" s="86" t="str">
        <f>IF(Sixth!K170="", "",Sixth!K170)</f>
        <v/>
      </c>
      <c r="M1417" s="67" t="str">
        <f t="shared" si="68"/>
        <v/>
      </c>
      <c r="N1417" s="76" t="str">
        <f t="shared" si="69"/>
        <v/>
      </c>
      <c r="O1417" s="33">
        <f t="shared" si="67"/>
        <v>0</v>
      </c>
    </row>
    <row r="1418" spans="1:15" x14ac:dyDescent="0.25">
      <c r="A1418" s="64" t="s">
        <v>206</v>
      </c>
      <c r="B1418" s="79" t="str">
        <f>IF(Sixth!B171="", "",Sixth!B171)</f>
        <v/>
      </c>
      <c r="C1418" s="66" t="str">
        <f>IF(Sixth!C171="", "",Sixth!C171)</f>
        <v/>
      </c>
      <c r="D1418" s="66" t="str">
        <f>IF(Sixth!D171="", "",Sixth!D171)</f>
        <v/>
      </c>
      <c r="E1418" s="66" t="str">
        <f>IF(Sixth!E171="", "",Sixth!E171)</f>
        <v/>
      </c>
      <c r="F1418" s="66" t="str">
        <f>IF(Sixth!F171="", "",Sixth!F171)</f>
        <v/>
      </c>
      <c r="G1418" s="66" t="str">
        <f>IF(Sixth!G171="", "",Sixth!G171)</f>
        <v/>
      </c>
      <c r="H1418" s="66" t="str">
        <f>IF(Sixth!H171="", "",Sixth!H171)</f>
        <v/>
      </c>
      <c r="I1418" s="66" t="str">
        <f>IF(Sixth!I171="", "",Sixth!I171)</f>
        <v/>
      </c>
      <c r="J1418" s="66" t="str">
        <f>IF(Sixth!J171="", "",Sixth!J171)</f>
        <v/>
      </c>
      <c r="K1418" s="86" t="str">
        <f>IF(Sixth!K171="", "",Sixth!K171)</f>
        <v/>
      </c>
      <c r="M1418" s="67" t="str">
        <f t="shared" si="68"/>
        <v/>
      </c>
      <c r="N1418" s="76" t="str">
        <f t="shared" si="69"/>
        <v/>
      </c>
      <c r="O1418" s="33">
        <f t="shared" si="67"/>
        <v>0</v>
      </c>
    </row>
    <row r="1419" spans="1:15" x14ac:dyDescent="0.25">
      <c r="A1419" s="64" t="s">
        <v>206</v>
      </c>
      <c r="B1419" s="79" t="str">
        <f>IF(Sixth!B172="", "",Sixth!B172)</f>
        <v/>
      </c>
      <c r="C1419" s="66" t="str">
        <f>IF(Sixth!C172="", "",Sixth!C172)</f>
        <v/>
      </c>
      <c r="D1419" s="66" t="str">
        <f>IF(Sixth!D172="", "",Sixth!D172)</f>
        <v/>
      </c>
      <c r="E1419" s="66" t="str">
        <f>IF(Sixth!E172="", "",Sixth!E172)</f>
        <v/>
      </c>
      <c r="F1419" s="66" t="str">
        <f>IF(Sixth!F172="", "",Sixth!F172)</f>
        <v/>
      </c>
      <c r="G1419" s="66" t="str">
        <f>IF(Sixth!G172="", "",Sixth!G172)</f>
        <v/>
      </c>
      <c r="H1419" s="66" t="str">
        <f>IF(Sixth!H172="", "",Sixth!H172)</f>
        <v/>
      </c>
      <c r="I1419" s="66" t="str">
        <f>IF(Sixth!I172="", "",Sixth!I172)</f>
        <v/>
      </c>
      <c r="J1419" s="66" t="str">
        <f>IF(Sixth!J172="", "",Sixth!J172)</f>
        <v/>
      </c>
      <c r="K1419" s="86" t="str">
        <f>IF(Sixth!K172="", "",Sixth!K172)</f>
        <v/>
      </c>
      <c r="M1419" s="67" t="str">
        <f t="shared" si="68"/>
        <v/>
      </c>
      <c r="N1419" s="76" t="str">
        <f t="shared" si="69"/>
        <v/>
      </c>
      <c r="O1419" s="33">
        <f t="shared" si="67"/>
        <v>0</v>
      </c>
    </row>
    <row r="1420" spans="1:15" x14ac:dyDescent="0.25">
      <c r="A1420" s="64" t="s">
        <v>206</v>
      </c>
      <c r="B1420" s="79" t="str">
        <f>IF(Sixth!B173="", "",Sixth!B173)</f>
        <v/>
      </c>
      <c r="C1420" s="66" t="str">
        <f>IF(Sixth!C173="", "",Sixth!C173)</f>
        <v/>
      </c>
      <c r="D1420" s="66" t="str">
        <f>IF(Sixth!D173="", "",Sixth!D173)</f>
        <v/>
      </c>
      <c r="E1420" s="66" t="str">
        <f>IF(Sixth!E173="", "",Sixth!E173)</f>
        <v/>
      </c>
      <c r="F1420" s="66" t="str">
        <f>IF(Sixth!F173="", "",Sixth!F173)</f>
        <v/>
      </c>
      <c r="G1420" s="66" t="str">
        <f>IF(Sixth!G173="", "",Sixth!G173)</f>
        <v/>
      </c>
      <c r="H1420" s="66" t="str">
        <f>IF(Sixth!H173="", "",Sixth!H173)</f>
        <v/>
      </c>
      <c r="I1420" s="66" t="str">
        <f>IF(Sixth!I173="", "",Sixth!I173)</f>
        <v/>
      </c>
      <c r="J1420" s="66" t="str">
        <f>IF(Sixth!J173="", "",Sixth!J173)</f>
        <v/>
      </c>
      <c r="K1420" s="86" t="str">
        <f>IF(Sixth!K173="", "",Sixth!K173)</f>
        <v/>
      </c>
      <c r="M1420" s="67" t="str">
        <f t="shared" si="68"/>
        <v/>
      </c>
      <c r="N1420" s="76" t="str">
        <f t="shared" si="69"/>
        <v/>
      </c>
      <c r="O1420" s="33">
        <f t="shared" si="67"/>
        <v>0</v>
      </c>
    </row>
    <row r="1421" spans="1:15" x14ac:dyDescent="0.25">
      <c r="A1421" s="64" t="s">
        <v>206</v>
      </c>
      <c r="B1421" s="79" t="str">
        <f>IF(Sixth!B174="", "",Sixth!B174)</f>
        <v/>
      </c>
      <c r="C1421" s="66" t="str">
        <f>IF(Sixth!C174="", "",Sixth!C174)</f>
        <v/>
      </c>
      <c r="D1421" s="66" t="str">
        <f>IF(Sixth!D174="", "",Sixth!D174)</f>
        <v/>
      </c>
      <c r="E1421" s="66" t="str">
        <f>IF(Sixth!E174="", "",Sixth!E174)</f>
        <v/>
      </c>
      <c r="F1421" s="66" t="str">
        <f>IF(Sixth!F174="", "",Sixth!F174)</f>
        <v/>
      </c>
      <c r="G1421" s="66" t="str">
        <f>IF(Sixth!G174="", "",Sixth!G174)</f>
        <v/>
      </c>
      <c r="H1421" s="66" t="str">
        <f>IF(Sixth!H174="", "",Sixth!H174)</f>
        <v/>
      </c>
      <c r="I1421" s="66" t="str">
        <f>IF(Sixth!I174="", "",Sixth!I174)</f>
        <v/>
      </c>
      <c r="J1421" s="66" t="str">
        <f>IF(Sixth!J174="", "",Sixth!J174)</f>
        <v/>
      </c>
      <c r="K1421" s="86" t="str">
        <f>IF(Sixth!K174="", "",Sixth!K174)</f>
        <v/>
      </c>
      <c r="M1421" s="67" t="str">
        <f t="shared" si="68"/>
        <v/>
      </c>
      <c r="N1421" s="76" t="str">
        <f t="shared" si="69"/>
        <v/>
      </c>
      <c r="O1421" s="33">
        <f t="shared" si="67"/>
        <v>0</v>
      </c>
    </row>
    <row r="1422" spans="1:15" x14ac:dyDescent="0.25">
      <c r="A1422" s="64" t="s">
        <v>206</v>
      </c>
      <c r="B1422" s="79" t="str">
        <f>IF(Sixth!B175="", "",Sixth!B175)</f>
        <v/>
      </c>
      <c r="C1422" s="66" t="str">
        <f>IF(Sixth!C175="", "",Sixth!C175)</f>
        <v/>
      </c>
      <c r="D1422" s="66" t="str">
        <f>IF(Sixth!D175="", "",Sixth!D175)</f>
        <v/>
      </c>
      <c r="E1422" s="66" t="str">
        <f>IF(Sixth!E175="", "",Sixth!E175)</f>
        <v/>
      </c>
      <c r="F1422" s="66" t="str">
        <f>IF(Sixth!F175="", "",Sixth!F175)</f>
        <v/>
      </c>
      <c r="G1422" s="66" t="str">
        <f>IF(Sixth!G175="", "",Sixth!G175)</f>
        <v/>
      </c>
      <c r="H1422" s="66" t="str">
        <f>IF(Sixth!H175="", "",Sixth!H175)</f>
        <v/>
      </c>
      <c r="I1422" s="66" t="str">
        <f>IF(Sixth!I175="", "",Sixth!I175)</f>
        <v/>
      </c>
      <c r="J1422" s="66" t="str">
        <f>IF(Sixth!J175="", "",Sixth!J175)</f>
        <v/>
      </c>
      <c r="K1422" s="86" t="str">
        <f>IF(Sixth!K175="", "",Sixth!K175)</f>
        <v/>
      </c>
      <c r="M1422" s="67" t="str">
        <f t="shared" si="68"/>
        <v/>
      </c>
      <c r="N1422" s="76" t="str">
        <f t="shared" si="69"/>
        <v/>
      </c>
      <c r="O1422" s="33">
        <f t="shared" si="67"/>
        <v>0</v>
      </c>
    </row>
    <row r="1423" spans="1:15" x14ac:dyDescent="0.25">
      <c r="A1423" s="64" t="s">
        <v>206</v>
      </c>
      <c r="B1423" s="79" t="str">
        <f>IF(Sixth!B176="", "",Sixth!B176)</f>
        <v/>
      </c>
      <c r="C1423" s="66" t="str">
        <f>IF(Sixth!C176="", "",Sixth!C176)</f>
        <v/>
      </c>
      <c r="D1423" s="66" t="str">
        <f>IF(Sixth!D176="", "",Sixth!D176)</f>
        <v/>
      </c>
      <c r="E1423" s="66" t="str">
        <f>IF(Sixth!E176="", "",Sixth!E176)</f>
        <v/>
      </c>
      <c r="F1423" s="66" t="str">
        <f>IF(Sixth!F176="", "",Sixth!F176)</f>
        <v/>
      </c>
      <c r="G1423" s="66" t="str">
        <f>IF(Sixth!G176="", "",Sixth!G176)</f>
        <v/>
      </c>
      <c r="H1423" s="66" t="str">
        <f>IF(Sixth!H176="", "",Sixth!H176)</f>
        <v/>
      </c>
      <c r="I1423" s="66" t="str">
        <f>IF(Sixth!I176="", "",Sixth!I176)</f>
        <v/>
      </c>
      <c r="J1423" s="66" t="str">
        <f>IF(Sixth!J176="", "",Sixth!J176)</f>
        <v/>
      </c>
      <c r="K1423" s="86" t="str">
        <f>IF(Sixth!K176="", "",Sixth!K176)</f>
        <v/>
      </c>
      <c r="M1423" s="67" t="str">
        <f t="shared" si="68"/>
        <v/>
      </c>
      <c r="N1423" s="76" t="str">
        <f t="shared" si="69"/>
        <v/>
      </c>
      <c r="O1423" s="33">
        <f t="shared" si="67"/>
        <v>0</v>
      </c>
    </row>
    <row r="1424" spans="1:15" x14ac:dyDescent="0.25">
      <c r="A1424" s="64" t="s">
        <v>206</v>
      </c>
      <c r="B1424" s="79" t="str">
        <f>IF(Sixth!B177="", "",Sixth!B177)</f>
        <v/>
      </c>
      <c r="C1424" s="66" t="str">
        <f>IF(Sixth!C177="", "",Sixth!C177)</f>
        <v/>
      </c>
      <c r="D1424" s="66" t="str">
        <f>IF(Sixth!D177="", "",Sixth!D177)</f>
        <v/>
      </c>
      <c r="E1424" s="66" t="str">
        <f>IF(Sixth!E177="", "",Sixth!E177)</f>
        <v/>
      </c>
      <c r="F1424" s="66" t="str">
        <f>IF(Sixth!F177="", "",Sixth!F177)</f>
        <v/>
      </c>
      <c r="G1424" s="66" t="str">
        <f>IF(Sixth!G177="", "",Sixth!G177)</f>
        <v/>
      </c>
      <c r="H1424" s="66" t="str">
        <f>IF(Sixth!H177="", "",Sixth!H177)</f>
        <v/>
      </c>
      <c r="I1424" s="66" t="str">
        <f>IF(Sixth!I177="", "",Sixth!I177)</f>
        <v/>
      </c>
      <c r="J1424" s="66" t="str">
        <f>IF(Sixth!J177="", "",Sixth!J177)</f>
        <v/>
      </c>
      <c r="K1424" s="86" t="str">
        <f>IF(Sixth!K177="", "",Sixth!K177)</f>
        <v/>
      </c>
      <c r="M1424" s="67" t="str">
        <f t="shared" si="68"/>
        <v/>
      </c>
      <c r="N1424" s="76" t="str">
        <f t="shared" si="69"/>
        <v/>
      </c>
      <c r="O1424" s="33">
        <f t="shared" si="67"/>
        <v>0</v>
      </c>
    </row>
    <row r="1425" spans="1:15" x14ac:dyDescent="0.25">
      <c r="A1425" s="64" t="s">
        <v>206</v>
      </c>
      <c r="B1425" s="79" t="str">
        <f>IF(Sixth!B178="", "",Sixth!B178)</f>
        <v/>
      </c>
      <c r="C1425" s="66" t="str">
        <f>IF(Sixth!C178="", "",Sixth!C178)</f>
        <v/>
      </c>
      <c r="D1425" s="66" t="str">
        <f>IF(Sixth!D178="", "",Sixth!D178)</f>
        <v/>
      </c>
      <c r="E1425" s="66" t="str">
        <f>IF(Sixth!E178="", "",Sixth!E178)</f>
        <v/>
      </c>
      <c r="F1425" s="66" t="str">
        <f>IF(Sixth!F178="", "",Sixth!F178)</f>
        <v/>
      </c>
      <c r="G1425" s="66" t="str">
        <f>IF(Sixth!G178="", "",Sixth!G178)</f>
        <v/>
      </c>
      <c r="H1425" s="66" t="str">
        <f>IF(Sixth!H178="", "",Sixth!H178)</f>
        <v/>
      </c>
      <c r="I1425" s="66" t="str">
        <f>IF(Sixth!I178="", "",Sixth!I178)</f>
        <v/>
      </c>
      <c r="J1425" s="66" t="str">
        <f>IF(Sixth!J178="", "",Sixth!J178)</f>
        <v/>
      </c>
      <c r="K1425" s="86" t="str">
        <f>IF(Sixth!K178="", "",Sixth!K178)</f>
        <v/>
      </c>
      <c r="M1425" s="67" t="str">
        <f t="shared" si="68"/>
        <v/>
      </c>
      <c r="N1425" s="76" t="str">
        <f t="shared" si="69"/>
        <v/>
      </c>
      <c r="O1425" s="33">
        <f t="shared" si="67"/>
        <v>0</v>
      </c>
    </row>
    <row r="1426" spans="1:15" x14ac:dyDescent="0.25">
      <c r="A1426" s="64" t="s">
        <v>206</v>
      </c>
      <c r="B1426" s="79" t="str">
        <f>IF(Sixth!B179="", "",Sixth!B179)</f>
        <v/>
      </c>
      <c r="C1426" s="66" t="str">
        <f>IF(Sixth!C179="", "",Sixth!C179)</f>
        <v/>
      </c>
      <c r="D1426" s="66" t="str">
        <f>IF(Sixth!D179="", "",Sixth!D179)</f>
        <v/>
      </c>
      <c r="E1426" s="66" t="str">
        <f>IF(Sixth!E179="", "",Sixth!E179)</f>
        <v/>
      </c>
      <c r="F1426" s="66" t="str">
        <f>IF(Sixth!F179="", "",Sixth!F179)</f>
        <v/>
      </c>
      <c r="G1426" s="66" t="str">
        <f>IF(Sixth!G179="", "",Sixth!G179)</f>
        <v/>
      </c>
      <c r="H1426" s="66" t="str">
        <f>IF(Sixth!H179="", "",Sixth!H179)</f>
        <v/>
      </c>
      <c r="I1426" s="66" t="str">
        <f>IF(Sixth!I179="", "",Sixth!I179)</f>
        <v/>
      </c>
      <c r="J1426" s="66" t="str">
        <f>IF(Sixth!J179="", "",Sixth!J179)</f>
        <v/>
      </c>
      <c r="K1426" s="86" t="str">
        <f>IF(Sixth!K179="", "",Sixth!K179)</f>
        <v/>
      </c>
      <c r="M1426" s="67" t="str">
        <f t="shared" si="68"/>
        <v/>
      </c>
      <c r="N1426" s="76" t="str">
        <f t="shared" si="69"/>
        <v/>
      </c>
      <c r="O1426" s="33">
        <f t="shared" si="67"/>
        <v>0</v>
      </c>
    </row>
    <row r="1427" spans="1:15" x14ac:dyDescent="0.25">
      <c r="A1427" s="64" t="s">
        <v>206</v>
      </c>
      <c r="B1427" s="79" t="str">
        <f>IF(Sixth!B180="", "",Sixth!B180)</f>
        <v/>
      </c>
      <c r="C1427" s="66" t="str">
        <f>IF(Sixth!C180="", "",Sixth!C180)</f>
        <v/>
      </c>
      <c r="D1427" s="66" t="str">
        <f>IF(Sixth!D180="", "",Sixth!D180)</f>
        <v/>
      </c>
      <c r="E1427" s="66" t="str">
        <f>IF(Sixth!E180="", "",Sixth!E180)</f>
        <v/>
      </c>
      <c r="F1427" s="66" t="str">
        <f>IF(Sixth!F180="", "",Sixth!F180)</f>
        <v/>
      </c>
      <c r="G1427" s="66" t="str">
        <f>IF(Sixth!G180="", "",Sixth!G180)</f>
        <v/>
      </c>
      <c r="H1427" s="66" t="str">
        <f>IF(Sixth!H180="", "",Sixth!H180)</f>
        <v/>
      </c>
      <c r="I1427" s="66" t="str">
        <f>IF(Sixth!I180="", "",Sixth!I180)</f>
        <v/>
      </c>
      <c r="J1427" s="66" t="str">
        <f>IF(Sixth!J180="", "",Sixth!J180)</f>
        <v/>
      </c>
      <c r="K1427" s="86" t="str">
        <f>IF(Sixth!K180="", "",Sixth!K180)</f>
        <v/>
      </c>
      <c r="M1427" s="67" t="str">
        <f t="shared" si="68"/>
        <v/>
      </c>
      <c r="N1427" s="76" t="str">
        <f t="shared" si="69"/>
        <v/>
      </c>
      <c r="O1427" s="33">
        <f t="shared" si="67"/>
        <v>0</v>
      </c>
    </row>
    <row r="1428" spans="1:15" x14ac:dyDescent="0.25">
      <c r="A1428" s="64" t="s">
        <v>206</v>
      </c>
      <c r="B1428" s="79" t="str">
        <f>IF(Sixth!B181="", "",Sixth!B181)</f>
        <v/>
      </c>
      <c r="C1428" s="66" t="str">
        <f>IF(Sixth!C181="", "",Sixth!C181)</f>
        <v/>
      </c>
      <c r="D1428" s="66" t="str">
        <f>IF(Sixth!D181="", "",Sixth!D181)</f>
        <v/>
      </c>
      <c r="E1428" s="66" t="str">
        <f>IF(Sixth!E181="", "",Sixth!E181)</f>
        <v/>
      </c>
      <c r="F1428" s="66" t="str">
        <f>IF(Sixth!F181="", "",Sixth!F181)</f>
        <v/>
      </c>
      <c r="G1428" s="66" t="str">
        <f>IF(Sixth!G181="", "",Sixth!G181)</f>
        <v/>
      </c>
      <c r="H1428" s="66" t="str">
        <f>IF(Sixth!H181="", "",Sixth!H181)</f>
        <v/>
      </c>
      <c r="I1428" s="66" t="str">
        <f>IF(Sixth!I181="", "",Sixth!I181)</f>
        <v/>
      </c>
      <c r="J1428" s="66" t="str">
        <f>IF(Sixth!J181="", "",Sixth!J181)</f>
        <v/>
      </c>
      <c r="K1428" s="86" t="str">
        <f>IF(Sixth!K181="", "",Sixth!K181)</f>
        <v/>
      </c>
      <c r="M1428" s="67" t="str">
        <f t="shared" si="68"/>
        <v/>
      </c>
      <c r="N1428" s="76" t="str">
        <f t="shared" si="69"/>
        <v/>
      </c>
      <c r="O1428" s="33">
        <f t="shared" si="67"/>
        <v>0</v>
      </c>
    </row>
    <row r="1429" spans="1:15" x14ac:dyDescent="0.25">
      <c r="A1429" s="64" t="s">
        <v>206</v>
      </c>
      <c r="B1429" s="79" t="str">
        <f>IF(Sixth!B182="", "",Sixth!B182)</f>
        <v/>
      </c>
      <c r="C1429" s="66" t="str">
        <f>IF(Sixth!C182="", "",Sixth!C182)</f>
        <v/>
      </c>
      <c r="D1429" s="66" t="str">
        <f>IF(Sixth!D182="", "",Sixth!D182)</f>
        <v/>
      </c>
      <c r="E1429" s="66" t="str">
        <f>IF(Sixth!E182="", "",Sixth!E182)</f>
        <v/>
      </c>
      <c r="F1429" s="66" t="str">
        <f>IF(Sixth!F182="", "",Sixth!F182)</f>
        <v/>
      </c>
      <c r="G1429" s="66" t="str">
        <f>IF(Sixth!G182="", "",Sixth!G182)</f>
        <v/>
      </c>
      <c r="H1429" s="66" t="str">
        <f>IF(Sixth!H182="", "",Sixth!H182)</f>
        <v/>
      </c>
      <c r="I1429" s="66" t="str">
        <f>IF(Sixth!I182="", "",Sixth!I182)</f>
        <v/>
      </c>
      <c r="J1429" s="66" t="str">
        <f>IF(Sixth!J182="", "",Sixth!J182)</f>
        <v/>
      </c>
      <c r="K1429" s="86" t="str">
        <f>IF(Sixth!K182="", "",Sixth!K182)</f>
        <v/>
      </c>
      <c r="M1429" s="67" t="str">
        <f t="shared" si="68"/>
        <v/>
      </c>
      <c r="N1429" s="76" t="str">
        <f t="shared" si="69"/>
        <v/>
      </c>
      <c r="O1429" s="33">
        <f t="shared" si="67"/>
        <v>0</v>
      </c>
    </row>
    <row r="1430" spans="1:15" x14ac:dyDescent="0.25">
      <c r="A1430" s="64" t="s">
        <v>206</v>
      </c>
      <c r="B1430" s="79" t="str">
        <f>IF(Sixth!B183="", "",Sixth!B183)</f>
        <v/>
      </c>
      <c r="C1430" s="66" t="str">
        <f>IF(Sixth!C183="", "",Sixth!C183)</f>
        <v/>
      </c>
      <c r="D1430" s="66" t="str">
        <f>IF(Sixth!D183="", "",Sixth!D183)</f>
        <v/>
      </c>
      <c r="E1430" s="66" t="str">
        <f>IF(Sixth!E183="", "",Sixth!E183)</f>
        <v/>
      </c>
      <c r="F1430" s="66" t="str">
        <f>IF(Sixth!F183="", "",Sixth!F183)</f>
        <v/>
      </c>
      <c r="G1430" s="66" t="str">
        <f>IF(Sixth!G183="", "",Sixth!G183)</f>
        <v/>
      </c>
      <c r="H1430" s="66" t="str">
        <f>IF(Sixth!H183="", "",Sixth!H183)</f>
        <v/>
      </c>
      <c r="I1430" s="66" t="str">
        <f>IF(Sixth!I183="", "",Sixth!I183)</f>
        <v/>
      </c>
      <c r="J1430" s="66" t="str">
        <f>IF(Sixth!J183="", "",Sixth!J183)</f>
        <v/>
      </c>
      <c r="K1430" s="86" t="str">
        <f>IF(Sixth!K183="", "",Sixth!K183)</f>
        <v/>
      </c>
      <c r="M1430" s="67" t="str">
        <f t="shared" si="68"/>
        <v/>
      </c>
      <c r="N1430" s="76" t="str">
        <f t="shared" si="69"/>
        <v/>
      </c>
      <c r="O1430" s="33">
        <f t="shared" si="67"/>
        <v>0</v>
      </c>
    </row>
    <row r="1431" spans="1:15" x14ac:dyDescent="0.25">
      <c r="A1431" s="64" t="s">
        <v>206</v>
      </c>
      <c r="B1431" s="79" t="str">
        <f>IF(Sixth!B184="", "",Sixth!B184)</f>
        <v/>
      </c>
      <c r="C1431" s="66" t="str">
        <f>IF(Sixth!C184="", "",Sixth!C184)</f>
        <v/>
      </c>
      <c r="D1431" s="66" t="str">
        <f>IF(Sixth!D184="", "",Sixth!D184)</f>
        <v/>
      </c>
      <c r="E1431" s="66" t="str">
        <f>IF(Sixth!E184="", "",Sixth!E184)</f>
        <v/>
      </c>
      <c r="F1431" s="66" t="str">
        <f>IF(Sixth!F184="", "",Sixth!F184)</f>
        <v/>
      </c>
      <c r="G1431" s="66" t="str">
        <f>IF(Sixth!G184="", "",Sixth!G184)</f>
        <v/>
      </c>
      <c r="H1431" s="66" t="str">
        <f>IF(Sixth!H184="", "",Sixth!H184)</f>
        <v/>
      </c>
      <c r="I1431" s="66" t="str">
        <f>IF(Sixth!I184="", "",Sixth!I184)</f>
        <v/>
      </c>
      <c r="J1431" s="66" t="str">
        <f>IF(Sixth!J184="", "",Sixth!J184)</f>
        <v/>
      </c>
      <c r="K1431" s="86" t="str">
        <f>IF(Sixth!K184="", "",Sixth!K184)</f>
        <v/>
      </c>
      <c r="M1431" s="67" t="str">
        <f t="shared" si="68"/>
        <v/>
      </c>
      <c r="N1431" s="76" t="str">
        <f t="shared" si="69"/>
        <v/>
      </c>
      <c r="O1431" s="33">
        <f t="shared" si="67"/>
        <v>0</v>
      </c>
    </row>
    <row r="1432" spans="1:15" x14ac:dyDescent="0.25">
      <c r="A1432" s="64" t="s">
        <v>206</v>
      </c>
      <c r="B1432" s="79" t="str">
        <f>IF(Sixth!B185="", "",Sixth!B185)</f>
        <v/>
      </c>
      <c r="C1432" s="66" t="str">
        <f>IF(Sixth!C185="", "",Sixth!C185)</f>
        <v/>
      </c>
      <c r="D1432" s="66" t="str">
        <f>IF(Sixth!D185="", "",Sixth!D185)</f>
        <v/>
      </c>
      <c r="E1432" s="66" t="str">
        <f>IF(Sixth!E185="", "",Sixth!E185)</f>
        <v/>
      </c>
      <c r="F1432" s="66" t="str">
        <f>IF(Sixth!F185="", "",Sixth!F185)</f>
        <v/>
      </c>
      <c r="G1432" s="66" t="str">
        <f>IF(Sixth!G185="", "",Sixth!G185)</f>
        <v/>
      </c>
      <c r="H1432" s="66" t="str">
        <f>IF(Sixth!H185="", "",Sixth!H185)</f>
        <v/>
      </c>
      <c r="I1432" s="66" t="str">
        <f>IF(Sixth!I185="", "",Sixth!I185)</f>
        <v/>
      </c>
      <c r="J1432" s="66" t="str">
        <f>IF(Sixth!J185="", "",Sixth!J185)</f>
        <v/>
      </c>
      <c r="K1432" s="86" t="str">
        <f>IF(Sixth!K185="", "",Sixth!K185)</f>
        <v/>
      </c>
      <c r="M1432" s="67" t="str">
        <f t="shared" si="68"/>
        <v/>
      </c>
      <c r="N1432" s="76" t="str">
        <f t="shared" si="69"/>
        <v/>
      </c>
      <c r="O1432" s="33">
        <f t="shared" si="67"/>
        <v>0</v>
      </c>
    </row>
    <row r="1433" spans="1:15" x14ac:dyDescent="0.25">
      <c r="A1433" s="64" t="s">
        <v>206</v>
      </c>
      <c r="B1433" s="79" t="str">
        <f>IF(Sixth!B186="", "",Sixth!B186)</f>
        <v/>
      </c>
      <c r="C1433" s="66" t="str">
        <f>IF(Sixth!C186="", "",Sixth!C186)</f>
        <v/>
      </c>
      <c r="D1433" s="66" t="str">
        <f>IF(Sixth!D186="", "",Sixth!D186)</f>
        <v/>
      </c>
      <c r="E1433" s="66" t="str">
        <f>IF(Sixth!E186="", "",Sixth!E186)</f>
        <v/>
      </c>
      <c r="F1433" s="66" t="str">
        <f>IF(Sixth!F186="", "",Sixth!F186)</f>
        <v/>
      </c>
      <c r="G1433" s="66" t="str">
        <f>IF(Sixth!G186="", "",Sixth!G186)</f>
        <v/>
      </c>
      <c r="H1433" s="66" t="str">
        <f>IF(Sixth!H186="", "",Sixth!H186)</f>
        <v/>
      </c>
      <c r="I1433" s="66" t="str">
        <f>IF(Sixth!I186="", "",Sixth!I186)</f>
        <v/>
      </c>
      <c r="J1433" s="66" t="str">
        <f>IF(Sixth!J186="", "",Sixth!J186)</f>
        <v/>
      </c>
      <c r="K1433" s="86" t="str">
        <f>IF(Sixth!K186="", "",Sixth!K186)</f>
        <v/>
      </c>
      <c r="M1433" s="67" t="str">
        <f t="shared" si="68"/>
        <v/>
      </c>
      <c r="N1433" s="76" t="str">
        <f t="shared" si="69"/>
        <v/>
      </c>
      <c r="O1433" s="33">
        <f t="shared" si="67"/>
        <v>0</v>
      </c>
    </row>
    <row r="1434" spans="1:15" x14ac:dyDescent="0.25">
      <c r="A1434" s="64" t="s">
        <v>206</v>
      </c>
      <c r="B1434" s="79" t="str">
        <f>IF(Sixth!B187="", "",Sixth!B187)</f>
        <v/>
      </c>
      <c r="C1434" s="66" t="str">
        <f>IF(Sixth!C187="", "",Sixth!C187)</f>
        <v/>
      </c>
      <c r="D1434" s="66" t="str">
        <f>IF(Sixth!D187="", "",Sixth!D187)</f>
        <v/>
      </c>
      <c r="E1434" s="66" t="str">
        <f>IF(Sixth!E187="", "",Sixth!E187)</f>
        <v/>
      </c>
      <c r="F1434" s="66" t="str">
        <f>IF(Sixth!F187="", "",Sixth!F187)</f>
        <v/>
      </c>
      <c r="G1434" s="66" t="str">
        <f>IF(Sixth!G187="", "",Sixth!G187)</f>
        <v/>
      </c>
      <c r="H1434" s="66" t="str">
        <f>IF(Sixth!H187="", "",Sixth!H187)</f>
        <v/>
      </c>
      <c r="I1434" s="66" t="str">
        <f>IF(Sixth!I187="", "",Sixth!I187)</f>
        <v/>
      </c>
      <c r="J1434" s="66" t="str">
        <f>IF(Sixth!J187="", "",Sixth!J187)</f>
        <v/>
      </c>
      <c r="K1434" s="86" t="str">
        <f>IF(Sixth!K187="", "",Sixth!K187)</f>
        <v/>
      </c>
      <c r="M1434" s="67" t="str">
        <f t="shared" si="68"/>
        <v/>
      </c>
      <c r="N1434" s="76" t="str">
        <f t="shared" si="69"/>
        <v/>
      </c>
      <c r="O1434" s="33">
        <f t="shared" si="67"/>
        <v>0</v>
      </c>
    </row>
    <row r="1435" spans="1:15" x14ac:dyDescent="0.25">
      <c r="A1435" s="64" t="s">
        <v>206</v>
      </c>
      <c r="B1435" s="79" t="str">
        <f>IF(Sixth!B188="", "",Sixth!B188)</f>
        <v/>
      </c>
      <c r="C1435" s="66" t="str">
        <f>IF(Sixth!C188="", "",Sixth!C188)</f>
        <v/>
      </c>
      <c r="D1435" s="66" t="str">
        <f>IF(Sixth!D188="", "",Sixth!D188)</f>
        <v/>
      </c>
      <c r="E1435" s="66" t="str">
        <f>IF(Sixth!E188="", "",Sixth!E188)</f>
        <v/>
      </c>
      <c r="F1435" s="66" t="str">
        <f>IF(Sixth!F188="", "",Sixth!F188)</f>
        <v/>
      </c>
      <c r="G1435" s="66" t="str">
        <f>IF(Sixth!G188="", "",Sixth!G188)</f>
        <v/>
      </c>
      <c r="H1435" s="66" t="str">
        <f>IF(Sixth!H188="", "",Sixth!H188)</f>
        <v/>
      </c>
      <c r="I1435" s="66" t="str">
        <f>IF(Sixth!I188="", "",Sixth!I188)</f>
        <v/>
      </c>
      <c r="J1435" s="66" t="str">
        <f>IF(Sixth!J188="", "",Sixth!J188)</f>
        <v/>
      </c>
      <c r="K1435" s="86" t="str">
        <f>IF(Sixth!K188="", "",Sixth!K188)</f>
        <v/>
      </c>
      <c r="M1435" s="67" t="str">
        <f t="shared" si="68"/>
        <v/>
      </c>
      <c r="N1435" s="76" t="str">
        <f t="shared" si="69"/>
        <v/>
      </c>
      <c r="O1435" s="33">
        <f t="shared" si="67"/>
        <v>0</v>
      </c>
    </row>
    <row r="1436" spans="1:15" x14ac:dyDescent="0.25">
      <c r="A1436" s="64" t="s">
        <v>206</v>
      </c>
      <c r="B1436" s="79" t="str">
        <f>IF(Sixth!B189="", "",Sixth!B189)</f>
        <v/>
      </c>
      <c r="C1436" s="66" t="str">
        <f>IF(Sixth!C189="", "",Sixth!C189)</f>
        <v/>
      </c>
      <c r="D1436" s="66" t="str">
        <f>IF(Sixth!D189="", "",Sixth!D189)</f>
        <v/>
      </c>
      <c r="E1436" s="66" t="str">
        <f>IF(Sixth!E189="", "",Sixth!E189)</f>
        <v/>
      </c>
      <c r="F1436" s="66" t="str">
        <f>IF(Sixth!F189="", "",Sixth!F189)</f>
        <v/>
      </c>
      <c r="G1436" s="66" t="str">
        <f>IF(Sixth!G189="", "",Sixth!G189)</f>
        <v/>
      </c>
      <c r="H1436" s="66" t="str">
        <f>IF(Sixth!H189="", "",Sixth!H189)</f>
        <v/>
      </c>
      <c r="I1436" s="66" t="str">
        <f>IF(Sixth!I189="", "",Sixth!I189)</f>
        <v/>
      </c>
      <c r="J1436" s="66" t="str">
        <f>IF(Sixth!J189="", "",Sixth!J189)</f>
        <v/>
      </c>
      <c r="K1436" s="86" t="str">
        <f>IF(Sixth!K189="", "",Sixth!K189)</f>
        <v/>
      </c>
      <c r="M1436" s="67" t="str">
        <f t="shared" si="68"/>
        <v/>
      </c>
      <c r="N1436" s="76" t="str">
        <f t="shared" si="69"/>
        <v/>
      </c>
      <c r="O1436" s="33">
        <f t="shared" si="67"/>
        <v>0</v>
      </c>
    </row>
    <row r="1437" spans="1:15" x14ac:dyDescent="0.25">
      <c r="A1437" s="64" t="s">
        <v>206</v>
      </c>
      <c r="B1437" s="79" t="str">
        <f>IF(Sixth!B190="", "",Sixth!B190)</f>
        <v/>
      </c>
      <c r="C1437" s="66" t="str">
        <f>IF(Sixth!C190="", "",Sixth!C190)</f>
        <v/>
      </c>
      <c r="D1437" s="66" t="str">
        <f>IF(Sixth!D190="", "",Sixth!D190)</f>
        <v/>
      </c>
      <c r="E1437" s="66" t="str">
        <f>IF(Sixth!E190="", "",Sixth!E190)</f>
        <v/>
      </c>
      <c r="F1437" s="66" t="str">
        <f>IF(Sixth!F190="", "",Sixth!F190)</f>
        <v/>
      </c>
      <c r="G1437" s="66" t="str">
        <f>IF(Sixth!G190="", "",Sixth!G190)</f>
        <v/>
      </c>
      <c r="H1437" s="66" t="str">
        <f>IF(Sixth!H190="", "",Sixth!H190)</f>
        <v/>
      </c>
      <c r="I1437" s="66" t="str">
        <f>IF(Sixth!I190="", "",Sixth!I190)</f>
        <v/>
      </c>
      <c r="J1437" s="66" t="str">
        <f>IF(Sixth!J190="", "",Sixth!J190)</f>
        <v/>
      </c>
      <c r="K1437" s="86" t="str">
        <f>IF(Sixth!K190="", "",Sixth!K190)</f>
        <v/>
      </c>
      <c r="M1437" s="67" t="str">
        <f t="shared" si="68"/>
        <v/>
      </c>
      <c r="N1437" s="76" t="str">
        <f t="shared" si="69"/>
        <v/>
      </c>
      <c r="O1437" s="33">
        <f t="shared" si="67"/>
        <v>0</v>
      </c>
    </row>
    <row r="1438" spans="1:15" x14ac:dyDescent="0.25">
      <c r="A1438" s="64" t="s">
        <v>206</v>
      </c>
      <c r="B1438" s="79" t="str">
        <f>IF(Sixth!B191="", "",Sixth!B191)</f>
        <v/>
      </c>
      <c r="C1438" s="66" t="str">
        <f>IF(Sixth!C191="", "",Sixth!C191)</f>
        <v/>
      </c>
      <c r="D1438" s="66" t="str">
        <f>IF(Sixth!D191="", "",Sixth!D191)</f>
        <v/>
      </c>
      <c r="E1438" s="66" t="str">
        <f>IF(Sixth!E191="", "",Sixth!E191)</f>
        <v/>
      </c>
      <c r="F1438" s="66" t="str">
        <f>IF(Sixth!F191="", "",Sixth!F191)</f>
        <v/>
      </c>
      <c r="G1438" s="66" t="str">
        <f>IF(Sixth!G191="", "",Sixth!G191)</f>
        <v/>
      </c>
      <c r="H1438" s="66" t="str">
        <f>IF(Sixth!H191="", "",Sixth!H191)</f>
        <v/>
      </c>
      <c r="I1438" s="66" t="str">
        <f>IF(Sixth!I191="", "",Sixth!I191)</f>
        <v/>
      </c>
      <c r="J1438" s="66" t="str">
        <f>IF(Sixth!J191="", "",Sixth!J191)</f>
        <v/>
      </c>
      <c r="K1438" s="86" t="str">
        <f>IF(Sixth!K191="", "",Sixth!K191)</f>
        <v/>
      </c>
      <c r="M1438" s="67" t="str">
        <f t="shared" si="68"/>
        <v/>
      </c>
      <c r="N1438" s="76" t="str">
        <f t="shared" si="69"/>
        <v/>
      </c>
      <c r="O1438" s="33">
        <f t="shared" si="67"/>
        <v>0</v>
      </c>
    </row>
    <row r="1439" spans="1:15" x14ac:dyDescent="0.25">
      <c r="A1439" s="64" t="s">
        <v>206</v>
      </c>
      <c r="B1439" s="79" t="str">
        <f>IF(Sixth!B192="", "",Sixth!B192)</f>
        <v/>
      </c>
      <c r="C1439" s="66" t="str">
        <f>IF(Sixth!C192="", "",Sixth!C192)</f>
        <v/>
      </c>
      <c r="D1439" s="66" t="str">
        <f>IF(Sixth!D192="", "",Sixth!D192)</f>
        <v/>
      </c>
      <c r="E1439" s="66" t="str">
        <f>IF(Sixth!E192="", "",Sixth!E192)</f>
        <v/>
      </c>
      <c r="F1439" s="66" t="str">
        <f>IF(Sixth!F192="", "",Sixth!F192)</f>
        <v/>
      </c>
      <c r="G1439" s="66" t="str">
        <f>IF(Sixth!G192="", "",Sixth!G192)</f>
        <v/>
      </c>
      <c r="H1439" s="66" t="str">
        <f>IF(Sixth!H192="", "",Sixth!H192)</f>
        <v/>
      </c>
      <c r="I1439" s="66" t="str">
        <f>IF(Sixth!I192="", "",Sixth!I192)</f>
        <v/>
      </c>
      <c r="J1439" s="66" t="str">
        <f>IF(Sixth!J192="", "",Sixth!J192)</f>
        <v/>
      </c>
      <c r="K1439" s="86" t="str">
        <f>IF(Sixth!K192="", "",Sixth!K192)</f>
        <v/>
      </c>
      <c r="M1439" s="67" t="str">
        <f t="shared" si="68"/>
        <v/>
      </c>
      <c r="N1439" s="76" t="str">
        <f t="shared" si="69"/>
        <v/>
      </c>
      <c r="O1439" s="33">
        <f t="shared" si="67"/>
        <v>0</v>
      </c>
    </row>
    <row r="1440" spans="1:15" x14ac:dyDescent="0.25">
      <c r="A1440" s="64" t="s">
        <v>206</v>
      </c>
      <c r="B1440" s="79" t="str">
        <f>IF(Sixth!B193="", "",Sixth!B193)</f>
        <v/>
      </c>
      <c r="C1440" s="66" t="str">
        <f>IF(Sixth!C193="", "",Sixth!C193)</f>
        <v/>
      </c>
      <c r="D1440" s="66" t="str">
        <f>IF(Sixth!D193="", "",Sixth!D193)</f>
        <v/>
      </c>
      <c r="E1440" s="66" t="str">
        <f>IF(Sixth!E193="", "",Sixth!E193)</f>
        <v/>
      </c>
      <c r="F1440" s="66" t="str">
        <f>IF(Sixth!F193="", "",Sixth!F193)</f>
        <v/>
      </c>
      <c r="G1440" s="66" t="str">
        <f>IF(Sixth!G193="", "",Sixth!G193)</f>
        <v/>
      </c>
      <c r="H1440" s="66" t="str">
        <f>IF(Sixth!H193="", "",Sixth!H193)</f>
        <v/>
      </c>
      <c r="I1440" s="66" t="str">
        <f>IF(Sixth!I193="", "",Sixth!I193)</f>
        <v/>
      </c>
      <c r="J1440" s="66" t="str">
        <f>IF(Sixth!J193="", "",Sixth!J193)</f>
        <v/>
      </c>
      <c r="K1440" s="86" t="str">
        <f>IF(Sixth!K193="", "",Sixth!K193)</f>
        <v/>
      </c>
      <c r="M1440" s="67" t="str">
        <f t="shared" si="68"/>
        <v/>
      </c>
      <c r="N1440" s="76" t="str">
        <f t="shared" si="69"/>
        <v/>
      </c>
      <c r="O1440" s="33">
        <f t="shared" si="67"/>
        <v>0</v>
      </c>
    </row>
    <row r="1441" spans="1:15" x14ac:dyDescent="0.25">
      <c r="A1441" s="64" t="s">
        <v>206</v>
      </c>
      <c r="B1441" s="79" t="str">
        <f>IF(Sixth!B194="", "",Sixth!B194)</f>
        <v/>
      </c>
      <c r="C1441" s="66" t="str">
        <f>IF(Sixth!C194="", "",Sixth!C194)</f>
        <v/>
      </c>
      <c r="D1441" s="66" t="str">
        <f>IF(Sixth!D194="", "",Sixth!D194)</f>
        <v/>
      </c>
      <c r="E1441" s="66" t="str">
        <f>IF(Sixth!E194="", "",Sixth!E194)</f>
        <v/>
      </c>
      <c r="F1441" s="66" t="str">
        <f>IF(Sixth!F194="", "",Sixth!F194)</f>
        <v/>
      </c>
      <c r="G1441" s="66" t="str">
        <f>IF(Sixth!G194="", "",Sixth!G194)</f>
        <v/>
      </c>
      <c r="H1441" s="66" t="str">
        <f>IF(Sixth!H194="", "",Sixth!H194)</f>
        <v/>
      </c>
      <c r="I1441" s="66" t="str">
        <f>IF(Sixth!I194="", "",Sixth!I194)</f>
        <v/>
      </c>
      <c r="J1441" s="66" t="str">
        <f>IF(Sixth!J194="", "",Sixth!J194)</f>
        <v/>
      </c>
      <c r="K1441" s="86" t="str">
        <f>IF(Sixth!K194="", "",Sixth!K194)</f>
        <v/>
      </c>
      <c r="M1441" s="67" t="str">
        <f t="shared" si="68"/>
        <v/>
      </c>
      <c r="N1441" s="76" t="str">
        <f t="shared" si="69"/>
        <v/>
      </c>
      <c r="O1441" s="33">
        <f t="shared" si="67"/>
        <v>0</v>
      </c>
    </row>
    <row r="1442" spans="1:15" x14ac:dyDescent="0.25">
      <c r="A1442" s="64" t="s">
        <v>206</v>
      </c>
      <c r="B1442" s="79" t="str">
        <f>IF(Sixth!B195="", "",Sixth!B195)</f>
        <v/>
      </c>
      <c r="C1442" s="66" t="str">
        <f>IF(Sixth!C195="", "",Sixth!C195)</f>
        <v/>
      </c>
      <c r="D1442" s="66" t="str">
        <f>IF(Sixth!D195="", "",Sixth!D195)</f>
        <v/>
      </c>
      <c r="E1442" s="66" t="str">
        <f>IF(Sixth!E195="", "",Sixth!E195)</f>
        <v/>
      </c>
      <c r="F1442" s="66" t="str">
        <f>IF(Sixth!F195="", "",Sixth!F195)</f>
        <v/>
      </c>
      <c r="G1442" s="66" t="str">
        <f>IF(Sixth!G195="", "",Sixth!G195)</f>
        <v/>
      </c>
      <c r="H1442" s="66" t="str">
        <f>IF(Sixth!H195="", "",Sixth!H195)</f>
        <v/>
      </c>
      <c r="I1442" s="66" t="str">
        <f>IF(Sixth!I195="", "",Sixth!I195)</f>
        <v/>
      </c>
      <c r="J1442" s="66" t="str">
        <f>IF(Sixth!J195="", "",Sixth!J195)</f>
        <v/>
      </c>
      <c r="K1442" s="86" t="str">
        <f>IF(Sixth!K195="", "",Sixth!K195)</f>
        <v/>
      </c>
      <c r="M1442" s="67" t="str">
        <f t="shared" si="68"/>
        <v/>
      </c>
      <c r="N1442" s="76" t="str">
        <f t="shared" si="69"/>
        <v/>
      </c>
      <c r="O1442" s="33">
        <f t="shared" si="67"/>
        <v>0</v>
      </c>
    </row>
    <row r="1443" spans="1:15" x14ac:dyDescent="0.25">
      <c r="A1443" s="64" t="s">
        <v>206</v>
      </c>
      <c r="B1443" s="79" t="str">
        <f>IF(Sixth!B196="", "",Sixth!B196)</f>
        <v/>
      </c>
      <c r="C1443" s="66" t="str">
        <f>IF(Sixth!C196="", "",Sixth!C196)</f>
        <v/>
      </c>
      <c r="D1443" s="66" t="str">
        <f>IF(Sixth!D196="", "",Sixth!D196)</f>
        <v/>
      </c>
      <c r="E1443" s="66" t="str">
        <f>IF(Sixth!E196="", "",Sixth!E196)</f>
        <v/>
      </c>
      <c r="F1443" s="66" t="str">
        <f>IF(Sixth!F196="", "",Sixth!F196)</f>
        <v/>
      </c>
      <c r="G1443" s="66" t="str">
        <f>IF(Sixth!G196="", "",Sixth!G196)</f>
        <v/>
      </c>
      <c r="H1443" s="66" t="str">
        <f>IF(Sixth!H196="", "",Sixth!H196)</f>
        <v/>
      </c>
      <c r="I1443" s="66" t="str">
        <f>IF(Sixth!I196="", "",Sixth!I196)</f>
        <v/>
      </c>
      <c r="J1443" s="66" t="str">
        <f>IF(Sixth!J196="", "",Sixth!J196)</f>
        <v/>
      </c>
      <c r="K1443" s="86" t="str">
        <f>IF(Sixth!K196="", "",Sixth!K196)</f>
        <v/>
      </c>
      <c r="M1443" s="67" t="str">
        <f t="shared" si="68"/>
        <v/>
      </c>
      <c r="N1443" s="76" t="str">
        <f t="shared" si="69"/>
        <v/>
      </c>
      <c r="O1443" s="33">
        <f t="shared" si="67"/>
        <v>0</v>
      </c>
    </row>
    <row r="1444" spans="1:15" x14ac:dyDescent="0.25">
      <c r="A1444" s="64" t="s">
        <v>206</v>
      </c>
      <c r="B1444" s="79" t="str">
        <f>IF(Sixth!B197="", "",Sixth!B197)</f>
        <v/>
      </c>
      <c r="C1444" s="66" t="str">
        <f>IF(Sixth!C197="", "",Sixth!C197)</f>
        <v/>
      </c>
      <c r="D1444" s="66" t="str">
        <f>IF(Sixth!D197="", "",Sixth!D197)</f>
        <v/>
      </c>
      <c r="E1444" s="66" t="str">
        <f>IF(Sixth!E197="", "",Sixth!E197)</f>
        <v/>
      </c>
      <c r="F1444" s="66" t="str">
        <f>IF(Sixth!F197="", "",Sixth!F197)</f>
        <v/>
      </c>
      <c r="G1444" s="66" t="str">
        <f>IF(Sixth!G197="", "",Sixth!G197)</f>
        <v/>
      </c>
      <c r="H1444" s="66" t="str">
        <f>IF(Sixth!H197="", "",Sixth!H197)</f>
        <v/>
      </c>
      <c r="I1444" s="66" t="str">
        <f>IF(Sixth!I197="", "",Sixth!I197)</f>
        <v/>
      </c>
      <c r="J1444" s="66" t="str">
        <f>IF(Sixth!J197="", "",Sixth!J197)</f>
        <v/>
      </c>
      <c r="K1444" s="86" t="str">
        <f>IF(Sixth!K197="", "",Sixth!K197)</f>
        <v/>
      </c>
      <c r="M1444" s="67" t="str">
        <f t="shared" si="68"/>
        <v/>
      </c>
      <c r="N1444" s="76" t="str">
        <f t="shared" si="69"/>
        <v/>
      </c>
      <c r="O1444" s="33">
        <f t="shared" si="67"/>
        <v>0</v>
      </c>
    </row>
    <row r="1445" spans="1:15" x14ac:dyDescent="0.25">
      <c r="A1445" s="64" t="s">
        <v>206</v>
      </c>
      <c r="B1445" s="79" t="str">
        <f>IF(Sixth!B198="", "",Sixth!B198)</f>
        <v/>
      </c>
      <c r="C1445" s="66" t="str">
        <f>IF(Sixth!C198="", "",Sixth!C198)</f>
        <v/>
      </c>
      <c r="D1445" s="66" t="str">
        <f>IF(Sixth!D198="", "",Sixth!D198)</f>
        <v/>
      </c>
      <c r="E1445" s="66" t="str">
        <f>IF(Sixth!E198="", "",Sixth!E198)</f>
        <v/>
      </c>
      <c r="F1445" s="66" t="str">
        <f>IF(Sixth!F198="", "",Sixth!F198)</f>
        <v/>
      </c>
      <c r="G1445" s="66" t="str">
        <f>IF(Sixth!G198="", "",Sixth!G198)</f>
        <v/>
      </c>
      <c r="H1445" s="66" t="str">
        <f>IF(Sixth!H198="", "",Sixth!H198)</f>
        <v/>
      </c>
      <c r="I1445" s="66" t="str">
        <f>IF(Sixth!I198="", "",Sixth!I198)</f>
        <v/>
      </c>
      <c r="J1445" s="66" t="str">
        <f>IF(Sixth!J198="", "",Sixth!J198)</f>
        <v/>
      </c>
      <c r="K1445" s="86" t="str">
        <f>IF(Sixth!K198="", "",Sixth!K198)</f>
        <v/>
      </c>
      <c r="M1445" s="67" t="str">
        <f t="shared" si="68"/>
        <v/>
      </c>
      <c r="N1445" s="76" t="str">
        <f t="shared" si="69"/>
        <v/>
      </c>
      <c r="O1445" s="33">
        <f t="shared" si="67"/>
        <v>0</v>
      </c>
    </row>
    <row r="1446" spans="1:15" x14ac:dyDescent="0.25">
      <c r="A1446" s="64" t="s">
        <v>206</v>
      </c>
      <c r="B1446" s="79" t="str">
        <f>IF(Sixth!B199="", "",Sixth!B199)</f>
        <v/>
      </c>
      <c r="C1446" s="66" t="str">
        <f>IF(Sixth!C199="", "",Sixth!C199)</f>
        <v/>
      </c>
      <c r="D1446" s="66" t="str">
        <f>IF(Sixth!D199="", "",Sixth!D199)</f>
        <v/>
      </c>
      <c r="E1446" s="66" t="str">
        <f>IF(Sixth!E199="", "",Sixth!E199)</f>
        <v/>
      </c>
      <c r="F1446" s="66" t="str">
        <f>IF(Sixth!F199="", "",Sixth!F199)</f>
        <v/>
      </c>
      <c r="G1446" s="66" t="str">
        <f>IF(Sixth!G199="", "",Sixth!G199)</f>
        <v/>
      </c>
      <c r="H1446" s="66" t="str">
        <f>IF(Sixth!H199="", "",Sixth!H199)</f>
        <v/>
      </c>
      <c r="I1446" s="66" t="str">
        <f>IF(Sixth!I199="", "",Sixth!I199)</f>
        <v/>
      </c>
      <c r="J1446" s="66" t="str">
        <f>IF(Sixth!J199="", "",Sixth!J199)</f>
        <v/>
      </c>
      <c r="K1446" s="86" t="str">
        <f>IF(Sixth!K199="", "",Sixth!K199)</f>
        <v/>
      </c>
      <c r="M1446" s="67" t="str">
        <f t="shared" si="68"/>
        <v/>
      </c>
      <c r="N1446" s="76" t="str">
        <f t="shared" si="69"/>
        <v/>
      </c>
      <c r="O1446" s="33">
        <f t="shared" si="67"/>
        <v>0</v>
      </c>
    </row>
    <row r="1447" spans="1:15" x14ac:dyDescent="0.25">
      <c r="A1447" s="64" t="s">
        <v>206</v>
      </c>
      <c r="B1447" s="79" t="str">
        <f>IF(Sixth!B200="", "",Sixth!B200)</f>
        <v/>
      </c>
      <c r="C1447" s="66" t="str">
        <f>IF(Sixth!C200="", "",Sixth!C200)</f>
        <v/>
      </c>
      <c r="D1447" s="66" t="str">
        <f>IF(Sixth!D200="", "",Sixth!D200)</f>
        <v/>
      </c>
      <c r="E1447" s="66" t="str">
        <f>IF(Sixth!E200="", "",Sixth!E200)</f>
        <v/>
      </c>
      <c r="F1447" s="66" t="str">
        <f>IF(Sixth!F200="", "",Sixth!F200)</f>
        <v/>
      </c>
      <c r="G1447" s="66" t="str">
        <f>IF(Sixth!G200="", "",Sixth!G200)</f>
        <v/>
      </c>
      <c r="H1447" s="66" t="str">
        <f>IF(Sixth!H200="", "",Sixth!H200)</f>
        <v/>
      </c>
      <c r="I1447" s="66" t="str">
        <f>IF(Sixth!I200="", "",Sixth!I200)</f>
        <v/>
      </c>
      <c r="J1447" s="66" t="str">
        <f>IF(Sixth!J200="", "",Sixth!J200)</f>
        <v/>
      </c>
      <c r="K1447" s="86" t="str">
        <f>IF(Sixth!K200="", "",Sixth!K200)</f>
        <v/>
      </c>
      <c r="M1447" s="67" t="str">
        <f t="shared" si="68"/>
        <v/>
      </c>
      <c r="N1447" s="76" t="str">
        <f t="shared" si="69"/>
        <v/>
      </c>
      <c r="O1447" s="33">
        <f t="shared" si="67"/>
        <v>0</v>
      </c>
    </row>
    <row r="1448" spans="1:15" x14ac:dyDescent="0.25">
      <c r="A1448" s="64" t="s">
        <v>206</v>
      </c>
      <c r="B1448" s="79" t="str">
        <f>IF(Sixth!B201="", "",Sixth!B201)</f>
        <v/>
      </c>
      <c r="C1448" s="66" t="str">
        <f>IF(Sixth!C201="", "",Sixth!C201)</f>
        <v/>
      </c>
      <c r="D1448" s="66" t="str">
        <f>IF(Sixth!D201="", "",Sixth!D201)</f>
        <v/>
      </c>
      <c r="E1448" s="66" t="str">
        <f>IF(Sixth!E201="", "",Sixth!E201)</f>
        <v/>
      </c>
      <c r="F1448" s="66" t="str">
        <f>IF(Sixth!F201="", "",Sixth!F201)</f>
        <v/>
      </c>
      <c r="G1448" s="66" t="str">
        <f>IF(Sixth!G201="", "",Sixth!G201)</f>
        <v/>
      </c>
      <c r="H1448" s="66" t="str">
        <f>IF(Sixth!H201="", "",Sixth!H201)</f>
        <v/>
      </c>
      <c r="I1448" s="66" t="str">
        <f>IF(Sixth!I201="", "",Sixth!I201)</f>
        <v/>
      </c>
      <c r="J1448" s="66" t="str">
        <f>IF(Sixth!J201="", "",Sixth!J201)</f>
        <v/>
      </c>
      <c r="K1448" s="86" t="str">
        <f>IF(Sixth!K201="", "",Sixth!K201)</f>
        <v/>
      </c>
      <c r="M1448" s="67" t="str">
        <f t="shared" si="68"/>
        <v/>
      </c>
      <c r="N1448" s="76" t="str">
        <f t="shared" si="69"/>
        <v/>
      </c>
      <c r="O1448" s="33">
        <f t="shared" si="67"/>
        <v>0</v>
      </c>
    </row>
    <row r="1449" spans="1:15" x14ac:dyDescent="0.25">
      <c r="A1449" s="64" t="s">
        <v>206</v>
      </c>
      <c r="B1449" s="79" t="str">
        <f>IF(Sixth!B202="", "",Sixth!B202)</f>
        <v/>
      </c>
      <c r="C1449" s="66" t="str">
        <f>IF(Sixth!C202="", "",Sixth!C202)</f>
        <v/>
      </c>
      <c r="D1449" s="66" t="str">
        <f>IF(Sixth!D202="", "",Sixth!D202)</f>
        <v/>
      </c>
      <c r="E1449" s="66" t="str">
        <f>IF(Sixth!E202="", "",Sixth!E202)</f>
        <v/>
      </c>
      <c r="F1449" s="66" t="str">
        <f>IF(Sixth!F202="", "",Sixth!F202)</f>
        <v/>
      </c>
      <c r="G1449" s="66" t="str">
        <f>IF(Sixth!G202="", "",Sixth!G202)</f>
        <v/>
      </c>
      <c r="H1449" s="66" t="str">
        <f>IF(Sixth!H202="", "",Sixth!H202)</f>
        <v/>
      </c>
      <c r="I1449" s="66" t="str">
        <f>IF(Sixth!I202="", "",Sixth!I202)</f>
        <v/>
      </c>
      <c r="J1449" s="66" t="str">
        <f>IF(Sixth!J202="", "",Sixth!J202)</f>
        <v/>
      </c>
      <c r="K1449" s="86" t="str">
        <f>IF(Sixth!K202="", "",Sixth!K202)</f>
        <v/>
      </c>
      <c r="M1449" s="67" t="str">
        <f t="shared" si="68"/>
        <v/>
      </c>
      <c r="N1449" s="76" t="str">
        <f t="shared" si="69"/>
        <v/>
      </c>
      <c r="O1449" s="33">
        <f t="shared" si="67"/>
        <v>0</v>
      </c>
    </row>
    <row r="1450" spans="1:15" x14ac:dyDescent="0.25">
      <c r="A1450" s="64" t="s">
        <v>206</v>
      </c>
      <c r="B1450" s="79" t="str">
        <f>IF(Sixth!B203="", "",Sixth!B203)</f>
        <v/>
      </c>
      <c r="C1450" s="66" t="str">
        <f>IF(Sixth!C203="", "",Sixth!C203)</f>
        <v/>
      </c>
      <c r="D1450" s="66" t="str">
        <f>IF(Sixth!D203="", "",Sixth!D203)</f>
        <v/>
      </c>
      <c r="E1450" s="66" t="str">
        <f>IF(Sixth!E203="", "",Sixth!E203)</f>
        <v/>
      </c>
      <c r="F1450" s="66" t="str">
        <f>IF(Sixth!F203="", "",Sixth!F203)</f>
        <v/>
      </c>
      <c r="G1450" s="66" t="str">
        <f>IF(Sixth!G203="", "",Sixth!G203)</f>
        <v/>
      </c>
      <c r="H1450" s="66" t="str">
        <f>IF(Sixth!H203="", "",Sixth!H203)</f>
        <v/>
      </c>
      <c r="I1450" s="66" t="str">
        <f>IF(Sixth!I203="", "",Sixth!I203)</f>
        <v/>
      </c>
      <c r="J1450" s="66" t="str">
        <f>IF(Sixth!J203="", "",Sixth!J203)</f>
        <v/>
      </c>
      <c r="K1450" s="86" t="str">
        <f>IF(Sixth!K203="", "",Sixth!K203)</f>
        <v/>
      </c>
      <c r="M1450" s="67" t="str">
        <f t="shared" si="68"/>
        <v/>
      </c>
      <c r="N1450" s="76" t="str">
        <f t="shared" si="69"/>
        <v/>
      </c>
      <c r="O1450" s="33">
        <f t="shared" si="67"/>
        <v>0</v>
      </c>
    </row>
    <row r="1451" spans="1:15" x14ac:dyDescent="0.25">
      <c r="A1451" s="64" t="s">
        <v>206</v>
      </c>
      <c r="B1451" s="79" t="str">
        <f>IF(Sixth!B204="", "",Sixth!B204)</f>
        <v/>
      </c>
      <c r="C1451" s="66" t="str">
        <f>IF(Sixth!C204="", "",Sixth!C204)</f>
        <v/>
      </c>
      <c r="D1451" s="66" t="str">
        <f>IF(Sixth!D204="", "",Sixth!D204)</f>
        <v/>
      </c>
      <c r="E1451" s="66" t="str">
        <f>IF(Sixth!E204="", "",Sixth!E204)</f>
        <v/>
      </c>
      <c r="F1451" s="66" t="str">
        <f>IF(Sixth!F204="", "",Sixth!F204)</f>
        <v/>
      </c>
      <c r="G1451" s="66" t="str">
        <f>IF(Sixth!G204="", "",Sixth!G204)</f>
        <v/>
      </c>
      <c r="H1451" s="66" t="str">
        <f>IF(Sixth!H204="", "",Sixth!H204)</f>
        <v/>
      </c>
      <c r="I1451" s="66" t="str">
        <f>IF(Sixth!I204="", "",Sixth!I204)</f>
        <v/>
      </c>
      <c r="J1451" s="66" t="str">
        <f>IF(Sixth!J204="", "",Sixth!J204)</f>
        <v/>
      </c>
      <c r="K1451" s="86" t="str">
        <f>IF(Sixth!K204="", "",Sixth!K204)</f>
        <v/>
      </c>
      <c r="M1451" s="67" t="str">
        <f t="shared" si="68"/>
        <v/>
      </c>
      <c r="N1451" s="76" t="str">
        <f t="shared" si="69"/>
        <v/>
      </c>
      <c r="O1451" s="33">
        <f t="shared" si="67"/>
        <v>0</v>
      </c>
    </row>
    <row r="1452" spans="1:15" x14ac:dyDescent="0.25">
      <c r="A1452" s="64" t="s">
        <v>206</v>
      </c>
      <c r="B1452" s="79" t="str">
        <f>IF(Sixth!B205="", "",Sixth!B205)</f>
        <v/>
      </c>
      <c r="C1452" s="66" t="str">
        <f>IF(Sixth!C205="", "",Sixth!C205)</f>
        <v/>
      </c>
      <c r="D1452" s="66" t="str">
        <f>IF(Sixth!D205="", "",Sixth!D205)</f>
        <v/>
      </c>
      <c r="E1452" s="66" t="str">
        <f>IF(Sixth!E205="", "",Sixth!E205)</f>
        <v/>
      </c>
      <c r="F1452" s="66" t="str">
        <f>IF(Sixth!F205="", "",Sixth!F205)</f>
        <v/>
      </c>
      <c r="G1452" s="66" t="str">
        <f>IF(Sixth!G205="", "",Sixth!G205)</f>
        <v/>
      </c>
      <c r="H1452" s="66" t="str">
        <f>IF(Sixth!H205="", "",Sixth!H205)</f>
        <v/>
      </c>
      <c r="I1452" s="66" t="str">
        <f>IF(Sixth!I205="", "",Sixth!I205)</f>
        <v/>
      </c>
      <c r="J1452" s="66" t="str">
        <f>IF(Sixth!J205="", "",Sixth!J205)</f>
        <v/>
      </c>
      <c r="K1452" s="86" t="str">
        <f>IF(Sixth!K205="", "",Sixth!K205)</f>
        <v/>
      </c>
      <c r="M1452" s="67" t="str">
        <f t="shared" si="68"/>
        <v/>
      </c>
      <c r="N1452" s="76" t="str">
        <f t="shared" si="69"/>
        <v/>
      </c>
      <c r="O1452" s="33">
        <f t="shared" si="67"/>
        <v>0</v>
      </c>
    </row>
    <row r="1453" spans="1:15" x14ac:dyDescent="0.25">
      <c r="A1453" s="64" t="s">
        <v>206</v>
      </c>
      <c r="B1453" s="79" t="str">
        <f>IF(Sixth!B206="", "",Sixth!B206)</f>
        <v/>
      </c>
      <c r="C1453" s="66" t="str">
        <f>IF(Sixth!C206="", "",Sixth!C206)</f>
        <v/>
      </c>
      <c r="D1453" s="66" t="str">
        <f>IF(Sixth!D206="", "",Sixth!D206)</f>
        <v/>
      </c>
      <c r="E1453" s="66" t="str">
        <f>IF(Sixth!E206="", "",Sixth!E206)</f>
        <v/>
      </c>
      <c r="F1453" s="66" t="str">
        <f>IF(Sixth!F206="", "",Sixth!F206)</f>
        <v/>
      </c>
      <c r="G1453" s="66" t="str">
        <f>IF(Sixth!G206="", "",Sixth!G206)</f>
        <v/>
      </c>
      <c r="H1453" s="66" t="str">
        <f>IF(Sixth!H206="", "",Sixth!H206)</f>
        <v/>
      </c>
      <c r="I1453" s="66" t="str">
        <f>IF(Sixth!I206="", "",Sixth!I206)</f>
        <v/>
      </c>
      <c r="J1453" s="66" t="str">
        <f>IF(Sixth!J206="", "",Sixth!J206)</f>
        <v/>
      </c>
      <c r="K1453" s="86" t="str">
        <f>IF(Sixth!K206="", "",Sixth!K206)</f>
        <v/>
      </c>
      <c r="M1453" s="67" t="str">
        <f t="shared" si="68"/>
        <v/>
      </c>
      <c r="N1453" s="76" t="str">
        <f t="shared" si="69"/>
        <v/>
      </c>
      <c r="O1453" s="33">
        <f t="shared" si="67"/>
        <v>0</v>
      </c>
    </row>
    <row r="1454" spans="1:15" x14ac:dyDescent="0.25">
      <c r="A1454" s="64" t="s">
        <v>206</v>
      </c>
      <c r="B1454" s="79" t="str">
        <f>IF(Sixth!B207="", "",Sixth!B207)</f>
        <v/>
      </c>
      <c r="C1454" s="66" t="str">
        <f>IF(Sixth!C207="", "",Sixth!C207)</f>
        <v/>
      </c>
      <c r="D1454" s="66" t="str">
        <f>IF(Sixth!D207="", "",Sixth!D207)</f>
        <v/>
      </c>
      <c r="E1454" s="66" t="str">
        <f>IF(Sixth!E207="", "",Sixth!E207)</f>
        <v/>
      </c>
      <c r="F1454" s="66" t="str">
        <f>IF(Sixth!F207="", "",Sixth!F207)</f>
        <v/>
      </c>
      <c r="G1454" s="66" t="str">
        <f>IF(Sixth!G207="", "",Sixth!G207)</f>
        <v/>
      </c>
      <c r="H1454" s="66" t="str">
        <f>IF(Sixth!H207="", "",Sixth!H207)</f>
        <v/>
      </c>
      <c r="I1454" s="66" t="str">
        <f>IF(Sixth!I207="", "",Sixth!I207)</f>
        <v/>
      </c>
      <c r="J1454" s="66" t="str">
        <f>IF(Sixth!J207="", "",Sixth!J207)</f>
        <v/>
      </c>
      <c r="K1454" s="86" t="str">
        <f>IF(Sixth!K207="", "",Sixth!K207)</f>
        <v/>
      </c>
      <c r="M1454" s="67" t="str">
        <f t="shared" si="68"/>
        <v/>
      </c>
      <c r="N1454" s="76" t="str">
        <f t="shared" si="69"/>
        <v/>
      </c>
      <c r="O1454" s="33">
        <f t="shared" si="67"/>
        <v>0</v>
      </c>
    </row>
    <row r="1455" spans="1:15" x14ac:dyDescent="0.25">
      <c r="A1455" s="64" t="s">
        <v>206</v>
      </c>
      <c r="B1455" s="79" t="str">
        <f>IF(Sixth!B208="", "",Sixth!B208)</f>
        <v/>
      </c>
      <c r="C1455" s="66" t="str">
        <f>IF(Sixth!C208="", "",Sixth!C208)</f>
        <v/>
      </c>
      <c r="D1455" s="66" t="str">
        <f>IF(Sixth!D208="", "",Sixth!D208)</f>
        <v/>
      </c>
      <c r="E1455" s="66" t="str">
        <f>IF(Sixth!E208="", "",Sixth!E208)</f>
        <v/>
      </c>
      <c r="F1455" s="66" t="str">
        <f>IF(Sixth!F208="", "",Sixth!F208)</f>
        <v/>
      </c>
      <c r="G1455" s="66" t="str">
        <f>IF(Sixth!G208="", "",Sixth!G208)</f>
        <v/>
      </c>
      <c r="H1455" s="66" t="str">
        <f>IF(Sixth!H208="", "",Sixth!H208)</f>
        <v/>
      </c>
      <c r="I1455" s="66" t="str">
        <f>IF(Sixth!I208="", "",Sixth!I208)</f>
        <v/>
      </c>
      <c r="J1455" s="66" t="str">
        <f>IF(Sixth!J208="", "",Sixth!J208)</f>
        <v/>
      </c>
      <c r="K1455" s="86" t="str">
        <f>IF(Sixth!K208="", "",Sixth!K208)</f>
        <v/>
      </c>
      <c r="M1455" s="67" t="str">
        <f t="shared" si="68"/>
        <v/>
      </c>
      <c r="N1455" s="76" t="str">
        <f t="shared" si="69"/>
        <v/>
      </c>
      <c r="O1455" s="33">
        <f t="shared" si="67"/>
        <v>0</v>
      </c>
    </row>
    <row r="1456" spans="1:15" x14ac:dyDescent="0.25">
      <c r="A1456" s="64" t="s">
        <v>206</v>
      </c>
      <c r="B1456" s="79" t="str">
        <f>IF(Sixth!B209="", "",Sixth!B209)</f>
        <v/>
      </c>
      <c r="C1456" s="66" t="str">
        <f>IF(Sixth!C209="", "",Sixth!C209)</f>
        <v/>
      </c>
      <c r="D1456" s="66" t="str">
        <f>IF(Sixth!D209="", "",Sixth!D209)</f>
        <v/>
      </c>
      <c r="E1456" s="66" t="str">
        <f>IF(Sixth!E209="", "",Sixth!E209)</f>
        <v/>
      </c>
      <c r="F1456" s="66" t="str">
        <f>IF(Sixth!F209="", "",Sixth!F209)</f>
        <v/>
      </c>
      <c r="G1456" s="66" t="str">
        <f>IF(Sixth!G209="", "",Sixth!G209)</f>
        <v/>
      </c>
      <c r="H1456" s="66" t="str">
        <f>IF(Sixth!H209="", "",Sixth!H209)</f>
        <v/>
      </c>
      <c r="I1456" s="66" t="str">
        <f>IF(Sixth!I209="", "",Sixth!I209)</f>
        <v/>
      </c>
      <c r="J1456" s="66" t="str">
        <f>IF(Sixth!J209="", "",Sixth!J209)</f>
        <v/>
      </c>
      <c r="K1456" s="86" t="str">
        <f>IF(Sixth!K209="", "",Sixth!K209)</f>
        <v/>
      </c>
      <c r="M1456" s="67" t="str">
        <f t="shared" si="68"/>
        <v/>
      </c>
      <c r="N1456" s="76" t="str">
        <f t="shared" si="69"/>
        <v/>
      </c>
      <c r="O1456" s="33">
        <f t="shared" si="67"/>
        <v>0</v>
      </c>
    </row>
    <row r="1457" spans="1:15" x14ac:dyDescent="0.25">
      <c r="A1457" s="64" t="s">
        <v>206</v>
      </c>
      <c r="B1457" s="79" t="str">
        <f>IF(Sixth!B210="", "",Sixth!B210)</f>
        <v/>
      </c>
      <c r="C1457" s="66" t="str">
        <f>IF(Sixth!C210="", "",Sixth!C210)</f>
        <v/>
      </c>
      <c r="D1457" s="66" t="str">
        <f>IF(Sixth!D210="", "",Sixth!D210)</f>
        <v/>
      </c>
      <c r="E1457" s="66" t="str">
        <f>IF(Sixth!E210="", "",Sixth!E210)</f>
        <v/>
      </c>
      <c r="F1457" s="66" t="str">
        <f>IF(Sixth!F210="", "",Sixth!F210)</f>
        <v/>
      </c>
      <c r="G1457" s="66" t="str">
        <f>IF(Sixth!G210="", "",Sixth!G210)</f>
        <v/>
      </c>
      <c r="H1457" s="66" t="str">
        <f>IF(Sixth!H210="", "",Sixth!H210)</f>
        <v/>
      </c>
      <c r="I1457" s="66" t="str">
        <f>IF(Sixth!I210="", "",Sixth!I210)</f>
        <v/>
      </c>
      <c r="J1457" s="66" t="str">
        <f>IF(Sixth!J210="", "",Sixth!J210)</f>
        <v/>
      </c>
      <c r="K1457" s="86" t="str">
        <f>IF(Sixth!K210="", "",Sixth!K210)</f>
        <v/>
      </c>
      <c r="M1457" s="67" t="str">
        <f t="shared" si="68"/>
        <v/>
      </c>
      <c r="N1457" s="76" t="str">
        <f t="shared" si="69"/>
        <v/>
      </c>
      <c r="O1457" s="33">
        <f t="shared" si="67"/>
        <v>0</v>
      </c>
    </row>
    <row r="1458" spans="1:15" x14ac:dyDescent="0.25">
      <c r="A1458" s="64" t="s">
        <v>206</v>
      </c>
      <c r="B1458" s="79" t="str">
        <f>IF(Sixth!B211="", "",Sixth!B211)</f>
        <v/>
      </c>
      <c r="C1458" s="66" t="str">
        <f>IF(Sixth!C211="", "",Sixth!C211)</f>
        <v/>
      </c>
      <c r="D1458" s="66" t="str">
        <f>IF(Sixth!D211="", "",Sixth!D211)</f>
        <v/>
      </c>
      <c r="E1458" s="66" t="str">
        <f>IF(Sixth!E211="", "",Sixth!E211)</f>
        <v/>
      </c>
      <c r="F1458" s="66" t="str">
        <f>IF(Sixth!F211="", "",Sixth!F211)</f>
        <v/>
      </c>
      <c r="G1458" s="66" t="str">
        <f>IF(Sixth!G211="", "",Sixth!G211)</f>
        <v/>
      </c>
      <c r="H1458" s="66" t="str">
        <f>IF(Sixth!H211="", "",Sixth!H211)</f>
        <v/>
      </c>
      <c r="I1458" s="66" t="str">
        <f>IF(Sixth!I211="", "",Sixth!I211)</f>
        <v/>
      </c>
      <c r="J1458" s="66" t="str">
        <f>IF(Sixth!J211="", "",Sixth!J211)</f>
        <v/>
      </c>
      <c r="K1458" s="86" t="str">
        <f>IF(Sixth!K211="", "",Sixth!K211)</f>
        <v/>
      </c>
      <c r="M1458" s="67" t="str">
        <f t="shared" si="68"/>
        <v/>
      </c>
      <c r="N1458" s="76" t="str">
        <f t="shared" si="69"/>
        <v/>
      </c>
      <c r="O1458" s="33">
        <f t="shared" si="67"/>
        <v>0</v>
      </c>
    </row>
    <row r="1459" spans="1:15" x14ac:dyDescent="0.25">
      <c r="A1459" s="64" t="s">
        <v>206</v>
      </c>
      <c r="B1459" s="79" t="str">
        <f>IF(Sixth!B212="", "",Sixth!B212)</f>
        <v/>
      </c>
      <c r="C1459" s="66" t="str">
        <f>IF(Sixth!C212="", "",Sixth!C212)</f>
        <v/>
      </c>
      <c r="D1459" s="66" t="str">
        <f>IF(Sixth!D212="", "",Sixth!D212)</f>
        <v/>
      </c>
      <c r="E1459" s="66" t="str">
        <f>IF(Sixth!E212="", "",Sixth!E212)</f>
        <v/>
      </c>
      <c r="F1459" s="66" t="str">
        <f>IF(Sixth!F212="", "",Sixth!F212)</f>
        <v/>
      </c>
      <c r="G1459" s="66" t="str">
        <f>IF(Sixth!G212="", "",Sixth!G212)</f>
        <v/>
      </c>
      <c r="H1459" s="66" t="str">
        <f>IF(Sixth!H212="", "",Sixth!H212)</f>
        <v/>
      </c>
      <c r="I1459" s="66" t="str">
        <f>IF(Sixth!I212="", "",Sixth!I212)</f>
        <v/>
      </c>
      <c r="J1459" s="66" t="str">
        <f>IF(Sixth!J212="", "",Sixth!J212)</f>
        <v/>
      </c>
      <c r="K1459" s="86" t="str">
        <f>IF(Sixth!K212="", "",Sixth!K212)</f>
        <v/>
      </c>
      <c r="M1459" s="67" t="str">
        <f t="shared" si="68"/>
        <v/>
      </c>
      <c r="N1459" s="76" t="str">
        <f t="shared" si="69"/>
        <v/>
      </c>
      <c r="O1459" s="33">
        <f t="shared" si="67"/>
        <v>0</v>
      </c>
    </row>
    <row r="1460" spans="1:15" x14ac:dyDescent="0.25">
      <c r="A1460" s="64" t="s">
        <v>206</v>
      </c>
      <c r="B1460" s="79" t="str">
        <f>IF(Sixth!B213="", "",Sixth!B213)</f>
        <v/>
      </c>
      <c r="C1460" s="66" t="str">
        <f>IF(Sixth!C213="", "",Sixth!C213)</f>
        <v/>
      </c>
      <c r="D1460" s="66" t="str">
        <f>IF(Sixth!D213="", "",Sixth!D213)</f>
        <v/>
      </c>
      <c r="E1460" s="66" t="str">
        <f>IF(Sixth!E213="", "",Sixth!E213)</f>
        <v/>
      </c>
      <c r="F1460" s="66" t="str">
        <f>IF(Sixth!F213="", "",Sixth!F213)</f>
        <v/>
      </c>
      <c r="G1460" s="66" t="str">
        <f>IF(Sixth!G213="", "",Sixth!G213)</f>
        <v/>
      </c>
      <c r="H1460" s="66" t="str">
        <f>IF(Sixth!H213="", "",Sixth!H213)</f>
        <v/>
      </c>
      <c r="I1460" s="66" t="str">
        <f>IF(Sixth!I213="", "",Sixth!I213)</f>
        <v/>
      </c>
      <c r="J1460" s="66" t="str">
        <f>IF(Sixth!J213="", "",Sixth!J213)</f>
        <v/>
      </c>
      <c r="K1460" s="86" t="str">
        <f>IF(Sixth!K213="", "",Sixth!K213)</f>
        <v/>
      </c>
      <c r="M1460" s="67" t="str">
        <f t="shared" si="68"/>
        <v/>
      </c>
      <c r="N1460" s="76" t="str">
        <f t="shared" si="69"/>
        <v/>
      </c>
      <c r="O1460" s="33">
        <f t="shared" si="67"/>
        <v>0</v>
      </c>
    </row>
    <row r="1461" spans="1:15" x14ac:dyDescent="0.25">
      <c r="A1461" s="64" t="s">
        <v>206</v>
      </c>
      <c r="B1461" s="79" t="str">
        <f>IF(Sixth!B214="", "",Sixth!B214)</f>
        <v/>
      </c>
      <c r="C1461" s="66" t="str">
        <f>IF(Sixth!C214="", "",Sixth!C214)</f>
        <v/>
      </c>
      <c r="D1461" s="66" t="str">
        <f>IF(Sixth!D214="", "",Sixth!D214)</f>
        <v/>
      </c>
      <c r="E1461" s="66" t="str">
        <f>IF(Sixth!E214="", "",Sixth!E214)</f>
        <v/>
      </c>
      <c r="F1461" s="66" t="str">
        <f>IF(Sixth!F214="", "",Sixth!F214)</f>
        <v/>
      </c>
      <c r="G1461" s="66" t="str">
        <f>IF(Sixth!G214="", "",Sixth!G214)</f>
        <v/>
      </c>
      <c r="H1461" s="66" t="str">
        <f>IF(Sixth!H214="", "",Sixth!H214)</f>
        <v/>
      </c>
      <c r="I1461" s="66" t="str">
        <f>IF(Sixth!I214="", "",Sixth!I214)</f>
        <v/>
      </c>
      <c r="J1461" s="66" t="str">
        <f>IF(Sixth!J214="", "",Sixth!J214)</f>
        <v/>
      </c>
      <c r="K1461" s="86" t="str">
        <f>IF(Sixth!K214="", "",Sixth!K214)</f>
        <v/>
      </c>
      <c r="M1461" s="67" t="str">
        <f t="shared" si="68"/>
        <v/>
      </c>
      <c r="N1461" s="76" t="str">
        <f t="shared" si="69"/>
        <v/>
      </c>
      <c r="O1461" s="33">
        <f t="shared" si="67"/>
        <v>0</v>
      </c>
    </row>
    <row r="1462" spans="1:15" x14ac:dyDescent="0.25">
      <c r="A1462" s="64" t="s">
        <v>206</v>
      </c>
      <c r="B1462" s="79" t="str">
        <f>IF(Sixth!B215="", "",Sixth!B215)</f>
        <v/>
      </c>
      <c r="C1462" s="66" t="str">
        <f>IF(Sixth!C215="", "",Sixth!C215)</f>
        <v/>
      </c>
      <c r="D1462" s="66" t="str">
        <f>IF(Sixth!D215="", "",Sixth!D215)</f>
        <v/>
      </c>
      <c r="E1462" s="66" t="str">
        <f>IF(Sixth!E215="", "",Sixth!E215)</f>
        <v/>
      </c>
      <c r="F1462" s="66" t="str">
        <f>IF(Sixth!F215="", "",Sixth!F215)</f>
        <v/>
      </c>
      <c r="G1462" s="66" t="str">
        <f>IF(Sixth!G215="", "",Sixth!G215)</f>
        <v/>
      </c>
      <c r="H1462" s="66" t="str">
        <f>IF(Sixth!H215="", "",Sixth!H215)</f>
        <v/>
      </c>
      <c r="I1462" s="66" t="str">
        <f>IF(Sixth!I215="", "",Sixth!I215)</f>
        <v/>
      </c>
      <c r="J1462" s="66" t="str">
        <f>IF(Sixth!J215="", "",Sixth!J215)</f>
        <v/>
      </c>
      <c r="K1462" s="86" t="str">
        <f>IF(Sixth!K215="", "",Sixth!K215)</f>
        <v/>
      </c>
      <c r="M1462" s="67" t="str">
        <f t="shared" si="68"/>
        <v/>
      </c>
      <c r="N1462" s="76" t="str">
        <f t="shared" si="69"/>
        <v/>
      </c>
      <c r="O1462" s="33">
        <f t="shared" si="67"/>
        <v>0</v>
      </c>
    </row>
    <row r="1463" spans="1:15" x14ac:dyDescent="0.25">
      <c r="A1463" s="64" t="s">
        <v>206</v>
      </c>
      <c r="B1463" s="79" t="str">
        <f>IF(Sixth!B216="", "",Sixth!B216)</f>
        <v/>
      </c>
      <c r="C1463" s="66" t="str">
        <f>IF(Sixth!C216="", "",Sixth!C216)</f>
        <v/>
      </c>
      <c r="D1463" s="66" t="str">
        <f>IF(Sixth!D216="", "",Sixth!D216)</f>
        <v/>
      </c>
      <c r="E1463" s="66" t="str">
        <f>IF(Sixth!E216="", "",Sixth!E216)</f>
        <v/>
      </c>
      <c r="F1463" s="66" t="str">
        <f>IF(Sixth!F216="", "",Sixth!F216)</f>
        <v/>
      </c>
      <c r="G1463" s="66" t="str">
        <f>IF(Sixth!G216="", "",Sixth!G216)</f>
        <v/>
      </c>
      <c r="H1463" s="66" t="str">
        <f>IF(Sixth!H216="", "",Sixth!H216)</f>
        <v/>
      </c>
      <c r="I1463" s="66" t="str">
        <f>IF(Sixth!I216="", "",Sixth!I216)</f>
        <v/>
      </c>
      <c r="J1463" s="66" t="str">
        <f>IF(Sixth!J216="", "",Sixth!J216)</f>
        <v/>
      </c>
      <c r="K1463" s="86" t="str">
        <f>IF(Sixth!K216="", "",Sixth!K216)</f>
        <v/>
      </c>
      <c r="M1463" s="67" t="str">
        <f t="shared" si="68"/>
        <v/>
      </c>
      <c r="N1463" s="76" t="str">
        <f t="shared" si="69"/>
        <v/>
      </c>
      <c r="O1463" s="33">
        <f t="shared" si="67"/>
        <v>0</v>
      </c>
    </row>
    <row r="1464" spans="1:15" x14ac:dyDescent="0.25">
      <c r="A1464" s="64" t="s">
        <v>206</v>
      </c>
      <c r="B1464" s="79" t="str">
        <f>IF(Sixth!B217="", "",Sixth!B217)</f>
        <v/>
      </c>
      <c r="C1464" s="66" t="str">
        <f>IF(Sixth!C217="", "",Sixth!C217)</f>
        <v/>
      </c>
      <c r="D1464" s="66" t="str">
        <f>IF(Sixth!D217="", "",Sixth!D217)</f>
        <v/>
      </c>
      <c r="E1464" s="66" t="str">
        <f>IF(Sixth!E217="", "",Sixth!E217)</f>
        <v/>
      </c>
      <c r="F1464" s="66" t="str">
        <f>IF(Sixth!F217="", "",Sixth!F217)</f>
        <v/>
      </c>
      <c r="G1464" s="66" t="str">
        <f>IF(Sixth!G217="", "",Sixth!G217)</f>
        <v/>
      </c>
      <c r="H1464" s="66" t="str">
        <f>IF(Sixth!H217="", "",Sixth!H217)</f>
        <v/>
      </c>
      <c r="I1464" s="66" t="str">
        <f>IF(Sixth!I217="", "",Sixth!I217)</f>
        <v/>
      </c>
      <c r="J1464" s="66" t="str">
        <f>IF(Sixth!J217="", "",Sixth!J217)</f>
        <v/>
      </c>
      <c r="K1464" s="86" t="str">
        <f>IF(Sixth!K217="", "",Sixth!K217)</f>
        <v/>
      </c>
      <c r="M1464" s="67" t="str">
        <f t="shared" si="68"/>
        <v/>
      </c>
      <c r="N1464" s="76" t="str">
        <f t="shared" si="69"/>
        <v/>
      </c>
      <c r="O1464" s="33">
        <f t="shared" si="67"/>
        <v>0</v>
      </c>
    </row>
    <row r="1465" spans="1:15" x14ac:dyDescent="0.25">
      <c r="A1465" s="64" t="s">
        <v>206</v>
      </c>
      <c r="B1465" s="79" t="str">
        <f>IF(Sixth!B218="", "",Sixth!B218)</f>
        <v/>
      </c>
      <c r="C1465" s="66" t="str">
        <f>IF(Sixth!C218="", "",Sixth!C218)</f>
        <v/>
      </c>
      <c r="D1465" s="66" t="str">
        <f>IF(Sixth!D218="", "",Sixth!D218)</f>
        <v/>
      </c>
      <c r="E1465" s="66" t="str">
        <f>IF(Sixth!E218="", "",Sixth!E218)</f>
        <v/>
      </c>
      <c r="F1465" s="66" t="str">
        <f>IF(Sixth!F218="", "",Sixth!F218)</f>
        <v/>
      </c>
      <c r="G1465" s="66" t="str">
        <f>IF(Sixth!G218="", "",Sixth!G218)</f>
        <v/>
      </c>
      <c r="H1465" s="66" t="str">
        <f>IF(Sixth!H218="", "",Sixth!H218)</f>
        <v/>
      </c>
      <c r="I1465" s="66" t="str">
        <f>IF(Sixth!I218="", "",Sixth!I218)</f>
        <v/>
      </c>
      <c r="J1465" s="66" t="str">
        <f>IF(Sixth!J218="", "",Sixth!J218)</f>
        <v/>
      </c>
      <c r="K1465" s="86" t="str">
        <f>IF(Sixth!K218="", "",Sixth!K218)</f>
        <v/>
      </c>
      <c r="M1465" s="67" t="str">
        <f t="shared" si="68"/>
        <v/>
      </c>
      <c r="N1465" s="76" t="str">
        <f t="shared" si="69"/>
        <v/>
      </c>
      <c r="O1465" s="33">
        <f t="shared" si="67"/>
        <v>0</v>
      </c>
    </row>
    <row r="1466" spans="1:15" x14ac:dyDescent="0.25">
      <c r="A1466" s="64" t="s">
        <v>206</v>
      </c>
      <c r="B1466" s="79" t="str">
        <f>IF(Sixth!B219="", "",Sixth!B219)</f>
        <v/>
      </c>
      <c r="C1466" s="66" t="str">
        <f>IF(Sixth!C219="", "",Sixth!C219)</f>
        <v/>
      </c>
      <c r="D1466" s="66" t="str">
        <f>IF(Sixth!D219="", "",Sixth!D219)</f>
        <v/>
      </c>
      <c r="E1466" s="66" t="str">
        <f>IF(Sixth!E219="", "",Sixth!E219)</f>
        <v/>
      </c>
      <c r="F1466" s="66" t="str">
        <f>IF(Sixth!F219="", "",Sixth!F219)</f>
        <v/>
      </c>
      <c r="G1466" s="66" t="str">
        <f>IF(Sixth!G219="", "",Sixth!G219)</f>
        <v/>
      </c>
      <c r="H1466" s="66" t="str">
        <f>IF(Sixth!H219="", "",Sixth!H219)</f>
        <v/>
      </c>
      <c r="I1466" s="66" t="str">
        <f>IF(Sixth!I219="", "",Sixth!I219)</f>
        <v/>
      </c>
      <c r="J1466" s="66" t="str">
        <f>IF(Sixth!J219="", "",Sixth!J219)</f>
        <v/>
      </c>
      <c r="K1466" s="86" t="str">
        <f>IF(Sixth!K219="", "",Sixth!K219)</f>
        <v/>
      </c>
      <c r="M1466" s="67" t="str">
        <f t="shared" si="68"/>
        <v/>
      </c>
      <c r="N1466" s="76" t="str">
        <f t="shared" si="69"/>
        <v/>
      </c>
      <c r="O1466" s="33">
        <f t="shared" si="67"/>
        <v>0</v>
      </c>
    </row>
    <row r="1467" spans="1:15" x14ac:dyDescent="0.25">
      <c r="A1467" s="64" t="s">
        <v>206</v>
      </c>
      <c r="B1467" s="79" t="str">
        <f>IF(Sixth!B220="", "",Sixth!B220)</f>
        <v/>
      </c>
      <c r="C1467" s="66" t="str">
        <f>IF(Sixth!C220="", "",Sixth!C220)</f>
        <v/>
      </c>
      <c r="D1467" s="66" t="str">
        <f>IF(Sixth!D220="", "",Sixth!D220)</f>
        <v/>
      </c>
      <c r="E1467" s="66" t="str">
        <f>IF(Sixth!E220="", "",Sixth!E220)</f>
        <v/>
      </c>
      <c r="F1467" s="66" t="str">
        <f>IF(Sixth!F220="", "",Sixth!F220)</f>
        <v/>
      </c>
      <c r="G1467" s="66" t="str">
        <f>IF(Sixth!G220="", "",Sixth!G220)</f>
        <v/>
      </c>
      <c r="H1467" s="66" t="str">
        <f>IF(Sixth!H220="", "",Sixth!H220)</f>
        <v/>
      </c>
      <c r="I1467" s="66" t="str">
        <f>IF(Sixth!I220="", "",Sixth!I220)</f>
        <v/>
      </c>
      <c r="J1467" s="66" t="str">
        <f>IF(Sixth!J220="", "",Sixth!J220)</f>
        <v/>
      </c>
      <c r="K1467" s="86" t="str">
        <f>IF(Sixth!K220="", "",Sixth!K220)</f>
        <v/>
      </c>
      <c r="M1467" s="67" t="str">
        <f t="shared" si="68"/>
        <v/>
      </c>
      <c r="N1467" s="76" t="str">
        <f t="shared" si="69"/>
        <v/>
      </c>
      <c r="O1467" s="33">
        <f t="shared" si="67"/>
        <v>0</v>
      </c>
    </row>
    <row r="1468" spans="1:15" x14ac:dyDescent="0.25">
      <c r="A1468" s="64" t="s">
        <v>206</v>
      </c>
      <c r="B1468" s="79" t="str">
        <f>IF(Sixth!B221="", "",Sixth!B221)</f>
        <v/>
      </c>
      <c r="C1468" s="66" t="str">
        <f>IF(Sixth!C221="", "",Sixth!C221)</f>
        <v/>
      </c>
      <c r="D1468" s="66" t="str">
        <f>IF(Sixth!D221="", "",Sixth!D221)</f>
        <v/>
      </c>
      <c r="E1468" s="66" t="str">
        <f>IF(Sixth!E221="", "",Sixth!E221)</f>
        <v/>
      </c>
      <c r="F1468" s="66" t="str">
        <f>IF(Sixth!F221="", "",Sixth!F221)</f>
        <v/>
      </c>
      <c r="G1468" s="66" t="str">
        <f>IF(Sixth!G221="", "",Sixth!G221)</f>
        <v/>
      </c>
      <c r="H1468" s="66" t="str">
        <f>IF(Sixth!H221="", "",Sixth!H221)</f>
        <v/>
      </c>
      <c r="I1468" s="66" t="str">
        <f>IF(Sixth!I221="", "",Sixth!I221)</f>
        <v/>
      </c>
      <c r="J1468" s="66" t="str">
        <f>IF(Sixth!J221="", "",Sixth!J221)</f>
        <v/>
      </c>
      <c r="K1468" s="86" t="str">
        <f>IF(Sixth!K221="", "",Sixth!K221)</f>
        <v/>
      </c>
      <c r="M1468" s="67" t="str">
        <f t="shared" si="68"/>
        <v/>
      </c>
      <c r="N1468" s="76" t="str">
        <f t="shared" si="69"/>
        <v/>
      </c>
      <c r="O1468" s="33">
        <f t="shared" si="67"/>
        <v>0</v>
      </c>
    </row>
    <row r="1469" spans="1:15" x14ac:dyDescent="0.25">
      <c r="A1469" s="64" t="s">
        <v>206</v>
      </c>
      <c r="B1469" s="79" t="str">
        <f>IF(Sixth!B222="", "",Sixth!B222)</f>
        <v/>
      </c>
      <c r="C1469" s="66" t="str">
        <f>IF(Sixth!C222="", "",Sixth!C222)</f>
        <v/>
      </c>
      <c r="D1469" s="66" t="str">
        <f>IF(Sixth!D222="", "",Sixth!D222)</f>
        <v/>
      </c>
      <c r="E1469" s="66" t="str">
        <f>IF(Sixth!E222="", "",Sixth!E222)</f>
        <v/>
      </c>
      <c r="F1469" s="66" t="str">
        <f>IF(Sixth!F222="", "",Sixth!F222)</f>
        <v/>
      </c>
      <c r="G1469" s="66" t="str">
        <f>IF(Sixth!G222="", "",Sixth!G222)</f>
        <v/>
      </c>
      <c r="H1469" s="66" t="str">
        <f>IF(Sixth!H222="", "",Sixth!H222)</f>
        <v/>
      </c>
      <c r="I1469" s="66" t="str">
        <f>IF(Sixth!I222="", "",Sixth!I222)</f>
        <v/>
      </c>
      <c r="J1469" s="66" t="str">
        <f>IF(Sixth!J222="", "",Sixth!J222)</f>
        <v/>
      </c>
      <c r="K1469" s="86" t="str">
        <f>IF(Sixth!K222="", "",Sixth!K222)</f>
        <v/>
      </c>
      <c r="M1469" s="67" t="str">
        <f t="shared" si="68"/>
        <v/>
      </c>
      <c r="N1469" s="76" t="str">
        <f t="shared" si="69"/>
        <v/>
      </c>
      <c r="O1469" s="33">
        <f t="shared" si="67"/>
        <v>0</v>
      </c>
    </row>
    <row r="1470" spans="1:15" x14ac:dyDescent="0.25">
      <c r="A1470" s="64" t="s">
        <v>206</v>
      </c>
      <c r="B1470" s="79" t="str">
        <f>IF(Sixth!B223="", "",Sixth!B223)</f>
        <v/>
      </c>
      <c r="C1470" s="66" t="str">
        <f>IF(Sixth!C223="", "",Sixth!C223)</f>
        <v/>
      </c>
      <c r="D1470" s="66" t="str">
        <f>IF(Sixth!D223="", "",Sixth!D223)</f>
        <v/>
      </c>
      <c r="E1470" s="66" t="str">
        <f>IF(Sixth!E223="", "",Sixth!E223)</f>
        <v/>
      </c>
      <c r="F1470" s="66" t="str">
        <f>IF(Sixth!F223="", "",Sixth!F223)</f>
        <v/>
      </c>
      <c r="G1470" s="66" t="str">
        <f>IF(Sixth!G223="", "",Sixth!G223)</f>
        <v/>
      </c>
      <c r="H1470" s="66" t="str">
        <f>IF(Sixth!H223="", "",Sixth!H223)</f>
        <v/>
      </c>
      <c r="I1470" s="66" t="str">
        <f>IF(Sixth!I223="", "",Sixth!I223)</f>
        <v/>
      </c>
      <c r="J1470" s="66" t="str">
        <f>IF(Sixth!J223="", "",Sixth!J223)</f>
        <v/>
      </c>
      <c r="K1470" s="86" t="str">
        <f>IF(Sixth!K223="", "",Sixth!K223)</f>
        <v/>
      </c>
      <c r="M1470" s="67" t="str">
        <f t="shared" si="68"/>
        <v/>
      </c>
      <c r="N1470" s="76" t="str">
        <f t="shared" si="69"/>
        <v/>
      </c>
      <c r="O1470" s="33">
        <f t="shared" si="67"/>
        <v>0</v>
      </c>
    </row>
    <row r="1471" spans="1:15" x14ac:dyDescent="0.25">
      <c r="A1471" s="64" t="s">
        <v>206</v>
      </c>
      <c r="B1471" s="79" t="str">
        <f>IF(Sixth!B224="", "",Sixth!B224)</f>
        <v/>
      </c>
      <c r="C1471" s="66" t="str">
        <f>IF(Sixth!C224="", "",Sixth!C224)</f>
        <v/>
      </c>
      <c r="D1471" s="66" t="str">
        <f>IF(Sixth!D224="", "",Sixth!D224)</f>
        <v/>
      </c>
      <c r="E1471" s="66" t="str">
        <f>IF(Sixth!E224="", "",Sixth!E224)</f>
        <v/>
      </c>
      <c r="F1471" s="66" t="str">
        <f>IF(Sixth!F224="", "",Sixth!F224)</f>
        <v/>
      </c>
      <c r="G1471" s="66" t="str">
        <f>IF(Sixth!G224="", "",Sixth!G224)</f>
        <v/>
      </c>
      <c r="H1471" s="66" t="str">
        <f>IF(Sixth!H224="", "",Sixth!H224)</f>
        <v/>
      </c>
      <c r="I1471" s="66" t="str">
        <f>IF(Sixth!I224="", "",Sixth!I224)</f>
        <v/>
      </c>
      <c r="J1471" s="66" t="str">
        <f>IF(Sixth!J224="", "",Sixth!J224)</f>
        <v/>
      </c>
      <c r="K1471" s="86" t="str">
        <f>IF(Sixth!K224="", "",Sixth!K224)</f>
        <v/>
      </c>
      <c r="M1471" s="67" t="str">
        <f t="shared" si="68"/>
        <v/>
      </c>
      <c r="N1471" s="76" t="str">
        <f t="shared" si="69"/>
        <v/>
      </c>
      <c r="O1471" s="33">
        <f t="shared" si="67"/>
        <v>0</v>
      </c>
    </row>
    <row r="1472" spans="1:15" x14ac:dyDescent="0.25">
      <c r="A1472" s="64" t="s">
        <v>206</v>
      </c>
      <c r="B1472" s="79" t="str">
        <f>IF(Sixth!B225="", "",Sixth!B225)</f>
        <v/>
      </c>
      <c r="C1472" s="66" t="str">
        <f>IF(Sixth!C225="", "",Sixth!C225)</f>
        <v/>
      </c>
      <c r="D1472" s="66" t="str">
        <f>IF(Sixth!D225="", "",Sixth!D225)</f>
        <v/>
      </c>
      <c r="E1472" s="66" t="str">
        <f>IF(Sixth!E225="", "",Sixth!E225)</f>
        <v/>
      </c>
      <c r="F1472" s="66" t="str">
        <f>IF(Sixth!F225="", "",Sixth!F225)</f>
        <v/>
      </c>
      <c r="G1472" s="66" t="str">
        <f>IF(Sixth!G225="", "",Sixth!G225)</f>
        <v/>
      </c>
      <c r="H1472" s="66" t="str">
        <f>IF(Sixth!H225="", "",Sixth!H225)</f>
        <v/>
      </c>
      <c r="I1472" s="66" t="str">
        <f>IF(Sixth!I225="", "",Sixth!I225)</f>
        <v/>
      </c>
      <c r="J1472" s="66" t="str">
        <f>IF(Sixth!J225="", "",Sixth!J225)</f>
        <v/>
      </c>
      <c r="K1472" s="86" t="str">
        <f>IF(Sixth!K225="", "",Sixth!K225)</f>
        <v/>
      </c>
      <c r="M1472" s="67" t="str">
        <f t="shared" si="68"/>
        <v/>
      </c>
      <c r="N1472" s="76" t="str">
        <f t="shared" si="69"/>
        <v/>
      </c>
      <c r="O1472" s="33">
        <f t="shared" si="67"/>
        <v>0</v>
      </c>
    </row>
    <row r="1473" spans="1:15" x14ac:dyDescent="0.25">
      <c r="A1473" s="64" t="s">
        <v>206</v>
      </c>
      <c r="B1473" s="79" t="str">
        <f>IF(Sixth!B226="", "",Sixth!B226)</f>
        <v/>
      </c>
      <c r="C1473" s="66" t="str">
        <f>IF(Sixth!C226="", "",Sixth!C226)</f>
        <v/>
      </c>
      <c r="D1473" s="66" t="str">
        <f>IF(Sixth!D226="", "",Sixth!D226)</f>
        <v/>
      </c>
      <c r="E1473" s="66" t="str">
        <f>IF(Sixth!E226="", "",Sixth!E226)</f>
        <v/>
      </c>
      <c r="F1473" s="66" t="str">
        <f>IF(Sixth!F226="", "",Sixth!F226)</f>
        <v/>
      </c>
      <c r="G1473" s="66" t="str">
        <f>IF(Sixth!G226="", "",Sixth!G226)</f>
        <v/>
      </c>
      <c r="H1473" s="66" t="str">
        <f>IF(Sixth!H226="", "",Sixth!H226)</f>
        <v/>
      </c>
      <c r="I1473" s="66" t="str">
        <f>IF(Sixth!I226="", "",Sixth!I226)</f>
        <v/>
      </c>
      <c r="J1473" s="66" t="str">
        <f>IF(Sixth!J226="", "",Sixth!J226)</f>
        <v/>
      </c>
      <c r="K1473" s="86" t="str">
        <f>IF(Sixth!K226="", "",Sixth!K226)</f>
        <v/>
      </c>
      <c r="M1473" s="67" t="str">
        <f t="shared" si="68"/>
        <v/>
      </c>
      <c r="N1473" s="76" t="str">
        <f t="shared" si="69"/>
        <v/>
      </c>
      <c r="O1473" s="33">
        <f t="shared" si="67"/>
        <v>0</v>
      </c>
    </row>
    <row r="1474" spans="1:15" x14ac:dyDescent="0.25">
      <c r="A1474" s="64" t="s">
        <v>206</v>
      </c>
      <c r="B1474" s="79" t="str">
        <f>IF(Sixth!B227="", "",Sixth!B227)</f>
        <v/>
      </c>
      <c r="C1474" s="66" t="str">
        <f>IF(Sixth!C227="", "",Sixth!C227)</f>
        <v/>
      </c>
      <c r="D1474" s="66" t="str">
        <f>IF(Sixth!D227="", "",Sixth!D227)</f>
        <v/>
      </c>
      <c r="E1474" s="66" t="str">
        <f>IF(Sixth!E227="", "",Sixth!E227)</f>
        <v/>
      </c>
      <c r="F1474" s="66" t="str">
        <f>IF(Sixth!F227="", "",Sixth!F227)</f>
        <v/>
      </c>
      <c r="G1474" s="66" t="str">
        <f>IF(Sixth!G227="", "",Sixth!G227)</f>
        <v/>
      </c>
      <c r="H1474" s="66" t="str">
        <f>IF(Sixth!H227="", "",Sixth!H227)</f>
        <v/>
      </c>
      <c r="I1474" s="66" t="str">
        <f>IF(Sixth!I227="", "",Sixth!I227)</f>
        <v/>
      </c>
      <c r="J1474" s="66" t="str">
        <f>IF(Sixth!J227="", "",Sixth!J227)</f>
        <v/>
      </c>
      <c r="K1474" s="86" t="str">
        <f>IF(Sixth!K227="", "",Sixth!K227)</f>
        <v/>
      </c>
      <c r="M1474" s="67" t="str">
        <f t="shared" si="68"/>
        <v/>
      </c>
      <c r="N1474" s="76" t="str">
        <f t="shared" si="69"/>
        <v/>
      </c>
      <c r="O1474" s="33">
        <f t="shared" ref="O1474:O1537" si="70">SUM(M1474:N1474)</f>
        <v>0</v>
      </c>
    </row>
    <row r="1475" spans="1:15" x14ac:dyDescent="0.25">
      <c r="A1475" s="64" t="s">
        <v>206</v>
      </c>
      <c r="B1475" s="79" t="str">
        <f>IF(Sixth!B228="", "",Sixth!B228)</f>
        <v/>
      </c>
      <c r="C1475" s="66" t="str">
        <f>IF(Sixth!C228="", "",Sixth!C228)</f>
        <v/>
      </c>
      <c r="D1475" s="66" t="str">
        <f>IF(Sixth!D228="", "",Sixth!D228)</f>
        <v/>
      </c>
      <c r="E1475" s="66" t="str">
        <f>IF(Sixth!E228="", "",Sixth!E228)</f>
        <v/>
      </c>
      <c r="F1475" s="66" t="str">
        <f>IF(Sixth!F228="", "",Sixth!F228)</f>
        <v/>
      </c>
      <c r="G1475" s="66" t="str">
        <f>IF(Sixth!G228="", "",Sixth!G228)</f>
        <v/>
      </c>
      <c r="H1475" s="66" t="str">
        <f>IF(Sixth!H228="", "",Sixth!H228)</f>
        <v/>
      </c>
      <c r="I1475" s="66" t="str">
        <f>IF(Sixth!I228="", "",Sixth!I228)</f>
        <v/>
      </c>
      <c r="J1475" s="66" t="str">
        <f>IF(Sixth!J228="", "",Sixth!J228)</f>
        <v/>
      </c>
      <c r="K1475" s="86" t="str">
        <f>IF(Sixth!K228="", "",Sixth!K228)</f>
        <v/>
      </c>
      <c r="M1475" s="67" t="str">
        <f t="shared" ref="M1475:M1538" si="71">IF(C1475="PwC",(7-COUNTIF(B1475:H1475,"")),"")</f>
        <v/>
      </c>
      <c r="N1475" s="76" t="str">
        <f t="shared" ref="N1475:N1538" si="72">IF(C1475="Carer",(7-COUNTIF(B1475:H1475,"")),"")</f>
        <v/>
      </c>
      <c r="O1475" s="33">
        <f t="shared" si="70"/>
        <v>0</v>
      </c>
    </row>
    <row r="1476" spans="1:15" x14ac:dyDescent="0.25">
      <c r="A1476" s="64" t="s">
        <v>206</v>
      </c>
      <c r="B1476" s="79" t="str">
        <f>IF(Sixth!B229="", "",Sixth!B229)</f>
        <v/>
      </c>
      <c r="C1476" s="66" t="str">
        <f>IF(Sixth!C229="", "",Sixth!C229)</f>
        <v/>
      </c>
      <c r="D1476" s="66" t="str">
        <f>IF(Sixth!D229="", "",Sixth!D229)</f>
        <v/>
      </c>
      <c r="E1476" s="66" t="str">
        <f>IF(Sixth!E229="", "",Sixth!E229)</f>
        <v/>
      </c>
      <c r="F1476" s="66" t="str">
        <f>IF(Sixth!F229="", "",Sixth!F229)</f>
        <v/>
      </c>
      <c r="G1476" s="66" t="str">
        <f>IF(Sixth!G229="", "",Sixth!G229)</f>
        <v/>
      </c>
      <c r="H1476" s="66" t="str">
        <f>IF(Sixth!H229="", "",Sixth!H229)</f>
        <v/>
      </c>
      <c r="I1476" s="66" t="str">
        <f>IF(Sixth!I229="", "",Sixth!I229)</f>
        <v/>
      </c>
      <c r="J1476" s="66" t="str">
        <f>IF(Sixth!J229="", "",Sixth!J229)</f>
        <v/>
      </c>
      <c r="K1476" s="86" t="str">
        <f>IF(Sixth!K229="", "",Sixth!K229)</f>
        <v/>
      </c>
      <c r="M1476" s="67" t="str">
        <f t="shared" si="71"/>
        <v/>
      </c>
      <c r="N1476" s="76" t="str">
        <f t="shared" si="72"/>
        <v/>
      </c>
      <c r="O1476" s="33">
        <f t="shared" si="70"/>
        <v>0</v>
      </c>
    </row>
    <row r="1477" spans="1:15" x14ac:dyDescent="0.25">
      <c r="A1477" s="64" t="s">
        <v>206</v>
      </c>
      <c r="B1477" s="79" t="str">
        <f>IF(Sixth!B230="", "",Sixth!B230)</f>
        <v/>
      </c>
      <c r="C1477" s="66" t="str">
        <f>IF(Sixth!C230="", "",Sixth!C230)</f>
        <v/>
      </c>
      <c r="D1477" s="66" t="str">
        <f>IF(Sixth!D230="", "",Sixth!D230)</f>
        <v/>
      </c>
      <c r="E1477" s="66" t="str">
        <f>IF(Sixth!E230="", "",Sixth!E230)</f>
        <v/>
      </c>
      <c r="F1477" s="66" t="str">
        <f>IF(Sixth!F230="", "",Sixth!F230)</f>
        <v/>
      </c>
      <c r="G1477" s="66" t="str">
        <f>IF(Sixth!G230="", "",Sixth!G230)</f>
        <v/>
      </c>
      <c r="H1477" s="66" t="str">
        <f>IF(Sixth!H230="", "",Sixth!H230)</f>
        <v/>
      </c>
      <c r="I1477" s="66" t="str">
        <f>IF(Sixth!I230="", "",Sixth!I230)</f>
        <v/>
      </c>
      <c r="J1477" s="66" t="str">
        <f>IF(Sixth!J230="", "",Sixth!J230)</f>
        <v/>
      </c>
      <c r="K1477" s="86" t="str">
        <f>IF(Sixth!K230="", "",Sixth!K230)</f>
        <v/>
      </c>
      <c r="M1477" s="67" t="str">
        <f t="shared" si="71"/>
        <v/>
      </c>
      <c r="N1477" s="76" t="str">
        <f t="shared" si="72"/>
        <v/>
      </c>
      <c r="O1477" s="33">
        <f t="shared" si="70"/>
        <v>0</v>
      </c>
    </row>
    <row r="1478" spans="1:15" x14ac:dyDescent="0.25">
      <c r="A1478" s="64" t="s">
        <v>206</v>
      </c>
      <c r="B1478" s="79" t="str">
        <f>IF(Sixth!B231="", "",Sixth!B231)</f>
        <v/>
      </c>
      <c r="C1478" s="66" t="str">
        <f>IF(Sixth!C231="", "",Sixth!C231)</f>
        <v/>
      </c>
      <c r="D1478" s="66" t="str">
        <f>IF(Sixth!D231="", "",Sixth!D231)</f>
        <v/>
      </c>
      <c r="E1478" s="66" t="str">
        <f>IF(Sixth!E231="", "",Sixth!E231)</f>
        <v/>
      </c>
      <c r="F1478" s="66" t="str">
        <f>IF(Sixth!F231="", "",Sixth!F231)</f>
        <v/>
      </c>
      <c r="G1478" s="66" t="str">
        <f>IF(Sixth!G231="", "",Sixth!G231)</f>
        <v/>
      </c>
      <c r="H1478" s="66" t="str">
        <f>IF(Sixth!H231="", "",Sixth!H231)</f>
        <v/>
      </c>
      <c r="I1478" s="66" t="str">
        <f>IF(Sixth!I231="", "",Sixth!I231)</f>
        <v/>
      </c>
      <c r="J1478" s="66" t="str">
        <f>IF(Sixth!J231="", "",Sixth!J231)</f>
        <v/>
      </c>
      <c r="K1478" s="86" t="str">
        <f>IF(Sixth!K231="", "",Sixth!K231)</f>
        <v/>
      </c>
      <c r="M1478" s="67" t="str">
        <f t="shared" si="71"/>
        <v/>
      </c>
      <c r="N1478" s="76" t="str">
        <f t="shared" si="72"/>
        <v/>
      </c>
      <c r="O1478" s="33">
        <f t="shared" si="70"/>
        <v>0</v>
      </c>
    </row>
    <row r="1479" spans="1:15" x14ac:dyDescent="0.25">
      <c r="A1479" s="64" t="s">
        <v>206</v>
      </c>
      <c r="B1479" s="79" t="str">
        <f>IF(Sixth!B232="", "",Sixth!B232)</f>
        <v/>
      </c>
      <c r="C1479" s="66" t="str">
        <f>IF(Sixth!C232="", "",Sixth!C232)</f>
        <v/>
      </c>
      <c r="D1479" s="66" t="str">
        <f>IF(Sixth!D232="", "",Sixth!D232)</f>
        <v/>
      </c>
      <c r="E1479" s="66" t="str">
        <f>IF(Sixth!E232="", "",Sixth!E232)</f>
        <v/>
      </c>
      <c r="F1479" s="66" t="str">
        <f>IF(Sixth!F232="", "",Sixth!F232)</f>
        <v/>
      </c>
      <c r="G1479" s="66" t="str">
        <f>IF(Sixth!G232="", "",Sixth!G232)</f>
        <v/>
      </c>
      <c r="H1479" s="66" t="str">
        <f>IF(Sixth!H232="", "",Sixth!H232)</f>
        <v/>
      </c>
      <c r="I1479" s="66" t="str">
        <f>IF(Sixth!I232="", "",Sixth!I232)</f>
        <v/>
      </c>
      <c r="J1479" s="66" t="str">
        <f>IF(Sixth!J232="", "",Sixth!J232)</f>
        <v/>
      </c>
      <c r="K1479" s="86" t="str">
        <f>IF(Sixth!K232="", "",Sixth!K232)</f>
        <v/>
      </c>
      <c r="M1479" s="67" t="str">
        <f t="shared" si="71"/>
        <v/>
      </c>
      <c r="N1479" s="76" t="str">
        <f t="shared" si="72"/>
        <v/>
      </c>
      <c r="O1479" s="33">
        <f t="shared" si="70"/>
        <v>0</v>
      </c>
    </row>
    <row r="1480" spans="1:15" x14ac:dyDescent="0.25">
      <c r="A1480" s="64" t="s">
        <v>206</v>
      </c>
      <c r="B1480" s="79" t="str">
        <f>IF(Sixth!B233="", "",Sixth!B233)</f>
        <v/>
      </c>
      <c r="C1480" s="66" t="str">
        <f>IF(Sixth!C233="", "",Sixth!C233)</f>
        <v/>
      </c>
      <c r="D1480" s="66" t="str">
        <f>IF(Sixth!D233="", "",Sixth!D233)</f>
        <v/>
      </c>
      <c r="E1480" s="66" t="str">
        <f>IF(Sixth!E233="", "",Sixth!E233)</f>
        <v/>
      </c>
      <c r="F1480" s="66" t="str">
        <f>IF(Sixth!F233="", "",Sixth!F233)</f>
        <v/>
      </c>
      <c r="G1480" s="66" t="str">
        <f>IF(Sixth!G233="", "",Sixth!G233)</f>
        <v/>
      </c>
      <c r="H1480" s="66" t="str">
        <f>IF(Sixth!H233="", "",Sixth!H233)</f>
        <v/>
      </c>
      <c r="I1480" s="66" t="str">
        <f>IF(Sixth!I233="", "",Sixth!I233)</f>
        <v/>
      </c>
      <c r="J1480" s="66" t="str">
        <f>IF(Sixth!J233="", "",Sixth!J233)</f>
        <v/>
      </c>
      <c r="K1480" s="86" t="str">
        <f>IF(Sixth!K233="", "",Sixth!K233)</f>
        <v/>
      </c>
      <c r="M1480" s="67" t="str">
        <f t="shared" si="71"/>
        <v/>
      </c>
      <c r="N1480" s="76" t="str">
        <f t="shared" si="72"/>
        <v/>
      </c>
      <c r="O1480" s="33">
        <f t="shared" si="70"/>
        <v>0</v>
      </c>
    </row>
    <row r="1481" spans="1:15" x14ac:dyDescent="0.25">
      <c r="A1481" s="64" t="s">
        <v>206</v>
      </c>
      <c r="B1481" s="79" t="str">
        <f>IF(Sixth!B234="", "",Sixth!B234)</f>
        <v/>
      </c>
      <c r="C1481" s="66" t="str">
        <f>IF(Sixth!C234="", "",Sixth!C234)</f>
        <v/>
      </c>
      <c r="D1481" s="66" t="str">
        <f>IF(Sixth!D234="", "",Sixth!D234)</f>
        <v/>
      </c>
      <c r="E1481" s="66" t="str">
        <f>IF(Sixth!E234="", "",Sixth!E234)</f>
        <v/>
      </c>
      <c r="F1481" s="66" t="str">
        <f>IF(Sixth!F234="", "",Sixth!F234)</f>
        <v/>
      </c>
      <c r="G1481" s="66" t="str">
        <f>IF(Sixth!G234="", "",Sixth!G234)</f>
        <v/>
      </c>
      <c r="H1481" s="66" t="str">
        <f>IF(Sixth!H234="", "",Sixth!H234)</f>
        <v/>
      </c>
      <c r="I1481" s="66" t="str">
        <f>IF(Sixth!I234="", "",Sixth!I234)</f>
        <v/>
      </c>
      <c r="J1481" s="66" t="str">
        <f>IF(Sixth!J234="", "",Sixth!J234)</f>
        <v/>
      </c>
      <c r="K1481" s="86" t="str">
        <f>IF(Sixth!K234="", "",Sixth!K234)</f>
        <v/>
      </c>
      <c r="M1481" s="67" t="str">
        <f t="shared" si="71"/>
        <v/>
      </c>
      <c r="N1481" s="76" t="str">
        <f t="shared" si="72"/>
        <v/>
      </c>
      <c r="O1481" s="33">
        <f t="shared" si="70"/>
        <v>0</v>
      </c>
    </row>
    <row r="1482" spans="1:15" x14ac:dyDescent="0.25">
      <c r="A1482" s="64" t="s">
        <v>206</v>
      </c>
      <c r="B1482" s="79" t="str">
        <f>IF(Sixth!B235="", "",Sixth!B235)</f>
        <v/>
      </c>
      <c r="C1482" s="66" t="str">
        <f>IF(Sixth!C235="", "",Sixth!C235)</f>
        <v/>
      </c>
      <c r="D1482" s="66" t="str">
        <f>IF(Sixth!D235="", "",Sixth!D235)</f>
        <v/>
      </c>
      <c r="E1482" s="66" t="str">
        <f>IF(Sixth!E235="", "",Sixth!E235)</f>
        <v/>
      </c>
      <c r="F1482" s="66" t="str">
        <f>IF(Sixth!F235="", "",Sixth!F235)</f>
        <v/>
      </c>
      <c r="G1482" s="66" t="str">
        <f>IF(Sixth!G235="", "",Sixth!G235)</f>
        <v/>
      </c>
      <c r="H1482" s="66" t="str">
        <f>IF(Sixth!H235="", "",Sixth!H235)</f>
        <v/>
      </c>
      <c r="I1482" s="66" t="str">
        <f>IF(Sixth!I235="", "",Sixth!I235)</f>
        <v/>
      </c>
      <c r="J1482" s="66" t="str">
        <f>IF(Sixth!J235="", "",Sixth!J235)</f>
        <v/>
      </c>
      <c r="K1482" s="86" t="str">
        <f>IF(Sixth!K235="", "",Sixth!K235)</f>
        <v/>
      </c>
      <c r="M1482" s="67" t="str">
        <f t="shared" si="71"/>
        <v/>
      </c>
      <c r="N1482" s="76" t="str">
        <f t="shared" si="72"/>
        <v/>
      </c>
      <c r="O1482" s="33">
        <f t="shared" si="70"/>
        <v>0</v>
      </c>
    </row>
    <row r="1483" spans="1:15" x14ac:dyDescent="0.25">
      <c r="A1483" s="64" t="s">
        <v>206</v>
      </c>
      <c r="B1483" s="79" t="str">
        <f>IF(Sixth!B236="", "",Sixth!B236)</f>
        <v/>
      </c>
      <c r="C1483" s="66" t="str">
        <f>IF(Sixth!C236="", "",Sixth!C236)</f>
        <v/>
      </c>
      <c r="D1483" s="66" t="str">
        <f>IF(Sixth!D236="", "",Sixth!D236)</f>
        <v/>
      </c>
      <c r="E1483" s="66" t="str">
        <f>IF(Sixth!E236="", "",Sixth!E236)</f>
        <v/>
      </c>
      <c r="F1483" s="66" t="str">
        <f>IF(Sixth!F236="", "",Sixth!F236)</f>
        <v/>
      </c>
      <c r="G1483" s="66" t="str">
        <f>IF(Sixth!G236="", "",Sixth!G236)</f>
        <v/>
      </c>
      <c r="H1483" s="66" t="str">
        <f>IF(Sixth!H236="", "",Sixth!H236)</f>
        <v/>
      </c>
      <c r="I1483" s="66" t="str">
        <f>IF(Sixth!I236="", "",Sixth!I236)</f>
        <v/>
      </c>
      <c r="J1483" s="66" t="str">
        <f>IF(Sixth!J236="", "",Sixth!J236)</f>
        <v/>
      </c>
      <c r="K1483" s="86" t="str">
        <f>IF(Sixth!K236="", "",Sixth!K236)</f>
        <v/>
      </c>
      <c r="M1483" s="67" t="str">
        <f t="shared" si="71"/>
        <v/>
      </c>
      <c r="N1483" s="76" t="str">
        <f t="shared" si="72"/>
        <v/>
      </c>
      <c r="O1483" s="33">
        <f t="shared" si="70"/>
        <v>0</v>
      </c>
    </row>
    <row r="1484" spans="1:15" x14ac:dyDescent="0.25">
      <c r="A1484" s="64" t="s">
        <v>206</v>
      </c>
      <c r="B1484" s="79" t="str">
        <f>IF(Sixth!B237="", "",Sixth!B237)</f>
        <v/>
      </c>
      <c r="C1484" s="66" t="str">
        <f>IF(Sixth!C237="", "",Sixth!C237)</f>
        <v/>
      </c>
      <c r="D1484" s="66" t="str">
        <f>IF(Sixth!D237="", "",Sixth!D237)</f>
        <v/>
      </c>
      <c r="E1484" s="66" t="str">
        <f>IF(Sixth!E237="", "",Sixth!E237)</f>
        <v/>
      </c>
      <c r="F1484" s="66" t="str">
        <f>IF(Sixth!F237="", "",Sixth!F237)</f>
        <v/>
      </c>
      <c r="G1484" s="66" t="str">
        <f>IF(Sixth!G237="", "",Sixth!G237)</f>
        <v/>
      </c>
      <c r="H1484" s="66" t="str">
        <f>IF(Sixth!H237="", "",Sixth!H237)</f>
        <v/>
      </c>
      <c r="I1484" s="66" t="str">
        <f>IF(Sixth!I237="", "",Sixth!I237)</f>
        <v/>
      </c>
      <c r="J1484" s="66" t="str">
        <f>IF(Sixth!J237="", "",Sixth!J237)</f>
        <v/>
      </c>
      <c r="K1484" s="86" t="str">
        <f>IF(Sixth!K237="", "",Sixth!K237)</f>
        <v/>
      </c>
      <c r="M1484" s="67" t="str">
        <f t="shared" si="71"/>
        <v/>
      </c>
      <c r="N1484" s="76" t="str">
        <f t="shared" si="72"/>
        <v/>
      </c>
      <c r="O1484" s="33">
        <f t="shared" si="70"/>
        <v>0</v>
      </c>
    </row>
    <row r="1485" spans="1:15" x14ac:dyDescent="0.25">
      <c r="A1485" s="64" t="s">
        <v>206</v>
      </c>
      <c r="B1485" s="79" t="str">
        <f>IF(Sixth!B238="", "",Sixth!B238)</f>
        <v/>
      </c>
      <c r="C1485" s="66" t="str">
        <f>IF(Sixth!C238="", "",Sixth!C238)</f>
        <v/>
      </c>
      <c r="D1485" s="66" t="str">
        <f>IF(Sixth!D238="", "",Sixth!D238)</f>
        <v/>
      </c>
      <c r="E1485" s="66" t="str">
        <f>IF(Sixth!E238="", "",Sixth!E238)</f>
        <v/>
      </c>
      <c r="F1485" s="66" t="str">
        <f>IF(Sixth!F238="", "",Sixth!F238)</f>
        <v/>
      </c>
      <c r="G1485" s="66" t="str">
        <f>IF(Sixth!G238="", "",Sixth!G238)</f>
        <v/>
      </c>
      <c r="H1485" s="66" t="str">
        <f>IF(Sixth!H238="", "",Sixth!H238)</f>
        <v/>
      </c>
      <c r="I1485" s="66" t="str">
        <f>IF(Sixth!I238="", "",Sixth!I238)</f>
        <v/>
      </c>
      <c r="J1485" s="66" t="str">
        <f>IF(Sixth!J238="", "",Sixth!J238)</f>
        <v/>
      </c>
      <c r="K1485" s="86" t="str">
        <f>IF(Sixth!K238="", "",Sixth!K238)</f>
        <v/>
      </c>
      <c r="M1485" s="67" t="str">
        <f t="shared" si="71"/>
        <v/>
      </c>
      <c r="N1485" s="76" t="str">
        <f t="shared" si="72"/>
        <v/>
      </c>
      <c r="O1485" s="33">
        <f t="shared" si="70"/>
        <v>0</v>
      </c>
    </row>
    <row r="1486" spans="1:15" x14ac:dyDescent="0.25">
      <c r="A1486" s="64" t="s">
        <v>206</v>
      </c>
      <c r="B1486" s="79" t="str">
        <f>IF(Sixth!B239="", "",Sixth!B239)</f>
        <v/>
      </c>
      <c r="C1486" s="66" t="str">
        <f>IF(Sixth!C239="", "",Sixth!C239)</f>
        <v/>
      </c>
      <c r="D1486" s="66" t="str">
        <f>IF(Sixth!D239="", "",Sixth!D239)</f>
        <v/>
      </c>
      <c r="E1486" s="66" t="str">
        <f>IF(Sixth!E239="", "",Sixth!E239)</f>
        <v/>
      </c>
      <c r="F1486" s="66" t="str">
        <f>IF(Sixth!F239="", "",Sixth!F239)</f>
        <v/>
      </c>
      <c r="G1486" s="66" t="str">
        <f>IF(Sixth!G239="", "",Sixth!G239)</f>
        <v/>
      </c>
      <c r="H1486" s="66" t="str">
        <f>IF(Sixth!H239="", "",Sixth!H239)</f>
        <v/>
      </c>
      <c r="I1486" s="66" t="str">
        <f>IF(Sixth!I239="", "",Sixth!I239)</f>
        <v/>
      </c>
      <c r="J1486" s="66" t="str">
        <f>IF(Sixth!J239="", "",Sixth!J239)</f>
        <v/>
      </c>
      <c r="K1486" s="86" t="str">
        <f>IF(Sixth!K239="", "",Sixth!K239)</f>
        <v/>
      </c>
      <c r="M1486" s="67" t="str">
        <f t="shared" si="71"/>
        <v/>
      </c>
      <c r="N1486" s="76" t="str">
        <f t="shared" si="72"/>
        <v/>
      </c>
      <c r="O1486" s="33">
        <f t="shared" si="70"/>
        <v>0</v>
      </c>
    </row>
    <row r="1487" spans="1:15" x14ac:dyDescent="0.25">
      <c r="A1487" s="64" t="s">
        <v>206</v>
      </c>
      <c r="B1487" s="79" t="str">
        <f>IF(Sixth!B240="", "",Sixth!B240)</f>
        <v/>
      </c>
      <c r="C1487" s="66" t="str">
        <f>IF(Sixth!C240="", "",Sixth!C240)</f>
        <v/>
      </c>
      <c r="D1487" s="66" t="str">
        <f>IF(Sixth!D240="", "",Sixth!D240)</f>
        <v/>
      </c>
      <c r="E1487" s="66" t="str">
        <f>IF(Sixth!E240="", "",Sixth!E240)</f>
        <v/>
      </c>
      <c r="F1487" s="66" t="str">
        <f>IF(Sixth!F240="", "",Sixth!F240)</f>
        <v/>
      </c>
      <c r="G1487" s="66" t="str">
        <f>IF(Sixth!G240="", "",Sixth!G240)</f>
        <v/>
      </c>
      <c r="H1487" s="66" t="str">
        <f>IF(Sixth!H240="", "",Sixth!H240)</f>
        <v/>
      </c>
      <c r="I1487" s="66" t="str">
        <f>IF(Sixth!I240="", "",Sixth!I240)</f>
        <v/>
      </c>
      <c r="J1487" s="66" t="str">
        <f>IF(Sixth!J240="", "",Sixth!J240)</f>
        <v/>
      </c>
      <c r="K1487" s="86" t="str">
        <f>IF(Sixth!K240="", "",Sixth!K240)</f>
        <v/>
      </c>
      <c r="M1487" s="67" t="str">
        <f t="shared" si="71"/>
        <v/>
      </c>
      <c r="N1487" s="76" t="str">
        <f t="shared" si="72"/>
        <v/>
      </c>
      <c r="O1487" s="33">
        <f t="shared" si="70"/>
        <v>0</v>
      </c>
    </row>
    <row r="1488" spans="1:15" x14ac:dyDescent="0.25">
      <c r="A1488" s="64" t="s">
        <v>206</v>
      </c>
      <c r="B1488" s="79" t="str">
        <f>IF(Sixth!B241="", "",Sixth!B241)</f>
        <v/>
      </c>
      <c r="C1488" s="66" t="str">
        <f>IF(Sixth!C241="", "",Sixth!C241)</f>
        <v/>
      </c>
      <c r="D1488" s="66" t="str">
        <f>IF(Sixth!D241="", "",Sixth!D241)</f>
        <v/>
      </c>
      <c r="E1488" s="66" t="str">
        <f>IF(Sixth!E241="", "",Sixth!E241)</f>
        <v/>
      </c>
      <c r="F1488" s="66" t="str">
        <f>IF(Sixth!F241="", "",Sixth!F241)</f>
        <v/>
      </c>
      <c r="G1488" s="66" t="str">
        <f>IF(Sixth!G241="", "",Sixth!G241)</f>
        <v/>
      </c>
      <c r="H1488" s="66" t="str">
        <f>IF(Sixth!H241="", "",Sixth!H241)</f>
        <v/>
      </c>
      <c r="I1488" s="66" t="str">
        <f>IF(Sixth!I241="", "",Sixth!I241)</f>
        <v/>
      </c>
      <c r="J1488" s="66" t="str">
        <f>IF(Sixth!J241="", "",Sixth!J241)</f>
        <v/>
      </c>
      <c r="K1488" s="86" t="str">
        <f>IF(Sixth!K241="", "",Sixth!K241)</f>
        <v/>
      </c>
      <c r="M1488" s="67" t="str">
        <f t="shared" si="71"/>
        <v/>
      </c>
      <c r="N1488" s="76" t="str">
        <f t="shared" si="72"/>
        <v/>
      </c>
      <c r="O1488" s="33">
        <f t="shared" si="70"/>
        <v>0</v>
      </c>
    </row>
    <row r="1489" spans="1:15" x14ac:dyDescent="0.25">
      <c r="A1489" s="64" t="s">
        <v>206</v>
      </c>
      <c r="B1489" s="79" t="str">
        <f>IF(Sixth!B242="", "",Sixth!B242)</f>
        <v/>
      </c>
      <c r="C1489" s="66" t="str">
        <f>IF(Sixth!C242="", "",Sixth!C242)</f>
        <v/>
      </c>
      <c r="D1489" s="66" t="str">
        <f>IF(Sixth!D242="", "",Sixth!D242)</f>
        <v/>
      </c>
      <c r="E1489" s="66" t="str">
        <f>IF(Sixth!E242="", "",Sixth!E242)</f>
        <v/>
      </c>
      <c r="F1489" s="66" t="str">
        <f>IF(Sixth!F242="", "",Sixth!F242)</f>
        <v/>
      </c>
      <c r="G1489" s="66" t="str">
        <f>IF(Sixth!G242="", "",Sixth!G242)</f>
        <v/>
      </c>
      <c r="H1489" s="66" t="str">
        <f>IF(Sixth!H242="", "",Sixth!H242)</f>
        <v/>
      </c>
      <c r="I1489" s="66" t="str">
        <f>IF(Sixth!I242="", "",Sixth!I242)</f>
        <v/>
      </c>
      <c r="J1489" s="66" t="str">
        <f>IF(Sixth!J242="", "",Sixth!J242)</f>
        <v/>
      </c>
      <c r="K1489" s="86" t="str">
        <f>IF(Sixth!K242="", "",Sixth!K242)</f>
        <v/>
      </c>
      <c r="M1489" s="67" t="str">
        <f t="shared" si="71"/>
        <v/>
      </c>
      <c r="N1489" s="76" t="str">
        <f t="shared" si="72"/>
        <v/>
      </c>
      <c r="O1489" s="33">
        <f t="shared" si="70"/>
        <v>0</v>
      </c>
    </row>
    <row r="1490" spans="1:15" x14ac:dyDescent="0.25">
      <c r="A1490" s="64" t="s">
        <v>206</v>
      </c>
      <c r="B1490" s="79" t="str">
        <f>IF(Sixth!B243="", "",Sixth!B243)</f>
        <v/>
      </c>
      <c r="C1490" s="66" t="str">
        <f>IF(Sixth!C243="", "",Sixth!C243)</f>
        <v/>
      </c>
      <c r="D1490" s="66" t="str">
        <f>IF(Sixth!D243="", "",Sixth!D243)</f>
        <v/>
      </c>
      <c r="E1490" s="66" t="str">
        <f>IF(Sixth!E243="", "",Sixth!E243)</f>
        <v/>
      </c>
      <c r="F1490" s="66" t="str">
        <f>IF(Sixth!F243="", "",Sixth!F243)</f>
        <v/>
      </c>
      <c r="G1490" s="66" t="str">
        <f>IF(Sixth!G243="", "",Sixth!G243)</f>
        <v/>
      </c>
      <c r="H1490" s="66" t="str">
        <f>IF(Sixth!H243="", "",Sixth!H243)</f>
        <v/>
      </c>
      <c r="I1490" s="66" t="str">
        <f>IF(Sixth!I243="", "",Sixth!I243)</f>
        <v/>
      </c>
      <c r="J1490" s="66" t="str">
        <f>IF(Sixth!J243="", "",Sixth!J243)</f>
        <v/>
      </c>
      <c r="K1490" s="86" t="str">
        <f>IF(Sixth!K243="", "",Sixth!K243)</f>
        <v/>
      </c>
      <c r="M1490" s="67" t="str">
        <f t="shared" si="71"/>
        <v/>
      </c>
      <c r="N1490" s="76" t="str">
        <f t="shared" si="72"/>
        <v/>
      </c>
      <c r="O1490" s="33">
        <f t="shared" si="70"/>
        <v>0</v>
      </c>
    </row>
    <row r="1491" spans="1:15" x14ac:dyDescent="0.25">
      <c r="A1491" s="64" t="s">
        <v>206</v>
      </c>
      <c r="B1491" s="79" t="str">
        <f>IF(Sixth!B244="", "",Sixth!B244)</f>
        <v/>
      </c>
      <c r="C1491" s="66" t="str">
        <f>IF(Sixth!C244="", "",Sixth!C244)</f>
        <v/>
      </c>
      <c r="D1491" s="66" t="str">
        <f>IF(Sixth!D244="", "",Sixth!D244)</f>
        <v/>
      </c>
      <c r="E1491" s="66" t="str">
        <f>IF(Sixth!E244="", "",Sixth!E244)</f>
        <v/>
      </c>
      <c r="F1491" s="66" t="str">
        <f>IF(Sixth!F244="", "",Sixth!F244)</f>
        <v/>
      </c>
      <c r="G1491" s="66" t="str">
        <f>IF(Sixth!G244="", "",Sixth!G244)</f>
        <v/>
      </c>
      <c r="H1491" s="66" t="str">
        <f>IF(Sixth!H244="", "",Sixth!H244)</f>
        <v/>
      </c>
      <c r="I1491" s="66" t="str">
        <f>IF(Sixth!I244="", "",Sixth!I244)</f>
        <v/>
      </c>
      <c r="J1491" s="66" t="str">
        <f>IF(Sixth!J244="", "",Sixth!J244)</f>
        <v/>
      </c>
      <c r="K1491" s="86" t="str">
        <f>IF(Sixth!K244="", "",Sixth!K244)</f>
        <v/>
      </c>
      <c r="M1491" s="67" t="str">
        <f t="shared" si="71"/>
        <v/>
      </c>
      <c r="N1491" s="76" t="str">
        <f t="shared" si="72"/>
        <v/>
      </c>
      <c r="O1491" s="33">
        <f t="shared" si="70"/>
        <v>0</v>
      </c>
    </row>
    <row r="1492" spans="1:15" x14ac:dyDescent="0.25">
      <c r="A1492" s="64" t="s">
        <v>206</v>
      </c>
      <c r="B1492" s="79" t="str">
        <f>IF(Sixth!B245="", "",Sixth!B245)</f>
        <v/>
      </c>
      <c r="C1492" s="66" t="str">
        <f>IF(Sixth!C245="", "",Sixth!C245)</f>
        <v/>
      </c>
      <c r="D1492" s="66" t="str">
        <f>IF(Sixth!D245="", "",Sixth!D245)</f>
        <v/>
      </c>
      <c r="E1492" s="66" t="str">
        <f>IF(Sixth!E245="", "",Sixth!E245)</f>
        <v/>
      </c>
      <c r="F1492" s="66" t="str">
        <f>IF(Sixth!F245="", "",Sixth!F245)</f>
        <v/>
      </c>
      <c r="G1492" s="66" t="str">
        <f>IF(Sixth!G245="", "",Sixth!G245)</f>
        <v/>
      </c>
      <c r="H1492" s="66" t="str">
        <f>IF(Sixth!H245="", "",Sixth!H245)</f>
        <v/>
      </c>
      <c r="I1492" s="66" t="str">
        <f>IF(Sixth!I245="", "",Sixth!I245)</f>
        <v/>
      </c>
      <c r="J1492" s="66" t="str">
        <f>IF(Sixth!J245="", "",Sixth!J245)</f>
        <v/>
      </c>
      <c r="K1492" s="86" t="str">
        <f>IF(Sixth!K245="", "",Sixth!K245)</f>
        <v/>
      </c>
      <c r="M1492" s="67" t="str">
        <f t="shared" si="71"/>
        <v/>
      </c>
      <c r="N1492" s="76" t="str">
        <f t="shared" si="72"/>
        <v/>
      </c>
      <c r="O1492" s="33">
        <f t="shared" si="70"/>
        <v>0</v>
      </c>
    </row>
    <row r="1493" spans="1:15" x14ac:dyDescent="0.25">
      <c r="A1493" s="64" t="s">
        <v>206</v>
      </c>
      <c r="B1493" s="79" t="str">
        <f>IF(Sixth!B246="", "",Sixth!B246)</f>
        <v/>
      </c>
      <c r="C1493" s="66" t="str">
        <f>IF(Sixth!C246="", "",Sixth!C246)</f>
        <v/>
      </c>
      <c r="D1493" s="66" t="str">
        <f>IF(Sixth!D246="", "",Sixth!D246)</f>
        <v/>
      </c>
      <c r="E1493" s="66" t="str">
        <f>IF(Sixth!E246="", "",Sixth!E246)</f>
        <v/>
      </c>
      <c r="F1493" s="66" t="str">
        <f>IF(Sixth!F246="", "",Sixth!F246)</f>
        <v/>
      </c>
      <c r="G1493" s="66" t="str">
        <f>IF(Sixth!G246="", "",Sixth!G246)</f>
        <v/>
      </c>
      <c r="H1493" s="66" t="str">
        <f>IF(Sixth!H246="", "",Sixth!H246)</f>
        <v/>
      </c>
      <c r="I1493" s="66" t="str">
        <f>IF(Sixth!I246="", "",Sixth!I246)</f>
        <v/>
      </c>
      <c r="J1493" s="66" t="str">
        <f>IF(Sixth!J246="", "",Sixth!J246)</f>
        <v/>
      </c>
      <c r="K1493" s="86" t="str">
        <f>IF(Sixth!K246="", "",Sixth!K246)</f>
        <v/>
      </c>
      <c r="M1493" s="67" t="str">
        <f t="shared" si="71"/>
        <v/>
      </c>
      <c r="N1493" s="76" t="str">
        <f t="shared" si="72"/>
        <v/>
      </c>
      <c r="O1493" s="33">
        <f t="shared" si="70"/>
        <v>0</v>
      </c>
    </row>
    <row r="1494" spans="1:15" x14ac:dyDescent="0.25">
      <c r="A1494" s="64" t="s">
        <v>206</v>
      </c>
      <c r="B1494" s="79" t="str">
        <f>IF(Sixth!B247="", "",Sixth!B247)</f>
        <v/>
      </c>
      <c r="C1494" s="66" t="str">
        <f>IF(Sixth!C247="", "",Sixth!C247)</f>
        <v/>
      </c>
      <c r="D1494" s="66" t="str">
        <f>IF(Sixth!D247="", "",Sixth!D247)</f>
        <v/>
      </c>
      <c r="E1494" s="66" t="str">
        <f>IF(Sixth!E247="", "",Sixth!E247)</f>
        <v/>
      </c>
      <c r="F1494" s="66" t="str">
        <f>IF(Sixth!F247="", "",Sixth!F247)</f>
        <v/>
      </c>
      <c r="G1494" s="66" t="str">
        <f>IF(Sixth!G247="", "",Sixth!G247)</f>
        <v/>
      </c>
      <c r="H1494" s="66" t="str">
        <f>IF(Sixth!H247="", "",Sixth!H247)</f>
        <v/>
      </c>
      <c r="I1494" s="66" t="str">
        <f>IF(Sixth!I247="", "",Sixth!I247)</f>
        <v/>
      </c>
      <c r="J1494" s="66" t="str">
        <f>IF(Sixth!J247="", "",Sixth!J247)</f>
        <v/>
      </c>
      <c r="K1494" s="86" t="str">
        <f>IF(Sixth!K247="", "",Sixth!K247)</f>
        <v/>
      </c>
      <c r="M1494" s="67" t="str">
        <f t="shared" si="71"/>
        <v/>
      </c>
      <c r="N1494" s="76" t="str">
        <f t="shared" si="72"/>
        <v/>
      </c>
      <c r="O1494" s="33">
        <f t="shared" si="70"/>
        <v>0</v>
      </c>
    </row>
    <row r="1495" spans="1:15" x14ac:dyDescent="0.25">
      <c r="A1495" s="64" t="s">
        <v>206</v>
      </c>
      <c r="B1495" s="79" t="str">
        <f>IF(Sixth!B248="", "",Sixth!B248)</f>
        <v/>
      </c>
      <c r="C1495" s="66" t="str">
        <f>IF(Sixth!C248="", "",Sixth!C248)</f>
        <v/>
      </c>
      <c r="D1495" s="66" t="str">
        <f>IF(Sixth!D248="", "",Sixth!D248)</f>
        <v/>
      </c>
      <c r="E1495" s="66" t="str">
        <f>IF(Sixth!E248="", "",Sixth!E248)</f>
        <v/>
      </c>
      <c r="F1495" s="66" t="str">
        <f>IF(Sixth!F248="", "",Sixth!F248)</f>
        <v/>
      </c>
      <c r="G1495" s="66" t="str">
        <f>IF(Sixth!G248="", "",Sixth!G248)</f>
        <v/>
      </c>
      <c r="H1495" s="66" t="str">
        <f>IF(Sixth!H248="", "",Sixth!H248)</f>
        <v/>
      </c>
      <c r="I1495" s="66" t="str">
        <f>IF(Sixth!I248="", "",Sixth!I248)</f>
        <v/>
      </c>
      <c r="J1495" s="66" t="str">
        <f>IF(Sixth!J248="", "",Sixth!J248)</f>
        <v/>
      </c>
      <c r="K1495" s="86" t="str">
        <f>IF(Sixth!K248="", "",Sixth!K248)</f>
        <v/>
      </c>
      <c r="M1495" s="67" t="str">
        <f t="shared" si="71"/>
        <v/>
      </c>
      <c r="N1495" s="76" t="str">
        <f t="shared" si="72"/>
        <v/>
      </c>
      <c r="O1495" s="33">
        <f t="shared" si="70"/>
        <v>0</v>
      </c>
    </row>
    <row r="1496" spans="1:15" x14ac:dyDescent="0.25">
      <c r="A1496" s="64" t="s">
        <v>206</v>
      </c>
      <c r="B1496" s="79" t="str">
        <f>IF(Sixth!B249="", "",Sixth!B249)</f>
        <v/>
      </c>
      <c r="C1496" s="66" t="str">
        <f>IF(Sixth!C249="", "",Sixth!C249)</f>
        <v/>
      </c>
      <c r="D1496" s="66" t="str">
        <f>IF(Sixth!D249="", "",Sixth!D249)</f>
        <v/>
      </c>
      <c r="E1496" s="66" t="str">
        <f>IF(Sixth!E249="", "",Sixth!E249)</f>
        <v/>
      </c>
      <c r="F1496" s="66" t="str">
        <f>IF(Sixth!F249="", "",Sixth!F249)</f>
        <v/>
      </c>
      <c r="G1496" s="66" t="str">
        <f>IF(Sixth!G249="", "",Sixth!G249)</f>
        <v/>
      </c>
      <c r="H1496" s="66" t="str">
        <f>IF(Sixth!H249="", "",Sixth!H249)</f>
        <v/>
      </c>
      <c r="I1496" s="66" t="str">
        <f>IF(Sixth!I249="", "",Sixth!I249)</f>
        <v/>
      </c>
      <c r="J1496" s="66" t="str">
        <f>IF(Sixth!J249="", "",Sixth!J249)</f>
        <v/>
      </c>
      <c r="K1496" s="86" t="str">
        <f>IF(Sixth!K249="", "",Sixth!K249)</f>
        <v/>
      </c>
      <c r="M1496" s="67" t="str">
        <f t="shared" si="71"/>
        <v/>
      </c>
      <c r="N1496" s="76" t="str">
        <f t="shared" si="72"/>
        <v/>
      </c>
      <c r="O1496" s="33">
        <f t="shared" si="70"/>
        <v>0</v>
      </c>
    </row>
    <row r="1497" spans="1:15" x14ac:dyDescent="0.25">
      <c r="A1497" s="64" t="s">
        <v>206</v>
      </c>
      <c r="B1497" s="79" t="str">
        <f>IF(Sixth!B250="", "",Sixth!B250)</f>
        <v/>
      </c>
      <c r="C1497" s="66" t="str">
        <f>IF(Sixth!C250="", "",Sixth!C250)</f>
        <v/>
      </c>
      <c r="D1497" s="66" t="str">
        <f>IF(Sixth!D250="", "",Sixth!D250)</f>
        <v/>
      </c>
      <c r="E1497" s="66" t="str">
        <f>IF(Sixth!E250="", "",Sixth!E250)</f>
        <v/>
      </c>
      <c r="F1497" s="66" t="str">
        <f>IF(Sixth!F250="", "",Sixth!F250)</f>
        <v/>
      </c>
      <c r="G1497" s="66" t="str">
        <f>IF(Sixth!G250="", "",Sixth!G250)</f>
        <v/>
      </c>
      <c r="H1497" s="66" t="str">
        <f>IF(Sixth!H250="", "",Sixth!H250)</f>
        <v/>
      </c>
      <c r="I1497" s="66" t="str">
        <f>IF(Sixth!I250="", "",Sixth!I250)</f>
        <v/>
      </c>
      <c r="J1497" s="66" t="str">
        <f>IF(Sixth!J250="", "",Sixth!J250)</f>
        <v/>
      </c>
      <c r="K1497" s="86" t="str">
        <f>IF(Sixth!K250="", "",Sixth!K250)</f>
        <v/>
      </c>
      <c r="M1497" s="67" t="str">
        <f t="shared" si="71"/>
        <v/>
      </c>
      <c r="N1497" s="76" t="str">
        <f t="shared" si="72"/>
        <v/>
      </c>
      <c r="O1497" s="33">
        <f t="shared" si="70"/>
        <v>0</v>
      </c>
    </row>
    <row r="1498" spans="1:15" x14ac:dyDescent="0.25">
      <c r="A1498" s="64" t="s">
        <v>206</v>
      </c>
      <c r="B1498" s="79" t="str">
        <f>IF(Sixth!B251="", "",Sixth!B251)</f>
        <v/>
      </c>
      <c r="C1498" s="66" t="str">
        <f>IF(Sixth!C251="", "",Sixth!C251)</f>
        <v/>
      </c>
      <c r="D1498" s="66" t="str">
        <f>IF(Sixth!D251="", "",Sixth!D251)</f>
        <v/>
      </c>
      <c r="E1498" s="66" t="str">
        <f>IF(Sixth!E251="", "",Sixth!E251)</f>
        <v/>
      </c>
      <c r="F1498" s="66" t="str">
        <f>IF(Sixth!F251="", "",Sixth!F251)</f>
        <v/>
      </c>
      <c r="G1498" s="66" t="str">
        <f>IF(Sixth!G251="", "",Sixth!G251)</f>
        <v/>
      </c>
      <c r="H1498" s="66" t="str">
        <f>IF(Sixth!H251="", "",Sixth!H251)</f>
        <v/>
      </c>
      <c r="I1498" s="66" t="str">
        <f>IF(Sixth!I251="", "",Sixth!I251)</f>
        <v/>
      </c>
      <c r="J1498" s="66" t="str">
        <f>IF(Sixth!J251="", "",Sixth!J251)</f>
        <v/>
      </c>
      <c r="K1498" s="86" t="str">
        <f>IF(Sixth!K251="", "",Sixth!K251)</f>
        <v/>
      </c>
      <c r="M1498" s="67" t="str">
        <f t="shared" si="71"/>
        <v/>
      </c>
      <c r="N1498" s="76" t="str">
        <f t="shared" si="72"/>
        <v/>
      </c>
      <c r="O1498" s="33">
        <f t="shared" si="70"/>
        <v>0</v>
      </c>
    </row>
    <row r="1499" spans="1:15" x14ac:dyDescent="0.25">
      <c r="A1499" s="64" t="s">
        <v>206</v>
      </c>
      <c r="B1499" s="79" t="str">
        <f>IF(Sixth!B252="", "",Sixth!B252)</f>
        <v/>
      </c>
      <c r="C1499" s="66" t="str">
        <f>IF(Sixth!C252="", "",Sixth!C252)</f>
        <v/>
      </c>
      <c r="D1499" s="66" t="str">
        <f>IF(Sixth!D252="", "",Sixth!D252)</f>
        <v/>
      </c>
      <c r="E1499" s="66" t="str">
        <f>IF(Sixth!E252="", "",Sixth!E252)</f>
        <v/>
      </c>
      <c r="F1499" s="66" t="str">
        <f>IF(Sixth!F252="", "",Sixth!F252)</f>
        <v/>
      </c>
      <c r="G1499" s="66" t="str">
        <f>IF(Sixth!G252="", "",Sixth!G252)</f>
        <v/>
      </c>
      <c r="H1499" s="66" t="str">
        <f>IF(Sixth!H252="", "",Sixth!H252)</f>
        <v/>
      </c>
      <c r="I1499" s="66" t="str">
        <f>IF(Sixth!I252="", "",Sixth!I252)</f>
        <v/>
      </c>
      <c r="J1499" s="66" t="str">
        <f>IF(Sixth!J252="", "",Sixth!J252)</f>
        <v/>
      </c>
      <c r="K1499" s="86" t="str">
        <f>IF(Sixth!K252="", "",Sixth!K252)</f>
        <v/>
      </c>
      <c r="M1499" s="67" t="str">
        <f t="shared" si="71"/>
        <v/>
      </c>
      <c r="N1499" s="76" t="str">
        <f t="shared" si="72"/>
        <v/>
      </c>
      <c r="O1499" s="33">
        <f t="shared" si="70"/>
        <v>0</v>
      </c>
    </row>
    <row r="1500" spans="1:15" x14ac:dyDescent="0.25">
      <c r="A1500" s="64" t="s">
        <v>206</v>
      </c>
      <c r="B1500" s="79" t="str">
        <f>IF(Sixth!B253="", "",Sixth!B253)</f>
        <v/>
      </c>
      <c r="C1500" s="66" t="str">
        <f>IF(Sixth!C253="", "",Sixth!C253)</f>
        <v/>
      </c>
      <c r="D1500" s="66" t="str">
        <f>IF(Sixth!D253="", "",Sixth!D253)</f>
        <v/>
      </c>
      <c r="E1500" s="66" t="str">
        <f>IF(Sixth!E253="", "",Sixth!E253)</f>
        <v/>
      </c>
      <c r="F1500" s="66" t="str">
        <f>IF(Sixth!F253="", "",Sixth!F253)</f>
        <v/>
      </c>
      <c r="G1500" s="66" t="str">
        <f>IF(Sixth!G253="", "",Sixth!G253)</f>
        <v/>
      </c>
      <c r="H1500" s="66" t="str">
        <f>IF(Sixth!H253="", "",Sixth!H253)</f>
        <v/>
      </c>
      <c r="I1500" s="66" t="str">
        <f>IF(Sixth!I253="", "",Sixth!I253)</f>
        <v/>
      </c>
      <c r="J1500" s="66" t="str">
        <f>IF(Sixth!J253="", "",Sixth!J253)</f>
        <v/>
      </c>
      <c r="K1500" s="86" t="str">
        <f>IF(Sixth!K253="", "",Sixth!K253)</f>
        <v/>
      </c>
      <c r="M1500" s="67" t="str">
        <f t="shared" si="71"/>
        <v/>
      </c>
      <c r="N1500" s="76" t="str">
        <f t="shared" si="72"/>
        <v/>
      </c>
      <c r="O1500" s="33">
        <f t="shared" si="70"/>
        <v>0</v>
      </c>
    </row>
    <row r="1501" spans="1:15" ht="15.75" thickBot="1" x14ac:dyDescent="0.3">
      <c r="A1501" s="68" t="s">
        <v>206</v>
      </c>
      <c r="B1501" s="80" t="str">
        <f>IF(Sixth!B254="", "",Sixth!B254)</f>
        <v/>
      </c>
      <c r="C1501" s="70" t="str">
        <f>IF(Sixth!C254="", "",Sixth!C254)</f>
        <v/>
      </c>
      <c r="D1501" s="70" t="str">
        <f>IF(Sixth!D254="", "",Sixth!D254)</f>
        <v/>
      </c>
      <c r="E1501" s="70" t="str">
        <f>IF(Sixth!E254="", "",Sixth!E254)</f>
        <v/>
      </c>
      <c r="F1501" s="70" t="str">
        <f>IF(Sixth!F254="", "",Sixth!F254)</f>
        <v/>
      </c>
      <c r="G1501" s="70" t="str">
        <f>IF(Sixth!G254="", "",Sixth!G254)</f>
        <v/>
      </c>
      <c r="H1501" s="70" t="str">
        <f>IF(Sixth!H254="", "",Sixth!H254)</f>
        <v/>
      </c>
      <c r="I1501" s="70" t="str">
        <f>IF(Sixth!I254="", "",Sixth!I254)</f>
        <v/>
      </c>
      <c r="J1501" s="70" t="str">
        <f>IF(Sixth!J254="", "",Sixth!J254)</f>
        <v/>
      </c>
      <c r="K1501" s="90" t="str">
        <f>IF(Sixth!K254="", "",Sixth!K254)</f>
        <v/>
      </c>
      <c r="L1501" s="91"/>
      <c r="M1501" s="71" t="str">
        <f t="shared" si="71"/>
        <v/>
      </c>
      <c r="N1501" s="77" t="str">
        <f t="shared" si="72"/>
        <v/>
      </c>
      <c r="O1501" s="33">
        <f t="shared" si="70"/>
        <v>0</v>
      </c>
    </row>
    <row r="1502" spans="1:15" x14ac:dyDescent="0.25">
      <c r="A1502" s="64" t="s">
        <v>180</v>
      </c>
      <c r="B1502" s="79" t="str">
        <f>IF(Seventh!B5="", "",Seventh!B5)</f>
        <v>CSS</v>
      </c>
      <c r="C1502" s="66" t="str">
        <f>IF(Seventh!C5="", "",Seventh!C5)</f>
        <v>Carer</v>
      </c>
      <c r="D1502" s="66" t="str">
        <f>IF(Seventh!D5="", "",Seventh!D5)</f>
        <v>Returning</v>
      </c>
      <c r="E1502" s="66" t="str">
        <f>IF(Seventh!E5="", "",Seventh!E5)</f>
        <v>Male</v>
      </c>
      <c r="F1502" s="66" t="str">
        <f>IF(Seventh!F5="", "",Seventh!F5)</f>
        <v>Breast</v>
      </c>
      <c r="G1502" s="66" t="str">
        <f>IF(Seventh!G5="", "",Seventh!G5)</f>
        <v>Bereaved</v>
      </c>
      <c r="H1502" s="66" t="str">
        <f>IF(Seventh!H5="", "",Seventh!H5)</f>
        <v>Drop-In</v>
      </c>
      <c r="I1502" s="66" t="str">
        <f>IF(Seventh!I5="", "",Seventh!I5)</f>
        <v/>
      </c>
      <c r="J1502" s="66" t="str">
        <f>IF(Seventh!J5="", "",Seventh!J5)</f>
        <v/>
      </c>
      <c r="K1502" s="86" t="str">
        <f>IF(Seventh!K5="", "",Seventh!K5)</f>
        <v/>
      </c>
      <c r="M1502" s="67" t="str">
        <f t="shared" si="71"/>
        <v/>
      </c>
      <c r="N1502" s="76">
        <f t="shared" si="72"/>
        <v>7</v>
      </c>
      <c r="O1502" s="33">
        <f t="shared" si="70"/>
        <v>7</v>
      </c>
    </row>
    <row r="1503" spans="1:15" x14ac:dyDescent="0.25">
      <c r="A1503" s="64" t="s">
        <v>180</v>
      </c>
      <c r="B1503" s="79" t="str">
        <f>IF(Seventh!B6="", "",Seventh!B6)</f>
        <v>CSS</v>
      </c>
      <c r="C1503" s="66" t="str">
        <f>IF(Seventh!C6="", "",Seventh!C6)</f>
        <v>PwC</v>
      </c>
      <c r="D1503" s="66" t="str">
        <f>IF(Seventh!D6="", "",Seventh!D6)</f>
        <v>Returning</v>
      </c>
      <c r="E1503" s="66" t="str">
        <f>IF(Seventh!E6="", "",Seventh!E6)</f>
        <v>Female</v>
      </c>
      <c r="F1503" s="66" t="str">
        <f>IF(Seventh!F6="", "",Seventh!F6)</f>
        <v>Breast</v>
      </c>
      <c r="G1503" s="66" t="str">
        <f>IF(Seventh!G6="", "",Seventh!G6)</f>
        <v>Curative Intent</v>
      </c>
      <c r="H1503" s="66" t="str">
        <f>IF(Seventh!H6="", "",Seventh!H6)</f>
        <v>Drop-In</v>
      </c>
      <c r="I1503" s="66" t="str">
        <f>IF(Seventh!I6="", "",Seventh!I6)</f>
        <v/>
      </c>
      <c r="J1503" s="66" t="str">
        <f>IF(Seventh!J6="", "",Seventh!J6)</f>
        <v/>
      </c>
      <c r="K1503" s="86" t="str">
        <f>IF(Seventh!K6="", "",Seventh!K6)</f>
        <v/>
      </c>
      <c r="M1503" s="67">
        <f t="shared" si="71"/>
        <v>7</v>
      </c>
      <c r="N1503" s="76" t="str">
        <f t="shared" si="72"/>
        <v/>
      </c>
      <c r="O1503" s="33">
        <f t="shared" si="70"/>
        <v>7</v>
      </c>
    </row>
    <row r="1504" spans="1:15" x14ac:dyDescent="0.25">
      <c r="A1504" s="64" t="s">
        <v>180</v>
      </c>
      <c r="B1504" s="79" t="str">
        <f>IF(Seventh!B7="", "",Seventh!B7)</f>
        <v>CSS</v>
      </c>
      <c r="C1504" s="66" t="str">
        <f>IF(Seventh!C7="", "",Seventh!C7)</f>
        <v>PwC</v>
      </c>
      <c r="D1504" s="66" t="str">
        <f>IF(Seventh!D7="", "",Seventh!D7)</f>
        <v>Returning</v>
      </c>
      <c r="E1504" s="66" t="str">
        <f>IF(Seventh!E7="", "",Seventh!E7)</f>
        <v>Female</v>
      </c>
      <c r="F1504" s="66" t="str">
        <f>IF(Seventh!F7="", "",Seventh!F7)</f>
        <v>Haemat</v>
      </c>
      <c r="G1504" s="66" t="str">
        <f>IF(Seventh!G7="", "",Seventh!G7)</f>
        <v>Non-Curative Intent</v>
      </c>
      <c r="H1504" s="66" t="str">
        <f>IF(Seventh!H7="", "",Seventh!H7)</f>
        <v>Programme</v>
      </c>
      <c r="I1504" s="66" t="str">
        <f>IF(Seventh!I7="", "",Seventh!I7)</f>
        <v>Relaxation</v>
      </c>
      <c r="J1504" s="66" t="str">
        <f>IF(Seventh!J7="", "",Seventh!J7)</f>
        <v/>
      </c>
      <c r="K1504" s="86" t="str">
        <f>IF(Seventh!K7="", "",Seventh!K7)</f>
        <v/>
      </c>
      <c r="M1504" s="67">
        <f t="shared" si="71"/>
        <v>7</v>
      </c>
      <c r="N1504" s="76" t="str">
        <f t="shared" si="72"/>
        <v/>
      </c>
      <c r="O1504" s="33">
        <f t="shared" si="70"/>
        <v>7</v>
      </c>
    </row>
    <row r="1505" spans="1:15" x14ac:dyDescent="0.25">
      <c r="A1505" s="64" t="s">
        <v>180</v>
      </c>
      <c r="B1505" s="79" t="str">
        <f>IF(Seventh!B8="", "",Seventh!B8)</f>
        <v>CSS</v>
      </c>
      <c r="C1505" s="66" t="str">
        <f>IF(Seventh!C8="", "",Seventh!C8)</f>
        <v>PwC</v>
      </c>
      <c r="D1505" s="66" t="str">
        <f>IF(Seventh!D8="", "",Seventh!D8)</f>
        <v>Returning</v>
      </c>
      <c r="E1505" s="66" t="str">
        <f>IF(Seventh!E8="", "",Seventh!E8)</f>
        <v>Female</v>
      </c>
      <c r="F1505" s="66" t="str">
        <f>IF(Seventh!F8="", "",Seventh!F8)</f>
        <v>Breast</v>
      </c>
      <c r="G1505" s="66" t="str">
        <f>IF(Seventh!G8="", "",Seventh!G8)</f>
        <v>Curative Intent</v>
      </c>
      <c r="H1505" s="66" t="str">
        <f>IF(Seventh!H8="", "",Seventh!H8)</f>
        <v>Programme</v>
      </c>
      <c r="I1505" s="66" t="str">
        <f>IF(Seventh!I8="", "",Seventh!I8)</f>
        <v>Relaxation</v>
      </c>
      <c r="J1505" s="66" t="str">
        <f>IF(Seventh!J8="", "",Seventh!J8)</f>
        <v/>
      </c>
      <c r="K1505" s="86" t="str">
        <f>IF(Seventh!K8="", "",Seventh!K8)</f>
        <v/>
      </c>
      <c r="M1505" s="67">
        <f t="shared" si="71"/>
        <v>7</v>
      </c>
      <c r="N1505" s="76" t="str">
        <f t="shared" si="72"/>
        <v/>
      </c>
      <c r="O1505" s="33">
        <f t="shared" si="70"/>
        <v>7</v>
      </c>
    </row>
    <row r="1506" spans="1:15" x14ac:dyDescent="0.25">
      <c r="A1506" s="64" t="s">
        <v>180</v>
      </c>
      <c r="B1506" s="79" t="str">
        <f>IF(Seventh!B9="", "",Seventh!B9)</f>
        <v>CSS</v>
      </c>
      <c r="C1506" s="66" t="str">
        <f>IF(Seventh!C9="", "",Seventh!C9)</f>
        <v>PwC</v>
      </c>
      <c r="D1506" s="66" t="str">
        <f>IF(Seventh!D9="", "",Seventh!D9)</f>
        <v>Returning</v>
      </c>
      <c r="E1506" s="66" t="str">
        <f>IF(Seventh!E9="", "",Seventh!E9)</f>
        <v>Female</v>
      </c>
      <c r="F1506" s="66" t="str">
        <f>IF(Seventh!F9="", "",Seventh!F9)</f>
        <v>Breast</v>
      </c>
      <c r="G1506" s="66" t="str">
        <f>IF(Seventh!G9="", "",Seventh!G9)</f>
        <v>Curative Intent</v>
      </c>
      <c r="H1506" s="66" t="str">
        <f>IF(Seventh!H9="", "",Seventh!H9)</f>
        <v>Programme</v>
      </c>
      <c r="I1506" s="66" t="str">
        <f>IF(Seventh!I9="", "",Seventh!I9)</f>
        <v>Relaxation</v>
      </c>
      <c r="J1506" s="66" t="str">
        <f>IF(Seventh!J9="", "",Seventh!J9)</f>
        <v/>
      </c>
      <c r="K1506" s="86" t="str">
        <f>IF(Seventh!K9="", "",Seventh!K9)</f>
        <v/>
      </c>
      <c r="M1506" s="67">
        <f t="shared" si="71"/>
        <v>7</v>
      </c>
      <c r="N1506" s="76" t="str">
        <f t="shared" si="72"/>
        <v/>
      </c>
      <c r="O1506" s="33">
        <f t="shared" si="70"/>
        <v>7</v>
      </c>
    </row>
    <row r="1507" spans="1:15" x14ac:dyDescent="0.25">
      <c r="A1507" s="64" t="s">
        <v>180</v>
      </c>
      <c r="B1507" s="79" t="str">
        <f>IF(Seventh!B10="", "",Seventh!B10)</f>
        <v>CSS</v>
      </c>
      <c r="C1507" s="66" t="str">
        <f>IF(Seventh!C10="", "",Seventh!C10)</f>
        <v>PwC</v>
      </c>
      <c r="D1507" s="66" t="str">
        <f>IF(Seventh!D10="", "",Seventh!D10)</f>
        <v>Returning</v>
      </c>
      <c r="E1507" s="66" t="str">
        <f>IF(Seventh!E10="", "",Seventh!E10)</f>
        <v>Female</v>
      </c>
      <c r="F1507" s="66" t="str">
        <f>IF(Seventh!F10="", "",Seventh!F10)</f>
        <v>Breast</v>
      </c>
      <c r="G1507" s="66" t="str">
        <f>IF(Seventh!G10="", "",Seventh!G10)</f>
        <v>Curative Intent</v>
      </c>
      <c r="H1507" s="66" t="str">
        <f>IF(Seventh!H10="", "",Seventh!H10)</f>
        <v>Programme</v>
      </c>
      <c r="I1507" s="66" t="str">
        <f>IF(Seventh!I10="", "",Seventh!I10)</f>
        <v>Relaxation</v>
      </c>
      <c r="J1507" s="66" t="str">
        <f>IF(Seventh!J10="", "",Seventh!J10)</f>
        <v/>
      </c>
      <c r="K1507" s="86" t="str">
        <f>IF(Seventh!K10="", "",Seventh!K10)</f>
        <v/>
      </c>
      <c r="M1507" s="67">
        <f t="shared" si="71"/>
        <v>7</v>
      </c>
      <c r="N1507" s="76" t="str">
        <f t="shared" si="72"/>
        <v/>
      </c>
      <c r="O1507" s="33">
        <f t="shared" si="70"/>
        <v>7</v>
      </c>
    </row>
    <row r="1508" spans="1:15" x14ac:dyDescent="0.25">
      <c r="A1508" s="64" t="s">
        <v>180</v>
      </c>
      <c r="B1508" s="79" t="str">
        <f>IF(Seventh!B11="", "",Seventh!B11)</f>
        <v>CSS</v>
      </c>
      <c r="C1508" s="66" t="str">
        <f>IF(Seventh!C11="", "",Seventh!C11)</f>
        <v>PwC</v>
      </c>
      <c r="D1508" s="66" t="str">
        <f>IF(Seventh!D11="", "",Seventh!D11)</f>
        <v>Returning</v>
      </c>
      <c r="E1508" s="66" t="str">
        <f>IF(Seventh!E11="", "",Seventh!E11)</f>
        <v>Female</v>
      </c>
      <c r="F1508" s="66" t="str">
        <f>IF(Seventh!F11="", "",Seventh!F11)</f>
        <v>Breast</v>
      </c>
      <c r="G1508" s="66" t="str">
        <f>IF(Seventh!G11="", "",Seventh!G11)</f>
        <v>Non-Curative Intent</v>
      </c>
      <c r="H1508" s="66" t="str">
        <f>IF(Seventh!H11="", "",Seventh!H11)</f>
        <v>Programme</v>
      </c>
      <c r="I1508" s="66" t="str">
        <f>IF(Seventh!I11="", "",Seventh!I11)</f>
        <v>Relaxation</v>
      </c>
      <c r="J1508" s="66" t="str">
        <f>IF(Seventh!J11="", "",Seventh!J11)</f>
        <v/>
      </c>
      <c r="K1508" s="86" t="str">
        <f>IF(Seventh!K11="", "",Seventh!K11)</f>
        <v/>
      </c>
      <c r="M1508" s="67">
        <f t="shared" si="71"/>
        <v>7</v>
      </c>
      <c r="N1508" s="76" t="str">
        <f t="shared" si="72"/>
        <v/>
      </c>
      <c r="O1508" s="33">
        <f t="shared" si="70"/>
        <v>7</v>
      </c>
    </row>
    <row r="1509" spans="1:15" x14ac:dyDescent="0.25">
      <c r="A1509" s="64" t="s">
        <v>180</v>
      </c>
      <c r="B1509" s="79" t="str">
        <f>IF(Seventh!B12="", "",Seventh!B12)</f>
        <v>CSS</v>
      </c>
      <c r="C1509" s="66" t="str">
        <f>IF(Seventh!C12="", "",Seventh!C12)</f>
        <v>Carer</v>
      </c>
      <c r="D1509" s="66" t="str">
        <f>IF(Seventh!D12="", "",Seventh!D12)</f>
        <v>Returning</v>
      </c>
      <c r="E1509" s="66" t="str">
        <f>IF(Seventh!E12="", "",Seventh!E12)</f>
        <v>Male</v>
      </c>
      <c r="F1509" s="66" t="str">
        <f>IF(Seventh!F12="", "",Seventh!F12)</f>
        <v>Breast</v>
      </c>
      <c r="G1509" s="66" t="str">
        <f>IF(Seventh!G12="", "",Seventh!G12)</f>
        <v>Non-Curative Intent</v>
      </c>
      <c r="H1509" s="66" t="str">
        <f>IF(Seventh!H12="", "",Seventh!H12)</f>
        <v>Programme</v>
      </c>
      <c r="I1509" s="66" t="str">
        <f>IF(Seventh!I12="", "",Seventh!I12)</f>
        <v>Relaxation</v>
      </c>
      <c r="J1509" s="66" t="str">
        <f>IF(Seventh!J12="", "",Seventh!J12)</f>
        <v/>
      </c>
      <c r="K1509" s="86" t="str">
        <f>IF(Seventh!K12="", "",Seventh!K12)</f>
        <v/>
      </c>
      <c r="M1509" s="67" t="str">
        <f t="shared" si="71"/>
        <v/>
      </c>
      <c r="N1509" s="76">
        <f t="shared" si="72"/>
        <v>7</v>
      </c>
      <c r="O1509" s="33">
        <f t="shared" si="70"/>
        <v>7</v>
      </c>
    </row>
    <row r="1510" spans="1:15" x14ac:dyDescent="0.25">
      <c r="A1510" s="64" t="s">
        <v>180</v>
      </c>
      <c r="B1510" s="79" t="str">
        <f>IF(Seventh!B13="", "",Seventh!B13)</f>
        <v>CSS</v>
      </c>
      <c r="C1510" s="66" t="str">
        <f>IF(Seventh!C13="", "",Seventh!C13)</f>
        <v>PwC</v>
      </c>
      <c r="D1510" s="66" t="str">
        <f>IF(Seventh!D13="", "",Seventh!D13)</f>
        <v>Returning</v>
      </c>
      <c r="E1510" s="66" t="str">
        <f>IF(Seventh!E13="", "",Seventh!E13)</f>
        <v>Female</v>
      </c>
      <c r="F1510" s="66" t="str">
        <f>IF(Seventh!F13="", "",Seventh!F13)</f>
        <v>Unknown Primary</v>
      </c>
      <c r="G1510" s="66" t="str">
        <f>IF(Seventh!G13="", "",Seventh!G13)</f>
        <v>Non-Curative Intent</v>
      </c>
      <c r="H1510" s="66" t="str">
        <f>IF(Seventh!H13="", "",Seventh!H13)</f>
        <v>Programme</v>
      </c>
      <c r="I1510" s="66" t="str">
        <f>IF(Seventh!I13="", "",Seventh!I13)</f>
        <v>Relaxation</v>
      </c>
      <c r="J1510" s="66" t="str">
        <f>IF(Seventh!J13="", "",Seventh!J13)</f>
        <v/>
      </c>
      <c r="K1510" s="86" t="str">
        <f>IF(Seventh!K13="", "",Seventh!K13)</f>
        <v/>
      </c>
      <c r="M1510" s="67">
        <f t="shared" si="71"/>
        <v>7</v>
      </c>
      <c r="N1510" s="76" t="str">
        <f t="shared" si="72"/>
        <v/>
      </c>
      <c r="O1510" s="33">
        <f t="shared" si="70"/>
        <v>7</v>
      </c>
    </row>
    <row r="1511" spans="1:15" x14ac:dyDescent="0.25">
      <c r="A1511" s="64" t="s">
        <v>180</v>
      </c>
      <c r="B1511" s="79" t="str">
        <f>IF(Seventh!B14="", "",Seventh!B14)</f>
        <v>CSS</v>
      </c>
      <c r="C1511" s="66" t="str">
        <f>IF(Seventh!C14="", "",Seventh!C14)</f>
        <v>PwC</v>
      </c>
      <c r="D1511" s="66" t="str">
        <f>IF(Seventh!D14="", "",Seventh!D14)</f>
        <v>Returning</v>
      </c>
      <c r="E1511" s="66" t="str">
        <f>IF(Seventh!E14="", "",Seventh!E14)</f>
        <v>Male</v>
      </c>
      <c r="F1511" s="66" t="str">
        <f>IF(Seventh!F14="", "",Seventh!F14)</f>
        <v>Testicular</v>
      </c>
      <c r="G1511" s="66" t="str">
        <f>IF(Seventh!G14="", "",Seventh!G14)</f>
        <v>Curative Intent</v>
      </c>
      <c r="H1511" s="66" t="str">
        <f>IF(Seventh!H14="", "",Seventh!H14)</f>
        <v>Programme</v>
      </c>
      <c r="I1511" s="66" t="str">
        <f>IF(Seventh!I14="", "",Seventh!I14)</f>
        <v>Relaxation</v>
      </c>
      <c r="J1511" s="66" t="str">
        <f>IF(Seventh!J14="", "",Seventh!J14)</f>
        <v/>
      </c>
      <c r="K1511" s="86" t="str">
        <f>IF(Seventh!K14="", "",Seventh!K14)</f>
        <v/>
      </c>
      <c r="M1511" s="67">
        <f t="shared" si="71"/>
        <v>7</v>
      </c>
      <c r="N1511" s="76" t="str">
        <f t="shared" si="72"/>
        <v/>
      </c>
      <c r="O1511" s="33">
        <f t="shared" si="70"/>
        <v>7</v>
      </c>
    </row>
    <row r="1512" spans="1:15" x14ac:dyDescent="0.25">
      <c r="A1512" s="64" t="s">
        <v>180</v>
      </c>
      <c r="B1512" s="79" t="str">
        <f>IF(Seventh!B15="", "",Seventh!B15)</f>
        <v>CSS</v>
      </c>
      <c r="C1512" s="66" t="str">
        <f>IF(Seventh!C15="", "",Seventh!C15)</f>
        <v>PwC</v>
      </c>
      <c r="D1512" s="66" t="str">
        <f>IF(Seventh!D15="", "",Seventh!D15)</f>
        <v>Returning</v>
      </c>
      <c r="E1512" s="66" t="str">
        <f>IF(Seventh!E15="", "",Seventh!E15)</f>
        <v>Male</v>
      </c>
      <c r="F1512" s="66" t="str">
        <f>IF(Seventh!F15="", "",Seventh!F15)</f>
        <v>Brain/CNS</v>
      </c>
      <c r="G1512" s="66" t="str">
        <f>IF(Seventh!G15="", "",Seventh!G15)</f>
        <v>Curative Intent</v>
      </c>
      <c r="H1512" s="66" t="str">
        <f>IF(Seventh!H15="", "",Seventh!H15)</f>
        <v>Programme</v>
      </c>
      <c r="I1512" s="66" t="str">
        <f>IF(Seventh!I15="", "",Seventh!I15)</f>
        <v>Relaxation</v>
      </c>
      <c r="J1512" s="66" t="str">
        <f>IF(Seventh!J15="", "",Seventh!J15)</f>
        <v/>
      </c>
      <c r="K1512" s="86" t="str">
        <f>IF(Seventh!K15="", "",Seventh!K15)</f>
        <v/>
      </c>
      <c r="M1512" s="67">
        <f t="shared" si="71"/>
        <v>7</v>
      </c>
      <c r="N1512" s="76" t="str">
        <f t="shared" si="72"/>
        <v/>
      </c>
      <c r="O1512" s="33">
        <f t="shared" si="70"/>
        <v>7</v>
      </c>
    </row>
    <row r="1513" spans="1:15" x14ac:dyDescent="0.25">
      <c r="A1513" s="64" t="s">
        <v>180</v>
      </c>
      <c r="B1513" s="79" t="str">
        <f>IF(Seventh!B16="", "",Seventh!B16)</f>
        <v>CSS</v>
      </c>
      <c r="C1513" s="66" t="str">
        <f>IF(Seventh!C16="", "",Seventh!C16)</f>
        <v>PwC</v>
      </c>
      <c r="D1513" s="66" t="str">
        <f>IF(Seventh!D16="", "",Seventh!D16)</f>
        <v>Returning</v>
      </c>
      <c r="E1513" s="66" t="str">
        <f>IF(Seventh!E16="", "",Seventh!E16)</f>
        <v>Male</v>
      </c>
      <c r="F1513" s="66" t="str">
        <f>IF(Seventh!F16="", "",Seventh!F16)</f>
        <v>Prostate</v>
      </c>
      <c r="G1513" s="66" t="str">
        <f>IF(Seventh!G16="", "",Seventh!G16)</f>
        <v>Non-Curative Intent</v>
      </c>
      <c r="H1513" s="66" t="str">
        <f>IF(Seventh!H16="", "",Seventh!H16)</f>
        <v>Programme</v>
      </c>
      <c r="I1513" s="66" t="str">
        <f>IF(Seventh!I16="", "",Seventh!I16)</f>
        <v>Relaxation</v>
      </c>
      <c r="J1513" s="66" t="str">
        <f>IF(Seventh!J16="", "",Seventh!J16)</f>
        <v/>
      </c>
      <c r="K1513" s="86" t="str">
        <f>IF(Seventh!K16="", "",Seventh!K16)</f>
        <v/>
      </c>
      <c r="M1513" s="67">
        <f t="shared" si="71"/>
        <v>7</v>
      </c>
      <c r="N1513" s="76" t="str">
        <f t="shared" si="72"/>
        <v/>
      </c>
      <c r="O1513" s="33">
        <f t="shared" si="70"/>
        <v>7</v>
      </c>
    </row>
    <row r="1514" spans="1:15" x14ac:dyDescent="0.25">
      <c r="A1514" s="64" t="s">
        <v>180</v>
      </c>
      <c r="B1514" s="79" t="str">
        <f>IF(Seventh!B17="", "",Seventh!B17)</f>
        <v>CSS</v>
      </c>
      <c r="C1514" s="66" t="str">
        <f>IF(Seventh!C17="", "",Seventh!C17)</f>
        <v>PwC</v>
      </c>
      <c r="D1514" s="66" t="str">
        <f>IF(Seventh!D17="", "",Seventh!D17)</f>
        <v>Returning</v>
      </c>
      <c r="E1514" s="66" t="str">
        <f>IF(Seventh!E17="", "",Seventh!E17)</f>
        <v>Female</v>
      </c>
      <c r="F1514" s="66" t="str">
        <f>IF(Seventh!F17="", "",Seventh!F17)</f>
        <v>Breast</v>
      </c>
      <c r="G1514" s="66" t="str">
        <f>IF(Seventh!G17="", "",Seventh!G17)</f>
        <v>Non-Curative Intent</v>
      </c>
      <c r="H1514" s="66" t="str">
        <f>IF(Seventh!H17="", "",Seventh!H17)</f>
        <v>Programme</v>
      </c>
      <c r="I1514" s="66" t="str">
        <f>IF(Seventh!I17="", "",Seventh!I17)</f>
        <v>Relaxation</v>
      </c>
      <c r="J1514" s="66" t="str">
        <f>IF(Seventh!J17="", "",Seventh!J17)</f>
        <v/>
      </c>
      <c r="K1514" s="86" t="str">
        <f>IF(Seventh!K17="", "",Seventh!K17)</f>
        <v/>
      </c>
      <c r="M1514" s="67">
        <f t="shared" si="71"/>
        <v>7</v>
      </c>
      <c r="N1514" s="76" t="str">
        <f t="shared" si="72"/>
        <v/>
      </c>
      <c r="O1514" s="33">
        <f t="shared" si="70"/>
        <v>7</v>
      </c>
    </row>
    <row r="1515" spans="1:15" x14ac:dyDescent="0.25">
      <c r="A1515" s="64" t="s">
        <v>180</v>
      </c>
      <c r="B1515" s="79" t="str">
        <f>IF(Seventh!B18="", "",Seventh!B18)</f>
        <v>CSS</v>
      </c>
      <c r="C1515" s="66" t="str">
        <f>IF(Seventh!C18="", "",Seventh!C18)</f>
        <v>PwC</v>
      </c>
      <c r="D1515" s="66" t="str">
        <f>IF(Seventh!D18="", "",Seventh!D18)</f>
        <v>Returning</v>
      </c>
      <c r="E1515" s="66" t="str">
        <f>IF(Seventh!E18="", "",Seventh!E18)</f>
        <v>Female</v>
      </c>
      <c r="F1515" s="66" t="str">
        <f>IF(Seventh!F18="", "",Seventh!F18)</f>
        <v>Urolog</v>
      </c>
      <c r="G1515" s="66" t="str">
        <f>IF(Seventh!G18="", "",Seventh!G18)</f>
        <v>Non-Curative Intent</v>
      </c>
      <c r="H1515" s="66" t="str">
        <f>IF(Seventh!H18="", "",Seventh!H18)</f>
        <v>Booked</v>
      </c>
      <c r="I1515" s="66" t="str">
        <f>IF(Seventh!I18="", "",Seventh!I18)</f>
        <v>Psych Support - Individual</v>
      </c>
      <c r="J1515" s="66" t="str">
        <f>IF(Seventh!J18="", "",Seventh!J18)</f>
        <v/>
      </c>
      <c r="K1515" s="86" t="str">
        <f>IF(Seventh!K18="", "",Seventh!K18)</f>
        <v/>
      </c>
      <c r="M1515" s="67">
        <f t="shared" si="71"/>
        <v>7</v>
      </c>
      <c r="N1515" s="76" t="str">
        <f t="shared" si="72"/>
        <v/>
      </c>
      <c r="O1515" s="33">
        <f t="shared" si="70"/>
        <v>7</v>
      </c>
    </row>
    <row r="1516" spans="1:15" x14ac:dyDescent="0.25">
      <c r="A1516" s="64" t="s">
        <v>180</v>
      </c>
      <c r="B1516" s="79" t="str">
        <f>IF(Seventh!B19="", "",Seventh!B19)</f>
        <v>CSS</v>
      </c>
      <c r="C1516" s="66" t="str">
        <f>IF(Seventh!C19="", "",Seventh!C19)</f>
        <v>Carer</v>
      </c>
      <c r="D1516" s="66" t="str">
        <f>IF(Seventh!D19="", "",Seventh!D19)</f>
        <v>Returning</v>
      </c>
      <c r="E1516" s="66" t="str">
        <f>IF(Seventh!E19="", "",Seventh!E19)</f>
        <v>Female</v>
      </c>
      <c r="F1516" s="66" t="str">
        <f>IF(Seventh!F19="", "",Seventh!F19)</f>
        <v>Urolog</v>
      </c>
      <c r="G1516" s="66" t="str">
        <f>IF(Seventh!G19="", "",Seventh!G19)</f>
        <v>Non-Curative Intent</v>
      </c>
      <c r="H1516" s="66" t="str">
        <f>IF(Seventh!H19="", "",Seventh!H19)</f>
        <v>Drop-In</v>
      </c>
      <c r="I1516" s="66" t="str">
        <f>IF(Seventh!I19="", "",Seventh!I19)</f>
        <v/>
      </c>
      <c r="J1516" s="66" t="str">
        <f>IF(Seventh!J19="", "",Seventh!J19)</f>
        <v/>
      </c>
      <c r="K1516" s="86" t="str">
        <f>IF(Seventh!K19="", "",Seventh!K19)</f>
        <v/>
      </c>
      <c r="M1516" s="67" t="str">
        <f t="shared" si="71"/>
        <v/>
      </c>
      <c r="N1516" s="76">
        <f t="shared" si="72"/>
        <v>7</v>
      </c>
      <c r="O1516" s="33">
        <f t="shared" si="70"/>
        <v>7</v>
      </c>
    </row>
    <row r="1517" spans="1:15" x14ac:dyDescent="0.25">
      <c r="A1517" s="64" t="s">
        <v>180</v>
      </c>
      <c r="B1517" s="79" t="str">
        <f>IF(Seventh!B20="", "",Seventh!B20)</f>
        <v>CSS</v>
      </c>
      <c r="C1517" s="66" t="str">
        <f>IF(Seventh!C20="", "",Seventh!C20)</f>
        <v>Carer</v>
      </c>
      <c r="D1517" s="66" t="str">
        <f>IF(Seventh!D20="", "",Seventh!D20)</f>
        <v>Returning</v>
      </c>
      <c r="E1517" s="66" t="str">
        <f>IF(Seventh!E20="", "",Seventh!E20)</f>
        <v>Female</v>
      </c>
      <c r="F1517" s="66" t="str">
        <f>IF(Seventh!F20="", "",Seventh!F20)</f>
        <v>Urolog</v>
      </c>
      <c r="G1517" s="66" t="str">
        <f>IF(Seventh!G20="", "",Seventh!G20)</f>
        <v>Non-Curative Intent</v>
      </c>
      <c r="H1517" s="66" t="str">
        <f>IF(Seventh!H20="", "",Seventh!H20)</f>
        <v>Drop-In</v>
      </c>
      <c r="I1517" s="66" t="str">
        <f>IF(Seventh!I20="", "",Seventh!I20)</f>
        <v/>
      </c>
      <c r="J1517" s="66" t="str">
        <f>IF(Seventh!J20="", "",Seventh!J20)</f>
        <v/>
      </c>
      <c r="K1517" s="86" t="str">
        <f>IF(Seventh!K20="", "",Seventh!K20)</f>
        <v/>
      </c>
      <c r="M1517" s="67" t="str">
        <f t="shared" si="71"/>
        <v/>
      </c>
      <c r="N1517" s="76">
        <f t="shared" si="72"/>
        <v>7</v>
      </c>
      <c r="O1517" s="33">
        <f t="shared" si="70"/>
        <v>7</v>
      </c>
    </row>
    <row r="1518" spans="1:15" x14ac:dyDescent="0.25">
      <c r="A1518" s="64" t="s">
        <v>180</v>
      </c>
      <c r="B1518" s="79" t="str">
        <f>IF(Seventh!B21="", "",Seventh!B21)</f>
        <v>CSS</v>
      </c>
      <c r="C1518" s="66" t="str">
        <f>IF(Seventh!C21="", "",Seventh!C21)</f>
        <v>Carer</v>
      </c>
      <c r="D1518" s="66" t="str">
        <f>IF(Seventh!D21="", "",Seventh!D21)</f>
        <v>Returning</v>
      </c>
      <c r="E1518" s="66" t="str">
        <f>IF(Seventh!E21="", "",Seventh!E21)</f>
        <v>Male</v>
      </c>
      <c r="F1518" s="66" t="str">
        <f>IF(Seventh!F21="", "",Seventh!F21)</f>
        <v>Upper GI</v>
      </c>
      <c r="G1518" s="66" t="str">
        <f>IF(Seventh!G21="", "",Seventh!G21)</f>
        <v>Bereaved</v>
      </c>
      <c r="H1518" s="66" t="str">
        <f>IF(Seventh!H21="", "",Seventh!H21)</f>
        <v>Booked</v>
      </c>
      <c r="I1518" s="66" t="str">
        <f>IF(Seventh!I21="", "",Seventh!I21)</f>
        <v>Psych Support - Individual</v>
      </c>
      <c r="J1518" s="66" t="str">
        <f>IF(Seventh!J21="", "",Seventh!J21)</f>
        <v/>
      </c>
      <c r="K1518" s="86" t="str">
        <f>IF(Seventh!K21="", "",Seventh!K21)</f>
        <v/>
      </c>
      <c r="M1518" s="67" t="str">
        <f t="shared" si="71"/>
        <v/>
      </c>
      <c r="N1518" s="76">
        <f t="shared" si="72"/>
        <v>7</v>
      </c>
      <c r="O1518" s="33">
        <f t="shared" si="70"/>
        <v>7</v>
      </c>
    </row>
    <row r="1519" spans="1:15" x14ac:dyDescent="0.25">
      <c r="A1519" s="64" t="s">
        <v>180</v>
      </c>
      <c r="B1519" s="79" t="str">
        <f>IF(Seventh!B22="", "",Seventh!B22)</f>
        <v>CSS</v>
      </c>
      <c r="C1519" s="66" t="str">
        <f>IF(Seventh!C22="", "",Seventh!C22)</f>
        <v>Carer</v>
      </c>
      <c r="D1519" s="66" t="str">
        <f>IF(Seventh!D22="", "",Seventh!D22)</f>
        <v>New</v>
      </c>
      <c r="E1519" s="66" t="str">
        <f>IF(Seventh!E22="", "",Seventh!E22)</f>
        <v>Male</v>
      </c>
      <c r="F1519" s="66" t="str">
        <f>IF(Seventh!F22="", "",Seventh!F22)</f>
        <v>Breast</v>
      </c>
      <c r="G1519" s="66" t="str">
        <f>IF(Seventh!G22="", "",Seventh!G22)</f>
        <v>Curative Intent</v>
      </c>
      <c r="H1519" s="66" t="str">
        <f>IF(Seventh!H22="", "",Seventh!H22)</f>
        <v>Drop-In</v>
      </c>
      <c r="I1519" s="66" t="str">
        <f>IF(Seventh!I22="", "",Seventh!I22)</f>
        <v/>
      </c>
      <c r="J1519" s="66" t="str">
        <f>IF(Seventh!J22="", "",Seventh!J22)</f>
        <v/>
      </c>
      <c r="K1519" s="86" t="str">
        <f>IF(Seventh!K22="", "",Seventh!K22)</f>
        <v/>
      </c>
      <c r="M1519" s="67" t="str">
        <f t="shared" si="71"/>
        <v/>
      </c>
      <c r="N1519" s="76">
        <f t="shared" si="72"/>
        <v>7</v>
      </c>
      <c r="O1519" s="33">
        <f t="shared" si="70"/>
        <v>7</v>
      </c>
    </row>
    <row r="1520" spans="1:15" x14ac:dyDescent="0.25">
      <c r="A1520" s="64" t="s">
        <v>180</v>
      </c>
      <c r="B1520" s="79" t="str">
        <f>IF(Seventh!B23="", "",Seventh!B23)</f>
        <v>CSS</v>
      </c>
      <c r="C1520" s="66" t="str">
        <f>IF(Seventh!C23="", "",Seventh!C23)</f>
        <v>PwC</v>
      </c>
      <c r="D1520" s="66" t="str">
        <f>IF(Seventh!D23="", "",Seventh!D23)</f>
        <v>New</v>
      </c>
      <c r="E1520" s="66" t="str">
        <f>IF(Seventh!E23="", "",Seventh!E23)</f>
        <v>Male</v>
      </c>
      <c r="F1520" s="66" t="str">
        <f>IF(Seventh!F23="", "",Seventh!F23)</f>
        <v>Lower GI</v>
      </c>
      <c r="G1520" s="66" t="str">
        <f>IF(Seventh!G23="", "",Seventh!G23)</f>
        <v>Non-Curative Intent</v>
      </c>
      <c r="H1520" s="66" t="str">
        <f>IF(Seventh!H23="", "",Seventh!H23)</f>
        <v>Drop-In</v>
      </c>
      <c r="I1520" s="66" t="str">
        <f>IF(Seventh!I23="", "",Seventh!I23)</f>
        <v/>
      </c>
      <c r="J1520" s="66" t="str">
        <f>IF(Seventh!J23="", "",Seventh!J23)</f>
        <v/>
      </c>
      <c r="K1520" s="86" t="str">
        <f>IF(Seventh!K23="", "",Seventh!K23)</f>
        <v/>
      </c>
      <c r="M1520" s="67">
        <f t="shared" si="71"/>
        <v>7</v>
      </c>
      <c r="N1520" s="76" t="str">
        <f t="shared" si="72"/>
        <v/>
      </c>
      <c r="O1520" s="33">
        <f t="shared" si="70"/>
        <v>7</v>
      </c>
    </row>
    <row r="1521" spans="1:15" x14ac:dyDescent="0.25">
      <c r="A1521" s="64" t="s">
        <v>180</v>
      </c>
      <c r="B1521" s="79" t="str">
        <f>IF(Seventh!B24="", "",Seventh!B24)</f>
        <v>CSS</v>
      </c>
      <c r="C1521" s="66" t="str">
        <f>IF(Seventh!C24="", "",Seventh!C24)</f>
        <v>PwC</v>
      </c>
      <c r="D1521" s="66" t="str">
        <f>IF(Seventh!D24="", "",Seventh!D24)</f>
        <v>Returning</v>
      </c>
      <c r="E1521" s="66" t="str">
        <f>IF(Seventh!E24="", "",Seventh!E24)</f>
        <v>Female</v>
      </c>
      <c r="F1521" s="66" t="str">
        <f>IF(Seventh!F24="", "",Seventh!F24)</f>
        <v>Breast</v>
      </c>
      <c r="G1521" s="66" t="str">
        <f>IF(Seventh!G24="", "",Seventh!G24)</f>
        <v>Curative Intent</v>
      </c>
      <c r="H1521" s="66" t="str">
        <f>IF(Seventh!H24="", "",Seventh!H24)</f>
        <v>Programme</v>
      </c>
      <c r="I1521" s="66" t="str">
        <f>IF(Seventh!I24="", "",Seventh!I24)</f>
        <v>Music Therapy/Choir</v>
      </c>
      <c r="J1521" s="66" t="str">
        <f>IF(Seventh!J24="", "",Seventh!J24)</f>
        <v/>
      </c>
      <c r="K1521" s="86" t="str">
        <f>IF(Seventh!K24="", "",Seventh!K24)</f>
        <v/>
      </c>
      <c r="M1521" s="67">
        <f t="shared" si="71"/>
        <v>7</v>
      </c>
      <c r="N1521" s="76" t="str">
        <f t="shared" si="72"/>
        <v/>
      </c>
      <c r="O1521" s="33">
        <f t="shared" si="70"/>
        <v>7</v>
      </c>
    </row>
    <row r="1522" spans="1:15" x14ac:dyDescent="0.25">
      <c r="A1522" s="64" t="s">
        <v>180</v>
      </c>
      <c r="B1522" s="79" t="str">
        <f>IF(Seventh!B25="", "",Seventh!B25)</f>
        <v>CSS</v>
      </c>
      <c r="C1522" s="66" t="str">
        <f>IF(Seventh!C25="", "",Seventh!C25)</f>
        <v>PwC</v>
      </c>
      <c r="D1522" s="66" t="str">
        <f>IF(Seventh!D25="", "",Seventh!D25)</f>
        <v>Returning</v>
      </c>
      <c r="E1522" s="66" t="str">
        <f>IF(Seventh!E25="", "",Seventh!E25)</f>
        <v>Female</v>
      </c>
      <c r="F1522" s="66" t="str">
        <f>IF(Seventh!F25="", "",Seventh!F25)</f>
        <v>Breast</v>
      </c>
      <c r="G1522" s="66" t="str">
        <f>IF(Seventh!G25="", "",Seventh!G25)</f>
        <v>Curative Intent</v>
      </c>
      <c r="H1522" s="66" t="str">
        <f>IF(Seventh!H25="", "",Seventh!H25)</f>
        <v>Programme</v>
      </c>
      <c r="I1522" s="66" t="str">
        <f>IF(Seventh!I25="", "",Seventh!I25)</f>
        <v>Music Therapy/Choir</v>
      </c>
      <c r="J1522" s="66" t="str">
        <f>IF(Seventh!J25="", "",Seventh!J25)</f>
        <v/>
      </c>
      <c r="K1522" s="86" t="str">
        <f>IF(Seventh!K25="", "",Seventh!K25)</f>
        <v/>
      </c>
      <c r="M1522" s="67">
        <f t="shared" si="71"/>
        <v>7</v>
      </c>
      <c r="N1522" s="76" t="str">
        <f t="shared" si="72"/>
        <v/>
      </c>
      <c r="O1522" s="33">
        <f t="shared" si="70"/>
        <v>7</v>
      </c>
    </row>
    <row r="1523" spans="1:15" x14ac:dyDescent="0.25">
      <c r="A1523" s="64" t="s">
        <v>180</v>
      </c>
      <c r="B1523" s="79" t="str">
        <f>IF(Seventh!B26="", "",Seventh!B26)</f>
        <v>CSS</v>
      </c>
      <c r="C1523" s="66" t="str">
        <f>IF(Seventh!C26="", "",Seventh!C26)</f>
        <v>PwC</v>
      </c>
      <c r="D1523" s="66" t="str">
        <f>IF(Seventh!D26="", "",Seventh!D26)</f>
        <v>Returning</v>
      </c>
      <c r="E1523" s="66" t="str">
        <f>IF(Seventh!E26="", "",Seventh!E26)</f>
        <v>Female</v>
      </c>
      <c r="F1523" s="66" t="str">
        <f>IF(Seventh!F26="", "",Seventh!F26)</f>
        <v>Breast</v>
      </c>
      <c r="G1523" s="66" t="str">
        <f>IF(Seventh!G26="", "",Seventh!G26)</f>
        <v>Curative Intent</v>
      </c>
      <c r="H1523" s="66" t="str">
        <f>IF(Seventh!H26="", "",Seventh!H26)</f>
        <v>Programme</v>
      </c>
      <c r="I1523" s="66" t="str">
        <f>IF(Seventh!I26="", "",Seventh!I26)</f>
        <v>Music Therapy/Choir</v>
      </c>
      <c r="J1523" s="66" t="str">
        <f>IF(Seventh!J26="", "",Seventh!J26)</f>
        <v/>
      </c>
      <c r="K1523" s="86" t="str">
        <f>IF(Seventh!K26="", "",Seventh!K26)</f>
        <v/>
      </c>
      <c r="M1523" s="67">
        <f t="shared" si="71"/>
        <v>7</v>
      </c>
      <c r="N1523" s="76" t="str">
        <f t="shared" si="72"/>
        <v/>
      </c>
      <c r="O1523" s="33">
        <f t="shared" si="70"/>
        <v>7</v>
      </c>
    </row>
    <row r="1524" spans="1:15" x14ac:dyDescent="0.25">
      <c r="A1524" s="64" t="s">
        <v>180</v>
      </c>
      <c r="B1524" s="79" t="str">
        <f>IF(Seventh!B27="", "",Seventh!B27)</f>
        <v>CSS</v>
      </c>
      <c r="C1524" s="66" t="str">
        <f>IF(Seventh!C27="", "",Seventh!C27)</f>
        <v>PwC</v>
      </c>
      <c r="D1524" s="66" t="str">
        <f>IF(Seventh!D27="", "",Seventh!D27)</f>
        <v>Returning</v>
      </c>
      <c r="E1524" s="66" t="str">
        <f>IF(Seventh!E27="", "",Seventh!E27)</f>
        <v>Female</v>
      </c>
      <c r="F1524" s="66" t="str">
        <f>IF(Seventh!F27="", "",Seventh!F27)</f>
        <v>Not Stated</v>
      </c>
      <c r="G1524" s="66" t="str">
        <f>IF(Seventh!G27="", "",Seventh!G27)</f>
        <v>Not Stated</v>
      </c>
      <c r="H1524" s="66" t="str">
        <f>IF(Seventh!H27="", "",Seventh!H27)</f>
        <v>Programme</v>
      </c>
      <c r="I1524" s="66" t="str">
        <f>IF(Seventh!I27="", "",Seventh!I27)</f>
        <v>Music Therapy/Choir</v>
      </c>
      <c r="J1524" s="66" t="str">
        <f>IF(Seventh!J27="", "",Seventh!J27)</f>
        <v/>
      </c>
      <c r="K1524" s="86" t="str">
        <f>IF(Seventh!K27="", "",Seventh!K27)</f>
        <v/>
      </c>
      <c r="M1524" s="67">
        <f t="shared" si="71"/>
        <v>7</v>
      </c>
      <c r="N1524" s="76" t="str">
        <f t="shared" si="72"/>
        <v/>
      </c>
      <c r="O1524" s="33">
        <f t="shared" si="70"/>
        <v>7</v>
      </c>
    </row>
    <row r="1525" spans="1:15" x14ac:dyDescent="0.25">
      <c r="A1525" s="64" t="s">
        <v>180</v>
      </c>
      <c r="B1525" s="79" t="str">
        <f>IF(Seventh!B28="", "",Seventh!B28)</f>
        <v>CSS</v>
      </c>
      <c r="C1525" s="66" t="str">
        <f>IF(Seventh!C28="", "",Seventh!C28)</f>
        <v>PwC</v>
      </c>
      <c r="D1525" s="66" t="str">
        <f>IF(Seventh!D28="", "",Seventh!D28)</f>
        <v>Returning</v>
      </c>
      <c r="E1525" s="66" t="str">
        <f>IF(Seventh!E28="", "",Seventh!E28)</f>
        <v>Female</v>
      </c>
      <c r="F1525" s="66" t="str">
        <f>IF(Seventh!F28="", "",Seventh!F28)</f>
        <v>Not Stated</v>
      </c>
      <c r="G1525" s="66" t="str">
        <f>IF(Seventh!G28="", "",Seventh!G28)</f>
        <v>Not Stated</v>
      </c>
      <c r="H1525" s="66" t="str">
        <f>IF(Seventh!H28="", "",Seventh!H28)</f>
        <v>Programme</v>
      </c>
      <c r="I1525" s="66" t="str">
        <f>IF(Seventh!I28="", "",Seventh!I28)</f>
        <v>Music Therapy/Choir</v>
      </c>
      <c r="J1525" s="66" t="str">
        <f>IF(Seventh!J28="", "",Seventh!J28)</f>
        <v/>
      </c>
      <c r="K1525" s="86" t="str">
        <f>IF(Seventh!K28="", "",Seventh!K28)</f>
        <v/>
      </c>
      <c r="M1525" s="67">
        <f t="shared" si="71"/>
        <v>7</v>
      </c>
      <c r="N1525" s="76" t="str">
        <f t="shared" si="72"/>
        <v/>
      </c>
      <c r="O1525" s="33">
        <f t="shared" si="70"/>
        <v>7</v>
      </c>
    </row>
    <row r="1526" spans="1:15" x14ac:dyDescent="0.25">
      <c r="A1526" s="64" t="s">
        <v>180</v>
      </c>
      <c r="B1526" s="79" t="str">
        <f>IF(Seventh!B29="", "",Seventh!B29)</f>
        <v>Psychologist</v>
      </c>
      <c r="C1526" s="66" t="str">
        <f>IF(Seventh!C29="", "",Seventh!C29)</f>
        <v>Carer</v>
      </c>
      <c r="D1526" s="66" t="str">
        <f>IF(Seventh!D29="", "",Seventh!D29)</f>
        <v>Returning</v>
      </c>
      <c r="E1526" s="66" t="str">
        <f>IF(Seventh!E29="", "",Seventh!E29)</f>
        <v>Male</v>
      </c>
      <c r="F1526" s="66" t="str">
        <f>IF(Seventh!F29="", "",Seventh!F29)</f>
        <v>Lower GI</v>
      </c>
      <c r="G1526" s="66" t="str">
        <f>IF(Seventh!G29="", "",Seventh!G29)</f>
        <v>Palliative Care</v>
      </c>
      <c r="H1526" s="66" t="str">
        <f>IF(Seventh!H29="", "",Seventh!H29)</f>
        <v>Booked</v>
      </c>
      <c r="I1526" s="66" t="str">
        <f>IF(Seventh!I29="", "",Seventh!I29)</f>
        <v>Psych Support - Individual</v>
      </c>
      <c r="J1526" s="66" t="str">
        <f>IF(Seventh!J29="", "",Seventh!J29)</f>
        <v/>
      </c>
      <c r="K1526" s="86" t="str">
        <f>IF(Seventh!K29="", "",Seventh!K29)</f>
        <v/>
      </c>
      <c r="M1526" s="67" t="str">
        <f t="shared" si="71"/>
        <v/>
      </c>
      <c r="N1526" s="76">
        <f t="shared" si="72"/>
        <v>7</v>
      </c>
      <c r="O1526" s="33">
        <f t="shared" si="70"/>
        <v>7</v>
      </c>
    </row>
    <row r="1527" spans="1:15" x14ac:dyDescent="0.25">
      <c r="A1527" s="64" t="s">
        <v>180</v>
      </c>
      <c r="B1527" s="79" t="str">
        <f>IF(Seventh!B30="", "",Seventh!B30)</f>
        <v>Psychologist</v>
      </c>
      <c r="C1527" s="66" t="str">
        <f>IF(Seventh!C30="", "",Seventh!C30)</f>
        <v>Carer</v>
      </c>
      <c r="D1527" s="66" t="str">
        <f>IF(Seventh!D30="", "",Seventh!D30)</f>
        <v>Returning</v>
      </c>
      <c r="E1527" s="66" t="str">
        <f>IF(Seventh!E30="", "",Seventh!E30)</f>
        <v>Male</v>
      </c>
      <c r="F1527" s="66" t="str">
        <f>IF(Seventh!F30="", "",Seventh!F30)</f>
        <v>Lower GI</v>
      </c>
      <c r="G1527" s="66" t="str">
        <f>IF(Seventh!G30="", "",Seventh!G30)</f>
        <v>Bereaved</v>
      </c>
      <c r="H1527" s="66" t="str">
        <f>IF(Seventh!H30="", "",Seventh!H30)</f>
        <v>Booked</v>
      </c>
      <c r="I1527" s="66" t="str">
        <f>IF(Seventh!I30="", "",Seventh!I30)</f>
        <v>Psych Support - Individual</v>
      </c>
      <c r="J1527" s="66" t="str">
        <f>IF(Seventh!J30="", "",Seventh!J30)</f>
        <v/>
      </c>
      <c r="K1527" s="86" t="str">
        <f>IF(Seventh!K30="", "",Seventh!K30)</f>
        <v/>
      </c>
      <c r="M1527" s="67" t="str">
        <f t="shared" si="71"/>
        <v/>
      </c>
      <c r="N1527" s="76">
        <f t="shared" si="72"/>
        <v>7</v>
      </c>
      <c r="O1527" s="33">
        <f t="shared" si="70"/>
        <v>7</v>
      </c>
    </row>
    <row r="1528" spans="1:15" x14ac:dyDescent="0.25">
      <c r="A1528" s="64" t="s">
        <v>180</v>
      </c>
      <c r="B1528" s="79" t="str">
        <f>IF(Seventh!B31="", "",Seventh!B31)</f>
        <v>Psychologist</v>
      </c>
      <c r="C1528" s="66" t="str">
        <f>IF(Seventh!C31="", "",Seventh!C31)</f>
        <v>PwC</v>
      </c>
      <c r="D1528" s="66" t="str">
        <f>IF(Seventh!D31="", "",Seventh!D31)</f>
        <v>Returning</v>
      </c>
      <c r="E1528" s="66" t="str">
        <f>IF(Seventh!E31="", "",Seventh!E31)</f>
        <v>Male</v>
      </c>
      <c r="F1528" s="66" t="str">
        <f>IF(Seventh!F31="", "",Seventh!F31)</f>
        <v>Haemat</v>
      </c>
      <c r="G1528" s="66" t="str">
        <f>IF(Seventh!G31="", "",Seventh!G31)</f>
        <v>Post Treatment - Curative Intent</v>
      </c>
      <c r="H1528" s="66" t="str">
        <f>IF(Seventh!H31="", "",Seventh!H31)</f>
        <v>Programme</v>
      </c>
      <c r="I1528" s="66" t="str">
        <f>IF(Seventh!I31="", "",Seventh!I31)</f>
        <v>Managing Stress</v>
      </c>
      <c r="J1528" s="66" t="str">
        <f>IF(Seventh!J31="", "",Seventh!J31)</f>
        <v/>
      </c>
      <c r="K1528" s="86" t="str">
        <f>IF(Seventh!K31="", "",Seventh!K31)</f>
        <v/>
      </c>
      <c r="M1528" s="67">
        <f t="shared" si="71"/>
        <v>7</v>
      </c>
      <c r="N1528" s="76" t="str">
        <f t="shared" si="72"/>
        <v/>
      </c>
      <c r="O1528" s="33">
        <f t="shared" si="70"/>
        <v>7</v>
      </c>
    </row>
    <row r="1529" spans="1:15" x14ac:dyDescent="0.25">
      <c r="A1529" s="64" t="s">
        <v>180</v>
      </c>
      <c r="B1529" s="79" t="str">
        <f>IF(Seventh!B32="", "",Seventh!B32)</f>
        <v>Psychologist</v>
      </c>
      <c r="C1529" s="66" t="str">
        <f>IF(Seventh!C32="", "",Seventh!C32)</f>
        <v>PwC</v>
      </c>
      <c r="D1529" s="66" t="str">
        <f>IF(Seventh!D32="", "",Seventh!D32)</f>
        <v>Returning</v>
      </c>
      <c r="E1529" s="66" t="str">
        <f>IF(Seventh!E32="", "",Seventh!E32)</f>
        <v>Male</v>
      </c>
      <c r="F1529" s="66" t="str">
        <f>IF(Seventh!F32="", "",Seventh!F32)</f>
        <v>Head/Neck</v>
      </c>
      <c r="G1529" s="66" t="str">
        <f>IF(Seventh!G32="", "",Seventh!G32)</f>
        <v>Post Treatment - Curative Intent</v>
      </c>
      <c r="H1529" s="66" t="str">
        <f>IF(Seventh!H32="", "",Seventh!H32)</f>
        <v>Programme</v>
      </c>
      <c r="I1529" s="66" t="str">
        <f>IF(Seventh!I32="", "",Seventh!I32)</f>
        <v>Managing Stress</v>
      </c>
      <c r="J1529" s="66" t="str">
        <f>IF(Seventh!J32="", "",Seventh!J32)</f>
        <v/>
      </c>
      <c r="K1529" s="86" t="str">
        <f>IF(Seventh!K32="", "",Seventh!K32)</f>
        <v/>
      </c>
      <c r="M1529" s="67">
        <f t="shared" si="71"/>
        <v>7</v>
      </c>
      <c r="N1529" s="76" t="str">
        <f t="shared" si="72"/>
        <v/>
      </c>
      <c r="O1529" s="33">
        <f t="shared" si="70"/>
        <v>7</v>
      </c>
    </row>
    <row r="1530" spans="1:15" x14ac:dyDescent="0.25">
      <c r="A1530" s="64" t="s">
        <v>180</v>
      </c>
      <c r="B1530" s="79" t="str">
        <f>IF(Seventh!B33="", "",Seventh!B33)</f>
        <v>Psychologist</v>
      </c>
      <c r="C1530" s="66" t="str">
        <f>IF(Seventh!C33="", "",Seventh!C33)</f>
        <v>PwC</v>
      </c>
      <c r="D1530" s="66" t="str">
        <f>IF(Seventh!D33="", "",Seventh!D33)</f>
        <v>Returning</v>
      </c>
      <c r="E1530" s="66" t="str">
        <f>IF(Seventh!E33="", "",Seventh!E33)</f>
        <v>Female</v>
      </c>
      <c r="F1530" s="66" t="str">
        <f>IF(Seventh!F33="", "",Seventh!F33)</f>
        <v>Haemat</v>
      </c>
      <c r="G1530" s="66" t="str">
        <f>IF(Seventh!G33="", "",Seventh!G33)</f>
        <v>Non-Curative Intent</v>
      </c>
      <c r="H1530" s="66" t="str">
        <f>IF(Seventh!H33="", "",Seventh!H33)</f>
        <v>Programme</v>
      </c>
      <c r="I1530" s="66" t="str">
        <f>IF(Seventh!I33="", "",Seventh!I33)</f>
        <v>Managing Stress</v>
      </c>
      <c r="J1530" s="66" t="str">
        <f>IF(Seventh!J33="", "",Seventh!J33)</f>
        <v/>
      </c>
      <c r="K1530" s="86" t="str">
        <f>IF(Seventh!K33="", "",Seventh!K33)</f>
        <v/>
      </c>
      <c r="M1530" s="67">
        <f t="shared" si="71"/>
        <v>7</v>
      </c>
      <c r="N1530" s="76" t="str">
        <f t="shared" si="72"/>
        <v/>
      </c>
      <c r="O1530" s="33">
        <f t="shared" si="70"/>
        <v>7</v>
      </c>
    </row>
    <row r="1531" spans="1:15" x14ac:dyDescent="0.25">
      <c r="A1531" s="64" t="s">
        <v>180</v>
      </c>
      <c r="B1531" s="79" t="str">
        <f>IF(Seventh!B34="", "",Seventh!B34)</f>
        <v>Psychologist</v>
      </c>
      <c r="C1531" s="66" t="str">
        <f>IF(Seventh!C34="", "",Seventh!C34)</f>
        <v>PwC</v>
      </c>
      <c r="D1531" s="66" t="str">
        <f>IF(Seventh!D34="", "",Seventh!D34)</f>
        <v>Returning</v>
      </c>
      <c r="E1531" s="66" t="str">
        <f>IF(Seventh!E34="", "",Seventh!E34)</f>
        <v>Female</v>
      </c>
      <c r="F1531" s="66" t="str">
        <f>IF(Seventh!F34="", "",Seventh!F34)</f>
        <v>Breast</v>
      </c>
      <c r="G1531" s="66" t="str">
        <f>IF(Seventh!G34="", "",Seventh!G34)</f>
        <v>Post Treatment - Curative Intent</v>
      </c>
      <c r="H1531" s="66" t="str">
        <f>IF(Seventh!H34="", "",Seventh!H34)</f>
        <v>Programme</v>
      </c>
      <c r="I1531" s="66" t="str">
        <f>IF(Seventh!I34="", "",Seventh!I34)</f>
        <v>Managing Stress</v>
      </c>
      <c r="J1531" s="66" t="str">
        <f>IF(Seventh!J34="", "",Seventh!J34)</f>
        <v/>
      </c>
      <c r="K1531" s="86" t="str">
        <f>IF(Seventh!K34="", "",Seventh!K34)</f>
        <v/>
      </c>
      <c r="M1531" s="67">
        <f t="shared" si="71"/>
        <v>7</v>
      </c>
      <c r="N1531" s="76" t="str">
        <f t="shared" si="72"/>
        <v/>
      </c>
      <c r="O1531" s="33">
        <f t="shared" si="70"/>
        <v>7</v>
      </c>
    </row>
    <row r="1532" spans="1:15" x14ac:dyDescent="0.25">
      <c r="A1532" s="64" t="s">
        <v>180</v>
      </c>
      <c r="B1532" s="79" t="str">
        <f>IF(Seventh!B35="", "",Seventh!B35)</f>
        <v>Psychologist</v>
      </c>
      <c r="C1532" s="66" t="str">
        <f>IF(Seventh!C35="", "",Seventh!C35)</f>
        <v>PwC</v>
      </c>
      <c r="D1532" s="66" t="str">
        <f>IF(Seventh!D35="", "",Seventh!D35)</f>
        <v>Returning</v>
      </c>
      <c r="E1532" s="66" t="str">
        <f>IF(Seventh!E35="", "",Seventh!E35)</f>
        <v>Female</v>
      </c>
      <c r="F1532" s="66" t="str">
        <f>IF(Seventh!F35="", "",Seventh!F35)</f>
        <v>Breast</v>
      </c>
      <c r="G1532" s="66" t="str">
        <f>IF(Seventh!G35="", "",Seventh!G35)</f>
        <v>Post Treatment - Curative Intent</v>
      </c>
      <c r="H1532" s="66" t="str">
        <f>IF(Seventh!H35="", "",Seventh!H35)</f>
        <v>Programme</v>
      </c>
      <c r="I1532" s="66" t="str">
        <f>IF(Seventh!I35="", "",Seventh!I35)</f>
        <v>Managing Stress</v>
      </c>
      <c r="J1532" s="66" t="str">
        <f>IF(Seventh!J35="", "",Seventh!J35)</f>
        <v/>
      </c>
      <c r="K1532" s="86" t="str">
        <f>IF(Seventh!K35="", "",Seventh!K35)</f>
        <v/>
      </c>
      <c r="M1532" s="67">
        <f t="shared" si="71"/>
        <v>7</v>
      </c>
      <c r="N1532" s="76" t="str">
        <f t="shared" si="72"/>
        <v/>
      </c>
      <c r="O1532" s="33">
        <f t="shared" si="70"/>
        <v>7</v>
      </c>
    </row>
    <row r="1533" spans="1:15" x14ac:dyDescent="0.25">
      <c r="A1533" s="64" t="s">
        <v>180</v>
      </c>
      <c r="B1533" s="79" t="str">
        <f>IF(Seventh!B36="", "",Seventh!B36)</f>
        <v>Psychologist</v>
      </c>
      <c r="C1533" s="66" t="str">
        <f>IF(Seventh!C36="", "",Seventh!C36)</f>
        <v>PwC</v>
      </c>
      <c r="D1533" s="66" t="str">
        <f>IF(Seventh!D36="", "",Seventh!D36)</f>
        <v>Returning</v>
      </c>
      <c r="E1533" s="66" t="str">
        <f>IF(Seventh!E36="", "",Seventh!E36)</f>
        <v>Female</v>
      </c>
      <c r="F1533" s="66" t="str">
        <f>IF(Seventh!F36="", "",Seventh!F36)</f>
        <v>Breast</v>
      </c>
      <c r="G1533" s="66" t="str">
        <f>IF(Seventh!G36="", "",Seventh!G36)</f>
        <v>Curative Intent</v>
      </c>
      <c r="H1533" s="66" t="str">
        <f>IF(Seventh!H36="", "",Seventh!H36)</f>
        <v>Programme</v>
      </c>
      <c r="I1533" s="66" t="str">
        <f>IF(Seventh!I36="", "",Seventh!I36)</f>
        <v>Managing Stress</v>
      </c>
      <c r="J1533" s="66" t="str">
        <f>IF(Seventh!J36="", "",Seventh!J36)</f>
        <v/>
      </c>
      <c r="K1533" s="86" t="str">
        <f>IF(Seventh!K36="", "",Seventh!K36)</f>
        <v/>
      </c>
      <c r="M1533" s="67">
        <f t="shared" si="71"/>
        <v>7</v>
      </c>
      <c r="N1533" s="76" t="str">
        <f t="shared" si="72"/>
        <v/>
      </c>
      <c r="O1533" s="33">
        <f t="shared" si="70"/>
        <v>7</v>
      </c>
    </row>
    <row r="1534" spans="1:15" x14ac:dyDescent="0.25">
      <c r="A1534" s="64" t="s">
        <v>180</v>
      </c>
      <c r="B1534" s="79" t="str">
        <f>IF(Seventh!B37="", "",Seventh!B37)</f>
        <v>Psychologist</v>
      </c>
      <c r="C1534" s="66" t="str">
        <f>IF(Seventh!C37="", "",Seventh!C37)</f>
        <v>PwC</v>
      </c>
      <c r="D1534" s="66" t="str">
        <f>IF(Seventh!D37="", "",Seventh!D37)</f>
        <v>Returning</v>
      </c>
      <c r="E1534" s="66" t="str">
        <f>IF(Seventh!E37="", "",Seventh!E37)</f>
        <v>Female</v>
      </c>
      <c r="F1534" s="66" t="str">
        <f>IF(Seventh!F37="", "",Seventh!F37)</f>
        <v>Lower GI</v>
      </c>
      <c r="G1534" s="66" t="str">
        <f>IF(Seventh!G37="", "",Seventh!G37)</f>
        <v>Non-Curative Intent</v>
      </c>
      <c r="H1534" s="66" t="str">
        <f>IF(Seventh!H37="", "",Seventh!H37)</f>
        <v>Drop-In</v>
      </c>
      <c r="I1534" s="66" t="str">
        <f>IF(Seventh!I37="", "",Seventh!I37)</f>
        <v>Psych Support - Individual</v>
      </c>
      <c r="J1534" s="66" t="str">
        <f>IF(Seventh!J37="", "",Seventh!J37)</f>
        <v/>
      </c>
      <c r="K1534" s="86" t="str">
        <f>IF(Seventh!K37="", "",Seventh!K37)</f>
        <v/>
      </c>
      <c r="M1534" s="67">
        <f t="shared" si="71"/>
        <v>7</v>
      </c>
      <c r="N1534" s="76" t="str">
        <f t="shared" si="72"/>
        <v/>
      </c>
      <c r="O1534" s="33">
        <f t="shared" si="70"/>
        <v>7</v>
      </c>
    </row>
    <row r="1535" spans="1:15" x14ac:dyDescent="0.25">
      <c r="A1535" s="64" t="s">
        <v>180</v>
      </c>
      <c r="B1535" s="79" t="str">
        <f>IF(Seventh!B38="", "",Seventh!B38)</f>
        <v>Psychologist</v>
      </c>
      <c r="C1535" s="66" t="str">
        <f>IF(Seventh!C38="", "",Seventh!C38)</f>
        <v>Carer</v>
      </c>
      <c r="D1535" s="66" t="str">
        <f>IF(Seventh!D38="", "",Seventh!D38)</f>
        <v>Returning</v>
      </c>
      <c r="E1535" s="66" t="str">
        <f>IF(Seventh!E38="", "",Seventh!E38)</f>
        <v>Male</v>
      </c>
      <c r="F1535" s="66" t="str">
        <f>IF(Seventh!F38="", "",Seventh!F38)</f>
        <v>Breast</v>
      </c>
      <c r="G1535" s="66" t="str">
        <f>IF(Seventh!G38="", "",Seventh!G38)</f>
        <v>Post Treatment - Curative Intent</v>
      </c>
      <c r="H1535" s="66" t="str">
        <f>IF(Seventh!H38="", "",Seventh!H38)</f>
        <v>Booked</v>
      </c>
      <c r="I1535" s="66" t="str">
        <f>IF(Seventh!I38="", "",Seventh!I38)</f>
        <v>Psych Support - Individual</v>
      </c>
      <c r="J1535" s="66" t="str">
        <f>IF(Seventh!J38="", "",Seventh!J38)</f>
        <v/>
      </c>
      <c r="K1535" s="86" t="str">
        <f>IF(Seventh!K38="", "",Seventh!K38)</f>
        <v/>
      </c>
      <c r="M1535" s="67" t="str">
        <f t="shared" si="71"/>
        <v/>
      </c>
      <c r="N1535" s="76">
        <f t="shared" si="72"/>
        <v>7</v>
      </c>
      <c r="O1535" s="33">
        <f t="shared" si="70"/>
        <v>7</v>
      </c>
    </row>
    <row r="1536" spans="1:15" x14ac:dyDescent="0.25">
      <c r="A1536" s="64" t="s">
        <v>180</v>
      </c>
      <c r="B1536" s="79" t="str">
        <f>IF(Seventh!B39="", "",Seventh!B39)</f>
        <v>Psychologist</v>
      </c>
      <c r="C1536" s="66" t="str">
        <f>IF(Seventh!C39="", "",Seventh!C39)</f>
        <v>PwC</v>
      </c>
      <c r="D1536" s="66" t="str">
        <f>IF(Seventh!D39="", "",Seventh!D39)</f>
        <v>Returning</v>
      </c>
      <c r="E1536" s="66" t="str">
        <f>IF(Seventh!E39="", "",Seventh!E39)</f>
        <v>Male</v>
      </c>
      <c r="F1536" s="66" t="str">
        <f>IF(Seventh!F39="", "",Seventh!F39)</f>
        <v>Testicular</v>
      </c>
      <c r="G1536" s="66" t="str">
        <f>IF(Seventh!G39="", "",Seventh!G39)</f>
        <v>Non-Curative Intent</v>
      </c>
      <c r="H1536" s="66" t="str">
        <f>IF(Seventh!H39="", "",Seventh!H39)</f>
        <v>Booked</v>
      </c>
      <c r="I1536" s="66" t="str">
        <f>IF(Seventh!I39="", "",Seventh!I39)</f>
        <v>Psych Support - Individual</v>
      </c>
      <c r="J1536" s="66" t="str">
        <f>IF(Seventh!J39="", "",Seventh!J39)</f>
        <v/>
      </c>
      <c r="K1536" s="86" t="str">
        <f>IF(Seventh!K39="", "",Seventh!K39)</f>
        <v/>
      </c>
      <c r="M1536" s="67">
        <f t="shared" si="71"/>
        <v>7</v>
      </c>
      <c r="N1536" s="76" t="str">
        <f t="shared" si="72"/>
        <v/>
      </c>
      <c r="O1536" s="33">
        <f t="shared" si="70"/>
        <v>7</v>
      </c>
    </row>
    <row r="1537" spans="1:15" x14ac:dyDescent="0.25">
      <c r="A1537" s="64" t="s">
        <v>180</v>
      </c>
      <c r="B1537" s="79" t="str">
        <f>IF(Seventh!B40="", "",Seventh!B40)</f>
        <v>CSS</v>
      </c>
      <c r="C1537" s="66" t="str">
        <f>IF(Seventh!C40="", "",Seventh!C40)</f>
        <v>PwC</v>
      </c>
      <c r="D1537" s="66" t="str">
        <f>IF(Seventh!D40="", "",Seventh!D40)</f>
        <v>Returning</v>
      </c>
      <c r="E1537" s="66" t="str">
        <f>IF(Seventh!E40="", "",Seventh!E40)</f>
        <v>Male</v>
      </c>
      <c r="F1537" s="66" t="str">
        <f>IF(Seventh!F40="", "",Seventh!F40)</f>
        <v>Prostate</v>
      </c>
      <c r="G1537" s="66" t="str">
        <f>IF(Seventh!G40="", "",Seventh!G40)</f>
        <v>Non-Curative Intent</v>
      </c>
      <c r="H1537" s="66" t="str">
        <f>IF(Seventh!H40="", "",Seventh!H40)</f>
        <v>Programme</v>
      </c>
      <c r="I1537" s="66" t="str">
        <f>IF(Seventh!I40="", "",Seventh!I40)</f>
        <v>FSG General</v>
      </c>
      <c r="J1537" s="66" t="str">
        <f>IF(Seventh!J40="", "",Seventh!J40)</f>
        <v/>
      </c>
      <c r="K1537" s="86" t="str">
        <f>IF(Seventh!K40="", "",Seventh!K40)</f>
        <v/>
      </c>
      <c r="M1537" s="67">
        <f t="shared" si="71"/>
        <v>7</v>
      </c>
      <c r="N1537" s="76" t="str">
        <f t="shared" si="72"/>
        <v/>
      </c>
      <c r="O1537" s="33">
        <f t="shared" si="70"/>
        <v>7</v>
      </c>
    </row>
    <row r="1538" spans="1:15" x14ac:dyDescent="0.25">
      <c r="A1538" s="64" t="s">
        <v>180</v>
      </c>
      <c r="B1538" s="79" t="str">
        <f>IF(Seventh!B41="", "",Seventh!B41)</f>
        <v>CSS</v>
      </c>
      <c r="C1538" s="66" t="str">
        <f>IF(Seventh!C41="", "",Seventh!C41)</f>
        <v>PwC</v>
      </c>
      <c r="D1538" s="66" t="str">
        <f>IF(Seventh!D41="", "",Seventh!D41)</f>
        <v>Returning</v>
      </c>
      <c r="E1538" s="66" t="str">
        <f>IF(Seventh!E41="", "",Seventh!E41)</f>
        <v>Female</v>
      </c>
      <c r="F1538" s="66" t="str">
        <f>IF(Seventh!F41="", "",Seventh!F41)</f>
        <v>Breast</v>
      </c>
      <c r="G1538" s="66" t="str">
        <f>IF(Seventh!G41="", "",Seventh!G41)</f>
        <v>Post Treatment - Curative Intent</v>
      </c>
      <c r="H1538" s="66" t="str">
        <f>IF(Seventh!H41="", "",Seventh!H41)</f>
        <v>Programme</v>
      </c>
      <c r="I1538" s="66" t="str">
        <f>IF(Seventh!I41="", "",Seventh!I41)</f>
        <v>FSG General</v>
      </c>
      <c r="J1538" s="66" t="str">
        <f>IF(Seventh!J41="", "",Seventh!J41)</f>
        <v/>
      </c>
      <c r="K1538" s="86" t="str">
        <f>IF(Seventh!K41="", "",Seventh!K41)</f>
        <v/>
      </c>
      <c r="M1538" s="67">
        <f t="shared" si="71"/>
        <v>7</v>
      </c>
      <c r="N1538" s="76" t="str">
        <f t="shared" si="72"/>
        <v/>
      </c>
      <c r="O1538" s="33">
        <f t="shared" ref="O1538:O1601" si="73">SUM(M1538:N1538)</f>
        <v>7</v>
      </c>
    </row>
    <row r="1539" spans="1:15" x14ac:dyDescent="0.25">
      <c r="A1539" s="64" t="s">
        <v>180</v>
      </c>
      <c r="B1539" s="79" t="str">
        <f>IF(Seventh!B42="", "",Seventh!B42)</f>
        <v>CSS</v>
      </c>
      <c r="C1539" s="66" t="str">
        <f>IF(Seventh!C42="", "",Seventh!C42)</f>
        <v>PwC</v>
      </c>
      <c r="D1539" s="66" t="str">
        <f>IF(Seventh!D42="", "",Seventh!D42)</f>
        <v>Returning</v>
      </c>
      <c r="E1539" s="66" t="str">
        <f>IF(Seventh!E42="", "",Seventh!E42)</f>
        <v>Male</v>
      </c>
      <c r="F1539" s="66" t="str">
        <f>IF(Seventh!F42="", "",Seventh!F42)</f>
        <v>Sarcoma</v>
      </c>
      <c r="G1539" s="66" t="str">
        <f>IF(Seventh!G42="", "",Seventh!G42)</f>
        <v>Non-Curative Intent</v>
      </c>
      <c r="H1539" s="66" t="str">
        <f>IF(Seventh!H42="", "",Seventh!H42)</f>
        <v>Programme</v>
      </c>
      <c r="I1539" s="66" t="str">
        <f>IF(Seventh!I42="", "",Seventh!I42)</f>
        <v>FSG General</v>
      </c>
      <c r="J1539" s="66" t="str">
        <f>IF(Seventh!J42="", "",Seventh!J42)</f>
        <v/>
      </c>
      <c r="K1539" s="86" t="str">
        <f>IF(Seventh!K42="", "",Seventh!K42)</f>
        <v/>
      </c>
      <c r="M1539" s="67">
        <f t="shared" ref="M1539:M1602" si="74">IF(C1539="PwC",(7-COUNTIF(B1539:H1539,"")),"")</f>
        <v>7</v>
      </c>
      <c r="N1539" s="76" t="str">
        <f t="shared" ref="N1539:N1602" si="75">IF(C1539="Carer",(7-COUNTIF(B1539:H1539,"")),"")</f>
        <v/>
      </c>
      <c r="O1539" s="33">
        <f t="shared" si="73"/>
        <v>7</v>
      </c>
    </row>
    <row r="1540" spans="1:15" x14ac:dyDescent="0.25">
      <c r="A1540" s="64" t="s">
        <v>180</v>
      </c>
      <c r="B1540" s="79" t="str">
        <f>IF(Seventh!B43="", "",Seventh!B43)</f>
        <v>CSS</v>
      </c>
      <c r="C1540" s="66" t="str">
        <f>IF(Seventh!C43="", "",Seventh!C43)</f>
        <v>PwC</v>
      </c>
      <c r="D1540" s="66" t="str">
        <f>IF(Seventh!D43="", "",Seventh!D43)</f>
        <v>Returning</v>
      </c>
      <c r="E1540" s="66" t="str">
        <f>IF(Seventh!E43="", "",Seventh!E43)</f>
        <v>Female</v>
      </c>
      <c r="F1540" s="66" t="str">
        <f>IF(Seventh!F43="", "",Seventh!F43)</f>
        <v>Lower GI</v>
      </c>
      <c r="G1540" s="66" t="str">
        <f>IF(Seventh!G43="", "",Seventh!G43)</f>
        <v>Non-Curative Intent</v>
      </c>
      <c r="H1540" s="66" t="str">
        <f>IF(Seventh!H43="", "",Seventh!H43)</f>
        <v>Programme</v>
      </c>
      <c r="I1540" s="66" t="str">
        <f>IF(Seventh!I43="", "",Seventh!I43)</f>
        <v>FSG General</v>
      </c>
      <c r="J1540" s="66" t="str">
        <f>IF(Seventh!J43="", "",Seventh!J43)</f>
        <v/>
      </c>
      <c r="K1540" s="86" t="str">
        <f>IF(Seventh!K43="", "",Seventh!K43)</f>
        <v/>
      </c>
      <c r="M1540" s="67">
        <f t="shared" si="74"/>
        <v>7</v>
      </c>
      <c r="N1540" s="76" t="str">
        <f t="shared" si="75"/>
        <v/>
      </c>
      <c r="O1540" s="33">
        <f t="shared" si="73"/>
        <v>7</v>
      </c>
    </row>
    <row r="1541" spans="1:15" x14ac:dyDescent="0.25">
      <c r="A1541" s="64" t="s">
        <v>180</v>
      </c>
      <c r="B1541" s="79" t="str">
        <f>IF(Seventh!B44="", "",Seventh!B44)</f>
        <v>CSS</v>
      </c>
      <c r="C1541" s="66" t="str">
        <f>IF(Seventh!C44="", "",Seventh!C44)</f>
        <v>PwC</v>
      </c>
      <c r="D1541" s="66" t="str">
        <f>IF(Seventh!D44="", "",Seventh!D44)</f>
        <v>Returning</v>
      </c>
      <c r="E1541" s="66" t="str">
        <f>IF(Seventh!E44="", "",Seventh!E44)</f>
        <v>Female</v>
      </c>
      <c r="F1541" s="66" t="str">
        <f>IF(Seventh!F44="", "",Seventh!F44)</f>
        <v>Sarcoma</v>
      </c>
      <c r="G1541" s="66" t="str">
        <f>IF(Seventh!G44="", "",Seventh!G44)</f>
        <v>Non-Curative Intent</v>
      </c>
      <c r="H1541" s="66" t="str">
        <f>IF(Seventh!H44="", "",Seventh!H44)</f>
        <v>Programme</v>
      </c>
      <c r="I1541" s="66" t="str">
        <f>IF(Seventh!I44="", "",Seventh!I44)</f>
        <v>FSG General</v>
      </c>
      <c r="J1541" s="66" t="str">
        <f>IF(Seventh!J44="", "",Seventh!J44)</f>
        <v/>
      </c>
      <c r="K1541" s="86" t="str">
        <f>IF(Seventh!K44="", "",Seventh!K44)</f>
        <v/>
      </c>
      <c r="M1541" s="67">
        <f t="shared" si="74"/>
        <v>7</v>
      </c>
      <c r="N1541" s="76" t="str">
        <f t="shared" si="75"/>
        <v/>
      </c>
      <c r="O1541" s="33">
        <f t="shared" si="73"/>
        <v>7</v>
      </c>
    </row>
    <row r="1542" spans="1:15" x14ac:dyDescent="0.25">
      <c r="A1542" s="64" t="s">
        <v>180</v>
      </c>
      <c r="B1542" s="79" t="str">
        <f>IF(Seventh!B45="", "",Seventh!B45)</f>
        <v>CSS</v>
      </c>
      <c r="C1542" s="66" t="str">
        <f>IF(Seventh!C45="", "",Seventh!C45)</f>
        <v>PwC</v>
      </c>
      <c r="D1542" s="66" t="str">
        <f>IF(Seventh!D45="", "",Seventh!D45)</f>
        <v>Returning</v>
      </c>
      <c r="E1542" s="66" t="str">
        <f>IF(Seventh!E45="", "",Seventh!E45)</f>
        <v>Female</v>
      </c>
      <c r="F1542" s="66" t="str">
        <f>IF(Seventh!F45="", "",Seventh!F45)</f>
        <v>Lower GI</v>
      </c>
      <c r="G1542" s="66" t="str">
        <f>IF(Seventh!G45="", "",Seventh!G45)</f>
        <v>Non-Curative Intent</v>
      </c>
      <c r="H1542" s="66" t="str">
        <f>IF(Seventh!H45="", "",Seventh!H45)</f>
        <v>Programme</v>
      </c>
      <c r="I1542" s="66" t="str">
        <f>IF(Seventh!I45="", "",Seventh!I45)</f>
        <v>FSG General</v>
      </c>
      <c r="J1542" s="66" t="str">
        <f>IF(Seventh!J45="", "",Seventh!J45)</f>
        <v/>
      </c>
      <c r="K1542" s="86" t="str">
        <f>IF(Seventh!K45="", "",Seventh!K45)</f>
        <v/>
      </c>
      <c r="M1542" s="67">
        <f t="shared" si="74"/>
        <v>7</v>
      </c>
      <c r="N1542" s="76" t="str">
        <f t="shared" si="75"/>
        <v/>
      </c>
      <c r="O1542" s="33">
        <f t="shared" si="73"/>
        <v>7</v>
      </c>
    </row>
    <row r="1543" spans="1:15" x14ac:dyDescent="0.25">
      <c r="A1543" s="64" t="s">
        <v>180</v>
      </c>
      <c r="B1543" s="79" t="str">
        <f>IF(Seventh!B46="", "",Seventh!B46)</f>
        <v>CSS</v>
      </c>
      <c r="C1543" s="66" t="str">
        <f>IF(Seventh!C46="", "",Seventh!C46)</f>
        <v>PwC</v>
      </c>
      <c r="D1543" s="66" t="str">
        <f>IF(Seventh!D46="", "",Seventh!D46)</f>
        <v>Returning</v>
      </c>
      <c r="E1543" s="66" t="str">
        <f>IF(Seventh!E46="", "",Seventh!E46)</f>
        <v>Female</v>
      </c>
      <c r="F1543" s="66" t="str">
        <f>IF(Seventh!F46="", "",Seventh!F46)</f>
        <v>Breast</v>
      </c>
      <c r="G1543" s="66" t="str">
        <f>IF(Seventh!G46="", "",Seventh!G46)</f>
        <v>Post Treatment - Curative Intent</v>
      </c>
      <c r="H1543" s="66" t="str">
        <f>IF(Seventh!H46="", "",Seventh!H46)</f>
        <v>Booked</v>
      </c>
      <c r="I1543" s="66" t="str">
        <f>IF(Seventh!I46="", "",Seventh!I46)</f>
        <v>Psych Support - Individual</v>
      </c>
      <c r="J1543" s="66" t="str">
        <f>IF(Seventh!J46="", "",Seventh!J46)</f>
        <v/>
      </c>
      <c r="K1543" s="86" t="str">
        <f>IF(Seventh!K46="", "",Seventh!K46)</f>
        <v/>
      </c>
      <c r="M1543" s="67">
        <f t="shared" si="74"/>
        <v>7</v>
      </c>
      <c r="N1543" s="76" t="str">
        <f t="shared" si="75"/>
        <v/>
      </c>
      <c r="O1543" s="33">
        <f t="shared" si="73"/>
        <v>7</v>
      </c>
    </row>
    <row r="1544" spans="1:15" x14ac:dyDescent="0.25">
      <c r="A1544" s="64" t="s">
        <v>180</v>
      </c>
      <c r="B1544" s="79" t="str">
        <f>IF(Seventh!B47="", "",Seventh!B47)</f>
        <v>CSS</v>
      </c>
      <c r="C1544" s="66" t="str">
        <f>IF(Seventh!C47="", "",Seventh!C47)</f>
        <v>PwC</v>
      </c>
      <c r="D1544" s="66" t="str">
        <f>IF(Seventh!D47="", "",Seventh!D47)</f>
        <v>Returning</v>
      </c>
      <c r="E1544" s="66" t="str">
        <f>IF(Seventh!E47="", "",Seventh!E47)</f>
        <v>Male</v>
      </c>
      <c r="F1544" s="66" t="str">
        <f>IF(Seventh!F47="", "",Seventh!F47)</f>
        <v>Head/Neck</v>
      </c>
      <c r="G1544" s="66" t="str">
        <f>IF(Seventh!G47="", "",Seventh!G47)</f>
        <v>Curative Intent</v>
      </c>
      <c r="H1544" s="66" t="str">
        <f>IF(Seventh!H47="", "",Seventh!H47)</f>
        <v>Booked</v>
      </c>
      <c r="I1544" s="66" t="str">
        <f>IF(Seventh!I47="", "",Seventh!I47)</f>
        <v>Psych Support - Individual</v>
      </c>
      <c r="J1544" s="66" t="str">
        <f>IF(Seventh!J47="", "",Seventh!J47)</f>
        <v/>
      </c>
      <c r="K1544" s="86" t="str">
        <f>IF(Seventh!K47="", "",Seventh!K47)</f>
        <v/>
      </c>
      <c r="M1544" s="67">
        <f t="shared" si="74"/>
        <v>7</v>
      </c>
      <c r="N1544" s="76" t="str">
        <f t="shared" si="75"/>
        <v/>
      </c>
      <c r="O1544" s="33">
        <f t="shared" si="73"/>
        <v>7</v>
      </c>
    </row>
    <row r="1545" spans="1:15" x14ac:dyDescent="0.25">
      <c r="A1545" s="64" t="s">
        <v>180</v>
      </c>
      <c r="B1545" s="79" t="str">
        <f>IF(Seventh!B48="", "",Seventh!B48)</f>
        <v>CSS</v>
      </c>
      <c r="C1545" s="66" t="str">
        <f>IF(Seventh!C48="", "",Seventh!C48)</f>
        <v>Carer</v>
      </c>
      <c r="D1545" s="66" t="str">
        <f>IF(Seventh!D48="", "",Seventh!D48)</f>
        <v>New</v>
      </c>
      <c r="E1545" s="66" t="str">
        <f>IF(Seventh!E48="", "",Seventh!E48)</f>
        <v>Female</v>
      </c>
      <c r="F1545" s="66" t="str">
        <f>IF(Seventh!F48="", "",Seventh!F48)</f>
        <v>Head/Neck</v>
      </c>
      <c r="G1545" s="66" t="str">
        <f>IF(Seventh!G48="", "",Seventh!G48)</f>
        <v>Curative Intent</v>
      </c>
      <c r="H1545" s="66" t="str">
        <f>IF(Seventh!H48="", "",Seventh!H48)</f>
        <v>Booked</v>
      </c>
      <c r="I1545" s="66" t="str">
        <f>IF(Seventh!I48="", "",Seventh!I48)</f>
        <v/>
      </c>
      <c r="J1545" s="66" t="str">
        <f>IF(Seventh!J48="", "",Seventh!J48)</f>
        <v/>
      </c>
      <c r="K1545" s="86" t="str">
        <f>IF(Seventh!K48="", "",Seventh!K48)</f>
        <v/>
      </c>
      <c r="M1545" s="67" t="str">
        <f t="shared" si="74"/>
        <v/>
      </c>
      <c r="N1545" s="76">
        <f t="shared" si="75"/>
        <v>7</v>
      </c>
      <c r="O1545" s="33">
        <f t="shared" si="73"/>
        <v>7</v>
      </c>
    </row>
    <row r="1546" spans="1:15" x14ac:dyDescent="0.25">
      <c r="A1546" s="64" t="s">
        <v>180</v>
      </c>
      <c r="B1546" s="79" t="str">
        <f>IF(Seventh!B49="", "",Seventh!B49)</f>
        <v>CSS</v>
      </c>
      <c r="C1546" s="66" t="str">
        <f>IF(Seventh!C49="", "",Seventh!C49)</f>
        <v>PwC</v>
      </c>
      <c r="D1546" s="66" t="str">
        <f>IF(Seventh!D49="", "",Seventh!D49)</f>
        <v>Returning</v>
      </c>
      <c r="E1546" s="66" t="str">
        <f>IF(Seventh!E49="", "",Seventh!E49)</f>
        <v>Female</v>
      </c>
      <c r="F1546" s="66" t="str">
        <f>IF(Seventh!F49="", "",Seventh!F49)</f>
        <v>Breast</v>
      </c>
      <c r="G1546" s="66" t="str">
        <f>IF(Seventh!G49="", "",Seventh!G49)</f>
        <v>Non-Curative Intent</v>
      </c>
      <c r="H1546" s="66" t="str">
        <f>IF(Seventh!H49="", "",Seventh!H49)</f>
        <v>Booked</v>
      </c>
      <c r="I1546" s="66" t="str">
        <f>IF(Seventh!I49="", "",Seventh!I49)</f>
        <v>Psych Support - Individual</v>
      </c>
      <c r="J1546" s="66" t="str">
        <f>IF(Seventh!J49="", "",Seventh!J49)</f>
        <v/>
      </c>
      <c r="K1546" s="86" t="str">
        <f>IF(Seventh!K49="", "",Seventh!K49)</f>
        <v/>
      </c>
      <c r="M1546" s="67">
        <f t="shared" si="74"/>
        <v>7</v>
      </c>
      <c r="N1546" s="76" t="str">
        <f t="shared" si="75"/>
        <v/>
      </c>
      <c r="O1546" s="33">
        <f t="shared" si="73"/>
        <v>7</v>
      </c>
    </row>
    <row r="1547" spans="1:15" x14ac:dyDescent="0.25">
      <c r="A1547" s="64" t="s">
        <v>180</v>
      </c>
      <c r="B1547" s="79" t="str">
        <f>IF(Seventh!B50="", "",Seventh!B50)</f>
        <v>CSS</v>
      </c>
      <c r="C1547" s="66" t="str">
        <f>IF(Seventh!C50="", "",Seventh!C50)</f>
        <v>PwC</v>
      </c>
      <c r="D1547" s="66" t="str">
        <f>IF(Seventh!D50="", "",Seventh!D50)</f>
        <v>New</v>
      </c>
      <c r="E1547" s="66" t="str">
        <f>IF(Seventh!E50="", "",Seventh!E50)</f>
        <v>Female</v>
      </c>
      <c r="F1547" s="66" t="str">
        <f>IF(Seventh!F50="", "",Seventh!F50)</f>
        <v>Upper GI</v>
      </c>
      <c r="G1547" s="66" t="str">
        <f>IF(Seventh!G50="", "",Seventh!G50)</f>
        <v>Curative Intent</v>
      </c>
      <c r="H1547" s="66" t="str">
        <f>IF(Seventh!H50="", "",Seventh!H50)</f>
        <v>Drop-In</v>
      </c>
      <c r="I1547" s="66" t="str">
        <f>IF(Seventh!I50="", "",Seventh!I50)</f>
        <v/>
      </c>
      <c r="J1547" s="66" t="str">
        <f>IF(Seventh!J50="", "",Seventh!J50)</f>
        <v/>
      </c>
      <c r="K1547" s="86" t="str">
        <f>IF(Seventh!K50="", "",Seventh!K50)</f>
        <v/>
      </c>
      <c r="M1547" s="67">
        <f t="shared" si="74"/>
        <v>7</v>
      </c>
      <c r="N1547" s="76" t="str">
        <f t="shared" si="75"/>
        <v/>
      </c>
      <c r="O1547" s="33">
        <f t="shared" si="73"/>
        <v>7</v>
      </c>
    </row>
    <row r="1548" spans="1:15" x14ac:dyDescent="0.25">
      <c r="A1548" s="64" t="s">
        <v>180</v>
      </c>
      <c r="B1548" s="79" t="str">
        <f>IF(Seventh!B51="", "",Seventh!B51)</f>
        <v>CSS</v>
      </c>
      <c r="C1548" s="66" t="str">
        <f>IF(Seventh!C51="", "",Seventh!C51)</f>
        <v>Carer</v>
      </c>
      <c r="D1548" s="66" t="str">
        <f>IF(Seventh!D51="", "",Seventh!D51)</f>
        <v>New</v>
      </c>
      <c r="E1548" s="66" t="str">
        <f>IF(Seventh!E51="", "",Seventh!E51)</f>
        <v>Female</v>
      </c>
      <c r="F1548" s="66" t="str">
        <f>IF(Seventh!F51="", "",Seventh!F51)</f>
        <v>Upper GI</v>
      </c>
      <c r="G1548" s="66" t="str">
        <f>IF(Seventh!G51="", "",Seventh!G51)</f>
        <v>Curative Intent</v>
      </c>
      <c r="H1548" s="66" t="str">
        <f>IF(Seventh!H51="", "",Seventh!H51)</f>
        <v>Drop-In</v>
      </c>
      <c r="I1548" s="66" t="str">
        <f>IF(Seventh!I51="", "",Seventh!I51)</f>
        <v/>
      </c>
      <c r="J1548" s="66" t="str">
        <f>IF(Seventh!J51="", "",Seventh!J51)</f>
        <v/>
      </c>
      <c r="K1548" s="86" t="str">
        <f>IF(Seventh!K51="", "",Seventh!K51)</f>
        <v/>
      </c>
      <c r="M1548" s="67" t="str">
        <f t="shared" si="74"/>
        <v/>
      </c>
      <c r="N1548" s="76">
        <f t="shared" si="75"/>
        <v>7</v>
      </c>
      <c r="O1548" s="33">
        <f t="shared" si="73"/>
        <v>7</v>
      </c>
    </row>
    <row r="1549" spans="1:15" x14ac:dyDescent="0.25">
      <c r="A1549" s="64" t="s">
        <v>180</v>
      </c>
      <c r="B1549" s="79" t="str">
        <f>IF(Seventh!B52="", "",Seventh!B52)</f>
        <v>CSS</v>
      </c>
      <c r="C1549" s="66" t="str">
        <f>IF(Seventh!C52="", "",Seventh!C52)</f>
        <v>PwC</v>
      </c>
      <c r="D1549" s="66" t="str">
        <f>IF(Seventh!D52="", "",Seventh!D52)</f>
        <v>New</v>
      </c>
      <c r="E1549" s="66" t="str">
        <f>IF(Seventh!E52="", "",Seventh!E52)</f>
        <v>Female</v>
      </c>
      <c r="F1549" s="66" t="str">
        <f>IF(Seventh!F52="", "",Seventh!F52)</f>
        <v>Breast</v>
      </c>
      <c r="G1549" s="66" t="str">
        <f>IF(Seventh!G52="", "",Seventh!G52)</f>
        <v>Curative Intent</v>
      </c>
      <c r="H1549" s="66" t="str">
        <f>IF(Seventh!H52="", "",Seventh!H52)</f>
        <v>Drop-In</v>
      </c>
      <c r="I1549" s="66" t="str">
        <f>IF(Seventh!I52="", "",Seventh!I52)</f>
        <v/>
      </c>
      <c r="J1549" s="66" t="str">
        <f>IF(Seventh!J52="", "",Seventh!J52)</f>
        <v/>
      </c>
      <c r="K1549" s="86" t="str">
        <f>IF(Seventh!K52="", "",Seventh!K52)</f>
        <v/>
      </c>
      <c r="M1549" s="67">
        <f t="shared" si="74"/>
        <v>7</v>
      </c>
      <c r="N1549" s="76" t="str">
        <f t="shared" si="75"/>
        <v/>
      </c>
      <c r="O1549" s="33">
        <f t="shared" si="73"/>
        <v>7</v>
      </c>
    </row>
    <row r="1550" spans="1:15" x14ac:dyDescent="0.25">
      <c r="A1550" s="64" t="s">
        <v>180</v>
      </c>
      <c r="B1550" s="79" t="str">
        <f>IF(Seventh!B53="", "",Seventh!B53)</f>
        <v>CSS</v>
      </c>
      <c r="C1550" s="66" t="str">
        <f>IF(Seventh!C53="", "",Seventh!C53)</f>
        <v>Carer</v>
      </c>
      <c r="D1550" s="66" t="str">
        <f>IF(Seventh!D53="", "",Seventh!D53)</f>
        <v>Returning</v>
      </c>
      <c r="E1550" s="66" t="str">
        <f>IF(Seventh!E53="", "",Seventh!E53)</f>
        <v>Female</v>
      </c>
      <c r="F1550" s="66" t="str">
        <f>IF(Seventh!F53="", "",Seventh!F53)</f>
        <v>Breast</v>
      </c>
      <c r="G1550" s="66" t="str">
        <f>IF(Seventh!G53="", "",Seventh!G53)</f>
        <v>Curative Intent</v>
      </c>
      <c r="H1550" s="66" t="str">
        <f>IF(Seventh!H53="", "",Seventh!H53)</f>
        <v>Drop-In</v>
      </c>
      <c r="I1550" s="66" t="str">
        <f>IF(Seventh!I53="", "",Seventh!I53)</f>
        <v/>
      </c>
      <c r="J1550" s="66" t="str">
        <f>IF(Seventh!J53="", "",Seventh!J53)</f>
        <v/>
      </c>
      <c r="K1550" s="86" t="str">
        <f>IF(Seventh!K53="", "",Seventh!K53)</f>
        <v/>
      </c>
      <c r="M1550" s="67" t="str">
        <f t="shared" si="74"/>
        <v/>
      </c>
      <c r="N1550" s="76">
        <f t="shared" si="75"/>
        <v>7</v>
      </c>
      <c r="O1550" s="33">
        <f t="shared" si="73"/>
        <v>7</v>
      </c>
    </row>
    <row r="1551" spans="1:15" x14ac:dyDescent="0.25">
      <c r="A1551" s="64" t="s">
        <v>180</v>
      </c>
      <c r="B1551" s="79" t="str">
        <f>IF(Seventh!B54="", "",Seventh!B54)</f>
        <v>CSS</v>
      </c>
      <c r="C1551" s="66" t="str">
        <f>IF(Seventh!C54="", "",Seventh!C54)</f>
        <v>PwC</v>
      </c>
      <c r="D1551" s="66" t="str">
        <f>IF(Seventh!D54="", "",Seventh!D54)</f>
        <v>Returning</v>
      </c>
      <c r="E1551" s="66" t="str">
        <f>IF(Seventh!E54="", "",Seventh!E54)</f>
        <v>Male</v>
      </c>
      <c r="F1551" s="66" t="str">
        <f>IF(Seventh!F54="", "",Seventh!F54)</f>
        <v>Prostate</v>
      </c>
      <c r="G1551" s="66" t="str">
        <f>IF(Seventh!G54="", "",Seventh!G54)</f>
        <v>Non-Curative Intent</v>
      </c>
      <c r="H1551" s="66" t="str">
        <f>IF(Seventh!H54="", "",Seventh!H54)</f>
        <v>Drop-In</v>
      </c>
      <c r="I1551" s="66" t="str">
        <f>IF(Seventh!I54="", "",Seventh!I54)</f>
        <v/>
      </c>
      <c r="J1551" s="66" t="str">
        <f>IF(Seventh!J54="", "",Seventh!J54)</f>
        <v/>
      </c>
      <c r="K1551" s="86" t="str">
        <f>IF(Seventh!K54="", "",Seventh!K54)</f>
        <v/>
      </c>
      <c r="M1551" s="67">
        <f t="shared" si="74"/>
        <v>7</v>
      </c>
      <c r="N1551" s="76" t="str">
        <f t="shared" si="75"/>
        <v/>
      </c>
      <c r="O1551" s="33">
        <f t="shared" si="73"/>
        <v>7</v>
      </c>
    </row>
    <row r="1552" spans="1:15" x14ac:dyDescent="0.25">
      <c r="A1552" s="64" t="s">
        <v>180</v>
      </c>
      <c r="B1552" s="79" t="str">
        <f>IF(Seventh!B55="", "",Seventh!B55)</f>
        <v>CSS</v>
      </c>
      <c r="C1552" s="66" t="str">
        <f>IF(Seventh!C55="", "",Seventh!C55)</f>
        <v>PwC</v>
      </c>
      <c r="D1552" s="66" t="str">
        <f>IF(Seventh!D55="", "",Seventh!D55)</f>
        <v>Returning</v>
      </c>
      <c r="E1552" s="66" t="str">
        <f>IF(Seventh!E55="", "",Seventh!E55)</f>
        <v>Female</v>
      </c>
      <c r="F1552" s="66" t="str">
        <f>IF(Seventh!F55="", "",Seventh!F55)</f>
        <v>Haemat</v>
      </c>
      <c r="G1552" s="66" t="str">
        <f>IF(Seventh!G55="", "",Seventh!G55)</f>
        <v>Curative Intent</v>
      </c>
      <c r="H1552" s="66" t="str">
        <f>IF(Seventh!H55="", "",Seventh!H55)</f>
        <v>Drop-In</v>
      </c>
      <c r="I1552" s="66" t="str">
        <f>IF(Seventh!I55="", "",Seventh!I55)</f>
        <v/>
      </c>
      <c r="J1552" s="66" t="str">
        <f>IF(Seventh!J55="", "",Seventh!J55)</f>
        <v/>
      </c>
      <c r="K1552" s="86" t="str">
        <f>IF(Seventh!K55="", "",Seventh!K55)</f>
        <v/>
      </c>
      <c r="M1552" s="67">
        <f t="shared" si="74"/>
        <v>7</v>
      </c>
      <c r="N1552" s="76" t="str">
        <f t="shared" si="75"/>
        <v/>
      </c>
      <c r="O1552" s="33">
        <f t="shared" si="73"/>
        <v>7</v>
      </c>
    </row>
    <row r="1553" spans="1:15" x14ac:dyDescent="0.25">
      <c r="A1553" s="64" t="s">
        <v>180</v>
      </c>
      <c r="B1553" s="79" t="str">
        <f>IF(Seventh!B56="", "",Seventh!B56)</f>
        <v>CSS</v>
      </c>
      <c r="C1553" s="66" t="str">
        <f>IF(Seventh!C56="", "",Seventh!C56)</f>
        <v>Carer</v>
      </c>
      <c r="D1553" s="66" t="str">
        <f>IF(Seventh!D56="", "",Seventh!D56)</f>
        <v>New</v>
      </c>
      <c r="E1553" s="66" t="str">
        <f>IF(Seventh!E56="", "",Seventh!E56)</f>
        <v>Male</v>
      </c>
      <c r="F1553" s="66" t="str">
        <f>IF(Seventh!F56="", "",Seventh!F56)</f>
        <v>Haemat</v>
      </c>
      <c r="G1553" s="66" t="str">
        <f>IF(Seventh!G56="", "",Seventh!G56)</f>
        <v>Curative Intent</v>
      </c>
      <c r="H1553" s="66" t="str">
        <f>IF(Seventh!H56="", "",Seventh!H56)</f>
        <v>Drop-In</v>
      </c>
      <c r="I1553" s="66" t="str">
        <f>IF(Seventh!I56="", "",Seventh!I56)</f>
        <v/>
      </c>
      <c r="J1553" s="66" t="str">
        <f>IF(Seventh!J56="", "",Seventh!J56)</f>
        <v/>
      </c>
      <c r="K1553" s="86" t="str">
        <f>IF(Seventh!K56="", "",Seventh!K56)</f>
        <v/>
      </c>
      <c r="M1553" s="67" t="str">
        <f t="shared" si="74"/>
        <v/>
      </c>
      <c r="N1553" s="76">
        <f t="shared" si="75"/>
        <v>7</v>
      </c>
      <c r="O1553" s="33">
        <f t="shared" si="73"/>
        <v>7</v>
      </c>
    </row>
    <row r="1554" spans="1:15" x14ac:dyDescent="0.25">
      <c r="A1554" s="64" t="s">
        <v>180</v>
      </c>
      <c r="B1554" s="79" t="str">
        <f>IF(Seventh!B57="", "",Seventh!B57)</f>
        <v>CSS</v>
      </c>
      <c r="C1554" s="66" t="str">
        <f>IF(Seventh!C57="", "",Seventh!C57)</f>
        <v>Carer</v>
      </c>
      <c r="D1554" s="66" t="str">
        <f>IF(Seventh!D57="", "",Seventh!D57)</f>
        <v>New</v>
      </c>
      <c r="E1554" s="66" t="str">
        <f>IF(Seventh!E57="", "",Seventh!E57)</f>
        <v>Female</v>
      </c>
      <c r="F1554" s="66" t="str">
        <f>IF(Seventh!F57="", "",Seventh!F57)</f>
        <v>Haemat</v>
      </c>
      <c r="G1554" s="66" t="str">
        <f>IF(Seventh!G57="", "",Seventh!G57)</f>
        <v>Curative Intent</v>
      </c>
      <c r="H1554" s="66" t="str">
        <f>IF(Seventh!H57="", "",Seventh!H57)</f>
        <v>Drop-In</v>
      </c>
      <c r="I1554" s="66" t="str">
        <f>IF(Seventh!I57="", "",Seventh!I57)</f>
        <v/>
      </c>
      <c r="J1554" s="66" t="str">
        <f>IF(Seventh!J57="", "",Seventh!J57)</f>
        <v/>
      </c>
      <c r="K1554" s="86" t="str">
        <f>IF(Seventh!K57="", "",Seventh!K57)</f>
        <v/>
      </c>
      <c r="M1554" s="67" t="str">
        <f t="shared" si="74"/>
        <v/>
      </c>
      <c r="N1554" s="76">
        <f t="shared" si="75"/>
        <v>7</v>
      </c>
      <c r="O1554" s="33">
        <f t="shared" si="73"/>
        <v>7</v>
      </c>
    </row>
    <row r="1555" spans="1:15" x14ac:dyDescent="0.25">
      <c r="A1555" s="64" t="s">
        <v>180</v>
      </c>
      <c r="B1555" s="79" t="str">
        <f>IF(Seventh!B58="", "",Seventh!B58)</f>
        <v>CSS</v>
      </c>
      <c r="C1555" s="66" t="str">
        <f>IF(Seventh!C58="", "",Seventh!C58)</f>
        <v>PwC</v>
      </c>
      <c r="D1555" s="66" t="str">
        <f>IF(Seventh!D58="", "",Seventh!D58)</f>
        <v>New</v>
      </c>
      <c r="E1555" s="66" t="str">
        <f>IF(Seventh!E58="", "",Seventh!E58)</f>
        <v>Female</v>
      </c>
      <c r="F1555" s="66" t="str">
        <f>IF(Seventh!F58="", "",Seventh!F58)</f>
        <v>Brain/CNS</v>
      </c>
      <c r="G1555" s="66" t="str">
        <f>IF(Seventh!G58="", "",Seventh!G58)</f>
        <v>Curative Intent</v>
      </c>
      <c r="H1555" s="66" t="str">
        <f>IF(Seventh!H58="", "",Seventh!H58)</f>
        <v>Drop-In</v>
      </c>
      <c r="I1555" s="66" t="str">
        <f>IF(Seventh!I58="", "",Seventh!I58)</f>
        <v/>
      </c>
      <c r="J1555" s="66" t="str">
        <f>IF(Seventh!J58="", "",Seventh!J58)</f>
        <v/>
      </c>
      <c r="K1555" s="86" t="str">
        <f>IF(Seventh!K58="", "",Seventh!K58)</f>
        <v/>
      </c>
      <c r="M1555" s="67">
        <f t="shared" si="74"/>
        <v>7</v>
      </c>
      <c r="N1555" s="76" t="str">
        <f t="shared" si="75"/>
        <v/>
      </c>
      <c r="O1555" s="33">
        <f t="shared" si="73"/>
        <v>7</v>
      </c>
    </row>
    <row r="1556" spans="1:15" x14ac:dyDescent="0.25">
      <c r="A1556" s="64" t="s">
        <v>180</v>
      </c>
      <c r="B1556" s="79" t="str">
        <f>IF(Seventh!B59="", "",Seventh!B59)</f>
        <v>CSS</v>
      </c>
      <c r="C1556" s="66" t="str">
        <f>IF(Seventh!C59="", "",Seventh!C59)</f>
        <v>PwC</v>
      </c>
      <c r="D1556" s="66" t="str">
        <f>IF(Seventh!D59="", "",Seventh!D59)</f>
        <v>New</v>
      </c>
      <c r="E1556" s="66" t="str">
        <f>IF(Seventh!E59="", "",Seventh!E59)</f>
        <v>Female</v>
      </c>
      <c r="F1556" s="66" t="str">
        <f>IF(Seventh!F59="", "",Seventh!F59)</f>
        <v>Breast</v>
      </c>
      <c r="G1556" s="66" t="str">
        <f>IF(Seventh!G59="", "",Seventh!G59)</f>
        <v>Post Treatment - Curative Intent</v>
      </c>
      <c r="H1556" s="66" t="str">
        <f>IF(Seventh!H59="", "",Seventh!H59)</f>
        <v>Programme</v>
      </c>
      <c r="I1556" s="66" t="str">
        <f>IF(Seventh!I59="", "",Seventh!I59)</f>
        <v>Lecture Series</v>
      </c>
      <c r="J1556" s="66" t="str">
        <f>IF(Seventh!J59="", "",Seventh!J59)</f>
        <v/>
      </c>
      <c r="K1556" s="86" t="str">
        <f>IF(Seventh!K59="", "",Seventh!K59)</f>
        <v/>
      </c>
      <c r="M1556" s="67">
        <f t="shared" si="74"/>
        <v>7</v>
      </c>
      <c r="N1556" s="76" t="str">
        <f t="shared" si="75"/>
        <v/>
      </c>
      <c r="O1556" s="33">
        <f t="shared" si="73"/>
        <v>7</v>
      </c>
    </row>
    <row r="1557" spans="1:15" x14ac:dyDescent="0.25">
      <c r="A1557" s="64" t="s">
        <v>180</v>
      </c>
      <c r="B1557" s="79" t="str">
        <f>IF(Seventh!B60="", "",Seventh!B60)</f>
        <v>CSS</v>
      </c>
      <c r="C1557" s="66" t="str">
        <f>IF(Seventh!C60="", "",Seventh!C60)</f>
        <v>PwC</v>
      </c>
      <c r="D1557" s="66" t="str">
        <f>IF(Seventh!D60="", "",Seventh!D60)</f>
        <v>New</v>
      </c>
      <c r="E1557" s="66" t="str">
        <f>IF(Seventh!E60="", "",Seventh!E60)</f>
        <v>Female</v>
      </c>
      <c r="F1557" s="66" t="str">
        <f>IF(Seventh!F60="", "",Seventh!F60)</f>
        <v>Breast</v>
      </c>
      <c r="G1557" s="66" t="str">
        <f>IF(Seventh!G60="", "",Seventh!G60)</f>
        <v>Post Treatment - Curative Intent</v>
      </c>
      <c r="H1557" s="66" t="str">
        <f>IF(Seventh!H60="", "",Seventh!H60)</f>
        <v>Programme</v>
      </c>
      <c r="I1557" s="66" t="str">
        <f>IF(Seventh!I60="", "",Seventh!I60)</f>
        <v>Lecture Series</v>
      </c>
      <c r="J1557" s="66" t="str">
        <f>IF(Seventh!J60="", "",Seventh!J60)</f>
        <v/>
      </c>
      <c r="K1557" s="86" t="str">
        <f>IF(Seventh!K60="", "",Seventh!K60)</f>
        <v/>
      </c>
      <c r="M1557" s="67">
        <f t="shared" si="74"/>
        <v>7</v>
      </c>
      <c r="N1557" s="76" t="str">
        <f t="shared" si="75"/>
        <v/>
      </c>
      <c r="O1557" s="33">
        <f t="shared" si="73"/>
        <v>7</v>
      </c>
    </row>
    <row r="1558" spans="1:15" x14ac:dyDescent="0.25">
      <c r="A1558" s="64" t="s">
        <v>180</v>
      </c>
      <c r="B1558" s="79" t="str">
        <f>IF(Seventh!B61="", "",Seventh!B61)</f>
        <v>CSS</v>
      </c>
      <c r="C1558" s="66" t="str">
        <f>IF(Seventh!C61="", "",Seventh!C61)</f>
        <v>PwC</v>
      </c>
      <c r="D1558" s="66" t="str">
        <f>IF(Seventh!D61="", "",Seventh!D61)</f>
        <v>New</v>
      </c>
      <c r="E1558" s="66" t="str">
        <f>IF(Seventh!E61="", "",Seventh!E61)</f>
        <v>Female</v>
      </c>
      <c r="F1558" s="66" t="str">
        <f>IF(Seventh!F61="", "",Seventh!F61)</f>
        <v>Breast</v>
      </c>
      <c r="G1558" s="66" t="str">
        <f>IF(Seventh!G61="", "",Seventh!G61)</f>
        <v>Post Treatment - Curative Intent</v>
      </c>
      <c r="H1558" s="66" t="str">
        <f>IF(Seventh!H61="", "",Seventh!H61)</f>
        <v>Programme</v>
      </c>
      <c r="I1558" s="66" t="str">
        <f>IF(Seventh!I61="", "",Seventh!I61)</f>
        <v>Lecture Series</v>
      </c>
      <c r="J1558" s="66" t="str">
        <f>IF(Seventh!J61="", "",Seventh!J61)</f>
        <v/>
      </c>
      <c r="K1558" s="86" t="str">
        <f>IF(Seventh!K61="", "",Seventh!K61)</f>
        <v/>
      </c>
      <c r="M1558" s="67">
        <f t="shared" si="74"/>
        <v>7</v>
      </c>
      <c r="N1558" s="76" t="str">
        <f t="shared" si="75"/>
        <v/>
      </c>
      <c r="O1558" s="33">
        <f t="shared" si="73"/>
        <v>7</v>
      </c>
    </row>
    <row r="1559" spans="1:15" x14ac:dyDescent="0.25">
      <c r="A1559" s="64" t="s">
        <v>180</v>
      </c>
      <c r="B1559" s="79" t="str">
        <f>IF(Seventh!B62="", "",Seventh!B62)</f>
        <v>CSS</v>
      </c>
      <c r="C1559" s="66" t="str">
        <f>IF(Seventh!C62="", "",Seventh!C62)</f>
        <v>PwC</v>
      </c>
      <c r="D1559" s="66" t="str">
        <f>IF(Seventh!D62="", "",Seventh!D62)</f>
        <v>New</v>
      </c>
      <c r="E1559" s="66" t="str">
        <f>IF(Seventh!E62="", "",Seventh!E62)</f>
        <v>Female</v>
      </c>
      <c r="F1559" s="66" t="str">
        <f>IF(Seventh!F62="", "",Seventh!F62)</f>
        <v>Breast</v>
      </c>
      <c r="G1559" s="66" t="str">
        <f>IF(Seventh!G62="", "",Seventh!G62)</f>
        <v>Post Treatment - Curative Intent</v>
      </c>
      <c r="H1559" s="66" t="str">
        <f>IF(Seventh!H62="", "",Seventh!H62)</f>
        <v>Programme</v>
      </c>
      <c r="I1559" s="66" t="str">
        <f>IF(Seventh!I62="", "",Seventh!I62)</f>
        <v>Lecture Series</v>
      </c>
      <c r="J1559" s="66" t="str">
        <f>IF(Seventh!J62="", "",Seventh!J62)</f>
        <v/>
      </c>
      <c r="K1559" s="86" t="str">
        <f>IF(Seventh!K62="", "",Seventh!K62)</f>
        <v/>
      </c>
      <c r="M1559" s="67">
        <f t="shared" si="74"/>
        <v>7</v>
      </c>
      <c r="N1559" s="76" t="str">
        <f t="shared" si="75"/>
        <v/>
      </c>
      <c r="O1559" s="33">
        <f t="shared" si="73"/>
        <v>7</v>
      </c>
    </row>
    <row r="1560" spans="1:15" x14ac:dyDescent="0.25">
      <c r="A1560" s="64" t="s">
        <v>180</v>
      </c>
      <c r="B1560" s="79" t="str">
        <f>IF(Seventh!B63="", "",Seventh!B63)</f>
        <v>CSS</v>
      </c>
      <c r="C1560" s="66" t="str">
        <f>IF(Seventh!C63="", "",Seventh!C63)</f>
        <v>PwC</v>
      </c>
      <c r="D1560" s="66" t="str">
        <f>IF(Seventh!D63="", "",Seventh!D63)</f>
        <v>New</v>
      </c>
      <c r="E1560" s="66" t="str">
        <f>IF(Seventh!E63="", "",Seventh!E63)</f>
        <v>Female</v>
      </c>
      <c r="F1560" s="66" t="str">
        <f>IF(Seventh!F63="", "",Seventh!F63)</f>
        <v>Breast</v>
      </c>
      <c r="G1560" s="66" t="str">
        <f>IF(Seventh!G63="", "",Seventh!G63)</f>
        <v>Post Treatment - Curative Intent</v>
      </c>
      <c r="H1560" s="66" t="str">
        <f>IF(Seventh!H63="", "",Seventh!H63)</f>
        <v>Programme</v>
      </c>
      <c r="I1560" s="66" t="str">
        <f>IF(Seventh!I63="", "",Seventh!I63)</f>
        <v>Lecture Series</v>
      </c>
      <c r="J1560" s="66" t="str">
        <f>IF(Seventh!J63="", "",Seventh!J63)</f>
        <v/>
      </c>
      <c r="K1560" s="86" t="str">
        <f>IF(Seventh!K63="", "",Seventh!K63)</f>
        <v/>
      </c>
      <c r="M1560" s="67">
        <f t="shared" si="74"/>
        <v>7</v>
      </c>
      <c r="N1560" s="76" t="str">
        <f t="shared" si="75"/>
        <v/>
      </c>
      <c r="O1560" s="33">
        <f t="shared" si="73"/>
        <v>7</v>
      </c>
    </row>
    <row r="1561" spans="1:15" x14ac:dyDescent="0.25">
      <c r="A1561" s="64" t="s">
        <v>180</v>
      </c>
      <c r="B1561" s="79" t="str">
        <f>IF(Seventh!B64="", "",Seventh!B64)</f>
        <v>CSS</v>
      </c>
      <c r="C1561" s="66" t="str">
        <f>IF(Seventh!C64="", "",Seventh!C64)</f>
        <v>PwC</v>
      </c>
      <c r="D1561" s="66" t="str">
        <f>IF(Seventh!D64="", "",Seventh!D64)</f>
        <v>New</v>
      </c>
      <c r="E1561" s="66" t="str">
        <f>IF(Seventh!E64="", "",Seventh!E64)</f>
        <v>Female</v>
      </c>
      <c r="F1561" s="66" t="str">
        <f>IF(Seventh!F64="", "",Seventh!F64)</f>
        <v>Breast</v>
      </c>
      <c r="G1561" s="66" t="str">
        <f>IF(Seventh!G64="", "",Seventh!G64)</f>
        <v>Post Treatment - Curative Intent</v>
      </c>
      <c r="H1561" s="66" t="str">
        <f>IF(Seventh!H64="", "",Seventh!H64)</f>
        <v>Programme</v>
      </c>
      <c r="I1561" s="66" t="str">
        <f>IF(Seventh!I64="", "",Seventh!I64)</f>
        <v>Lecture Series</v>
      </c>
      <c r="J1561" s="66" t="str">
        <f>IF(Seventh!J64="", "",Seventh!J64)</f>
        <v/>
      </c>
      <c r="K1561" s="86" t="str">
        <f>IF(Seventh!K64="", "",Seventh!K64)</f>
        <v/>
      </c>
      <c r="M1561" s="67">
        <f t="shared" si="74"/>
        <v>7</v>
      </c>
      <c r="N1561" s="76" t="str">
        <f t="shared" si="75"/>
        <v/>
      </c>
      <c r="O1561" s="33">
        <f t="shared" si="73"/>
        <v>7</v>
      </c>
    </row>
    <row r="1562" spans="1:15" x14ac:dyDescent="0.25">
      <c r="A1562" s="64" t="s">
        <v>180</v>
      </c>
      <c r="B1562" s="79" t="str">
        <f>IF(Seventh!B65="", "",Seventh!B65)</f>
        <v>CSS</v>
      </c>
      <c r="C1562" s="66" t="str">
        <f>IF(Seventh!C65="", "",Seventh!C65)</f>
        <v>PwC</v>
      </c>
      <c r="D1562" s="66" t="str">
        <f>IF(Seventh!D65="", "",Seventh!D65)</f>
        <v>New</v>
      </c>
      <c r="E1562" s="66" t="str">
        <f>IF(Seventh!E65="", "",Seventh!E65)</f>
        <v>Female</v>
      </c>
      <c r="F1562" s="66" t="str">
        <f>IF(Seventh!F65="", "",Seventh!F65)</f>
        <v>Breast</v>
      </c>
      <c r="G1562" s="66" t="str">
        <f>IF(Seventh!G65="", "",Seventh!G65)</f>
        <v>Post Treatment - Curative Intent</v>
      </c>
      <c r="H1562" s="66" t="str">
        <f>IF(Seventh!H65="", "",Seventh!H65)</f>
        <v>Programme</v>
      </c>
      <c r="I1562" s="66" t="str">
        <f>IF(Seventh!I65="", "",Seventh!I65)</f>
        <v>Lecture Series</v>
      </c>
      <c r="J1562" s="66" t="str">
        <f>IF(Seventh!J65="", "",Seventh!J65)</f>
        <v/>
      </c>
      <c r="K1562" s="86" t="str">
        <f>IF(Seventh!K65="", "",Seventh!K65)</f>
        <v/>
      </c>
      <c r="M1562" s="67">
        <f t="shared" si="74"/>
        <v>7</v>
      </c>
      <c r="N1562" s="76" t="str">
        <f t="shared" si="75"/>
        <v/>
      </c>
      <c r="O1562" s="33">
        <f t="shared" si="73"/>
        <v>7</v>
      </c>
    </row>
    <row r="1563" spans="1:15" x14ac:dyDescent="0.25">
      <c r="A1563" s="64" t="s">
        <v>180</v>
      </c>
      <c r="B1563" s="79" t="str">
        <f>IF(Seventh!B66="", "",Seventh!B66)</f>
        <v>CSS</v>
      </c>
      <c r="C1563" s="66" t="str">
        <f>IF(Seventh!C66="", "",Seventh!C66)</f>
        <v>PwC</v>
      </c>
      <c r="D1563" s="66" t="str">
        <f>IF(Seventh!D66="", "",Seventh!D66)</f>
        <v>New</v>
      </c>
      <c r="E1563" s="66" t="str">
        <f>IF(Seventh!E66="", "",Seventh!E66)</f>
        <v>Female</v>
      </c>
      <c r="F1563" s="66" t="str">
        <f>IF(Seventh!F66="", "",Seventh!F66)</f>
        <v>Breast</v>
      </c>
      <c r="G1563" s="66" t="str">
        <f>IF(Seventh!G66="", "",Seventh!G66)</f>
        <v>Post Treatment - Curative Intent</v>
      </c>
      <c r="H1563" s="66" t="str">
        <f>IF(Seventh!H66="", "",Seventh!H66)</f>
        <v>Programme</v>
      </c>
      <c r="I1563" s="66" t="str">
        <f>IF(Seventh!I66="", "",Seventh!I66)</f>
        <v>Lecture Series</v>
      </c>
      <c r="J1563" s="66" t="str">
        <f>IF(Seventh!J66="", "",Seventh!J66)</f>
        <v/>
      </c>
      <c r="K1563" s="86" t="str">
        <f>IF(Seventh!K66="", "",Seventh!K66)</f>
        <v/>
      </c>
      <c r="M1563" s="67">
        <f t="shared" si="74"/>
        <v>7</v>
      </c>
      <c r="N1563" s="76" t="str">
        <f t="shared" si="75"/>
        <v/>
      </c>
      <c r="O1563" s="33">
        <f t="shared" si="73"/>
        <v>7</v>
      </c>
    </row>
    <row r="1564" spans="1:15" x14ac:dyDescent="0.25">
      <c r="A1564" s="64" t="s">
        <v>180</v>
      </c>
      <c r="B1564" s="79" t="str">
        <f>IF(Seventh!B67="", "",Seventh!B67)</f>
        <v>CSS</v>
      </c>
      <c r="C1564" s="66" t="str">
        <f>IF(Seventh!C67="", "",Seventh!C67)</f>
        <v>PwC</v>
      </c>
      <c r="D1564" s="66" t="str">
        <f>IF(Seventh!D67="", "",Seventh!D67)</f>
        <v>New</v>
      </c>
      <c r="E1564" s="66" t="str">
        <f>IF(Seventh!E67="", "",Seventh!E67)</f>
        <v>Female</v>
      </c>
      <c r="F1564" s="66" t="str">
        <f>IF(Seventh!F67="", "",Seventh!F67)</f>
        <v>Breast</v>
      </c>
      <c r="G1564" s="66" t="str">
        <f>IF(Seventh!G67="", "",Seventh!G67)</f>
        <v>Post Treatment - Curative Intent</v>
      </c>
      <c r="H1564" s="66" t="str">
        <f>IF(Seventh!H67="", "",Seventh!H67)</f>
        <v>Programme</v>
      </c>
      <c r="I1564" s="66" t="str">
        <f>IF(Seventh!I67="", "",Seventh!I67)</f>
        <v>Lecture Series</v>
      </c>
      <c r="J1564" s="66" t="str">
        <f>IF(Seventh!J67="", "",Seventh!J67)</f>
        <v/>
      </c>
      <c r="K1564" s="86" t="str">
        <f>IF(Seventh!K67="", "",Seventh!K67)</f>
        <v/>
      </c>
      <c r="M1564" s="67">
        <f t="shared" si="74"/>
        <v>7</v>
      </c>
      <c r="N1564" s="76" t="str">
        <f t="shared" si="75"/>
        <v/>
      </c>
      <c r="O1564" s="33">
        <f t="shared" si="73"/>
        <v>7</v>
      </c>
    </row>
    <row r="1565" spans="1:15" x14ac:dyDescent="0.25">
      <c r="A1565" s="64" t="s">
        <v>180</v>
      </c>
      <c r="B1565" s="79" t="str">
        <f>IF(Seventh!B68="", "",Seventh!B68)</f>
        <v>CSS</v>
      </c>
      <c r="C1565" s="66" t="str">
        <f>IF(Seventh!C68="", "",Seventh!C68)</f>
        <v>PwC</v>
      </c>
      <c r="D1565" s="66" t="str">
        <f>IF(Seventh!D68="", "",Seventh!D68)</f>
        <v>New</v>
      </c>
      <c r="E1565" s="66" t="str">
        <f>IF(Seventh!E68="", "",Seventh!E68)</f>
        <v>Female</v>
      </c>
      <c r="F1565" s="66" t="str">
        <f>IF(Seventh!F68="", "",Seventh!F68)</f>
        <v>Breast</v>
      </c>
      <c r="G1565" s="66" t="str">
        <f>IF(Seventh!G68="", "",Seventh!G68)</f>
        <v>Post Treatment - Curative Intent</v>
      </c>
      <c r="H1565" s="66" t="str">
        <f>IF(Seventh!H68="", "",Seventh!H68)</f>
        <v>Programme</v>
      </c>
      <c r="I1565" s="66" t="str">
        <f>IF(Seventh!I68="", "",Seventh!I68)</f>
        <v>Lecture Series</v>
      </c>
      <c r="J1565" s="66" t="str">
        <f>IF(Seventh!J68="", "",Seventh!J68)</f>
        <v/>
      </c>
      <c r="K1565" s="86" t="str">
        <f>IF(Seventh!K68="", "",Seventh!K68)</f>
        <v/>
      </c>
      <c r="M1565" s="67">
        <f t="shared" si="74"/>
        <v>7</v>
      </c>
      <c r="N1565" s="76" t="str">
        <f t="shared" si="75"/>
        <v/>
      </c>
      <c r="O1565" s="33">
        <f t="shared" si="73"/>
        <v>7</v>
      </c>
    </row>
    <row r="1566" spans="1:15" x14ac:dyDescent="0.25">
      <c r="A1566" s="64" t="s">
        <v>180</v>
      </c>
      <c r="B1566" s="79" t="str">
        <f>IF(Seventh!B69="", "",Seventh!B69)</f>
        <v>CSS</v>
      </c>
      <c r="C1566" s="66" t="str">
        <f>IF(Seventh!C69="", "",Seventh!C69)</f>
        <v>PwC</v>
      </c>
      <c r="D1566" s="66" t="str">
        <f>IF(Seventh!D69="", "",Seventh!D69)</f>
        <v>New</v>
      </c>
      <c r="E1566" s="66" t="str">
        <f>IF(Seventh!E69="", "",Seventh!E69)</f>
        <v>Female</v>
      </c>
      <c r="F1566" s="66" t="str">
        <f>IF(Seventh!F69="", "",Seventh!F69)</f>
        <v>Breast</v>
      </c>
      <c r="G1566" s="66" t="str">
        <f>IF(Seventh!G69="", "",Seventh!G69)</f>
        <v>Post Treatment - Curative Intent</v>
      </c>
      <c r="H1566" s="66" t="str">
        <f>IF(Seventh!H69="", "",Seventh!H69)</f>
        <v>Programme</v>
      </c>
      <c r="I1566" s="66" t="str">
        <f>IF(Seventh!I69="", "",Seventh!I69)</f>
        <v>Lecture Series</v>
      </c>
      <c r="J1566" s="66" t="str">
        <f>IF(Seventh!J69="", "",Seventh!J69)</f>
        <v/>
      </c>
      <c r="K1566" s="86" t="str">
        <f>IF(Seventh!K69="", "",Seventh!K69)</f>
        <v/>
      </c>
      <c r="M1566" s="67">
        <f t="shared" si="74"/>
        <v>7</v>
      </c>
      <c r="N1566" s="76" t="str">
        <f t="shared" si="75"/>
        <v/>
      </c>
      <c r="O1566" s="33">
        <f t="shared" si="73"/>
        <v>7</v>
      </c>
    </row>
    <row r="1567" spans="1:15" x14ac:dyDescent="0.25">
      <c r="A1567" s="64" t="s">
        <v>180</v>
      </c>
      <c r="B1567" s="79" t="str">
        <f>IF(Seventh!B70="", "",Seventh!B70)</f>
        <v>CSS</v>
      </c>
      <c r="C1567" s="66" t="str">
        <f>IF(Seventh!C70="", "",Seventh!C70)</f>
        <v>PwC</v>
      </c>
      <c r="D1567" s="66" t="str">
        <f>IF(Seventh!D70="", "",Seventh!D70)</f>
        <v>New</v>
      </c>
      <c r="E1567" s="66" t="str">
        <f>IF(Seventh!E70="", "",Seventh!E70)</f>
        <v>Female</v>
      </c>
      <c r="F1567" s="66" t="str">
        <f>IF(Seventh!F70="", "",Seventh!F70)</f>
        <v>Breast</v>
      </c>
      <c r="G1567" s="66" t="str">
        <f>IF(Seventh!G70="", "",Seventh!G70)</f>
        <v>Post Treatment - Curative Intent</v>
      </c>
      <c r="H1567" s="66" t="str">
        <f>IF(Seventh!H70="", "",Seventh!H70)</f>
        <v>Programme</v>
      </c>
      <c r="I1567" s="66" t="str">
        <f>IF(Seventh!I70="", "",Seventh!I70)</f>
        <v>Lecture Series</v>
      </c>
      <c r="J1567" s="66" t="str">
        <f>IF(Seventh!J70="", "",Seventh!J70)</f>
        <v/>
      </c>
      <c r="K1567" s="86" t="str">
        <f>IF(Seventh!K70="", "",Seventh!K70)</f>
        <v/>
      </c>
      <c r="M1567" s="67">
        <f t="shared" si="74"/>
        <v>7</v>
      </c>
      <c r="N1567" s="76" t="str">
        <f t="shared" si="75"/>
        <v/>
      </c>
      <c r="O1567" s="33">
        <f t="shared" si="73"/>
        <v>7</v>
      </c>
    </row>
    <row r="1568" spans="1:15" x14ac:dyDescent="0.25">
      <c r="A1568" s="64" t="s">
        <v>180</v>
      </c>
      <c r="B1568" s="79" t="str">
        <f>IF(Seventh!B71="", "",Seventh!B71)</f>
        <v>CSS</v>
      </c>
      <c r="C1568" s="66" t="str">
        <f>IF(Seventh!C71="", "",Seventh!C71)</f>
        <v>PwC</v>
      </c>
      <c r="D1568" s="66" t="str">
        <f>IF(Seventh!D71="", "",Seventh!D71)</f>
        <v>New</v>
      </c>
      <c r="E1568" s="66" t="str">
        <f>IF(Seventh!E71="", "",Seventh!E71)</f>
        <v>Female</v>
      </c>
      <c r="F1568" s="66" t="str">
        <f>IF(Seventh!F71="", "",Seventh!F71)</f>
        <v>Breast</v>
      </c>
      <c r="G1568" s="66" t="str">
        <f>IF(Seventh!G71="", "",Seventh!G71)</f>
        <v>Post Treatment - Curative Intent</v>
      </c>
      <c r="H1568" s="66" t="str">
        <f>IF(Seventh!H71="", "",Seventh!H71)</f>
        <v>Programme</v>
      </c>
      <c r="I1568" s="66" t="str">
        <f>IF(Seventh!I71="", "",Seventh!I71)</f>
        <v>Lecture Series</v>
      </c>
      <c r="J1568" s="66" t="str">
        <f>IF(Seventh!J71="", "",Seventh!J71)</f>
        <v/>
      </c>
      <c r="K1568" s="86" t="str">
        <f>IF(Seventh!K71="", "",Seventh!K71)</f>
        <v/>
      </c>
      <c r="M1568" s="67">
        <f t="shared" si="74"/>
        <v>7</v>
      </c>
      <c r="N1568" s="76" t="str">
        <f t="shared" si="75"/>
        <v/>
      </c>
      <c r="O1568" s="33">
        <f t="shared" si="73"/>
        <v>7</v>
      </c>
    </row>
    <row r="1569" spans="1:15" x14ac:dyDescent="0.25">
      <c r="A1569" s="64" t="s">
        <v>180</v>
      </c>
      <c r="B1569" s="79" t="str">
        <f>IF(Seventh!B72="", "",Seventh!B72)</f>
        <v>CSS</v>
      </c>
      <c r="C1569" s="66" t="str">
        <f>IF(Seventh!C72="", "",Seventh!C72)</f>
        <v>PwC</v>
      </c>
      <c r="D1569" s="66" t="str">
        <f>IF(Seventh!D72="", "",Seventh!D72)</f>
        <v>New</v>
      </c>
      <c r="E1569" s="66" t="str">
        <f>IF(Seventh!E72="", "",Seventh!E72)</f>
        <v>Female</v>
      </c>
      <c r="F1569" s="66" t="str">
        <f>IF(Seventh!F72="", "",Seventh!F72)</f>
        <v>Breast</v>
      </c>
      <c r="G1569" s="66" t="str">
        <f>IF(Seventh!G72="", "",Seventh!G72)</f>
        <v>Post Treatment - Curative Intent</v>
      </c>
      <c r="H1569" s="66" t="str">
        <f>IF(Seventh!H72="", "",Seventh!H72)</f>
        <v>Programme</v>
      </c>
      <c r="I1569" s="66" t="str">
        <f>IF(Seventh!I72="", "",Seventh!I72)</f>
        <v>Lecture Series</v>
      </c>
      <c r="J1569" s="66" t="str">
        <f>IF(Seventh!J72="", "",Seventh!J72)</f>
        <v/>
      </c>
      <c r="K1569" s="86" t="str">
        <f>IF(Seventh!K72="", "",Seventh!K72)</f>
        <v/>
      </c>
      <c r="M1569" s="67">
        <f t="shared" si="74"/>
        <v>7</v>
      </c>
      <c r="N1569" s="76" t="str">
        <f t="shared" si="75"/>
        <v/>
      </c>
      <c r="O1569" s="33">
        <f t="shared" si="73"/>
        <v>7</v>
      </c>
    </row>
    <row r="1570" spans="1:15" x14ac:dyDescent="0.25">
      <c r="A1570" s="64" t="s">
        <v>180</v>
      </c>
      <c r="B1570" s="79" t="str">
        <f>IF(Seventh!B73="", "",Seventh!B73)</f>
        <v>CSS</v>
      </c>
      <c r="C1570" s="66" t="str">
        <f>IF(Seventh!C73="", "",Seventh!C73)</f>
        <v>PwC</v>
      </c>
      <c r="D1570" s="66" t="str">
        <f>IF(Seventh!D73="", "",Seventh!D73)</f>
        <v>New</v>
      </c>
      <c r="E1570" s="66" t="str">
        <f>IF(Seventh!E73="", "",Seventh!E73)</f>
        <v>Female</v>
      </c>
      <c r="F1570" s="66" t="str">
        <f>IF(Seventh!F73="", "",Seventh!F73)</f>
        <v>Breast</v>
      </c>
      <c r="G1570" s="66" t="str">
        <f>IF(Seventh!G73="", "",Seventh!G73)</f>
        <v>Post Treatment - Curative Intent</v>
      </c>
      <c r="H1570" s="66" t="str">
        <f>IF(Seventh!H73="", "",Seventh!H73)</f>
        <v>Programme</v>
      </c>
      <c r="I1570" s="66" t="str">
        <f>IF(Seventh!I73="", "",Seventh!I73)</f>
        <v>Lecture Series</v>
      </c>
      <c r="J1570" s="66" t="str">
        <f>IF(Seventh!J73="", "",Seventh!J73)</f>
        <v/>
      </c>
      <c r="K1570" s="86" t="str">
        <f>IF(Seventh!K73="", "",Seventh!K73)</f>
        <v/>
      </c>
      <c r="M1570" s="67">
        <f t="shared" si="74"/>
        <v>7</v>
      </c>
      <c r="N1570" s="76" t="str">
        <f t="shared" si="75"/>
        <v/>
      </c>
      <c r="O1570" s="33">
        <f t="shared" si="73"/>
        <v>7</v>
      </c>
    </row>
    <row r="1571" spans="1:15" x14ac:dyDescent="0.25">
      <c r="A1571" s="64" t="s">
        <v>180</v>
      </c>
      <c r="B1571" s="79" t="str">
        <f>IF(Seventh!B74="", "",Seventh!B74)</f>
        <v>CSS</v>
      </c>
      <c r="C1571" s="66" t="str">
        <f>IF(Seventh!C74="", "",Seventh!C74)</f>
        <v>PwC</v>
      </c>
      <c r="D1571" s="66" t="str">
        <f>IF(Seventh!D74="", "",Seventh!D74)</f>
        <v>New</v>
      </c>
      <c r="E1571" s="66" t="str">
        <f>IF(Seventh!E74="", "",Seventh!E74)</f>
        <v>Female</v>
      </c>
      <c r="F1571" s="66" t="str">
        <f>IF(Seventh!F74="", "",Seventh!F74)</f>
        <v>Breast</v>
      </c>
      <c r="G1571" s="66" t="str">
        <f>IF(Seventh!G74="", "",Seventh!G74)</f>
        <v>Post Treatment - Curative Intent</v>
      </c>
      <c r="H1571" s="66" t="str">
        <f>IF(Seventh!H74="", "",Seventh!H74)</f>
        <v>Programme</v>
      </c>
      <c r="I1571" s="66" t="str">
        <f>IF(Seventh!I74="", "",Seventh!I74)</f>
        <v>Lecture Series</v>
      </c>
      <c r="J1571" s="66" t="str">
        <f>IF(Seventh!J74="", "",Seventh!J74)</f>
        <v/>
      </c>
      <c r="K1571" s="86" t="str">
        <f>IF(Seventh!K74="", "",Seventh!K74)</f>
        <v/>
      </c>
      <c r="M1571" s="67">
        <f t="shared" si="74"/>
        <v>7</v>
      </c>
      <c r="N1571" s="76" t="str">
        <f t="shared" si="75"/>
        <v/>
      </c>
      <c r="O1571" s="33">
        <f t="shared" si="73"/>
        <v>7</v>
      </c>
    </row>
    <row r="1572" spans="1:15" x14ac:dyDescent="0.25">
      <c r="A1572" s="64" t="s">
        <v>180</v>
      </c>
      <c r="B1572" s="79" t="str">
        <f>IF(Seventh!B75="", "",Seventh!B75)</f>
        <v>CSS</v>
      </c>
      <c r="C1572" s="66" t="str">
        <f>IF(Seventh!C75="", "",Seventh!C75)</f>
        <v>PwC</v>
      </c>
      <c r="D1572" s="66" t="str">
        <f>IF(Seventh!D75="", "",Seventh!D75)</f>
        <v>New</v>
      </c>
      <c r="E1572" s="66" t="str">
        <f>IF(Seventh!E75="", "",Seventh!E75)</f>
        <v>Female</v>
      </c>
      <c r="F1572" s="66" t="str">
        <f>IF(Seventh!F75="", "",Seventh!F75)</f>
        <v>Breast</v>
      </c>
      <c r="G1572" s="66" t="str">
        <f>IF(Seventh!G75="", "",Seventh!G75)</f>
        <v>Post Treatment - Curative Intent</v>
      </c>
      <c r="H1572" s="66" t="str">
        <f>IF(Seventh!H75="", "",Seventh!H75)</f>
        <v>Programme</v>
      </c>
      <c r="I1572" s="66" t="str">
        <f>IF(Seventh!I75="", "",Seventh!I75)</f>
        <v>Lecture Series</v>
      </c>
      <c r="J1572" s="66" t="str">
        <f>IF(Seventh!J75="", "",Seventh!J75)</f>
        <v/>
      </c>
      <c r="K1572" s="86" t="str">
        <f>IF(Seventh!K75="", "",Seventh!K75)</f>
        <v/>
      </c>
      <c r="M1572" s="67">
        <f t="shared" si="74"/>
        <v>7</v>
      </c>
      <c r="N1572" s="76" t="str">
        <f t="shared" si="75"/>
        <v/>
      </c>
      <c r="O1572" s="33">
        <f t="shared" si="73"/>
        <v>7</v>
      </c>
    </row>
    <row r="1573" spans="1:15" x14ac:dyDescent="0.25">
      <c r="A1573" s="64" t="s">
        <v>180</v>
      </c>
      <c r="B1573" s="79" t="str">
        <f>IF(Seventh!B76="", "",Seventh!B76)</f>
        <v>CSS</v>
      </c>
      <c r="C1573" s="66" t="str">
        <f>IF(Seventh!C76="", "",Seventh!C76)</f>
        <v>PwC</v>
      </c>
      <c r="D1573" s="66" t="str">
        <f>IF(Seventh!D76="", "",Seventh!D76)</f>
        <v>New</v>
      </c>
      <c r="E1573" s="66" t="str">
        <f>IF(Seventh!E76="", "",Seventh!E76)</f>
        <v>Female</v>
      </c>
      <c r="F1573" s="66" t="str">
        <f>IF(Seventh!F76="", "",Seventh!F76)</f>
        <v>Breast</v>
      </c>
      <c r="G1573" s="66" t="str">
        <f>IF(Seventh!G76="", "",Seventh!G76)</f>
        <v>Post Treatment - Curative Intent</v>
      </c>
      <c r="H1573" s="66" t="str">
        <f>IF(Seventh!H76="", "",Seventh!H76)</f>
        <v>Programme</v>
      </c>
      <c r="I1573" s="66" t="str">
        <f>IF(Seventh!I76="", "",Seventh!I76)</f>
        <v>Lecture Series</v>
      </c>
      <c r="J1573" s="66" t="str">
        <f>IF(Seventh!J76="", "",Seventh!J76)</f>
        <v/>
      </c>
      <c r="K1573" s="86" t="str">
        <f>IF(Seventh!K76="", "",Seventh!K76)</f>
        <v/>
      </c>
      <c r="M1573" s="67">
        <f t="shared" si="74"/>
        <v>7</v>
      </c>
      <c r="N1573" s="76" t="str">
        <f t="shared" si="75"/>
        <v/>
      </c>
      <c r="O1573" s="33">
        <f t="shared" si="73"/>
        <v>7</v>
      </c>
    </row>
    <row r="1574" spans="1:15" x14ac:dyDescent="0.25">
      <c r="A1574" s="64" t="s">
        <v>180</v>
      </c>
      <c r="B1574" s="79" t="str">
        <f>IF(Seventh!B77="", "",Seventh!B77)</f>
        <v>CSS</v>
      </c>
      <c r="C1574" s="66" t="str">
        <f>IF(Seventh!C77="", "",Seventh!C77)</f>
        <v>PwC</v>
      </c>
      <c r="D1574" s="66" t="str">
        <f>IF(Seventh!D77="", "",Seventh!D77)</f>
        <v>New</v>
      </c>
      <c r="E1574" s="66" t="str">
        <f>IF(Seventh!E77="", "",Seventh!E77)</f>
        <v>Female</v>
      </c>
      <c r="F1574" s="66" t="str">
        <f>IF(Seventh!F77="", "",Seventh!F77)</f>
        <v>Breast</v>
      </c>
      <c r="G1574" s="66" t="str">
        <f>IF(Seventh!G77="", "",Seventh!G77)</f>
        <v>Post Treatment - Curative Intent</v>
      </c>
      <c r="H1574" s="66" t="str">
        <f>IF(Seventh!H77="", "",Seventh!H77)</f>
        <v>Programme</v>
      </c>
      <c r="I1574" s="66" t="str">
        <f>IF(Seventh!I77="", "",Seventh!I77)</f>
        <v>Lecture Series</v>
      </c>
      <c r="J1574" s="66" t="str">
        <f>IF(Seventh!J77="", "",Seventh!J77)</f>
        <v/>
      </c>
      <c r="K1574" s="86" t="str">
        <f>IF(Seventh!K77="", "",Seventh!K77)</f>
        <v/>
      </c>
      <c r="M1574" s="67">
        <f t="shared" si="74"/>
        <v>7</v>
      </c>
      <c r="N1574" s="76" t="str">
        <f t="shared" si="75"/>
        <v/>
      </c>
      <c r="O1574" s="33">
        <f t="shared" si="73"/>
        <v>7</v>
      </c>
    </row>
    <row r="1575" spans="1:15" x14ac:dyDescent="0.25">
      <c r="A1575" s="64" t="s">
        <v>180</v>
      </c>
      <c r="B1575" s="79" t="str">
        <f>IF(Seventh!B78="", "",Seventh!B78)</f>
        <v>CSS</v>
      </c>
      <c r="C1575" s="66" t="str">
        <f>IF(Seventh!C78="", "",Seventh!C78)</f>
        <v>PwC</v>
      </c>
      <c r="D1575" s="66" t="str">
        <f>IF(Seventh!D78="", "",Seventh!D78)</f>
        <v>New</v>
      </c>
      <c r="E1575" s="66" t="str">
        <f>IF(Seventh!E78="", "",Seventh!E78)</f>
        <v>Female</v>
      </c>
      <c r="F1575" s="66" t="str">
        <f>IF(Seventh!F78="", "",Seventh!F78)</f>
        <v>Breast</v>
      </c>
      <c r="G1575" s="66" t="str">
        <f>IF(Seventh!G78="", "",Seventh!G78)</f>
        <v>Post Treatment - Curative Intent</v>
      </c>
      <c r="H1575" s="66" t="str">
        <f>IF(Seventh!H78="", "",Seventh!H78)</f>
        <v>Programme</v>
      </c>
      <c r="I1575" s="66" t="str">
        <f>IF(Seventh!I78="", "",Seventh!I78)</f>
        <v>Lecture Series</v>
      </c>
      <c r="J1575" s="66" t="str">
        <f>IF(Seventh!J78="", "",Seventh!J78)</f>
        <v/>
      </c>
      <c r="K1575" s="86" t="str">
        <f>IF(Seventh!K78="", "",Seventh!K78)</f>
        <v/>
      </c>
      <c r="M1575" s="67">
        <f t="shared" si="74"/>
        <v>7</v>
      </c>
      <c r="N1575" s="76" t="str">
        <f t="shared" si="75"/>
        <v/>
      </c>
      <c r="O1575" s="33">
        <f t="shared" si="73"/>
        <v>7</v>
      </c>
    </row>
    <row r="1576" spans="1:15" x14ac:dyDescent="0.25">
      <c r="A1576" s="64" t="s">
        <v>180</v>
      </c>
      <c r="B1576" s="79" t="str">
        <f>IF(Seventh!B79="", "",Seventh!B79)</f>
        <v>CSS</v>
      </c>
      <c r="C1576" s="66" t="str">
        <f>IF(Seventh!C79="", "",Seventh!C79)</f>
        <v>PwC</v>
      </c>
      <c r="D1576" s="66" t="str">
        <f>IF(Seventh!D79="", "",Seventh!D79)</f>
        <v>New</v>
      </c>
      <c r="E1576" s="66" t="str">
        <f>IF(Seventh!E79="", "",Seventh!E79)</f>
        <v>Female</v>
      </c>
      <c r="F1576" s="66" t="str">
        <f>IF(Seventh!F79="", "",Seventh!F79)</f>
        <v>Breast</v>
      </c>
      <c r="G1576" s="66" t="str">
        <f>IF(Seventh!G79="", "",Seventh!G79)</f>
        <v>Post Treatment - Curative Intent</v>
      </c>
      <c r="H1576" s="66" t="str">
        <f>IF(Seventh!H79="", "",Seventh!H79)</f>
        <v>Programme</v>
      </c>
      <c r="I1576" s="66" t="str">
        <f>IF(Seventh!I79="", "",Seventh!I79)</f>
        <v>Lecture Series</v>
      </c>
      <c r="J1576" s="66" t="str">
        <f>IF(Seventh!J79="", "",Seventh!J79)</f>
        <v/>
      </c>
      <c r="K1576" s="86" t="str">
        <f>IF(Seventh!K79="", "",Seventh!K79)</f>
        <v/>
      </c>
      <c r="M1576" s="67">
        <f t="shared" si="74"/>
        <v>7</v>
      </c>
      <c r="N1576" s="76" t="str">
        <f t="shared" si="75"/>
        <v/>
      </c>
      <c r="O1576" s="33">
        <f t="shared" si="73"/>
        <v>7</v>
      </c>
    </row>
    <row r="1577" spans="1:15" x14ac:dyDescent="0.25">
      <c r="A1577" s="64" t="s">
        <v>180</v>
      </c>
      <c r="B1577" s="79" t="str">
        <f>IF(Seventh!B80="", "",Seventh!B80)</f>
        <v>CSS</v>
      </c>
      <c r="C1577" s="66" t="str">
        <f>IF(Seventh!C80="", "",Seventh!C80)</f>
        <v>PwC</v>
      </c>
      <c r="D1577" s="66" t="str">
        <f>IF(Seventh!D80="", "",Seventh!D80)</f>
        <v>New</v>
      </c>
      <c r="E1577" s="66" t="str">
        <f>IF(Seventh!E80="", "",Seventh!E80)</f>
        <v>Female</v>
      </c>
      <c r="F1577" s="66" t="str">
        <f>IF(Seventh!F80="", "",Seventh!F80)</f>
        <v>Breast</v>
      </c>
      <c r="G1577" s="66" t="str">
        <f>IF(Seventh!G80="", "",Seventh!G80)</f>
        <v>Post Treatment - Curative Intent</v>
      </c>
      <c r="H1577" s="66" t="str">
        <f>IF(Seventh!H80="", "",Seventh!H80)</f>
        <v>Programme</v>
      </c>
      <c r="I1577" s="66" t="str">
        <f>IF(Seventh!I80="", "",Seventh!I80)</f>
        <v>Lecture Series</v>
      </c>
      <c r="J1577" s="66" t="str">
        <f>IF(Seventh!J80="", "",Seventh!J80)</f>
        <v/>
      </c>
      <c r="K1577" s="86" t="str">
        <f>IF(Seventh!K80="", "",Seventh!K80)</f>
        <v/>
      </c>
      <c r="M1577" s="67">
        <f t="shared" si="74"/>
        <v>7</v>
      </c>
      <c r="N1577" s="76" t="str">
        <f t="shared" si="75"/>
        <v/>
      </c>
      <c r="O1577" s="33">
        <f t="shared" si="73"/>
        <v>7</v>
      </c>
    </row>
    <row r="1578" spans="1:15" x14ac:dyDescent="0.25">
      <c r="A1578" s="64" t="s">
        <v>180</v>
      </c>
      <c r="B1578" s="79" t="str">
        <f>IF(Seventh!B81="", "",Seventh!B81)</f>
        <v>CSS</v>
      </c>
      <c r="C1578" s="66" t="str">
        <f>IF(Seventh!C81="", "",Seventh!C81)</f>
        <v>PwC</v>
      </c>
      <c r="D1578" s="66" t="str">
        <f>IF(Seventh!D81="", "",Seventh!D81)</f>
        <v>New</v>
      </c>
      <c r="E1578" s="66" t="str">
        <f>IF(Seventh!E81="", "",Seventh!E81)</f>
        <v>Female</v>
      </c>
      <c r="F1578" s="66" t="str">
        <f>IF(Seventh!F81="", "",Seventh!F81)</f>
        <v>Breast</v>
      </c>
      <c r="G1578" s="66" t="str">
        <f>IF(Seventh!G81="", "",Seventh!G81)</f>
        <v>Post Treatment - Curative Intent</v>
      </c>
      <c r="H1578" s="66" t="str">
        <f>IF(Seventh!H81="", "",Seventh!H81)</f>
        <v>Programme</v>
      </c>
      <c r="I1578" s="66" t="str">
        <f>IF(Seventh!I81="", "",Seventh!I81)</f>
        <v>Lecture Series</v>
      </c>
      <c r="J1578" s="66" t="str">
        <f>IF(Seventh!J81="", "",Seventh!J81)</f>
        <v/>
      </c>
      <c r="K1578" s="86" t="str">
        <f>IF(Seventh!K81="", "",Seventh!K81)</f>
        <v/>
      </c>
      <c r="M1578" s="67">
        <f t="shared" si="74"/>
        <v>7</v>
      </c>
      <c r="N1578" s="76" t="str">
        <f t="shared" si="75"/>
        <v/>
      </c>
      <c r="O1578" s="33">
        <f t="shared" si="73"/>
        <v>7</v>
      </c>
    </row>
    <row r="1579" spans="1:15" x14ac:dyDescent="0.25">
      <c r="A1579" s="64" t="s">
        <v>180</v>
      </c>
      <c r="B1579" s="79" t="str">
        <f>IF(Seventh!B82="", "",Seventh!B82)</f>
        <v>CSS</v>
      </c>
      <c r="C1579" s="66" t="str">
        <f>IF(Seventh!C82="", "",Seventh!C82)</f>
        <v>PwC</v>
      </c>
      <c r="D1579" s="66" t="str">
        <f>IF(Seventh!D82="", "",Seventh!D82)</f>
        <v>New</v>
      </c>
      <c r="E1579" s="66" t="str">
        <f>IF(Seventh!E82="", "",Seventh!E82)</f>
        <v>Female</v>
      </c>
      <c r="F1579" s="66" t="str">
        <f>IF(Seventh!F82="", "",Seventh!F82)</f>
        <v>Breast</v>
      </c>
      <c r="G1579" s="66" t="str">
        <f>IF(Seventh!G82="", "",Seventh!G82)</f>
        <v>Post Treatment - Curative Intent</v>
      </c>
      <c r="H1579" s="66" t="str">
        <f>IF(Seventh!H82="", "",Seventh!H82)</f>
        <v>Programme</v>
      </c>
      <c r="I1579" s="66" t="str">
        <f>IF(Seventh!I82="", "",Seventh!I82)</f>
        <v>Lecture Series</v>
      </c>
      <c r="J1579" s="66" t="str">
        <f>IF(Seventh!J82="", "",Seventh!J82)</f>
        <v/>
      </c>
      <c r="K1579" s="86" t="str">
        <f>IF(Seventh!K82="", "",Seventh!K82)</f>
        <v/>
      </c>
      <c r="M1579" s="67">
        <f t="shared" si="74"/>
        <v>7</v>
      </c>
      <c r="N1579" s="76" t="str">
        <f t="shared" si="75"/>
        <v/>
      </c>
      <c r="O1579" s="33">
        <f t="shared" si="73"/>
        <v>7</v>
      </c>
    </row>
    <row r="1580" spans="1:15" x14ac:dyDescent="0.25">
      <c r="A1580" s="64" t="s">
        <v>180</v>
      </c>
      <c r="B1580" s="79" t="str">
        <f>IF(Seventh!B83="", "",Seventh!B83)</f>
        <v>CSS</v>
      </c>
      <c r="C1580" s="66" t="str">
        <f>IF(Seventh!C83="", "",Seventh!C83)</f>
        <v>PwC</v>
      </c>
      <c r="D1580" s="66" t="str">
        <f>IF(Seventh!D83="", "",Seventh!D83)</f>
        <v>New</v>
      </c>
      <c r="E1580" s="66" t="str">
        <f>IF(Seventh!E83="", "",Seventh!E83)</f>
        <v>Female</v>
      </c>
      <c r="F1580" s="66" t="str">
        <f>IF(Seventh!F83="", "",Seventh!F83)</f>
        <v>Breast</v>
      </c>
      <c r="G1580" s="66" t="str">
        <f>IF(Seventh!G83="", "",Seventh!G83)</f>
        <v>Post Treatment - Curative Intent</v>
      </c>
      <c r="H1580" s="66" t="str">
        <f>IF(Seventh!H83="", "",Seventh!H83)</f>
        <v>Programme</v>
      </c>
      <c r="I1580" s="66" t="str">
        <f>IF(Seventh!I83="", "",Seventh!I83)</f>
        <v>Lecture Series</v>
      </c>
      <c r="J1580" s="66" t="str">
        <f>IF(Seventh!J83="", "",Seventh!J83)</f>
        <v/>
      </c>
      <c r="K1580" s="86" t="str">
        <f>IF(Seventh!K83="", "",Seventh!K83)</f>
        <v/>
      </c>
      <c r="M1580" s="67">
        <f t="shared" si="74"/>
        <v>7</v>
      </c>
      <c r="N1580" s="76" t="str">
        <f t="shared" si="75"/>
        <v/>
      </c>
      <c r="O1580" s="33">
        <f t="shared" si="73"/>
        <v>7</v>
      </c>
    </row>
    <row r="1581" spans="1:15" x14ac:dyDescent="0.25">
      <c r="A1581" s="64" t="s">
        <v>180</v>
      </c>
      <c r="B1581" s="79" t="str">
        <f>IF(Seventh!B84="", "",Seventh!B84)</f>
        <v>CSS</v>
      </c>
      <c r="C1581" s="66" t="str">
        <f>IF(Seventh!C84="", "",Seventh!C84)</f>
        <v>PwC</v>
      </c>
      <c r="D1581" s="66" t="str">
        <f>IF(Seventh!D84="", "",Seventh!D84)</f>
        <v>New</v>
      </c>
      <c r="E1581" s="66" t="str">
        <f>IF(Seventh!E84="", "",Seventh!E84)</f>
        <v>Female</v>
      </c>
      <c r="F1581" s="66" t="str">
        <f>IF(Seventh!F84="", "",Seventh!F84)</f>
        <v>Breast</v>
      </c>
      <c r="G1581" s="66" t="str">
        <f>IF(Seventh!G84="", "",Seventh!G84)</f>
        <v>Post Treatment - Curative Intent</v>
      </c>
      <c r="H1581" s="66" t="str">
        <f>IF(Seventh!H84="", "",Seventh!H84)</f>
        <v>Programme</v>
      </c>
      <c r="I1581" s="66" t="str">
        <f>IF(Seventh!I84="", "",Seventh!I84)</f>
        <v>Lecture Series</v>
      </c>
      <c r="J1581" s="66" t="str">
        <f>IF(Seventh!J84="", "",Seventh!J84)</f>
        <v/>
      </c>
      <c r="K1581" s="86" t="str">
        <f>IF(Seventh!K84="", "",Seventh!K84)</f>
        <v/>
      </c>
      <c r="M1581" s="67">
        <f t="shared" si="74"/>
        <v>7</v>
      </c>
      <c r="N1581" s="76" t="str">
        <f t="shared" si="75"/>
        <v/>
      </c>
      <c r="O1581" s="33">
        <f t="shared" si="73"/>
        <v>7</v>
      </c>
    </row>
    <row r="1582" spans="1:15" x14ac:dyDescent="0.25">
      <c r="A1582" s="64" t="s">
        <v>180</v>
      </c>
      <c r="B1582" s="79" t="str">
        <f>IF(Seventh!B85="", "",Seventh!B85)</f>
        <v>CSS</v>
      </c>
      <c r="C1582" s="66" t="str">
        <f>IF(Seventh!C85="", "",Seventh!C85)</f>
        <v>PwC</v>
      </c>
      <c r="D1582" s="66" t="str">
        <f>IF(Seventh!D85="", "",Seventh!D85)</f>
        <v>New</v>
      </c>
      <c r="E1582" s="66" t="str">
        <f>IF(Seventh!E85="", "",Seventh!E85)</f>
        <v>Female</v>
      </c>
      <c r="F1582" s="66" t="str">
        <f>IF(Seventh!F85="", "",Seventh!F85)</f>
        <v>Breast</v>
      </c>
      <c r="G1582" s="66" t="str">
        <f>IF(Seventh!G85="", "",Seventh!G85)</f>
        <v>Post Treatment - Curative Intent</v>
      </c>
      <c r="H1582" s="66" t="str">
        <f>IF(Seventh!H85="", "",Seventh!H85)</f>
        <v>Programme</v>
      </c>
      <c r="I1582" s="66" t="str">
        <f>IF(Seventh!I85="", "",Seventh!I85)</f>
        <v>Lecture Series</v>
      </c>
      <c r="J1582" s="66" t="str">
        <f>IF(Seventh!J85="", "",Seventh!J85)</f>
        <v/>
      </c>
      <c r="K1582" s="86" t="str">
        <f>IF(Seventh!K85="", "",Seventh!K85)</f>
        <v/>
      </c>
      <c r="M1582" s="67">
        <f t="shared" si="74"/>
        <v>7</v>
      </c>
      <c r="N1582" s="76" t="str">
        <f t="shared" si="75"/>
        <v/>
      </c>
      <c r="O1582" s="33">
        <f t="shared" si="73"/>
        <v>7</v>
      </c>
    </row>
    <row r="1583" spans="1:15" x14ac:dyDescent="0.25">
      <c r="A1583" s="64" t="s">
        <v>180</v>
      </c>
      <c r="B1583" s="79" t="str">
        <f>IF(Seventh!B86="", "",Seventh!B86)</f>
        <v>CSS</v>
      </c>
      <c r="C1583" s="66" t="str">
        <f>IF(Seventh!C86="", "",Seventh!C86)</f>
        <v>PwC</v>
      </c>
      <c r="D1583" s="66" t="str">
        <f>IF(Seventh!D86="", "",Seventh!D86)</f>
        <v>New</v>
      </c>
      <c r="E1583" s="66" t="str">
        <f>IF(Seventh!E86="", "",Seventh!E86)</f>
        <v>Female</v>
      </c>
      <c r="F1583" s="66" t="str">
        <f>IF(Seventh!F86="", "",Seventh!F86)</f>
        <v>Breast</v>
      </c>
      <c r="G1583" s="66" t="str">
        <f>IF(Seventh!G86="", "",Seventh!G86)</f>
        <v>Post Treatment - Curative Intent</v>
      </c>
      <c r="H1583" s="66" t="str">
        <f>IF(Seventh!H86="", "",Seventh!H86)</f>
        <v>Programme</v>
      </c>
      <c r="I1583" s="66" t="str">
        <f>IF(Seventh!I86="", "",Seventh!I86)</f>
        <v>Lecture Series</v>
      </c>
      <c r="J1583" s="66" t="str">
        <f>IF(Seventh!J86="", "",Seventh!J86)</f>
        <v/>
      </c>
      <c r="K1583" s="86" t="str">
        <f>IF(Seventh!K86="", "",Seventh!K86)</f>
        <v/>
      </c>
      <c r="M1583" s="67">
        <f t="shared" si="74"/>
        <v>7</v>
      </c>
      <c r="N1583" s="76" t="str">
        <f t="shared" si="75"/>
        <v/>
      </c>
      <c r="O1583" s="33">
        <f t="shared" si="73"/>
        <v>7</v>
      </c>
    </row>
    <row r="1584" spans="1:15" x14ac:dyDescent="0.25">
      <c r="A1584" s="64" t="s">
        <v>180</v>
      </c>
      <c r="B1584" s="79" t="str">
        <f>IF(Seventh!B87="", "",Seventh!B87)</f>
        <v>CSS</v>
      </c>
      <c r="C1584" s="66" t="str">
        <f>IF(Seventh!C87="", "",Seventh!C87)</f>
        <v>PwC</v>
      </c>
      <c r="D1584" s="66" t="str">
        <f>IF(Seventh!D87="", "",Seventh!D87)</f>
        <v>New</v>
      </c>
      <c r="E1584" s="66" t="str">
        <f>IF(Seventh!E87="", "",Seventh!E87)</f>
        <v>Female</v>
      </c>
      <c r="F1584" s="66" t="str">
        <f>IF(Seventh!F87="", "",Seventh!F87)</f>
        <v>Breast</v>
      </c>
      <c r="G1584" s="66" t="str">
        <f>IF(Seventh!G87="", "",Seventh!G87)</f>
        <v>Post Treatment - Curative Intent</v>
      </c>
      <c r="H1584" s="66" t="str">
        <f>IF(Seventh!H87="", "",Seventh!H87)</f>
        <v>Programme</v>
      </c>
      <c r="I1584" s="66" t="str">
        <f>IF(Seventh!I87="", "",Seventh!I87)</f>
        <v>Lecture Series</v>
      </c>
      <c r="J1584" s="66" t="str">
        <f>IF(Seventh!J87="", "",Seventh!J87)</f>
        <v/>
      </c>
      <c r="K1584" s="86" t="str">
        <f>IF(Seventh!K87="", "",Seventh!K87)</f>
        <v/>
      </c>
      <c r="M1584" s="67">
        <f t="shared" si="74"/>
        <v>7</v>
      </c>
      <c r="N1584" s="76" t="str">
        <f t="shared" si="75"/>
        <v/>
      </c>
      <c r="O1584" s="33">
        <f t="shared" si="73"/>
        <v>7</v>
      </c>
    </row>
    <row r="1585" spans="1:15" x14ac:dyDescent="0.25">
      <c r="A1585" s="64" t="s">
        <v>180</v>
      </c>
      <c r="B1585" s="79" t="str">
        <f>IF(Seventh!B88="", "",Seventh!B88)</f>
        <v>CSS</v>
      </c>
      <c r="C1585" s="66" t="str">
        <f>IF(Seventh!C88="", "",Seventh!C88)</f>
        <v>PwC</v>
      </c>
      <c r="D1585" s="66" t="str">
        <f>IF(Seventh!D88="", "",Seventh!D88)</f>
        <v>New</v>
      </c>
      <c r="E1585" s="66" t="str">
        <f>IF(Seventh!E88="", "",Seventh!E88)</f>
        <v>Female</v>
      </c>
      <c r="F1585" s="66" t="str">
        <f>IF(Seventh!F88="", "",Seventh!F88)</f>
        <v>Breast</v>
      </c>
      <c r="G1585" s="66" t="str">
        <f>IF(Seventh!G88="", "",Seventh!G88)</f>
        <v>Post Treatment - Curative Intent</v>
      </c>
      <c r="H1585" s="66" t="str">
        <f>IF(Seventh!H88="", "",Seventh!H88)</f>
        <v>Programme</v>
      </c>
      <c r="I1585" s="66" t="str">
        <f>IF(Seventh!I88="", "",Seventh!I88)</f>
        <v>Lecture Series</v>
      </c>
      <c r="J1585" s="66" t="str">
        <f>IF(Seventh!J88="", "",Seventh!J88)</f>
        <v/>
      </c>
      <c r="K1585" s="86" t="str">
        <f>IF(Seventh!K88="", "",Seventh!K88)</f>
        <v/>
      </c>
      <c r="M1585" s="67">
        <f t="shared" si="74"/>
        <v>7</v>
      </c>
      <c r="N1585" s="76" t="str">
        <f t="shared" si="75"/>
        <v/>
      </c>
      <c r="O1585" s="33">
        <f t="shared" si="73"/>
        <v>7</v>
      </c>
    </row>
    <row r="1586" spans="1:15" x14ac:dyDescent="0.25">
      <c r="A1586" s="64" t="s">
        <v>180</v>
      </c>
      <c r="B1586" s="79" t="str">
        <f>IF(Seventh!B89="", "",Seventh!B89)</f>
        <v>CSS</v>
      </c>
      <c r="C1586" s="66" t="str">
        <f>IF(Seventh!C89="", "",Seventh!C89)</f>
        <v>PwC</v>
      </c>
      <c r="D1586" s="66" t="str">
        <f>IF(Seventh!D89="", "",Seventh!D89)</f>
        <v>New</v>
      </c>
      <c r="E1586" s="66" t="str">
        <f>IF(Seventh!E89="", "",Seventh!E89)</f>
        <v>Female</v>
      </c>
      <c r="F1586" s="66" t="str">
        <f>IF(Seventh!F89="", "",Seventh!F89)</f>
        <v>Breast</v>
      </c>
      <c r="G1586" s="66" t="str">
        <f>IF(Seventh!G89="", "",Seventh!G89)</f>
        <v>Post Treatment - Curative Intent</v>
      </c>
      <c r="H1586" s="66" t="str">
        <f>IF(Seventh!H89="", "",Seventh!H89)</f>
        <v>Programme</v>
      </c>
      <c r="I1586" s="66" t="str">
        <f>IF(Seventh!I89="", "",Seventh!I89)</f>
        <v>Lecture Series</v>
      </c>
      <c r="J1586" s="66" t="str">
        <f>IF(Seventh!J89="", "",Seventh!J89)</f>
        <v/>
      </c>
      <c r="K1586" s="86" t="str">
        <f>IF(Seventh!K89="", "",Seventh!K89)</f>
        <v/>
      </c>
      <c r="M1586" s="67">
        <f t="shared" si="74"/>
        <v>7</v>
      </c>
      <c r="N1586" s="76" t="str">
        <f t="shared" si="75"/>
        <v/>
      </c>
      <c r="O1586" s="33">
        <f t="shared" si="73"/>
        <v>7</v>
      </c>
    </row>
    <row r="1587" spans="1:15" x14ac:dyDescent="0.25">
      <c r="A1587" s="64" t="s">
        <v>180</v>
      </c>
      <c r="B1587" s="79" t="str">
        <f>IF(Seventh!B90="", "",Seventh!B90)</f>
        <v>CSS</v>
      </c>
      <c r="C1587" s="66" t="str">
        <f>IF(Seventh!C90="", "",Seventh!C90)</f>
        <v>PwC</v>
      </c>
      <c r="D1587" s="66" t="str">
        <f>IF(Seventh!D90="", "",Seventh!D90)</f>
        <v>New</v>
      </c>
      <c r="E1587" s="66" t="str">
        <f>IF(Seventh!E90="", "",Seventh!E90)</f>
        <v>Female</v>
      </c>
      <c r="F1587" s="66" t="str">
        <f>IF(Seventh!F90="", "",Seventh!F90)</f>
        <v>Breast</v>
      </c>
      <c r="G1587" s="66" t="str">
        <f>IF(Seventh!G90="", "",Seventh!G90)</f>
        <v>Post Treatment - Curative Intent</v>
      </c>
      <c r="H1587" s="66" t="str">
        <f>IF(Seventh!H90="", "",Seventh!H90)</f>
        <v>Programme</v>
      </c>
      <c r="I1587" s="66" t="str">
        <f>IF(Seventh!I90="", "",Seventh!I90)</f>
        <v>Lecture Series</v>
      </c>
      <c r="J1587" s="66" t="str">
        <f>IF(Seventh!J90="", "",Seventh!J90)</f>
        <v/>
      </c>
      <c r="K1587" s="86" t="str">
        <f>IF(Seventh!K90="", "",Seventh!K90)</f>
        <v/>
      </c>
      <c r="M1587" s="67">
        <f t="shared" si="74"/>
        <v>7</v>
      </c>
      <c r="N1587" s="76" t="str">
        <f t="shared" si="75"/>
        <v/>
      </c>
      <c r="O1587" s="33">
        <f t="shared" si="73"/>
        <v>7</v>
      </c>
    </row>
    <row r="1588" spans="1:15" x14ac:dyDescent="0.25">
      <c r="A1588" s="64" t="s">
        <v>180</v>
      </c>
      <c r="B1588" s="79" t="str">
        <f>IF(Seventh!B91="", "",Seventh!B91)</f>
        <v>CSS</v>
      </c>
      <c r="C1588" s="66" t="str">
        <f>IF(Seventh!C91="", "",Seventh!C91)</f>
        <v>PwC</v>
      </c>
      <c r="D1588" s="66" t="str">
        <f>IF(Seventh!D91="", "",Seventh!D91)</f>
        <v>New</v>
      </c>
      <c r="E1588" s="66" t="str">
        <f>IF(Seventh!E91="", "",Seventh!E91)</f>
        <v>Female</v>
      </c>
      <c r="F1588" s="66" t="str">
        <f>IF(Seventh!F91="", "",Seventh!F91)</f>
        <v>Breast</v>
      </c>
      <c r="G1588" s="66" t="str">
        <f>IF(Seventh!G91="", "",Seventh!G91)</f>
        <v>Post Treatment - Curative Intent</v>
      </c>
      <c r="H1588" s="66" t="str">
        <f>IF(Seventh!H91="", "",Seventh!H91)</f>
        <v>Programme</v>
      </c>
      <c r="I1588" s="66" t="str">
        <f>IF(Seventh!I91="", "",Seventh!I91)</f>
        <v>Lecture Series</v>
      </c>
      <c r="J1588" s="66" t="str">
        <f>IF(Seventh!J91="", "",Seventh!J91)</f>
        <v/>
      </c>
      <c r="K1588" s="86" t="str">
        <f>IF(Seventh!K91="", "",Seventh!K91)</f>
        <v/>
      </c>
      <c r="M1588" s="67">
        <f t="shared" si="74"/>
        <v>7</v>
      </c>
      <c r="N1588" s="76" t="str">
        <f t="shared" si="75"/>
        <v/>
      </c>
      <c r="O1588" s="33">
        <f t="shared" si="73"/>
        <v>7</v>
      </c>
    </row>
    <row r="1589" spans="1:15" x14ac:dyDescent="0.25">
      <c r="A1589" s="64" t="s">
        <v>180</v>
      </c>
      <c r="B1589" s="79" t="str">
        <f>IF(Seventh!B92="", "",Seventh!B92)</f>
        <v>CSS</v>
      </c>
      <c r="C1589" s="66" t="str">
        <f>IF(Seventh!C92="", "",Seventh!C92)</f>
        <v>PwC</v>
      </c>
      <c r="D1589" s="66" t="str">
        <f>IF(Seventh!D92="", "",Seventh!D92)</f>
        <v>New</v>
      </c>
      <c r="E1589" s="66" t="str">
        <f>IF(Seventh!E92="", "",Seventh!E92)</f>
        <v>Female</v>
      </c>
      <c r="F1589" s="66" t="str">
        <f>IF(Seventh!F92="", "",Seventh!F92)</f>
        <v>Breast</v>
      </c>
      <c r="G1589" s="66" t="str">
        <f>IF(Seventh!G92="", "",Seventh!G92)</f>
        <v>Post Treatment - Curative Intent</v>
      </c>
      <c r="H1589" s="66" t="str">
        <f>IF(Seventh!H92="", "",Seventh!H92)</f>
        <v>Programme</v>
      </c>
      <c r="I1589" s="66" t="str">
        <f>IF(Seventh!I92="", "",Seventh!I92)</f>
        <v>Lecture Series</v>
      </c>
      <c r="J1589" s="66" t="str">
        <f>IF(Seventh!J92="", "",Seventh!J92)</f>
        <v/>
      </c>
      <c r="K1589" s="86" t="str">
        <f>IF(Seventh!K92="", "",Seventh!K92)</f>
        <v/>
      </c>
      <c r="M1589" s="67">
        <f t="shared" si="74"/>
        <v>7</v>
      </c>
      <c r="N1589" s="76" t="str">
        <f t="shared" si="75"/>
        <v/>
      </c>
      <c r="O1589" s="33">
        <f t="shared" si="73"/>
        <v>7</v>
      </c>
    </row>
    <row r="1590" spans="1:15" x14ac:dyDescent="0.25">
      <c r="A1590" s="64" t="s">
        <v>180</v>
      </c>
      <c r="B1590" s="79" t="str">
        <f>IF(Seventh!B93="", "",Seventh!B93)</f>
        <v>CSS</v>
      </c>
      <c r="C1590" s="66" t="str">
        <f>IF(Seventh!C93="", "",Seventh!C93)</f>
        <v>PwC</v>
      </c>
      <c r="D1590" s="66" t="str">
        <f>IF(Seventh!D93="", "",Seventh!D93)</f>
        <v>New</v>
      </c>
      <c r="E1590" s="66" t="str">
        <f>IF(Seventh!E93="", "",Seventh!E93)</f>
        <v>Female</v>
      </c>
      <c r="F1590" s="66" t="str">
        <f>IF(Seventh!F93="", "",Seventh!F93)</f>
        <v>Breast</v>
      </c>
      <c r="G1590" s="66" t="str">
        <f>IF(Seventh!G93="", "",Seventh!G93)</f>
        <v>Post Treatment - Curative Intent</v>
      </c>
      <c r="H1590" s="66" t="str">
        <f>IF(Seventh!H93="", "",Seventh!H93)</f>
        <v>Programme</v>
      </c>
      <c r="I1590" s="66" t="str">
        <f>IF(Seventh!I93="", "",Seventh!I93)</f>
        <v>Lecture Series</v>
      </c>
      <c r="J1590" s="66" t="str">
        <f>IF(Seventh!J93="", "",Seventh!J93)</f>
        <v/>
      </c>
      <c r="K1590" s="86" t="str">
        <f>IF(Seventh!K93="", "",Seventh!K93)</f>
        <v/>
      </c>
      <c r="M1590" s="67">
        <f t="shared" si="74"/>
        <v>7</v>
      </c>
      <c r="N1590" s="76" t="str">
        <f t="shared" si="75"/>
        <v/>
      </c>
      <c r="O1590" s="33">
        <f t="shared" si="73"/>
        <v>7</v>
      </c>
    </row>
    <row r="1591" spans="1:15" x14ac:dyDescent="0.25">
      <c r="A1591" s="64" t="s">
        <v>180</v>
      </c>
      <c r="B1591" s="79" t="str">
        <f>IF(Seventh!B94="", "",Seventh!B94)</f>
        <v/>
      </c>
      <c r="C1591" s="66" t="str">
        <f>IF(Seventh!C94="", "",Seventh!C94)</f>
        <v/>
      </c>
      <c r="D1591" s="66" t="str">
        <f>IF(Seventh!D94="", "",Seventh!D94)</f>
        <v/>
      </c>
      <c r="E1591" s="66" t="str">
        <f>IF(Seventh!E94="", "",Seventh!E94)</f>
        <v/>
      </c>
      <c r="F1591" s="66" t="str">
        <f>IF(Seventh!F94="", "",Seventh!F94)</f>
        <v/>
      </c>
      <c r="G1591" s="66" t="str">
        <f>IF(Seventh!G94="", "",Seventh!G94)</f>
        <v/>
      </c>
      <c r="H1591" s="66" t="str">
        <f>IF(Seventh!H94="", "",Seventh!H94)</f>
        <v/>
      </c>
      <c r="I1591" s="66" t="str">
        <f>IF(Seventh!I94="", "",Seventh!I94)</f>
        <v/>
      </c>
      <c r="J1591" s="66" t="str">
        <f>IF(Seventh!J94="", "",Seventh!J94)</f>
        <v/>
      </c>
      <c r="K1591" s="86" t="str">
        <f>IF(Seventh!K94="", "",Seventh!K94)</f>
        <v/>
      </c>
      <c r="M1591" s="67" t="str">
        <f t="shared" si="74"/>
        <v/>
      </c>
      <c r="N1591" s="76" t="str">
        <f t="shared" si="75"/>
        <v/>
      </c>
      <c r="O1591" s="33">
        <f t="shared" si="73"/>
        <v>0</v>
      </c>
    </row>
    <row r="1592" spans="1:15" x14ac:dyDescent="0.25">
      <c r="A1592" s="64" t="s">
        <v>180</v>
      </c>
      <c r="B1592" s="79" t="str">
        <f>IF(Seventh!B95="", "",Seventh!B95)</f>
        <v/>
      </c>
      <c r="C1592" s="66" t="str">
        <f>IF(Seventh!C95="", "",Seventh!C95)</f>
        <v/>
      </c>
      <c r="D1592" s="66" t="str">
        <f>IF(Seventh!D95="", "",Seventh!D95)</f>
        <v/>
      </c>
      <c r="E1592" s="66" t="str">
        <f>IF(Seventh!E95="", "",Seventh!E95)</f>
        <v/>
      </c>
      <c r="F1592" s="66" t="str">
        <f>IF(Seventh!F95="", "",Seventh!F95)</f>
        <v/>
      </c>
      <c r="G1592" s="66" t="str">
        <f>IF(Seventh!G95="", "",Seventh!G95)</f>
        <v/>
      </c>
      <c r="H1592" s="66" t="str">
        <f>IF(Seventh!H95="", "",Seventh!H95)</f>
        <v/>
      </c>
      <c r="I1592" s="66" t="str">
        <f>IF(Seventh!I95="", "",Seventh!I95)</f>
        <v/>
      </c>
      <c r="J1592" s="66" t="str">
        <f>IF(Seventh!J95="", "",Seventh!J95)</f>
        <v/>
      </c>
      <c r="K1592" s="86" t="str">
        <f>IF(Seventh!K95="", "",Seventh!K95)</f>
        <v/>
      </c>
      <c r="M1592" s="67" t="str">
        <f t="shared" si="74"/>
        <v/>
      </c>
      <c r="N1592" s="76" t="str">
        <f t="shared" si="75"/>
        <v/>
      </c>
      <c r="O1592" s="33">
        <f t="shared" si="73"/>
        <v>0</v>
      </c>
    </row>
    <row r="1593" spans="1:15" x14ac:dyDescent="0.25">
      <c r="A1593" s="64" t="s">
        <v>180</v>
      </c>
      <c r="B1593" s="79" t="str">
        <f>IF(Seventh!B96="", "",Seventh!B96)</f>
        <v/>
      </c>
      <c r="C1593" s="66" t="str">
        <f>IF(Seventh!C96="", "",Seventh!C96)</f>
        <v/>
      </c>
      <c r="D1593" s="66" t="str">
        <f>IF(Seventh!D96="", "",Seventh!D96)</f>
        <v/>
      </c>
      <c r="E1593" s="66" t="str">
        <f>IF(Seventh!E96="", "",Seventh!E96)</f>
        <v/>
      </c>
      <c r="F1593" s="66" t="str">
        <f>IF(Seventh!F96="", "",Seventh!F96)</f>
        <v/>
      </c>
      <c r="G1593" s="66" t="str">
        <f>IF(Seventh!G96="", "",Seventh!G96)</f>
        <v/>
      </c>
      <c r="H1593" s="66" t="str">
        <f>IF(Seventh!H96="", "",Seventh!H96)</f>
        <v/>
      </c>
      <c r="I1593" s="66" t="str">
        <f>IF(Seventh!I96="", "",Seventh!I96)</f>
        <v/>
      </c>
      <c r="J1593" s="66" t="str">
        <f>IF(Seventh!J96="", "",Seventh!J96)</f>
        <v/>
      </c>
      <c r="K1593" s="86" t="str">
        <f>IF(Seventh!K96="", "",Seventh!K96)</f>
        <v/>
      </c>
      <c r="M1593" s="67" t="str">
        <f t="shared" si="74"/>
        <v/>
      </c>
      <c r="N1593" s="76" t="str">
        <f t="shared" si="75"/>
        <v/>
      </c>
      <c r="O1593" s="33">
        <f t="shared" si="73"/>
        <v>0</v>
      </c>
    </row>
    <row r="1594" spans="1:15" x14ac:dyDescent="0.25">
      <c r="A1594" s="64" t="s">
        <v>180</v>
      </c>
      <c r="B1594" s="79" t="str">
        <f>IF(Seventh!B97="", "",Seventh!B97)</f>
        <v/>
      </c>
      <c r="C1594" s="66" t="str">
        <f>IF(Seventh!C97="", "",Seventh!C97)</f>
        <v/>
      </c>
      <c r="D1594" s="66" t="str">
        <f>IF(Seventh!D97="", "",Seventh!D97)</f>
        <v/>
      </c>
      <c r="E1594" s="66" t="str">
        <f>IF(Seventh!E97="", "",Seventh!E97)</f>
        <v/>
      </c>
      <c r="F1594" s="66" t="str">
        <f>IF(Seventh!F97="", "",Seventh!F97)</f>
        <v/>
      </c>
      <c r="G1594" s="66" t="str">
        <f>IF(Seventh!G97="", "",Seventh!G97)</f>
        <v/>
      </c>
      <c r="H1594" s="66" t="str">
        <f>IF(Seventh!H97="", "",Seventh!H97)</f>
        <v/>
      </c>
      <c r="I1594" s="66" t="str">
        <f>IF(Seventh!I97="", "",Seventh!I97)</f>
        <v/>
      </c>
      <c r="J1594" s="66" t="str">
        <f>IF(Seventh!J97="", "",Seventh!J97)</f>
        <v/>
      </c>
      <c r="K1594" s="86" t="str">
        <f>IF(Seventh!K97="", "",Seventh!K97)</f>
        <v/>
      </c>
      <c r="M1594" s="67" t="str">
        <f t="shared" si="74"/>
        <v/>
      </c>
      <c r="N1594" s="76" t="str">
        <f t="shared" si="75"/>
        <v/>
      </c>
      <c r="O1594" s="33">
        <f t="shared" si="73"/>
        <v>0</v>
      </c>
    </row>
    <row r="1595" spans="1:15" x14ac:dyDescent="0.25">
      <c r="A1595" s="64" t="s">
        <v>180</v>
      </c>
      <c r="B1595" s="79" t="str">
        <f>IF(Seventh!B98="", "",Seventh!B98)</f>
        <v/>
      </c>
      <c r="C1595" s="66" t="str">
        <f>IF(Seventh!C98="", "",Seventh!C98)</f>
        <v/>
      </c>
      <c r="D1595" s="66" t="str">
        <f>IF(Seventh!D98="", "",Seventh!D98)</f>
        <v/>
      </c>
      <c r="E1595" s="66" t="str">
        <f>IF(Seventh!E98="", "",Seventh!E98)</f>
        <v/>
      </c>
      <c r="F1595" s="66" t="str">
        <f>IF(Seventh!F98="", "",Seventh!F98)</f>
        <v/>
      </c>
      <c r="G1595" s="66" t="str">
        <f>IF(Seventh!G98="", "",Seventh!G98)</f>
        <v/>
      </c>
      <c r="H1595" s="66" t="str">
        <f>IF(Seventh!H98="", "",Seventh!H98)</f>
        <v/>
      </c>
      <c r="I1595" s="66" t="str">
        <f>IF(Seventh!I98="", "",Seventh!I98)</f>
        <v/>
      </c>
      <c r="J1595" s="66" t="str">
        <f>IF(Seventh!J98="", "",Seventh!J98)</f>
        <v/>
      </c>
      <c r="K1595" s="86" t="str">
        <f>IF(Seventh!K98="", "",Seventh!K98)</f>
        <v/>
      </c>
      <c r="M1595" s="67" t="str">
        <f t="shared" si="74"/>
        <v/>
      </c>
      <c r="N1595" s="76" t="str">
        <f t="shared" si="75"/>
        <v/>
      </c>
      <c r="O1595" s="33">
        <f t="shared" si="73"/>
        <v>0</v>
      </c>
    </row>
    <row r="1596" spans="1:15" x14ac:dyDescent="0.25">
      <c r="A1596" s="64" t="s">
        <v>180</v>
      </c>
      <c r="B1596" s="79" t="str">
        <f>IF(Seventh!B99="", "",Seventh!B99)</f>
        <v/>
      </c>
      <c r="C1596" s="66" t="str">
        <f>IF(Seventh!C99="", "",Seventh!C99)</f>
        <v/>
      </c>
      <c r="D1596" s="66" t="str">
        <f>IF(Seventh!D99="", "",Seventh!D99)</f>
        <v/>
      </c>
      <c r="E1596" s="66" t="str">
        <f>IF(Seventh!E99="", "",Seventh!E99)</f>
        <v/>
      </c>
      <c r="F1596" s="66" t="str">
        <f>IF(Seventh!F99="", "",Seventh!F99)</f>
        <v/>
      </c>
      <c r="G1596" s="66" t="str">
        <f>IF(Seventh!G99="", "",Seventh!G99)</f>
        <v/>
      </c>
      <c r="H1596" s="66" t="str">
        <f>IF(Seventh!H99="", "",Seventh!H99)</f>
        <v/>
      </c>
      <c r="I1596" s="66" t="str">
        <f>IF(Seventh!I99="", "",Seventh!I99)</f>
        <v/>
      </c>
      <c r="J1596" s="66" t="str">
        <f>IF(Seventh!J99="", "",Seventh!J99)</f>
        <v/>
      </c>
      <c r="K1596" s="86" t="str">
        <f>IF(Seventh!K99="", "",Seventh!K99)</f>
        <v/>
      </c>
      <c r="M1596" s="67" t="str">
        <f t="shared" si="74"/>
        <v/>
      </c>
      <c r="N1596" s="76" t="str">
        <f t="shared" si="75"/>
        <v/>
      </c>
      <c r="O1596" s="33">
        <f t="shared" si="73"/>
        <v>0</v>
      </c>
    </row>
    <row r="1597" spans="1:15" x14ac:dyDescent="0.25">
      <c r="A1597" s="64" t="s">
        <v>180</v>
      </c>
      <c r="B1597" s="79" t="str">
        <f>IF(Seventh!B100="", "",Seventh!B100)</f>
        <v/>
      </c>
      <c r="C1597" s="66" t="str">
        <f>IF(Seventh!C100="", "",Seventh!C100)</f>
        <v/>
      </c>
      <c r="D1597" s="66" t="str">
        <f>IF(Seventh!D100="", "",Seventh!D100)</f>
        <v/>
      </c>
      <c r="E1597" s="66" t="str">
        <f>IF(Seventh!E100="", "",Seventh!E100)</f>
        <v/>
      </c>
      <c r="F1597" s="66" t="str">
        <f>IF(Seventh!F100="", "",Seventh!F100)</f>
        <v/>
      </c>
      <c r="G1597" s="66" t="str">
        <f>IF(Seventh!G100="", "",Seventh!G100)</f>
        <v/>
      </c>
      <c r="H1597" s="66" t="str">
        <f>IF(Seventh!H100="", "",Seventh!H100)</f>
        <v/>
      </c>
      <c r="I1597" s="66" t="str">
        <f>IF(Seventh!I100="", "",Seventh!I100)</f>
        <v/>
      </c>
      <c r="J1597" s="66" t="str">
        <f>IF(Seventh!J100="", "",Seventh!J100)</f>
        <v/>
      </c>
      <c r="K1597" s="86" t="str">
        <f>IF(Seventh!K100="", "",Seventh!K100)</f>
        <v/>
      </c>
      <c r="M1597" s="67" t="str">
        <f t="shared" si="74"/>
        <v/>
      </c>
      <c r="N1597" s="76" t="str">
        <f t="shared" si="75"/>
        <v/>
      </c>
      <c r="O1597" s="33">
        <f t="shared" si="73"/>
        <v>0</v>
      </c>
    </row>
    <row r="1598" spans="1:15" x14ac:dyDescent="0.25">
      <c r="A1598" s="64" t="s">
        <v>180</v>
      </c>
      <c r="B1598" s="79" t="str">
        <f>IF(Seventh!B101="", "",Seventh!B101)</f>
        <v/>
      </c>
      <c r="C1598" s="66" t="str">
        <f>IF(Seventh!C101="", "",Seventh!C101)</f>
        <v/>
      </c>
      <c r="D1598" s="66" t="str">
        <f>IF(Seventh!D101="", "",Seventh!D101)</f>
        <v/>
      </c>
      <c r="E1598" s="66" t="str">
        <f>IF(Seventh!E101="", "",Seventh!E101)</f>
        <v/>
      </c>
      <c r="F1598" s="66" t="str">
        <f>IF(Seventh!F101="", "",Seventh!F101)</f>
        <v/>
      </c>
      <c r="G1598" s="66" t="str">
        <f>IF(Seventh!G101="", "",Seventh!G101)</f>
        <v/>
      </c>
      <c r="H1598" s="66" t="str">
        <f>IF(Seventh!H101="", "",Seventh!H101)</f>
        <v/>
      </c>
      <c r="I1598" s="66" t="str">
        <f>IF(Seventh!I101="", "",Seventh!I101)</f>
        <v/>
      </c>
      <c r="J1598" s="66" t="str">
        <f>IF(Seventh!J101="", "",Seventh!J101)</f>
        <v/>
      </c>
      <c r="K1598" s="86" t="str">
        <f>IF(Seventh!K101="", "",Seventh!K101)</f>
        <v/>
      </c>
      <c r="M1598" s="67" t="str">
        <f t="shared" si="74"/>
        <v/>
      </c>
      <c r="N1598" s="76" t="str">
        <f t="shared" si="75"/>
        <v/>
      </c>
      <c r="O1598" s="33">
        <f t="shared" si="73"/>
        <v>0</v>
      </c>
    </row>
    <row r="1599" spans="1:15" x14ac:dyDescent="0.25">
      <c r="A1599" s="64" t="s">
        <v>180</v>
      </c>
      <c r="B1599" s="79" t="str">
        <f>IF(Seventh!B102="", "",Seventh!B102)</f>
        <v/>
      </c>
      <c r="C1599" s="66" t="str">
        <f>IF(Seventh!C102="", "",Seventh!C102)</f>
        <v/>
      </c>
      <c r="D1599" s="66" t="str">
        <f>IF(Seventh!D102="", "",Seventh!D102)</f>
        <v/>
      </c>
      <c r="E1599" s="66" t="str">
        <f>IF(Seventh!E102="", "",Seventh!E102)</f>
        <v/>
      </c>
      <c r="F1599" s="66" t="str">
        <f>IF(Seventh!F102="", "",Seventh!F102)</f>
        <v/>
      </c>
      <c r="G1599" s="66" t="str">
        <f>IF(Seventh!G102="", "",Seventh!G102)</f>
        <v/>
      </c>
      <c r="H1599" s="66" t="str">
        <f>IF(Seventh!H102="", "",Seventh!H102)</f>
        <v/>
      </c>
      <c r="I1599" s="66" t="str">
        <f>IF(Seventh!I102="", "",Seventh!I102)</f>
        <v/>
      </c>
      <c r="J1599" s="66" t="str">
        <f>IF(Seventh!J102="", "",Seventh!J102)</f>
        <v/>
      </c>
      <c r="K1599" s="86" t="str">
        <f>IF(Seventh!K102="", "",Seventh!K102)</f>
        <v/>
      </c>
      <c r="M1599" s="67" t="str">
        <f t="shared" si="74"/>
        <v/>
      </c>
      <c r="N1599" s="76" t="str">
        <f t="shared" si="75"/>
        <v/>
      </c>
      <c r="O1599" s="33">
        <f t="shared" si="73"/>
        <v>0</v>
      </c>
    </row>
    <row r="1600" spans="1:15" x14ac:dyDescent="0.25">
      <c r="A1600" s="64" t="s">
        <v>180</v>
      </c>
      <c r="B1600" s="79" t="str">
        <f>IF(Seventh!B103="", "",Seventh!B103)</f>
        <v/>
      </c>
      <c r="C1600" s="66" t="str">
        <f>IF(Seventh!C103="", "",Seventh!C103)</f>
        <v/>
      </c>
      <c r="D1600" s="66" t="str">
        <f>IF(Seventh!D103="", "",Seventh!D103)</f>
        <v/>
      </c>
      <c r="E1600" s="66" t="str">
        <f>IF(Seventh!E103="", "",Seventh!E103)</f>
        <v/>
      </c>
      <c r="F1600" s="66" t="str">
        <f>IF(Seventh!F103="", "",Seventh!F103)</f>
        <v/>
      </c>
      <c r="G1600" s="66" t="str">
        <f>IF(Seventh!G103="", "",Seventh!G103)</f>
        <v/>
      </c>
      <c r="H1600" s="66" t="str">
        <f>IF(Seventh!H103="", "",Seventh!H103)</f>
        <v/>
      </c>
      <c r="I1600" s="66" t="str">
        <f>IF(Seventh!I103="", "",Seventh!I103)</f>
        <v/>
      </c>
      <c r="J1600" s="66" t="str">
        <f>IF(Seventh!J103="", "",Seventh!J103)</f>
        <v/>
      </c>
      <c r="K1600" s="86" t="str">
        <f>IF(Seventh!K103="", "",Seventh!K103)</f>
        <v/>
      </c>
      <c r="M1600" s="67" t="str">
        <f t="shared" si="74"/>
        <v/>
      </c>
      <c r="N1600" s="76" t="str">
        <f t="shared" si="75"/>
        <v/>
      </c>
      <c r="O1600" s="33">
        <f t="shared" si="73"/>
        <v>0</v>
      </c>
    </row>
    <row r="1601" spans="1:15" x14ac:dyDescent="0.25">
      <c r="A1601" s="64" t="s">
        <v>180</v>
      </c>
      <c r="B1601" s="79" t="str">
        <f>IF(Seventh!B104="", "",Seventh!B104)</f>
        <v/>
      </c>
      <c r="C1601" s="66" t="str">
        <f>IF(Seventh!C104="", "",Seventh!C104)</f>
        <v/>
      </c>
      <c r="D1601" s="66" t="str">
        <f>IF(Seventh!D104="", "",Seventh!D104)</f>
        <v/>
      </c>
      <c r="E1601" s="66" t="str">
        <f>IF(Seventh!E104="", "",Seventh!E104)</f>
        <v/>
      </c>
      <c r="F1601" s="66" t="str">
        <f>IF(Seventh!F104="", "",Seventh!F104)</f>
        <v/>
      </c>
      <c r="G1601" s="66" t="str">
        <f>IF(Seventh!G104="", "",Seventh!G104)</f>
        <v/>
      </c>
      <c r="H1601" s="66" t="str">
        <f>IF(Seventh!H104="", "",Seventh!H104)</f>
        <v/>
      </c>
      <c r="I1601" s="66" t="str">
        <f>IF(Seventh!I104="", "",Seventh!I104)</f>
        <v/>
      </c>
      <c r="J1601" s="66" t="str">
        <f>IF(Seventh!J104="", "",Seventh!J104)</f>
        <v/>
      </c>
      <c r="K1601" s="86" t="str">
        <f>IF(Seventh!K104="", "",Seventh!K104)</f>
        <v/>
      </c>
      <c r="M1601" s="67" t="str">
        <f t="shared" si="74"/>
        <v/>
      </c>
      <c r="N1601" s="76" t="str">
        <f t="shared" si="75"/>
        <v/>
      </c>
      <c r="O1601" s="33">
        <f t="shared" si="73"/>
        <v>0</v>
      </c>
    </row>
    <row r="1602" spans="1:15" x14ac:dyDescent="0.25">
      <c r="A1602" s="64" t="s">
        <v>180</v>
      </c>
      <c r="B1602" s="79" t="str">
        <f>IF(Seventh!B105="", "",Seventh!B105)</f>
        <v/>
      </c>
      <c r="C1602" s="66" t="str">
        <f>IF(Seventh!C105="", "",Seventh!C105)</f>
        <v/>
      </c>
      <c r="D1602" s="66" t="str">
        <f>IF(Seventh!D105="", "",Seventh!D105)</f>
        <v/>
      </c>
      <c r="E1602" s="66" t="str">
        <f>IF(Seventh!E105="", "",Seventh!E105)</f>
        <v/>
      </c>
      <c r="F1602" s="66" t="str">
        <f>IF(Seventh!F105="", "",Seventh!F105)</f>
        <v/>
      </c>
      <c r="G1602" s="66" t="str">
        <f>IF(Seventh!G105="", "",Seventh!G105)</f>
        <v/>
      </c>
      <c r="H1602" s="66" t="str">
        <f>IF(Seventh!H105="", "",Seventh!H105)</f>
        <v/>
      </c>
      <c r="I1602" s="66" t="str">
        <f>IF(Seventh!I105="", "",Seventh!I105)</f>
        <v/>
      </c>
      <c r="J1602" s="66" t="str">
        <f>IF(Seventh!J105="", "",Seventh!J105)</f>
        <v/>
      </c>
      <c r="K1602" s="86" t="str">
        <f>IF(Seventh!K105="", "",Seventh!K105)</f>
        <v/>
      </c>
      <c r="M1602" s="67" t="str">
        <f t="shared" si="74"/>
        <v/>
      </c>
      <c r="N1602" s="76" t="str">
        <f t="shared" si="75"/>
        <v/>
      </c>
      <c r="O1602" s="33">
        <f t="shared" ref="O1602:O1665" si="76">SUM(M1602:N1602)</f>
        <v>0</v>
      </c>
    </row>
    <row r="1603" spans="1:15" x14ac:dyDescent="0.25">
      <c r="A1603" s="64" t="s">
        <v>180</v>
      </c>
      <c r="B1603" s="79" t="str">
        <f>IF(Seventh!B106="", "",Seventh!B106)</f>
        <v/>
      </c>
      <c r="C1603" s="66" t="str">
        <f>IF(Seventh!C106="", "",Seventh!C106)</f>
        <v/>
      </c>
      <c r="D1603" s="66" t="str">
        <f>IF(Seventh!D106="", "",Seventh!D106)</f>
        <v/>
      </c>
      <c r="E1603" s="66" t="str">
        <f>IF(Seventh!E106="", "",Seventh!E106)</f>
        <v/>
      </c>
      <c r="F1603" s="66" t="str">
        <f>IF(Seventh!F106="", "",Seventh!F106)</f>
        <v/>
      </c>
      <c r="G1603" s="66" t="str">
        <f>IF(Seventh!G106="", "",Seventh!G106)</f>
        <v/>
      </c>
      <c r="H1603" s="66" t="str">
        <f>IF(Seventh!H106="", "",Seventh!H106)</f>
        <v/>
      </c>
      <c r="I1603" s="66" t="str">
        <f>IF(Seventh!I106="", "",Seventh!I106)</f>
        <v/>
      </c>
      <c r="J1603" s="66" t="str">
        <f>IF(Seventh!J106="", "",Seventh!J106)</f>
        <v/>
      </c>
      <c r="K1603" s="86" t="str">
        <f>IF(Seventh!K106="", "",Seventh!K106)</f>
        <v/>
      </c>
      <c r="M1603" s="67" t="str">
        <f t="shared" ref="M1603:M1666" si="77">IF(C1603="PwC",(7-COUNTIF(B1603:H1603,"")),"")</f>
        <v/>
      </c>
      <c r="N1603" s="76" t="str">
        <f t="shared" ref="N1603:N1666" si="78">IF(C1603="Carer",(7-COUNTIF(B1603:H1603,"")),"")</f>
        <v/>
      </c>
      <c r="O1603" s="33">
        <f t="shared" si="76"/>
        <v>0</v>
      </c>
    </row>
    <row r="1604" spans="1:15" x14ac:dyDescent="0.25">
      <c r="A1604" s="64" t="s">
        <v>180</v>
      </c>
      <c r="B1604" s="79" t="str">
        <f>IF(Seventh!B107="", "",Seventh!B107)</f>
        <v/>
      </c>
      <c r="C1604" s="66" t="str">
        <f>IF(Seventh!C107="", "",Seventh!C107)</f>
        <v/>
      </c>
      <c r="D1604" s="66" t="str">
        <f>IF(Seventh!D107="", "",Seventh!D107)</f>
        <v/>
      </c>
      <c r="E1604" s="66" t="str">
        <f>IF(Seventh!E107="", "",Seventh!E107)</f>
        <v/>
      </c>
      <c r="F1604" s="66" t="str">
        <f>IF(Seventh!F107="", "",Seventh!F107)</f>
        <v/>
      </c>
      <c r="G1604" s="66" t="str">
        <f>IF(Seventh!G107="", "",Seventh!G107)</f>
        <v/>
      </c>
      <c r="H1604" s="66" t="str">
        <f>IF(Seventh!H107="", "",Seventh!H107)</f>
        <v/>
      </c>
      <c r="I1604" s="66" t="str">
        <f>IF(Seventh!I107="", "",Seventh!I107)</f>
        <v/>
      </c>
      <c r="J1604" s="66" t="str">
        <f>IF(Seventh!J107="", "",Seventh!J107)</f>
        <v/>
      </c>
      <c r="K1604" s="86" t="str">
        <f>IF(Seventh!K107="", "",Seventh!K107)</f>
        <v/>
      </c>
      <c r="M1604" s="67" t="str">
        <f t="shared" si="77"/>
        <v/>
      </c>
      <c r="N1604" s="76" t="str">
        <f t="shared" si="78"/>
        <v/>
      </c>
      <c r="O1604" s="33">
        <f t="shared" si="76"/>
        <v>0</v>
      </c>
    </row>
    <row r="1605" spans="1:15" x14ac:dyDescent="0.25">
      <c r="A1605" s="64" t="s">
        <v>180</v>
      </c>
      <c r="B1605" s="79" t="str">
        <f>IF(Seventh!B108="", "",Seventh!B108)</f>
        <v/>
      </c>
      <c r="C1605" s="66" t="str">
        <f>IF(Seventh!C108="", "",Seventh!C108)</f>
        <v/>
      </c>
      <c r="D1605" s="66" t="str">
        <f>IF(Seventh!D108="", "",Seventh!D108)</f>
        <v/>
      </c>
      <c r="E1605" s="66" t="str">
        <f>IF(Seventh!E108="", "",Seventh!E108)</f>
        <v/>
      </c>
      <c r="F1605" s="66" t="str">
        <f>IF(Seventh!F108="", "",Seventh!F108)</f>
        <v/>
      </c>
      <c r="G1605" s="66" t="str">
        <f>IF(Seventh!G108="", "",Seventh!G108)</f>
        <v/>
      </c>
      <c r="H1605" s="66" t="str">
        <f>IF(Seventh!H108="", "",Seventh!H108)</f>
        <v/>
      </c>
      <c r="I1605" s="66" t="str">
        <f>IF(Seventh!I108="", "",Seventh!I108)</f>
        <v/>
      </c>
      <c r="J1605" s="66" t="str">
        <f>IF(Seventh!J108="", "",Seventh!J108)</f>
        <v/>
      </c>
      <c r="K1605" s="86" t="str">
        <f>IF(Seventh!K108="", "",Seventh!K108)</f>
        <v/>
      </c>
      <c r="M1605" s="67" t="str">
        <f t="shared" si="77"/>
        <v/>
      </c>
      <c r="N1605" s="76" t="str">
        <f t="shared" si="78"/>
        <v/>
      </c>
      <c r="O1605" s="33">
        <f t="shared" si="76"/>
        <v>0</v>
      </c>
    </row>
    <row r="1606" spans="1:15" x14ac:dyDescent="0.25">
      <c r="A1606" s="64" t="s">
        <v>180</v>
      </c>
      <c r="B1606" s="79" t="str">
        <f>IF(Seventh!B109="", "",Seventh!B109)</f>
        <v/>
      </c>
      <c r="C1606" s="66" t="str">
        <f>IF(Seventh!C109="", "",Seventh!C109)</f>
        <v/>
      </c>
      <c r="D1606" s="66" t="str">
        <f>IF(Seventh!D109="", "",Seventh!D109)</f>
        <v/>
      </c>
      <c r="E1606" s="66" t="str">
        <f>IF(Seventh!E109="", "",Seventh!E109)</f>
        <v/>
      </c>
      <c r="F1606" s="66" t="str">
        <f>IF(Seventh!F109="", "",Seventh!F109)</f>
        <v/>
      </c>
      <c r="G1606" s="66" t="str">
        <f>IF(Seventh!G109="", "",Seventh!G109)</f>
        <v/>
      </c>
      <c r="H1606" s="66" t="str">
        <f>IF(Seventh!H109="", "",Seventh!H109)</f>
        <v/>
      </c>
      <c r="I1606" s="66" t="str">
        <f>IF(Seventh!I109="", "",Seventh!I109)</f>
        <v/>
      </c>
      <c r="J1606" s="66" t="str">
        <f>IF(Seventh!J109="", "",Seventh!J109)</f>
        <v/>
      </c>
      <c r="K1606" s="86" t="str">
        <f>IF(Seventh!K109="", "",Seventh!K109)</f>
        <v/>
      </c>
      <c r="M1606" s="67" t="str">
        <f t="shared" si="77"/>
        <v/>
      </c>
      <c r="N1606" s="76" t="str">
        <f t="shared" si="78"/>
        <v/>
      </c>
      <c r="O1606" s="33">
        <f t="shared" si="76"/>
        <v>0</v>
      </c>
    </row>
    <row r="1607" spans="1:15" x14ac:dyDescent="0.25">
      <c r="A1607" s="64" t="s">
        <v>180</v>
      </c>
      <c r="B1607" s="79" t="str">
        <f>IF(Seventh!B110="", "",Seventh!B110)</f>
        <v/>
      </c>
      <c r="C1607" s="66" t="str">
        <f>IF(Seventh!C110="", "",Seventh!C110)</f>
        <v/>
      </c>
      <c r="D1607" s="66" t="str">
        <f>IF(Seventh!D110="", "",Seventh!D110)</f>
        <v/>
      </c>
      <c r="E1607" s="66" t="str">
        <f>IF(Seventh!E110="", "",Seventh!E110)</f>
        <v/>
      </c>
      <c r="F1607" s="66" t="str">
        <f>IF(Seventh!F110="", "",Seventh!F110)</f>
        <v/>
      </c>
      <c r="G1607" s="66" t="str">
        <f>IF(Seventh!G110="", "",Seventh!G110)</f>
        <v/>
      </c>
      <c r="H1607" s="66" t="str">
        <f>IF(Seventh!H110="", "",Seventh!H110)</f>
        <v/>
      </c>
      <c r="I1607" s="66" t="str">
        <f>IF(Seventh!I110="", "",Seventh!I110)</f>
        <v/>
      </c>
      <c r="J1607" s="66" t="str">
        <f>IF(Seventh!J110="", "",Seventh!J110)</f>
        <v/>
      </c>
      <c r="K1607" s="86" t="str">
        <f>IF(Seventh!K110="", "",Seventh!K110)</f>
        <v/>
      </c>
      <c r="M1607" s="67" t="str">
        <f t="shared" si="77"/>
        <v/>
      </c>
      <c r="N1607" s="76" t="str">
        <f t="shared" si="78"/>
        <v/>
      </c>
      <c r="O1607" s="33">
        <f t="shared" si="76"/>
        <v>0</v>
      </c>
    </row>
    <row r="1608" spans="1:15" x14ac:dyDescent="0.25">
      <c r="A1608" s="64" t="s">
        <v>180</v>
      </c>
      <c r="B1608" s="79" t="str">
        <f>IF(Seventh!B111="", "",Seventh!B111)</f>
        <v/>
      </c>
      <c r="C1608" s="66" t="str">
        <f>IF(Seventh!C111="", "",Seventh!C111)</f>
        <v/>
      </c>
      <c r="D1608" s="66" t="str">
        <f>IF(Seventh!D111="", "",Seventh!D111)</f>
        <v/>
      </c>
      <c r="E1608" s="66" t="str">
        <f>IF(Seventh!E111="", "",Seventh!E111)</f>
        <v/>
      </c>
      <c r="F1608" s="66" t="str">
        <f>IF(Seventh!F111="", "",Seventh!F111)</f>
        <v/>
      </c>
      <c r="G1608" s="66" t="str">
        <f>IF(Seventh!G111="", "",Seventh!G111)</f>
        <v/>
      </c>
      <c r="H1608" s="66" t="str">
        <f>IF(Seventh!H111="", "",Seventh!H111)</f>
        <v/>
      </c>
      <c r="I1608" s="66" t="str">
        <f>IF(Seventh!I111="", "",Seventh!I111)</f>
        <v/>
      </c>
      <c r="J1608" s="66" t="str">
        <f>IF(Seventh!J111="", "",Seventh!J111)</f>
        <v/>
      </c>
      <c r="K1608" s="86" t="str">
        <f>IF(Seventh!K111="", "",Seventh!K111)</f>
        <v/>
      </c>
      <c r="M1608" s="67" t="str">
        <f t="shared" si="77"/>
        <v/>
      </c>
      <c r="N1608" s="76" t="str">
        <f t="shared" si="78"/>
        <v/>
      </c>
      <c r="O1608" s="33">
        <f t="shared" si="76"/>
        <v>0</v>
      </c>
    </row>
    <row r="1609" spans="1:15" x14ac:dyDescent="0.25">
      <c r="A1609" s="64" t="s">
        <v>180</v>
      </c>
      <c r="B1609" s="79" t="str">
        <f>IF(Seventh!B112="", "",Seventh!B112)</f>
        <v/>
      </c>
      <c r="C1609" s="66" t="str">
        <f>IF(Seventh!C112="", "",Seventh!C112)</f>
        <v/>
      </c>
      <c r="D1609" s="66" t="str">
        <f>IF(Seventh!D112="", "",Seventh!D112)</f>
        <v/>
      </c>
      <c r="E1609" s="66" t="str">
        <f>IF(Seventh!E112="", "",Seventh!E112)</f>
        <v/>
      </c>
      <c r="F1609" s="66" t="str">
        <f>IF(Seventh!F112="", "",Seventh!F112)</f>
        <v/>
      </c>
      <c r="G1609" s="66" t="str">
        <f>IF(Seventh!G112="", "",Seventh!G112)</f>
        <v/>
      </c>
      <c r="H1609" s="66" t="str">
        <f>IF(Seventh!H112="", "",Seventh!H112)</f>
        <v/>
      </c>
      <c r="I1609" s="66" t="str">
        <f>IF(Seventh!I112="", "",Seventh!I112)</f>
        <v/>
      </c>
      <c r="J1609" s="66" t="str">
        <f>IF(Seventh!J112="", "",Seventh!J112)</f>
        <v/>
      </c>
      <c r="K1609" s="86" t="str">
        <f>IF(Seventh!K112="", "",Seventh!K112)</f>
        <v/>
      </c>
      <c r="M1609" s="67" t="str">
        <f t="shared" si="77"/>
        <v/>
      </c>
      <c r="N1609" s="76" t="str">
        <f t="shared" si="78"/>
        <v/>
      </c>
      <c r="O1609" s="33">
        <f t="shared" si="76"/>
        <v>0</v>
      </c>
    </row>
    <row r="1610" spans="1:15" x14ac:dyDescent="0.25">
      <c r="A1610" s="64" t="s">
        <v>180</v>
      </c>
      <c r="B1610" s="79" t="str">
        <f>IF(Seventh!B113="", "",Seventh!B113)</f>
        <v/>
      </c>
      <c r="C1610" s="66" t="str">
        <f>IF(Seventh!C113="", "",Seventh!C113)</f>
        <v/>
      </c>
      <c r="D1610" s="66" t="str">
        <f>IF(Seventh!D113="", "",Seventh!D113)</f>
        <v/>
      </c>
      <c r="E1610" s="66" t="str">
        <f>IF(Seventh!E113="", "",Seventh!E113)</f>
        <v/>
      </c>
      <c r="F1610" s="66" t="str">
        <f>IF(Seventh!F113="", "",Seventh!F113)</f>
        <v/>
      </c>
      <c r="G1610" s="66" t="str">
        <f>IF(Seventh!G113="", "",Seventh!G113)</f>
        <v/>
      </c>
      <c r="H1610" s="66" t="str">
        <f>IF(Seventh!H113="", "",Seventh!H113)</f>
        <v/>
      </c>
      <c r="I1610" s="66" t="str">
        <f>IF(Seventh!I113="", "",Seventh!I113)</f>
        <v/>
      </c>
      <c r="J1610" s="66" t="str">
        <f>IF(Seventh!J113="", "",Seventh!J113)</f>
        <v/>
      </c>
      <c r="K1610" s="86" t="str">
        <f>IF(Seventh!K113="", "",Seventh!K113)</f>
        <v/>
      </c>
      <c r="M1610" s="67" t="str">
        <f t="shared" si="77"/>
        <v/>
      </c>
      <c r="N1610" s="76" t="str">
        <f t="shared" si="78"/>
        <v/>
      </c>
      <c r="O1610" s="33">
        <f t="shared" si="76"/>
        <v>0</v>
      </c>
    </row>
    <row r="1611" spans="1:15" x14ac:dyDescent="0.25">
      <c r="A1611" s="64" t="s">
        <v>180</v>
      </c>
      <c r="B1611" s="79" t="str">
        <f>IF(Seventh!B114="", "",Seventh!B114)</f>
        <v/>
      </c>
      <c r="C1611" s="66" t="str">
        <f>IF(Seventh!C114="", "",Seventh!C114)</f>
        <v/>
      </c>
      <c r="D1611" s="66" t="str">
        <f>IF(Seventh!D114="", "",Seventh!D114)</f>
        <v/>
      </c>
      <c r="E1611" s="66" t="str">
        <f>IF(Seventh!E114="", "",Seventh!E114)</f>
        <v/>
      </c>
      <c r="F1611" s="66" t="str">
        <f>IF(Seventh!F114="", "",Seventh!F114)</f>
        <v/>
      </c>
      <c r="G1611" s="66" t="str">
        <f>IF(Seventh!G114="", "",Seventh!G114)</f>
        <v/>
      </c>
      <c r="H1611" s="66" t="str">
        <f>IF(Seventh!H114="", "",Seventh!H114)</f>
        <v/>
      </c>
      <c r="I1611" s="66" t="str">
        <f>IF(Seventh!I114="", "",Seventh!I114)</f>
        <v/>
      </c>
      <c r="J1611" s="66" t="str">
        <f>IF(Seventh!J114="", "",Seventh!J114)</f>
        <v/>
      </c>
      <c r="K1611" s="86" t="str">
        <f>IF(Seventh!K114="", "",Seventh!K114)</f>
        <v/>
      </c>
      <c r="M1611" s="67" t="str">
        <f t="shared" si="77"/>
        <v/>
      </c>
      <c r="N1611" s="76" t="str">
        <f t="shared" si="78"/>
        <v/>
      </c>
      <c r="O1611" s="33">
        <f t="shared" si="76"/>
        <v>0</v>
      </c>
    </row>
    <row r="1612" spans="1:15" x14ac:dyDescent="0.25">
      <c r="A1612" s="64" t="s">
        <v>180</v>
      </c>
      <c r="B1612" s="79" t="str">
        <f>IF(Seventh!B115="", "",Seventh!B115)</f>
        <v/>
      </c>
      <c r="C1612" s="66" t="str">
        <f>IF(Seventh!C115="", "",Seventh!C115)</f>
        <v/>
      </c>
      <c r="D1612" s="66" t="str">
        <f>IF(Seventh!D115="", "",Seventh!D115)</f>
        <v/>
      </c>
      <c r="E1612" s="66" t="str">
        <f>IF(Seventh!E115="", "",Seventh!E115)</f>
        <v/>
      </c>
      <c r="F1612" s="66" t="str">
        <f>IF(Seventh!F115="", "",Seventh!F115)</f>
        <v/>
      </c>
      <c r="G1612" s="66" t="str">
        <f>IF(Seventh!G115="", "",Seventh!G115)</f>
        <v/>
      </c>
      <c r="H1612" s="66" t="str">
        <f>IF(Seventh!H115="", "",Seventh!H115)</f>
        <v/>
      </c>
      <c r="I1612" s="66" t="str">
        <f>IF(Seventh!I115="", "",Seventh!I115)</f>
        <v/>
      </c>
      <c r="J1612" s="66" t="str">
        <f>IF(Seventh!J115="", "",Seventh!J115)</f>
        <v/>
      </c>
      <c r="K1612" s="86" t="str">
        <f>IF(Seventh!K115="", "",Seventh!K115)</f>
        <v/>
      </c>
      <c r="M1612" s="67" t="str">
        <f t="shared" si="77"/>
        <v/>
      </c>
      <c r="N1612" s="76" t="str">
        <f t="shared" si="78"/>
        <v/>
      </c>
      <c r="O1612" s="33">
        <f t="shared" si="76"/>
        <v>0</v>
      </c>
    </row>
    <row r="1613" spans="1:15" x14ac:dyDescent="0.25">
      <c r="A1613" s="64" t="s">
        <v>180</v>
      </c>
      <c r="B1613" s="79" t="str">
        <f>IF(Seventh!B116="", "",Seventh!B116)</f>
        <v/>
      </c>
      <c r="C1613" s="66" t="str">
        <f>IF(Seventh!C116="", "",Seventh!C116)</f>
        <v/>
      </c>
      <c r="D1613" s="66" t="str">
        <f>IF(Seventh!D116="", "",Seventh!D116)</f>
        <v/>
      </c>
      <c r="E1613" s="66" t="str">
        <f>IF(Seventh!E116="", "",Seventh!E116)</f>
        <v/>
      </c>
      <c r="F1613" s="66" t="str">
        <f>IF(Seventh!F116="", "",Seventh!F116)</f>
        <v/>
      </c>
      <c r="G1613" s="66" t="str">
        <f>IF(Seventh!G116="", "",Seventh!G116)</f>
        <v/>
      </c>
      <c r="H1613" s="66" t="str">
        <f>IF(Seventh!H116="", "",Seventh!H116)</f>
        <v/>
      </c>
      <c r="I1613" s="66" t="str">
        <f>IF(Seventh!I116="", "",Seventh!I116)</f>
        <v/>
      </c>
      <c r="J1613" s="66" t="str">
        <f>IF(Seventh!J116="", "",Seventh!J116)</f>
        <v/>
      </c>
      <c r="K1613" s="86" t="str">
        <f>IF(Seventh!K116="", "",Seventh!K116)</f>
        <v/>
      </c>
      <c r="M1613" s="67" t="str">
        <f t="shared" si="77"/>
        <v/>
      </c>
      <c r="N1613" s="76" t="str">
        <f t="shared" si="78"/>
        <v/>
      </c>
      <c r="O1613" s="33">
        <f t="shared" si="76"/>
        <v>0</v>
      </c>
    </row>
    <row r="1614" spans="1:15" x14ac:dyDescent="0.25">
      <c r="A1614" s="64" t="s">
        <v>180</v>
      </c>
      <c r="B1614" s="79" t="str">
        <f>IF(Seventh!B117="", "",Seventh!B117)</f>
        <v/>
      </c>
      <c r="C1614" s="66" t="str">
        <f>IF(Seventh!C117="", "",Seventh!C117)</f>
        <v/>
      </c>
      <c r="D1614" s="66" t="str">
        <f>IF(Seventh!D117="", "",Seventh!D117)</f>
        <v/>
      </c>
      <c r="E1614" s="66" t="str">
        <f>IF(Seventh!E117="", "",Seventh!E117)</f>
        <v/>
      </c>
      <c r="F1614" s="66" t="str">
        <f>IF(Seventh!F117="", "",Seventh!F117)</f>
        <v/>
      </c>
      <c r="G1614" s="66" t="str">
        <f>IF(Seventh!G117="", "",Seventh!G117)</f>
        <v/>
      </c>
      <c r="H1614" s="66" t="str">
        <f>IF(Seventh!H117="", "",Seventh!H117)</f>
        <v/>
      </c>
      <c r="I1614" s="66" t="str">
        <f>IF(Seventh!I117="", "",Seventh!I117)</f>
        <v/>
      </c>
      <c r="J1614" s="66" t="str">
        <f>IF(Seventh!J117="", "",Seventh!J117)</f>
        <v/>
      </c>
      <c r="K1614" s="86" t="str">
        <f>IF(Seventh!K117="", "",Seventh!K117)</f>
        <v/>
      </c>
      <c r="M1614" s="67" t="str">
        <f t="shared" si="77"/>
        <v/>
      </c>
      <c r="N1614" s="76" t="str">
        <f t="shared" si="78"/>
        <v/>
      </c>
      <c r="O1614" s="33">
        <f t="shared" si="76"/>
        <v>0</v>
      </c>
    </row>
    <row r="1615" spans="1:15" x14ac:dyDescent="0.25">
      <c r="A1615" s="64" t="s">
        <v>180</v>
      </c>
      <c r="B1615" s="79" t="str">
        <f>IF(Seventh!B118="", "",Seventh!B118)</f>
        <v/>
      </c>
      <c r="C1615" s="66" t="str">
        <f>IF(Seventh!C118="", "",Seventh!C118)</f>
        <v/>
      </c>
      <c r="D1615" s="66" t="str">
        <f>IF(Seventh!D118="", "",Seventh!D118)</f>
        <v/>
      </c>
      <c r="E1615" s="66" t="str">
        <f>IF(Seventh!E118="", "",Seventh!E118)</f>
        <v/>
      </c>
      <c r="F1615" s="66" t="str">
        <f>IF(Seventh!F118="", "",Seventh!F118)</f>
        <v/>
      </c>
      <c r="G1615" s="66" t="str">
        <f>IF(Seventh!G118="", "",Seventh!G118)</f>
        <v/>
      </c>
      <c r="H1615" s="66" t="str">
        <f>IF(Seventh!H118="", "",Seventh!H118)</f>
        <v/>
      </c>
      <c r="I1615" s="66" t="str">
        <f>IF(Seventh!I118="", "",Seventh!I118)</f>
        <v/>
      </c>
      <c r="J1615" s="66" t="str">
        <f>IF(Seventh!J118="", "",Seventh!J118)</f>
        <v/>
      </c>
      <c r="K1615" s="86" t="str">
        <f>IF(Seventh!K118="", "",Seventh!K118)</f>
        <v/>
      </c>
      <c r="M1615" s="67" t="str">
        <f t="shared" si="77"/>
        <v/>
      </c>
      <c r="N1615" s="76" t="str">
        <f t="shared" si="78"/>
        <v/>
      </c>
      <c r="O1615" s="33">
        <f t="shared" si="76"/>
        <v>0</v>
      </c>
    </row>
    <row r="1616" spans="1:15" x14ac:dyDescent="0.25">
      <c r="A1616" s="64" t="s">
        <v>180</v>
      </c>
      <c r="B1616" s="79" t="str">
        <f>IF(Seventh!B119="", "",Seventh!B119)</f>
        <v/>
      </c>
      <c r="C1616" s="66" t="str">
        <f>IF(Seventh!C119="", "",Seventh!C119)</f>
        <v/>
      </c>
      <c r="D1616" s="66" t="str">
        <f>IF(Seventh!D119="", "",Seventh!D119)</f>
        <v/>
      </c>
      <c r="E1616" s="66" t="str">
        <f>IF(Seventh!E119="", "",Seventh!E119)</f>
        <v/>
      </c>
      <c r="F1616" s="66" t="str">
        <f>IF(Seventh!F119="", "",Seventh!F119)</f>
        <v/>
      </c>
      <c r="G1616" s="66" t="str">
        <f>IF(Seventh!G119="", "",Seventh!G119)</f>
        <v/>
      </c>
      <c r="H1616" s="66" t="str">
        <f>IF(Seventh!H119="", "",Seventh!H119)</f>
        <v/>
      </c>
      <c r="I1616" s="66" t="str">
        <f>IF(Seventh!I119="", "",Seventh!I119)</f>
        <v/>
      </c>
      <c r="J1616" s="66" t="str">
        <f>IF(Seventh!J119="", "",Seventh!J119)</f>
        <v/>
      </c>
      <c r="K1616" s="86" t="str">
        <f>IF(Seventh!K119="", "",Seventh!K119)</f>
        <v/>
      </c>
      <c r="M1616" s="67" t="str">
        <f t="shared" si="77"/>
        <v/>
      </c>
      <c r="N1616" s="76" t="str">
        <f t="shared" si="78"/>
        <v/>
      </c>
      <c r="O1616" s="33">
        <f t="shared" si="76"/>
        <v>0</v>
      </c>
    </row>
    <row r="1617" spans="1:15" x14ac:dyDescent="0.25">
      <c r="A1617" s="64" t="s">
        <v>180</v>
      </c>
      <c r="B1617" s="79" t="str">
        <f>IF(Seventh!B120="", "",Seventh!B120)</f>
        <v/>
      </c>
      <c r="C1617" s="66" t="str">
        <f>IF(Seventh!C120="", "",Seventh!C120)</f>
        <v/>
      </c>
      <c r="D1617" s="66" t="str">
        <f>IF(Seventh!D120="", "",Seventh!D120)</f>
        <v/>
      </c>
      <c r="E1617" s="66" t="str">
        <f>IF(Seventh!E120="", "",Seventh!E120)</f>
        <v/>
      </c>
      <c r="F1617" s="66" t="str">
        <f>IF(Seventh!F120="", "",Seventh!F120)</f>
        <v/>
      </c>
      <c r="G1617" s="66" t="str">
        <f>IF(Seventh!G120="", "",Seventh!G120)</f>
        <v/>
      </c>
      <c r="H1617" s="66" t="str">
        <f>IF(Seventh!H120="", "",Seventh!H120)</f>
        <v/>
      </c>
      <c r="I1617" s="66" t="str">
        <f>IF(Seventh!I120="", "",Seventh!I120)</f>
        <v/>
      </c>
      <c r="J1617" s="66" t="str">
        <f>IF(Seventh!J120="", "",Seventh!J120)</f>
        <v/>
      </c>
      <c r="K1617" s="86" t="str">
        <f>IF(Seventh!K120="", "",Seventh!K120)</f>
        <v/>
      </c>
      <c r="M1617" s="67" t="str">
        <f t="shared" si="77"/>
        <v/>
      </c>
      <c r="N1617" s="76" t="str">
        <f t="shared" si="78"/>
        <v/>
      </c>
      <c r="O1617" s="33">
        <f t="shared" si="76"/>
        <v>0</v>
      </c>
    </row>
    <row r="1618" spans="1:15" x14ac:dyDescent="0.25">
      <c r="A1618" s="64" t="s">
        <v>180</v>
      </c>
      <c r="B1618" s="79" t="str">
        <f>IF(Seventh!B121="", "",Seventh!B121)</f>
        <v/>
      </c>
      <c r="C1618" s="66" t="str">
        <f>IF(Seventh!C121="", "",Seventh!C121)</f>
        <v/>
      </c>
      <c r="D1618" s="66" t="str">
        <f>IF(Seventh!D121="", "",Seventh!D121)</f>
        <v/>
      </c>
      <c r="E1618" s="66" t="str">
        <f>IF(Seventh!E121="", "",Seventh!E121)</f>
        <v/>
      </c>
      <c r="F1618" s="66" t="str">
        <f>IF(Seventh!F121="", "",Seventh!F121)</f>
        <v/>
      </c>
      <c r="G1618" s="66" t="str">
        <f>IF(Seventh!G121="", "",Seventh!G121)</f>
        <v/>
      </c>
      <c r="H1618" s="66" t="str">
        <f>IF(Seventh!H121="", "",Seventh!H121)</f>
        <v/>
      </c>
      <c r="I1618" s="66" t="str">
        <f>IF(Seventh!I121="", "",Seventh!I121)</f>
        <v/>
      </c>
      <c r="J1618" s="66" t="str">
        <f>IF(Seventh!J121="", "",Seventh!J121)</f>
        <v/>
      </c>
      <c r="K1618" s="86" t="str">
        <f>IF(Seventh!K121="", "",Seventh!K121)</f>
        <v/>
      </c>
      <c r="M1618" s="67" t="str">
        <f t="shared" si="77"/>
        <v/>
      </c>
      <c r="N1618" s="76" t="str">
        <f t="shared" si="78"/>
        <v/>
      </c>
      <c r="O1618" s="33">
        <f t="shared" si="76"/>
        <v>0</v>
      </c>
    </row>
    <row r="1619" spans="1:15" x14ac:dyDescent="0.25">
      <c r="A1619" s="64" t="s">
        <v>180</v>
      </c>
      <c r="B1619" s="79" t="str">
        <f>IF(Seventh!B122="", "",Seventh!B122)</f>
        <v/>
      </c>
      <c r="C1619" s="66" t="str">
        <f>IF(Seventh!C122="", "",Seventh!C122)</f>
        <v/>
      </c>
      <c r="D1619" s="66" t="str">
        <f>IF(Seventh!D122="", "",Seventh!D122)</f>
        <v/>
      </c>
      <c r="E1619" s="66" t="str">
        <f>IF(Seventh!E122="", "",Seventh!E122)</f>
        <v/>
      </c>
      <c r="F1619" s="66" t="str">
        <f>IF(Seventh!F122="", "",Seventh!F122)</f>
        <v/>
      </c>
      <c r="G1619" s="66" t="str">
        <f>IF(Seventh!G122="", "",Seventh!G122)</f>
        <v/>
      </c>
      <c r="H1619" s="66" t="str">
        <f>IF(Seventh!H122="", "",Seventh!H122)</f>
        <v/>
      </c>
      <c r="I1619" s="66" t="str">
        <f>IF(Seventh!I122="", "",Seventh!I122)</f>
        <v/>
      </c>
      <c r="J1619" s="66" t="str">
        <f>IF(Seventh!J122="", "",Seventh!J122)</f>
        <v/>
      </c>
      <c r="K1619" s="86" t="str">
        <f>IF(Seventh!K122="", "",Seventh!K122)</f>
        <v/>
      </c>
      <c r="M1619" s="67" t="str">
        <f t="shared" si="77"/>
        <v/>
      </c>
      <c r="N1619" s="76" t="str">
        <f t="shared" si="78"/>
        <v/>
      </c>
      <c r="O1619" s="33">
        <f t="shared" si="76"/>
        <v>0</v>
      </c>
    </row>
    <row r="1620" spans="1:15" x14ac:dyDescent="0.25">
      <c r="A1620" s="64" t="s">
        <v>180</v>
      </c>
      <c r="B1620" s="79" t="str">
        <f>IF(Seventh!B123="", "",Seventh!B123)</f>
        <v/>
      </c>
      <c r="C1620" s="66" t="str">
        <f>IF(Seventh!C123="", "",Seventh!C123)</f>
        <v/>
      </c>
      <c r="D1620" s="66" t="str">
        <f>IF(Seventh!D123="", "",Seventh!D123)</f>
        <v/>
      </c>
      <c r="E1620" s="66" t="str">
        <f>IF(Seventh!E123="", "",Seventh!E123)</f>
        <v/>
      </c>
      <c r="F1620" s="66" t="str">
        <f>IF(Seventh!F123="", "",Seventh!F123)</f>
        <v/>
      </c>
      <c r="G1620" s="66" t="str">
        <f>IF(Seventh!G123="", "",Seventh!G123)</f>
        <v/>
      </c>
      <c r="H1620" s="66" t="str">
        <f>IF(Seventh!H123="", "",Seventh!H123)</f>
        <v/>
      </c>
      <c r="I1620" s="66" t="str">
        <f>IF(Seventh!I123="", "",Seventh!I123)</f>
        <v/>
      </c>
      <c r="J1620" s="66" t="str">
        <f>IF(Seventh!J123="", "",Seventh!J123)</f>
        <v/>
      </c>
      <c r="K1620" s="86" t="str">
        <f>IF(Seventh!K123="", "",Seventh!K123)</f>
        <v/>
      </c>
      <c r="M1620" s="67" t="str">
        <f t="shared" si="77"/>
        <v/>
      </c>
      <c r="N1620" s="76" t="str">
        <f t="shared" si="78"/>
        <v/>
      </c>
      <c r="O1620" s="33">
        <f t="shared" si="76"/>
        <v>0</v>
      </c>
    </row>
    <row r="1621" spans="1:15" x14ac:dyDescent="0.25">
      <c r="A1621" s="64" t="s">
        <v>180</v>
      </c>
      <c r="B1621" s="79" t="str">
        <f>IF(Seventh!B124="", "",Seventh!B124)</f>
        <v/>
      </c>
      <c r="C1621" s="66" t="str">
        <f>IF(Seventh!C124="", "",Seventh!C124)</f>
        <v/>
      </c>
      <c r="D1621" s="66" t="str">
        <f>IF(Seventh!D124="", "",Seventh!D124)</f>
        <v/>
      </c>
      <c r="E1621" s="66" t="str">
        <f>IF(Seventh!E124="", "",Seventh!E124)</f>
        <v/>
      </c>
      <c r="F1621" s="66" t="str">
        <f>IF(Seventh!F124="", "",Seventh!F124)</f>
        <v/>
      </c>
      <c r="G1621" s="66" t="str">
        <f>IF(Seventh!G124="", "",Seventh!G124)</f>
        <v/>
      </c>
      <c r="H1621" s="66" t="str">
        <f>IF(Seventh!H124="", "",Seventh!H124)</f>
        <v/>
      </c>
      <c r="I1621" s="66" t="str">
        <f>IF(Seventh!I124="", "",Seventh!I124)</f>
        <v/>
      </c>
      <c r="J1621" s="66" t="str">
        <f>IF(Seventh!J124="", "",Seventh!J124)</f>
        <v/>
      </c>
      <c r="K1621" s="86" t="str">
        <f>IF(Seventh!K124="", "",Seventh!K124)</f>
        <v/>
      </c>
      <c r="M1621" s="67" t="str">
        <f t="shared" si="77"/>
        <v/>
      </c>
      <c r="N1621" s="76" t="str">
        <f t="shared" si="78"/>
        <v/>
      </c>
      <c r="O1621" s="33">
        <f t="shared" si="76"/>
        <v>0</v>
      </c>
    </row>
    <row r="1622" spans="1:15" x14ac:dyDescent="0.25">
      <c r="A1622" s="64" t="s">
        <v>180</v>
      </c>
      <c r="B1622" s="79" t="str">
        <f>IF(Seventh!B125="", "",Seventh!B125)</f>
        <v/>
      </c>
      <c r="C1622" s="66" t="str">
        <f>IF(Seventh!C125="", "",Seventh!C125)</f>
        <v/>
      </c>
      <c r="D1622" s="66" t="str">
        <f>IF(Seventh!D125="", "",Seventh!D125)</f>
        <v/>
      </c>
      <c r="E1622" s="66" t="str">
        <f>IF(Seventh!E125="", "",Seventh!E125)</f>
        <v/>
      </c>
      <c r="F1622" s="66" t="str">
        <f>IF(Seventh!F125="", "",Seventh!F125)</f>
        <v/>
      </c>
      <c r="G1622" s="66" t="str">
        <f>IF(Seventh!G125="", "",Seventh!G125)</f>
        <v/>
      </c>
      <c r="H1622" s="66" t="str">
        <f>IF(Seventh!H125="", "",Seventh!H125)</f>
        <v/>
      </c>
      <c r="I1622" s="66" t="str">
        <f>IF(Seventh!I125="", "",Seventh!I125)</f>
        <v/>
      </c>
      <c r="J1622" s="66" t="str">
        <f>IF(Seventh!J125="", "",Seventh!J125)</f>
        <v/>
      </c>
      <c r="K1622" s="86" t="str">
        <f>IF(Seventh!K125="", "",Seventh!K125)</f>
        <v/>
      </c>
      <c r="M1622" s="67" t="str">
        <f t="shared" si="77"/>
        <v/>
      </c>
      <c r="N1622" s="76" t="str">
        <f t="shared" si="78"/>
        <v/>
      </c>
      <c r="O1622" s="33">
        <f t="shared" si="76"/>
        <v>0</v>
      </c>
    </row>
    <row r="1623" spans="1:15" x14ac:dyDescent="0.25">
      <c r="A1623" s="64" t="s">
        <v>180</v>
      </c>
      <c r="B1623" s="79" t="str">
        <f>IF(Seventh!B126="", "",Seventh!B126)</f>
        <v/>
      </c>
      <c r="C1623" s="66" t="str">
        <f>IF(Seventh!C126="", "",Seventh!C126)</f>
        <v/>
      </c>
      <c r="D1623" s="66" t="str">
        <f>IF(Seventh!D126="", "",Seventh!D126)</f>
        <v/>
      </c>
      <c r="E1623" s="66" t="str">
        <f>IF(Seventh!E126="", "",Seventh!E126)</f>
        <v/>
      </c>
      <c r="F1623" s="66" t="str">
        <f>IF(Seventh!F126="", "",Seventh!F126)</f>
        <v/>
      </c>
      <c r="G1623" s="66" t="str">
        <f>IF(Seventh!G126="", "",Seventh!G126)</f>
        <v/>
      </c>
      <c r="H1623" s="66" t="str">
        <f>IF(Seventh!H126="", "",Seventh!H126)</f>
        <v/>
      </c>
      <c r="I1623" s="66" t="str">
        <f>IF(Seventh!I126="", "",Seventh!I126)</f>
        <v/>
      </c>
      <c r="J1623" s="66" t="str">
        <f>IF(Seventh!J126="", "",Seventh!J126)</f>
        <v/>
      </c>
      <c r="K1623" s="86" t="str">
        <f>IF(Seventh!K126="", "",Seventh!K126)</f>
        <v/>
      </c>
      <c r="M1623" s="67" t="str">
        <f t="shared" si="77"/>
        <v/>
      </c>
      <c r="N1623" s="76" t="str">
        <f t="shared" si="78"/>
        <v/>
      </c>
      <c r="O1623" s="33">
        <f t="shared" si="76"/>
        <v>0</v>
      </c>
    </row>
    <row r="1624" spans="1:15" x14ac:dyDescent="0.25">
      <c r="A1624" s="64" t="s">
        <v>180</v>
      </c>
      <c r="B1624" s="79" t="str">
        <f>IF(Seventh!B127="", "",Seventh!B127)</f>
        <v/>
      </c>
      <c r="C1624" s="66" t="str">
        <f>IF(Seventh!C127="", "",Seventh!C127)</f>
        <v/>
      </c>
      <c r="D1624" s="66" t="str">
        <f>IF(Seventh!D127="", "",Seventh!D127)</f>
        <v/>
      </c>
      <c r="E1624" s="66" t="str">
        <f>IF(Seventh!E127="", "",Seventh!E127)</f>
        <v/>
      </c>
      <c r="F1624" s="66" t="str">
        <f>IF(Seventh!F127="", "",Seventh!F127)</f>
        <v/>
      </c>
      <c r="G1624" s="66" t="str">
        <f>IF(Seventh!G127="", "",Seventh!G127)</f>
        <v/>
      </c>
      <c r="H1624" s="66" t="str">
        <f>IF(Seventh!H127="", "",Seventh!H127)</f>
        <v/>
      </c>
      <c r="I1624" s="66" t="str">
        <f>IF(Seventh!I127="", "",Seventh!I127)</f>
        <v/>
      </c>
      <c r="J1624" s="66" t="str">
        <f>IF(Seventh!J127="", "",Seventh!J127)</f>
        <v/>
      </c>
      <c r="K1624" s="86" t="str">
        <f>IF(Seventh!K127="", "",Seventh!K127)</f>
        <v/>
      </c>
      <c r="M1624" s="67" t="str">
        <f t="shared" si="77"/>
        <v/>
      </c>
      <c r="N1624" s="76" t="str">
        <f t="shared" si="78"/>
        <v/>
      </c>
      <c r="O1624" s="33">
        <f t="shared" si="76"/>
        <v>0</v>
      </c>
    </row>
    <row r="1625" spans="1:15" x14ac:dyDescent="0.25">
      <c r="A1625" s="64" t="s">
        <v>180</v>
      </c>
      <c r="B1625" s="79" t="str">
        <f>IF(Seventh!B128="", "",Seventh!B128)</f>
        <v/>
      </c>
      <c r="C1625" s="66" t="str">
        <f>IF(Seventh!C128="", "",Seventh!C128)</f>
        <v/>
      </c>
      <c r="D1625" s="66" t="str">
        <f>IF(Seventh!D128="", "",Seventh!D128)</f>
        <v/>
      </c>
      <c r="E1625" s="66" t="str">
        <f>IF(Seventh!E128="", "",Seventh!E128)</f>
        <v/>
      </c>
      <c r="F1625" s="66" t="str">
        <f>IF(Seventh!F128="", "",Seventh!F128)</f>
        <v/>
      </c>
      <c r="G1625" s="66" t="str">
        <f>IF(Seventh!G128="", "",Seventh!G128)</f>
        <v/>
      </c>
      <c r="H1625" s="66" t="str">
        <f>IF(Seventh!H128="", "",Seventh!H128)</f>
        <v/>
      </c>
      <c r="I1625" s="66" t="str">
        <f>IF(Seventh!I128="", "",Seventh!I128)</f>
        <v/>
      </c>
      <c r="J1625" s="66" t="str">
        <f>IF(Seventh!J128="", "",Seventh!J128)</f>
        <v/>
      </c>
      <c r="K1625" s="86" t="str">
        <f>IF(Seventh!K128="", "",Seventh!K128)</f>
        <v/>
      </c>
      <c r="M1625" s="67" t="str">
        <f t="shared" si="77"/>
        <v/>
      </c>
      <c r="N1625" s="76" t="str">
        <f t="shared" si="78"/>
        <v/>
      </c>
      <c r="O1625" s="33">
        <f t="shared" si="76"/>
        <v>0</v>
      </c>
    </row>
    <row r="1626" spans="1:15" x14ac:dyDescent="0.25">
      <c r="A1626" s="64" t="s">
        <v>180</v>
      </c>
      <c r="B1626" s="79" t="str">
        <f>IF(Seventh!B129="", "",Seventh!B129)</f>
        <v/>
      </c>
      <c r="C1626" s="66" t="str">
        <f>IF(Seventh!C129="", "",Seventh!C129)</f>
        <v/>
      </c>
      <c r="D1626" s="66" t="str">
        <f>IF(Seventh!D129="", "",Seventh!D129)</f>
        <v/>
      </c>
      <c r="E1626" s="66" t="str">
        <f>IF(Seventh!E129="", "",Seventh!E129)</f>
        <v/>
      </c>
      <c r="F1626" s="66" t="str">
        <f>IF(Seventh!F129="", "",Seventh!F129)</f>
        <v/>
      </c>
      <c r="G1626" s="66" t="str">
        <f>IF(Seventh!G129="", "",Seventh!G129)</f>
        <v/>
      </c>
      <c r="H1626" s="66" t="str">
        <f>IF(Seventh!H129="", "",Seventh!H129)</f>
        <v/>
      </c>
      <c r="I1626" s="66" t="str">
        <f>IF(Seventh!I129="", "",Seventh!I129)</f>
        <v/>
      </c>
      <c r="J1626" s="66" t="str">
        <f>IF(Seventh!J129="", "",Seventh!J129)</f>
        <v/>
      </c>
      <c r="K1626" s="86" t="str">
        <f>IF(Seventh!K129="", "",Seventh!K129)</f>
        <v/>
      </c>
      <c r="M1626" s="67" t="str">
        <f t="shared" si="77"/>
        <v/>
      </c>
      <c r="N1626" s="76" t="str">
        <f t="shared" si="78"/>
        <v/>
      </c>
      <c r="O1626" s="33">
        <f t="shared" si="76"/>
        <v>0</v>
      </c>
    </row>
    <row r="1627" spans="1:15" x14ac:dyDescent="0.25">
      <c r="A1627" s="64" t="s">
        <v>180</v>
      </c>
      <c r="B1627" s="79" t="str">
        <f>IF(Seventh!B130="", "",Seventh!B130)</f>
        <v/>
      </c>
      <c r="C1627" s="66" t="str">
        <f>IF(Seventh!C130="", "",Seventh!C130)</f>
        <v/>
      </c>
      <c r="D1627" s="66" t="str">
        <f>IF(Seventh!D130="", "",Seventh!D130)</f>
        <v/>
      </c>
      <c r="E1627" s="66" t="str">
        <f>IF(Seventh!E130="", "",Seventh!E130)</f>
        <v/>
      </c>
      <c r="F1627" s="66" t="str">
        <f>IF(Seventh!F130="", "",Seventh!F130)</f>
        <v/>
      </c>
      <c r="G1627" s="66" t="str">
        <f>IF(Seventh!G130="", "",Seventh!G130)</f>
        <v/>
      </c>
      <c r="H1627" s="66" t="str">
        <f>IF(Seventh!H130="", "",Seventh!H130)</f>
        <v/>
      </c>
      <c r="I1627" s="66" t="str">
        <f>IF(Seventh!I130="", "",Seventh!I130)</f>
        <v/>
      </c>
      <c r="J1627" s="66" t="str">
        <f>IF(Seventh!J130="", "",Seventh!J130)</f>
        <v/>
      </c>
      <c r="K1627" s="86" t="str">
        <f>IF(Seventh!K130="", "",Seventh!K130)</f>
        <v/>
      </c>
      <c r="M1627" s="67" t="str">
        <f t="shared" si="77"/>
        <v/>
      </c>
      <c r="N1627" s="76" t="str">
        <f t="shared" si="78"/>
        <v/>
      </c>
      <c r="O1627" s="33">
        <f t="shared" si="76"/>
        <v>0</v>
      </c>
    </row>
    <row r="1628" spans="1:15" x14ac:dyDescent="0.25">
      <c r="A1628" s="64" t="s">
        <v>180</v>
      </c>
      <c r="B1628" s="79" t="str">
        <f>IF(Seventh!B131="", "",Seventh!B131)</f>
        <v/>
      </c>
      <c r="C1628" s="66" t="str">
        <f>IF(Seventh!C131="", "",Seventh!C131)</f>
        <v/>
      </c>
      <c r="D1628" s="66" t="str">
        <f>IF(Seventh!D131="", "",Seventh!D131)</f>
        <v/>
      </c>
      <c r="E1628" s="66" t="str">
        <f>IF(Seventh!E131="", "",Seventh!E131)</f>
        <v/>
      </c>
      <c r="F1628" s="66" t="str">
        <f>IF(Seventh!F131="", "",Seventh!F131)</f>
        <v/>
      </c>
      <c r="G1628" s="66" t="str">
        <f>IF(Seventh!G131="", "",Seventh!G131)</f>
        <v/>
      </c>
      <c r="H1628" s="66" t="str">
        <f>IF(Seventh!H131="", "",Seventh!H131)</f>
        <v/>
      </c>
      <c r="I1628" s="66" t="str">
        <f>IF(Seventh!I131="", "",Seventh!I131)</f>
        <v/>
      </c>
      <c r="J1628" s="66" t="str">
        <f>IF(Seventh!J131="", "",Seventh!J131)</f>
        <v/>
      </c>
      <c r="K1628" s="86" t="str">
        <f>IF(Seventh!K131="", "",Seventh!K131)</f>
        <v/>
      </c>
      <c r="M1628" s="67" t="str">
        <f t="shared" si="77"/>
        <v/>
      </c>
      <c r="N1628" s="76" t="str">
        <f t="shared" si="78"/>
        <v/>
      </c>
      <c r="O1628" s="33">
        <f t="shared" si="76"/>
        <v>0</v>
      </c>
    </row>
    <row r="1629" spans="1:15" x14ac:dyDescent="0.25">
      <c r="A1629" s="64" t="s">
        <v>180</v>
      </c>
      <c r="B1629" s="79" t="str">
        <f>IF(Seventh!B132="", "",Seventh!B132)</f>
        <v/>
      </c>
      <c r="C1629" s="66" t="str">
        <f>IF(Seventh!C132="", "",Seventh!C132)</f>
        <v/>
      </c>
      <c r="D1629" s="66" t="str">
        <f>IF(Seventh!D132="", "",Seventh!D132)</f>
        <v/>
      </c>
      <c r="E1629" s="66" t="str">
        <f>IF(Seventh!E132="", "",Seventh!E132)</f>
        <v/>
      </c>
      <c r="F1629" s="66" t="str">
        <f>IF(Seventh!F132="", "",Seventh!F132)</f>
        <v/>
      </c>
      <c r="G1629" s="66" t="str">
        <f>IF(Seventh!G132="", "",Seventh!G132)</f>
        <v/>
      </c>
      <c r="H1629" s="66" t="str">
        <f>IF(Seventh!H132="", "",Seventh!H132)</f>
        <v/>
      </c>
      <c r="I1629" s="66" t="str">
        <f>IF(Seventh!I132="", "",Seventh!I132)</f>
        <v/>
      </c>
      <c r="J1629" s="66" t="str">
        <f>IF(Seventh!J132="", "",Seventh!J132)</f>
        <v/>
      </c>
      <c r="K1629" s="86" t="str">
        <f>IF(Seventh!K132="", "",Seventh!K132)</f>
        <v/>
      </c>
      <c r="M1629" s="67" t="str">
        <f t="shared" si="77"/>
        <v/>
      </c>
      <c r="N1629" s="76" t="str">
        <f t="shared" si="78"/>
        <v/>
      </c>
      <c r="O1629" s="33">
        <f t="shared" si="76"/>
        <v>0</v>
      </c>
    </row>
    <row r="1630" spans="1:15" x14ac:dyDescent="0.25">
      <c r="A1630" s="64" t="s">
        <v>180</v>
      </c>
      <c r="B1630" s="79" t="str">
        <f>IF(Seventh!B133="", "",Seventh!B133)</f>
        <v/>
      </c>
      <c r="C1630" s="66" t="str">
        <f>IF(Seventh!C133="", "",Seventh!C133)</f>
        <v/>
      </c>
      <c r="D1630" s="66" t="str">
        <f>IF(Seventh!D133="", "",Seventh!D133)</f>
        <v/>
      </c>
      <c r="E1630" s="66" t="str">
        <f>IF(Seventh!E133="", "",Seventh!E133)</f>
        <v/>
      </c>
      <c r="F1630" s="66" t="str">
        <f>IF(Seventh!F133="", "",Seventh!F133)</f>
        <v/>
      </c>
      <c r="G1630" s="66" t="str">
        <f>IF(Seventh!G133="", "",Seventh!G133)</f>
        <v/>
      </c>
      <c r="H1630" s="66" t="str">
        <f>IF(Seventh!H133="", "",Seventh!H133)</f>
        <v/>
      </c>
      <c r="I1630" s="66" t="str">
        <f>IF(Seventh!I133="", "",Seventh!I133)</f>
        <v/>
      </c>
      <c r="J1630" s="66" t="str">
        <f>IF(Seventh!J133="", "",Seventh!J133)</f>
        <v/>
      </c>
      <c r="K1630" s="86" t="str">
        <f>IF(Seventh!K133="", "",Seventh!K133)</f>
        <v/>
      </c>
      <c r="M1630" s="67" t="str">
        <f t="shared" si="77"/>
        <v/>
      </c>
      <c r="N1630" s="76" t="str">
        <f t="shared" si="78"/>
        <v/>
      </c>
      <c r="O1630" s="33">
        <f t="shared" si="76"/>
        <v>0</v>
      </c>
    </row>
    <row r="1631" spans="1:15" x14ac:dyDescent="0.25">
      <c r="A1631" s="64" t="s">
        <v>180</v>
      </c>
      <c r="B1631" s="79" t="str">
        <f>IF(Seventh!B134="", "",Seventh!B134)</f>
        <v/>
      </c>
      <c r="C1631" s="66" t="str">
        <f>IF(Seventh!C134="", "",Seventh!C134)</f>
        <v/>
      </c>
      <c r="D1631" s="66" t="str">
        <f>IF(Seventh!D134="", "",Seventh!D134)</f>
        <v/>
      </c>
      <c r="E1631" s="66" t="str">
        <f>IF(Seventh!E134="", "",Seventh!E134)</f>
        <v/>
      </c>
      <c r="F1631" s="66" t="str">
        <f>IF(Seventh!F134="", "",Seventh!F134)</f>
        <v/>
      </c>
      <c r="G1631" s="66" t="str">
        <f>IF(Seventh!G134="", "",Seventh!G134)</f>
        <v/>
      </c>
      <c r="H1631" s="66" t="str">
        <f>IF(Seventh!H134="", "",Seventh!H134)</f>
        <v/>
      </c>
      <c r="I1631" s="66" t="str">
        <f>IF(Seventh!I134="", "",Seventh!I134)</f>
        <v/>
      </c>
      <c r="J1631" s="66" t="str">
        <f>IF(Seventh!J134="", "",Seventh!J134)</f>
        <v/>
      </c>
      <c r="K1631" s="86" t="str">
        <f>IF(Seventh!K134="", "",Seventh!K134)</f>
        <v/>
      </c>
      <c r="M1631" s="67" t="str">
        <f t="shared" si="77"/>
        <v/>
      </c>
      <c r="N1631" s="76" t="str">
        <f t="shared" si="78"/>
        <v/>
      </c>
      <c r="O1631" s="33">
        <f t="shared" si="76"/>
        <v>0</v>
      </c>
    </row>
    <row r="1632" spans="1:15" x14ac:dyDescent="0.25">
      <c r="A1632" s="64" t="s">
        <v>180</v>
      </c>
      <c r="B1632" s="79" t="str">
        <f>IF(Seventh!B135="", "",Seventh!B135)</f>
        <v/>
      </c>
      <c r="C1632" s="66" t="str">
        <f>IF(Seventh!C135="", "",Seventh!C135)</f>
        <v/>
      </c>
      <c r="D1632" s="66" t="str">
        <f>IF(Seventh!D135="", "",Seventh!D135)</f>
        <v/>
      </c>
      <c r="E1632" s="66" t="str">
        <f>IF(Seventh!E135="", "",Seventh!E135)</f>
        <v/>
      </c>
      <c r="F1632" s="66" t="str">
        <f>IF(Seventh!F135="", "",Seventh!F135)</f>
        <v/>
      </c>
      <c r="G1632" s="66" t="str">
        <f>IF(Seventh!G135="", "",Seventh!G135)</f>
        <v/>
      </c>
      <c r="H1632" s="66" t="str">
        <f>IF(Seventh!H135="", "",Seventh!H135)</f>
        <v/>
      </c>
      <c r="I1632" s="66" t="str">
        <f>IF(Seventh!I135="", "",Seventh!I135)</f>
        <v/>
      </c>
      <c r="J1632" s="66" t="str">
        <f>IF(Seventh!J135="", "",Seventh!J135)</f>
        <v/>
      </c>
      <c r="K1632" s="86" t="str">
        <f>IF(Seventh!K135="", "",Seventh!K135)</f>
        <v/>
      </c>
      <c r="M1632" s="67" t="str">
        <f t="shared" si="77"/>
        <v/>
      </c>
      <c r="N1632" s="76" t="str">
        <f t="shared" si="78"/>
        <v/>
      </c>
      <c r="O1632" s="33">
        <f t="shared" si="76"/>
        <v>0</v>
      </c>
    </row>
    <row r="1633" spans="1:15" x14ac:dyDescent="0.25">
      <c r="A1633" s="64" t="s">
        <v>180</v>
      </c>
      <c r="B1633" s="79" t="str">
        <f>IF(Seventh!B136="", "",Seventh!B136)</f>
        <v/>
      </c>
      <c r="C1633" s="66" t="str">
        <f>IF(Seventh!C136="", "",Seventh!C136)</f>
        <v/>
      </c>
      <c r="D1633" s="66" t="str">
        <f>IF(Seventh!D136="", "",Seventh!D136)</f>
        <v/>
      </c>
      <c r="E1633" s="66" t="str">
        <f>IF(Seventh!E136="", "",Seventh!E136)</f>
        <v/>
      </c>
      <c r="F1633" s="66" t="str">
        <f>IF(Seventh!F136="", "",Seventh!F136)</f>
        <v/>
      </c>
      <c r="G1633" s="66" t="str">
        <f>IF(Seventh!G136="", "",Seventh!G136)</f>
        <v/>
      </c>
      <c r="H1633" s="66" t="str">
        <f>IF(Seventh!H136="", "",Seventh!H136)</f>
        <v/>
      </c>
      <c r="I1633" s="66" t="str">
        <f>IF(Seventh!I136="", "",Seventh!I136)</f>
        <v/>
      </c>
      <c r="J1633" s="66" t="str">
        <f>IF(Seventh!J136="", "",Seventh!J136)</f>
        <v/>
      </c>
      <c r="K1633" s="86" t="str">
        <f>IF(Seventh!K136="", "",Seventh!K136)</f>
        <v/>
      </c>
      <c r="M1633" s="67" t="str">
        <f t="shared" si="77"/>
        <v/>
      </c>
      <c r="N1633" s="76" t="str">
        <f t="shared" si="78"/>
        <v/>
      </c>
      <c r="O1633" s="33">
        <f t="shared" si="76"/>
        <v>0</v>
      </c>
    </row>
    <row r="1634" spans="1:15" x14ac:dyDescent="0.25">
      <c r="A1634" s="64" t="s">
        <v>180</v>
      </c>
      <c r="B1634" s="79" t="str">
        <f>IF(Seventh!B137="", "",Seventh!B137)</f>
        <v/>
      </c>
      <c r="C1634" s="66" t="str">
        <f>IF(Seventh!C137="", "",Seventh!C137)</f>
        <v/>
      </c>
      <c r="D1634" s="66" t="str">
        <f>IF(Seventh!D137="", "",Seventh!D137)</f>
        <v/>
      </c>
      <c r="E1634" s="66" t="str">
        <f>IF(Seventh!E137="", "",Seventh!E137)</f>
        <v/>
      </c>
      <c r="F1634" s="66" t="str">
        <f>IF(Seventh!F137="", "",Seventh!F137)</f>
        <v/>
      </c>
      <c r="G1634" s="66" t="str">
        <f>IF(Seventh!G137="", "",Seventh!G137)</f>
        <v/>
      </c>
      <c r="H1634" s="66" t="str">
        <f>IF(Seventh!H137="", "",Seventh!H137)</f>
        <v/>
      </c>
      <c r="I1634" s="66" t="str">
        <f>IF(Seventh!I137="", "",Seventh!I137)</f>
        <v/>
      </c>
      <c r="J1634" s="66" t="str">
        <f>IF(Seventh!J137="", "",Seventh!J137)</f>
        <v/>
      </c>
      <c r="K1634" s="86" t="str">
        <f>IF(Seventh!K137="", "",Seventh!K137)</f>
        <v/>
      </c>
      <c r="M1634" s="67" t="str">
        <f t="shared" si="77"/>
        <v/>
      </c>
      <c r="N1634" s="76" t="str">
        <f t="shared" si="78"/>
        <v/>
      </c>
      <c r="O1634" s="33">
        <f t="shared" si="76"/>
        <v>0</v>
      </c>
    </row>
    <row r="1635" spans="1:15" x14ac:dyDescent="0.25">
      <c r="A1635" s="64" t="s">
        <v>180</v>
      </c>
      <c r="B1635" s="79" t="str">
        <f>IF(Seventh!B138="", "",Seventh!B138)</f>
        <v/>
      </c>
      <c r="C1635" s="66" t="str">
        <f>IF(Seventh!C138="", "",Seventh!C138)</f>
        <v/>
      </c>
      <c r="D1635" s="66" t="str">
        <f>IF(Seventh!D138="", "",Seventh!D138)</f>
        <v/>
      </c>
      <c r="E1635" s="66" t="str">
        <f>IF(Seventh!E138="", "",Seventh!E138)</f>
        <v/>
      </c>
      <c r="F1635" s="66" t="str">
        <f>IF(Seventh!F138="", "",Seventh!F138)</f>
        <v/>
      </c>
      <c r="G1635" s="66" t="str">
        <f>IF(Seventh!G138="", "",Seventh!G138)</f>
        <v/>
      </c>
      <c r="H1635" s="66" t="str">
        <f>IF(Seventh!H138="", "",Seventh!H138)</f>
        <v/>
      </c>
      <c r="I1635" s="66" t="str">
        <f>IF(Seventh!I138="", "",Seventh!I138)</f>
        <v/>
      </c>
      <c r="J1635" s="66" t="str">
        <f>IF(Seventh!J138="", "",Seventh!J138)</f>
        <v/>
      </c>
      <c r="K1635" s="86" t="str">
        <f>IF(Seventh!K138="", "",Seventh!K138)</f>
        <v/>
      </c>
      <c r="M1635" s="67" t="str">
        <f t="shared" si="77"/>
        <v/>
      </c>
      <c r="N1635" s="76" t="str">
        <f t="shared" si="78"/>
        <v/>
      </c>
      <c r="O1635" s="33">
        <f t="shared" si="76"/>
        <v>0</v>
      </c>
    </row>
    <row r="1636" spans="1:15" x14ac:dyDescent="0.25">
      <c r="A1636" s="64" t="s">
        <v>180</v>
      </c>
      <c r="B1636" s="79" t="str">
        <f>IF(Seventh!B139="", "",Seventh!B139)</f>
        <v/>
      </c>
      <c r="C1636" s="66" t="str">
        <f>IF(Seventh!C139="", "",Seventh!C139)</f>
        <v/>
      </c>
      <c r="D1636" s="66" t="str">
        <f>IF(Seventh!D139="", "",Seventh!D139)</f>
        <v/>
      </c>
      <c r="E1636" s="66" t="str">
        <f>IF(Seventh!E139="", "",Seventh!E139)</f>
        <v/>
      </c>
      <c r="F1636" s="66" t="str">
        <f>IF(Seventh!F139="", "",Seventh!F139)</f>
        <v/>
      </c>
      <c r="G1636" s="66" t="str">
        <f>IF(Seventh!G139="", "",Seventh!G139)</f>
        <v/>
      </c>
      <c r="H1636" s="66" t="str">
        <f>IF(Seventh!H139="", "",Seventh!H139)</f>
        <v/>
      </c>
      <c r="I1636" s="66" t="str">
        <f>IF(Seventh!I139="", "",Seventh!I139)</f>
        <v/>
      </c>
      <c r="J1636" s="66" t="str">
        <f>IF(Seventh!J139="", "",Seventh!J139)</f>
        <v/>
      </c>
      <c r="K1636" s="86" t="str">
        <f>IF(Seventh!K139="", "",Seventh!K139)</f>
        <v/>
      </c>
      <c r="M1636" s="67" t="str">
        <f t="shared" si="77"/>
        <v/>
      </c>
      <c r="N1636" s="76" t="str">
        <f t="shared" si="78"/>
        <v/>
      </c>
      <c r="O1636" s="33">
        <f t="shared" si="76"/>
        <v>0</v>
      </c>
    </row>
    <row r="1637" spans="1:15" x14ac:dyDescent="0.25">
      <c r="A1637" s="64" t="s">
        <v>180</v>
      </c>
      <c r="B1637" s="79" t="str">
        <f>IF(Seventh!B140="", "",Seventh!B140)</f>
        <v/>
      </c>
      <c r="C1637" s="66" t="str">
        <f>IF(Seventh!C140="", "",Seventh!C140)</f>
        <v/>
      </c>
      <c r="D1637" s="66" t="str">
        <f>IF(Seventh!D140="", "",Seventh!D140)</f>
        <v/>
      </c>
      <c r="E1637" s="66" t="str">
        <f>IF(Seventh!E140="", "",Seventh!E140)</f>
        <v/>
      </c>
      <c r="F1637" s="66" t="str">
        <f>IF(Seventh!F140="", "",Seventh!F140)</f>
        <v/>
      </c>
      <c r="G1637" s="66" t="str">
        <f>IF(Seventh!G140="", "",Seventh!G140)</f>
        <v/>
      </c>
      <c r="H1637" s="66" t="str">
        <f>IF(Seventh!H140="", "",Seventh!H140)</f>
        <v/>
      </c>
      <c r="I1637" s="66" t="str">
        <f>IF(Seventh!I140="", "",Seventh!I140)</f>
        <v/>
      </c>
      <c r="J1637" s="66" t="str">
        <f>IF(Seventh!J140="", "",Seventh!J140)</f>
        <v/>
      </c>
      <c r="K1637" s="86" t="str">
        <f>IF(Seventh!K140="", "",Seventh!K140)</f>
        <v/>
      </c>
      <c r="M1637" s="67" t="str">
        <f t="shared" si="77"/>
        <v/>
      </c>
      <c r="N1637" s="76" t="str">
        <f t="shared" si="78"/>
        <v/>
      </c>
      <c r="O1637" s="33">
        <f t="shared" si="76"/>
        <v>0</v>
      </c>
    </row>
    <row r="1638" spans="1:15" x14ac:dyDescent="0.25">
      <c r="A1638" s="64" t="s">
        <v>180</v>
      </c>
      <c r="B1638" s="79" t="str">
        <f>IF(Seventh!B141="", "",Seventh!B141)</f>
        <v/>
      </c>
      <c r="C1638" s="66" t="str">
        <f>IF(Seventh!C141="", "",Seventh!C141)</f>
        <v/>
      </c>
      <c r="D1638" s="66" t="str">
        <f>IF(Seventh!D141="", "",Seventh!D141)</f>
        <v/>
      </c>
      <c r="E1638" s="66" t="str">
        <f>IF(Seventh!E141="", "",Seventh!E141)</f>
        <v/>
      </c>
      <c r="F1638" s="66" t="str">
        <f>IF(Seventh!F141="", "",Seventh!F141)</f>
        <v/>
      </c>
      <c r="G1638" s="66" t="str">
        <f>IF(Seventh!G141="", "",Seventh!G141)</f>
        <v/>
      </c>
      <c r="H1638" s="66" t="str">
        <f>IF(Seventh!H141="", "",Seventh!H141)</f>
        <v/>
      </c>
      <c r="I1638" s="66" t="str">
        <f>IF(Seventh!I141="", "",Seventh!I141)</f>
        <v/>
      </c>
      <c r="J1638" s="66" t="str">
        <f>IF(Seventh!J141="", "",Seventh!J141)</f>
        <v/>
      </c>
      <c r="K1638" s="86" t="str">
        <f>IF(Seventh!K141="", "",Seventh!K141)</f>
        <v/>
      </c>
      <c r="M1638" s="67" t="str">
        <f t="shared" si="77"/>
        <v/>
      </c>
      <c r="N1638" s="76" t="str">
        <f t="shared" si="78"/>
        <v/>
      </c>
      <c r="O1638" s="33">
        <f t="shared" si="76"/>
        <v>0</v>
      </c>
    </row>
    <row r="1639" spans="1:15" x14ac:dyDescent="0.25">
      <c r="A1639" s="64" t="s">
        <v>180</v>
      </c>
      <c r="B1639" s="79" t="str">
        <f>IF(Seventh!B142="", "",Seventh!B142)</f>
        <v/>
      </c>
      <c r="C1639" s="66" t="str">
        <f>IF(Seventh!C142="", "",Seventh!C142)</f>
        <v/>
      </c>
      <c r="D1639" s="66" t="str">
        <f>IF(Seventh!D142="", "",Seventh!D142)</f>
        <v/>
      </c>
      <c r="E1639" s="66" t="str">
        <f>IF(Seventh!E142="", "",Seventh!E142)</f>
        <v/>
      </c>
      <c r="F1639" s="66" t="str">
        <f>IF(Seventh!F142="", "",Seventh!F142)</f>
        <v/>
      </c>
      <c r="G1639" s="66" t="str">
        <f>IF(Seventh!G142="", "",Seventh!G142)</f>
        <v/>
      </c>
      <c r="H1639" s="66" t="str">
        <f>IF(Seventh!H142="", "",Seventh!H142)</f>
        <v/>
      </c>
      <c r="I1639" s="66" t="str">
        <f>IF(Seventh!I142="", "",Seventh!I142)</f>
        <v/>
      </c>
      <c r="J1639" s="66" t="str">
        <f>IF(Seventh!J142="", "",Seventh!J142)</f>
        <v/>
      </c>
      <c r="K1639" s="86" t="str">
        <f>IF(Seventh!K142="", "",Seventh!K142)</f>
        <v/>
      </c>
      <c r="M1639" s="67" t="str">
        <f t="shared" si="77"/>
        <v/>
      </c>
      <c r="N1639" s="76" t="str">
        <f t="shared" si="78"/>
        <v/>
      </c>
      <c r="O1639" s="33">
        <f t="shared" si="76"/>
        <v>0</v>
      </c>
    </row>
    <row r="1640" spans="1:15" x14ac:dyDescent="0.25">
      <c r="A1640" s="64" t="s">
        <v>180</v>
      </c>
      <c r="B1640" s="79" t="str">
        <f>IF(Seventh!B143="", "",Seventh!B143)</f>
        <v/>
      </c>
      <c r="C1640" s="66" t="str">
        <f>IF(Seventh!C143="", "",Seventh!C143)</f>
        <v/>
      </c>
      <c r="D1640" s="66" t="str">
        <f>IF(Seventh!D143="", "",Seventh!D143)</f>
        <v/>
      </c>
      <c r="E1640" s="66" t="str">
        <f>IF(Seventh!E143="", "",Seventh!E143)</f>
        <v/>
      </c>
      <c r="F1640" s="66" t="str">
        <f>IF(Seventh!F143="", "",Seventh!F143)</f>
        <v/>
      </c>
      <c r="G1640" s="66" t="str">
        <f>IF(Seventh!G143="", "",Seventh!G143)</f>
        <v/>
      </c>
      <c r="H1640" s="66" t="str">
        <f>IF(Seventh!H143="", "",Seventh!H143)</f>
        <v/>
      </c>
      <c r="I1640" s="66" t="str">
        <f>IF(Seventh!I143="", "",Seventh!I143)</f>
        <v/>
      </c>
      <c r="J1640" s="66" t="str">
        <f>IF(Seventh!J143="", "",Seventh!J143)</f>
        <v/>
      </c>
      <c r="K1640" s="86" t="str">
        <f>IF(Seventh!K143="", "",Seventh!K143)</f>
        <v/>
      </c>
      <c r="M1640" s="67" t="str">
        <f t="shared" si="77"/>
        <v/>
      </c>
      <c r="N1640" s="76" t="str">
        <f t="shared" si="78"/>
        <v/>
      </c>
      <c r="O1640" s="33">
        <f t="shared" si="76"/>
        <v>0</v>
      </c>
    </row>
    <row r="1641" spans="1:15" x14ac:dyDescent="0.25">
      <c r="A1641" s="64" t="s">
        <v>180</v>
      </c>
      <c r="B1641" s="79" t="str">
        <f>IF(Seventh!B144="", "",Seventh!B144)</f>
        <v/>
      </c>
      <c r="C1641" s="66" t="str">
        <f>IF(Seventh!C144="", "",Seventh!C144)</f>
        <v/>
      </c>
      <c r="D1641" s="66" t="str">
        <f>IF(Seventh!D144="", "",Seventh!D144)</f>
        <v/>
      </c>
      <c r="E1641" s="66" t="str">
        <f>IF(Seventh!E144="", "",Seventh!E144)</f>
        <v/>
      </c>
      <c r="F1641" s="66" t="str">
        <f>IF(Seventh!F144="", "",Seventh!F144)</f>
        <v/>
      </c>
      <c r="G1641" s="66" t="str">
        <f>IF(Seventh!G144="", "",Seventh!G144)</f>
        <v/>
      </c>
      <c r="H1641" s="66" t="str">
        <f>IF(Seventh!H144="", "",Seventh!H144)</f>
        <v/>
      </c>
      <c r="I1641" s="66" t="str">
        <f>IF(Seventh!I144="", "",Seventh!I144)</f>
        <v/>
      </c>
      <c r="J1641" s="66" t="str">
        <f>IF(Seventh!J144="", "",Seventh!J144)</f>
        <v/>
      </c>
      <c r="K1641" s="86" t="str">
        <f>IF(Seventh!K144="", "",Seventh!K144)</f>
        <v/>
      </c>
      <c r="M1641" s="67" t="str">
        <f t="shared" si="77"/>
        <v/>
      </c>
      <c r="N1641" s="76" t="str">
        <f t="shared" si="78"/>
        <v/>
      </c>
      <c r="O1641" s="33">
        <f t="shared" si="76"/>
        <v>0</v>
      </c>
    </row>
    <row r="1642" spans="1:15" x14ac:dyDescent="0.25">
      <c r="A1642" s="64" t="s">
        <v>180</v>
      </c>
      <c r="B1642" s="79" t="str">
        <f>IF(Seventh!B145="", "",Seventh!B145)</f>
        <v/>
      </c>
      <c r="C1642" s="66" t="str">
        <f>IF(Seventh!C145="", "",Seventh!C145)</f>
        <v/>
      </c>
      <c r="D1642" s="66" t="str">
        <f>IF(Seventh!D145="", "",Seventh!D145)</f>
        <v/>
      </c>
      <c r="E1642" s="66" t="str">
        <f>IF(Seventh!E145="", "",Seventh!E145)</f>
        <v/>
      </c>
      <c r="F1642" s="66" t="str">
        <f>IF(Seventh!F145="", "",Seventh!F145)</f>
        <v/>
      </c>
      <c r="G1642" s="66" t="str">
        <f>IF(Seventh!G145="", "",Seventh!G145)</f>
        <v/>
      </c>
      <c r="H1642" s="66" t="str">
        <f>IF(Seventh!H145="", "",Seventh!H145)</f>
        <v/>
      </c>
      <c r="I1642" s="66" t="str">
        <f>IF(Seventh!I145="", "",Seventh!I145)</f>
        <v/>
      </c>
      <c r="J1642" s="66" t="str">
        <f>IF(Seventh!J145="", "",Seventh!J145)</f>
        <v/>
      </c>
      <c r="K1642" s="86" t="str">
        <f>IF(Seventh!K145="", "",Seventh!K145)</f>
        <v/>
      </c>
      <c r="M1642" s="67" t="str">
        <f t="shared" si="77"/>
        <v/>
      </c>
      <c r="N1642" s="76" t="str">
        <f t="shared" si="78"/>
        <v/>
      </c>
      <c r="O1642" s="33">
        <f t="shared" si="76"/>
        <v>0</v>
      </c>
    </row>
    <row r="1643" spans="1:15" x14ac:dyDescent="0.25">
      <c r="A1643" s="64" t="s">
        <v>180</v>
      </c>
      <c r="B1643" s="79" t="str">
        <f>IF(Seventh!B146="", "",Seventh!B146)</f>
        <v/>
      </c>
      <c r="C1643" s="66" t="str">
        <f>IF(Seventh!C146="", "",Seventh!C146)</f>
        <v/>
      </c>
      <c r="D1643" s="66" t="str">
        <f>IF(Seventh!D146="", "",Seventh!D146)</f>
        <v/>
      </c>
      <c r="E1643" s="66" t="str">
        <f>IF(Seventh!E146="", "",Seventh!E146)</f>
        <v/>
      </c>
      <c r="F1643" s="66" t="str">
        <f>IF(Seventh!F146="", "",Seventh!F146)</f>
        <v/>
      </c>
      <c r="G1643" s="66" t="str">
        <f>IF(Seventh!G146="", "",Seventh!G146)</f>
        <v/>
      </c>
      <c r="H1643" s="66" t="str">
        <f>IF(Seventh!H146="", "",Seventh!H146)</f>
        <v/>
      </c>
      <c r="I1643" s="66" t="str">
        <f>IF(Seventh!I146="", "",Seventh!I146)</f>
        <v/>
      </c>
      <c r="J1643" s="66" t="str">
        <f>IF(Seventh!J146="", "",Seventh!J146)</f>
        <v/>
      </c>
      <c r="K1643" s="86" t="str">
        <f>IF(Seventh!K146="", "",Seventh!K146)</f>
        <v/>
      </c>
      <c r="M1643" s="67" t="str">
        <f t="shared" si="77"/>
        <v/>
      </c>
      <c r="N1643" s="76" t="str">
        <f t="shared" si="78"/>
        <v/>
      </c>
      <c r="O1643" s="33">
        <f t="shared" si="76"/>
        <v>0</v>
      </c>
    </row>
    <row r="1644" spans="1:15" x14ac:dyDescent="0.25">
      <c r="A1644" s="64" t="s">
        <v>180</v>
      </c>
      <c r="B1644" s="79" t="str">
        <f>IF(Seventh!B147="", "",Seventh!B147)</f>
        <v/>
      </c>
      <c r="C1644" s="66" t="str">
        <f>IF(Seventh!C147="", "",Seventh!C147)</f>
        <v/>
      </c>
      <c r="D1644" s="66" t="str">
        <f>IF(Seventh!D147="", "",Seventh!D147)</f>
        <v/>
      </c>
      <c r="E1644" s="66" t="str">
        <f>IF(Seventh!E147="", "",Seventh!E147)</f>
        <v/>
      </c>
      <c r="F1644" s="66" t="str">
        <f>IF(Seventh!F147="", "",Seventh!F147)</f>
        <v/>
      </c>
      <c r="G1644" s="66" t="str">
        <f>IF(Seventh!G147="", "",Seventh!G147)</f>
        <v/>
      </c>
      <c r="H1644" s="66" t="str">
        <f>IF(Seventh!H147="", "",Seventh!H147)</f>
        <v/>
      </c>
      <c r="I1644" s="66" t="str">
        <f>IF(Seventh!I147="", "",Seventh!I147)</f>
        <v/>
      </c>
      <c r="J1644" s="66" t="str">
        <f>IF(Seventh!J147="", "",Seventh!J147)</f>
        <v/>
      </c>
      <c r="K1644" s="86" t="str">
        <f>IF(Seventh!K147="", "",Seventh!K147)</f>
        <v/>
      </c>
      <c r="M1644" s="67" t="str">
        <f t="shared" si="77"/>
        <v/>
      </c>
      <c r="N1644" s="76" t="str">
        <f t="shared" si="78"/>
        <v/>
      </c>
      <c r="O1644" s="33">
        <f t="shared" si="76"/>
        <v>0</v>
      </c>
    </row>
    <row r="1645" spans="1:15" x14ac:dyDescent="0.25">
      <c r="A1645" s="64" t="s">
        <v>180</v>
      </c>
      <c r="B1645" s="79" t="str">
        <f>IF(Seventh!B148="", "",Seventh!B148)</f>
        <v/>
      </c>
      <c r="C1645" s="66" t="str">
        <f>IF(Seventh!C148="", "",Seventh!C148)</f>
        <v/>
      </c>
      <c r="D1645" s="66" t="str">
        <f>IF(Seventh!D148="", "",Seventh!D148)</f>
        <v/>
      </c>
      <c r="E1645" s="66" t="str">
        <f>IF(Seventh!E148="", "",Seventh!E148)</f>
        <v/>
      </c>
      <c r="F1645" s="66" t="str">
        <f>IF(Seventh!F148="", "",Seventh!F148)</f>
        <v/>
      </c>
      <c r="G1645" s="66" t="str">
        <f>IF(Seventh!G148="", "",Seventh!G148)</f>
        <v/>
      </c>
      <c r="H1645" s="66" t="str">
        <f>IF(Seventh!H148="", "",Seventh!H148)</f>
        <v/>
      </c>
      <c r="I1645" s="66" t="str">
        <f>IF(Seventh!I148="", "",Seventh!I148)</f>
        <v/>
      </c>
      <c r="J1645" s="66" t="str">
        <f>IF(Seventh!J148="", "",Seventh!J148)</f>
        <v/>
      </c>
      <c r="K1645" s="86" t="str">
        <f>IF(Seventh!K148="", "",Seventh!K148)</f>
        <v/>
      </c>
      <c r="M1645" s="67" t="str">
        <f t="shared" si="77"/>
        <v/>
      </c>
      <c r="N1645" s="76" t="str">
        <f t="shared" si="78"/>
        <v/>
      </c>
      <c r="O1645" s="33">
        <f t="shared" si="76"/>
        <v>0</v>
      </c>
    </row>
    <row r="1646" spans="1:15" x14ac:dyDescent="0.25">
      <c r="A1646" s="64" t="s">
        <v>180</v>
      </c>
      <c r="B1646" s="79" t="str">
        <f>IF(Seventh!B149="", "",Seventh!B149)</f>
        <v/>
      </c>
      <c r="C1646" s="66" t="str">
        <f>IF(Seventh!C149="", "",Seventh!C149)</f>
        <v/>
      </c>
      <c r="D1646" s="66" t="str">
        <f>IF(Seventh!D149="", "",Seventh!D149)</f>
        <v/>
      </c>
      <c r="E1646" s="66" t="str">
        <f>IF(Seventh!E149="", "",Seventh!E149)</f>
        <v/>
      </c>
      <c r="F1646" s="66" t="str">
        <f>IF(Seventh!F149="", "",Seventh!F149)</f>
        <v/>
      </c>
      <c r="G1646" s="66" t="str">
        <f>IF(Seventh!G149="", "",Seventh!G149)</f>
        <v/>
      </c>
      <c r="H1646" s="66" t="str">
        <f>IF(Seventh!H149="", "",Seventh!H149)</f>
        <v/>
      </c>
      <c r="I1646" s="66" t="str">
        <f>IF(Seventh!I149="", "",Seventh!I149)</f>
        <v/>
      </c>
      <c r="J1646" s="66" t="str">
        <f>IF(Seventh!J149="", "",Seventh!J149)</f>
        <v/>
      </c>
      <c r="K1646" s="86" t="str">
        <f>IF(Seventh!K149="", "",Seventh!K149)</f>
        <v/>
      </c>
      <c r="M1646" s="67" t="str">
        <f t="shared" si="77"/>
        <v/>
      </c>
      <c r="N1646" s="76" t="str">
        <f t="shared" si="78"/>
        <v/>
      </c>
      <c r="O1646" s="33">
        <f t="shared" si="76"/>
        <v>0</v>
      </c>
    </row>
    <row r="1647" spans="1:15" x14ac:dyDescent="0.25">
      <c r="A1647" s="64" t="s">
        <v>180</v>
      </c>
      <c r="B1647" s="79" t="str">
        <f>IF(Seventh!B150="", "",Seventh!B150)</f>
        <v/>
      </c>
      <c r="C1647" s="66" t="str">
        <f>IF(Seventh!C150="", "",Seventh!C150)</f>
        <v/>
      </c>
      <c r="D1647" s="66" t="str">
        <f>IF(Seventh!D150="", "",Seventh!D150)</f>
        <v/>
      </c>
      <c r="E1647" s="66" t="str">
        <f>IF(Seventh!E150="", "",Seventh!E150)</f>
        <v/>
      </c>
      <c r="F1647" s="66" t="str">
        <f>IF(Seventh!F150="", "",Seventh!F150)</f>
        <v/>
      </c>
      <c r="G1647" s="66" t="str">
        <f>IF(Seventh!G150="", "",Seventh!G150)</f>
        <v/>
      </c>
      <c r="H1647" s="66" t="str">
        <f>IF(Seventh!H150="", "",Seventh!H150)</f>
        <v/>
      </c>
      <c r="I1647" s="66" t="str">
        <f>IF(Seventh!I150="", "",Seventh!I150)</f>
        <v/>
      </c>
      <c r="J1647" s="66" t="str">
        <f>IF(Seventh!J150="", "",Seventh!J150)</f>
        <v/>
      </c>
      <c r="K1647" s="86" t="str">
        <f>IF(Seventh!K150="", "",Seventh!K150)</f>
        <v/>
      </c>
      <c r="M1647" s="67" t="str">
        <f t="shared" si="77"/>
        <v/>
      </c>
      <c r="N1647" s="76" t="str">
        <f t="shared" si="78"/>
        <v/>
      </c>
      <c r="O1647" s="33">
        <f t="shared" si="76"/>
        <v>0</v>
      </c>
    </row>
    <row r="1648" spans="1:15" x14ac:dyDescent="0.25">
      <c r="A1648" s="64" t="s">
        <v>180</v>
      </c>
      <c r="B1648" s="79" t="str">
        <f>IF(Seventh!B151="", "",Seventh!B151)</f>
        <v/>
      </c>
      <c r="C1648" s="66" t="str">
        <f>IF(Seventh!C151="", "",Seventh!C151)</f>
        <v/>
      </c>
      <c r="D1648" s="66" t="str">
        <f>IF(Seventh!D151="", "",Seventh!D151)</f>
        <v/>
      </c>
      <c r="E1648" s="66" t="str">
        <f>IF(Seventh!E151="", "",Seventh!E151)</f>
        <v/>
      </c>
      <c r="F1648" s="66" t="str">
        <f>IF(Seventh!F151="", "",Seventh!F151)</f>
        <v/>
      </c>
      <c r="G1648" s="66" t="str">
        <f>IF(Seventh!G151="", "",Seventh!G151)</f>
        <v/>
      </c>
      <c r="H1648" s="66" t="str">
        <f>IF(Seventh!H151="", "",Seventh!H151)</f>
        <v/>
      </c>
      <c r="I1648" s="66" t="str">
        <f>IF(Seventh!I151="", "",Seventh!I151)</f>
        <v/>
      </c>
      <c r="J1648" s="66" t="str">
        <f>IF(Seventh!J151="", "",Seventh!J151)</f>
        <v/>
      </c>
      <c r="K1648" s="86" t="str">
        <f>IF(Seventh!K151="", "",Seventh!K151)</f>
        <v/>
      </c>
      <c r="M1648" s="67" t="str">
        <f t="shared" si="77"/>
        <v/>
      </c>
      <c r="N1648" s="76" t="str">
        <f t="shared" si="78"/>
        <v/>
      </c>
      <c r="O1648" s="33">
        <f t="shared" si="76"/>
        <v>0</v>
      </c>
    </row>
    <row r="1649" spans="1:15" x14ac:dyDescent="0.25">
      <c r="A1649" s="64" t="s">
        <v>180</v>
      </c>
      <c r="B1649" s="79" t="str">
        <f>IF(Seventh!B152="", "",Seventh!B152)</f>
        <v/>
      </c>
      <c r="C1649" s="66" t="str">
        <f>IF(Seventh!C152="", "",Seventh!C152)</f>
        <v/>
      </c>
      <c r="D1649" s="66" t="str">
        <f>IF(Seventh!D152="", "",Seventh!D152)</f>
        <v/>
      </c>
      <c r="E1649" s="66" t="str">
        <f>IF(Seventh!E152="", "",Seventh!E152)</f>
        <v/>
      </c>
      <c r="F1649" s="66" t="str">
        <f>IF(Seventh!F152="", "",Seventh!F152)</f>
        <v/>
      </c>
      <c r="G1649" s="66" t="str">
        <f>IF(Seventh!G152="", "",Seventh!G152)</f>
        <v/>
      </c>
      <c r="H1649" s="66" t="str">
        <f>IF(Seventh!H152="", "",Seventh!H152)</f>
        <v/>
      </c>
      <c r="I1649" s="66" t="str">
        <f>IF(Seventh!I152="", "",Seventh!I152)</f>
        <v/>
      </c>
      <c r="J1649" s="66" t="str">
        <f>IF(Seventh!J152="", "",Seventh!J152)</f>
        <v/>
      </c>
      <c r="K1649" s="86" t="str">
        <f>IF(Seventh!K152="", "",Seventh!K152)</f>
        <v/>
      </c>
      <c r="M1649" s="67" t="str">
        <f t="shared" si="77"/>
        <v/>
      </c>
      <c r="N1649" s="76" t="str">
        <f t="shared" si="78"/>
        <v/>
      </c>
      <c r="O1649" s="33">
        <f t="shared" si="76"/>
        <v>0</v>
      </c>
    </row>
    <row r="1650" spans="1:15" x14ac:dyDescent="0.25">
      <c r="A1650" s="64" t="s">
        <v>180</v>
      </c>
      <c r="B1650" s="79" t="str">
        <f>IF(Seventh!B153="", "",Seventh!B153)</f>
        <v/>
      </c>
      <c r="C1650" s="66" t="str">
        <f>IF(Seventh!C153="", "",Seventh!C153)</f>
        <v/>
      </c>
      <c r="D1650" s="66" t="str">
        <f>IF(Seventh!D153="", "",Seventh!D153)</f>
        <v/>
      </c>
      <c r="E1650" s="66" t="str">
        <f>IF(Seventh!E153="", "",Seventh!E153)</f>
        <v/>
      </c>
      <c r="F1650" s="66" t="str">
        <f>IF(Seventh!F153="", "",Seventh!F153)</f>
        <v/>
      </c>
      <c r="G1650" s="66" t="str">
        <f>IF(Seventh!G153="", "",Seventh!G153)</f>
        <v/>
      </c>
      <c r="H1650" s="66" t="str">
        <f>IF(Seventh!H153="", "",Seventh!H153)</f>
        <v/>
      </c>
      <c r="I1650" s="66" t="str">
        <f>IF(Seventh!I153="", "",Seventh!I153)</f>
        <v/>
      </c>
      <c r="J1650" s="66" t="str">
        <f>IF(Seventh!J153="", "",Seventh!J153)</f>
        <v/>
      </c>
      <c r="K1650" s="86" t="str">
        <f>IF(Seventh!K153="", "",Seventh!K153)</f>
        <v/>
      </c>
      <c r="M1650" s="67" t="str">
        <f t="shared" si="77"/>
        <v/>
      </c>
      <c r="N1650" s="76" t="str">
        <f t="shared" si="78"/>
        <v/>
      </c>
      <c r="O1650" s="33">
        <f t="shared" si="76"/>
        <v>0</v>
      </c>
    </row>
    <row r="1651" spans="1:15" x14ac:dyDescent="0.25">
      <c r="A1651" s="64" t="s">
        <v>180</v>
      </c>
      <c r="B1651" s="79" t="str">
        <f>IF(Seventh!B154="", "",Seventh!B154)</f>
        <v/>
      </c>
      <c r="C1651" s="66" t="str">
        <f>IF(Seventh!C154="", "",Seventh!C154)</f>
        <v/>
      </c>
      <c r="D1651" s="66" t="str">
        <f>IF(Seventh!D154="", "",Seventh!D154)</f>
        <v/>
      </c>
      <c r="E1651" s="66" t="str">
        <f>IF(Seventh!E154="", "",Seventh!E154)</f>
        <v/>
      </c>
      <c r="F1651" s="66" t="str">
        <f>IF(Seventh!F154="", "",Seventh!F154)</f>
        <v/>
      </c>
      <c r="G1651" s="66" t="str">
        <f>IF(Seventh!G154="", "",Seventh!G154)</f>
        <v/>
      </c>
      <c r="H1651" s="66" t="str">
        <f>IF(Seventh!H154="", "",Seventh!H154)</f>
        <v/>
      </c>
      <c r="I1651" s="66" t="str">
        <f>IF(Seventh!I154="", "",Seventh!I154)</f>
        <v/>
      </c>
      <c r="J1651" s="66" t="str">
        <f>IF(Seventh!J154="", "",Seventh!J154)</f>
        <v/>
      </c>
      <c r="K1651" s="86" t="str">
        <f>IF(Seventh!K154="", "",Seventh!K154)</f>
        <v/>
      </c>
      <c r="M1651" s="67" t="str">
        <f t="shared" si="77"/>
        <v/>
      </c>
      <c r="N1651" s="76" t="str">
        <f t="shared" si="78"/>
        <v/>
      </c>
      <c r="O1651" s="33">
        <f t="shared" si="76"/>
        <v>0</v>
      </c>
    </row>
    <row r="1652" spans="1:15" x14ac:dyDescent="0.25">
      <c r="A1652" s="64" t="s">
        <v>180</v>
      </c>
      <c r="B1652" s="79" t="str">
        <f>IF(Seventh!B155="", "",Seventh!B155)</f>
        <v/>
      </c>
      <c r="C1652" s="66" t="str">
        <f>IF(Seventh!C155="", "",Seventh!C155)</f>
        <v/>
      </c>
      <c r="D1652" s="66" t="str">
        <f>IF(Seventh!D155="", "",Seventh!D155)</f>
        <v/>
      </c>
      <c r="E1652" s="66" t="str">
        <f>IF(Seventh!E155="", "",Seventh!E155)</f>
        <v/>
      </c>
      <c r="F1652" s="66" t="str">
        <f>IF(Seventh!F155="", "",Seventh!F155)</f>
        <v/>
      </c>
      <c r="G1652" s="66" t="str">
        <f>IF(Seventh!G155="", "",Seventh!G155)</f>
        <v/>
      </c>
      <c r="H1652" s="66" t="str">
        <f>IF(Seventh!H155="", "",Seventh!H155)</f>
        <v/>
      </c>
      <c r="I1652" s="66" t="str">
        <f>IF(Seventh!I155="", "",Seventh!I155)</f>
        <v/>
      </c>
      <c r="J1652" s="66" t="str">
        <f>IF(Seventh!J155="", "",Seventh!J155)</f>
        <v/>
      </c>
      <c r="K1652" s="86" t="str">
        <f>IF(Seventh!K155="", "",Seventh!K155)</f>
        <v/>
      </c>
      <c r="M1652" s="67" t="str">
        <f t="shared" si="77"/>
        <v/>
      </c>
      <c r="N1652" s="76" t="str">
        <f t="shared" si="78"/>
        <v/>
      </c>
      <c r="O1652" s="33">
        <f t="shared" si="76"/>
        <v>0</v>
      </c>
    </row>
    <row r="1653" spans="1:15" x14ac:dyDescent="0.25">
      <c r="A1653" s="64" t="s">
        <v>180</v>
      </c>
      <c r="B1653" s="79" t="str">
        <f>IF(Seventh!B156="", "",Seventh!B156)</f>
        <v/>
      </c>
      <c r="C1653" s="66" t="str">
        <f>IF(Seventh!C156="", "",Seventh!C156)</f>
        <v/>
      </c>
      <c r="D1653" s="66" t="str">
        <f>IF(Seventh!D156="", "",Seventh!D156)</f>
        <v/>
      </c>
      <c r="E1653" s="66" t="str">
        <f>IF(Seventh!E156="", "",Seventh!E156)</f>
        <v/>
      </c>
      <c r="F1653" s="66" t="str">
        <f>IF(Seventh!F156="", "",Seventh!F156)</f>
        <v/>
      </c>
      <c r="G1653" s="66" t="str">
        <f>IF(Seventh!G156="", "",Seventh!G156)</f>
        <v/>
      </c>
      <c r="H1653" s="66" t="str">
        <f>IF(Seventh!H156="", "",Seventh!H156)</f>
        <v/>
      </c>
      <c r="I1653" s="66" t="str">
        <f>IF(Seventh!I156="", "",Seventh!I156)</f>
        <v/>
      </c>
      <c r="J1653" s="66" t="str">
        <f>IF(Seventh!J156="", "",Seventh!J156)</f>
        <v/>
      </c>
      <c r="K1653" s="86" t="str">
        <f>IF(Seventh!K156="", "",Seventh!K156)</f>
        <v/>
      </c>
      <c r="M1653" s="67" t="str">
        <f t="shared" si="77"/>
        <v/>
      </c>
      <c r="N1653" s="76" t="str">
        <f t="shared" si="78"/>
        <v/>
      </c>
      <c r="O1653" s="33">
        <f t="shared" si="76"/>
        <v>0</v>
      </c>
    </row>
    <row r="1654" spans="1:15" x14ac:dyDescent="0.25">
      <c r="A1654" s="64" t="s">
        <v>180</v>
      </c>
      <c r="B1654" s="79" t="str">
        <f>IF(Seventh!B157="", "",Seventh!B157)</f>
        <v/>
      </c>
      <c r="C1654" s="66" t="str">
        <f>IF(Seventh!C157="", "",Seventh!C157)</f>
        <v/>
      </c>
      <c r="D1654" s="66" t="str">
        <f>IF(Seventh!D157="", "",Seventh!D157)</f>
        <v/>
      </c>
      <c r="E1654" s="66" t="str">
        <f>IF(Seventh!E157="", "",Seventh!E157)</f>
        <v/>
      </c>
      <c r="F1654" s="66" t="str">
        <f>IF(Seventh!F157="", "",Seventh!F157)</f>
        <v/>
      </c>
      <c r="G1654" s="66" t="str">
        <f>IF(Seventh!G157="", "",Seventh!G157)</f>
        <v/>
      </c>
      <c r="H1654" s="66" t="str">
        <f>IF(Seventh!H157="", "",Seventh!H157)</f>
        <v/>
      </c>
      <c r="I1654" s="66" t="str">
        <f>IF(Seventh!I157="", "",Seventh!I157)</f>
        <v/>
      </c>
      <c r="J1654" s="66" t="str">
        <f>IF(Seventh!J157="", "",Seventh!J157)</f>
        <v/>
      </c>
      <c r="K1654" s="86" t="str">
        <f>IF(Seventh!K157="", "",Seventh!K157)</f>
        <v/>
      </c>
      <c r="M1654" s="67" t="str">
        <f t="shared" si="77"/>
        <v/>
      </c>
      <c r="N1654" s="76" t="str">
        <f t="shared" si="78"/>
        <v/>
      </c>
      <c r="O1654" s="33">
        <f t="shared" si="76"/>
        <v>0</v>
      </c>
    </row>
    <row r="1655" spans="1:15" x14ac:dyDescent="0.25">
      <c r="A1655" s="64" t="s">
        <v>180</v>
      </c>
      <c r="B1655" s="79" t="str">
        <f>IF(Seventh!B158="", "",Seventh!B158)</f>
        <v/>
      </c>
      <c r="C1655" s="66" t="str">
        <f>IF(Seventh!C158="", "",Seventh!C158)</f>
        <v/>
      </c>
      <c r="D1655" s="66" t="str">
        <f>IF(Seventh!D158="", "",Seventh!D158)</f>
        <v/>
      </c>
      <c r="E1655" s="66" t="str">
        <f>IF(Seventh!E158="", "",Seventh!E158)</f>
        <v/>
      </c>
      <c r="F1655" s="66" t="str">
        <f>IF(Seventh!F158="", "",Seventh!F158)</f>
        <v/>
      </c>
      <c r="G1655" s="66" t="str">
        <f>IF(Seventh!G158="", "",Seventh!G158)</f>
        <v/>
      </c>
      <c r="H1655" s="66" t="str">
        <f>IF(Seventh!H158="", "",Seventh!H158)</f>
        <v/>
      </c>
      <c r="I1655" s="66" t="str">
        <f>IF(Seventh!I158="", "",Seventh!I158)</f>
        <v/>
      </c>
      <c r="J1655" s="66" t="str">
        <f>IF(Seventh!J158="", "",Seventh!J158)</f>
        <v/>
      </c>
      <c r="K1655" s="86" t="str">
        <f>IF(Seventh!K158="", "",Seventh!K158)</f>
        <v/>
      </c>
      <c r="M1655" s="67" t="str">
        <f t="shared" si="77"/>
        <v/>
      </c>
      <c r="N1655" s="76" t="str">
        <f t="shared" si="78"/>
        <v/>
      </c>
      <c r="O1655" s="33">
        <f t="shared" si="76"/>
        <v>0</v>
      </c>
    </row>
    <row r="1656" spans="1:15" x14ac:dyDescent="0.25">
      <c r="A1656" s="64" t="s">
        <v>180</v>
      </c>
      <c r="B1656" s="79" t="str">
        <f>IF(Seventh!B159="", "",Seventh!B159)</f>
        <v/>
      </c>
      <c r="C1656" s="66" t="str">
        <f>IF(Seventh!C159="", "",Seventh!C159)</f>
        <v/>
      </c>
      <c r="D1656" s="66" t="str">
        <f>IF(Seventh!D159="", "",Seventh!D159)</f>
        <v/>
      </c>
      <c r="E1656" s="66" t="str">
        <f>IF(Seventh!E159="", "",Seventh!E159)</f>
        <v/>
      </c>
      <c r="F1656" s="66" t="str">
        <f>IF(Seventh!F159="", "",Seventh!F159)</f>
        <v/>
      </c>
      <c r="G1656" s="66" t="str">
        <f>IF(Seventh!G159="", "",Seventh!G159)</f>
        <v/>
      </c>
      <c r="H1656" s="66" t="str">
        <f>IF(Seventh!H159="", "",Seventh!H159)</f>
        <v/>
      </c>
      <c r="I1656" s="66" t="str">
        <f>IF(Seventh!I159="", "",Seventh!I159)</f>
        <v/>
      </c>
      <c r="J1656" s="66" t="str">
        <f>IF(Seventh!J159="", "",Seventh!J159)</f>
        <v/>
      </c>
      <c r="K1656" s="86" t="str">
        <f>IF(Seventh!K159="", "",Seventh!K159)</f>
        <v/>
      </c>
      <c r="M1656" s="67" t="str">
        <f t="shared" si="77"/>
        <v/>
      </c>
      <c r="N1656" s="76" t="str">
        <f t="shared" si="78"/>
        <v/>
      </c>
      <c r="O1656" s="33">
        <f t="shared" si="76"/>
        <v>0</v>
      </c>
    </row>
    <row r="1657" spans="1:15" x14ac:dyDescent="0.25">
      <c r="A1657" s="64" t="s">
        <v>180</v>
      </c>
      <c r="B1657" s="79" t="str">
        <f>IF(Seventh!B160="", "",Seventh!B160)</f>
        <v/>
      </c>
      <c r="C1657" s="66" t="str">
        <f>IF(Seventh!C160="", "",Seventh!C160)</f>
        <v/>
      </c>
      <c r="D1657" s="66" t="str">
        <f>IF(Seventh!D160="", "",Seventh!D160)</f>
        <v/>
      </c>
      <c r="E1657" s="66" t="str">
        <f>IF(Seventh!E160="", "",Seventh!E160)</f>
        <v/>
      </c>
      <c r="F1657" s="66" t="str">
        <f>IF(Seventh!F160="", "",Seventh!F160)</f>
        <v/>
      </c>
      <c r="G1657" s="66" t="str">
        <f>IF(Seventh!G160="", "",Seventh!G160)</f>
        <v/>
      </c>
      <c r="H1657" s="66" t="str">
        <f>IF(Seventh!H160="", "",Seventh!H160)</f>
        <v/>
      </c>
      <c r="I1657" s="66" t="str">
        <f>IF(Seventh!I160="", "",Seventh!I160)</f>
        <v/>
      </c>
      <c r="J1657" s="66" t="str">
        <f>IF(Seventh!J160="", "",Seventh!J160)</f>
        <v/>
      </c>
      <c r="K1657" s="86" t="str">
        <f>IF(Seventh!K160="", "",Seventh!K160)</f>
        <v/>
      </c>
      <c r="M1657" s="67" t="str">
        <f t="shared" si="77"/>
        <v/>
      </c>
      <c r="N1657" s="76" t="str">
        <f t="shared" si="78"/>
        <v/>
      </c>
      <c r="O1657" s="33">
        <f t="shared" si="76"/>
        <v>0</v>
      </c>
    </row>
    <row r="1658" spans="1:15" x14ac:dyDescent="0.25">
      <c r="A1658" s="64" t="s">
        <v>180</v>
      </c>
      <c r="B1658" s="79" t="str">
        <f>IF(Seventh!B161="", "",Seventh!B161)</f>
        <v/>
      </c>
      <c r="C1658" s="66" t="str">
        <f>IF(Seventh!C161="", "",Seventh!C161)</f>
        <v/>
      </c>
      <c r="D1658" s="66" t="str">
        <f>IF(Seventh!D161="", "",Seventh!D161)</f>
        <v/>
      </c>
      <c r="E1658" s="66" t="str">
        <f>IF(Seventh!E161="", "",Seventh!E161)</f>
        <v/>
      </c>
      <c r="F1658" s="66" t="str">
        <f>IF(Seventh!F161="", "",Seventh!F161)</f>
        <v/>
      </c>
      <c r="G1658" s="66" t="str">
        <f>IF(Seventh!G161="", "",Seventh!G161)</f>
        <v/>
      </c>
      <c r="H1658" s="66" t="str">
        <f>IF(Seventh!H161="", "",Seventh!H161)</f>
        <v/>
      </c>
      <c r="I1658" s="66" t="str">
        <f>IF(Seventh!I161="", "",Seventh!I161)</f>
        <v/>
      </c>
      <c r="J1658" s="66" t="str">
        <f>IF(Seventh!J161="", "",Seventh!J161)</f>
        <v/>
      </c>
      <c r="K1658" s="86" t="str">
        <f>IF(Seventh!K161="", "",Seventh!K161)</f>
        <v/>
      </c>
      <c r="M1658" s="67" t="str">
        <f t="shared" si="77"/>
        <v/>
      </c>
      <c r="N1658" s="76" t="str">
        <f t="shared" si="78"/>
        <v/>
      </c>
      <c r="O1658" s="33">
        <f t="shared" si="76"/>
        <v>0</v>
      </c>
    </row>
    <row r="1659" spans="1:15" x14ac:dyDescent="0.25">
      <c r="A1659" s="64" t="s">
        <v>180</v>
      </c>
      <c r="B1659" s="79" t="str">
        <f>IF(Seventh!B162="", "",Seventh!B162)</f>
        <v/>
      </c>
      <c r="C1659" s="66" t="str">
        <f>IF(Seventh!C162="", "",Seventh!C162)</f>
        <v/>
      </c>
      <c r="D1659" s="66" t="str">
        <f>IF(Seventh!D162="", "",Seventh!D162)</f>
        <v/>
      </c>
      <c r="E1659" s="66" t="str">
        <f>IF(Seventh!E162="", "",Seventh!E162)</f>
        <v/>
      </c>
      <c r="F1659" s="66" t="str">
        <f>IF(Seventh!F162="", "",Seventh!F162)</f>
        <v/>
      </c>
      <c r="G1659" s="66" t="str">
        <f>IF(Seventh!G162="", "",Seventh!G162)</f>
        <v/>
      </c>
      <c r="H1659" s="66" t="str">
        <f>IF(Seventh!H162="", "",Seventh!H162)</f>
        <v/>
      </c>
      <c r="I1659" s="66" t="str">
        <f>IF(Seventh!I162="", "",Seventh!I162)</f>
        <v/>
      </c>
      <c r="J1659" s="66" t="str">
        <f>IF(Seventh!J162="", "",Seventh!J162)</f>
        <v/>
      </c>
      <c r="K1659" s="86" t="str">
        <f>IF(Seventh!K162="", "",Seventh!K162)</f>
        <v/>
      </c>
      <c r="M1659" s="67" t="str">
        <f t="shared" si="77"/>
        <v/>
      </c>
      <c r="N1659" s="76" t="str">
        <f t="shared" si="78"/>
        <v/>
      </c>
      <c r="O1659" s="33">
        <f t="shared" si="76"/>
        <v>0</v>
      </c>
    </row>
    <row r="1660" spans="1:15" x14ac:dyDescent="0.25">
      <c r="A1660" s="64" t="s">
        <v>180</v>
      </c>
      <c r="B1660" s="79" t="str">
        <f>IF(Seventh!B163="", "",Seventh!B163)</f>
        <v/>
      </c>
      <c r="C1660" s="66" t="str">
        <f>IF(Seventh!C163="", "",Seventh!C163)</f>
        <v/>
      </c>
      <c r="D1660" s="66" t="str">
        <f>IF(Seventh!D163="", "",Seventh!D163)</f>
        <v/>
      </c>
      <c r="E1660" s="66" t="str">
        <f>IF(Seventh!E163="", "",Seventh!E163)</f>
        <v/>
      </c>
      <c r="F1660" s="66" t="str">
        <f>IF(Seventh!F163="", "",Seventh!F163)</f>
        <v/>
      </c>
      <c r="G1660" s="66" t="str">
        <f>IF(Seventh!G163="", "",Seventh!G163)</f>
        <v/>
      </c>
      <c r="H1660" s="66" t="str">
        <f>IF(Seventh!H163="", "",Seventh!H163)</f>
        <v/>
      </c>
      <c r="I1660" s="66" t="str">
        <f>IF(Seventh!I163="", "",Seventh!I163)</f>
        <v/>
      </c>
      <c r="J1660" s="66" t="str">
        <f>IF(Seventh!J163="", "",Seventh!J163)</f>
        <v/>
      </c>
      <c r="K1660" s="86" t="str">
        <f>IF(Seventh!K163="", "",Seventh!K163)</f>
        <v/>
      </c>
      <c r="M1660" s="67" t="str">
        <f t="shared" si="77"/>
        <v/>
      </c>
      <c r="N1660" s="76" t="str">
        <f t="shared" si="78"/>
        <v/>
      </c>
      <c r="O1660" s="33">
        <f t="shared" si="76"/>
        <v>0</v>
      </c>
    </row>
    <row r="1661" spans="1:15" x14ac:dyDescent="0.25">
      <c r="A1661" s="64" t="s">
        <v>180</v>
      </c>
      <c r="B1661" s="79" t="str">
        <f>IF(Seventh!B164="", "",Seventh!B164)</f>
        <v/>
      </c>
      <c r="C1661" s="66" t="str">
        <f>IF(Seventh!C164="", "",Seventh!C164)</f>
        <v/>
      </c>
      <c r="D1661" s="66" t="str">
        <f>IF(Seventh!D164="", "",Seventh!D164)</f>
        <v/>
      </c>
      <c r="E1661" s="66" t="str">
        <f>IF(Seventh!E164="", "",Seventh!E164)</f>
        <v/>
      </c>
      <c r="F1661" s="66" t="str">
        <f>IF(Seventh!F164="", "",Seventh!F164)</f>
        <v/>
      </c>
      <c r="G1661" s="66" t="str">
        <f>IF(Seventh!G164="", "",Seventh!G164)</f>
        <v/>
      </c>
      <c r="H1661" s="66" t="str">
        <f>IF(Seventh!H164="", "",Seventh!H164)</f>
        <v/>
      </c>
      <c r="I1661" s="66" t="str">
        <f>IF(Seventh!I164="", "",Seventh!I164)</f>
        <v/>
      </c>
      <c r="J1661" s="66" t="str">
        <f>IF(Seventh!J164="", "",Seventh!J164)</f>
        <v/>
      </c>
      <c r="K1661" s="86" t="str">
        <f>IF(Seventh!K164="", "",Seventh!K164)</f>
        <v/>
      </c>
      <c r="M1661" s="67" t="str">
        <f t="shared" si="77"/>
        <v/>
      </c>
      <c r="N1661" s="76" t="str">
        <f t="shared" si="78"/>
        <v/>
      </c>
      <c r="O1661" s="33">
        <f t="shared" si="76"/>
        <v>0</v>
      </c>
    </row>
    <row r="1662" spans="1:15" x14ac:dyDescent="0.25">
      <c r="A1662" s="64" t="s">
        <v>180</v>
      </c>
      <c r="B1662" s="79" t="str">
        <f>IF(Seventh!B165="", "",Seventh!B165)</f>
        <v/>
      </c>
      <c r="C1662" s="66" t="str">
        <f>IF(Seventh!C165="", "",Seventh!C165)</f>
        <v/>
      </c>
      <c r="D1662" s="66" t="str">
        <f>IF(Seventh!D165="", "",Seventh!D165)</f>
        <v/>
      </c>
      <c r="E1662" s="66" t="str">
        <f>IF(Seventh!E165="", "",Seventh!E165)</f>
        <v/>
      </c>
      <c r="F1662" s="66" t="str">
        <f>IF(Seventh!F165="", "",Seventh!F165)</f>
        <v/>
      </c>
      <c r="G1662" s="66" t="str">
        <f>IF(Seventh!G165="", "",Seventh!G165)</f>
        <v/>
      </c>
      <c r="H1662" s="66" t="str">
        <f>IF(Seventh!H165="", "",Seventh!H165)</f>
        <v/>
      </c>
      <c r="I1662" s="66" t="str">
        <f>IF(Seventh!I165="", "",Seventh!I165)</f>
        <v/>
      </c>
      <c r="J1662" s="66" t="str">
        <f>IF(Seventh!J165="", "",Seventh!J165)</f>
        <v/>
      </c>
      <c r="K1662" s="86" t="str">
        <f>IF(Seventh!K165="", "",Seventh!K165)</f>
        <v/>
      </c>
      <c r="M1662" s="67" t="str">
        <f t="shared" si="77"/>
        <v/>
      </c>
      <c r="N1662" s="76" t="str">
        <f t="shared" si="78"/>
        <v/>
      </c>
      <c r="O1662" s="33">
        <f t="shared" si="76"/>
        <v>0</v>
      </c>
    </row>
    <row r="1663" spans="1:15" x14ac:dyDescent="0.25">
      <c r="A1663" s="64" t="s">
        <v>180</v>
      </c>
      <c r="B1663" s="79" t="str">
        <f>IF(Seventh!B166="", "",Seventh!B166)</f>
        <v/>
      </c>
      <c r="C1663" s="66" t="str">
        <f>IF(Seventh!C166="", "",Seventh!C166)</f>
        <v/>
      </c>
      <c r="D1663" s="66" t="str">
        <f>IF(Seventh!D166="", "",Seventh!D166)</f>
        <v/>
      </c>
      <c r="E1663" s="66" t="str">
        <f>IF(Seventh!E166="", "",Seventh!E166)</f>
        <v/>
      </c>
      <c r="F1663" s="66" t="str">
        <f>IF(Seventh!F166="", "",Seventh!F166)</f>
        <v/>
      </c>
      <c r="G1663" s="66" t="str">
        <f>IF(Seventh!G166="", "",Seventh!G166)</f>
        <v/>
      </c>
      <c r="H1663" s="66" t="str">
        <f>IF(Seventh!H166="", "",Seventh!H166)</f>
        <v/>
      </c>
      <c r="I1663" s="66" t="str">
        <f>IF(Seventh!I166="", "",Seventh!I166)</f>
        <v/>
      </c>
      <c r="J1663" s="66" t="str">
        <f>IF(Seventh!J166="", "",Seventh!J166)</f>
        <v/>
      </c>
      <c r="K1663" s="86" t="str">
        <f>IF(Seventh!K166="", "",Seventh!K166)</f>
        <v/>
      </c>
      <c r="M1663" s="67" t="str">
        <f t="shared" si="77"/>
        <v/>
      </c>
      <c r="N1663" s="76" t="str">
        <f t="shared" si="78"/>
        <v/>
      </c>
      <c r="O1663" s="33">
        <f t="shared" si="76"/>
        <v>0</v>
      </c>
    </row>
    <row r="1664" spans="1:15" x14ac:dyDescent="0.25">
      <c r="A1664" s="64" t="s">
        <v>180</v>
      </c>
      <c r="B1664" s="79" t="str">
        <f>IF(Seventh!B167="", "",Seventh!B167)</f>
        <v/>
      </c>
      <c r="C1664" s="66" t="str">
        <f>IF(Seventh!C167="", "",Seventh!C167)</f>
        <v/>
      </c>
      <c r="D1664" s="66" t="str">
        <f>IF(Seventh!D167="", "",Seventh!D167)</f>
        <v/>
      </c>
      <c r="E1664" s="66" t="str">
        <f>IF(Seventh!E167="", "",Seventh!E167)</f>
        <v/>
      </c>
      <c r="F1664" s="66" t="str">
        <f>IF(Seventh!F167="", "",Seventh!F167)</f>
        <v/>
      </c>
      <c r="G1664" s="66" t="str">
        <f>IF(Seventh!G167="", "",Seventh!G167)</f>
        <v/>
      </c>
      <c r="H1664" s="66" t="str">
        <f>IF(Seventh!H167="", "",Seventh!H167)</f>
        <v/>
      </c>
      <c r="I1664" s="66" t="str">
        <f>IF(Seventh!I167="", "",Seventh!I167)</f>
        <v/>
      </c>
      <c r="J1664" s="66" t="str">
        <f>IF(Seventh!J167="", "",Seventh!J167)</f>
        <v/>
      </c>
      <c r="K1664" s="86" t="str">
        <f>IF(Seventh!K167="", "",Seventh!K167)</f>
        <v/>
      </c>
      <c r="M1664" s="67" t="str">
        <f t="shared" si="77"/>
        <v/>
      </c>
      <c r="N1664" s="76" t="str">
        <f t="shared" si="78"/>
        <v/>
      </c>
      <c r="O1664" s="33">
        <f t="shared" si="76"/>
        <v>0</v>
      </c>
    </row>
    <row r="1665" spans="1:15" x14ac:dyDescent="0.25">
      <c r="A1665" s="64" t="s">
        <v>180</v>
      </c>
      <c r="B1665" s="79" t="str">
        <f>IF(Seventh!B168="", "",Seventh!B168)</f>
        <v/>
      </c>
      <c r="C1665" s="66" t="str">
        <f>IF(Seventh!C168="", "",Seventh!C168)</f>
        <v/>
      </c>
      <c r="D1665" s="66" t="str">
        <f>IF(Seventh!D168="", "",Seventh!D168)</f>
        <v/>
      </c>
      <c r="E1665" s="66" t="str">
        <f>IF(Seventh!E168="", "",Seventh!E168)</f>
        <v/>
      </c>
      <c r="F1665" s="66" t="str">
        <f>IF(Seventh!F168="", "",Seventh!F168)</f>
        <v/>
      </c>
      <c r="G1665" s="66" t="str">
        <f>IF(Seventh!G168="", "",Seventh!G168)</f>
        <v/>
      </c>
      <c r="H1665" s="66" t="str">
        <f>IF(Seventh!H168="", "",Seventh!H168)</f>
        <v/>
      </c>
      <c r="I1665" s="66" t="str">
        <f>IF(Seventh!I168="", "",Seventh!I168)</f>
        <v/>
      </c>
      <c r="J1665" s="66" t="str">
        <f>IF(Seventh!J168="", "",Seventh!J168)</f>
        <v/>
      </c>
      <c r="K1665" s="86" t="str">
        <f>IF(Seventh!K168="", "",Seventh!K168)</f>
        <v/>
      </c>
      <c r="M1665" s="67" t="str">
        <f t="shared" si="77"/>
        <v/>
      </c>
      <c r="N1665" s="76" t="str">
        <f t="shared" si="78"/>
        <v/>
      </c>
      <c r="O1665" s="33">
        <f t="shared" si="76"/>
        <v>0</v>
      </c>
    </row>
    <row r="1666" spans="1:15" x14ac:dyDescent="0.25">
      <c r="A1666" s="64" t="s">
        <v>180</v>
      </c>
      <c r="B1666" s="79" t="str">
        <f>IF(Seventh!B169="", "",Seventh!B169)</f>
        <v/>
      </c>
      <c r="C1666" s="66" t="str">
        <f>IF(Seventh!C169="", "",Seventh!C169)</f>
        <v/>
      </c>
      <c r="D1666" s="66" t="str">
        <f>IF(Seventh!D169="", "",Seventh!D169)</f>
        <v/>
      </c>
      <c r="E1666" s="66" t="str">
        <f>IF(Seventh!E169="", "",Seventh!E169)</f>
        <v/>
      </c>
      <c r="F1666" s="66" t="str">
        <f>IF(Seventh!F169="", "",Seventh!F169)</f>
        <v/>
      </c>
      <c r="G1666" s="66" t="str">
        <f>IF(Seventh!G169="", "",Seventh!G169)</f>
        <v/>
      </c>
      <c r="H1666" s="66" t="str">
        <f>IF(Seventh!H169="", "",Seventh!H169)</f>
        <v/>
      </c>
      <c r="I1666" s="66" t="str">
        <f>IF(Seventh!I169="", "",Seventh!I169)</f>
        <v/>
      </c>
      <c r="J1666" s="66" t="str">
        <f>IF(Seventh!J169="", "",Seventh!J169)</f>
        <v/>
      </c>
      <c r="K1666" s="86" t="str">
        <f>IF(Seventh!K169="", "",Seventh!K169)</f>
        <v/>
      </c>
      <c r="M1666" s="67" t="str">
        <f t="shared" si="77"/>
        <v/>
      </c>
      <c r="N1666" s="76" t="str">
        <f t="shared" si="78"/>
        <v/>
      </c>
      <c r="O1666" s="33">
        <f t="shared" ref="O1666:O1729" si="79">SUM(M1666:N1666)</f>
        <v>0</v>
      </c>
    </row>
    <row r="1667" spans="1:15" x14ac:dyDescent="0.25">
      <c r="A1667" s="64" t="s">
        <v>180</v>
      </c>
      <c r="B1667" s="79" t="str">
        <f>IF(Seventh!B170="", "",Seventh!B170)</f>
        <v/>
      </c>
      <c r="C1667" s="66" t="str">
        <f>IF(Seventh!C170="", "",Seventh!C170)</f>
        <v/>
      </c>
      <c r="D1667" s="66" t="str">
        <f>IF(Seventh!D170="", "",Seventh!D170)</f>
        <v/>
      </c>
      <c r="E1667" s="66" t="str">
        <f>IF(Seventh!E170="", "",Seventh!E170)</f>
        <v/>
      </c>
      <c r="F1667" s="66" t="str">
        <f>IF(Seventh!F170="", "",Seventh!F170)</f>
        <v/>
      </c>
      <c r="G1667" s="66" t="str">
        <f>IF(Seventh!G170="", "",Seventh!G170)</f>
        <v/>
      </c>
      <c r="H1667" s="66" t="str">
        <f>IF(Seventh!H170="", "",Seventh!H170)</f>
        <v/>
      </c>
      <c r="I1667" s="66" t="str">
        <f>IF(Seventh!I170="", "",Seventh!I170)</f>
        <v/>
      </c>
      <c r="J1667" s="66" t="str">
        <f>IF(Seventh!J170="", "",Seventh!J170)</f>
        <v/>
      </c>
      <c r="K1667" s="86" t="str">
        <f>IF(Seventh!K170="", "",Seventh!K170)</f>
        <v/>
      </c>
      <c r="M1667" s="67" t="str">
        <f t="shared" ref="M1667:M1730" si="80">IF(C1667="PwC",(7-COUNTIF(B1667:H1667,"")),"")</f>
        <v/>
      </c>
      <c r="N1667" s="76" t="str">
        <f t="shared" ref="N1667:N1730" si="81">IF(C1667="Carer",(7-COUNTIF(B1667:H1667,"")),"")</f>
        <v/>
      </c>
      <c r="O1667" s="33">
        <f t="shared" si="79"/>
        <v>0</v>
      </c>
    </row>
    <row r="1668" spans="1:15" x14ac:dyDescent="0.25">
      <c r="A1668" s="64" t="s">
        <v>180</v>
      </c>
      <c r="B1668" s="79" t="str">
        <f>IF(Seventh!B171="", "",Seventh!B171)</f>
        <v/>
      </c>
      <c r="C1668" s="66" t="str">
        <f>IF(Seventh!C171="", "",Seventh!C171)</f>
        <v/>
      </c>
      <c r="D1668" s="66" t="str">
        <f>IF(Seventh!D171="", "",Seventh!D171)</f>
        <v/>
      </c>
      <c r="E1668" s="66" t="str">
        <f>IF(Seventh!E171="", "",Seventh!E171)</f>
        <v/>
      </c>
      <c r="F1668" s="66" t="str">
        <f>IF(Seventh!F171="", "",Seventh!F171)</f>
        <v/>
      </c>
      <c r="G1668" s="66" t="str">
        <f>IF(Seventh!G171="", "",Seventh!G171)</f>
        <v/>
      </c>
      <c r="H1668" s="66" t="str">
        <f>IF(Seventh!H171="", "",Seventh!H171)</f>
        <v/>
      </c>
      <c r="I1668" s="66" t="str">
        <f>IF(Seventh!I171="", "",Seventh!I171)</f>
        <v/>
      </c>
      <c r="J1668" s="66" t="str">
        <f>IF(Seventh!J171="", "",Seventh!J171)</f>
        <v/>
      </c>
      <c r="K1668" s="86" t="str">
        <f>IF(Seventh!K171="", "",Seventh!K171)</f>
        <v/>
      </c>
      <c r="M1668" s="67" t="str">
        <f t="shared" si="80"/>
        <v/>
      </c>
      <c r="N1668" s="76" t="str">
        <f t="shared" si="81"/>
        <v/>
      </c>
      <c r="O1668" s="33">
        <f t="shared" si="79"/>
        <v>0</v>
      </c>
    </row>
    <row r="1669" spans="1:15" x14ac:dyDescent="0.25">
      <c r="A1669" s="64" t="s">
        <v>180</v>
      </c>
      <c r="B1669" s="79" t="str">
        <f>IF(Seventh!B172="", "",Seventh!B172)</f>
        <v/>
      </c>
      <c r="C1669" s="66" t="str">
        <f>IF(Seventh!C172="", "",Seventh!C172)</f>
        <v/>
      </c>
      <c r="D1669" s="66" t="str">
        <f>IF(Seventh!D172="", "",Seventh!D172)</f>
        <v/>
      </c>
      <c r="E1669" s="66" t="str">
        <f>IF(Seventh!E172="", "",Seventh!E172)</f>
        <v/>
      </c>
      <c r="F1669" s="66" t="str">
        <f>IF(Seventh!F172="", "",Seventh!F172)</f>
        <v/>
      </c>
      <c r="G1669" s="66" t="str">
        <f>IF(Seventh!G172="", "",Seventh!G172)</f>
        <v/>
      </c>
      <c r="H1669" s="66" t="str">
        <f>IF(Seventh!H172="", "",Seventh!H172)</f>
        <v/>
      </c>
      <c r="I1669" s="66" t="str">
        <f>IF(Seventh!I172="", "",Seventh!I172)</f>
        <v/>
      </c>
      <c r="J1669" s="66" t="str">
        <f>IF(Seventh!J172="", "",Seventh!J172)</f>
        <v/>
      </c>
      <c r="K1669" s="86" t="str">
        <f>IF(Seventh!K172="", "",Seventh!K172)</f>
        <v/>
      </c>
      <c r="M1669" s="67" t="str">
        <f t="shared" si="80"/>
        <v/>
      </c>
      <c r="N1669" s="76" t="str">
        <f t="shared" si="81"/>
        <v/>
      </c>
      <c r="O1669" s="33">
        <f t="shared" si="79"/>
        <v>0</v>
      </c>
    </row>
    <row r="1670" spans="1:15" x14ac:dyDescent="0.25">
      <c r="A1670" s="64" t="s">
        <v>180</v>
      </c>
      <c r="B1670" s="79" t="str">
        <f>IF(Seventh!B173="", "",Seventh!B173)</f>
        <v/>
      </c>
      <c r="C1670" s="66" t="str">
        <f>IF(Seventh!C173="", "",Seventh!C173)</f>
        <v/>
      </c>
      <c r="D1670" s="66" t="str">
        <f>IF(Seventh!D173="", "",Seventh!D173)</f>
        <v/>
      </c>
      <c r="E1670" s="66" t="str">
        <f>IF(Seventh!E173="", "",Seventh!E173)</f>
        <v/>
      </c>
      <c r="F1670" s="66" t="str">
        <f>IF(Seventh!F173="", "",Seventh!F173)</f>
        <v/>
      </c>
      <c r="G1670" s="66" t="str">
        <f>IF(Seventh!G173="", "",Seventh!G173)</f>
        <v/>
      </c>
      <c r="H1670" s="66" t="str">
        <f>IF(Seventh!H173="", "",Seventh!H173)</f>
        <v/>
      </c>
      <c r="I1670" s="66" t="str">
        <f>IF(Seventh!I173="", "",Seventh!I173)</f>
        <v/>
      </c>
      <c r="J1670" s="66" t="str">
        <f>IF(Seventh!J173="", "",Seventh!J173)</f>
        <v/>
      </c>
      <c r="K1670" s="86" t="str">
        <f>IF(Seventh!K173="", "",Seventh!K173)</f>
        <v/>
      </c>
      <c r="M1670" s="67" t="str">
        <f t="shared" si="80"/>
        <v/>
      </c>
      <c r="N1670" s="76" t="str">
        <f t="shared" si="81"/>
        <v/>
      </c>
      <c r="O1670" s="33">
        <f t="shared" si="79"/>
        <v>0</v>
      </c>
    </row>
    <row r="1671" spans="1:15" x14ac:dyDescent="0.25">
      <c r="A1671" s="64" t="s">
        <v>180</v>
      </c>
      <c r="B1671" s="79" t="str">
        <f>IF(Seventh!B174="", "",Seventh!B174)</f>
        <v/>
      </c>
      <c r="C1671" s="66" t="str">
        <f>IF(Seventh!C174="", "",Seventh!C174)</f>
        <v/>
      </c>
      <c r="D1671" s="66" t="str">
        <f>IF(Seventh!D174="", "",Seventh!D174)</f>
        <v/>
      </c>
      <c r="E1671" s="66" t="str">
        <f>IF(Seventh!E174="", "",Seventh!E174)</f>
        <v/>
      </c>
      <c r="F1671" s="66" t="str">
        <f>IF(Seventh!F174="", "",Seventh!F174)</f>
        <v/>
      </c>
      <c r="G1671" s="66" t="str">
        <f>IF(Seventh!G174="", "",Seventh!G174)</f>
        <v/>
      </c>
      <c r="H1671" s="66" t="str">
        <f>IF(Seventh!H174="", "",Seventh!H174)</f>
        <v/>
      </c>
      <c r="I1671" s="66" t="str">
        <f>IF(Seventh!I174="", "",Seventh!I174)</f>
        <v/>
      </c>
      <c r="J1671" s="66" t="str">
        <f>IF(Seventh!J174="", "",Seventh!J174)</f>
        <v/>
      </c>
      <c r="K1671" s="86" t="str">
        <f>IF(Seventh!K174="", "",Seventh!K174)</f>
        <v/>
      </c>
      <c r="M1671" s="67" t="str">
        <f t="shared" si="80"/>
        <v/>
      </c>
      <c r="N1671" s="76" t="str">
        <f t="shared" si="81"/>
        <v/>
      </c>
      <c r="O1671" s="33">
        <f t="shared" si="79"/>
        <v>0</v>
      </c>
    </row>
    <row r="1672" spans="1:15" x14ac:dyDescent="0.25">
      <c r="A1672" s="64" t="s">
        <v>180</v>
      </c>
      <c r="B1672" s="79" t="str">
        <f>IF(Seventh!B175="", "",Seventh!B175)</f>
        <v/>
      </c>
      <c r="C1672" s="66" t="str">
        <f>IF(Seventh!C175="", "",Seventh!C175)</f>
        <v/>
      </c>
      <c r="D1672" s="66" t="str">
        <f>IF(Seventh!D175="", "",Seventh!D175)</f>
        <v/>
      </c>
      <c r="E1672" s="66" t="str">
        <f>IF(Seventh!E175="", "",Seventh!E175)</f>
        <v/>
      </c>
      <c r="F1672" s="66" t="str">
        <f>IF(Seventh!F175="", "",Seventh!F175)</f>
        <v/>
      </c>
      <c r="G1672" s="66" t="str">
        <f>IF(Seventh!G175="", "",Seventh!G175)</f>
        <v/>
      </c>
      <c r="H1672" s="66" t="str">
        <f>IF(Seventh!H175="", "",Seventh!H175)</f>
        <v/>
      </c>
      <c r="I1672" s="66" t="str">
        <f>IF(Seventh!I175="", "",Seventh!I175)</f>
        <v/>
      </c>
      <c r="J1672" s="66" t="str">
        <f>IF(Seventh!J175="", "",Seventh!J175)</f>
        <v/>
      </c>
      <c r="K1672" s="86" t="str">
        <f>IF(Seventh!K175="", "",Seventh!K175)</f>
        <v/>
      </c>
      <c r="M1672" s="67" t="str">
        <f t="shared" si="80"/>
        <v/>
      </c>
      <c r="N1672" s="76" t="str">
        <f t="shared" si="81"/>
        <v/>
      </c>
      <c r="O1672" s="33">
        <f t="shared" si="79"/>
        <v>0</v>
      </c>
    </row>
    <row r="1673" spans="1:15" x14ac:dyDescent="0.25">
      <c r="A1673" s="64" t="s">
        <v>180</v>
      </c>
      <c r="B1673" s="79" t="str">
        <f>IF(Seventh!B176="", "",Seventh!B176)</f>
        <v/>
      </c>
      <c r="C1673" s="66" t="str">
        <f>IF(Seventh!C176="", "",Seventh!C176)</f>
        <v/>
      </c>
      <c r="D1673" s="66" t="str">
        <f>IF(Seventh!D176="", "",Seventh!D176)</f>
        <v/>
      </c>
      <c r="E1673" s="66" t="str">
        <f>IF(Seventh!E176="", "",Seventh!E176)</f>
        <v/>
      </c>
      <c r="F1673" s="66" t="str">
        <f>IF(Seventh!F176="", "",Seventh!F176)</f>
        <v/>
      </c>
      <c r="G1673" s="66" t="str">
        <f>IF(Seventh!G176="", "",Seventh!G176)</f>
        <v/>
      </c>
      <c r="H1673" s="66" t="str">
        <f>IF(Seventh!H176="", "",Seventh!H176)</f>
        <v/>
      </c>
      <c r="I1673" s="66" t="str">
        <f>IF(Seventh!I176="", "",Seventh!I176)</f>
        <v/>
      </c>
      <c r="J1673" s="66" t="str">
        <f>IF(Seventh!J176="", "",Seventh!J176)</f>
        <v/>
      </c>
      <c r="K1673" s="86" t="str">
        <f>IF(Seventh!K176="", "",Seventh!K176)</f>
        <v/>
      </c>
      <c r="M1673" s="67" t="str">
        <f t="shared" si="80"/>
        <v/>
      </c>
      <c r="N1673" s="76" t="str">
        <f t="shared" si="81"/>
        <v/>
      </c>
      <c r="O1673" s="33">
        <f t="shared" si="79"/>
        <v>0</v>
      </c>
    </row>
    <row r="1674" spans="1:15" x14ac:dyDescent="0.25">
      <c r="A1674" s="64" t="s">
        <v>180</v>
      </c>
      <c r="B1674" s="79" t="str">
        <f>IF(Seventh!B177="", "",Seventh!B177)</f>
        <v/>
      </c>
      <c r="C1674" s="66" t="str">
        <f>IF(Seventh!C177="", "",Seventh!C177)</f>
        <v/>
      </c>
      <c r="D1674" s="66" t="str">
        <f>IF(Seventh!D177="", "",Seventh!D177)</f>
        <v/>
      </c>
      <c r="E1674" s="66" t="str">
        <f>IF(Seventh!E177="", "",Seventh!E177)</f>
        <v/>
      </c>
      <c r="F1674" s="66" t="str">
        <f>IF(Seventh!F177="", "",Seventh!F177)</f>
        <v/>
      </c>
      <c r="G1674" s="66" t="str">
        <f>IF(Seventh!G177="", "",Seventh!G177)</f>
        <v/>
      </c>
      <c r="H1674" s="66" t="str">
        <f>IF(Seventh!H177="", "",Seventh!H177)</f>
        <v/>
      </c>
      <c r="I1674" s="66" t="str">
        <f>IF(Seventh!I177="", "",Seventh!I177)</f>
        <v/>
      </c>
      <c r="J1674" s="66" t="str">
        <f>IF(Seventh!J177="", "",Seventh!J177)</f>
        <v/>
      </c>
      <c r="K1674" s="86" t="str">
        <f>IF(Seventh!K177="", "",Seventh!K177)</f>
        <v/>
      </c>
      <c r="M1674" s="67" t="str">
        <f t="shared" si="80"/>
        <v/>
      </c>
      <c r="N1674" s="76" t="str">
        <f t="shared" si="81"/>
        <v/>
      </c>
      <c r="O1674" s="33">
        <f t="shared" si="79"/>
        <v>0</v>
      </c>
    </row>
    <row r="1675" spans="1:15" x14ac:dyDescent="0.25">
      <c r="A1675" s="64" t="s">
        <v>180</v>
      </c>
      <c r="B1675" s="79" t="str">
        <f>IF(Seventh!B178="", "",Seventh!B178)</f>
        <v/>
      </c>
      <c r="C1675" s="66" t="str">
        <f>IF(Seventh!C178="", "",Seventh!C178)</f>
        <v/>
      </c>
      <c r="D1675" s="66" t="str">
        <f>IF(Seventh!D178="", "",Seventh!D178)</f>
        <v/>
      </c>
      <c r="E1675" s="66" t="str">
        <f>IF(Seventh!E178="", "",Seventh!E178)</f>
        <v/>
      </c>
      <c r="F1675" s="66" t="str">
        <f>IF(Seventh!F178="", "",Seventh!F178)</f>
        <v/>
      </c>
      <c r="G1675" s="66" t="str">
        <f>IF(Seventh!G178="", "",Seventh!G178)</f>
        <v/>
      </c>
      <c r="H1675" s="66" t="str">
        <f>IF(Seventh!H178="", "",Seventh!H178)</f>
        <v/>
      </c>
      <c r="I1675" s="66" t="str">
        <f>IF(Seventh!I178="", "",Seventh!I178)</f>
        <v/>
      </c>
      <c r="J1675" s="66" t="str">
        <f>IF(Seventh!J178="", "",Seventh!J178)</f>
        <v/>
      </c>
      <c r="K1675" s="86" t="str">
        <f>IF(Seventh!K178="", "",Seventh!K178)</f>
        <v/>
      </c>
      <c r="M1675" s="67" t="str">
        <f t="shared" si="80"/>
        <v/>
      </c>
      <c r="N1675" s="76" t="str">
        <f t="shared" si="81"/>
        <v/>
      </c>
      <c r="O1675" s="33">
        <f t="shared" si="79"/>
        <v>0</v>
      </c>
    </row>
    <row r="1676" spans="1:15" x14ac:dyDescent="0.25">
      <c r="A1676" s="64" t="s">
        <v>180</v>
      </c>
      <c r="B1676" s="79" t="str">
        <f>IF(Seventh!B179="", "",Seventh!B179)</f>
        <v/>
      </c>
      <c r="C1676" s="66" t="str">
        <f>IF(Seventh!C179="", "",Seventh!C179)</f>
        <v/>
      </c>
      <c r="D1676" s="66" t="str">
        <f>IF(Seventh!D179="", "",Seventh!D179)</f>
        <v/>
      </c>
      <c r="E1676" s="66" t="str">
        <f>IF(Seventh!E179="", "",Seventh!E179)</f>
        <v/>
      </c>
      <c r="F1676" s="66" t="str">
        <f>IF(Seventh!F179="", "",Seventh!F179)</f>
        <v/>
      </c>
      <c r="G1676" s="66" t="str">
        <f>IF(Seventh!G179="", "",Seventh!G179)</f>
        <v/>
      </c>
      <c r="H1676" s="66" t="str">
        <f>IF(Seventh!H179="", "",Seventh!H179)</f>
        <v/>
      </c>
      <c r="I1676" s="66" t="str">
        <f>IF(Seventh!I179="", "",Seventh!I179)</f>
        <v/>
      </c>
      <c r="J1676" s="66" t="str">
        <f>IF(Seventh!J179="", "",Seventh!J179)</f>
        <v/>
      </c>
      <c r="K1676" s="86" t="str">
        <f>IF(Seventh!K179="", "",Seventh!K179)</f>
        <v/>
      </c>
      <c r="M1676" s="67" t="str">
        <f t="shared" si="80"/>
        <v/>
      </c>
      <c r="N1676" s="76" t="str">
        <f t="shared" si="81"/>
        <v/>
      </c>
      <c r="O1676" s="33">
        <f t="shared" si="79"/>
        <v>0</v>
      </c>
    </row>
    <row r="1677" spans="1:15" x14ac:dyDescent="0.25">
      <c r="A1677" s="64" t="s">
        <v>180</v>
      </c>
      <c r="B1677" s="79" t="str">
        <f>IF(Seventh!B180="", "",Seventh!B180)</f>
        <v/>
      </c>
      <c r="C1677" s="66" t="str">
        <f>IF(Seventh!C180="", "",Seventh!C180)</f>
        <v/>
      </c>
      <c r="D1677" s="66" t="str">
        <f>IF(Seventh!D180="", "",Seventh!D180)</f>
        <v/>
      </c>
      <c r="E1677" s="66" t="str">
        <f>IF(Seventh!E180="", "",Seventh!E180)</f>
        <v/>
      </c>
      <c r="F1677" s="66" t="str">
        <f>IF(Seventh!F180="", "",Seventh!F180)</f>
        <v/>
      </c>
      <c r="G1677" s="66" t="str">
        <f>IF(Seventh!G180="", "",Seventh!G180)</f>
        <v/>
      </c>
      <c r="H1677" s="66" t="str">
        <f>IF(Seventh!H180="", "",Seventh!H180)</f>
        <v/>
      </c>
      <c r="I1677" s="66" t="str">
        <f>IF(Seventh!I180="", "",Seventh!I180)</f>
        <v/>
      </c>
      <c r="J1677" s="66" t="str">
        <f>IF(Seventh!J180="", "",Seventh!J180)</f>
        <v/>
      </c>
      <c r="K1677" s="86" t="str">
        <f>IF(Seventh!K180="", "",Seventh!K180)</f>
        <v/>
      </c>
      <c r="M1677" s="67" t="str">
        <f t="shared" si="80"/>
        <v/>
      </c>
      <c r="N1677" s="76" t="str">
        <f t="shared" si="81"/>
        <v/>
      </c>
      <c r="O1677" s="33">
        <f t="shared" si="79"/>
        <v>0</v>
      </c>
    </row>
    <row r="1678" spans="1:15" x14ac:dyDescent="0.25">
      <c r="A1678" s="64" t="s">
        <v>180</v>
      </c>
      <c r="B1678" s="79" t="str">
        <f>IF(Seventh!B181="", "",Seventh!B181)</f>
        <v/>
      </c>
      <c r="C1678" s="66" t="str">
        <f>IF(Seventh!C181="", "",Seventh!C181)</f>
        <v/>
      </c>
      <c r="D1678" s="66" t="str">
        <f>IF(Seventh!D181="", "",Seventh!D181)</f>
        <v/>
      </c>
      <c r="E1678" s="66" t="str">
        <f>IF(Seventh!E181="", "",Seventh!E181)</f>
        <v/>
      </c>
      <c r="F1678" s="66" t="str">
        <f>IF(Seventh!F181="", "",Seventh!F181)</f>
        <v/>
      </c>
      <c r="G1678" s="66" t="str">
        <f>IF(Seventh!G181="", "",Seventh!G181)</f>
        <v/>
      </c>
      <c r="H1678" s="66" t="str">
        <f>IF(Seventh!H181="", "",Seventh!H181)</f>
        <v/>
      </c>
      <c r="I1678" s="66" t="str">
        <f>IF(Seventh!I181="", "",Seventh!I181)</f>
        <v/>
      </c>
      <c r="J1678" s="66" t="str">
        <f>IF(Seventh!J181="", "",Seventh!J181)</f>
        <v/>
      </c>
      <c r="K1678" s="86" t="str">
        <f>IF(Seventh!K181="", "",Seventh!K181)</f>
        <v/>
      </c>
      <c r="M1678" s="67" t="str">
        <f t="shared" si="80"/>
        <v/>
      </c>
      <c r="N1678" s="76" t="str">
        <f t="shared" si="81"/>
        <v/>
      </c>
      <c r="O1678" s="33">
        <f t="shared" si="79"/>
        <v>0</v>
      </c>
    </row>
    <row r="1679" spans="1:15" x14ac:dyDescent="0.25">
      <c r="A1679" s="64" t="s">
        <v>180</v>
      </c>
      <c r="B1679" s="79" t="str">
        <f>IF(Seventh!B182="", "",Seventh!B182)</f>
        <v/>
      </c>
      <c r="C1679" s="66" t="str">
        <f>IF(Seventh!C182="", "",Seventh!C182)</f>
        <v/>
      </c>
      <c r="D1679" s="66" t="str">
        <f>IF(Seventh!D182="", "",Seventh!D182)</f>
        <v/>
      </c>
      <c r="E1679" s="66" t="str">
        <f>IF(Seventh!E182="", "",Seventh!E182)</f>
        <v/>
      </c>
      <c r="F1679" s="66" t="str">
        <f>IF(Seventh!F182="", "",Seventh!F182)</f>
        <v/>
      </c>
      <c r="G1679" s="66" t="str">
        <f>IF(Seventh!G182="", "",Seventh!G182)</f>
        <v/>
      </c>
      <c r="H1679" s="66" t="str">
        <f>IF(Seventh!H182="", "",Seventh!H182)</f>
        <v/>
      </c>
      <c r="I1679" s="66" t="str">
        <f>IF(Seventh!I182="", "",Seventh!I182)</f>
        <v/>
      </c>
      <c r="J1679" s="66" t="str">
        <f>IF(Seventh!J182="", "",Seventh!J182)</f>
        <v/>
      </c>
      <c r="K1679" s="86" t="str">
        <f>IF(Seventh!K182="", "",Seventh!K182)</f>
        <v/>
      </c>
      <c r="M1679" s="67" t="str">
        <f t="shared" si="80"/>
        <v/>
      </c>
      <c r="N1679" s="76" t="str">
        <f t="shared" si="81"/>
        <v/>
      </c>
      <c r="O1679" s="33">
        <f t="shared" si="79"/>
        <v>0</v>
      </c>
    </row>
    <row r="1680" spans="1:15" x14ac:dyDescent="0.25">
      <c r="A1680" s="64" t="s">
        <v>180</v>
      </c>
      <c r="B1680" s="79" t="str">
        <f>IF(Seventh!B183="", "",Seventh!B183)</f>
        <v/>
      </c>
      <c r="C1680" s="66" t="str">
        <f>IF(Seventh!C183="", "",Seventh!C183)</f>
        <v/>
      </c>
      <c r="D1680" s="66" t="str">
        <f>IF(Seventh!D183="", "",Seventh!D183)</f>
        <v/>
      </c>
      <c r="E1680" s="66" t="str">
        <f>IF(Seventh!E183="", "",Seventh!E183)</f>
        <v/>
      </c>
      <c r="F1680" s="66" t="str">
        <f>IF(Seventh!F183="", "",Seventh!F183)</f>
        <v/>
      </c>
      <c r="G1680" s="66" t="str">
        <f>IF(Seventh!G183="", "",Seventh!G183)</f>
        <v/>
      </c>
      <c r="H1680" s="66" t="str">
        <f>IF(Seventh!H183="", "",Seventh!H183)</f>
        <v/>
      </c>
      <c r="I1680" s="66" t="str">
        <f>IF(Seventh!I183="", "",Seventh!I183)</f>
        <v/>
      </c>
      <c r="J1680" s="66" t="str">
        <f>IF(Seventh!J183="", "",Seventh!J183)</f>
        <v/>
      </c>
      <c r="K1680" s="86" t="str">
        <f>IF(Seventh!K183="", "",Seventh!K183)</f>
        <v/>
      </c>
      <c r="M1680" s="67" t="str">
        <f t="shared" si="80"/>
        <v/>
      </c>
      <c r="N1680" s="76" t="str">
        <f t="shared" si="81"/>
        <v/>
      </c>
      <c r="O1680" s="33">
        <f t="shared" si="79"/>
        <v>0</v>
      </c>
    </row>
    <row r="1681" spans="1:15" x14ac:dyDescent="0.25">
      <c r="A1681" s="64" t="s">
        <v>180</v>
      </c>
      <c r="B1681" s="79" t="str">
        <f>IF(Seventh!B184="", "",Seventh!B184)</f>
        <v/>
      </c>
      <c r="C1681" s="66" t="str">
        <f>IF(Seventh!C184="", "",Seventh!C184)</f>
        <v/>
      </c>
      <c r="D1681" s="66" t="str">
        <f>IF(Seventh!D184="", "",Seventh!D184)</f>
        <v/>
      </c>
      <c r="E1681" s="66" t="str">
        <f>IF(Seventh!E184="", "",Seventh!E184)</f>
        <v/>
      </c>
      <c r="F1681" s="66" t="str">
        <f>IF(Seventh!F184="", "",Seventh!F184)</f>
        <v/>
      </c>
      <c r="G1681" s="66" t="str">
        <f>IF(Seventh!G184="", "",Seventh!G184)</f>
        <v/>
      </c>
      <c r="H1681" s="66" t="str">
        <f>IF(Seventh!H184="", "",Seventh!H184)</f>
        <v/>
      </c>
      <c r="I1681" s="66" t="str">
        <f>IF(Seventh!I184="", "",Seventh!I184)</f>
        <v/>
      </c>
      <c r="J1681" s="66" t="str">
        <f>IF(Seventh!J184="", "",Seventh!J184)</f>
        <v/>
      </c>
      <c r="K1681" s="86" t="str">
        <f>IF(Seventh!K184="", "",Seventh!K184)</f>
        <v/>
      </c>
      <c r="M1681" s="67" t="str">
        <f t="shared" si="80"/>
        <v/>
      </c>
      <c r="N1681" s="76" t="str">
        <f t="shared" si="81"/>
        <v/>
      </c>
      <c r="O1681" s="33">
        <f t="shared" si="79"/>
        <v>0</v>
      </c>
    </row>
    <row r="1682" spans="1:15" x14ac:dyDescent="0.25">
      <c r="A1682" s="64" t="s">
        <v>180</v>
      </c>
      <c r="B1682" s="79" t="str">
        <f>IF(Seventh!B185="", "",Seventh!B185)</f>
        <v/>
      </c>
      <c r="C1682" s="66" t="str">
        <f>IF(Seventh!C185="", "",Seventh!C185)</f>
        <v/>
      </c>
      <c r="D1682" s="66" t="str">
        <f>IF(Seventh!D185="", "",Seventh!D185)</f>
        <v/>
      </c>
      <c r="E1682" s="66" t="str">
        <f>IF(Seventh!E185="", "",Seventh!E185)</f>
        <v/>
      </c>
      <c r="F1682" s="66" t="str">
        <f>IF(Seventh!F185="", "",Seventh!F185)</f>
        <v/>
      </c>
      <c r="G1682" s="66" t="str">
        <f>IF(Seventh!G185="", "",Seventh!G185)</f>
        <v/>
      </c>
      <c r="H1682" s="66" t="str">
        <f>IF(Seventh!H185="", "",Seventh!H185)</f>
        <v/>
      </c>
      <c r="I1682" s="66" t="str">
        <f>IF(Seventh!I185="", "",Seventh!I185)</f>
        <v/>
      </c>
      <c r="J1682" s="66" t="str">
        <f>IF(Seventh!J185="", "",Seventh!J185)</f>
        <v/>
      </c>
      <c r="K1682" s="86" t="str">
        <f>IF(Seventh!K185="", "",Seventh!K185)</f>
        <v/>
      </c>
      <c r="M1682" s="67" t="str">
        <f t="shared" si="80"/>
        <v/>
      </c>
      <c r="N1682" s="76" t="str">
        <f t="shared" si="81"/>
        <v/>
      </c>
      <c r="O1682" s="33">
        <f t="shared" si="79"/>
        <v>0</v>
      </c>
    </row>
    <row r="1683" spans="1:15" x14ac:dyDescent="0.25">
      <c r="A1683" s="64" t="s">
        <v>180</v>
      </c>
      <c r="B1683" s="79" t="str">
        <f>IF(Seventh!B186="", "",Seventh!B186)</f>
        <v/>
      </c>
      <c r="C1683" s="66" t="str">
        <f>IF(Seventh!C186="", "",Seventh!C186)</f>
        <v/>
      </c>
      <c r="D1683" s="66" t="str">
        <f>IF(Seventh!D186="", "",Seventh!D186)</f>
        <v/>
      </c>
      <c r="E1683" s="66" t="str">
        <f>IF(Seventh!E186="", "",Seventh!E186)</f>
        <v/>
      </c>
      <c r="F1683" s="66" t="str">
        <f>IF(Seventh!F186="", "",Seventh!F186)</f>
        <v/>
      </c>
      <c r="G1683" s="66" t="str">
        <f>IF(Seventh!G186="", "",Seventh!G186)</f>
        <v/>
      </c>
      <c r="H1683" s="66" t="str">
        <f>IF(Seventh!H186="", "",Seventh!H186)</f>
        <v/>
      </c>
      <c r="I1683" s="66" t="str">
        <f>IF(Seventh!I186="", "",Seventh!I186)</f>
        <v/>
      </c>
      <c r="J1683" s="66" t="str">
        <f>IF(Seventh!J186="", "",Seventh!J186)</f>
        <v/>
      </c>
      <c r="K1683" s="86" t="str">
        <f>IF(Seventh!K186="", "",Seventh!K186)</f>
        <v/>
      </c>
      <c r="M1683" s="67" t="str">
        <f t="shared" si="80"/>
        <v/>
      </c>
      <c r="N1683" s="76" t="str">
        <f t="shared" si="81"/>
        <v/>
      </c>
      <c r="O1683" s="33">
        <f t="shared" si="79"/>
        <v>0</v>
      </c>
    </row>
    <row r="1684" spans="1:15" x14ac:dyDescent="0.25">
      <c r="A1684" s="64" t="s">
        <v>180</v>
      </c>
      <c r="B1684" s="79" t="str">
        <f>IF(Seventh!B187="", "",Seventh!B187)</f>
        <v/>
      </c>
      <c r="C1684" s="66" t="str">
        <f>IF(Seventh!C187="", "",Seventh!C187)</f>
        <v/>
      </c>
      <c r="D1684" s="66" t="str">
        <f>IF(Seventh!D187="", "",Seventh!D187)</f>
        <v/>
      </c>
      <c r="E1684" s="66" t="str">
        <f>IF(Seventh!E187="", "",Seventh!E187)</f>
        <v/>
      </c>
      <c r="F1684" s="66" t="str">
        <f>IF(Seventh!F187="", "",Seventh!F187)</f>
        <v/>
      </c>
      <c r="G1684" s="66" t="str">
        <f>IF(Seventh!G187="", "",Seventh!G187)</f>
        <v/>
      </c>
      <c r="H1684" s="66" t="str">
        <f>IF(Seventh!H187="", "",Seventh!H187)</f>
        <v/>
      </c>
      <c r="I1684" s="66" t="str">
        <f>IF(Seventh!I187="", "",Seventh!I187)</f>
        <v/>
      </c>
      <c r="J1684" s="66" t="str">
        <f>IF(Seventh!J187="", "",Seventh!J187)</f>
        <v/>
      </c>
      <c r="K1684" s="86" t="str">
        <f>IF(Seventh!K187="", "",Seventh!K187)</f>
        <v/>
      </c>
      <c r="M1684" s="67" t="str">
        <f t="shared" si="80"/>
        <v/>
      </c>
      <c r="N1684" s="76" t="str">
        <f t="shared" si="81"/>
        <v/>
      </c>
      <c r="O1684" s="33">
        <f t="shared" si="79"/>
        <v>0</v>
      </c>
    </row>
    <row r="1685" spans="1:15" x14ac:dyDescent="0.25">
      <c r="A1685" s="64" t="s">
        <v>180</v>
      </c>
      <c r="B1685" s="79" t="str">
        <f>IF(Seventh!B188="", "",Seventh!B188)</f>
        <v/>
      </c>
      <c r="C1685" s="66" t="str">
        <f>IF(Seventh!C188="", "",Seventh!C188)</f>
        <v/>
      </c>
      <c r="D1685" s="66" t="str">
        <f>IF(Seventh!D188="", "",Seventh!D188)</f>
        <v/>
      </c>
      <c r="E1685" s="66" t="str">
        <f>IF(Seventh!E188="", "",Seventh!E188)</f>
        <v/>
      </c>
      <c r="F1685" s="66" t="str">
        <f>IF(Seventh!F188="", "",Seventh!F188)</f>
        <v/>
      </c>
      <c r="G1685" s="66" t="str">
        <f>IF(Seventh!G188="", "",Seventh!G188)</f>
        <v/>
      </c>
      <c r="H1685" s="66" t="str">
        <f>IF(Seventh!H188="", "",Seventh!H188)</f>
        <v/>
      </c>
      <c r="I1685" s="66" t="str">
        <f>IF(Seventh!I188="", "",Seventh!I188)</f>
        <v/>
      </c>
      <c r="J1685" s="66" t="str">
        <f>IF(Seventh!J188="", "",Seventh!J188)</f>
        <v/>
      </c>
      <c r="K1685" s="86" t="str">
        <f>IF(Seventh!K188="", "",Seventh!K188)</f>
        <v/>
      </c>
      <c r="M1685" s="67" t="str">
        <f t="shared" si="80"/>
        <v/>
      </c>
      <c r="N1685" s="76" t="str">
        <f t="shared" si="81"/>
        <v/>
      </c>
      <c r="O1685" s="33">
        <f t="shared" si="79"/>
        <v>0</v>
      </c>
    </row>
    <row r="1686" spans="1:15" x14ac:dyDescent="0.25">
      <c r="A1686" s="64" t="s">
        <v>180</v>
      </c>
      <c r="B1686" s="79" t="str">
        <f>IF(Seventh!B189="", "",Seventh!B189)</f>
        <v/>
      </c>
      <c r="C1686" s="66" t="str">
        <f>IF(Seventh!C189="", "",Seventh!C189)</f>
        <v/>
      </c>
      <c r="D1686" s="66" t="str">
        <f>IF(Seventh!D189="", "",Seventh!D189)</f>
        <v/>
      </c>
      <c r="E1686" s="66" t="str">
        <f>IF(Seventh!E189="", "",Seventh!E189)</f>
        <v/>
      </c>
      <c r="F1686" s="66" t="str">
        <f>IF(Seventh!F189="", "",Seventh!F189)</f>
        <v/>
      </c>
      <c r="G1686" s="66" t="str">
        <f>IF(Seventh!G189="", "",Seventh!G189)</f>
        <v/>
      </c>
      <c r="H1686" s="66" t="str">
        <f>IF(Seventh!H189="", "",Seventh!H189)</f>
        <v/>
      </c>
      <c r="I1686" s="66" t="str">
        <f>IF(Seventh!I189="", "",Seventh!I189)</f>
        <v/>
      </c>
      <c r="J1686" s="66" t="str">
        <f>IF(Seventh!J189="", "",Seventh!J189)</f>
        <v/>
      </c>
      <c r="K1686" s="86" t="str">
        <f>IF(Seventh!K189="", "",Seventh!K189)</f>
        <v/>
      </c>
      <c r="M1686" s="67" t="str">
        <f t="shared" si="80"/>
        <v/>
      </c>
      <c r="N1686" s="76" t="str">
        <f t="shared" si="81"/>
        <v/>
      </c>
      <c r="O1686" s="33">
        <f t="shared" si="79"/>
        <v>0</v>
      </c>
    </row>
    <row r="1687" spans="1:15" x14ac:dyDescent="0.25">
      <c r="A1687" s="64" t="s">
        <v>180</v>
      </c>
      <c r="B1687" s="79" t="str">
        <f>IF(Seventh!B190="", "",Seventh!B190)</f>
        <v/>
      </c>
      <c r="C1687" s="66" t="str">
        <f>IF(Seventh!C190="", "",Seventh!C190)</f>
        <v/>
      </c>
      <c r="D1687" s="66" t="str">
        <f>IF(Seventh!D190="", "",Seventh!D190)</f>
        <v/>
      </c>
      <c r="E1687" s="66" t="str">
        <f>IF(Seventh!E190="", "",Seventh!E190)</f>
        <v/>
      </c>
      <c r="F1687" s="66" t="str">
        <f>IF(Seventh!F190="", "",Seventh!F190)</f>
        <v/>
      </c>
      <c r="G1687" s="66" t="str">
        <f>IF(Seventh!G190="", "",Seventh!G190)</f>
        <v/>
      </c>
      <c r="H1687" s="66" t="str">
        <f>IF(Seventh!H190="", "",Seventh!H190)</f>
        <v/>
      </c>
      <c r="I1687" s="66" t="str">
        <f>IF(Seventh!I190="", "",Seventh!I190)</f>
        <v/>
      </c>
      <c r="J1687" s="66" t="str">
        <f>IF(Seventh!J190="", "",Seventh!J190)</f>
        <v/>
      </c>
      <c r="K1687" s="86" t="str">
        <f>IF(Seventh!K190="", "",Seventh!K190)</f>
        <v/>
      </c>
      <c r="M1687" s="67" t="str">
        <f t="shared" si="80"/>
        <v/>
      </c>
      <c r="N1687" s="76" t="str">
        <f t="shared" si="81"/>
        <v/>
      </c>
      <c r="O1687" s="33">
        <f t="shared" si="79"/>
        <v>0</v>
      </c>
    </row>
    <row r="1688" spans="1:15" x14ac:dyDescent="0.25">
      <c r="A1688" s="64" t="s">
        <v>180</v>
      </c>
      <c r="B1688" s="79" t="str">
        <f>IF(Seventh!B191="", "",Seventh!B191)</f>
        <v/>
      </c>
      <c r="C1688" s="66" t="str">
        <f>IF(Seventh!C191="", "",Seventh!C191)</f>
        <v/>
      </c>
      <c r="D1688" s="66" t="str">
        <f>IF(Seventh!D191="", "",Seventh!D191)</f>
        <v/>
      </c>
      <c r="E1688" s="66" t="str">
        <f>IF(Seventh!E191="", "",Seventh!E191)</f>
        <v/>
      </c>
      <c r="F1688" s="66" t="str">
        <f>IF(Seventh!F191="", "",Seventh!F191)</f>
        <v/>
      </c>
      <c r="G1688" s="66" t="str">
        <f>IF(Seventh!G191="", "",Seventh!G191)</f>
        <v/>
      </c>
      <c r="H1688" s="66" t="str">
        <f>IF(Seventh!H191="", "",Seventh!H191)</f>
        <v/>
      </c>
      <c r="I1688" s="66" t="str">
        <f>IF(Seventh!I191="", "",Seventh!I191)</f>
        <v/>
      </c>
      <c r="J1688" s="66" t="str">
        <f>IF(Seventh!J191="", "",Seventh!J191)</f>
        <v/>
      </c>
      <c r="K1688" s="86" t="str">
        <f>IF(Seventh!K191="", "",Seventh!K191)</f>
        <v/>
      </c>
      <c r="M1688" s="67" t="str">
        <f t="shared" si="80"/>
        <v/>
      </c>
      <c r="N1688" s="76" t="str">
        <f t="shared" si="81"/>
        <v/>
      </c>
      <c r="O1688" s="33">
        <f t="shared" si="79"/>
        <v>0</v>
      </c>
    </row>
    <row r="1689" spans="1:15" x14ac:dyDescent="0.25">
      <c r="A1689" s="64" t="s">
        <v>180</v>
      </c>
      <c r="B1689" s="79" t="str">
        <f>IF(Seventh!B192="", "",Seventh!B192)</f>
        <v/>
      </c>
      <c r="C1689" s="66" t="str">
        <f>IF(Seventh!C192="", "",Seventh!C192)</f>
        <v/>
      </c>
      <c r="D1689" s="66" t="str">
        <f>IF(Seventh!D192="", "",Seventh!D192)</f>
        <v/>
      </c>
      <c r="E1689" s="66" t="str">
        <f>IF(Seventh!E192="", "",Seventh!E192)</f>
        <v/>
      </c>
      <c r="F1689" s="66" t="str">
        <f>IF(Seventh!F192="", "",Seventh!F192)</f>
        <v/>
      </c>
      <c r="G1689" s="66" t="str">
        <f>IF(Seventh!G192="", "",Seventh!G192)</f>
        <v/>
      </c>
      <c r="H1689" s="66" t="str">
        <f>IF(Seventh!H192="", "",Seventh!H192)</f>
        <v/>
      </c>
      <c r="I1689" s="66" t="str">
        <f>IF(Seventh!I192="", "",Seventh!I192)</f>
        <v/>
      </c>
      <c r="J1689" s="66" t="str">
        <f>IF(Seventh!J192="", "",Seventh!J192)</f>
        <v/>
      </c>
      <c r="K1689" s="86" t="str">
        <f>IF(Seventh!K192="", "",Seventh!K192)</f>
        <v/>
      </c>
      <c r="M1689" s="67" t="str">
        <f t="shared" si="80"/>
        <v/>
      </c>
      <c r="N1689" s="76" t="str">
        <f t="shared" si="81"/>
        <v/>
      </c>
      <c r="O1689" s="33">
        <f t="shared" si="79"/>
        <v>0</v>
      </c>
    </row>
    <row r="1690" spans="1:15" x14ac:dyDescent="0.25">
      <c r="A1690" s="64" t="s">
        <v>180</v>
      </c>
      <c r="B1690" s="79" t="str">
        <f>IF(Seventh!B193="", "",Seventh!B193)</f>
        <v/>
      </c>
      <c r="C1690" s="66" t="str">
        <f>IF(Seventh!C193="", "",Seventh!C193)</f>
        <v/>
      </c>
      <c r="D1690" s="66" t="str">
        <f>IF(Seventh!D193="", "",Seventh!D193)</f>
        <v/>
      </c>
      <c r="E1690" s="66" t="str">
        <f>IF(Seventh!E193="", "",Seventh!E193)</f>
        <v/>
      </c>
      <c r="F1690" s="66" t="str">
        <f>IF(Seventh!F193="", "",Seventh!F193)</f>
        <v/>
      </c>
      <c r="G1690" s="66" t="str">
        <f>IF(Seventh!G193="", "",Seventh!G193)</f>
        <v/>
      </c>
      <c r="H1690" s="66" t="str">
        <f>IF(Seventh!H193="", "",Seventh!H193)</f>
        <v/>
      </c>
      <c r="I1690" s="66" t="str">
        <f>IF(Seventh!I193="", "",Seventh!I193)</f>
        <v/>
      </c>
      <c r="J1690" s="66" t="str">
        <f>IF(Seventh!J193="", "",Seventh!J193)</f>
        <v/>
      </c>
      <c r="K1690" s="86" t="str">
        <f>IF(Seventh!K193="", "",Seventh!K193)</f>
        <v/>
      </c>
      <c r="M1690" s="67" t="str">
        <f t="shared" si="80"/>
        <v/>
      </c>
      <c r="N1690" s="76" t="str">
        <f t="shared" si="81"/>
        <v/>
      </c>
      <c r="O1690" s="33">
        <f t="shared" si="79"/>
        <v>0</v>
      </c>
    </row>
    <row r="1691" spans="1:15" x14ac:dyDescent="0.25">
      <c r="A1691" s="64" t="s">
        <v>180</v>
      </c>
      <c r="B1691" s="79" t="str">
        <f>IF(Seventh!B194="", "",Seventh!B194)</f>
        <v/>
      </c>
      <c r="C1691" s="66" t="str">
        <f>IF(Seventh!C194="", "",Seventh!C194)</f>
        <v/>
      </c>
      <c r="D1691" s="66" t="str">
        <f>IF(Seventh!D194="", "",Seventh!D194)</f>
        <v/>
      </c>
      <c r="E1691" s="66" t="str">
        <f>IF(Seventh!E194="", "",Seventh!E194)</f>
        <v/>
      </c>
      <c r="F1691" s="66" t="str">
        <f>IF(Seventh!F194="", "",Seventh!F194)</f>
        <v/>
      </c>
      <c r="G1691" s="66" t="str">
        <f>IF(Seventh!G194="", "",Seventh!G194)</f>
        <v/>
      </c>
      <c r="H1691" s="66" t="str">
        <f>IF(Seventh!H194="", "",Seventh!H194)</f>
        <v/>
      </c>
      <c r="I1691" s="66" t="str">
        <f>IF(Seventh!I194="", "",Seventh!I194)</f>
        <v/>
      </c>
      <c r="J1691" s="66" t="str">
        <f>IF(Seventh!J194="", "",Seventh!J194)</f>
        <v/>
      </c>
      <c r="K1691" s="86" t="str">
        <f>IF(Seventh!K194="", "",Seventh!K194)</f>
        <v/>
      </c>
      <c r="M1691" s="67" t="str">
        <f t="shared" si="80"/>
        <v/>
      </c>
      <c r="N1691" s="76" t="str">
        <f t="shared" si="81"/>
        <v/>
      </c>
      <c r="O1691" s="33">
        <f t="shared" si="79"/>
        <v>0</v>
      </c>
    </row>
    <row r="1692" spans="1:15" x14ac:dyDescent="0.25">
      <c r="A1692" s="64" t="s">
        <v>180</v>
      </c>
      <c r="B1692" s="79" t="str">
        <f>IF(Seventh!B195="", "",Seventh!B195)</f>
        <v/>
      </c>
      <c r="C1692" s="66" t="str">
        <f>IF(Seventh!C195="", "",Seventh!C195)</f>
        <v/>
      </c>
      <c r="D1692" s="66" t="str">
        <f>IF(Seventh!D195="", "",Seventh!D195)</f>
        <v/>
      </c>
      <c r="E1692" s="66" t="str">
        <f>IF(Seventh!E195="", "",Seventh!E195)</f>
        <v/>
      </c>
      <c r="F1692" s="66" t="str">
        <f>IF(Seventh!F195="", "",Seventh!F195)</f>
        <v/>
      </c>
      <c r="G1692" s="66" t="str">
        <f>IF(Seventh!G195="", "",Seventh!G195)</f>
        <v/>
      </c>
      <c r="H1692" s="66" t="str">
        <f>IF(Seventh!H195="", "",Seventh!H195)</f>
        <v/>
      </c>
      <c r="I1692" s="66" t="str">
        <f>IF(Seventh!I195="", "",Seventh!I195)</f>
        <v/>
      </c>
      <c r="J1692" s="66" t="str">
        <f>IF(Seventh!J195="", "",Seventh!J195)</f>
        <v/>
      </c>
      <c r="K1692" s="86" t="str">
        <f>IF(Seventh!K195="", "",Seventh!K195)</f>
        <v/>
      </c>
      <c r="M1692" s="67" t="str">
        <f t="shared" si="80"/>
        <v/>
      </c>
      <c r="N1692" s="76" t="str">
        <f t="shared" si="81"/>
        <v/>
      </c>
      <c r="O1692" s="33">
        <f t="shared" si="79"/>
        <v>0</v>
      </c>
    </row>
    <row r="1693" spans="1:15" x14ac:dyDescent="0.25">
      <c r="A1693" s="64" t="s">
        <v>180</v>
      </c>
      <c r="B1693" s="79" t="str">
        <f>IF(Seventh!B196="", "",Seventh!B196)</f>
        <v/>
      </c>
      <c r="C1693" s="66" t="str">
        <f>IF(Seventh!C196="", "",Seventh!C196)</f>
        <v/>
      </c>
      <c r="D1693" s="66" t="str">
        <f>IF(Seventh!D196="", "",Seventh!D196)</f>
        <v/>
      </c>
      <c r="E1693" s="66" t="str">
        <f>IF(Seventh!E196="", "",Seventh!E196)</f>
        <v/>
      </c>
      <c r="F1693" s="66" t="str">
        <f>IF(Seventh!F196="", "",Seventh!F196)</f>
        <v/>
      </c>
      <c r="G1693" s="66" t="str">
        <f>IF(Seventh!G196="", "",Seventh!G196)</f>
        <v/>
      </c>
      <c r="H1693" s="66" t="str">
        <f>IF(Seventh!H196="", "",Seventh!H196)</f>
        <v/>
      </c>
      <c r="I1693" s="66" t="str">
        <f>IF(Seventh!I196="", "",Seventh!I196)</f>
        <v/>
      </c>
      <c r="J1693" s="66" t="str">
        <f>IF(Seventh!J196="", "",Seventh!J196)</f>
        <v/>
      </c>
      <c r="K1693" s="86" t="str">
        <f>IF(Seventh!K196="", "",Seventh!K196)</f>
        <v/>
      </c>
      <c r="M1693" s="67" t="str">
        <f t="shared" si="80"/>
        <v/>
      </c>
      <c r="N1693" s="76" t="str">
        <f t="shared" si="81"/>
        <v/>
      </c>
      <c r="O1693" s="33">
        <f t="shared" si="79"/>
        <v>0</v>
      </c>
    </row>
    <row r="1694" spans="1:15" x14ac:dyDescent="0.25">
      <c r="A1694" s="64" t="s">
        <v>180</v>
      </c>
      <c r="B1694" s="79" t="str">
        <f>IF(Seventh!B197="", "",Seventh!B197)</f>
        <v/>
      </c>
      <c r="C1694" s="66" t="str">
        <f>IF(Seventh!C197="", "",Seventh!C197)</f>
        <v/>
      </c>
      <c r="D1694" s="66" t="str">
        <f>IF(Seventh!D197="", "",Seventh!D197)</f>
        <v/>
      </c>
      <c r="E1694" s="66" t="str">
        <f>IF(Seventh!E197="", "",Seventh!E197)</f>
        <v/>
      </c>
      <c r="F1694" s="66" t="str">
        <f>IF(Seventh!F197="", "",Seventh!F197)</f>
        <v/>
      </c>
      <c r="G1694" s="66" t="str">
        <f>IF(Seventh!G197="", "",Seventh!G197)</f>
        <v/>
      </c>
      <c r="H1694" s="66" t="str">
        <f>IF(Seventh!H197="", "",Seventh!H197)</f>
        <v/>
      </c>
      <c r="I1694" s="66" t="str">
        <f>IF(Seventh!I197="", "",Seventh!I197)</f>
        <v/>
      </c>
      <c r="J1694" s="66" t="str">
        <f>IF(Seventh!J197="", "",Seventh!J197)</f>
        <v/>
      </c>
      <c r="K1694" s="86" t="str">
        <f>IF(Seventh!K197="", "",Seventh!K197)</f>
        <v/>
      </c>
      <c r="M1694" s="67" t="str">
        <f t="shared" si="80"/>
        <v/>
      </c>
      <c r="N1694" s="76" t="str">
        <f t="shared" si="81"/>
        <v/>
      </c>
      <c r="O1694" s="33">
        <f t="shared" si="79"/>
        <v>0</v>
      </c>
    </row>
    <row r="1695" spans="1:15" x14ac:dyDescent="0.25">
      <c r="A1695" s="64" t="s">
        <v>180</v>
      </c>
      <c r="B1695" s="79" t="str">
        <f>IF(Seventh!B198="", "",Seventh!B198)</f>
        <v/>
      </c>
      <c r="C1695" s="66" t="str">
        <f>IF(Seventh!C198="", "",Seventh!C198)</f>
        <v/>
      </c>
      <c r="D1695" s="66" t="str">
        <f>IF(Seventh!D198="", "",Seventh!D198)</f>
        <v/>
      </c>
      <c r="E1695" s="66" t="str">
        <f>IF(Seventh!E198="", "",Seventh!E198)</f>
        <v/>
      </c>
      <c r="F1695" s="66" t="str">
        <f>IF(Seventh!F198="", "",Seventh!F198)</f>
        <v/>
      </c>
      <c r="G1695" s="66" t="str">
        <f>IF(Seventh!G198="", "",Seventh!G198)</f>
        <v/>
      </c>
      <c r="H1695" s="66" t="str">
        <f>IF(Seventh!H198="", "",Seventh!H198)</f>
        <v/>
      </c>
      <c r="I1695" s="66" t="str">
        <f>IF(Seventh!I198="", "",Seventh!I198)</f>
        <v/>
      </c>
      <c r="J1695" s="66" t="str">
        <f>IF(Seventh!J198="", "",Seventh!J198)</f>
        <v/>
      </c>
      <c r="K1695" s="86" t="str">
        <f>IF(Seventh!K198="", "",Seventh!K198)</f>
        <v/>
      </c>
      <c r="M1695" s="67" t="str">
        <f t="shared" si="80"/>
        <v/>
      </c>
      <c r="N1695" s="76" t="str">
        <f t="shared" si="81"/>
        <v/>
      </c>
      <c r="O1695" s="33">
        <f t="shared" si="79"/>
        <v>0</v>
      </c>
    </row>
    <row r="1696" spans="1:15" x14ac:dyDescent="0.25">
      <c r="A1696" s="64" t="s">
        <v>180</v>
      </c>
      <c r="B1696" s="79" t="str">
        <f>IF(Seventh!B199="", "",Seventh!B199)</f>
        <v/>
      </c>
      <c r="C1696" s="66" t="str">
        <f>IF(Seventh!C199="", "",Seventh!C199)</f>
        <v/>
      </c>
      <c r="D1696" s="66" t="str">
        <f>IF(Seventh!D199="", "",Seventh!D199)</f>
        <v/>
      </c>
      <c r="E1696" s="66" t="str">
        <f>IF(Seventh!E199="", "",Seventh!E199)</f>
        <v/>
      </c>
      <c r="F1696" s="66" t="str">
        <f>IF(Seventh!F199="", "",Seventh!F199)</f>
        <v/>
      </c>
      <c r="G1696" s="66" t="str">
        <f>IF(Seventh!G199="", "",Seventh!G199)</f>
        <v/>
      </c>
      <c r="H1696" s="66" t="str">
        <f>IF(Seventh!H199="", "",Seventh!H199)</f>
        <v/>
      </c>
      <c r="I1696" s="66" t="str">
        <f>IF(Seventh!I199="", "",Seventh!I199)</f>
        <v/>
      </c>
      <c r="J1696" s="66" t="str">
        <f>IF(Seventh!J199="", "",Seventh!J199)</f>
        <v/>
      </c>
      <c r="K1696" s="86" t="str">
        <f>IF(Seventh!K199="", "",Seventh!K199)</f>
        <v/>
      </c>
      <c r="M1696" s="67" t="str">
        <f t="shared" si="80"/>
        <v/>
      </c>
      <c r="N1696" s="76" t="str">
        <f t="shared" si="81"/>
        <v/>
      </c>
      <c r="O1696" s="33">
        <f t="shared" si="79"/>
        <v>0</v>
      </c>
    </row>
    <row r="1697" spans="1:15" x14ac:dyDescent="0.25">
      <c r="A1697" s="64" t="s">
        <v>180</v>
      </c>
      <c r="B1697" s="79" t="str">
        <f>IF(Seventh!B200="", "",Seventh!B200)</f>
        <v/>
      </c>
      <c r="C1697" s="66" t="str">
        <f>IF(Seventh!C200="", "",Seventh!C200)</f>
        <v/>
      </c>
      <c r="D1697" s="66" t="str">
        <f>IF(Seventh!D200="", "",Seventh!D200)</f>
        <v/>
      </c>
      <c r="E1697" s="66" t="str">
        <f>IF(Seventh!E200="", "",Seventh!E200)</f>
        <v/>
      </c>
      <c r="F1697" s="66" t="str">
        <f>IF(Seventh!F200="", "",Seventh!F200)</f>
        <v/>
      </c>
      <c r="G1697" s="66" t="str">
        <f>IF(Seventh!G200="", "",Seventh!G200)</f>
        <v/>
      </c>
      <c r="H1697" s="66" t="str">
        <f>IF(Seventh!H200="", "",Seventh!H200)</f>
        <v/>
      </c>
      <c r="I1697" s="66" t="str">
        <f>IF(Seventh!I200="", "",Seventh!I200)</f>
        <v/>
      </c>
      <c r="J1697" s="66" t="str">
        <f>IF(Seventh!J200="", "",Seventh!J200)</f>
        <v/>
      </c>
      <c r="K1697" s="86" t="str">
        <f>IF(Seventh!K200="", "",Seventh!K200)</f>
        <v/>
      </c>
      <c r="M1697" s="67" t="str">
        <f t="shared" si="80"/>
        <v/>
      </c>
      <c r="N1697" s="76" t="str">
        <f t="shared" si="81"/>
        <v/>
      </c>
      <c r="O1697" s="33">
        <f t="shared" si="79"/>
        <v>0</v>
      </c>
    </row>
    <row r="1698" spans="1:15" x14ac:dyDescent="0.25">
      <c r="A1698" s="64" t="s">
        <v>180</v>
      </c>
      <c r="B1698" s="79" t="str">
        <f>IF(Seventh!B201="", "",Seventh!B201)</f>
        <v/>
      </c>
      <c r="C1698" s="66" t="str">
        <f>IF(Seventh!C201="", "",Seventh!C201)</f>
        <v/>
      </c>
      <c r="D1698" s="66" t="str">
        <f>IF(Seventh!D201="", "",Seventh!D201)</f>
        <v/>
      </c>
      <c r="E1698" s="66" t="str">
        <f>IF(Seventh!E201="", "",Seventh!E201)</f>
        <v/>
      </c>
      <c r="F1698" s="66" t="str">
        <f>IF(Seventh!F201="", "",Seventh!F201)</f>
        <v/>
      </c>
      <c r="G1698" s="66" t="str">
        <f>IF(Seventh!G201="", "",Seventh!G201)</f>
        <v/>
      </c>
      <c r="H1698" s="66" t="str">
        <f>IF(Seventh!H201="", "",Seventh!H201)</f>
        <v/>
      </c>
      <c r="I1698" s="66" t="str">
        <f>IF(Seventh!I201="", "",Seventh!I201)</f>
        <v/>
      </c>
      <c r="J1698" s="66" t="str">
        <f>IF(Seventh!J201="", "",Seventh!J201)</f>
        <v/>
      </c>
      <c r="K1698" s="86" t="str">
        <f>IF(Seventh!K201="", "",Seventh!K201)</f>
        <v/>
      </c>
      <c r="M1698" s="67" t="str">
        <f t="shared" si="80"/>
        <v/>
      </c>
      <c r="N1698" s="76" t="str">
        <f t="shared" si="81"/>
        <v/>
      </c>
      <c r="O1698" s="33">
        <f t="shared" si="79"/>
        <v>0</v>
      </c>
    </row>
    <row r="1699" spans="1:15" x14ac:dyDescent="0.25">
      <c r="A1699" s="64" t="s">
        <v>180</v>
      </c>
      <c r="B1699" s="79" t="str">
        <f>IF(Seventh!B202="", "",Seventh!B202)</f>
        <v/>
      </c>
      <c r="C1699" s="66" t="str">
        <f>IF(Seventh!C202="", "",Seventh!C202)</f>
        <v/>
      </c>
      <c r="D1699" s="66" t="str">
        <f>IF(Seventh!D202="", "",Seventh!D202)</f>
        <v/>
      </c>
      <c r="E1699" s="66" t="str">
        <f>IF(Seventh!E202="", "",Seventh!E202)</f>
        <v/>
      </c>
      <c r="F1699" s="66" t="str">
        <f>IF(Seventh!F202="", "",Seventh!F202)</f>
        <v/>
      </c>
      <c r="G1699" s="66" t="str">
        <f>IF(Seventh!G202="", "",Seventh!G202)</f>
        <v/>
      </c>
      <c r="H1699" s="66" t="str">
        <f>IF(Seventh!H202="", "",Seventh!H202)</f>
        <v/>
      </c>
      <c r="I1699" s="66" t="str">
        <f>IF(Seventh!I202="", "",Seventh!I202)</f>
        <v/>
      </c>
      <c r="J1699" s="66" t="str">
        <f>IF(Seventh!J202="", "",Seventh!J202)</f>
        <v/>
      </c>
      <c r="K1699" s="86" t="str">
        <f>IF(Seventh!K202="", "",Seventh!K202)</f>
        <v/>
      </c>
      <c r="M1699" s="67" t="str">
        <f t="shared" si="80"/>
        <v/>
      </c>
      <c r="N1699" s="76" t="str">
        <f t="shared" si="81"/>
        <v/>
      </c>
      <c r="O1699" s="33">
        <f t="shared" si="79"/>
        <v>0</v>
      </c>
    </row>
    <row r="1700" spans="1:15" x14ac:dyDescent="0.25">
      <c r="A1700" s="64" t="s">
        <v>180</v>
      </c>
      <c r="B1700" s="79" t="str">
        <f>IF(Seventh!B203="", "",Seventh!B203)</f>
        <v/>
      </c>
      <c r="C1700" s="66" t="str">
        <f>IF(Seventh!C203="", "",Seventh!C203)</f>
        <v/>
      </c>
      <c r="D1700" s="66" t="str">
        <f>IF(Seventh!D203="", "",Seventh!D203)</f>
        <v/>
      </c>
      <c r="E1700" s="66" t="str">
        <f>IF(Seventh!E203="", "",Seventh!E203)</f>
        <v/>
      </c>
      <c r="F1700" s="66" t="str">
        <f>IF(Seventh!F203="", "",Seventh!F203)</f>
        <v/>
      </c>
      <c r="G1700" s="66" t="str">
        <f>IF(Seventh!G203="", "",Seventh!G203)</f>
        <v/>
      </c>
      <c r="H1700" s="66" t="str">
        <f>IF(Seventh!H203="", "",Seventh!H203)</f>
        <v/>
      </c>
      <c r="I1700" s="66" t="str">
        <f>IF(Seventh!I203="", "",Seventh!I203)</f>
        <v/>
      </c>
      <c r="J1700" s="66" t="str">
        <f>IF(Seventh!J203="", "",Seventh!J203)</f>
        <v/>
      </c>
      <c r="K1700" s="86" t="str">
        <f>IF(Seventh!K203="", "",Seventh!K203)</f>
        <v/>
      </c>
      <c r="M1700" s="67" t="str">
        <f t="shared" si="80"/>
        <v/>
      </c>
      <c r="N1700" s="76" t="str">
        <f t="shared" si="81"/>
        <v/>
      </c>
      <c r="O1700" s="33">
        <f t="shared" si="79"/>
        <v>0</v>
      </c>
    </row>
    <row r="1701" spans="1:15" x14ac:dyDescent="0.25">
      <c r="A1701" s="64" t="s">
        <v>180</v>
      </c>
      <c r="B1701" s="79" t="str">
        <f>IF(Seventh!B204="", "",Seventh!B204)</f>
        <v/>
      </c>
      <c r="C1701" s="66" t="str">
        <f>IF(Seventh!C204="", "",Seventh!C204)</f>
        <v/>
      </c>
      <c r="D1701" s="66" t="str">
        <f>IF(Seventh!D204="", "",Seventh!D204)</f>
        <v/>
      </c>
      <c r="E1701" s="66" t="str">
        <f>IF(Seventh!E204="", "",Seventh!E204)</f>
        <v/>
      </c>
      <c r="F1701" s="66" t="str">
        <f>IF(Seventh!F204="", "",Seventh!F204)</f>
        <v/>
      </c>
      <c r="G1701" s="66" t="str">
        <f>IF(Seventh!G204="", "",Seventh!G204)</f>
        <v/>
      </c>
      <c r="H1701" s="66" t="str">
        <f>IF(Seventh!H204="", "",Seventh!H204)</f>
        <v/>
      </c>
      <c r="I1701" s="66" t="str">
        <f>IF(Seventh!I204="", "",Seventh!I204)</f>
        <v/>
      </c>
      <c r="J1701" s="66" t="str">
        <f>IF(Seventh!J204="", "",Seventh!J204)</f>
        <v/>
      </c>
      <c r="K1701" s="86" t="str">
        <f>IF(Seventh!K204="", "",Seventh!K204)</f>
        <v/>
      </c>
      <c r="M1701" s="67" t="str">
        <f t="shared" si="80"/>
        <v/>
      </c>
      <c r="N1701" s="76" t="str">
        <f t="shared" si="81"/>
        <v/>
      </c>
      <c r="O1701" s="33">
        <f t="shared" si="79"/>
        <v>0</v>
      </c>
    </row>
    <row r="1702" spans="1:15" x14ac:dyDescent="0.25">
      <c r="A1702" s="64" t="s">
        <v>180</v>
      </c>
      <c r="B1702" s="79" t="str">
        <f>IF(Seventh!B205="", "",Seventh!B205)</f>
        <v/>
      </c>
      <c r="C1702" s="66" t="str">
        <f>IF(Seventh!C205="", "",Seventh!C205)</f>
        <v/>
      </c>
      <c r="D1702" s="66" t="str">
        <f>IF(Seventh!D205="", "",Seventh!D205)</f>
        <v/>
      </c>
      <c r="E1702" s="66" t="str">
        <f>IF(Seventh!E205="", "",Seventh!E205)</f>
        <v/>
      </c>
      <c r="F1702" s="66" t="str">
        <f>IF(Seventh!F205="", "",Seventh!F205)</f>
        <v/>
      </c>
      <c r="G1702" s="66" t="str">
        <f>IF(Seventh!G205="", "",Seventh!G205)</f>
        <v/>
      </c>
      <c r="H1702" s="66" t="str">
        <f>IF(Seventh!H205="", "",Seventh!H205)</f>
        <v/>
      </c>
      <c r="I1702" s="66" t="str">
        <f>IF(Seventh!I205="", "",Seventh!I205)</f>
        <v/>
      </c>
      <c r="J1702" s="66" t="str">
        <f>IF(Seventh!J205="", "",Seventh!J205)</f>
        <v/>
      </c>
      <c r="K1702" s="86" t="str">
        <f>IF(Seventh!K205="", "",Seventh!K205)</f>
        <v/>
      </c>
      <c r="M1702" s="67" t="str">
        <f t="shared" si="80"/>
        <v/>
      </c>
      <c r="N1702" s="76" t="str">
        <f t="shared" si="81"/>
        <v/>
      </c>
      <c r="O1702" s="33">
        <f t="shared" si="79"/>
        <v>0</v>
      </c>
    </row>
    <row r="1703" spans="1:15" x14ac:dyDescent="0.25">
      <c r="A1703" s="64" t="s">
        <v>180</v>
      </c>
      <c r="B1703" s="79" t="str">
        <f>IF(Seventh!B206="", "",Seventh!B206)</f>
        <v/>
      </c>
      <c r="C1703" s="66" t="str">
        <f>IF(Seventh!C206="", "",Seventh!C206)</f>
        <v/>
      </c>
      <c r="D1703" s="66" t="str">
        <f>IF(Seventh!D206="", "",Seventh!D206)</f>
        <v/>
      </c>
      <c r="E1703" s="66" t="str">
        <f>IF(Seventh!E206="", "",Seventh!E206)</f>
        <v/>
      </c>
      <c r="F1703" s="66" t="str">
        <f>IF(Seventh!F206="", "",Seventh!F206)</f>
        <v/>
      </c>
      <c r="G1703" s="66" t="str">
        <f>IF(Seventh!G206="", "",Seventh!G206)</f>
        <v/>
      </c>
      <c r="H1703" s="66" t="str">
        <f>IF(Seventh!H206="", "",Seventh!H206)</f>
        <v/>
      </c>
      <c r="I1703" s="66" t="str">
        <f>IF(Seventh!I206="", "",Seventh!I206)</f>
        <v/>
      </c>
      <c r="J1703" s="66" t="str">
        <f>IF(Seventh!J206="", "",Seventh!J206)</f>
        <v/>
      </c>
      <c r="K1703" s="86" t="str">
        <f>IF(Seventh!K206="", "",Seventh!K206)</f>
        <v/>
      </c>
      <c r="M1703" s="67" t="str">
        <f t="shared" si="80"/>
        <v/>
      </c>
      <c r="N1703" s="76" t="str">
        <f t="shared" si="81"/>
        <v/>
      </c>
      <c r="O1703" s="33">
        <f t="shared" si="79"/>
        <v>0</v>
      </c>
    </row>
    <row r="1704" spans="1:15" x14ac:dyDescent="0.25">
      <c r="A1704" s="64" t="s">
        <v>180</v>
      </c>
      <c r="B1704" s="79" t="str">
        <f>IF(Seventh!B207="", "",Seventh!B207)</f>
        <v/>
      </c>
      <c r="C1704" s="66" t="str">
        <f>IF(Seventh!C207="", "",Seventh!C207)</f>
        <v/>
      </c>
      <c r="D1704" s="66" t="str">
        <f>IF(Seventh!D207="", "",Seventh!D207)</f>
        <v/>
      </c>
      <c r="E1704" s="66" t="str">
        <f>IF(Seventh!E207="", "",Seventh!E207)</f>
        <v/>
      </c>
      <c r="F1704" s="66" t="str">
        <f>IF(Seventh!F207="", "",Seventh!F207)</f>
        <v/>
      </c>
      <c r="G1704" s="66" t="str">
        <f>IF(Seventh!G207="", "",Seventh!G207)</f>
        <v/>
      </c>
      <c r="H1704" s="66" t="str">
        <f>IF(Seventh!H207="", "",Seventh!H207)</f>
        <v/>
      </c>
      <c r="I1704" s="66" t="str">
        <f>IF(Seventh!I207="", "",Seventh!I207)</f>
        <v/>
      </c>
      <c r="J1704" s="66" t="str">
        <f>IF(Seventh!J207="", "",Seventh!J207)</f>
        <v/>
      </c>
      <c r="K1704" s="86" t="str">
        <f>IF(Seventh!K207="", "",Seventh!K207)</f>
        <v/>
      </c>
      <c r="M1704" s="67" t="str">
        <f t="shared" si="80"/>
        <v/>
      </c>
      <c r="N1704" s="76" t="str">
        <f t="shared" si="81"/>
        <v/>
      </c>
      <c r="O1704" s="33">
        <f t="shared" si="79"/>
        <v>0</v>
      </c>
    </row>
    <row r="1705" spans="1:15" x14ac:dyDescent="0.25">
      <c r="A1705" s="64" t="s">
        <v>180</v>
      </c>
      <c r="B1705" s="79" t="str">
        <f>IF(Seventh!B208="", "",Seventh!B208)</f>
        <v/>
      </c>
      <c r="C1705" s="66" t="str">
        <f>IF(Seventh!C208="", "",Seventh!C208)</f>
        <v/>
      </c>
      <c r="D1705" s="66" t="str">
        <f>IF(Seventh!D208="", "",Seventh!D208)</f>
        <v/>
      </c>
      <c r="E1705" s="66" t="str">
        <f>IF(Seventh!E208="", "",Seventh!E208)</f>
        <v/>
      </c>
      <c r="F1705" s="66" t="str">
        <f>IF(Seventh!F208="", "",Seventh!F208)</f>
        <v/>
      </c>
      <c r="G1705" s="66" t="str">
        <f>IF(Seventh!G208="", "",Seventh!G208)</f>
        <v/>
      </c>
      <c r="H1705" s="66" t="str">
        <f>IF(Seventh!H208="", "",Seventh!H208)</f>
        <v/>
      </c>
      <c r="I1705" s="66" t="str">
        <f>IF(Seventh!I208="", "",Seventh!I208)</f>
        <v/>
      </c>
      <c r="J1705" s="66" t="str">
        <f>IF(Seventh!J208="", "",Seventh!J208)</f>
        <v/>
      </c>
      <c r="K1705" s="86" t="str">
        <f>IF(Seventh!K208="", "",Seventh!K208)</f>
        <v/>
      </c>
      <c r="M1705" s="67" t="str">
        <f t="shared" si="80"/>
        <v/>
      </c>
      <c r="N1705" s="76" t="str">
        <f t="shared" si="81"/>
        <v/>
      </c>
      <c r="O1705" s="33">
        <f t="shared" si="79"/>
        <v>0</v>
      </c>
    </row>
    <row r="1706" spans="1:15" x14ac:dyDescent="0.25">
      <c r="A1706" s="64" t="s">
        <v>180</v>
      </c>
      <c r="B1706" s="79" t="str">
        <f>IF(Seventh!B209="", "",Seventh!B209)</f>
        <v/>
      </c>
      <c r="C1706" s="66" t="str">
        <f>IF(Seventh!C209="", "",Seventh!C209)</f>
        <v/>
      </c>
      <c r="D1706" s="66" t="str">
        <f>IF(Seventh!D209="", "",Seventh!D209)</f>
        <v/>
      </c>
      <c r="E1706" s="66" t="str">
        <f>IF(Seventh!E209="", "",Seventh!E209)</f>
        <v/>
      </c>
      <c r="F1706" s="66" t="str">
        <f>IF(Seventh!F209="", "",Seventh!F209)</f>
        <v/>
      </c>
      <c r="G1706" s="66" t="str">
        <f>IF(Seventh!G209="", "",Seventh!G209)</f>
        <v/>
      </c>
      <c r="H1706" s="66" t="str">
        <f>IF(Seventh!H209="", "",Seventh!H209)</f>
        <v/>
      </c>
      <c r="I1706" s="66" t="str">
        <f>IF(Seventh!I209="", "",Seventh!I209)</f>
        <v/>
      </c>
      <c r="J1706" s="66" t="str">
        <f>IF(Seventh!J209="", "",Seventh!J209)</f>
        <v/>
      </c>
      <c r="K1706" s="86" t="str">
        <f>IF(Seventh!K209="", "",Seventh!K209)</f>
        <v/>
      </c>
      <c r="M1706" s="67" t="str">
        <f t="shared" si="80"/>
        <v/>
      </c>
      <c r="N1706" s="76" t="str">
        <f t="shared" si="81"/>
        <v/>
      </c>
      <c r="O1706" s="33">
        <f t="shared" si="79"/>
        <v>0</v>
      </c>
    </row>
    <row r="1707" spans="1:15" x14ac:dyDescent="0.25">
      <c r="A1707" s="64" t="s">
        <v>180</v>
      </c>
      <c r="B1707" s="79" t="str">
        <f>IF(Seventh!B210="", "",Seventh!B210)</f>
        <v/>
      </c>
      <c r="C1707" s="66" t="str">
        <f>IF(Seventh!C210="", "",Seventh!C210)</f>
        <v/>
      </c>
      <c r="D1707" s="66" t="str">
        <f>IF(Seventh!D210="", "",Seventh!D210)</f>
        <v/>
      </c>
      <c r="E1707" s="66" t="str">
        <f>IF(Seventh!E210="", "",Seventh!E210)</f>
        <v/>
      </c>
      <c r="F1707" s="66" t="str">
        <f>IF(Seventh!F210="", "",Seventh!F210)</f>
        <v/>
      </c>
      <c r="G1707" s="66" t="str">
        <f>IF(Seventh!G210="", "",Seventh!G210)</f>
        <v/>
      </c>
      <c r="H1707" s="66" t="str">
        <f>IF(Seventh!H210="", "",Seventh!H210)</f>
        <v/>
      </c>
      <c r="I1707" s="66" t="str">
        <f>IF(Seventh!I210="", "",Seventh!I210)</f>
        <v/>
      </c>
      <c r="J1707" s="66" t="str">
        <f>IF(Seventh!J210="", "",Seventh!J210)</f>
        <v/>
      </c>
      <c r="K1707" s="86" t="str">
        <f>IF(Seventh!K210="", "",Seventh!K210)</f>
        <v/>
      </c>
      <c r="M1707" s="67" t="str">
        <f t="shared" si="80"/>
        <v/>
      </c>
      <c r="N1707" s="76" t="str">
        <f t="shared" si="81"/>
        <v/>
      </c>
      <c r="O1707" s="33">
        <f t="shared" si="79"/>
        <v>0</v>
      </c>
    </row>
    <row r="1708" spans="1:15" x14ac:dyDescent="0.25">
      <c r="A1708" s="64" t="s">
        <v>180</v>
      </c>
      <c r="B1708" s="79" t="str">
        <f>IF(Seventh!B211="", "",Seventh!B211)</f>
        <v/>
      </c>
      <c r="C1708" s="66" t="str">
        <f>IF(Seventh!C211="", "",Seventh!C211)</f>
        <v/>
      </c>
      <c r="D1708" s="66" t="str">
        <f>IF(Seventh!D211="", "",Seventh!D211)</f>
        <v/>
      </c>
      <c r="E1708" s="66" t="str">
        <f>IF(Seventh!E211="", "",Seventh!E211)</f>
        <v/>
      </c>
      <c r="F1708" s="66" t="str">
        <f>IF(Seventh!F211="", "",Seventh!F211)</f>
        <v/>
      </c>
      <c r="G1708" s="66" t="str">
        <f>IF(Seventh!G211="", "",Seventh!G211)</f>
        <v/>
      </c>
      <c r="H1708" s="66" t="str">
        <f>IF(Seventh!H211="", "",Seventh!H211)</f>
        <v/>
      </c>
      <c r="I1708" s="66" t="str">
        <f>IF(Seventh!I211="", "",Seventh!I211)</f>
        <v/>
      </c>
      <c r="J1708" s="66" t="str">
        <f>IF(Seventh!J211="", "",Seventh!J211)</f>
        <v/>
      </c>
      <c r="K1708" s="86" t="str">
        <f>IF(Seventh!K211="", "",Seventh!K211)</f>
        <v/>
      </c>
      <c r="M1708" s="67" t="str">
        <f t="shared" si="80"/>
        <v/>
      </c>
      <c r="N1708" s="76" t="str">
        <f t="shared" si="81"/>
        <v/>
      </c>
      <c r="O1708" s="33">
        <f t="shared" si="79"/>
        <v>0</v>
      </c>
    </row>
    <row r="1709" spans="1:15" x14ac:dyDescent="0.25">
      <c r="A1709" s="64" t="s">
        <v>180</v>
      </c>
      <c r="B1709" s="79" t="str">
        <f>IF(Seventh!B212="", "",Seventh!B212)</f>
        <v/>
      </c>
      <c r="C1709" s="66" t="str">
        <f>IF(Seventh!C212="", "",Seventh!C212)</f>
        <v/>
      </c>
      <c r="D1709" s="66" t="str">
        <f>IF(Seventh!D212="", "",Seventh!D212)</f>
        <v/>
      </c>
      <c r="E1709" s="66" t="str">
        <f>IF(Seventh!E212="", "",Seventh!E212)</f>
        <v/>
      </c>
      <c r="F1709" s="66" t="str">
        <f>IF(Seventh!F212="", "",Seventh!F212)</f>
        <v/>
      </c>
      <c r="G1709" s="66" t="str">
        <f>IF(Seventh!G212="", "",Seventh!G212)</f>
        <v/>
      </c>
      <c r="H1709" s="66" t="str">
        <f>IF(Seventh!H212="", "",Seventh!H212)</f>
        <v/>
      </c>
      <c r="I1709" s="66" t="str">
        <f>IF(Seventh!I212="", "",Seventh!I212)</f>
        <v/>
      </c>
      <c r="J1709" s="66" t="str">
        <f>IF(Seventh!J212="", "",Seventh!J212)</f>
        <v/>
      </c>
      <c r="K1709" s="86" t="str">
        <f>IF(Seventh!K212="", "",Seventh!K212)</f>
        <v/>
      </c>
      <c r="M1709" s="67" t="str">
        <f t="shared" si="80"/>
        <v/>
      </c>
      <c r="N1709" s="76" t="str">
        <f t="shared" si="81"/>
        <v/>
      </c>
      <c r="O1709" s="33">
        <f t="shared" si="79"/>
        <v>0</v>
      </c>
    </row>
    <row r="1710" spans="1:15" x14ac:dyDescent="0.25">
      <c r="A1710" s="64" t="s">
        <v>180</v>
      </c>
      <c r="B1710" s="79" t="str">
        <f>IF(Seventh!B213="", "",Seventh!B213)</f>
        <v/>
      </c>
      <c r="C1710" s="66" t="str">
        <f>IF(Seventh!C213="", "",Seventh!C213)</f>
        <v/>
      </c>
      <c r="D1710" s="66" t="str">
        <f>IF(Seventh!D213="", "",Seventh!D213)</f>
        <v/>
      </c>
      <c r="E1710" s="66" t="str">
        <f>IF(Seventh!E213="", "",Seventh!E213)</f>
        <v/>
      </c>
      <c r="F1710" s="66" t="str">
        <f>IF(Seventh!F213="", "",Seventh!F213)</f>
        <v/>
      </c>
      <c r="G1710" s="66" t="str">
        <f>IF(Seventh!G213="", "",Seventh!G213)</f>
        <v/>
      </c>
      <c r="H1710" s="66" t="str">
        <f>IF(Seventh!H213="", "",Seventh!H213)</f>
        <v/>
      </c>
      <c r="I1710" s="66" t="str">
        <f>IF(Seventh!I213="", "",Seventh!I213)</f>
        <v/>
      </c>
      <c r="J1710" s="66" t="str">
        <f>IF(Seventh!J213="", "",Seventh!J213)</f>
        <v/>
      </c>
      <c r="K1710" s="86" t="str">
        <f>IF(Seventh!K213="", "",Seventh!K213)</f>
        <v/>
      </c>
      <c r="M1710" s="67" t="str">
        <f t="shared" si="80"/>
        <v/>
      </c>
      <c r="N1710" s="76" t="str">
        <f t="shared" si="81"/>
        <v/>
      </c>
      <c r="O1710" s="33">
        <f t="shared" si="79"/>
        <v>0</v>
      </c>
    </row>
    <row r="1711" spans="1:15" x14ac:dyDescent="0.25">
      <c r="A1711" s="64" t="s">
        <v>180</v>
      </c>
      <c r="B1711" s="79" t="str">
        <f>IF(Seventh!B214="", "",Seventh!B214)</f>
        <v/>
      </c>
      <c r="C1711" s="66" t="str">
        <f>IF(Seventh!C214="", "",Seventh!C214)</f>
        <v/>
      </c>
      <c r="D1711" s="66" t="str">
        <f>IF(Seventh!D214="", "",Seventh!D214)</f>
        <v/>
      </c>
      <c r="E1711" s="66" t="str">
        <f>IF(Seventh!E214="", "",Seventh!E214)</f>
        <v/>
      </c>
      <c r="F1711" s="66" t="str">
        <f>IF(Seventh!F214="", "",Seventh!F214)</f>
        <v/>
      </c>
      <c r="G1711" s="66" t="str">
        <f>IF(Seventh!G214="", "",Seventh!G214)</f>
        <v/>
      </c>
      <c r="H1711" s="66" t="str">
        <f>IF(Seventh!H214="", "",Seventh!H214)</f>
        <v/>
      </c>
      <c r="I1711" s="66" t="str">
        <f>IF(Seventh!I214="", "",Seventh!I214)</f>
        <v/>
      </c>
      <c r="J1711" s="66" t="str">
        <f>IF(Seventh!J214="", "",Seventh!J214)</f>
        <v/>
      </c>
      <c r="K1711" s="86" t="str">
        <f>IF(Seventh!K214="", "",Seventh!K214)</f>
        <v/>
      </c>
      <c r="M1711" s="67" t="str">
        <f t="shared" si="80"/>
        <v/>
      </c>
      <c r="N1711" s="76" t="str">
        <f t="shared" si="81"/>
        <v/>
      </c>
      <c r="O1711" s="33">
        <f t="shared" si="79"/>
        <v>0</v>
      </c>
    </row>
    <row r="1712" spans="1:15" x14ac:dyDescent="0.25">
      <c r="A1712" s="64" t="s">
        <v>180</v>
      </c>
      <c r="B1712" s="79" t="str">
        <f>IF(Seventh!B215="", "",Seventh!B215)</f>
        <v/>
      </c>
      <c r="C1712" s="66" t="str">
        <f>IF(Seventh!C215="", "",Seventh!C215)</f>
        <v/>
      </c>
      <c r="D1712" s="66" t="str">
        <f>IF(Seventh!D215="", "",Seventh!D215)</f>
        <v/>
      </c>
      <c r="E1712" s="66" t="str">
        <f>IF(Seventh!E215="", "",Seventh!E215)</f>
        <v/>
      </c>
      <c r="F1712" s="66" t="str">
        <f>IF(Seventh!F215="", "",Seventh!F215)</f>
        <v/>
      </c>
      <c r="G1712" s="66" t="str">
        <f>IF(Seventh!G215="", "",Seventh!G215)</f>
        <v/>
      </c>
      <c r="H1712" s="66" t="str">
        <f>IF(Seventh!H215="", "",Seventh!H215)</f>
        <v/>
      </c>
      <c r="I1712" s="66" t="str">
        <f>IF(Seventh!I215="", "",Seventh!I215)</f>
        <v/>
      </c>
      <c r="J1712" s="66" t="str">
        <f>IF(Seventh!J215="", "",Seventh!J215)</f>
        <v/>
      </c>
      <c r="K1712" s="86" t="str">
        <f>IF(Seventh!K215="", "",Seventh!K215)</f>
        <v/>
      </c>
      <c r="M1712" s="67" t="str">
        <f t="shared" si="80"/>
        <v/>
      </c>
      <c r="N1712" s="76" t="str">
        <f t="shared" si="81"/>
        <v/>
      </c>
      <c r="O1712" s="33">
        <f t="shared" si="79"/>
        <v>0</v>
      </c>
    </row>
    <row r="1713" spans="1:15" x14ac:dyDescent="0.25">
      <c r="A1713" s="64" t="s">
        <v>180</v>
      </c>
      <c r="B1713" s="79" t="str">
        <f>IF(Seventh!B216="", "",Seventh!B216)</f>
        <v/>
      </c>
      <c r="C1713" s="66" t="str">
        <f>IF(Seventh!C216="", "",Seventh!C216)</f>
        <v/>
      </c>
      <c r="D1713" s="66" t="str">
        <f>IF(Seventh!D216="", "",Seventh!D216)</f>
        <v/>
      </c>
      <c r="E1713" s="66" t="str">
        <f>IF(Seventh!E216="", "",Seventh!E216)</f>
        <v/>
      </c>
      <c r="F1713" s="66" t="str">
        <f>IF(Seventh!F216="", "",Seventh!F216)</f>
        <v/>
      </c>
      <c r="G1713" s="66" t="str">
        <f>IF(Seventh!G216="", "",Seventh!G216)</f>
        <v/>
      </c>
      <c r="H1713" s="66" t="str">
        <f>IF(Seventh!H216="", "",Seventh!H216)</f>
        <v/>
      </c>
      <c r="I1713" s="66" t="str">
        <f>IF(Seventh!I216="", "",Seventh!I216)</f>
        <v/>
      </c>
      <c r="J1713" s="66" t="str">
        <f>IF(Seventh!J216="", "",Seventh!J216)</f>
        <v/>
      </c>
      <c r="K1713" s="86" t="str">
        <f>IF(Seventh!K216="", "",Seventh!K216)</f>
        <v/>
      </c>
      <c r="M1713" s="67" t="str">
        <f t="shared" si="80"/>
        <v/>
      </c>
      <c r="N1713" s="76" t="str">
        <f t="shared" si="81"/>
        <v/>
      </c>
      <c r="O1713" s="33">
        <f t="shared" si="79"/>
        <v>0</v>
      </c>
    </row>
    <row r="1714" spans="1:15" x14ac:dyDescent="0.25">
      <c r="A1714" s="64" t="s">
        <v>180</v>
      </c>
      <c r="B1714" s="79" t="str">
        <f>IF(Seventh!B217="", "",Seventh!B217)</f>
        <v/>
      </c>
      <c r="C1714" s="66" t="str">
        <f>IF(Seventh!C217="", "",Seventh!C217)</f>
        <v/>
      </c>
      <c r="D1714" s="66" t="str">
        <f>IF(Seventh!D217="", "",Seventh!D217)</f>
        <v/>
      </c>
      <c r="E1714" s="66" t="str">
        <f>IF(Seventh!E217="", "",Seventh!E217)</f>
        <v/>
      </c>
      <c r="F1714" s="66" t="str">
        <f>IF(Seventh!F217="", "",Seventh!F217)</f>
        <v/>
      </c>
      <c r="G1714" s="66" t="str">
        <f>IF(Seventh!G217="", "",Seventh!G217)</f>
        <v/>
      </c>
      <c r="H1714" s="66" t="str">
        <f>IF(Seventh!H217="", "",Seventh!H217)</f>
        <v/>
      </c>
      <c r="I1714" s="66" t="str">
        <f>IF(Seventh!I217="", "",Seventh!I217)</f>
        <v/>
      </c>
      <c r="J1714" s="66" t="str">
        <f>IF(Seventh!J217="", "",Seventh!J217)</f>
        <v/>
      </c>
      <c r="K1714" s="86" t="str">
        <f>IF(Seventh!K217="", "",Seventh!K217)</f>
        <v/>
      </c>
      <c r="M1714" s="67" t="str">
        <f t="shared" si="80"/>
        <v/>
      </c>
      <c r="N1714" s="76" t="str">
        <f t="shared" si="81"/>
        <v/>
      </c>
      <c r="O1714" s="33">
        <f t="shared" si="79"/>
        <v>0</v>
      </c>
    </row>
    <row r="1715" spans="1:15" x14ac:dyDescent="0.25">
      <c r="A1715" s="64" t="s">
        <v>180</v>
      </c>
      <c r="B1715" s="79" t="str">
        <f>IF(Seventh!B218="", "",Seventh!B218)</f>
        <v/>
      </c>
      <c r="C1715" s="66" t="str">
        <f>IF(Seventh!C218="", "",Seventh!C218)</f>
        <v/>
      </c>
      <c r="D1715" s="66" t="str">
        <f>IF(Seventh!D218="", "",Seventh!D218)</f>
        <v/>
      </c>
      <c r="E1715" s="66" t="str">
        <f>IF(Seventh!E218="", "",Seventh!E218)</f>
        <v/>
      </c>
      <c r="F1715" s="66" t="str">
        <f>IF(Seventh!F218="", "",Seventh!F218)</f>
        <v/>
      </c>
      <c r="G1715" s="66" t="str">
        <f>IF(Seventh!G218="", "",Seventh!G218)</f>
        <v/>
      </c>
      <c r="H1715" s="66" t="str">
        <f>IF(Seventh!H218="", "",Seventh!H218)</f>
        <v/>
      </c>
      <c r="I1715" s="66" t="str">
        <f>IF(Seventh!I218="", "",Seventh!I218)</f>
        <v/>
      </c>
      <c r="J1715" s="66" t="str">
        <f>IF(Seventh!J218="", "",Seventh!J218)</f>
        <v/>
      </c>
      <c r="K1715" s="86" t="str">
        <f>IF(Seventh!K218="", "",Seventh!K218)</f>
        <v/>
      </c>
      <c r="M1715" s="67" t="str">
        <f t="shared" si="80"/>
        <v/>
      </c>
      <c r="N1715" s="76" t="str">
        <f t="shared" si="81"/>
        <v/>
      </c>
      <c r="O1715" s="33">
        <f t="shared" si="79"/>
        <v>0</v>
      </c>
    </row>
    <row r="1716" spans="1:15" x14ac:dyDescent="0.25">
      <c r="A1716" s="64" t="s">
        <v>180</v>
      </c>
      <c r="B1716" s="79" t="str">
        <f>IF(Seventh!B219="", "",Seventh!B219)</f>
        <v/>
      </c>
      <c r="C1716" s="66" t="str">
        <f>IF(Seventh!C219="", "",Seventh!C219)</f>
        <v/>
      </c>
      <c r="D1716" s="66" t="str">
        <f>IF(Seventh!D219="", "",Seventh!D219)</f>
        <v/>
      </c>
      <c r="E1716" s="66" t="str">
        <f>IF(Seventh!E219="", "",Seventh!E219)</f>
        <v/>
      </c>
      <c r="F1716" s="66" t="str">
        <f>IF(Seventh!F219="", "",Seventh!F219)</f>
        <v/>
      </c>
      <c r="G1716" s="66" t="str">
        <f>IF(Seventh!G219="", "",Seventh!G219)</f>
        <v/>
      </c>
      <c r="H1716" s="66" t="str">
        <f>IF(Seventh!H219="", "",Seventh!H219)</f>
        <v/>
      </c>
      <c r="I1716" s="66" t="str">
        <f>IF(Seventh!I219="", "",Seventh!I219)</f>
        <v/>
      </c>
      <c r="J1716" s="66" t="str">
        <f>IF(Seventh!J219="", "",Seventh!J219)</f>
        <v/>
      </c>
      <c r="K1716" s="86" t="str">
        <f>IF(Seventh!K219="", "",Seventh!K219)</f>
        <v/>
      </c>
      <c r="M1716" s="67" t="str">
        <f t="shared" si="80"/>
        <v/>
      </c>
      <c r="N1716" s="76" t="str">
        <f t="shared" si="81"/>
        <v/>
      </c>
      <c r="O1716" s="33">
        <f t="shared" si="79"/>
        <v>0</v>
      </c>
    </row>
    <row r="1717" spans="1:15" x14ac:dyDescent="0.25">
      <c r="A1717" s="64" t="s">
        <v>180</v>
      </c>
      <c r="B1717" s="79" t="str">
        <f>IF(Seventh!B220="", "",Seventh!B220)</f>
        <v/>
      </c>
      <c r="C1717" s="66" t="str">
        <f>IF(Seventh!C220="", "",Seventh!C220)</f>
        <v/>
      </c>
      <c r="D1717" s="66" t="str">
        <f>IF(Seventh!D220="", "",Seventh!D220)</f>
        <v/>
      </c>
      <c r="E1717" s="66" t="str">
        <f>IF(Seventh!E220="", "",Seventh!E220)</f>
        <v/>
      </c>
      <c r="F1717" s="66" t="str">
        <f>IF(Seventh!F220="", "",Seventh!F220)</f>
        <v/>
      </c>
      <c r="G1717" s="66" t="str">
        <f>IF(Seventh!G220="", "",Seventh!G220)</f>
        <v/>
      </c>
      <c r="H1717" s="66" t="str">
        <f>IF(Seventh!H220="", "",Seventh!H220)</f>
        <v/>
      </c>
      <c r="I1717" s="66" t="str">
        <f>IF(Seventh!I220="", "",Seventh!I220)</f>
        <v/>
      </c>
      <c r="J1717" s="66" t="str">
        <f>IF(Seventh!J220="", "",Seventh!J220)</f>
        <v/>
      </c>
      <c r="K1717" s="86" t="str">
        <f>IF(Seventh!K220="", "",Seventh!K220)</f>
        <v/>
      </c>
      <c r="M1717" s="67" t="str">
        <f t="shared" si="80"/>
        <v/>
      </c>
      <c r="N1717" s="76" t="str">
        <f t="shared" si="81"/>
        <v/>
      </c>
      <c r="O1717" s="33">
        <f t="shared" si="79"/>
        <v>0</v>
      </c>
    </row>
    <row r="1718" spans="1:15" x14ac:dyDescent="0.25">
      <c r="A1718" s="64" t="s">
        <v>180</v>
      </c>
      <c r="B1718" s="79" t="str">
        <f>IF(Seventh!B221="", "",Seventh!B221)</f>
        <v/>
      </c>
      <c r="C1718" s="66" t="str">
        <f>IF(Seventh!C221="", "",Seventh!C221)</f>
        <v/>
      </c>
      <c r="D1718" s="66" t="str">
        <f>IF(Seventh!D221="", "",Seventh!D221)</f>
        <v/>
      </c>
      <c r="E1718" s="66" t="str">
        <f>IF(Seventh!E221="", "",Seventh!E221)</f>
        <v/>
      </c>
      <c r="F1718" s="66" t="str">
        <f>IF(Seventh!F221="", "",Seventh!F221)</f>
        <v/>
      </c>
      <c r="G1718" s="66" t="str">
        <f>IF(Seventh!G221="", "",Seventh!G221)</f>
        <v/>
      </c>
      <c r="H1718" s="66" t="str">
        <f>IF(Seventh!H221="", "",Seventh!H221)</f>
        <v/>
      </c>
      <c r="I1718" s="66" t="str">
        <f>IF(Seventh!I221="", "",Seventh!I221)</f>
        <v/>
      </c>
      <c r="J1718" s="66" t="str">
        <f>IF(Seventh!J221="", "",Seventh!J221)</f>
        <v/>
      </c>
      <c r="K1718" s="86" t="str">
        <f>IF(Seventh!K221="", "",Seventh!K221)</f>
        <v/>
      </c>
      <c r="M1718" s="67" t="str">
        <f t="shared" si="80"/>
        <v/>
      </c>
      <c r="N1718" s="76" t="str">
        <f t="shared" si="81"/>
        <v/>
      </c>
      <c r="O1718" s="33">
        <f t="shared" si="79"/>
        <v>0</v>
      </c>
    </row>
    <row r="1719" spans="1:15" x14ac:dyDescent="0.25">
      <c r="A1719" s="64" t="s">
        <v>180</v>
      </c>
      <c r="B1719" s="79" t="str">
        <f>IF(Seventh!B222="", "",Seventh!B222)</f>
        <v/>
      </c>
      <c r="C1719" s="66" t="str">
        <f>IF(Seventh!C222="", "",Seventh!C222)</f>
        <v/>
      </c>
      <c r="D1719" s="66" t="str">
        <f>IF(Seventh!D222="", "",Seventh!D222)</f>
        <v/>
      </c>
      <c r="E1719" s="66" t="str">
        <f>IF(Seventh!E222="", "",Seventh!E222)</f>
        <v/>
      </c>
      <c r="F1719" s="66" t="str">
        <f>IF(Seventh!F222="", "",Seventh!F222)</f>
        <v/>
      </c>
      <c r="G1719" s="66" t="str">
        <f>IF(Seventh!G222="", "",Seventh!G222)</f>
        <v/>
      </c>
      <c r="H1719" s="66" t="str">
        <f>IF(Seventh!H222="", "",Seventh!H222)</f>
        <v/>
      </c>
      <c r="I1719" s="66" t="str">
        <f>IF(Seventh!I222="", "",Seventh!I222)</f>
        <v/>
      </c>
      <c r="J1719" s="66" t="str">
        <f>IF(Seventh!J222="", "",Seventh!J222)</f>
        <v/>
      </c>
      <c r="K1719" s="86" t="str">
        <f>IF(Seventh!K222="", "",Seventh!K222)</f>
        <v/>
      </c>
      <c r="M1719" s="67" t="str">
        <f t="shared" si="80"/>
        <v/>
      </c>
      <c r="N1719" s="76" t="str">
        <f t="shared" si="81"/>
        <v/>
      </c>
      <c r="O1719" s="33">
        <f t="shared" si="79"/>
        <v>0</v>
      </c>
    </row>
    <row r="1720" spans="1:15" x14ac:dyDescent="0.25">
      <c r="A1720" s="64" t="s">
        <v>180</v>
      </c>
      <c r="B1720" s="79" t="str">
        <f>IF(Seventh!B223="", "",Seventh!B223)</f>
        <v/>
      </c>
      <c r="C1720" s="66" t="str">
        <f>IF(Seventh!C223="", "",Seventh!C223)</f>
        <v/>
      </c>
      <c r="D1720" s="66" t="str">
        <f>IF(Seventh!D223="", "",Seventh!D223)</f>
        <v/>
      </c>
      <c r="E1720" s="66" t="str">
        <f>IF(Seventh!E223="", "",Seventh!E223)</f>
        <v/>
      </c>
      <c r="F1720" s="66" t="str">
        <f>IF(Seventh!F223="", "",Seventh!F223)</f>
        <v/>
      </c>
      <c r="G1720" s="66" t="str">
        <f>IF(Seventh!G223="", "",Seventh!G223)</f>
        <v/>
      </c>
      <c r="H1720" s="66" t="str">
        <f>IF(Seventh!H223="", "",Seventh!H223)</f>
        <v/>
      </c>
      <c r="I1720" s="66" t="str">
        <f>IF(Seventh!I223="", "",Seventh!I223)</f>
        <v/>
      </c>
      <c r="J1720" s="66" t="str">
        <f>IF(Seventh!J223="", "",Seventh!J223)</f>
        <v/>
      </c>
      <c r="K1720" s="86" t="str">
        <f>IF(Seventh!K223="", "",Seventh!K223)</f>
        <v/>
      </c>
      <c r="M1720" s="67" t="str">
        <f t="shared" si="80"/>
        <v/>
      </c>
      <c r="N1720" s="76" t="str">
        <f t="shared" si="81"/>
        <v/>
      </c>
      <c r="O1720" s="33">
        <f t="shared" si="79"/>
        <v>0</v>
      </c>
    </row>
    <row r="1721" spans="1:15" x14ac:dyDescent="0.25">
      <c r="A1721" s="64" t="s">
        <v>180</v>
      </c>
      <c r="B1721" s="79" t="str">
        <f>IF(Seventh!B224="", "",Seventh!B224)</f>
        <v/>
      </c>
      <c r="C1721" s="66" t="str">
        <f>IF(Seventh!C224="", "",Seventh!C224)</f>
        <v/>
      </c>
      <c r="D1721" s="66" t="str">
        <f>IF(Seventh!D224="", "",Seventh!D224)</f>
        <v/>
      </c>
      <c r="E1721" s="66" t="str">
        <f>IF(Seventh!E224="", "",Seventh!E224)</f>
        <v/>
      </c>
      <c r="F1721" s="66" t="str">
        <f>IF(Seventh!F224="", "",Seventh!F224)</f>
        <v/>
      </c>
      <c r="G1721" s="66" t="str">
        <f>IF(Seventh!G224="", "",Seventh!G224)</f>
        <v/>
      </c>
      <c r="H1721" s="66" t="str">
        <f>IF(Seventh!H224="", "",Seventh!H224)</f>
        <v/>
      </c>
      <c r="I1721" s="66" t="str">
        <f>IF(Seventh!I224="", "",Seventh!I224)</f>
        <v/>
      </c>
      <c r="J1721" s="66" t="str">
        <f>IF(Seventh!J224="", "",Seventh!J224)</f>
        <v/>
      </c>
      <c r="K1721" s="86" t="str">
        <f>IF(Seventh!K224="", "",Seventh!K224)</f>
        <v/>
      </c>
      <c r="M1721" s="67" t="str">
        <f t="shared" si="80"/>
        <v/>
      </c>
      <c r="N1721" s="76" t="str">
        <f t="shared" si="81"/>
        <v/>
      </c>
      <c r="O1721" s="33">
        <f t="shared" si="79"/>
        <v>0</v>
      </c>
    </row>
    <row r="1722" spans="1:15" x14ac:dyDescent="0.25">
      <c r="A1722" s="64" t="s">
        <v>180</v>
      </c>
      <c r="B1722" s="79" t="str">
        <f>IF(Seventh!B225="", "",Seventh!B225)</f>
        <v/>
      </c>
      <c r="C1722" s="66" t="str">
        <f>IF(Seventh!C225="", "",Seventh!C225)</f>
        <v/>
      </c>
      <c r="D1722" s="66" t="str">
        <f>IF(Seventh!D225="", "",Seventh!D225)</f>
        <v/>
      </c>
      <c r="E1722" s="66" t="str">
        <f>IF(Seventh!E225="", "",Seventh!E225)</f>
        <v/>
      </c>
      <c r="F1722" s="66" t="str">
        <f>IF(Seventh!F225="", "",Seventh!F225)</f>
        <v/>
      </c>
      <c r="G1722" s="66" t="str">
        <f>IF(Seventh!G225="", "",Seventh!G225)</f>
        <v/>
      </c>
      <c r="H1722" s="66" t="str">
        <f>IF(Seventh!H225="", "",Seventh!H225)</f>
        <v/>
      </c>
      <c r="I1722" s="66" t="str">
        <f>IF(Seventh!I225="", "",Seventh!I225)</f>
        <v/>
      </c>
      <c r="J1722" s="66" t="str">
        <f>IF(Seventh!J225="", "",Seventh!J225)</f>
        <v/>
      </c>
      <c r="K1722" s="86" t="str">
        <f>IF(Seventh!K225="", "",Seventh!K225)</f>
        <v/>
      </c>
      <c r="M1722" s="67" t="str">
        <f t="shared" si="80"/>
        <v/>
      </c>
      <c r="N1722" s="76" t="str">
        <f t="shared" si="81"/>
        <v/>
      </c>
      <c r="O1722" s="33">
        <f t="shared" si="79"/>
        <v>0</v>
      </c>
    </row>
    <row r="1723" spans="1:15" x14ac:dyDescent="0.25">
      <c r="A1723" s="64" t="s">
        <v>180</v>
      </c>
      <c r="B1723" s="79" t="str">
        <f>IF(Seventh!B226="", "",Seventh!B226)</f>
        <v/>
      </c>
      <c r="C1723" s="66" t="str">
        <f>IF(Seventh!C226="", "",Seventh!C226)</f>
        <v/>
      </c>
      <c r="D1723" s="66" t="str">
        <f>IF(Seventh!D226="", "",Seventh!D226)</f>
        <v/>
      </c>
      <c r="E1723" s="66" t="str">
        <f>IF(Seventh!E226="", "",Seventh!E226)</f>
        <v/>
      </c>
      <c r="F1723" s="66" t="str">
        <f>IF(Seventh!F226="", "",Seventh!F226)</f>
        <v/>
      </c>
      <c r="G1723" s="66" t="str">
        <f>IF(Seventh!G226="", "",Seventh!G226)</f>
        <v/>
      </c>
      <c r="H1723" s="66" t="str">
        <f>IF(Seventh!H226="", "",Seventh!H226)</f>
        <v/>
      </c>
      <c r="I1723" s="66" t="str">
        <f>IF(Seventh!I226="", "",Seventh!I226)</f>
        <v/>
      </c>
      <c r="J1723" s="66" t="str">
        <f>IF(Seventh!J226="", "",Seventh!J226)</f>
        <v/>
      </c>
      <c r="K1723" s="86" t="str">
        <f>IF(Seventh!K226="", "",Seventh!K226)</f>
        <v/>
      </c>
      <c r="M1723" s="67" t="str">
        <f t="shared" si="80"/>
        <v/>
      </c>
      <c r="N1723" s="76" t="str">
        <f t="shared" si="81"/>
        <v/>
      </c>
      <c r="O1723" s="33">
        <f t="shared" si="79"/>
        <v>0</v>
      </c>
    </row>
    <row r="1724" spans="1:15" x14ac:dyDescent="0.25">
      <c r="A1724" s="64" t="s">
        <v>180</v>
      </c>
      <c r="B1724" s="79" t="str">
        <f>IF(Seventh!B227="", "",Seventh!B227)</f>
        <v/>
      </c>
      <c r="C1724" s="66" t="str">
        <f>IF(Seventh!C227="", "",Seventh!C227)</f>
        <v/>
      </c>
      <c r="D1724" s="66" t="str">
        <f>IF(Seventh!D227="", "",Seventh!D227)</f>
        <v/>
      </c>
      <c r="E1724" s="66" t="str">
        <f>IF(Seventh!E227="", "",Seventh!E227)</f>
        <v/>
      </c>
      <c r="F1724" s="66" t="str">
        <f>IF(Seventh!F227="", "",Seventh!F227)</f>
        <v/>
      </c>
      <c r="G1724" s="66" t="str">
        <f>IF(Seventh!G227="", "",Seventh!G227)</f>
        <v/>
      </c>
      <c r="H1724" s="66" t="str">
        <f>IF(Seventh!H227="", "",Seventh!H227)</f>
        <v/>
      </c>
      <c r="I1724" s="66" t="str">
        <f>IF(Seventh!I227="", "",Seventh!I227)</f>
        <v/>
      </c>
      <c r="J1724" s="66" t="str">
        <f>IF(Seventh!J227="", "",Seventh!J227)</f>
        <v/>
      </c>
      <c r="K1724" s="86" t="str">
        <f>IF(Seventh!K227="", "",Seventh!K227)</f>
        <v/>
      </c>
      <c r="M1724" s="67" t="str">
        <f t="shared" si="80"/>
        <v/>
      </c>
      <c r="N1724" s="76" t="str">
        <f t="shared" si="81"/>
        <v/>
      </c>
      <c r="O1724" s="33">
        <f t="shared" si="79"/>
        <v>0</v>
      </c>
    </row>
    <row r="1725" spans="1:15" x14ac:dyDescent="0.25">
      <c r="A1725" s="64" t="s">
        <v>180</v>
      </c>
      <c r="B1725" s="79" t="str">
        <f>IF(Seventh!B228="", "",Seventh!B228)</f>
        <v/>
      </c>
      <c r="C1725" s="66" t="str">
        <f>IF(Seventh!C228="", "",Seventh!C228)</f>
        <v/>
      </c>
      <c r="D1725" s="66" t="str">
        <f>IF(Seventh!D228="", "",Seventh!D228)</f>
        <v/>
      </c>
      <c r="E1725" s="66" t="str">
        <f>IF(Seventh!E228="", "",Seventh!E228)</f>
        <v/>
      </c>
      <c r="F1725" s="66" t="str">
        <f>IF(Seventh!F228="", "",Seventh!F228)</f>
        <v/>
      </c>
      <c r="G1725" s="66" t="str">
        <f>IF(Seventh!G228="", "",Seventh!G228)</f>
        <v/>
      </c>
      <c r="H1725" s="66" t="str">
        <f>IF(Seventh!H228="", "",Seventh!H228)</f>
        <v/>
      </c>
      <c r="I1725" s="66" t="str">
        <f>IF(Seventh!I228="", "",Seventh!I228)</f>
        <v/>
      </c>
      <c r="J1725" s="66" t="str">
        <f>IF(Seventh!J228="", "",Seventh!J228)</f>
        <v/>
      </c>
      <c r="K1725" s="86" t="str">
        <f>IF(Seventh!K228="", "",Seventh!K228)</f>
        <v/>
      </c>
      <c r="M1725" s="67" t="str">
        <f t="shared" si="80"/>
        <v/>
      </c>
      <c r="N1725" s="76" t="str">
        <f t="shared" si="81"/>
        <v/>
      </c>
      <c r="O1725" s="33">
        <f t="shared" si="79"/>
        <v>0</v>
      </c>
    </row>
    <row r="1726" spans="1:15" x14ac:dyDescent="0.25">
      <c r="A1726" s="64" t="s">
        <v>180</v>
      </c>
      <c r="B1726" s="79" t="str">
        <f>IF(Seventh!B229="", "",Seventh!B229)</f>
        <v/>
      </c>
      <c r="C1726" s="66" t="str">
        <f>IF(Seventh!C229="", "",Seventh!C229)</f>
        <v/>
      </c>
      <c r="D1726" s="66" t="str">
        <f>IF(Seventh!D229="", "",Seventh!D229)</f>
        <v/>
      </c>
      <c r="E1726" s="66" t="str">
        <f>IF(Seventh!E229="", "",Seventh!E229)</f>
        <v/>
      </c>
      <c r="F1726" s="66" t="str">
        <f>IF(Seventh!F229="", "",Seventh!F229)</f>
        <v/>
      </c>
      <c r="G1726" s="66" t="str">
        <f>IF(Seventh!G229="", "",Seventh!G229)</f>
        <v/>
      </c>
      <c r="H1726" s="66" t="str">
        <f>IF(Seventh!H229="", "",Seventh!H229)</f>
        <v/>
      </c>
      <c r="I1726" s="66" t="str">
        <f>IF(Seventh!I229="", "",Seventh!I229)</f>
        <v/>
      </c>
      <c r="J1726" s="66" t="str">
        <f>IF(Seventh!J229="", "",Seventh!J229)</f>
        <v/>
      </c>
      <c r="K1726" s="86" t="str">
        <f>IF(Seventh!K229="", "",Seventh!K229)</f>
        <v/>
      </c>
      <c r="M1726" s="67" t="str">
        <f t="shared" si="80"/>
        <v/>
      </c>
      <c r="N1726" s="76" t="str">
        <f t="shared" si="81"/>
        <v/>
      </c>
      <c r="O1726" s="33">
        <f t="shared" si="79"/>
        <v>0</v>
      </c>
    </row>
    <row r="1727" spans="1:15" x14ac:dyDescent="0.25">
      <c r="A1727" s="64" t="s">
        <v>180</v>
      </c>
      <c r="B1727" s="79" t="str">
        <f>IF(Seventh!B230="", "",Seventh!B230)</f>
        <v/>
      </c>
      <c r="C1727" s="66" t="str">
        <f>IF(Seventh!C230="", "",Seventh!C230)</f>
        <v/>
      </c>
      <c r="D1727" s="66" t="str">
        <f>IF(Seventh!D230="", "",Seventh!D230)</f>
        <v/>
      </c>
      <c r="E1727" s="66" t="str">
        <f>IF(Seventh!E230="", "",Seventh!E230)</f>
        <v/>
      </c>
      <c r="F1727" s="66" t="str">
        <f>IF(Seventh!F230="", "",Seventh!F230)</f>
        <v/>
      </c>
      <c r="G1727" s="66" t="str">
        <f>IF(Seventh!G230="", "",Seventh!G230)</f>
        <v/>
      </c>
      <c r="H1727" s="66" t="str">
        <f>IF(Seventh!H230="", "",Seventh!H230)</f>
        <v/>
      </c>
      <c r="I1727" s="66" t="str">
        <f>IF(Seventh!I230="", "",Seventh!I230)</f>
        <v/>
      </c>
      <c r="J1727" s="66" t="str">
        <f>IF(Seventh!J230="", "",Seventh!J230)</f>
        <v/>
      </c>
      <c r="K1727" s="86" t="str">
        <f>IF(Seventh!K230="", "",Seventh!K230)</f>
        <v/>
      </c>
      <c r="M1727" s="67" t="str">
        <f t="shared" si="80"/>
        <v/>
      </c>
      <c r="N1727" s="76" t="str">
        <f t="shared" si="81"/>
        <v/>
      </c>
      <c r="O1727" s="33">
        <f t="shared" si="79"/>
        <v>0</v>
      </c>
    </row>
    <row r="1728" spans="1:15" x14ac:dyDescent="0.25">
      <c r="A1728" s="64" t="s">
        <v>180</v>
      </c>
      <c r="B1728" s="79" t="str">
        <f>IF(Seventh!B231="", "",Seventh!B231)</f>
        <v/>
      </c>
      <c r="C1728" s="66" t="str">
        <f>IF(Seventh!C231="", "",Seventh!C231)</f>
        <v/>
      </c>
      <c r="D1728" s="66" t="str">
        <f>IF(Seventh!D231="", "",Seventh!D231)</f>
        <v/>
      </c>
      <c r="E1728" s="66" t="str">
        <f>IF(Seventh!E231="", "",Seventh!E231)</f>
        <v/>
      </c>
      <c r="F1728" s="66" t="str">
        <f>IF(Seventh!F231="", "",Seventh!F231)</f>
        <v/>
      </c>
      <c r="G1728" s="66" t="str">
        <f>IF(Seventh!G231="", "",Seventh!G231)</f>
        <v/>
      </c>
      <c r="H1728" s="66" t="str">
        <f>IF(Seventh!H231="", "",Seventh!H231)</f>
        <v/>
      </c>
      <c r="I1728" s="66" t="str">
        <f>IF(Seventh!I231="", "",Seventh!I231)</f>
        <v/>
      </c>
      <c r="J1728" s="66" t="str">
        <f>IF(Seventh!J231="", "",Seventh!J231)</f>
        <v/>
      </c>
      <c r="K1728" s="86" t="str">
        <f>IF(Seventh!K231="", "",Seventh!K231)</f>
        <v/>
      </c>
      <c r="M1728" s="67" t="str">
        <f t="shared" si="80"/>
        <v/>
      </c>
      <c r="N1728" s="76" t="str">
        <f t="shared" si="81"/>
        <v/>
      </c>
      <c r="O1728" s="33">
        <f t="shared" si="79"/>
        <v>0</v>
      </c>
    </row>
    <row r="1729" spans="1:15" x14ac:dyDescent="0.25">
      <c r="A1729" s="64" t="s">
        <v>180</v>
      </c>
      <c r="B1729" s="79" t="str">
        <f>IF(Seventh!B232="", "",Seventh!B232)</f>
        <v/>
      </c>
      <c r="C1729" s="66" t="str">
        <f>IF(Seventh!C232="", "",Seventh!C232)</f>
        <v/>
      </c>
      <c r="D1729" s="66" t="str">
        <f>IF(Seventh!D232="", "",Seventh!D232)</f>
        <v/>
      </c>
      <c r="E1729" s="66" t="str">
        <f>IF(Seventh!E232="", "",Seventh!E232)</f>
        <v/>
      </c>
      <c r="F1729" s="66" t="str">
        <f>IF(Seventh!F232="", "",Seventh!F232)</f>
        <v/>
      </c>
      <c r="G1729" s="66" t="str">
        <f>IF(Seventh!G232="", "",Seventh!G232)</f>
        <v/>
      </c>
      <c r="H1729" s="66" t="str">
        <f>IF(Seventh!H232="", "",Seventh!H232)</f>
        <v/>
      </c>
      <c r="I1729" s="66" t="str">
        <f>IF(Seventh!I232="", "",Seventh!I232)</f>
        <v/>
      </c>
      <c r="J1729" s="66" t="str">
        <f>IF(Seventh!J232="", "",Seventh!J232)</f>
        <v/>
      </c>
      <c r="K1729" s="86" t="str">
        <f>IF(Seventh!K232="", "",Seventh!K232)</f>
        <v/>
      </c>
      <c r="M1729" s="67" t="str">
        <f t="shared" si="80"/>
        <v/>
      </c>
      <c r="N1729" s="76" t="str">
        <f t="shared" si="81"/>
        <v/>
      </c>
      <c r="O1729" s="33">
        <f t="shared" si="79"/>
        <v>0</v>
      </c>
    </row>
    <row r="1730" spans="1:15" x14ac:dyDescent="0.25">
      <c r="A1730" s="64" t="s">
        <v>180</v>
      </c>
      <c r="B1730" s="79" t="str">
        <f>IF(Seventh!B233="", "",Seventh!B233)</f>
        <v/>
      </c>
      <c r="C1730" s="66" t="str">
        <f>IF(Seventh!C233="", "",Seventh!C233)</f>
        <v/>
      </c>
      <c r="D1730" s="66" t="str">
        <f>IF(Seventh!D233="", "",Seventh!D233)</f>
        <v/>
      </c>
      <c r="E1730" s="66" t="str">
        <f>IF(Seventh!E233="", "",Seventh!E233)</f>
        <v/>
      </c>
      <c r="F1730" s="66" t="str">
        <f>IF(Seventh!F233="", "",Seventh!F233)</f>
        <v/>
      </c>
      <c r="G1730" s="66" t="str">
        <f>IF(Seventh!G233="", "",Seventh!G233)</f>
        <v/>
      </c>
      <c r="H1730" s="66" t="str">
        <f>IF(Seventh!H233="", "",Seventh!H233)</f>
        <v/>
      </c>
      <c r="I1730" s="66" t="str">
        <f>IF(Seventh!I233="", "",Seventh!I233)</f>
        <v/>
      </c>
      <c r="J1730" s="66" t="str">
        <f>IF(Seventh!J233="", "",Seventh!J233)</f>
        <v/>
      </c>
      <c r="K1730" s="86" t="str">
        <f>IF(Seventh!K233="", "",Seventh!K233)</f>
        <v/>
      </c>
      <c r="M1730" s="67" t="str">
        <f t="shared" si="80"/>
        <v/>
      </c>
      <c r="N1730" s="76" t="str">
        <f t="shared" si="81"/>
        <v/>
      </c>
      <c r="O1730" s="33">
        <f t="shared" ref="O1730:O1793" si="82">SUM(M1730:N1730)</f>
        <v>0</v>
      </c>
    </row>
    <row r="1731" spans="1:15" x14ac:dyDescent="0.25">
      <c r="A1731" s="64" t="s">
        <v>180</v>
      </c>
      <c r="B1731" s="79" t="str">
        <f>IF(Seventh!B234="", "",Seventh!B234)</f>
        <v/>
      </c>
      <c r="C1731" s="66" t="str">
        <f>IF(Seventh!C234="", "",Seventh!C234)</f>
        <v/>
      </c>
      <c r="D1731" s="66" t="str">
        <f>IF(Seventh!D234="", "",Seventh!D234)</f>
        <v/>
      </c>
      <c r="E1731" s="66" t="str">
        <f>IF(Seventh!E234="", "",Seventh!E234)</f>
        <v/>
      </c>
      <c r="F1731" s="66" t="str">
        <f>IF(Seventh!F234="", "",Seventh!F234)</f>
        <v/>
      </c>
      <c r="G1731" s="66" t="str">
        <f>IF(Seventh!G234="", "",Seventh!G234)</f>
        <v/>
      </c>
      <c r="H1731" s="66" t="str">
        <f>IF(Seventh!H234="", "",Seventh!H234)</f>
        <v/>
      </c>
      <c r="I1731" s="66" t="str">
        <f>IF(Seventh!I234="", "",Seventh!I234)</f>
        <v/>
      </c>
      <c r="J1731" s="66" t="str">
        <f>IF(Seventh!J234="", "",Seventh!J234)</f>
        <v/>
      </c>
      <c r="K1731" s="86" t="str">
        <f>IF(Seventh!K234="", "",Seventh!K234)</f>
        <v/>
      </c>
      <c r="M1731" s="67" t="str">
        <f t="shared" ref="M1731:M1794" si="83">IF(C1731="PwC",(7-COUNTIF(B1731:H1731,"")),"")</f>
        <v/>
      </c>
      <c r="N1731" s="76" t="str">
        <f t="shared" ref="N1731:N1794" si="84">IF(C1731="Carer",(7-COUNTIF(B1731:H1731,"")),"")</f>
        <v/>
      </c>
      <c r="O1731" s="33">
        <f t="shared" si="82"/>
        <v>0</v>
      </c>
    </row>
    <row r="1732" spans="1:15" x14ac:dyDescent="0.25">
      <c r="A1732" s="64" t="s">
        <v>180</v>
      </c>
      <c r="B1732" s="79" t="str">
        <f>IF(Seventh!B235="", "",Seventh!B235)</f>
        <v/>
      </c>
      <c r="C1732" s="66" t="str">
        <f>IF(Seventh!C235="", "",Seventh!C235)</f>
        <v/>
      </c>
      <c r="D1732" s="66" t="str">
        <f>IF(Seventh!D235="", "",Seventh!D235)</f>
        <v/>
      </c>
      <c r="E1732" s="66" t="str">
        <f>IF(Seventh!E235="", "",Seventh!E235)</f>
        <v/>
      </c>
      <c r="F1732" s="66" t="str">
        <f>IF(Seventh!F235="", "",Seventh!F235)</f>
        <v/>
      </c>
      <c r="G1732" s="66" t="str">
        <f>IF(Seventh!G235="", "",Seventh!G235)</f>
        <v/>
      </c>
      <c r="H1732" s="66" t="str">
        <f>IF(Seventh!H235="", "",Seventh!H235)</f>
        <v/>
      </c>
      <c r="I1732" s="66" t="str">
        <f>IF(Seventh!I235="", "",Seventh!I235)</f>
        <v/>
      </c>
      <c r="J1732" s="66" t="str">
        <f>IF(Seventh!J235="", "",Seventh!J235)</f>
        <v/>
      </c>
      <c r="K1732" s="86" t="str">
        <f>IF(Seventh!K235="", "",Seventh!K235)</f>
        <v/>
      </c>
      <c r="M1732" s="67" t="str">
        <f t="shared" si="83"/>
        <v/>
      </c>
      <c r="N1732" s="76" t="str">
        <f t="shared" si="84"/>
        <v/>
      </c>
      <c r="O1732" s="33">
        <f t="shared" si="82"/>
        <v>0</v>
      </c>
    </row>
    <row r="1733" spans="1:15" x14ac:dyDescent="0.25">
      <c r="A1733" s="64" t="s">
        <v>180</v>
      </c>
      <c r="B1733" s="79" t="str">
        <f>IF(Seventh!B236="", "",Seventh!B236)</f>
        <v/>
      </c>
      <c r="C1733" s="66" t="str">
        <f>IF(Seventh!C236="", "",Seventh!C236)</f>
        <v/>
      </c>
      <c r="D1733" s="66" t="str">
        <f>IF(Seventh!D236="", "",Seventh!D236)</f>
        <v/>
      </c>
      <c r="E1733" s="66" t="str">
        <f>IF(Seventh!E236="", "",Seventh!E236)</f>
        <v/>
      </c>
      <c r="F1733" s="66" t="str">
        <f>IF(Seventh!F236="", "",Seventh!F236)</f>
        <v/>
      </c>
      <c r="G1733" s="66" t="str">
        <f>IF(Seventh!G236="", "",Seventh!G236)</f>
        <v/>
      </c>
      <c r="H1733" s="66" t="str">
        <f>IF(Seventh!H236="", "",Seventh!H236)</f>
        <v/>
      </c>
      <c r="I1733" s="66" t="str">
        <f>IF(Seventh!I236="", "",Seventh!I236)</f>
        <v/>
      </c>
      <c r="J1733" s="66" t="str">
        <f>IF(Seventh!J236="", "",Seventh!J236)</f>
        <v/>
      </c>
      <c r="K1733" s="86" t="str">
        <f>IF(Seventh!K236="", "",Seventh!K236)</f>
        <v/>
      </c>
      <c r="M1733" s="67" t="str">
        <f t="shared" si="83"/>
        <v/>
      </c>
      <c r="N1733" s="76" t="str">
        <f t="shared" si="84"/>
        <v/>
      </c>
      <c r="O1733" s="33">
        <f t="shared" si="82"/>
        <v>0</v>
      </c>
    </row>
    <row r="1734" spans="1:15" x14ac:dyDescent="0.25">
      <c r="A1734" s="64" t="s">
        <v>180</v>
      </c>
      <c r="B1734" s="79" t="str">
        <f>IF(Seventh!B237="", "",Seventh!B237)</f>
        <v/>
      </c>
      <c r="C1734" s="66" t="str">
        <f>IF(Seventh!C237="", "",Seventh!C237)</f>
        <v/>
      </c>
      <c r="D1734" s="66" t="str">
        <f>IF(Seventh!D237="", "",Seventh!D237)</f>
        <v/>
      </c>
      <c r="E1734" s="66" t="str">
        <f>IF(Seventh!E237="", "",Seventh!E237)</f>
        <v/>
      </c>
      <c r="F1734" s="66" t="str">
        <f>IF(Seventh!F237="", "",Seventh!F237)</f>
        <v/>
      </c>
      <c r="G1734" s="66" t="str">
        <f>IF(Seventh!G237="", "",Seventh!G237)</f>
        <v/>
      </c>
      <c r="H1734" s="66" t="str">
        <f>IF(Seventh!H237="", "",Seventh!H237)</f>
        <v/>
      </c>
      <c r="I1734" s="66" t="str">
        <f>IF(Seventh!I237="", "",Seventh!I237)</f>
        <v/>
      </c>
      <c r="J1734" s="66" t="str">
        <f>IF(Seventh!J237="", "",Seventh!J237)</f>
        <v/>
      </c>
      <c r="K1734" s="86" t="str">
        <f>IF(Seventh!K237="", "",Seventh!K237)</f>
        <v/>
      </c>
      <c r="M1734" s="67" t="str">
        <f t="shared" si="83"/>
        <v/>
      </c>
      <c r="N1734" s="76" t="str">
        <f t="shared" si="84"/>
        <v/>
      </c>
      <c r="O1734" s="33">
        <f t="shared" si="82"/>
        <v>0</v>
      </c>
    </row>
    <row r="1735" spans="1:15" x14ac:dyDescent="0.25">
      <c r="A1735" s="64" t="s">
        <v>180</v>
      </c>
      <c r="B1735" s="79" t="str">
        <f>IF(Seventh!B238="", "",Seventh!B238)</f>
        <v/>
      </c>
      <c r="C1735" s="66" t="str">
        <f>IF(Seventh!C238="", "",Seventh!C238)</f>
        <v/>
      </c>
      <c r="D1735" s="66" t="str">
        <f>IF(Seventh!D238="", "",Seventh!D238)</f>
        <v/>
      </c>
      <c r="E1735" s="66" t="str">
        <f>IF(Seventh!E238="", "",Seventh!E238)</f>
        <v/>
      </c>
      <c r="F1735" s="66" t="str">
        <f>IF(Seventh!F238="", "",Seventh!F238)</f>
        <v/>
      </c>
      <c r="G1735" s="66" t="str">
        <f>IF(Seventh!G238="", "",Seventh!G238)</f>
        <v/>
      </c>
      <c r="H1735" s="66" t="str">
        <f>IF(Seventh!H238="", "",Seventh!H238)</f>
        <v/>
      </c>
      <c r="I1735" s="66" t="str">
        <f>IF(Seventh!I238="", "",Seventh!I238)</f>
        <v/>
      </c>
      <c r="J1735" s="66" t="str">
        <f>IF(Seventh!J238="", "",Seventh!J238)</f>
        <v/>
      </c>
      <c r="K1735" s="86" t="str">
        <f>IF(Seventh!K238="", "",Seventh!K238)</f>
        <v/>
      </c>
      <c r="M1735" s="67" t="str">
        <f t="shared" si="83"/>
        <v/>
      </c>
      <c r="N1735" s="76" t="str">
        <f t="shared" si="84"/>
        <v/>
      </c>
      <c r="O1735" s="33">
        <f t="shared" si="82"/>
        <v>0</v>
      </c>
    </row>
    <row r="1736" spans="1:15" x14ac:dyDescent="0.25">
      <c r="A1736" s="64" t="s">
        <v>180</v>
      </c>
      <c r="B1736" s="79" t="str">
        <f>IF(Seventh!B239="", "",Seventh!B239)</f>
        <v/>
      </c>
      <c r="C1736" s="66" t="str">
        <f>IF(Seventh!C239="", "",Seventh!C239)</f>
        <v/>
      </c>
      <c r="D1736" s="66" t="str">
        <f>IF(Seventh!D239="", "",Seventh!D239)</f>
        <v/>
      </c>
      <c r="E1736" s="66" t="str">
        <f>IF(Seventh!E239="", "",Seventh!E239)</f>
        <v/>
      </c>
      <c r="F1736" s="66" t="str">
        <f>IF(Seventh!F239="", "",Seventh!F239)</f>
        <v/>
      </c>
      <c r="G1736" s="66" t="str">
        <f>IF(Seventh!G239="", "",Seventh!G239)</f>
        <v/>
      </c>
      <c r="H1736" s="66" t="str">
        <f>IF(Seventh!H239="", "",Seventh!H239)</f>
        <v/>
      </c>
      <c r="I1736" s="66" t="str">
        <f>IF(Seventh!I239="", "",Seventh!I239)</f>
        <v/>
      </c>
      <c r="J1736" s="66" t="str">
        <f>IF(Seventh!J239="", "",Seventh!J239)</f>
        <v/>
      </c>
      <c r="K1736" s="86" t="str">
        <f>IF(Seventh!K239="", "",Seventh!K239)</f>
        <v/>
      </c>
      <c r="M1736" s="67" t="str">
        <f t="shared" si="83"/>
        <v/>
      </c>
      <c r="N1736" s="76" t="str">
        <f t="shared" si="84"/>
        <v/>
      </c>
      <c r="O1736" s="33">
        <f t="shared" si="82"/>
        <v>0</v>
      </c>
    </row>
    <row r="1737" spans="1:15" x14ac:dyDescent="0.25">
      <c r="A1737" s="64" t="s">
        <v>180</v>
      </c>
      <c r="B1737" s="79" t="str">
        <f>IF(Seventh!B240="", "",Seventh!B240)</f>
        <v/>
      </c>
      <c r="C1737" s="66" t="str">
        <f>IF(Seventh!C240="", "",Seventh!C240)</f>
        <v/>
      </c>
      <c r="D1737" s="66" t="str">
        <f>IF(Seventh!D240="", "",Seventh!D240)</f>
        <v/>
      </c>
      <c r="E1737" s="66" t="str">
        <f>IF(Seventh!E240="", "",Seventh!E240)</f>
        <v/>
      </c>
      <c r="F1737" s="66" t="str">
        <f>IF(Seventh!F240="", "",Seventh!F240)</f>
        <v/>
      </c>
      <c r="G1737" s="66" t="str">
        <f>IF(Seventh!G240="", "",Seventh!G240)</f>
        <v/>
      </c>
      <c r="H1737" s="66" t="str">
        <f>IF(Seventh!H240="", "",Seventh!H240)</f>
        <v/>
      </c>
      <c r="I1737" s="66" t="str">
        <f>IF(Seventh!I240="", "",Seventh!I240)</f>
        <v/>
      </c>
      <c r="J1737" s="66" t="str">
        <f>IF(Seventh!J240="", "",Seventh!J240)</f>
        <v/>
      </c>
      <c r="K1737" s="86" t="str">
        <f>IF(Seventh!K240="", "",Seventh!K240)</f>
        <v/>
      </c>
      <c r="M1737" s="67" t="str">
        <f t="shared" si="83"/>
        <v/>
      </c>
      <c r="N1737" s="76" t="str">
        <f t="shared" si="84"/>
        <v/>
      </c>
      <c r="O1737" s="33">
        <f t="shared" si="82"/>
        <v>0</v>
      </c>
    </row>
    <row r="1738" spans="1:15" x14ac:dyDescent="0.25">
      <c r="A1738" s="64" t="s">
        <v>180</v>
      </c>
      <c r="B1738" s="79" t="str">
        <f>IF(Seventh!B241="", "",Seventh!B241)</f>
        <v/>
      </c>
      <c r="C1738" s="66" t="str">
        <f>IF(Seventh!C241="", "",Seventh!C241)</f>
        <v/>
      </c>
      <c r="D1738" s="66" t="str">
        <f>IF(Seventh!D241="", "",Seventh!D241)</f>
        <v/>
      </c>
      <c r="E1738" s="66" t="str">
        <f>IF(Seventh!E241="", "",Seventh!E241)</f>
        <v/>
      </c>
      <c r="F1738" s="66" t="str">
        <f>IF(Seventh!F241="", "",Seventh!F241)</f>
        <v/>
      </c>
      <c r="G1738" s="66" t="str">
        <f>IF(Seventh!G241="", "",Seventh!G241)</f>
        <v/>
      </c>
      <c r="H1738" s="66" t="str">
        <f>IF(Seventh!H241="", "",Seventh!H241)</f>
        <v/>
      </c>
      <c r="I1738" s="66" t="str">
        <f>IF(Seventh!I241="", "",Seventh!I241)</f>
        <v/>
      </c>
      <c r="J1738" s="66" t="str">
        <f>IF(Seventh!J241="", "",Seventh!J241)</f>
        <v/>
      </c>
      <c r="K1738" s="86" t="str">
        <f>IF(Seventh!K241="", "",Seventh!K241)</f>
        <v/>
      </c>
      <c r="M1738" s="67" t="str">
        <f t="shared" si="83"/>
        <v/>
      </c>
      <c r="N1738" s="76" t="str">
        <f t="shared" si="84"/>
        <v/>
      </c>
      <c r="O1738" s="33">
        <f t="shared" si="82"/>
        <v>0</v>
      </c>
    </row>
    <row r="1739" spans="1:15" x14ac:dyDescent="0.25">
      <c r="A1739" s="64" t="s">
        <v>180</v>
      </c>
      <c r="B1739" s="79" t="str">
        <f>IF(Seventh!B242="", "",Seventh!B242)</f>
        <v/>
      </c>
      <c r="C1739" s="66" t="str">
        <f>IF(Seventh!C242="", "",Seventh!C242)</f>
        <v/>
      </c>
      <c r="D1739" s="66" t="str">
        <f>IF(Seventh!D242="", "",Seventh!D242)</f>
        <v/>
      </c>
      <c r="E1739" s="66" t="str">
        <f>IF(Seventh!E242="", "",Seventh!E242)</f>
        <v/>
      </c>
      <c r="F1739" s="66" t="str">
        <f>IF(Seventh!F242="", "",Seventh!F242)</f>
        <v/>
      </c>
      <c r="G1739" s="66" t="str">
        <f>IF(Seventh!G242="", "",Seventh!G242)</f>
        <v/>
      </c>
      <c r="H1739" s="66" t="str">
        <f>IF(Seventh!H242="", "",Seventh!H242)</f>
        <v/>
      </c>
      <c r="I1739" s="66" t="str">
        <f>IF(Seventh!I242="", "",Seventh!I242)</f>
        <v/>
      </c>
      <c r="J1739" s="66" t="str">
        <f>IF(Seventh!J242="", "",Seventh!J242)</f>
        <v/>
      </c>
      <c r="K1739" s="86" t="str">
        <f>IF(Seventh!K242="", "",Seventh!K242)</f>
        <v/>
      </c>
      <c r="M1739" s="67" t="str">
        <f t="shared" si="83"/>
        <v/>
      </c>
      <c r="N1739" s="76" t="str">
        <f t="shared" si="84"/>
        <v/>
      </c>
      <c r="O1739" s="33">
        <f t="shared" si="82"/>
        <v>0</v>
      </c>
    </row>
    <row r="1740" spans="1:15" x14ac:dyDescent="0.25">
      <c r="A1740" s="64" t="s">
        <v>180</v>
      </c>
      <c r="B1740" s="79" t="str">
        <f>IF(Seventh!B243="", "",Seventh!B243)</f>
        <v/>
      </c>
      <c r="C1740" s="66" t="str">
        <f>IF(Seventh!C243="", "",Seventh!C243)</f>
        <v/>
      </c>
      <c r="D1740" s="66" t="str">
        <f>IF(Seventh!D243="", "",Seventh!D243)</f>
        <v/>
      </c>
      <c r="E1740" s="66" t="str">
        <f>IF(Seventh!E243="", "",Seventh!E243)</f>
        <v/>
      </c>
      <c r="F1740" s="66" t="str">
        <f>IF(Seventh!F243="", "",Seventh!F243)</f>
        <v/>
      </c>
      <c r="G1740" s="66" t="str">
        <f>IF(Seventh!G243="", "",Seventh!G243)</f>
        <v/>
      </c>
      <c r="H1740" s="66" t="str">
        <f>IF(Seventh!H243="", "",Seventh!H243)</f>
        <v/>
      </c>
      <c r="I1740" s="66" t="str">
        <f>IF(Seventh!I243="", "",Seventh!I243)</f>
        <v/>
      </c>
      <c r="J1740" s="66" t="str">
        <f>IF(Seventh!J243="", "",Seventh!J243)</f>
        <v/>
      </c>
      <c r="K1740" s="86" t="str">
        <f>IF(Seventh!K243="", "",Seventh!K243)</f>
        <v/>
      </c>
      <c r="M1740" s="67" t="str">
        <f t="shared" si="83"/>
        <v/>
      </c>
      <c r="N1740" s="76" t="str">
        <f t="shared" si="84"/>
        <v/>
      </c>
      <c r="O1740" s="33">
        <f t="shared" si="82"/>
        <v>0</v>
      </c>
    </row>
    <row r="1741" spans="1:15" x14ac:dyDescent="0.25">
      <c r="A1741" s="64" t="s">
        <v>180</v>
      </c>
      <c r="B1741" s="79" t="str">
        <f>IF(Seventh!B244="", "",Seventh!B244)</f>
        <v/>
      </c>
      <c r="C1741" s="66" t="str">
        <f>IF(Seventh!C244="", "",Seventh!C244)</f>
        <v/>
      </c>
      <c r="D1741" s="66" t="str">
        <f>IF(Seventh!D244="", "",Seventh!D244)</f>
        <v/>
      </c>
      <c r="E1741" s="66" t="str">
        <f>IF(Seventh!E244="", "",Seventh!E244)</f>
        <v/>
      </c>
      <c r="F1741" s="66" t="str">
        <f>IF(Seventh!F244="", "",Seventh!F244)</f>
        <v/>
      </c>
      <c r="G1741" s="66" t="str">
        <f>IF(Seventh!G244="", "",Seventh!G244)</f>
        <v/>
      </c>
      <c r="H1741" s="66" t="str">
        <f>IF(Seventh!H244="", "",Seventh!H244)</f>
        <v/>
      </c>
      <c r="I1741" s="66" t="str">
        <f>IF(Seventh!I244="", "",Seventh!I244)</f>
        <v/>
      </c>
      <c r="J1741" s="66" t="str">
        <f>IF(Seventh!J244="", "",Seventh!J244)</f>
        <v/>
      </c>
      <c r="K1741" s="86" t="str">
        <f>IF(Seventh!K244="", "",Seventh!K244)</f>
        <v/>
      </c>
      <c r="M1741" s="67" t="str">
        <f t="shared" si="83"/>
        <v/>
      </c>
      <c r="N1741" s="76" t="str">
        <f t="shared" si="84"/>
        <v/>
      </c>
      <c r="O1741" s="33">
        <f t="shared" si="82"/>
        <v>0</v>
      </c>
    </row>
    <row r="1742" spans="1:15" x14ac:dyDescent="0.25">
      <c r="A1742" s="64" t="s">
        <v>180</v>
      </c>
      <c r="B1742" s="79" t="str">
        <f>IF(Seventh!B245="", "",Seventh!B245)</f>
        <v/>
      </c>
      <c r="C1742" s="66" t="str">
        <f>IF(Seventh!C245="", "",Seventh!C245)</f>
        <v/>
      </c>
      <c r="D1742" s="66" t="str">
        <f>IF(Seventh!D245="", "",Seventh!D245)</f>
        <v/>
      </c>
      <c r="E1742" s="66" t="str">
        <f>IF(Seventh!E245="", "",Seventh!E245)</f>
        <v/>
      </c>
      <c r="F1742" s="66" t="str">
        <f>IF(Seventh!F245="", "",Seventh!F245)</f>
        <v/>
      </c>
      <c r="G1742" s="66" t="str">
        <f>IF(Seventh!G245="", "",Seventh!G245)</f>
        <v/>
      </c>
      <c r="H1742" s="66" t="str">
        <f>IF(Seventh!H245="", "",Seventh!H245)</f>
        <v/>
      </c>
      <c r="I1742" s="66" t="str">
        <f>IF(Seventh!I245="", "",Seventh!I245)</f>
        <v/>
      </c>
      <c r="J1742" s="66" t="str">
        <f>IF(Seventh!J245="", "",Seventh!J245)</f>
        <v/>
      </c>
      <c r="K1742" s="86" t="str">
        <f>IF(Seventh!K245="", "",Seventh!K245)</f>
        <v/>
      </c>
      <c r="M1742" s="67" t="str">
        <f t="shared" si="83"/>
        <v/>
      </c>
      <c r="N1742" s="76" t="str">
        <f t="shared" si="84"/>
        <v/>
      </c>
      <c r="O1742" s="33">
        <f t="shared" si="82"/>
        <v>0</v>
      </c>
    </row>
    <row r="1743" spans="1:15" x14ac:dyDescent="0.25">
      <c r="A1743" s="64" t="s">
        <v>180</v>
      </c>
      <c r="B1743" s="79" t="str">
        <f>IF(Seventh!B246="", "",Seventh!B246)</f>
        <v/>
      </c>
      <c r="C1743" s="66" t="str">
        <f>IF(Seventh!C246="", "",Seventh!C246)</f>
        <v/>
      </c>
      <c r="D1743" s="66" t="str">
        <f>IF(Seventh!D246="", "",Seventh!D246)</f>
        <v/>
      </c>
      <c r="E1743" s="66" t="str">
        <f>IF(Seventh!E246="", "",Seventh!E246)</f>
        <v/>
      </c>
      <c r="F1743" s="66" t="str">
        <f>IF(Seventh!F246="", "",Seventh!F246)</f>
        <v/>
      </c>
      <c r="G1743" s="66" t="str">
        <f>IF(Seventh!G246="", "",Seventh!G246)</f>
        <v/>
      </c>
      <c r="H1743" s="66" t="str">
        <f>IF(Seventh!H246="", "",Seventh!H246)</f>
        <v/>
      </c>
      <c r="I1743" s="66" t="str">
        <f>IF(Seventh!I246="", "",Seventh!I246)</f>
        <v/>
      </c>
      <c r="J1743" s="66" t="str">
        <f>IF(Seventh!J246="", "",Seventh!J246)</f>
        <v/>
      </c>
      <c r="K1743" s="86" t="str">
        <f>IF(Seventh!K246="", "",Seventh!K246)</f>
        <v/>
      </c>
      <c r="M1743" s="67" t="str">
        <f t="shared" si="83"/>
        <v/>
      </c>
      <c r="N1743" s="76" t="str">
        <f t="shared" si="84"/>
        <v/>
      </c>
      <c r="O1743" s="33">
        <f t="shared" si="82"/>
        <v>0</v>
      </c>
    </row>
    <row r="1744" spans="1:15" x14ac:dyDescent="0.25">
      <c r="A1744" s="64" t="s">
        <v>180</v>
      </c>
      <c r="B1744" s="79" t="str">
        <f>IF(Seventh!B247="", "",Seventh!B247)</f>
        <v/>
      </c>
      <c r="C1744" s="66" t="str">
        <f>IF(Seventh!C247="", "",Seventh!C247)</f>
        <v/>
      </c>
      <c r="D1744" s="66" t="str">
        <f>IF(Seventh!D247="", "",Seventh!D247)</f>
        <v/>
      </c>
      <c r="E1744" s="66" t="str">
        <f>IF(Seventh!E247="", "",Seventh!E247)</f>
        <v/>
      </c>
      <c r="F1744" s="66" t="str">
        <f>IF(Seventh!F247="", "",Seventh!F247)</f>
        <v/>
      </c>
      <c r="G1744" s="66" t="str">
        <f>IF(Seventh!G247="", "",Seventh!G247)</f>
        <v/>
      </c>
      <c r="H1744" s="66" t="str">
        <f>IF(Seventh!H247="", "",Seventh!H247)</f>
        <v/>
      </c>
      <c r="I1744" s="66" t="str">
        <f>IF(Seventh!I247="", "",Seventh!I247)</f>
        <v/>
      </c>
      <c r="J1744" s="66" t="str">
        <f>IF(Seventh!J247="", "",Seventh!J247)</f>
        <v/>
      </c>
      <c r="K1744" s="86" t="str">
        <f>IF(Seventh!K247="", "",Seventh!K247)</f>
        <v/>
      </c>
      <c r="M1744" s="67" t="str">
        <f t="shared" si="83"/>
        <v/>
      </c>
      <c r="N1744" s="76" t="str">
        <f t="shared" si="84"/>
        <v/>
      </c>
      <c r="O1744" s="33">
        <f t="shared" si="82"/>
        <v>0</v>
      </c>
    </row>
    <row r="1745" spans="1:15" x14ac:dyDescent="0.25">
      <c r="A1745" s="64" t="s">
        <v>180</v>
      </c>
      <c r="B1745" s="79" t="str">
        <f>IF(Seventh!B248="", "",Seventh!B248)</f>
        <v/>
      </c>
      <c r="C1745" s="66" t="str">
        <f>IF(Seventh!C248="", "",Seventh!C248)</f>
        <v/>
      </c>
      <c r="D1745" s="66" t="str">
        <f>IF(Seventh!D248="", "",Seventh!D248)</f>
        <v/>
      </c>
      <c r="E1745" s="66" t="str">
        <f>IF(Seventh!E248="", "",Seventh!E248)</f>
        <v/>
      </c>
      <c r="F1745" s="66" t="str">
        <f>IF(Seventh!F248="", "",Seventh!F248)</f>
        <v/>
      </c>
      <c r="G1745" s="66" t="str">
        <f>IF(Seventh!G248="", "",Seventh!G248)</f>
        <v/>
      </c>
      <c r="H1745" s="66" t="str">
        <f>IF(Seventh!H248="", "",Seventh!H248)</f>
        <v/>
      </c>
      <c r="I1745" s="66" t="str">
        <f>IF(Seventh!I248="", "",Seventh!I248)</f>
        <v/>
      </c>
      <c r="J1745" s="66" t="str">
        <f>IF(Seventh!J248="", "",Seventh!J248)</f>
        <v/>
      </c>
      <c r="K1745" s="86" t="str">
        <f>IF(Seventh!K248="", "",Seventh!K248)</f>
        <v/>
      </c>
      <c r="M1745" s="67" t="str">
        <f t="shared" si="83"/>
        <v/>
      </c>
      <c r="N1745" s="76" t="str">
        <f t="shared" si="84"/>
        <v/>
      </c>
      <c r="O1745" s="33">
        <f t="shared" si="82"/>
        <v>0</v>
      </c>
    </row>
    <row r="1746" spans="1:15" x14ac:dyDescent="0.25">
      <c r="A1746" s="64" t="s">
        <v>180</v>
      </c>
      <c r="B1746" s="79" t="str">
        <f>IF(Seventh!B249="", "",Seventh!B249)</f>
        <v/>
      </c>
      <c r="C1746" s="66" t="str">
        <f>IF(Seventh!C249="", "",Seventh!C249)</f>
        <v/>
      </c>
      <c r="D1746" s="66" t="str">
        <f>IF(Seventh!D249="", "",Seventh!D249)</f>
        <v/>
      </c>
      <c r="E1746" s="66" t="str">
        <f>IF(Seventh!E249="", "",Seventh!E249)</f>
        <v/>
      </c>
      <c r="F1746" s="66" t="str">
        <f>IF(Seventh!F249="", "",Seventh!F249)</f>
        <v/>
      </c>
      <c r="G1746" s="66" t="str">
        <f>IF(Seventh!G249="", "",Seventh!G249)</f>
        <v/>
      </c>
      <c r="H1746" s="66" t="str">
        <f>IF(Seventh!H249="", "",Seventh!H249)</f>
        <v/>
      </c>
      <c r="I1746" s="66" t="str">
        <f>IF(Seventh!I249="", "",Seventh!I249)</f>
        <v/>
      </c>
      <c r="J1746" s="66" t="str">
        <f>IF(Seventh!J249="", "",Seventh!J249)</f>
        <v/>
      </c>
      <c r="K1746" s="86" t="str">
        <f>IF(Seventh!K249="", "",Seventh!K249)</f>
        <v/>
      </c>
      <c r="M1746" s="67" t="str">
        <f t="shared" si="83"/>
        <v/>
      </c>
      <c r="N1746" s="76" t="str">
        <f t="shared" si="84"/>
        <v/>
      </c>
      <c r="O1746" s="33">
        <f t="shared" si="82"/>
        <v>0</v>
      </c>
    </row>
    <row r="1747" spans="1:15" x14ac:dyDescent="0.25">
      <c r="A1747" s="64" t="s">
        <v>180</v>
      </c>
      <c r="B1747" s="79" t="str">
        <f>IF(Seventh!B250="", "",Seventh!B250)</f>
        <v/>
      </c>
      <c r="C1747" s="66" t="str">
        <f>IF(Seventh!C250="", "",Seventh!C250)</f>
        <v/>
      </c>
      <c r="D1747" s="66" t="str">
        <f>IF(Seventh!D250="", "",Seventh!D250)</f>
        <v/>
      </c>
      <c r="E1747" s="66" t="str">
        <f>IF(Seventh!E250="", "",Seventh!E250)</f>
        <v/>
      </c>
      <c r="F1747" s="66" t="str">
        <f>IF(Seventh!F250="", "",Seventh!F250)</f>
        <v/>
      </c>
      <c r="G1747" s="66" t="str">
        <f>IF(Seventh!G250="", "",Seventh!G250)</f>
        <v/>
      </c>
      <c r="H1747" s="66" t="str">
        <f>IF(Seventh!H250="", "",Seventh!H250)</f>
        <v/>
      </c>
      <c r="I1747" s="66" t="str">
        <f>IF(Seventh!I250="", "",Seventh!I250)</f>
        <v/>
      </c>
      <c r="J1747" s="66" t="str">
        <f>IF(Seventh!J250="", "",Seventh!J250)</f>
        <v/>
      </c>
      <c r="K1747" s="86" t="str">
        <f>IF(Seventh!K250="", "",Seventh!K250)</f>
        <v/>
      </c>
      <c r="M1747" s="67" t="str">
        <f t="shared" si="83"/>
        <v/>
      </c>
      <c r="N1747" s="76" t="str">
        <f t="shared" si="84"/>
        <v/>
      </c>
      <c r="O1747" s="33">
        <f t="shared" si="82"/>
        <v>0</v>
      </c>
    </row>
    <row r="1748" spans="1:15" x14ac:dyDescent="0.25">
      <c r="A1748" s="64" t="s">
        <v>180</v>
      </c>
      <c r="B1748" s="79" t="str">
        <f>IF(Seventh!B251="", "",Seventh!B251)</f>
        <v/>
      </c>
      <c r="C1748" s="66" t="str">
        <f>IF(Seventh!C251="", "",Seventh!C251)</f>
        <v/>
      </c>
      <c r="D1748" s="66" t="str">
        <f>IF(Seventh!D251="", "",Seventh!D251)</f>
        <v/>
      </c>
      <c r="E1748" s="66" t="str">
        <f>IF(Seventh!E251="", "",Seventh!E251)</f>
        <v/>
      </c>
      <c r="F1748" s="66" t="str">
        <f>IF(Seventh!F251="", "",Seventh!F251)</f>
        <v/>
      </c>
      <c r="G1748" s="66" t="str">
        <f>IF(Seventh!G251="", "",Seventh!G251)</f>
        <v/>
      </c>
      <c r="H1748" s="66" t="str">
        <f>IF(Seventh!H251="", "",Seventh!H251)</f>
        <v/>
      </c>
      <c r="I1748" s="66" t="str">
        <f>IF(Seventh!I251="", "",Seventh!I251)</f>
        <v/>
      </c>
      <c r="J1748" s="66" t="str">
        <f>IF(Seventh!J251="", "",Seventh!J251)</f>
        <v/>
      </c>
      <c r="K1748" s="86" t="str">
        <f>IF(Seventh!K251="", "",Seventh!K251)</f>
        <v/>
      </c>
      <c r="M1748" s="67" t="str">
        <f t="shared" si="83"/>
        <v/>
      </c>
      <c r="N1748" s="76" t="str">
        <f t="shared" si="84"/>
        <v/>
      </c>
      <c r="O1748" s="33">
        <f t="shared" si="82"/>
        <v>0</v>
      </c>
    </row>
    <row r="1749" spans="1:15" x14ac:dyDescent="0.25">
      <c r="A1749" s="64" t="s">
        <v>180</v>
      </c>
      <c r="B1749" s="79" t="str">
        <f>IF(Seventh!B252="", "",Seventh!B252)</f>
        <v/>
      </c>
      <c r="C1749" s="66" t="str">
        <f>IF(Seventh!C252="", "",Seventh!C252)</f>
        <v/>
      </c>
      <c r="D1749" s="66" t="str">
        <f>IF(Seventh!D252="", "",Seventh!D252)</f>
        <v/>
      </c>
      <c r="E1749" s="66" t="str">
        <f>IF(Seventh!E252="", "",Seventh!E252)</f>
        <v/>
      </c>
      <c r="F1749" s="66" t="str">
        <f>IF(Seventh!F252="", "",Seventh!F252)</f>
        <v/>
      </c>
      <c r="G1749" s="66" t="str">
        <f>IF(Seventh!G252="", "",Seventh!G252)</f>
        <v/>
      </c>
      <c r="H1749" s="66" t="str">
        <f>IF(Seventh!H252="", "",Seventh!H252)</f>
        <v/>
      </c>
      <c r="I1749" s="66" t="str">
        <f>IF(Seventh!I252="", "",Seventh!I252)</f>
        <v/>
      </c>
      <c r="J1749" s="66" t="str">
        <f>IF(Seventh!J252="", "",Seventh!J252)</f>
        <v/>
      </c>
      <c r="K1749" s="86" t="str">
        <f>IF(Seventh!K252="", "",Seventh!K252)</f>
        <v/>
      </c>
      <c r="M1749" s="67" t="str">
        <f t="shared" si="83"/>
        <v/>
      </c>
      <c r="N1749" s="76" t="str">
        <f t="shared" si="84"/>
        <v/>
      </c>
      <c r="O1749" s="33">
        <f t="shared" si="82"/>
        <v>0</v>
      </c>
    </row>
    <row r="1750" spans="1:15" x14ac:dyDescent="0.25">
      <c r="A1750" s="64" t="s">
        <v>180</v>
      </c>
      <c r="B1750" s="79" t="str">
        <f>IF(Seventh!B253="", "",Seventh!B253)</f>
        <v/>
      </c>
      <c r="C1750" s="66" t="str">
        <f>IF(Seventh!C253="", "",Seventh!C253)</f>
        <v/>
      </c>
      <c r="D1750" s="66" t="str">
        <f>IF(Seventh!D253="", "",Seventh!D253)</f>
        <v/>
      </c>
      <c r="E1750" s="66" t="str">
        <f>IF(Seventh!E253="", "",Seventh!E253)</f>
        <v/>
      </c>
      <c r="F1750" s="66" t="str">
        <f>IF(Seventh!F253="", "",Seventh!F253)</f>
        <v/>
      </c>
      <c r="G1750" s="66" t="str">
        <f>IF(Seventh!G253="", "",Seventh!G253)</f>
        <v/>
      </c>
      <c r="H1750" s="66" t="str">
        <f>IF(Seventh!H253="", "",Seventh!H253)</f>
        <v/>
      </c>
      <c r="I1750" s="66" t="str">
        <f>IF(Seventh!I253="", "",Seventh!I253)</f>
        <v/>
      </c>
      <c r="J1750" s="66" t="str">
        <f>IF(Seventh!J253="", "",Seventh!J253)</f>
        <v/>
      </c>
      <c r="K1750" s="86" t="str">
        <f>IF(Seventh!K253="", "",Seventh!K253)</f>
        <v/>
      </c>
      <c r="M1750" s="67" t="str">
        <f t="shared" si="83"/>
        <v/>
      </c>
      <c r="N1750" s="76" t="str">
        <f t="shared" si="84"/>
        <v/>
      </c>
      <c r="O1750" s="33">
        <f t="shared" si="82"/>
        <v>0</v>
      </c>
    </row>
    <row r="1751" spans="1:15" ht="15.75" thickBot="1" x14ac:dyDescent="0.3">
      <c r="A1751" s="68" t="s">
        <v>180</v>
      </c>
      <c r="B1751" s="80" t="str">
        <f>IF(Seventh!B254="", "",Seventh!B254)</f>
        <v/>
      </c>
      <c r="C1751" s="70" t="str">
        <f>IF(Seventh!C254="", "",Seventh!C254)</f>
        <v/>
      </c>
      <c r="D1751" s="70" t="str">
        <f>IF(Seventh!D254="", "",Seventh!D254)</f>
        <v/>
      </c>
      <c r="E1751" s="70" t="str">
        <f>IF(Seventh!E254="", "",Seventh!E254)</f>
        <v/>
      </c>
      <c r="F1751" s="70" t="str">
        <f>IF(Seventh!F254="", "",Seventh!F254)</f>
        <v/>
      </c>
      <c r="G1751" s="70" t="str">
        <f>IF(Seventh!G254="", "",Seventh!G254)</f>
        <v/>
      </c>
      <c r="H1751" s="70" t="str">
        <f>IF(Seventh!H254="", "",Seventh!H254)</f>
        <v/>
      </c>
      <c r="I1751" s="70" t="str">
        <f>IF(Seventh!I254="", "",Seventh!I254)</f>
        <v/>
      </c>
      <c r="J1751" s="70" t="str">
        <f>IF(Seventh!J254="", "",Seventh!J254)</f>
        <v/>
      </c>
      <c r="K1751" s="90" t="str">
        <f>IF(Seventh!K254="", "",Seventh!K254)</f>
        <v/>
      </c>
      <c r="L1751" s="91"/>
      <c r="M1751" s="67" t="str">
        <f t="shared" si="83"/>
        <v/>
      </c>
      <c r="N1751" s="76" t="str">
        <f t="shared" si="84"/>
        <v/>
      </c>
      <c r="O1751" s="33">
        <f t="shared" si="82"/>
        <v>0</v>
      </c>
    </row>
    <row r="1752" spans="1:15" x14ac:dyDescent="0.25">
      <c r="A1752" s="64" t="s">
        <v>181</v>
      </c>
      <c r="B1752" s="79" t="str">
        <f>IF(Eighth!B5="", "",Eighth!B5)</f>
        <v>Psychologist</v>
      </c>
      <c r="C1752" s="66" t="str">
        <f>IF(Eighth!C5="", "",Eighth!C5)</f>
        <v>Carer</v>
      </c>
      <c r="D1752" s="66" t="str">
        <f>IF(Eighth!D5="", "",Eighth!D5)</f>
        <v>Returning</v>
      </c>
      <c r="E1752" s="66" t="str">
        <f>IF(Eighth!E5="", "",Eighth!E5)</f>
        <v>Male</v>
      </c>
      <c r="F1752" s="66" t="str">
        <f>IF(Eighth!F5="", "",Eighth!F5)</f>
        <v>Breast</v>
      </c>
      <c r="G1752" s="66" t="str">
        <f>IF(Eighth!G5="", "",Eighth!G5)</f>
        <v>Curative Intent</v>
      </c>
      <c r="H1752" s="66" t="str">
        <f>IF(Eighth!H5="", "",Eighth!H5)</f>
        <v>Programme</v>
      </c>
      <c r="I1752" s="66" t="str">
        <f>IF(Eighth!I5="", "",Eighth!I5)</f>
        <v>Managing Stress</v>
      </c>
      <c r="J1752" s="66" t="str">
        <f>IF(Eighth!J5="", "",Eighth!J5)</f>
        <v/>
      </c>
      <c r="K1752" s="86" t="str">
        <f>IF(Eighth!K5="", "",Eighth!K5)</f>
        <v/>
      </c>
      <c r="M1752" s="67" t="str">
        <f t="shared" si="83"/>
        <v/>
      </c>
      <c r="N1752" s="76">
        <f t="shared" si="84"/>
        <v>7</v>
      </c>
      <c r="O1752" s="33">
        <f t="shared" si="82"/>
        <v>7</v>
      </c>
    </row>
    <row r="1753" spans="1:15" x14ac:dyDescent="0.25">
      <c r="A1753" s="64" t="s">
        <v>181</v>
      </c>
      <c r="B1753" s="79" t="str">
        <f>IF(Eighth!B6="", "",Eighth!B6)</f>
        <v>Psychologist</v>
      </c>
      <c r="C1753" s="66" t="str">
        <f>IF(Eighth!C6="", "",Eighth!C6)</f>
        <v>Carer</v>
      </c>
      <c r="D1753" s="66" t="str">
        <f>IF(Eighth!D6="", "",Eighth!D6)</f>
        <v>Returning</v>
      </c>
      <c r="E1753" s="66" t="str">
        <f>IF(Eighth!E6="", "",Eighth!E6)</f>
        <v>Female</v>
      </c>
      <c r="F1753" s="66" t="str">
        <f>IF(Eighth!F6="", "",Eighth!F6)</f>
        <v>Head/Neck</v>
      </c>
      <c r="G1753" s="66" t="str">
        <f>IF(Eighth!G6="", "",Eighth!G6)</f>
        <v>Curative Intent</v>
      </c>
      <c r="H1753" s="66" t="str">
        <f>IF(Eighth!H6="", "",Eighth!H6)</f>
        <v>Programme</v>
      </c>
      <c r="I1753" s="66" t="str">
        <f>IF(Eighth!I6="", "",Eighth!I6)</f>
        <v>Managing Stress</v>
      </c>
      <c r="J1753" s="66" t="str">
        <f>IF(Eighth!J6="", "",Eighth!J6)</f>
        <v/>
      </c>
      <c r="K1753" s="86" t="str">
        <f>IF(Eighth!K6="", "",Eighth!K6)</f>
        <v/>
      </c>
      <c r="M1753" s="67" t="str">
        <f t="shared" si="83"/>
        <v/>
      </c>
      <c r="N1753" s="76">
        <f t="shared" si="84"/>
        <v>7</v>
      </c>
      <c r="O1753" s="33">
        <f t="shared" si="82"/>
        <v>7</v>
      </c>
    </row>
    <row r="1754" spans="1:15" x14ac:dyDescent="0.25">
      <c r="A1754" s="64" t="s">
        <v>181</v>
      </c>
      <c r="B1754" s="79" t="str">
        <f>IF(Eighth!B7="", "",Eighth!B7)</f>
        <v>Psychologist</v>
      </c>
      <c r="C1754" s="66" t="str">
        <f>IF(Eighth!C7="", "",Eighth!C7)</f>
        <v>PwC</v>
      </c>
      <c r="D1754" s="66" t="str">
        <f>IF(Eighth!D7="", "",Eighth!D7)</f>
        <v>Returning</v>
      </c>
      <c r="E1754" s="66" t="str">
        <f>IF(Eighth!E7="", "",Eighth!E7)</f>
        <v>Female</v>
      </c>
      <c r="F1754" s="66" t="str">
        <f>IF(Eighth!F7="", "",Eighth!F7)</f>
        <v>Lower GI</v>
      </c>
      <c r="G1754" s="66" t="str">
        <f>IF(Eighth!G7="", "",Eighth!G7)</f>
        <v>Post Treatment - Curative Intent</v>
      </c>
      <c r="H1754" s="66" t="str">
        <f>IF(Eighth!H7="", "",Eighth!H7)</f>
        <v>Programme</v>
      </c>
      <c r="I1754" s="66" t="str">
        <f>IF(Eighth!I7="", "",Eighth!I7)</f>
        <v>Managing Stress</v>
      </c>
      <c r="J1754" s="66" t="str">
        <f>IF(Eighth!J7="", "",Eighth!J7)</f>
        <v/>
      </c>
      <c r="K1754" s="86" t="str">
        <f>IF(Eighth!K7="", "",Eighth!K7)</f>
        <v/>
      </c>
      <c r="M1754" s="67">
        <f t="shared" si="83"/>
        <v>7</v>
      </c>
      <c r="N1754" s="76" t="str">
        <f t="shared" si="84"/>
        <v/>
      </c>
      <c r="O1754" s="33">
        <f t="shared" si="82"/>
        <v>7</v>
      </c>
    </row>
    <row r="1755" spans="1:15" x14ac:dyDescent="0.25">
      <c r="A1755" s="64" t="s">
        <v>181</v>
      </c>
      <c r="B1755" s="79" t="str">
        <f>IF(Eighth!B8="", "",Eighth!B8)</f>
        <v>Psychologist</v>
      </c>
      <c r="C1755" s="66" t="str">
        <f>IF(Eighth!C8="", "",Eighth!C8)</f>
        <v>PwC</v>
      </c>
      <c r="D1755" s="66" t="str">
        <f>IF(Eighth!D8="", "",Eighth!D8)</f>
        <v>Returning</v>
      </c>
      <c r="E1755" s="66" t="str">
        <f>IF(Eighth!E8="", "",Eighth!E8)</f>
        <v>Female</v>
      </c>
      <c r="F1755" s="66" t="str">
        <f>IF(Eighth!F8="", "",Eighth!F8)</f>
        <v>Breast</v>
      </c>
      <c r="G1755" s="66" t="str">
        <f>IF(Eighth!G8="", "",Eighth!G8)</f>
        <v>Curative Intent</v>
      </c>
      <c r="H1755" s="66" t="str">
        <f>IF(Eighth!H8="", "",Eighth!H8)</f>
        <v>Programme</v>
      </c>
      <c r="I1755" s="66" t="str">
        <f>IF(Eighth!I8="", "",Eighth!I8)</f>
        <v>Managing Stress</v>
      </c>
      <c r="J1755" s="66" t="str">
        <f>IF(Eighth!J8="", "",Eighth!J8)</f>
        <v/>
      </c>
      <c r="K1755" s="86" t="str">
        <f>IF(Eighth!K8="", "",Eighth!K8)</f>
        <v/>
      </c>
      <c r="M1755" s="67">
        <f t="shared" si="83"/>
        <v>7</v>
      </c>
      <c r="N1755" s="76" t="str">
        <f t="shared" si="84"/>
        <v/>
      </c>
      <c r="O1755" s="33">
        <f t="shared" si="82"/>
        <v>7</v>
      </c>
    </row>
    <row r="1756" spans="1:15" x14ac:dyDescent="0.25">
      <c r="A1756" s="64" t="s">
        <v>181</v>
      </c>
      <c r="B1756" s="79" t="str">
        <f>IF(Eighth!B9="", "",Eighth!B9)</f>
        <v>Psychologist</v>
      </c>
      <c r="C1756" s="66" t="str">
        <f>IF(Eighth!C9="", "",Eighth!C9)</f>
        <v>PwC</v>
      </c>
      <c r="D1756" s="66" t="str">
        <f>IF(Eighth!D9="", "",Eighth!D9)</f>
        <v>Returning</v>
      </c>
      <c r="E1756" s="66" t="str">
        <f>IF(Eighth!E9="", "",Eighth!E9)</f>
        <v>Female</v>
      </c>
      <c r="F1756" s="66" t="str">
        <f>IF(Eighth!F9="", "",Eighth!F9)</f>
        <v>Breast</v>
      </c>
      <c r="G1756" s="66" t="str">
        <f>IF(Eighth!G9="", "",Eighth!G9)</f>
        <v>Post Treatment - Curative Intent</v>
      </c>
      <c r="H1756" s="66" t="str">
        <f>IF(Eighth!H9="", "",Eighth!H9)</f>
        <v>Programme</v>
      </c>
      <c r="I1756" s="66" t="str">
        <f>IF(Eighth!I9="", "",Eighth!I9)</f>
        <v>Managing Stress</v>
      </c>
      <c r="J1756" s="66" t="str">
        <f>IF(Eighth!J9="", "",Eighth!J9)</f>
        <v/>
      </c>
      <c r="K1756" s="86" t="str">
        <f>IF(Eighth!K9="", "",Eighth!K9)</f>
        <v/>
      </c>
      <c r="M1756" s="67">
        <f t="shared" si="83"/>
        <v>7</v>
      </c>
      <c r="N1756" s="76" t="str">
        <f t="shared" si="84"/>
        <v/>
      </c>
      <c r="O1756" s="33">
        <f t="shared" si="82"/>
        <v>7</v>
      </c>
    </row>
    <row r="1757" spans="1:15" x14ac:dyDescent="0.25">
      <c r="A1757" s="64" t="s">
        <v>181</v>
      </c>
      <c r="B1757" s="79" t="str">
        <f>IF(Eighth!B10="", "",Eighth!B10)</f>
        <v>Psychologist</v>
      </c>
      <c r="C1757" s="66" t="str">
        <f>IF(Eighth!C10="", "",Eighth!C10)</f>
        <v>Carer</v>
      </c>
      <c r="D1757" s="66" t="str">
        <f>IF(Eighth!D10="", "",Eighth!D10)</f>
        <v>Returning</v>
      </c>
      <c r="E1757" s="66" t="str">
        <f>IF(Eighth!E10="", "",Eighth!E10)</f>
        <v>Female</v>
      </c>
      <c r="F1757" s="66" t="str">
        <f>IF(Eighth!F10="", "",Eighth!F10)</f>
        <v>Lower GI</v>
      </c>
      <c r="G1757" s="66" t="str">
        <f>IF(Eighth!G10="", "",Eighth!G10)</f>
        <v>Bereaved</v>
      </c>
      <c r="H1757" s="66" t="str">
        <f>IF(Eighth!H10="", "",Eighth!H10)</f>
        <v>Booked</v>
      </c>
      <c r="I1757" s="66" t="str">
        <f>IF(Eighth!I10="", "",Eighth!I10)</f>
        <v>Psych Support - Individual</v>
      </c>
      <c r="J1757" s="66" t="str">
        <f>IF(Eighth!J10="", "",Eighth!J10)</f>
        <v/>
      </c>
      <c r="K1757" s="86" t="str">
        <f>IF(Eighth!K10="", "",Eighth!K10)</f>
        <v/>
      </c>
      <c r="M1757" s="67" t="str">
        <f t="shared" si="83"/>
        <v/>
      </c>
      <c r="N1757" s="76">
        <f t="shared" si="84"/>
        <v>7</v>
      </c>
      <c r="O1757" s="33">
        <f t="shared" si="82"/>
        <v>7</v>
      </c>
    </row>
    <row r="1758" spans="1:15" x14ac:dyDescent="0.25">
      <c r="A1758" s="64" t="s">
        <v>181</v>
      </c>
      <c r="B1758" s="79" t="str">
        <f>IF(Eighth!B11="", "",Eighth!B11)</f>
        <v>Psychologist</v>
      </c>
      <c r="C1758" s="66" t="str">
        <f>IF(Eighth!C11="", "",Eighth!C11)</f>
        <v>Carer</v>
      </c>
      <c r="D1758" s="66" t="str">
        <f>IF(Eighth!D11="", "",Eighth!D11)</f>
        <v>Returning</v>
      </c>
      <c r="E1758" s="66" t="str">
        <f>IF(Eighth!E11="", "",Eighth!E11)</f>
        <v>Female</v>
      </c>
      <c r="F1758" s="66" t="str">
        <f>IF(Eighth!F11="", "",Eighth!F11)</f>
        <v>Lower GI</v>
      </c>
      <c r="G1758" s="66" t="str">
        <f>IF(Eighth!G11="", "",Eighth!G11)</f>
        <v>Bereaved</v>
      </c>
      <c r="H1758" s="66" t="str">
        <f>IF(Eighth!H11="", "",Eighth!H11)</f>
        <v>Booked</v>
      </c>
      <c r="I1758" s="66" t="str">
        <f>IF(Eighth!I11="", "",Eighth!I11)</f>
        <v>Psych Support - Individual</v>
      </c>
      <c r="J1758" s="66" t="str">
        <f>IF(Eighth!J11="", "",Eighth!J11)</f>
        <v/>
      </c>
      <c r="K1758" s="86" t="str">
        <f>IF(Eighth!K11="", "",Eighth!K11)</f>
        <v/>
      </c>
      <c r="M1758" s="67" t="str">
        <f t="shared" si="83"/>
        <v/>
      </c>
      <c r="N1758" s="76">
        <f t="shared" si="84"/>
        <v>7</v>
      </c>
      <c r="O1758" s="33">
        <f t="shared" si="82"/>
        <v>7</v>
      </c>
    </row>
    <row r="1759" spans="1:15" x14ac:dyDescent="0.25">
      <c r="A1759" s="64" t="s">
        <v>181</v>
      </c>
      <c r="B1759" s="79" t="str">
        <f>IF(Eighth!B12="", "",Eighth!B12)</f>
        <v>Psychologist</v>
      </c>
      <c r="C1759" s="66" t="str">
        <f>IF(Eighth!C12="", "",Eighth!C12)</f>
        <v>PwC</v>
      </c>
      <c r="D1759" s="66" t="str">
        <f>IF(Eighth!D12="", "",Eighth!D12)</f>
        <v>Returning</v>
      </c>
      <c r="E1759" s="66" t="str">
        <f>IF(Eighth!E12="", "",Eighth!E12)</f>
        <v>Female</v>
      </c>
      <c r="F1759" s="66" t="str">
        <f>IF(Eighth!F12="", "",Eighth!F12)</f>
        <v>Breast</v>
      </c>
      <c r="G1759" s="66" t="str">
        <f>IF(Eighth!G12="", "",Eighth!G12)</f>
        <v>Post Treatment - Curative Intent</v>
      </c>
      <c r="H1759" s="66" t="str">
        <f>IF(Eighth!H12="", "",Eighth!H12)</f>
        <v>Booked</v>
      </c>
      <c r="I1759" s="66" t="str">
        <f>IF(Eighth!I12="", "",Eighth!I12)</f>
        <v>Psych Support - Individual</v>
      </c>
      <c r="J1759" s="66" t="str">
        <f>IF(Eighth!J12="", "",Eighth!J12)</f>
        <v/>
      </c>
      <c r="K1759" s="86" t="str">
        <f>IF(Eighth!K12="", "",Eighth!K12)</f>
        <v/>
      </c>
      <c r="M1759" s="67">
        <f t="shared" si="83"/>
        <v>7</v>
      </c>
      <c r="N1759" s="76" t="str">
        <f t="shared" si="84"/>
        <v/>
      </c>
      <c r="O1759" s="33">
        <f t="shared" si="82"/>
        <v>7</v>
      </c>
    </row>
    <row r="1760" spans="1:15" x14ac:dyDescent="0.25">
      <c r="A1760" s="64" t="s">
        <v>181</v>
      </c>
      <c r="B1760" s="79" t="str">
        <f>IF(Eighth!B13="", "",Eighth!B13)</f>
        <v>CSS</v>
      </c>
      <c r="C1760" s="66" t="str">
        <f>IF(Eighth!C13="", "",Eighth!C13)</f>
        <v>PwC</v>
      </c>
      <c r="D1760" s="66" t="str">
        <f>IF(Eighth!D13="", "",Eighth!D13)</f>
        <v>Returning</v>
      </c>
      <c r="E1760" s="66" t="str">
        <f>IF(Eighth!E13="", "",Eighth!E13)</f>
        <v>Female</v>
      </c>
      <c r="F1760" s="66" t="str">
        <f>IF(Eighth!F13="", "",Eighth!F13)</f>
        <v>Breast</v>
      </c>
      <c r="G1760" s="66" t="str">
        <f>IF(Eighth!G13="", "",Eighth!G13)</f>
        <v>Curative Intent</v>
      </c>
      <c r="H1760" s="66" t="str">
        <f>IF(Eighth!H13="", "",Eighth!H13)</f>
        <v>Booked</v>
      </c>
      <c r="I1760" s="66" t="str">
        <f>IF(Eighth!I13="", "",Eighth!I13)</f>
        <v>Psych Support - Individual</v>
      </c>
      <c r="J1760" s="66" t="str">
        <f>IF(Eighth!J13="", "",Eighth!J13)</f>
        <v/>
      </c>
      <c r="K1760" s="86" t="str">
        <f>IF(Eighth!K13="", "",Eighth!K13)</f>
        <v/>
      </c>
      <c r="M1760" s="67">
        <f t="shared" si="83"/>
        <v>7</v>
      </c>
      <c r="N1760" s="76" t="str">
        <f t="shared" si="84"/>
        <v/>
      </c>
      <c r="O1760" s="33">
        <f t="shared" si="82"/>
        <v>7</v>
      </c>
    </row>
    <row r="1761" spans="1:15" x14ac:dyDescent="0.25">
      <c r="A1761" s="64" t="s">
        <v>181</v>
      </c>
      <c r="B1761" s="79" t="str">
        <f>IF(Eighth!B14="", "",Eighth!B14)</f>
        <v>CSS</v>
      </c>
      <c r="C1761" s="66" t="str">
        <f>IF(Eighth!C14="", "",Eighth!C14)</f>
        <v>Carer</v>
      </c>
      <c r="D1761" s="66" t="str">
        <f>IF(Eighth!D14="", "",Eighth!D14)</f>
        <v>Returning</v>
      </c>
      <c r="E1761" s="66" t="str">
        <f>IF(Eighth!E14="", "",Eighth!E14)</f>
        <v>Male</v>
      </c>
      <c r="F1761" s="66" t="str">
        <f>IF(Eighth!F14="", "",Eighth!F14)</f>
        <v>Brain/CNS</v>
      </c>
      <c r="G1761" s="66" t="str">
        <f>IF(Eighth!G14="", "",Eighth!G14)</f>
        <v>Post Treatment - Curative Intent</v>
      </c>
      <c r="H1761" s="66" t="str">
        <f>IF(Eighth!H14="", "",Eighth!H14)</f>
        <v>Booked</v>
      </c>
      <c r="I1761" s="66" t="str">
        <f>IF(Eighth!I14="", "",Eighth!I14)</f>
        <v>Psych Support - Individual</v>
      </c>
      <c r="J1761" s="66" t="str">
        <f>IF(Eighth!J14="", "",Eighth!J14)</f>
        <v/>
      </c>
      <c r="K1761" s="86" t="str">
        <f>IF(Eighth!K14="", "",Eighth!K14)</f>
        <v/>
      </c>
      <c r="M1761" s="67" t="str">
        <f t="shared" si="83"/>
        <v/>
      </c>
      <c r="N1761" s="76">
        <f t="shared" si="84"/>
        <v>7</v>
      </c>
      <c r="O1761" s="33">
        <f t="shared" si="82"/>
        <v>7</v>
      </c>
    </row>
    <row r="1762" spans="1:15" x14ac:dyDescent="0.25">
      <c r="A1762" s="64" t="s">
        <v>181</v>
      </c>
      <c r="B1762" s="79" t="str">
        <f>IF(Eighth!B15="", "",Eighth!B15)</f>
        <v>CSS</v>
      </c>
      <c r="C1762" s="66" t="str">
        <f>IF(Eighth!C15="", "",Eighth!C15)</f>
        <v>Carer</v>
      </c>
      <c r="D1762" s="66" t="str">
        <f>IF(Eighth!D15="", "",Eighth!D15)</f>
        <v>Returning</v>
      </c>
      <c r="E1762" s="66" t="str">
        <f>IF(Eighth!E15="", "",Eighth!E15)</f>
        <v>Male</v>
      </c>
      <c r="F1762" s="66" t="str">
        <f>IF(Eighth!F15="", "",Eighth!F15)</f>
        <v>Brain/CNS</v>
      </c>
      <c r="G1762" s="66" t="str">
        <f>IF(Eighth!G15="", "",Eighth!G15)</f>
        <v>Post Treatment - Curative Intent</v>
      </c>
      <c r="H1762" s="66" t="str">
        <f>IF(Eighth!H15="", "",Eighth!H15)</f>
        <v>Drop-In</v>
      </c>
      <c r="I1762" s="66" t="str">
        <f>IF(Eighth!I15="", "",Eighth!I15)</f>
        <v/>
      </c>
      <c r="J1762" s="66" t="str">
        <f>IF(Eighth!J15="", "",Eighth!J15)</f>
        <v/>
      </c>
      <c r="K1762" s="86" t="str">
        <f>IF(Eighth!K15="", "",Eighth!K15)</f>
        <v/>
      </c>
      <c r="M1762" s="67" t="str">
        <f t="shared" si="83"/>
        <v/>
      </c>
      <c r="N1762" s="76">
        <f t="shared" si="84"/>
        <v>7</v>
      </c>
      <c r="O1762" s="33">
        <f t="shared" si="82"/>
        <v>7</v>
      </c>
    </row>
    <row r="1763" spans="1:15" x14ac:dyDescent="0.25">
      <c r="A1763" s="64" t="s">
        <v>181</v>
      </c>
      <c r="B1763" s="79" t="str">
        <f>IF(Eighth!B16="", "",Eighth!B16)</f>
        <v>CSS</v>
      </c>
      <c r="C1763" s="66" t="str">
        <f>IF(Eighth!C16="", "",Eighth!C16)</f>
        <v>PwC</v>
      </c>
      <c r="D1763" s="66" t="str">
        <f>IF(Eighth!D16="", "",Eighth!D16)</f>
        <v>New</v>
      </c>
      <c r="E1763" s="66" t="str">
        <f>IF(Eighth!E16="", "",Eighth!E16)</f>
        <v>Male</v>
      </c>
      <c r="F1763" s="66" t="str">
        <f>IF(Eighth!F16="", "",Eighth!F16)</f>
        <v>Prostate</v>
      </c>
      <c r="G1763" s="66" t="str">
        <f>IF(Eighth!G16="", "",Eighth!G16)</f>
        <v>Curative Intent</v>
      </c>
      <c r="H1763" s="66" t="str">
        <f>IF(Eighth!H16="", "",Eighth!H16)</f>
        <v>Drop-In</v>
      </c>
      <c r="I1763" s="66" t="str">
        <f>IF(Eighth!I16="", "",Eighth!I16)</f>
        <v/>
      </c>
      <c r="J1763" s="66" t="str">
        <f>IF(Eighth!J16="", "",Eighth!J16)</f>
        <v/>
      </c>
      <c r="K1763" s="86" t="str">
        <f>IF(Eighth!K16="", "",Eighth!K16)</f>
        <v/>
      </c>
      <c r="M1763" s="67">
        <f t="shared" si="83"/>
        <v>7</v>
      </c>
      <c r="N1763" s="76" t="str">
        <f t="shared" si="84"/>
        <v/>
      </c>
      <c r="O1763" s="33">
        <f t="shared" si="82"/>
        <v>7</v>
      </c>
    </row>
    <row r="1764" spans="1:15" x14ac:dyDescent="0.25">
      <c r="A1764" s="64" t="s">
        <v>181</v>
      </c>
      <c r="B1764" s="79" t="str">
        <f>IF(Eighth!B17="", "",Eighth!B17)</f>
        <v>CSS</v>
      </c>
      <c r="C1764" s="66" t="str">
        <f>IF(Eighth!C17="", "",Eighth!C17)</f>
        <v>PwC</v>
      </c>
      <c r="D1764" s="66" t="str">
        <f>IF(Eighth!D17="", "",Eighth!D17)</f>
        <v>Returning</v>
      </c>
      <c r="E1764" s="66" t="str">
        <f>IF(Eighth!E17="", "",Eighth!E17)</f>
        <v>Female</v>
      </c>
      <c r="F1764" s="66" t="str">
        <f>IF(Eighth!F17="", "",Eighth!F17)</f>
        <v>Breast</v>
      </c>
      <c r="G1764" s="66" t="str">
        <f>IF(Eighth!G17="", "",Eighth!G17)</f>
        <v>Post Treatment - Curative Intent</v>
      </c>
      <c r="H1764" s="66" t="str">
        <f>IF(Eighth!H17="", "",Eighth!H17)</f>
        <v>Booked</v>
      </c>
      <c r="I1764" s="66" t="str">
        <f>IF(Eighth!I17="", "",Eighth!I17)</f>
        <v>Psych Support - Individual</v>
      </c>
      <c r="J1764" s="66" t="str">
        <f>IF(Eighth!J17="", "",Eighth!J17)</f>
        <v/>
      </c>
      <c r="K1764" s="86" t="str">
        <f>IF(Eighth!K17="", "",Eighth!K17)</f>
        <v/>
      </c>
      <c r="M1764" s="67">
        <f t="shared" si="83"/>
        <v>7</v>
      </c>
      <c r="N1764" s="76" t="str">
        <f t="shared" si="84"/>
        <v/>
      </c>
      <c r="O1764" s="33">
        <f t="shared" si="82"/>
        <v>7</v>
      </c>
    </row>
    <row r="1765" spans="1:15" x14ac:dyDescent="0.25">
      <c r="A1765" s="64" t="s">
        <v>181</v>
      </c>
      <c r="B1765" s="79" t="str">
        <f>IF(Eighth!B18="", "",Eighth!B18)</f>
        <v>CSS</v>
      </c>
      <c r="C1765" s="66" t="str">
        <f>IF(Eighth!C18="", "",Eighth!C18)</f>
        <v>PwC</v>
      </c>
      <c r="D1765" s="66" t="str">
        <f>IF(Eighth!D18="", "",Eighth!D18)</f>
        <v>Returning</v>
      </c>
      <c r="E1765" s="66" t="str">
        <f>IF(Eighth!E18="", "",Eighth!E18)</f>
        <v>Female</v>
      </c>
      <c r="F1765" s="66" t="str">
        <f>IF(Eighth!F18="", "",Eighth!F18)</f>
        <v>Brain/CNS</v>
      </c>
      <c r="G1765" s="66" t="str">
        <f>IF(Eighth!G18="", "",Eighth!G18)</f>
        <v>Non-Curative Intent</v>
      </c>
      <c r="H1765" s="66" t="str">
        <f>IF(Eighth!H18="", "",Eighth!H18)</f>
        <v>Drop-In</v>
      </c>
      <c r="I1765" s="66" t="str">
        <f>IF(Eighth!I18="", "",Eighth!I18)</f>
        <v/>
      </c>
      <c r="J1765" s="66" t="str">
        <f>IF(Eighth!J18="", "",Eighth!J18)</f>
        <v/>
      </c>
      <c r="K1765" s="86" t="str">
        <f>IF(Eighth!K18="", "",Eighth!K18)</f>
        <v/>
      </c>
      <c r="M1765" s="67">
        <f t="shared" si="83"/>
        <v>7</v>
      </c>
      <c r="N1765" s="76" t="str">
        <f t="shared" si="84"/>
        <v/>
      </c>
      <c r="O1765" s="33">
        <f t="shared" si="82"/>
        <v>7</v>
      </c>
    </row>
    <row r="1766" spans="1:15" x14ac:dyDescent="0.25">
      <c r="A1766" s="64" t="s">
        <v>181</v>
      </c>
      <c r="B1766" s="79" t="str">
        <f>IF(Eighth!B19="", "",Eighth!B19)</f>
        <v>CSS</v>
      </c>
      <c r="C1766" s="66" t="str">
        <f>IF(Eighth!C19="", "",Eighth!C19)</f>
        <v>Carer</v>
      </c>
      <c r="D1766" s="66" t="str">
        <f>IF(Eighth!D19="", "",Eighth!D19)</f>
        <v>Returning</v>
      </c>
      <c r="E1766" s="66" t="str">
        <f>IF(Eighth!E19="", "",Eighth!E19)</f>
        <v>Male</v>
      </c>
      <c r="F1766" s="66" t="str">
        <f>IF(Eighth!F19="", "",Eighth!F19)</f>
        <v>Brain/CNS</v>
      </c>
      <c r="G1766" s="66" t="str">
        <f>IF(Eighth!G19="", "",Eighth!G19)</f>
        <v>Non-Curative Intent</v>
      </c>
      <c r="H1766" s="66" t="str">
        <f>IF(Eighth!H19="", "",Eighth!H19)</f>
        <v>Drop-In</v>
      </c>
      <c r="I1766" s="66" t="str">
        <f>IF(Eighth!I19="", "",Eighth!I19)</f>
        <v/>
      </c>
      <c r="J1766" s="66" t="str">
        <f>IF(Eighth!J19="", "",Eighth!J19)</f>
        <v/>
      </c>
      <c r="K1766" s="86" t="str">
        <f>IF(Eighth!K19="", "",Eighth!K19)</f>
        <v/>
      </c>
      <c r="M1766" s="67" t="str">
        <f t="shared" si="83"/>
        <v/>
      </c>
      <c r="N1766" s="76">
        <f t="shared" si="84"/>
        <v>7</v>
      </c>
      <c r="O1766" s="33">
        <f t="shared" si="82"/>
        <v>7</v>
      </c>
    </row>
    <row r="1767" spans="1:15" x14ac:dyDescent="0.25">
      <c r="A1767" s="64" t="s">
        <v>181</v>
      </c>
      <c r="B1767" s="79" t="str">
        <f>IF(Eighth!B20="", "",Eighth!B20)</f>
        <v>CSS</v>
      </c>
      <c r="C1767" s="66" t="str">
        <f>IF(Eighth!C20="", "",Eighth!C20)</f>
        <v>PwC</v>
      </c>
      <c r="D1767" s="66" t="str">
        <f>IF(Eighth!D20="", "",Eighth!D20)</f>
        <v>Returning</v>
      </c>
      <c r="E1767" s="66" t="str">
        <f>IF(Eighth!E20="", "",Eighth!E20)</f>
        <v>Male</v>
      </c>
      <c r="F1767" s="66" t="str">
        <f>IF(Eighth!F20="", "",Eighth!F20)</f>
        <v>Haemat</v>
      </c>
      <c r="G1767" s="66" t="str">
        <f>IF(Eighth!G20="", "",Eighth!G20)</f>
        <v>Curative Intent</v>
      </c>
      <c r="H1767" s="66" t="str">
        <f>IF(Eighth!H20="", "",Eighth!H20)</f>
        <v>Drop-In</v>
      </c>
      <c r="I1767" s="66" t="str">
        <f>IF(Eighth!I20="", "",Eighth!I20)</f>
        <v/>
      </c>
      <c r="J1767" s="66" t="str">
        <f>IF(Eighth!J20="", "",Eighth!J20)</f>
        <v/>
      </c>
      <c r="K1767" s="86" t="str">
        <f>IF(Eighth!K20="", "",Eighth!K20)</f>
        <v/>
      </c>
      <c r="M1767" s="67">
        <f t="shared" si="83"/>
        <v>7</v>
      </c>
      <c r="N1767" s="76" t="str">
        <f t="shared" si="84"/>
        <v/>
      </c>
      <c r="O1767" s="33">
        <f t="shared" si="82"/>
        <v>7</v>
      </c>
    </row>
    <row r="1768" spans="1:15" x14ac:dyDescent="0.25">
      <c r="A1768" s="64" t="s">
        <v>181</v>
      </c>
      <c r="B1768" s="79" t="str">
        <f>IF(Eighth!B21="", "",Eighth!B21)</f>
        <v>CSS</v>
      </c>
      <c r="C1768" s="66" t="str">
        <f>IF(Eighth!C21="", "",Eighth!C21)</f>
        <v>Carer</v>
      </c>
      <c r="D1768" s="66" t="str">
        <f>IF(Eighth!D21="", "",Eighth!D21)</f>
        <v>Returning</v>
      </c>
      <c r="E1768" s="66" t="str">
        <f>IF(Eighth!E21="", "",Eighth!E21)</f>
        <v>Female</v>
      </c>
      <c r="F1768" s="66" t="str">
        <f>IF(Eighth!F21="", "",Eighth!F21)</f>
        <v>Haemat</v>
      </c>
      <c r="G1768" s="66" t="str">
        <f>IF(Eighth!G21="", "",Eighth!G21)</f>
        <v>Curative Intent</v>
      </c>
      <c r="H1768" s="66" t="str">
        <f>IF(Eighth!H21="", "",Eighth!H21)</f>
        <v>Drop-In</v>
      </c>
      <c r="I1768" s="66" t="str">
        <f>IF(Eighth!I21="", "",Eighth!I21)</f>
        <v/>
      </c>
      <c r="J1768" s="66" t="str">
        <f>IF(Eighth!J21="", "",Eighth!J21)</f>
        <v/>
      </c>
      <c r="K1768" s="86" t="str">
        <f>IF(Eighth!K21="", "",Eighth!K21)</f>
        <v/>
      </c>
      <c r="M1768" s="67" t="str">
        <f t="shared" si="83"/>
        <v/>
      </c>
      <c r="N1768" s="76">
        <f t="shared" si="84"/>
        <v>7</v>
      </c>
      <c r="O1768" s="33">
        <f t="shared" si="82"/>
        <v>7</v>
      </c>
    </row>
    <row r="1769" spans="1:15" x14ac:dyDescent="0.25">
      <c r="A1769" s="64" t="s">
        <v>181</v>
      </c>
      <c r="B1769" s="79" t="str">
        <f>IF(Eighth!B22="", "",Eighth!B22)</f>
        <v>CSS</v>
      </c>
      <c r="C1769" s="66" t="str">
        <f>IF(Eighth!C22="", "",Eighth!C22)</f>
        <v>Carer</v>
      </c>
      <c r="D1769" s="66" t="str">
        <f>IF(Eighth!D22="", "",Eighth!D22)</f>
        <v>New</v>
      </c>
      <c r="E1769" s="66" t="str">
        <f>IF(Eighth!E22="", "",Eighth!E22)</f>
        <v>Female</v>
      </c>
      <c r="F1769" s="66" t="str">
        <f>IF(Eighth!F22="", "",Eighth!F22)</f>
        <v>Breast</v>
      </c>
      <c r="G1769" s="66" t="str">
        <f>IF(Eighth!G22="", "",Eighth!G22)</f>
        <v>Non-Curative Intent</v>
      </c>
      <c r="H1769" s="66" t="str">
        <f>IF(Eighth!H22="", "",Eighth!H22)</f>
        <v>Drop-In</v>
      </c>
      <c r="I1769" s="66" t="str">
        <f>IF(Eighth!I22="", "",Eighth!I22)</f>
        <v/>
      </c>
      <c r="J1769" s="66" t="str">
        <f>IF(Eighth!J22="", "",Eighth!J22)</f>
        <v/>
      </c>
      <c r="K1769" s="86" t="str">
        <f>IF(Eighth!K22="", "",Eighth!K22)</f>
        <v/>
      </c>
      <c r="M1769" s="67" t="str">
        <f t="shared" si="83"/>
        <v/>
      </c>
      <c r="N1769" s="76">
        <f t="shared" si="84"/>
        <v>7</v>
      </c>
      <c r="O1769" s="33">
        <f t="shared" si="82"/>
        <v>7</v>
      </c>
    </row>
    <row r="1770" spans="1:15" x14ac:dyDescent="0.25">
      <c r="A1770" s="64" t="s">
        <v>181</v>
      </c>
      <c r="B1770" s="79" t="str">
        <f>IF(Eighth!B23="", "",Eighth!B23)</f>
        <v>CSS</v>
      </c>
      <c r="C1770" s="66" t="str">
        <f>IF(Eighth!C23="", "",Eighth!C23)</f>
        <v>Carer</v>
      </c>
      <c r="D1770" s="66" t="str">
        <f>IF(Eighth!D23="", "",Eighth!D23)</f>
        <v>Returning</v>
      </c>
      <c r="E1770" s="66" t="str">
        <f>IF(Eighth!E23="", "",Eighth!E23)</f>
        <v>Female</v>
      </c>
      <c r="F1770" s="66" t="str">
        <f>IF(Eighth!F23="", "",Eighth!F23)</f>
        <v>Breast</v>
      </c>
      <c r="G1770" s="66" t="str">
        <f>IF(Eighth!G23="", "",Eighth!G23)</f>
        <v>Non-Curative Intent</v>
      </c>
      <c r="H1770" s="66" t="str">
        <f>IF(Eighth!H23="", "",Eighth!H23)</f>
        <v>Drop-In</v>
      </c>
      <c r="I1770" s="66" t="str">
        <f>IF(Eighth!I23="", "",Eighth!I23)</f>
        <v/>
      </c>
      <c r="J1770" s="66" t="str">
        <f>IF(Eighth!J23="", "",Eighth!J23)</f>
        <v/>
      </c>
      <c r="K1770" s="86" t="str">
        <f>IF(Eighth!K23="", "",Eighth!K23)</f>
        <v/>
      </c>
      <c r="M1770" s="67" t="str">
        <f t="shared" si="83"/>
        <v/>
      </c>
      <c r="N1770" s="76">
        <f t="shared" si="84"/>
        <v>7</v>
      </c>
      <c r="O1770" s="33">
        <f t="shared" si="82"/>
        <v>7</v>
      </c>
    </row>
    <row r="1771" spans="1:15" x14ac:dyDescent="0.25">
      <c r="A1771" s="64" t="s">
        <v>181</v>
      </c>
      <c r="B1771" s="79" t="str">
        <f>IF(Eighth!B24="", "",Eighth!B24)</f>
        <v>CSS</v>
      </c>
      <c r="C1771" s="66" t="str">
        <f>IF(Eighth!C24="", "",Eighth!C24)</f>
        <v>PwC</v>
      </c>
      <c r="D1771" s="66" t="str">
        <f>IF(Eighth!D24="", "",Eighth!D24)</f>
        <v>Returning</v>
      </c>
      <c r="E1771" s="66" t="str">
        <f>IF(Eighth!E24="", "",Eighth!E24)</f>
        <v>Female</v>
      </c>
      <c r="F1771" s="66" t="str">
        <f>IF(Eighth!F24="", "",Eighth!F24)</f>
        <v>Breast</v>
      </c>
      <c r="G1771" s="66" t="str">
        <f>IF(Eighth!G24="", "",Eighth!G24)</f>
        <v>Post Treatment - Curative Intent</v>
      </c>
      <c r="H1771" s="66" t="str">
        <f>IF(Eighth!H24="", "",Eighth!H24)</f>
        <v>Booked</v>
      </c>
      <c r="I1771" s="66" t="str">
        <f>IF(Eighth!I24="", "",Eighth!I24)</f>
        <v>Psych Support - Individual</v>
      </c>
      <c r="J1771" s="66" t="str">
        <f>IF(Eighth!J24="", "",Eighth!J24)</f>
        <v/>
      </c>
      <c r="K1771" s="86" t="str">
        <f>IF(Eighth!K24="", "",Eighth!K24)</f>
        <v/>
      </c>
      <c r="M1771" s="67">
        <f t="shared" si="83"/>
        <v>7</v>
      </c>
      <c r="N1771" s="76" t="str">
        <f t="shared" si="84"/>
        <v/>
      </c>
      <c r="O1771" s="33">
        <f t="shared" si="82"/>
        <v>7</v>
      </c>
    </row>
    <row r="1772" spans="1:15" x14ac:dyDescent="0.25">
      <c r="A1772" s="64" t="s">
        <v>181</v>
      </c>
      <c r="B1772" s="79" t="str">
        <f>IF(Eighth!B25="", "",Eighth!B25)</f>
        <v>CSS</v>
      </c>
      <c r="C1772" s="66" t="str">
        <f>IF(Eighth!C25="", "",Eighth!C25)</f>
        <v>PwC</v>
      </c>
      <c r="D1772" s="66" t="str">
        <f>IF(Eighth!D25="", "",Eighth!D25)</f>
        <v>Returning</v>
      </c>
      <c r="E1772" s="66" t="str">
        <f>IF(Eighth!E25="", "",Eighth!E25)</f>
        <v>Female</v>
      </c>
      <c r="F1772" s="66" t="str">
        <f>IF(Eighth!F25="", "",Eighth!F25)</f>
        <v>Lower GI</v>
      </c>
      <c r="G1772" s="66" t="str">
        <f>IF(Eighth!G25="", "",Eighth!G25)</f>
        <v>Non-Curative Intent</v>
      </c>
      <c r="H1772" s="66" t="str">
        <f>IF(Eighth!H25="", "",Eighth!H25)</f>
        <v>Booked</v>
      </c>
      <c r="I1772" s="66" t="str">
        <f>IF(Eighth!I25="", "",Eighth!I25)</f>
        <v>Psych Support - Individual</v>
      </c>
      <c r="J1772" s="66" t="str">
        <f>IF(Eighth!J25="", "",Eighth!J25)</f>
        <v/>
      </c>
      <c r="K1772" s="86" t="str">
        <f>IF(Eighth!K25="", "",Eighth!K25)</f>
        <v/>
      </c>
      <c r="M1772" s="67">
        <f t="shared" si="83"/>
        <v>7</v>
      </c>
      <c r="N1772" s="76" t="str">
        <f t="shared" si="84"/>
        <v/>
      </c>
      <c r="O1772" s="33">
        <f t="shared" si="82"/>
        <v>7</v>
      </c>
    </row>
    <row r="1773" spans="1:15" x14ac:dyDescent="0.25">
      <c r="A1773" s="64" t="s">
        <v>181</v>
      </c>
      <c r="B1773" s="79" t="str">
        <f>IF(Eighth!B26="", "",Eighth!B26)</f>
        <v>CSS</v>
      </c>
      <c r="C1773" s="66" t="str">
        <f>IF(Eighth!C26="", "",Eighth!C26)</f>
        <v>PwC</v>
      </c>
      <c r="D1773" s="66" t="str">
        <f>IF(Eighth!D26="", "",Eighth!D26)</f>
        <v>Returning</v>
      </c>
      <c r="E1773" s="66" t="str">
        <f>IF(Eighth!E26="", "",Eighth!E26)</f>
        <v>Male</v>
      </c>
      <c r="F1773" s="66" t="str">
        <f>IF(Eighth!F26="", "",Eighth!F26)</f>
        <v>Brain/CNS</v>
      </c>
      <c r="G1773" s="66" t="str">
        <f>IF(Eighth!G26="", "",Eighth!G26)</f>
        <v>Curative Intent</v>
      </c>
      <c r="H1773" s="66" t="str">
        <f>IF(Eighth!H26="", "",Eighth!H26)</f>
        <v>Booked</v>
      </c>
      <c r="I1773" s="66" t="str">
        <f>IF(Eighth!I26="", "",Eighth!I26)</f>
        <v>Psych Support - Individual</v>
      </c>
      <c r="J1773" s="66" t="str">
        <f>IF(Eighth!J26="", "",Eighth!J26)</f>
        <v/>
      </c>
      <c r="K1773" s="86" t="str">
        <f>IF(Eighth!K26="", "",Eighth!K26)</f>
        <v/>
      </c>
      <c r="M1773" s="67">
        <f t="shared" si="83"/>
        <v>7</v>
      </c>
      <c r="N1773" s="76" t="str">
        <f t="shared" si="84"/>
        <v/>
      </c>
      <c r="O1773" s="33">
        <f t="shared" si="82"/>
        <v>7</v>
      </c>
    </row>
    <row r="1774" spans="1:15" x14ac:dyDescent="0.25">
      <c r="A1774" s="64" t="s">
        <v>181</v>
      </c>
      <c r="B1774" s="79" t="str">
        <f>IF(Eighth!B27="", "",Eighth!B27)</f>
        <v>CSS</v>
      </c>
      <c r="C1774" s="66" t="str">
        <f>IF(Eighth!C27="", "",Eighth!C27)</f>
        <v>Carer</v>
      </c>
      <c r="D1774" s="66" t="str">
        <f>IF(Eighth!D27="", "",Eighth!D27)</f>
        <v>New</v>
      </c>
      <c r="E1774" s="66" t="str">
        <f>IF(Eighth!E27="", "",Eighth!E27)</f>
        <v>Female</v>
      </c>
      <c r="F1774" s="66" t="str">
        <f>IF(Eighth!F27="", "",Eighth!F27)</f>
        <v>Brain/CNS</v>
      </c>
      <c r="G1774" s="66" t="str">
        <f>IF(Eighth!G27="", "",Eighth!G27)</f>
        <v>Curative Intent</v>
      </c>
      <c r="H1774" s="66" t="str">
        <f>IF(Eighth!H27="", "",Eighth!H27)</f>
        <v>Booked</v>
      </c>
      <c r="I1774" s="66" t="str">
        <f>IF(Eighth!I27="", "",Eighth!I27)</f>
        <v>Psych Support - Individual</v>
      </c>
      <c r="J1774" s="66" t="str">
        <f>IF(Eighth!J27="", "",Eighth!J27)</f>
        <v>Look Good Feel Better</v>
      </c>
      <c r="K1774" s="86" t="str">
        <f>IF(Eighth!K27="", "",Eighth!K27)</f>
        <v>NG Sarcoma</v>
      </c>
      <c r="M1774" s="67" t="str">
        <f t="shared" si="83"/>
        <v/>
      </c>
      <c r="N1774" s="76">
        <f t="shared" si="84"/>
        <v>7</v>
      </c>
      <c r="O1774" s="33">
        <f t="shared" si="82"/>
        <v>7</v>
      </c>
    </row>
    <row r="1775" spans="1:15" x14ac:dyDescent="0.25">
      <c r="A1775" s="64" t="s">
        <v>181</v>
      </c>
      <c r="B1775" s="79" t="str">
        <f>IF(Eighth!B28="", "",Eighth!B28)</f>
        <v>CSS</v>
      </c>
      <c r="C1775" s="66" t="str">
        <f>IF(Eighth!C28="", "",Eighth!C28)</f>
        <v>Carer</v>
      </c>
      <c r="D1775" s="66" t="str">
        <f>IF(Eighth!D28="", "",Eighth!D28)</f>
        <v>Returning</v>
      </c>
      <c r="E1775" s="66" t="str">
        <f>IF(Eighth!E28="", "",Eighth!E28)</f>
        <v>Female</v>
      </c>
      <c r="F1775" s="66" t="str">
        <f>IF(Eighth!F28="", "",Eighth!F28)</f>
        <v>Haemat</v>
      </c>
      <c r="G1775" s="66" t="str">
        <f>IF(Eighth!G28="", "",Eighth!G28)</f>
        <v>Non-Curative Intent</v>
      </c>
      <c r="H1775" s="66" t="str">
        <f>IF(Eighth!H28="", "",Eighth!H28)</f>
        <v>Booked</v>
      </c>
      <c r="I1775" s="66" t="str">
        <f>IF(Eighth!I28="", "",Eighth!I28)</f>
        <v>Psych Support - Individual</v>
      </c>
      <c r="J1775" s="66" t="str">
        <f>IF(Eighth!J28="", "",Eighth!J28)</f>
        <v/>
      </c>
      <c r="K1775" s="86" t="str">
        <f>IF(Eighth!K28="", "",Eighth!K28)</f>
        <v/>
      </c>
      <c r="M1775" s="67" t="str">
        <f t="shared" si="83"/>
        <v/>
      </c>
      <c r="N1775" s="76">
        <f t="shared" si="84"/>
        <v>7</v>
      </c>
      <c r="O1775" s="33">
        <f t="shared" si="82"/>
        <v>7</v>
      </c>
    </row>
    <row r="1776" spans="1:15" x14ac:dyDescent="0.25">
      <c r="A1776" s="64" t="s">
        <v>181</v>
      </c>
      <c r="B1776" s="79" t="str">
        <f>IF(Eighth!B29="", "",Eighth!B29)</f>
        <v>CSS</v>
      </c>
      <c r="C1776" s="66" t="str">
        <f>IF(Eighth!C29="", "",Eighth!C29)</f>
        <v>PwC</v>
      </c>
      <c r="D1776" s="66" t="str">
        <f>IF(Eighth!D29="", "",Eighth!D29)</f>
        <v>New</v>
      </c>
      <c r="E1776" s="66" t="str">
        <f>IF(Eighth!E29="", "",Eighth!E29)</f>
        <v>Female</v>
      </c>
      <c r="F1776" s="66" t="str">
        <f>IF(Eighth!F29="", "",Eighth!F29)</f>
        <v>Lower GI</v>
      </c>
      <c r="G1776" s="66" t="str">
        <f>IF(Eighth!G29="", "",Eighth!G29)</f>
        <v>Non-Curative Intent</v>
      </c>
      <c r="H1776" s="66" t="str">
        <f>IF(Eighth!H29="", "",Eighth!H29)</f>
        <v>Drop-In</v>
      </c>
      <c r="I1776" s="66" t="str">
        <f>IF(Eighth!I29="", "",Eighth!I29)</f>
        <v/>
      </c>
      <c r="J1776" s="66" t="str">
        <f>IF(Eighth!J29="", "",Eighth!J29)</f>
        <v/>
      </c>
      <c r="K1776" s="86" t="str">
        <f>IF(Eighth!K29="", "",Eighth!K29)</f>
        <v/>
      </c>
      <c r="M1776" s="67">
        <f t="shared" si="83"/>
        <v>7</v>
      </c>
      <c r="N1776" s="76" t="str">
        <f t="shared" si="84"/>
        <v/>
      </c>
      <c r="O1776" s="33">
        <f t="shared" si="82"/>
        <v>7</v>
      </c>
    </row>
    <row r="1777" spans="1:15" x14ac:dyDescent="0.25">
      <c r="A1777" s="64" t="s">
        <v>181</v>
      </c>
      <c r="B1777" s="79" t="str">
        <f>IF(Eighth!B30="", "",Eighth!B30)</f>
        <v>CSS</v>
      </c>
      <c r="C1777" s="66" t="str">
        <f>IF(Eighth!C30="", "",Eighth!C30)</f>
        <v>Carer</v>
      </c>
      <c r="D1777" s="66" t="str">
        <f>IF(Eighth!D30="", "",Eighth!D30)</f>
        <v>New</v>
      </c>
      <c r="E1777" s="66" t="str">
        <f>IF(Eighth!E30="", "",Eighth!E30)</f>
        <v>Female</v>
      </c>
      <c r="F1777" s="66" t="str">
        <f>IF(Eighth!F30="", "",Eighth!F30)</f>
        <v>Lower GI</v>
      </c>
      <c r="G1777" s="66" t="str">
        <f>IF(Eighth!G30="", "",Eighth!G30)</f>
        <v>Non-Curative Intent</v>
      </c>
      <c r="H1777" s="66" t="str">
        <f>IF(Eighth!H30="", "",Eighth!H30)</f>
        <v>Drop-In</v>
      </c>
      <c r="I1777" s="66" t="str">
        <f>IF(Eighth!I30="", "",Eighth!I30)</f>
        <v/>
      </c>
      <c r="J1777" s="66" t="str">
        <f>IF(Eighth!J30="", "",Eighth!J30)</f>
        <v/>
      </c>
      <c r="K1777" s="86" t="str">
        <f>IF(Eighth!K30="", "",Eighth!K30)</f>
        <v/>
      </c>
      <c r="M1777" s="67" t="str">
        <f t="shared" si="83"/>
        <v/>
      </c>
      <c r="N1777" s="76">
        <f t="shared" si="84"/>
        <v>7</v>
      </c>
      <c r="O1777" s="33">
        <f t="shared" si="82"/>
        <v>7</v>
      </c>
    </row>
    <row r="1778" spans="1:15" x14ac:dyDescent="0.25">
      <c r="A1778" s="64" t="s">
        <v>181</v>
      </c>
      <c r="B1778" s="79" t="str">
        <f>IF(Eighth!B31="", "",Eighth!B31)</f>
        <v>CSS</v>
      </c>
      <c r="C1778" s="66" t="str">
        <f>IF(Eighth!C31="", "",Eighth!C31)</f>
        <v>PwC</v>
      </c>
      <c r="D1778" s="66" t="str">
        <f>IF(Eighth!D31="", "",Eighth!D31)</f>
        <v>New</v>
      </c>
      <c r="E1778" s="66" t="str">
        <f>IF(Eighth!E31="", "",Eighth!E31)</f>
        <v>Female</v>
      </c>
      <c r="F1778" s="66" t="str">
        <f>IF(Eighth!F31="", "",Eighth!F31)</f>
        <v>Gynae</v>
      </c>
      <c r="G1778" s="66" t="str">
        <f>IF(Eighth!G31="", "",Eighth!G31)</f>
        <v>Post Treatment - Curative Intent</v>
      </c>
      <c r="H1778" s="66" t="str">
        <f>IF(Eighth!H31="", "",Eighth!H31)</f>
        <v>Drop-In</v>
      </c>
      <c r="I1778" s="66" t="str">
        <f>IF(Eighth!I31="", "",Eighth!I31)</f>
        <v/>
      </c>
      <c r="J1778" s="66" t="str">
        <f>IF(Eighth!J31="", "",Eighth!J31)</f>
        <v/>
      </c>
      <c r="K1778" s="86" t="str">
        <f>IF(Eighth!K31="", "",Eighth!K31)</f>
        <v/>
      </c>
      <c r="M1778" s="67">
        <f t="shared" si="83"/>
        <v>7</v>
      </c>
      <c r="N1778" s="76" t="str">
        <f t="shared" si="84"/>
        <v/>
      </c>
      <c r="O1778" s="33">
        <f t="shared" si="82"/>
        <v>7</v>
      </c>
    </row>
    <row r="1779" spans="1:15" x14ac:dyDescent="0.25">
      <c r="A1779" s="64" t="s">
        <v>181</v>
      </c>
      <c r="B1779" s="79" t="str">
        <f>IF(Eighth!B32="", "",Eighth!B32)</f>
        <v>CSS</v>
      </c>
      <c r="C1779" s="66" t="str">
        <f>IF(Eighth!C32="", "",Eighth!C32)</f>
        <v>PwC</v>
      </c>
      <c r="D1779" s="66" t="str">
        <f>IF(Eighth!D32="", "",Eighth!D32)</f>
        <v>New</v>
      </c>
      <c r="E1779" s="66" t="str">
        <f>IF(Eighth!E32="", "",Eighth!E32)</f>
        <v>Male</v>
      </c>
      <c r="F1779" s="66" t="str">
        <f>IF(Eighth!F32="", "",Eighth!F32)</f>
        <v>Lower GI</v>
      </c>
      <c r="G1779" s="66" t="str">
        <f>IF(Eighth!G32="", "",Eighth!G32)</f>
        <v>Curative Intent</v>
      </c>
      <c r="H1779" s="66" t="str">
        <f>IF(Eighth!H32="", "",Eighth!H32)</f>
        <v>Drop-In</v>
      </c>
      <c r="I1779" s="66" t="str">
        <f>IF(Eighth!I32="", "",Eighth!I32)</f>
        <v/>
      </c>
      <c r="J1779" s="66" t="str">
        <f>IF(Eighth!J32="", "",Eighth!J32)</f>
        <v/>
      </c>
      <c r="K1779" s="86" t="str">
        <f>IF(Eighth!K32="", "",Eighth!K32)</f>
        <v/>
      </c>
      <c r="M1779" s="67">
        <f t="shared" si="83"/>
        <v>7</v>
      </c>
      <c r="N1779" s="76" t="str">
        <f t="shared" si="84"/>
        <v/>
      </c>
      <c r="O1779" s="33">
        <f t="shared" si="82"/>
        <v>7</v>
      </c>
    </row>
    <row r="1780" spans="1:15" x14ac:dyDescent="0.25">
      <c r="A1780" s="64" t="s">
        <v>181</v>
      </c>
      <c r="B1780" s="79" t="str">
        <f>IF(Eighth!B33="", "",Eighth!B33)</f>
        <v>CSS</v>
      </c>
      <c r="C1780" s="66" t="str">
        <f>IF(Eighth!C33="", "",Eighth!C33)</f>
        <v>Carer</v>
      </c>
      <c r="D1780" s="66" t="str">
        <f>IF(Eighth!D33="", "",Eighth!D33)</f>
        <v>New</v>
      </c>
      <c r="E1780" s="66" t="str">
        <f>IF(Eighth!E33="", "",Eighth!E33)</f>
        <v>Female</v>
      </c>
      <c r="F1780" s="66" t="str">
        <f>IF(Eighth!F33="", "",Eighth!F33)</f>
        <v>Lower GI</v>
      </c>
      <c r="G1780" s="66" t="str">
        <f>IF(Eighth!G33="", "",Eighth!G33)</f>
        <v>Curative Intent</v>
      </c>
      <c r="H1780" s="66" t="str">
        <f>IF(Eighth!H33="", "",Eighth!H33)</f>
        <v>Drop-In</v>
      </c>
      <c r="I1780" s="66" t="str">
        <f>IF(Eighth!I33="", "",Eighth!I33)</f>
        <v/>
      </c>
      <c r="J1780" s="66" t="str">
        <f>IF(Eighth!J33="", "",Eighth!J33)</f>
        <v/>
      </c>
      <c r="K1780" s="86" t="str">
        <f>IF(Eighth!K33="", "",Eighth!K33)</f>
        <v/>
      </c>
      <c r="M1780" s="67" t="str">
        <f t="shared" si="83"/>
        <v/>
      </c>
      <c r="N1780" s="76">
        <f t="shared" si="84"/>
        <v>7</v>
      </c>
      <c r="O1780" s="33">
        <f t="shared" si="82"/>
        <v>7</v>
      </c>
    </row>
    <row r="1781" spans="1:15" x14ac:dyDescent="0.25">
      <c r="A1781" s="64" t="s">
        <v>181</v>
      </c>
      <c r="B1781" s="79" t="str">
        <f>IF(Eighth!B34="", "",Eighth!B34)</f>
        <v>CSS</v>
      </c>
      <c r="C1781" s="66" t="str">
        <f>IF(Eighth!C34="", "",Eighth!C34)</f>
        <v>PwC</v>
      </c>
      <c r="D1781" s="66" t="str">
        <f>IF(Eighth!D34="", "",Eighth!D34)</f>
        <v>New</v>
      </c>
      <c r="E1781" s="66" t="str">
        <f>IF(Eighth!E34="", "",Eighth!E34)</f>
        <v>Female</v>
      </c>
      <c r="F1781" s="66" t="str">
        <f>IF(Eighth!F34="", "",Eighth!F34)</f>
        <v>Breast</v>
      </c>
      <c r="G1781" s="66" t="str">
        <f>IF(Eighth!G34="", "",Eighth!G34)</f>
        <v>Curative Intent</v>
      </c>
      <c r="H1781" s="66" t="str">
        <f>IF(Eighth!H34="", "",Eighth!H34)</f>
        <v>Drop-In</v>
      </c>
      <c r="I1781" s="66" t="str">
        <f>IF(Eighth!I34="", "",Eighth!I34)</f>
        <v/>
      </c>
      <c r="J1781" s="66" t="str">
        <f>IF(Eighth!J34="", "",Eighth!J34)</f>
        <v/>
      </c>
      <c r="K1781" s="86" t="str">
        <f>IF(Eighth!K34="", "",Eighth!K34)</f>
        <v/>
      </c>
      <c r="M1781" s="67">
        <f t="shared" si="83"/>
        <v>7</v>
      </c>
      <c r="N1781" s="76" t="str">
        <f t="shared" si="84"/>
        <v/>
      </c>
      <c r="O1781" s="33">
        <f t="shared" si="82"/>
        <v>7</v>
      </c>
    </row>
    <row r="1782" spans="1:15" x14ac:dyDescent="0.25">
      <c r="A1782" s="64" t="s">
        <v>181</v>
      </c>
      <c r="B1782" s="79" t="str">
        <f>IF(Eighth!B35="", "",Eighth!B35)</f>
        <v>CSS</v>
      </c>
      <c r="C1782" s="66" t="str">
        <f>IF(Eighth!C35="", "",Eighth!C35)</f>
        <v>Carer</v>
      </c>
      <c r="D1782" s="66" t="str">
        <f>IF(Eighth!D35="", "",Eighth!D35)</f>
        <v>New</v>
      </c>
      <c r="E1782" s="66" t="str">
        <f>IF(Eighth!E35="", "",Eighth!E35)</f>
        <v>Male</v>
      </c>
      <c r="F1782" s="66" t="str">
        <f>IF(Eighth!F35="", "",Eighth!F35)</f>
        <v>Breast</v>
      </c>
      <c r="G1782" s="66" t="str">
        <f>IF(Eighth!G35="", "",Eighth!G35)</f>
        <v>Curative Intent</v>
      </c>
      <c r="H1782" s="66" t="str">
        <f>IF(Eighth!H35="", "",Eighth!H35)</f>
        <v>Drop-In</v>
      </c>
      <c r="I1782" s="66" t="str">
        <f>IF(Eighth!I35="", "",Eighth!I35)</f>
        <v/>
      </c>
      <c r="J1782" s="66" t="str">
        <f>IF(Eighth!J35="", "",Eighth!J35)</f>
        <v/>
      </c>
      <c r="K1782" s="86" t="str">
        <f>IF(Eighth!K35="", "",Eighth!K35)</f>
        <v/>
      </c>
      <c r="M1782" s="67" t="str">
        <f t="shared" si="83"/>
        <v/>
      </c>
      <c r="N1782" s="76">
        <f t="shared" si="84"/>
        <v>7</v>
      </c>
      <c r="O1782" s="33">
        <f t="shared" si="82"/>
        <v>7</v>
      </c>
    </row>
    <row r="1783" spans="1:15" x14ac:dyDescent="0.25">
      <c r="A1783" s="64" t="s">
        <v>181</v>
      </c>
      <c r="B1783" s="79" t="str">
        <f>IF(Eighth!B36="", "",Eighth!B36)</f>
        <v>CSS</v>
      </c>
      <c r="C1783" s="66" t="str">
        <f>IF(Eighth!C36="", "",Eighth!C36)</f>
        <v>PwC</v>
      </c>
      <c r="D1783" s="66" t="str">
        <f>IF(Eighth!D36="", "",Eighth!D36)</f>
        <v>New</v>
      </c>
      <c r="E1783" s="66" t="str">
        <f>IF(Eighth!E36="", "",Eighth!E36)</f>
        <v>Female</v>
      </c>
      <c r="F1783" s="66" t="str">
        <f>IF(Eighth!F36="", "",Eighth!F36)</f>
        <v>Breast</v>
      </c>
      <c r="G1783" s="66" t="str">
        <f>IF(Eighth!G36="", "",Eighth!G36)</f>
        <v>Curative Intent</v>
      </c>
      <c r="H1783" s="66" t="str">
        <f>IF(Eighth!H36="", "",Eighth!H36)</f>
        <v>Drop-In</v>
      </c>
      <c r="I1783" s="66" t="str">
        <f>IF(Eighth!I36="", "",Eighth!I36)</f>
        <v/>
      </c>
      <c r="J1783" s="66" t="str">
        <f>IF(Eighth!J36="", "",Eighth!J36)</f>
        <v/>
      </c>
      <c r="K1783" s="86" t="str">
        <f>IF(Eighth!K36="", "",Eighth!K36)</f>
        <v/>
      </c>
      <c r="M1783" s="67">
        <f t="shared" si="83"/>
        <v>7</v>
      </c>
      <c r="N1783" s="76" t="str">
        <f t="shared" si="84"/>
        <v/>
      </c>
      <c r="O1783" s="33">
        <f t="shared" si="82"/>
        <v>7</v>
      </c>
    </row>
    <row r="1784" spans="1:15" x14ac:dyDescent="0.25">
      <c r="A1784" s="64" t="s">
        <v>181</v>
      </c>
      <c r="B1784" s="79" t="str">
        <f>IF(Eighth!B37="", "",Eighth!B37)</f>
        <v>Sessional Staff</v>
      </c>
      <c r="C1784" s="66" t="str">
        <f>IF(Eighth!C37="", "",Eighth!C37)</f>
        <v>PwC</v>
      </c>
      <c r="D1784" s="66" t="str">
        <f>IF(Eighth!D37="", "",Eighth!D37)</f>
        <v>Returning</v>
      </c>
      <c r="E1784" s="66" t="str">
        <f>IF(Eighth!E37="", "",Eighth!E37)</f>
        <v>Male</v>
      </c>
      <c r="F1784" s="66" t="str">
        <f>IF(Eighth!F37="", "",Eighth!F37)</f>
        <v>Lower GI</v>
      </c>
      <c r="G1784" s="66" t="str">
        <f>IF(Eighth!G37="", "",Eighth!G37)</f>
        <v>Post Treatment - Curative Intent</v>
      </c>
      <c r="H1784" s="66" t="str">
        <f>IF(Eighth!H37="", "",Eighth!H37)</f>
        <v>Programme</v>
      </c>
      <c r="I1784" s="66" t="str">
        <f>IF(Eighth!I37="", "",Eighth!I37)</f>
        <v>Expressive art</v>
      </c>
      <c r="J1784" s="66" t="str">
        <f>IF(Eighth!J37="", "",Eighth!J37)</f>
        <v/>
      </c>
      <c r="K1784" s="86" t="str">
        <f>IF(Eighth!K37="", "",Eighth!K37)</f>
        <v/>
      </c>
      <c r="M1784" s="67">
        <f t="shared" si="83"/>
        <v>7</v>
      </c>
      <c r="N1784" s="76" t="str">
        <f t="shared" si="84"/>
        <v/>
      </c>
      <c r="O1784" s="33">
        <f t="shared" si="82"/>
        <v>7</v>
      </c>
    </row>
    <row r="1785" spans="1:15" x14ac:dyDescent="0.25">
      <c r="A1785" s="64" t="s">
        <v>181</v>
      </c>
      <c r="B1785" s="79" t="str">
        <f>IF(Eighth!B38="", "",Eighth!B38)</f>
        <v>CSS</v>
      </c>
      <c r="C1785" s="66" t="str">
        <f>IF(Eighth!C38="", "",Eighth!C38)</f>
        <v>PwC</v>
      </c>
      <c r="D1785" s="66" t="str">
        <f>IF(Eighth!D38="", "",Eighth!D38)</f>
        <v>Returning</v>
      </c>
      <c r="E1785" s="66" t="str">
        <f>IF(Eighth!E38="", "",Eighth!E38)</f>
        <v>Female</v>
      </c>
      <c r="F1785" s="66" t="str">
        <f>IF(Eighth!F38="", "",Eighth!F38)</f>
        <v>Breast</v>
      </c>
      <c r="G1785" s="66" t="str">
        <f>IF(Eighth!G38="", "",Eighth!G38)</f>
        <v>Post Treatment - Curative Intent</v>
      </c>
      <c r="H1785" s="66" t="str">
        <f>IF(Eighth!H38="", "",Eighth!H38)</f>
        <v>Booked</v>
      </c>
      <c r="I1785" s="66" t="str">
        <f>IF(Eighth!I38="", "",Eighth!I38)</f>
        <v>Psych Support - Individual</v>
      </c>
      <c r="J1785" s="66" t="str">
        <f>IF(Eighth!J38="", "",Eighth!J38)</f>
        <v/>
      </c>
      <c r="K1785" s="86" t="str">
        <f>IF(Eighth!K38="", "",Eighth!K38)</f>
        <v/>
      </c>
      <c r="M1785" s="67">
        <f t="shared" si="83"/>
        <v>7</v>
      </c>
      <c r="N1785" s="76" t="str">
        <f t="shared" si="84"/>
        <v/>
      </c>
      <c r="O1785" s="33">
        <f t="shared" si="82"/>
        <v>7</v>
      </c>
    </row>
    <row r="1786" spans="1:15" x14ac:dyDescent="0.25">
      <c r="A1786" s="64" t="s">
        <v>181</v>
      </c>
      <c r="B1786" s="79" t="str">
        <f>IF(Eighth!B39="", "",Eighth!B39)</f>
        <v>CSS</v>
      </c>
      <c r="C1786" s="66" t="str">
        <f>IF(Eighth!C39="", "",Eighth!C39)</f>
        <v>PwC</v>
      </c>
      <c r="D1786" s="66" t="str">
        <f>IF(Eighth!D39="", "",Eighth!D39)</f>
        <v>Returning</v>
      </c>
      <c r="E1786" s="66" t="str">
        <f>IF(Eighth!E39="", "",Eighth!E39)</f>
        <v>Male</v>
      </c>
      <c r="F1786" s="66" t="str">
        <f>IF(Eighth!F39="", "",Eighth!F39)</f>
        <v>Haemat</v>
      </c>
      <c r="G1786" s="66" t="str">
        <f>IF(Eighth!G39="", "",Eighth!G39)</f>
        <v>Non-Curative Intent</v>
      </c>
      <c r="H1786" s="66" t="str">
        <f>IF(Eighth!H39="", "",Eighth!H39)</f>
        <v>Drop-In</v>
      </c>
      <c r="I1786" s="66" t="str">
        <f>IF(Eighth!I39="", "",Eighth!I39)</f>
        <v/>
      </c>
      <c r="J1786" s="66" t="str">
        <f>IF(Eighth!J39="", "",Eighth!J39)</f>
        <v/>
      </c>
      <c r="K1786" s="86" t="str">
        <f>IF(Eighth!K39="", "",Eighth!K39)</f>
        <v/>
      </c>
      <c r="M1786" s="67">
        <f t="shared" si="83"/>
        <v>7</v>
      </c>
      <c r="N1786" s="76" t="str">
        <f t="shared" si="84"/>
        <v/>
      </c>
      <c r="O1786" s="33">
        <f t="shared" si="82"/>
        <v>7</v>
      </c>
    </row>
    <row r="1787" spans="1:15" x14ac:dyDescent="0.25">
      <c r="A1787" s="64" t="s">
        <v>181</v>
      </c>
      <c r="B1787" s="79" t="str">
        <f>IF(Eighth!B40="", "",Eighth!B40)</f>
        <v>CSS</v>
      </c>
      <c r="C1787" s="66" t="str">
        <f>IF(Eighth!C40="", "",Eighth!C40)</f>
        <v>PwC</v>
      </c>
      <c r="D1787" s="66" t="str">
        <f>IF(Eighth!D40="", "",Eighth!D40)</f>
        <v>Returning</v>
      </c>
      <c r="E1787" s="66" t="str">
        <f>IF(Eighth!E40="", "",Eighth!E40)</f>
        <v>Male</v>
      </c>
      <c r="F1787" s="66" t="str">
        <f>IF(Eighth!F40="", "",Eighth!F40)</f>
        <v>Lower GI</v>
      </c>
      <c r="G1787" s="66" t="str">
        <f>IF(Eighth!G40="", "",Eighth!G40)</f>
        <v>Non-Curative Intent</v>
      </c>
      <c r="H1787" s="66" t="str">
        <f>IF(Eighth!H40="", "",Eighth!H40)</f>
        <v>Drop-In</v>
      </c>
      <c r="I1787" s="66" t="str">
        <f>IF(Eighth!I40="", "",Eighth!I40)</f>
        <v/>
      </c>
      <c r="J1787" s="66" t="str">
        <f>IF(Eighth!J40="", "",Eighth!J40)</f>
        <v/>
      </c>
      <c r="K1787" s="86" t="str">
        <f>IF(Eighth!K40="", "",Eighth!K40)</f>
        <v/>
      </c>
      <c r="M1787" s="67">
        <f t="shared" si="83"/>
        <v>7</v>
      </c>
      <c r="N1787" s="76" t="str">
        <f t="shared" si="84"/>
        <v/>
      </c>
      <c r="O1787" s="33">
        <f t="shared" si="82"/>
        <v>7</v>
      </c>
    </row>
    <row r="1788" spans="1:15" x14ac:dyDescent="0.25">
      <c r="A1788" s="64" t="s">
        <v>181</v>
      </c>
      <c r="B1788" s="79" t="str">
        <f>IF(Eighth!B41="", "",Eighth!B41)</f>
        <v>CSS</v>
      </c>
      <c r="C1788" s="66" t="str">
        <f>IF(Eighth!C41="", "",Eighth!C41)</f>
        <v>Carer</v>
      </c>
      <c r="D1788" s="66" t="str">
        <f>IF(Eighth!D41="", "",Eighth!D41)</f>
        <v>Returning</v>
      </c>
      <c r="E1788" s="66" t="str">
        <f>IF(Eighth!E41="", "",Eighth!E41)</f>
        <v>Female</v>
      </c>
      <c r="F1788" s="66" t="str">
        <f>IF(Eighth!F41="", "",Eighth!F41)</f>
        <v>Brain/CNS</v>
      </c>
      <c r="G1788" s="66" t="str">
        <f>IF(Eighth!G41="", "",Eighth!G41)</f>
        <v>Bereaved</v>
      </c>
      <c r="H1788" s="66" t="str">
        <f>IF(Eighth!H41="", "",Eighth!H41)</f>
        <v>Booked</v>
      </c>
      <c r="I1788" s="66" t="str">
        <f>IF(Eighth!I41="", "",Eighth!I41)</f>
        <v>Psych Support - Individual</v>
      </c>
      <c r="J1788" s="66" t="str">
        <f>IF(Eighth!J41="", "",Eighth!J41)</f>
        <v/>
      </c>
      <c r="K1788" s="86" t="str">
        <f>IF(Eighth!K41="", "",Eighth!K41)</f>
        <v/>
      </c>
      <c r="M1788" s="67" t="str">
        <f t="shared" si="83"/>
        <v/>
      </c>
      <c r="N1788" s="76">
        <f t="shared" si="84"/>
        <v>7</v>
      </c>
      <c r="O1788" s="33">
        <f t="shared" si="82"/>
        <v>7</v>
      </c>
    </row>
    <row r="1789" spans="1:15" x14ac:dyDescent="0.25">
      <c r="A1789" s="64" t="s">
        <v>181</v>
      </c>
      <c r="B1789" s="79" t="str">
        <f>IF(Eighth!B42="", "",Eighth!B42)</f>
        <v>CSS</v>
      </c>
      <c r="C1789" s="66" t="str">
        <f>IF(Eighth!C42="", "",Eighth!C42)</f>
        <v>Carer</v>
      </c>
      <c r="D1789" s="66" t="str">
        <f>IF(Eighth!D42="", "",Eighth!D42)</f>
        <v>Returning</v>
      </c>
      <c r="E1789" s="66" t="str">
        <f>IF(Eighth!E42="", "",Eighth!E42)</f>
        <v>Female</v>
      </c>
      <c r="F1789" s="66" t="str">
        <f>IF(Eighth!F42="", "",Eighth!F42)</f>
        <v>Brain/CNS</v>
      </c>
      <c r="G1789" s="66" t="str">
        <f>IF(Eighth!G42="", "",Eighth!G42)</f>
        <v>Bereaved</v>
      </c>
      <c r="H1789" s="66" t="str">
        <f>IF(Eighth!H42="", "",Eighth!H42)</f>
        <v>Drop-In</v>
      </c>
      <c r="I1789" s="66" t="str">
        <f>IF(Eighth!I42="", "",Eighth!I42)</f>
        <v/>
      </c>
      <c r="J1789" s="66" t="str">
        <f>IF(Eighth!J42="", "",Eighth!J42)</f>
        <v/>
      </c>
      <c r="K1789" s="86" t="str">
        <f>IF(Eighth!K42="", "",Eighth!K42)</f>
        <v/>
      </c>
      <c r="M1789" s="67" t="str">
        <f t="shared" si="83"/>
        <v/>
      </c>
      <c r="N1789" s="76">
        <f t="shared" si="84"/>
        <v>7</v>
      </c>
      <c r="O1789" s="33">
        <f t="shared" si="82"/>
        <v>7</v>
      </c>
    </row>
    <row r="1790" spans="1:15" x14ac:dyDescent="0.25">
      <c r="A1790" s="64" t="s">
        <v>181</v>
      </c>
      <c r="B1790" s="79" t="str">
        <f>IF(Eighth!B43="", "",Eighth!B43)</f>
        <v>CSS</v>
      </c>
      <c r="C1790" s="66" t="str">
        <f>IF(Eighth!C43="", "",Eighth!C43)</f>
        <v>Carer</v>
      </c>
      <c r="D1790" s="66" t="str">
        <f>IF(Eighth!D43="", "",Eighth!D43)</f>
        <v>Returning</v>
      </c>
      <c r="E1790" s="66" t="str">
        <f>IF(Eighth!E43="", "",Eighth!E43)</f>
        <v>Under 18 Female</v>
      </c>
      <c r="F1790" s="66" t="str">
        <f>IF(Eighth!F43="", "",Eighth!F43)</f>
        <v>Brain/CNS</v>
      </c>
      <c r="G1790" s="66" t="str">
        <f>IF(Eighth!G43="", "",Eighth!G43)</f>
        <v>Bereaved</v>
      </c>
      <c r="H1790" s="66" t="str">
        <f>IF(Eighth!H43="", "",Eighth!H43)</f>
        <v>Drop-In</v>
      </c>
      <c r="I1790" s="66" t="str">
        <f>IF(Eighth!I43="", "",Eighth!I43)</f>
        <v/>
      </c>
      <c r="J1790" s="66" t="str">
        <f>IF(Eighth!J43="", "",Eighth!J43)</f>
        <v/>
      </c>
      <c r="K1790" s="86" t="str">
        <f>IF(Eighth!K43="", "",Eighth!K43)</f>
        <v/>
      </c>
      <c r="M1790" s="67" t="str">
        <f t="shared" si="83"/>
        <v/>
      </c>
      <c r="N1790" s="76">
        <f t="shared" si="84"/>
        <v>7</v>
      </c>
      <c r="O1790" s="33">
        <f t="shared" si="82"/>
        <v>7</v>
      </c>
    </row>
    <row r="1791" spans="1:15" x14ac:dyDescent="0.25">
      <c r="A1791" s="64" t="s">
        <v>181</v>
      </c>
      <c r="B1791" s="79" t="str">
        <f>IF(Eighth!B44="", "",Eighth!B44)</f>
        <v>Psychologist</v>
      </c>
      <c r="C1791" s="66" t="str">
        <f>IF(Eighth!C44="", "",Eighth!C44)</f>
        <v>Carer</v>
      </c>
      <c r="D1791" s="66" t="str">
        <f>IF(Eighth!D44="", "",Eighth!D44)</f>
        <v>Returning</v>
      </c>
      <c r="E1791" s="66" t="str">
        <f>IF(Eighth!E44="", "",Eighth!E44)</f>
        <v>Female</v>
      </c>
      <c r="F1791" s="66" t="str">
        <f>IF(Eighth!F44="", "",Eighth!F44)</f>
        <v>Lower GI</v>
      </c>
      <c r="G1791" s="66" t="str">
        <f>IF(Eighth!G44="", "",Eighth!G44)</f>
        <v>Bereaved</v>
      </c>
      <c r="H1791" s="66" t="str">
        <f>IF(Eighth!H44="", "",Eighth!H44)</f>
        <v>Booked</v>
      </c>
      <c r="I1791" s="66" t="str">
        <f>IF(Eighth!I44="", "",Eighth!I44)</f>
        <v>Psych Support - Individual</v>
      </c>
      <c r="J1791" s="66" t="str">
        <f>IF(Eighth!J44="", "",Eighth!J44)</f>
        <v/>
      </c>
      <c r="K1791" s="86" t="str">
        <f>IF(Eighth!K44="", "",Eighth!K44)</f>
        <v/>
      </c>
      <c r="M1791" s="67" t="str">
        <f t="shared" si="83"/>
        <v/>
      </c>
      <c r="N1791" s="76">
        <f t="shared" si="84"/>
        <v>7</v>
      </c>
      <c r="O1791" s="33">
        <f t="shared" si="82"/>
        <v>7</v>
      </c>
    </row>
    <row r="1792" spans="1:15" x14ac:dyDescent="0.25">
      <c r="A1792" s="64" t="s">
        <v>181</v>
      </c>
      <c r="B1792" s="79" t="str">
        <f>IF(Eighth!B45="", "",Eighth!B45)</f>
        <v>Psychologist</v>
      </c>
      <c r="C1792" s="66" t="str">
        <f>IF(Eighth!C45="", "",Eighth!C45)</f>
        <v>Carer</v>
      </c>
      <c r="D1792" s="66" t="str">
        <f>IF(Eighth!D45="", "",Eighth!D45)</f>
        <v>Returning</v>
      </c>
      <c r="E1792" s="66" t="str">
        <f>IF(Eighth!E45="", "",Eighth!E45)</f>
        <v>Female</v>
      </c>
      <c r="F1792" s="66" t="str">
        <f>IF(Eighth!F45="", "",Eighth!F45)</f>
        <v>Lower GI</v>
      </c>
      <c r="G1792" s="66" t="str">
        <f>IF(Eighth!G45="", "",Eighth!G45)</f>
        <v>Bereaved</v>
      </c>
      <c r="H1792" s="66" t="str">
        <f>IF(Eighth!H45="", "",Eighth!H45)</f>
        <v>Booked</v>
      </c>
      <c r="I1792" s="66" t="str">
        <f>IF(Eighth!I45="", "",Eighth!I45)</f>
        <v>Psych Support - Individual</v>
      </c>
      <c r="J1792" s="66" t="str">
        <f>IF(Eighth!J45="", "",Eighth!J45)</f>
        <v>Look Good Feel Better</v>
      </c>
      <c r="K1792" s="86" t="str">
        <f>IF(Eighth!K45="", "",Eighth!K45)</f>
        <v/>
      </c>
      <c r="M1792" s="67" t="str">
        <f t="shared" si="83"/>
        <v/>
      </c>
      <c r="N1792" s="76">
        <f t="shared" si="84"/>
        <v>7</v>
      </c>
      <c r="O1792" s="33">
        <f t="shared" si="82"/>
        <v>7</v>
      </c>
    </row>
    <row r="1793" spans="1:15" x14ac:dyDescent="0.25">
      <c r="A1793" s="64" t="s">
        <v>181</v>
      </c>
      <c r="B1793" s="79" t="str">
        <f>IF(Eighth!B46="", "",Eighth!B46)</f>
        <v>Psychologist</v>
      </c>
      <c r="C1793" s="66" t="str">
        <f>IF(Eighth!C46="", "",Eighth!C46)</f>
        <v>PwC</v>
      </c>
      <c r="D1793" s="66" t="str">
        <f>IF(Eighth!D46="", "",Eighth!D46)</f>
        <v>Returning</v>
      </c>
      <c r="E1793" s="66" t="str">
        <f>IF(Eighth!E46="", "",Eighth!E46)</f>
        <v>Female</v>
      </c>
      <c r="F1793" s="66" t="str">
        <f>IF(Eighth!F46="", "",Eighth!F46)</f>
        <v>Breast</v>
      </c>
      <c r="G1793" s="66" t="str">
        <f>IF(Eighth!G46="", "",Eighth!G46)</f>
        <v>Post Treatment - Curative Intent</v>
      </c>
      <c r="H1793" s="66" t="str">
        <f>IF(Eighth!H46="", "",Eighth!H46)</f>
        <v>Booked</v>
      </c>
      <c r="I1793" s="66" t="str">
        <f>IF(Eighth!I46="", "",Eighth!I46)</f>
        <v>Psych Support - Individual</v>
      </c>
      <c r="J1793" s="66" t="str">
        <f>IF(Eighth!J46="", "",Eighth!J46)</f>
        <v>Look Good Feel Better</v>
      </c>
      <c r="K1793" s="86" t="str">
        <f>IF(Eighth!K46="", "",Eighth!K46)</f>
        <v/>
      </c>
      <c r="M1793" s="67">
        <f t="shared" si="83"/>
        <v>7</v>
      </c>
      <c r="N1793" s="76" t="str">
        <f t="shared" si="84"/>
        <v/>
      </c>
      <c r="O1793" s="33">
        <f t="shared" si="82"/>
        <v>7</v>
      </c>
    </row>
    <row r="1794" spans="1:15" x14ac:dyDescent="0.25">
      <c r="A1794" s="64" t="s">
        <v>181</v>
      </c>
      <c r="B1794" s="79" t="str">
        <f>IF(Eighth!B47="", "",Eighth!B47)</f>
        <v>CSS</v>
      </c>
      <c r="C1794" s="66" t="str">
        <f>IF(Eighth!C47="", "",Eighth!C47)</f>
        <v>PwC</v>
      </c>
      <c r="D1794" s="66" t="str">
        <f>IF(Eighth!D47="", "",Eighth!D47)</f>
        <v>Returning</v>
      </c>
      <c r="E1794" s="66" t="str">
        <f>IF(Eighth!E47="", "",Eighth!E47)</f>
        <v>Female</v>
      </c>
      <c r="F1794" s="66" t="str">
        <f>IF(Eighth!F47="", "",Eighth!F47)</f>
        <v>Breast</v>
      </c>
      <c r="G1794" s="66" t="str">
        <f>IF(Eighth!G47="", "",Eighth!G47)</f>
        <v>Curative Intent</v>
      </c>
      <c r="H1794" s="66" t="str">
        <f>IF(Eighth!H47="", "",Eighth!H47)</f>
        <v>Booked</v>
      </c>
      <c r="I1794" s="66" t="str">
        <f>IF(Eighth!I47="", "",Eighth!I47)</f>
        <v>Psych Support - Individual</v>
      </c>
      <c r="J1794" s="66" t="str">
        <f>IF(Eighth!J47="", "",Eighth!J47)</f>
        <v>Look Good Feel Better</v>
      </c>
      <c r="K1794" s="86" t="str">
        <f>IF(Eighth!K47="", "",Eighth!K47)</f>
        <v>NG Laryngectomy</v>
      </c>
      <c r="M1794" s="67">
        <f t="shared" si="83"/>
        <v>7</v>
      </c>
      <c r="N1794" s="76" t="str">
        <f t="shared" si="84"/>
        <v/>
      </c>
      <c r="O1794" s="33">
        <f t="shared" ref="O1794:O1857" si="85">SUM(M1794:N1794)</f>
        <v>7</v>
      </c>
    </row>
    <row r="1795" spans="1:15" x14ac:dyDescent="0.25">
      <c r="A1795" s="64" t="s">
        <v>181</v>
      </c>
      <c r="B1795" s="79" t="str">
        <f>IF(Eighth!B48="", "",Eighth!B48)</f>
        <v>CSS</v>
      </c>
      <c r="C1795" s="66" t="str">
        <f>IF(Eighth!C48="", "",Eighth!C48)</f>
        <v>Carer</v>
      </c>
      <c r="D1795" s="66" t="str">
        <f>IF(Eighth!D48="", "",Eighth!D48)</f>
        <v>Returning</v>
      </c>
      <c r="E1795" s="66" t="str">
        <f>IF(Eighth!E48="", "",Eighth!E48)</f>
        <v>Male</v>
      </c>
      <c r="F1795" s="66" t="str">
        <f>IF(Eighth!F48="", "",Eighth!F48)</f>
        <v>Brain/CNS</v>
      </c>
      <c r="G1795" s="66" t="str">
        <f>IF(Eighth!G48="", "",Eighth!G48)</f>
        <v>Post Treatment - Curative Intent</v>
      </c>
      <c r="H1795" s="66" t="str">
        <f>IF(Eighth!H48="", "",Eighth!H48)</f>
        <v>Booked</v>
      </c>
      <c r="I1795" s="66" t="str">
        <f>IF(Eighth!I48="", "",Eighth!I48)</f>
        <v>Psych Support - Individual</v>
      </c>
      <c r="J1795" s="66" t="str">
        <f>IF(Eighth!J48="", "",Eighth!J48)</f>
        <v/>
      </c>
      <c r="K1795" s="86" t="str">
        <f>IF(Eighth!K48="", "",Eighth!K48)</f>
        <v/>
      </c>
      <c r="M1795" s="67" t="str">
        <f t="shared" ref="M1795:M1858" si="86">IF(C1795="PwC",(7-COUNTIF(B1795:H1795,"")),"")</f>
        <v/>
      </c>
      <c r="N1795" s="76">
        <f t="shared" ref="N1795:N1858" si="87">IF(C1795="Carer",(7-COUNTIF(B1795:H1795,"")),"")</f>
        <v>7</v>
      </c>
      <c r="O1795" s="33">
        <f t="shared" si="85"/>
        <v>7</v>
      </c>
    </row>
    <row r="1796" spans="1:15" x14ac:dyDescent="0.25">
      <c r="A1796" s="64" t="s">
        <v>181</v>
      </c>
      <c r="B1796" s="79" t="str">
        <f>IF(Eighth!B49="", "",Eighth!B49)</f>
        <v>CSS</v>
      </c>
      <c r="C1796" s="66" t="str">
        <f>IF(Eighth!C49="", "",Eighth!C49)</f>
        <v>Carer</v>
      </c>
      <c r="D1796" s="66" t="str">
        <f>IF(Eighth!D49="", "",Eighth!D49)</f>
        <v>Returning</v>
      </c>
      <c r="E1796" s="66" t="str">
        <f>IF(Eighth!E49="", "",Eighth!E49)</f>
        <v>Male</v>
      </c>
      <c r="F1796" s="66" t="str">
        <f>IF(Eighth!F49="", "",Eighth!F49)</f>
        <v>Brain/CNS</v>
      </c>
      <c r="G1796" s="66" t="str">
        <f>IF(Eighth!G49="", "",Eighth!G49)</f>
        <v>Post Treatment - Curative Intent</v>
      </c>
      <c r="H1796" s="66" t="str">
        <f>IF(Eighth!H49="", "",Eighth!H49)</f>
        <v>Drop-In</v>
      </c>
      <c r="I1796" s="66" t="str">
        <f>IF(Eighth!I49="", "",Eighth!I49)</f>
        <v/>
      </c>
      <c r="J1796" s="66" t="str">
        <f>IF(Eighth!J49="", "",Eighth!J49)</f>
        <v/>
      </c>
      <c r="K1796" s="86" t="str">
        <f>IF(Eighth!K49="", "",Eighth!K49)</f>
        <v/>
      </c>
      <c r="M1796" s="67" t="str">
        <f t="shared" si="86"/>
        <v/>
      </c>
      <c r="N1796" s="76">
        <f t="shared" si="87"/>
        <v>7</v>
      </c>
      <c r="O1796" s="33">
        <f t="shared" si="85"/>
        <v>7</v>
      </c>
    </row>
    <row r="1797" spans="1:15" x14ac:dyDescent="0.25">
      <c r="A1797" s="64" t="s">
        <v>181</v>
      </c>
      <c r="B1797" s="79" t="str">
        <f>IF(Eighth!B50="", "",Eighth!B50)</f>
        <v>CSS</v>
      </c>
      <c r="C1797" s="66" t="str">
        <f>IF(Eighth!C50="", "",Eighth!C50)</f>
        <v>PwC</v>
      </c>
      <c r="D1797" s="66" t="str">
        <f>IF(Eighth!D50="", "",Eighth!D50)</f>
        <v>New</v>
      </c>
      <c r="E1797" s="66" t="str">
        <f>IF(Eighth!E50="", "",Eighth!E50)</f>
        <v>Male</v>
      </c>
      <c r="F1797" s="66" t="str">
        <f>IF(Eighth!F50="", "",Eighth!F50)</f>
        <v>Prostate</v>
      </c>
      <c r="G1797" s="66" t="str">
        <f>IF(Eighth!G50="", "",Eighth!G50)</f>
        <v>Curative Intent</v>
      </c>
      <c r="H1797" s="66" t="str">
        <f>IF(Eighth!H50="", "",Eighth!H50)</f>
        <v>Drop-In</v>
      </c>
      <c r="I1797" s="66" t="str">
        <f>IF(Eighth!I50="", "",Eighth!I50)</f>
        <v/>
      </c>
      <c r="J1797" s="66" t="str">
        <f>IF(Eighth!J50="", "",Eighth!J50)</f>
        <v/>
      </c>
      <c r="K1797" s="86" t="str">
        <f>IF(Eighth!K50="", "",Eighth!K50)</f>
        <v/>
      </c>
      <c r="M1797" s="67">
        <f t="shared" si="86"/>
        <v>7</v>
      </c>
      <c r="N1797" s="76" t="str">
        <f t="shared" si="87"/>
        <v/>
      </c>
      <c r="O1797" s="33">
        <f t="shared" si="85"/>
        <v>7</v>
      </c>
    </row>
    <row r="1798" spans="1:15" x14ac:dyDescent="0.25">
      <c r="A1798" s="64" t="s">
        <v>181</v>
      </c>
      <c r="B1798" s="79" t="str">
        <f>IF(Eighth!B51="", "",Eighth!B51)</f>
        <v>CSS</v>
      </c>
      <c r="C1798" s="66" t="str">
        <f>IF(Eighth!C51="", "",Eighth!C51)</f>
        <v>PwC</v>
      </c>
      <c r="D1798" s="66" t="str">
        <f>IF(Eighth!D51="", "",Eighth!D51)</f>
        <v>Returning</v>
      </c>
      <c r="E1798" s="66" t="str">
        <f>IF(Eighth!E51="", "",Eighth!E51)</f>
        <v>Female</v>
      </c>
      <c r="F1798" s="66" t="str">
        <f>IF(Eighth!F51="", "",Eighth!F51)</f>
        <v>Breast</v>
      </c>
      <c r="G1798" s="66" t="str">
        <f>IF(Eighth!G51="", "",Eighth!G51)</f>
        <v>Post Treatment - Curative Intent</v>
      </c>
      <c r="H1798" s="66" t="str">
        <f>IF(Eighth!H51="", "",Eighth!H51)</f>
        <v>Booked</v>
      </c>
      <c r="I1798" s="66" t="str">
        <f>IF(Eighth!I51="", "",Eighth!I51)</f>
        <v>Psych Support - Individual</v>
      </c>
      <c r="J1798" s="66" t="str">
        <f>IF(Eighth!J51="", "",Eighth!J51)</f>
        <v>FSG Young Person's</v>
      </c>
      <c r="K1798" s="86" t="str">
        <f>IF(Eighth!K51="", "",Eighth!K51)</f>
        <v/>
      </c>
      <c r="M1798" s="67">
        <f t="shared" si="86"/>
        <v>7</v>
      </c>
      <c r="N1798" s="76" t="str">
        <f t="shared" si="87"/>
        <v/>
      </c>
      <c r="O1798" s="33">
        <f t="shared" si="85"/>
        <v>7</v>
      </c>
    </row>
    <row r="1799" spans="1:15" x14ac:dyDescent="0.25">
      <c r="A1799" s="64" t="s">
        <v>181</v>
      </c>
      <c r="B1799" s="79" t="str">
        <f>IF(Eighth!B52="", "",Eighth!B52)</f>
        <v>CSS</v>
      </c>
      <c r="C1799" s="66" t="str">
        <f>IF(Eighth!C52="", "",Eighth!C52)</f>
        <v>PwC</v>
      </c>
      <c r="D1799" s="66" t="str">
        <f>IF(Eighth!D52="", "",Eighth!D52)</f>
        <v>Returning</v>
      </c>
      <c r="E1799" s="66" t="str">
        <f>IF(Eighth!E52="", "",Eighth!E52)</f>
        <v>Female</v>
      </c>
      <c r="F1799" s="66" t="str">
        <f>IF(Eighth!F52="", "",Eighth!F52)</f>
        <v>Brain/CNS</v>
      </c>
      <c r="G1799" s="66" t="str">
        <f>IF(Eighth!G52="", "",Eighth!G52)</f>
        <v>Non-Curative Intent</v>
      </c>
      <c r="H1799" s="66" t="str">
        <f>IF(Eighth!H52="", "",Eighth!H52)</f>
        <v>Drop-In</v>
      </c>
      <c r="I1799" s="66" t="str">
        <f>IF(Eighth!I52="", "",Eighth!I52)</f>
        <v/>
      </c>
      <c r="J1799" s="66" t="str">
        <f>IF(Eighth!J52="", "",Eighth!J52)</f>
        <v/>
      </c>
      <c r="K1799" s="86" t="str">
        <f>IF(Eighth!K52="", "",Eighth!K52)</f>
        <v/>
      </c>
      <c r="M1799" s="67">
        <f t="shared" si="86"/>
        <v>7</v>
      </c>
      <c r="N1799" s="76" t="str">
        <f t="shared" si="87"/>
        <v/>
      </c>
      <c r="O1799" s="33">
        <f t="shared" si="85"/>
        <v>7</v>
      </c>
    </row>
    <row r="1800" spans="1:15" x14ac:dyDescent="0.25">
      <c r="A1800" s="64" t="s">
        <v>181</v>
      </c>
      <c r="B1800" s="79" t="str">
        <f>IF(Eighth!B53="", "",Eighth!B53)</f>
        <v>CSS</v>
      </c>
      <c r="C1800" s="66" t="str">
        <f>IF(Eighth!C53="", "",Eighth!C53)</f>
        <v>Carer</v>
      </c>
      <c r="D1800" s="66" t="str">
        <f>IF(Eighth!D53="", "",Eighth!D53)</f>
        <v>Returning</v>
      </c>
      <c r="E1800" s="66" t="str">
        <f>IF(Eighth!E53="", "",Eighth!E53)</f>
        <v>Male</v>
      </c>
      <c r="F1800" s="66" t="str">
        <f>IF(Eighth!F53="", "",Eighth!F53)</f>
        <v>Brain/CNS</v>
      </c>
      <c r="G1800" s="66" t="str">
        <f>IF(Eighth!G53="", "",Eighth!G53)</f>
        <v>Non-Curative Intent</v>
      </c>
      <c r="H1800" s="66" t="str">
        <f>IF(Eighth!H53="", "",Eighth!H53)</f>
        <v>Drop-In</v>
      </c>
      <c r="I1800" s="66" t="str">
        <f>IF(Eighth!I53="", "",Eighth!I53)</f>
        <v/>
      </c>
      <c r="J1800" s="66" t="str">
        <f>IF(Eighth!J53="", "",Eighth!J53)</f>
        <v/>
      </c>
      <c r="K1800" s="86" t="str">
        <f>IF(Eighth!K53="", "",Eighth!K53)</f>
        <v/>
      </c>
      <c r="M1800" s="67" t="str">
        <f t="shared" si="86"/>
        <v/>
      </c>
      <c r="N1800" s="76">
        <f t="shared" si="87"/>
        <v>7</v>
      </c>
      <c r="O1800" s="33">
        <f t="shared" si="85"/>
        <v>7</v>
      </c>
    </row>
    <row r="1801" spans="1:15" x14ac:dyDescent="0.25">
      <c r="A1801" s="64" t="s">
        <v>181</v>
      </c>
      <c r="B1801" s="79" t="str">
        <f>IF(Eighth!B54="", "",Eighth!B54)</f>
        <v>CSS</v>
      </c>
      <c r="C1801" s="66" t="str">
        <f>IF(Eighth!C54="", "",Eighth!C54)</f>
        <v>PwC</v>
      </c>
      <c r="D1801" s="66" t="str">
        <f>IF(Eighth!D54="", "",Eighth!D54)</f>
        <v>Returning</v>
      </c>
      <c r="E1801" s="66" t="str">
        <f>IF(Eighth!E54="", "",Eighth!E54)</f>
        <v>Male</v>
      </c>
      <c r="F1801" s="66" t="str">
        <f>IF(Eighth!F54="", "",Eighth!F54)</f>
        <v>Haemat</v>
      </c>
      <c r="G1801" s="66" t="str">
        <f>IF(Eighth!G54="", "",Eighth!G54)</f>
        <v>Curative Intent</v>
      </c>
      <c r="H1801" s="66" t="str">
        <f>IF(Eighth!H54="", "",Eighth!H54)</f>
        <v>Drop-In</v>
      </c>
      <c r="I1801" s="66" t="str">
        <f>IF(Eighth!I54="", "",Eighth!I54)</f>
        <v/>
      </c>
      <c r="J1801" s="66" t="str">
        <f>IF(Eighth!J54="", "",Eighth!J54)</f>
        <v/>
      </c>
      <c r="K1801" s="86" t="str">
        <f>IF(Eighth!K54="", "",Eighth!K54)</f>
        <v/>
      </c>
      <c r="M1801" s="67">
        <f t="shared" si="86"/>
        <v>7</v>
      </c>
      <c r="N1801" s="76" t="str">
        <f t="shared" si="87"/>
        <v/>
      </c>
      <c r="O1801" s="33">
        <f t="shared" si="85"/>
        <v>7</v>
      </c>
    </row>
    <row r="1802" spans="1:15" x14ac:dyDescent="0.25">
      <c r="A1802" s="64" t="s">
        <v>181</v>
      </c>
      <c r="B1802" s="79" t="str">
        <f>IF(Eighth!B55="", "",Eighth!B55)</f>
        <v>CSS</v>
      </c>
      <c r="C1802" s="66" t="str">
        <f>IF(Eighth!C55="", "",Eighth!C55)</f>
        <v>Carer</v>
      </c>
      <c r="D1802" s="66" t="str">
        <f>IF(Eighth!D55="", "",Eighth!D55)</f>
        <v>Returning</v>
      </c>
      <c r="E1802" s="66" t="str">
        <f>IF(Eighth!E55="", "",Eighth!E55)</f>
        <v>Female</v>
      </c>
      <c r="F1802" s="66" t="str">
        <f>IF(Eighth!F55="", "",Eighth!F55)</f>
        <v>Haemat</v>
      </c>
      <c r="G1802" s="66" t="str">
        <f>IF(Eighth!G55="", "",Eighth!G55)</f>
        <v>Curative Intent</v>
      </c>
      <c r="H1802" s="66" t="str">
        <f>IF(Eighth!H55="", "",Eighth!H55)</f>
        <v>Drop-In</v>
      </c>
      <c r="I1802" s="66" t="str">
        <f>IF(Eighth!I55="", "",Eighth!I55)</f>
        <v/>
      </c>
      <c r="J1802" s="66" t="str">
        <f>IF(Eighth!J55="", "",Eighth!J55)</f>
        <v/>
      </c>
      <c r="K1802" s="86" t="str">
        <f>IF(Eighth!K55="", "",Eighth!K55)</f>
        <v/>
      </c>
      <c r="M1802" s="67" t="str">
        <f t="shared" si="86"/>
        <v/>
      </c>
      <c r="N1802" s="76">
        <f t="shared" si="87"/>
        <v>7</v>
      </c>
      <c r="O1802" s="33">
        <f t="shared" si="85"/>
        <v>7</v>
      </c>
    </row>
    <row r="1803" spans="1:15" x14ac:dyDescent="0.25">
      <c r="A1803" s="64" t="s">
        <v>181</v>
      </c>
      <c r="B1803" s="79" t="str">
        <f>IF(Eighth!B56="", "",Eighth!B56)</f>
        <v>CSS</v>
      </c>
      <c r="C1803" s="66" t="str">
        <f>IF(Eighth!C56="", "",Eighth!C56)</f>
        <v>Carer</v>
      </c>
      <c r="D1803" s="66" t="str">
        <f>IF(Eighth!D56="", "",Eighth!D56)</f>
        <v>New</v>
      </c>
      <c r="E1803" s="66" t="str">
        <f>IF(Eighth!E56="", "",Eighth!E56)</f>
        <v>Female</v>
      </c>
      <c r="F1803" s="66" t="str">
        <f>IF(Eighth!F56="", "",Eighth!F56)</f>
        <v>Breast</v>
      </c>
      <c r="G1803" s="66" t="str">
        <f>IF(Eighth!G56="", "",Eighth!G56)</f>
        <v>Non-Curative Intent</v>
      </c>
      <c r="H1803" s="66" t="str">
        <f>IF(Eighth!H56="", "",Eighth!H56)</f>
        <v>Drop-In</v>
      </c>
      <c r="I1803" s="66" t="str">
        <f>IF(Eighth!I56="", "",Eighth!I56)</f>
        <v/>
      </c>
      <c r="J1803" s="66" t="str">
        <f>IF(Eighth!J56="", "",Eighth!J56)</f>
        <v/>
      </c>
      <c r="K1803" s="86" t="str">
        <f>IF(Eighth!K56="", "",Eighth!K56)</f>
        <v/>
      </c>
      <c r="M1803" s="67" t="str">
        <f t="shared" si="86"/>
        <v/>
      </c>
      <c r="N1803" s="76">
        <f t="shared" si="87"/>
        <v>7</v>
      </c>
      <c r="O1803" s="33">
        <f t="shared" si="85"/>
        <v>7</v>
      </c>
    </row>
    <row r="1804" spans="1:15" x14ac:dyDescent="0.25">
      <c r="A1804" s="64" t="s">
        <v>181</v>
      </c>
      <c r="B1804" s="79" t="str">
        <f>IF(Eighth!B57="", "",Eighth!B57)</f>
        <v>CSS</v>
      </c>
      <c r="C1804" s="66" t="str">
        <f>IF(Eighth!C57="", "",Eighth!C57)</f>
        <v>Carer</v>
      </c>
      <c r="D1804" s="66" t="str">
        <f>IF(Eighth!D57="", "",Eighth!D57)</f>
        <v>Returning</v>
      </c>
      <c r="E1804" s="66" t="str">
        <f>IF(Eighth!E57="", "",Eighth!E57)</f>
        <v>Female</v>
      </c>
      <c r="F1804" s="66" t="str">
        <f>IF(Eighth!F57="", "",Eighth!F57)</f>
        <v>Breast</v>
      </c>
      <c r="G1804" s="66" t="str">
        <f>IF(Eighth!G57="", "",Eighth!G57)</f>
        <v>Non-Curative Intent</v>
      </c>
      <c r="H1804" s="66" t="str">
        <f>IF(Eighth!H57="", "",Eighth!H57)</f>
        <v>Drop-In</v>
      </c>
      <c r="I1804" s="66" t="str">
        <f>IF(Eighth!I57="", "",Eighth!I57)</f>
        <v/>
      </c>
      <c r="J1804" s="66" t="str">
        <f>IF(Eighth!J57="", "",Eighth!J57)</f>
        <v/>
      </c>
      <c r="K1804" s="86" t="str">
        <f>IF(Eighth!K57="", "",Eighth!K57)</f>
        <v/>
      </c>
      <c r="M1804" s="67" t="str">
        <f t="shared" si="86"/>
        <v/>
      </c>
      <c r="N1804" s="76">
        <f t="shared" si="87"/>
        <v>7</v>
      </c>
      <c r="O1804" s="33">
        <f t="shared" si="85"/>
        <v>7</v>
      </c>
    </row>
    <row r="1805" spans="1:15" x14ac:dyDescent="0.25">
      <c r="A1805" s="64" t="s">
        <v>181</v>
      </c>
      <c r="B1805" s="79" t="str">
        <f>IF(Eighth!B58="", "",Eighth!B58)</f>
        <v/>
      </c>
      <c r="C1805" s="66" t="str">
        <f>IF(Eighth!C58="", "",Eighth!C58)</f>
        <v/>
      </c>
      <c r="D1805" s="66" t="str">
        <f>IF(Eighth!D58="", "",Eighth!D58)</f>
        <v/>
      </c>
      <c r="E1805" s="66" t="str">
        <f>IF(Eighth!E58="", "",Eighth!E58)</f>
        <v/>
      </c>
      <c r="F1805" s="66" t="str">
        <f>IF(Eighth!F58="", "",Eighth!F58)</f>
        <v/>
      </c>
      <c r="G1805" s="66" t="str">
        <f>IF(Eighth!G58="", "",Eighth!G58)</f>
        <v/>
      </c>
      <c r="H1805" s="66" t="str">
        <f>IF(Eighth!H58="", "",Eighth!H58)</f>
        <v/>
      </c>
      <c r="I1805" s="66" t="str">
        <f>IF(Eighth!I58="", "",Eighth!I58)</f>
        <v/>
      </c>
      <c r="J1805" s="66" t="str">
        <f>IF(Eighth!J58="", "",Eighth!J58)</f>
        <v/>
      </c>
      <c r="K1805" s="86" t="str">
        <f>IF(Eighth!K58="", "",Eighth!K58)</f>
        <v/>
      </c>
      <c r="M1805" s="67" t="str">
        <f t="shared" si="86"/>
        <v/>
      </c>
      <c r="N1805" s="76" t="str">
        <f t="shared" si="87"/>
        <v/>
      </c>
      <c r="O1805" s="33">
        <f t="shared" si="85"/>
        <v>0</v>
      </c>
    </row>
    <row r="1806" spans="1:15" x14ac:dyDescent="0.25">
      <c r="A1806" s="64" t="s">
        <v>181</v>
      </c>
      <c r="B1806" s="79" t="str">
        <f>IF(Eighth!B59="", "",Eighth!B59)</f>
        <v/>
      </c>
      <c r="C1806" s="66" t="str">
        <f>IF(Eighth!C59="", "",Eighth!C59)</f>
        <v/>
      </c>
      <c r="D1806" s="66" t="str">
        <f>IF(Eighth!D59="", "",Eighth!D59)</f>
        <v/>
      </c>
      <c r="E1806" s="66" t="str">
        <f>IF(Eighth!E59="", "",Eighth!E59)</f>
        <v/>
      </c>
      <c r="F1806" s="66" t="str">
        <f>IF(Eighth!F59="", "",Eighth!F59)</f>
        <v/>
      </c>
      <c r="G1806" s="66" t="str">
        <f>IF(Eighth!G59="", "",Eighth!G59)</f>
        <v/>
      </c>
      <c r="H1806" s="66" t="str">
        <f>IF(Eighth!H59="", "",Eighth!H59)</f>
        <v/>
      </c>
      <c r="I1806" s="66" t="str">
        <f>IF(Eighth!I59="", "",Eighth!I59)</f>
        <v/>
      </c>
      <c r="J1806" s="66" t="str">
        <f>IF(Eighth!J59="", "",Eighth!J59)</f>
        <v/>
      </c>
      <c r="K1806" s="86" t="str">
        <f>IF(Eighth!K59="", "",Eighth!K59)</f>
        <v/>
      </c>
      <c r="M1806" s="67" t="str">
        <f t="shared" si="86"/>
        <v/>
      </c>
      <c r="N1806" s="76" t="str">
        <f t="shared" si="87"/>
        <v/>
      </c>
      <c r="O1806" s="33">
        <f t="shared" si="85"/>
        <v>0</v>
      </c>
    </row>
    <row r="1807" spans="1:15" x14ac:dyDescent="0.25">
      <c r="A1807" s="64" t="s">
        <v>181</v>
      </c>
      <c r="B1807" s="79" t="str">
        <f>IF(Eighth!B60="", "",Eighth!B60)</f>
        <v/>
      </c>
      <c r="C1807" s="66" t="str">
        <f>IF(Eighth!C60="", "",Eighth!C60)</f>
        <v/>
      </c>
      <c r="D1807" s="66" t="str">
        <f>IF(Eighth!D60="", "",Eighth!D60)</f>
        <v/>
      </c>
      <c r="E1807" s="66" t="str">
        <f>IF(Eighth!E60="", "",Eighth!E60)</f>
        <v/>
      </c>
      <c r="F1807" s="66" t="str">
        <f>IF(Eighth!F60="", "",Eighth!F60)</f>
        <v/>
      </c>
      <c r="G1807" s="66" t="str">
        <f>IF(Eighth!G60="", "",Eighth!G60)</f>
        <v/>
      </c>
      <c r="H1807" s="66" t="str">
        <f>IF(Eighth!H60="", "",Eighth!H60)</f>
        <v/>
      </c>
      <c r="I1807" s="66" t="str">
        <f>IF(Eighth!I60="", "",Eighth!I60)</f>
        <v/>
      </c>
      <c r="J1807" s="66" t="str">
        <f>IF(Eighth!J60="", "",Eighth!J60)</f>
        <v/>
      </c>
      <c r="K1807" s="86" t="str">
        <f>IF(Eighth!K60="", "",Eighth!K60)</f>
        <v/>
      </c>
      <c r="M1807" s="67" t="str">
        <f t="shared" si="86"/>
        <v/>
      </c>
      <c r="N1807" s="76" t="str">
        <f t="shared" si="87"/>
        <v/>
      </c>
      <c r="O1807" s="33">
        <f t="shared" si="85"/>
        <v>0</v>
      </c>
    </row>
    <row r="1808" spans="1:15" x14ac:dyDescent="0.25">
      <c r="A1808" s="64" t="s">
        <v>181</v>
      </c>
      <c r="B1808" s="79" t="str">
        <f>IF(Eighth!B61="", "",Eighth!B61)</f>
        <v/>
      </c>
      <c r="C1808" s="66" t="str">
        <f>IF(Eighth!C61="", "",Eighth!C61)</f>
        <v/>
      </c>
      <c r="D1808" s="66" t="str">
        <f>IF(Eighth!D61="", "",Eighth!D61)</f>
        <v/>
      </c>
      <c r="E1808" s="66" t="str">
        <f>IF(Eighth!E61="", "",Eighth!E61)</f>
        <v/>
      </c>
      <c r="F1808" s="66" t="str">
        <f>IF(Eighth!F61="", "",Eighth!F61)</f>
        <v/>
      </c>
      <c r="G1808" s="66" t="str">
        <f>IF(Eighth!G61="", "",Eighth!G61)</f>
        <v/>
      </c>
      <c r="H1808" s="66" t="str">
        <f>IF(Eighth!H61="", "",Eighth!H61)</f>
        <v/>
      </c>
      <c r="I1808" s="66" t="str">
        <f>IF(Eighth!I61="", "",Eighth!I61)</f>
        <v/>
      </c>
      <c r="J1808" s="66" t="str">
        <f>IF(Eighth!J61="", "",Eighth!J61)</f>
        <v/>
      </c>
      <c r="K1808" s="86" t="str">
        <f>IF(Eighth!K61="", "",Eighth!K61)</f>
        <v/>
      </c>
      <c r="M1808" s="67" t="str">
        <f t="shared" si="86"/>
        <v/>
      </c>
      <c r="N1808" s="76" t="str">
        <f t="shared" si="87"/>
        <v/>
      </c>
      <c r="O1808" s="33">
        <f t="shared" si="85"/>
        <v>0</v>
      </c>
    </row>
    <row r="1809" spans="1:15" x14ac:dyDescent="0.25">
      <c r="A1809" s="64" t="s">
        <v>181</v>
      </c>
      <c r="B1809" s="79" t="str">
        <f>IF(Eighth!B62="", "",Eighth!B62)</f>
        <v/>
      </c>
      <c r="C1809" s="66" t="str">
        <f>IF(Eighth!C62="", "",Eighth!C62)</f>
        <v/>
      </c>
      <c r="D1809" s="66" t="str">
        <f>IF(Eighth!D62="", "",Eighth!D62)</f>
        <v/>
      </c>
      <c r="E1809" s="66" t="str">
        <f>IF(Eighth!E62="", "",Eighth!E62)</f>
        <v/>
      </c>
      <c r="F1809" s="66" t="str">
        <f>IF(Eighth!F62="", "",Eighth!F62)</f>
        <v/>
      </c>
      <c r="G1809" s="66" t="str">
        <f>IF(Eighth!G62="", "",Eighth!G62)</f>
        <v/>
      </c>
      <c r="H1809" s="66" t="str">
        <f>IF(Eighth!H62="", "",Eighth!H62)</f>
        <v/>
      </c>
      <c r="I1809" s="66" t="str">
        <f>IF(Eighth!I62="", "",Eighth!I62)</f>
        <v/>
      </c>
      <c r="J1809" s="66" t="str">
        <f>IF(Eighth!J62="", "",Eighth!J62)</f>
        <v/>
      </c>
      <c r="K1809" s="86" t="str">
        <f>IF(Eighth!K62="", "",Eighth!K62)</f>
        <v/>
      </c>
      <c r="M1809" s="67" t="str">
        <f t="shared" si="86"/>
        <v/>
      </c>
      <c r="N1809" s="76" t="str">
        <f t="shared" si="87"/>
        <v/>
      </c>
      <c r="O1809" s="33">
        <f t="shared" si="85"/>
        <v>0</v>
      </c>
    </row>
    <row r="1810" spans="1:15" x14ac:dyDescent="0.25">
      <c r="A1810" s="64" t="s">
        <v>181</v>
      </c>
      <c r="B1810" s="79" t="str">
        <f>IF(Eighth!B63="", "",Eighth!B63)</f>
        <v/>
      </c>
      <c r="C1810" s="66" t="str">
        <f>IF(Eighth!C63="", "",Eighth!C63)</f>
        <v/>
      </c>
      <c r="D1810" s="66" t="str">
        <f>IF(Eighth!D63="", "",Eighth!D63)</f>
        <v/>
      </c>
      <c r="E1810" s="66" t="str">
        <f>IF(Eighth!E63="", "",Eighth!E63)</f>
        <v/>
      </c>
      <c r="F1810" s="66" t="str">
        <f>IF(Eighth!F63="", "",Eighth!F63)</f>
        <v/>
      </c>
      <c r="G1810" s="66" t="str">
        <f>IF(Eighth!G63="", "",Eighth!G63)</f>
        <v/>
      </c>
      <c r="H1810" s="66" t="str">
        <f>IF(Eighth!H63="", "",Eighth!H63)</f>
        <v/>
      </c>
      <c r="I1810" s="66" t="str">
        <f>IF(Eighth!I63="", "",Eighth!I63)</f>
        <v/>
      </c>
      <c r="J1810" s="66" t="str">
        <f>IF(Eighth!J63="", "",Eighth!J63)</f>
        <v/>
      </c>
      <c r="K1810" s="86" t="str">
        <f>IF(Eighth!K63="", "",Eighth!K63)</f>
        <v/>
      </c>
      <c r="M1810" s="67" t="str">
        <f t="shared" si="86"/>
        <v/>
      </c>
      <c r="N1810" s="76" t="str">
        <f t="shared" si="87"/>
        <v/>
      </c>
      <c r="O1810" s="33">
        <f t="shared" si="85"/>
        <v>0</v>
      </c>
    </row>
    <row r="1811" spans="1:15" x14ac:dyDescent="0.25">
      <c r="A1811" s="64" t="s">
        <v>181</v>
      </c>
      <c r="B1811" s="79" t="str">
        <f>IF(Eighth!B64="", "",Eighth!B64)</f>
        <v/>
      </c>
      <c r="C1811" s="66" t="str">
        <f>IF(Eighth!C64="", "",Eighth!C64)</f>
        <v/>
      </c>
      <c r="D1811" s="66" t="str">
        <f>IF(Eighth!D64="", "",Eighth!D64)</f>
        <v/>
      </c>
      <c r="E1811" s="66" t="str">
        <f>IF(Eighth!E64="", "",Eighth!E64)</f>
        <v/>
      </c>
      <c r="F1811" s="66" t="str">
        <f>IF(Eighth!F64="", "",Eighth!F64)</f>
        <v/>
      </c>
      <c r="G1811" s="66" t="str">
        <f>IF(Eighth!G64="", "",Eighth!G64)</f>
        <v/>
      </c>
      <c r="H1811" s="66" t="str">
        <f>IF(Eighth!H64="", "",Eighth!H64)</f>
        <v/>
      </c>
      <c r="I1811" s="66" t="str">
        <f>IF(Eighth!I64="", "",Eighth!I64)</f>
        <v/>
      </c>
      <c r="J1811" s="66" t="str">
        <f>IF(Eighth!J64="", "",Eighth!J64)</f>
        <v/>
      </c>
      <c r="K1811" s="86" t="str">
        <f>IF(Eighth!K64="", "",Eighth!K64)</f>
        <v/>
      </c>
      <c r="M1811" s="67" t="str">
        <f t="shared" si="86"/>
        <v/>
      </c>
      <c r="N1811" s="76" t="str">
        <f t="shared" si="87"/>
        <v/>
      </c>
      <c r="O1811" s="33">
        <f t="shared" si="85"/>
        <v>0</v>
      </c>
    </row>
    <row r="1812" spans="1:15" x14ac:dyDescent="0.25">
      <c r="A1812" s="64" t="s">
        <v>181</v>
      </c>
      <c r="B1812" s="79" t="str">
        <f>IF(Eighth!B65="", "",Eighth!B65)</f>
        <v/>
      </c>
      <c r="C1812" s="66" t="str">
        <f>IF(Eighth!C65="", "",Eighth!C65)</f>
        <v/>
      </c>
      <c r="D1812" s="66" t="str">
        <f>IF(Eighth!D65="", "",Eighth!D65)</f>
        <v/>
      </c>
      <c r="E1812" s="66" t="str">
        <f>IF(Eighth!E65="", "",Eighth!E65)</f>
        <v/>
      </c>
      <c r="F1812" s="66" t="str">
        <f>IF(Eighth!F65="", "",Eighth!F65)</f>
        <v/>
      </c>
      <c r="G1812" s="66" t="str">
        <f>IF(Eighth!G65="", "",Eighth!G65)</f>
        <v/>
      </c>
      <c r="H1812" s="66" t="str">
        <f>IF(Eighth!H65="", "",Eighth!H65)</f>
        <v/>
      </c>
      <c r="I1812" s="66" t="str">
        <f>IF(Eighth!I65="", "",Eighth!I65)</f>
        <v/>
      </c>
      <c r="J1812" s="66" t="str">
        <f>IF(Eighth!J65="", "",Eighth!J65)</f>
        <v/>
      </c>
      <c r="K1812" s="86" t="str">
        <f>IF(Eighth!K65="", "",Eighth!K65)</f>
        <v/>
      </c>
      <c r="M1812" s="67" t="str">
        <f t="shared" si="86"/>
        <v/>
      </c>
      <c r="N1812" s="76" t="str">
        <f t="shared" si="87"/>
        <v/>
      </c>
      <c r="O1812" s="33">
        <f t="shared" si="85"/>
        <v>0</v>
      </c>
    </row>
    <row r="1813" spans="1:15" x14ac:dyDescent="0.25">
      <c r="A1813" s="64" t="s">
        <v>181</v>
      </c>
      <c r="B1813" s="79" t="str">
        <f>IF(Eighth!B66="", "",Eighth!B66)</f>
        <v/>
      </c>
      <c r="C1813" s="66" t="str">
        <f>IF(Eighth!C66="", "",Eighth!C66)</f>
        <v/>
      </c>
      <c r="D1813" s="66" t="str">
        <f>IF(Eighth!D66="", "",Eighth!D66)</f>
        <v/>
      </c>
      <c r="E1813" s="66" t="str">
        <f>IF(Eighth!E66="", "",Eighth!E66)</f>
        <v/>
      </c>
      <c r="F1813" s="66" t="str">
        <f>IF(Eighth!F66="", "",Eighth!F66)</f>
        <v/>
      </c>
      <c r="G1813" s="66" t="str">
        <f>IF(Eighth!G66="", "",Eighth!G66)</f>
        <v/>
      </c>
      <c r="H1813" s="66" t="str">
        <f>IF(Eighth!H66="", "",Eighth!H66)</f>
        <v/>
      </c>
      <c r="I1813" s="66" t="str">
        <f>IF(Eighth!I66="", "",Eighth!I66)</f>
        <v/>
      </c>
      <c r="J1813" s="66" t="str">
        <f>IF(Eighth!J66="", "",Eighth!J66)</f>
        <v/>
      </c>
      <c r="K1813" s="86" t="str">
        <f>IF(Eighth!K66="", "",Eighth!K66)</f>
        <v/>
      </c>
      <c r="M1813" s="67" t="str">
        <f t="shared" si="86"/>
        <v/>
      </c>
      <c r="N1813" s="76" t="str">
        <f t="shared" si="87"/>
        <v/>
      </c>
      <c r="O1813" s="33">
        <f t="shared" si="85"/>
        <v>0</v>
      </c>
    </row>
    <row r="1814" spans="1:15" x14ac:dyDescent="0.25">
      <c r="A1814" s="64" t="s">
        <v>181</v>
      </c>
      <c r="B1814" s="79" t="str">
        <f>IF(Eighth!B67="", "",Eighth!B67)</f>
        <v/>
      </c>
      <c r="C1814" s="66" t="str">
        <f>IF(Eighth!C67="", "",Eighth!C67)</f>
        <v/>
      </c>
      <c r="D1814" s="66" t="str">
        <f>IF(Eighth!D67="", "",Eighth!D67)</f>
        <v/>
      </c>
      <c r="E1814" s="66" t="str">
        <f>IF(Eighth!E67="", "",Eighth!E67)</f>
        <v/>
      </c>
      <c r="F1814" s="66" t="str">
        <f>IF(Eighth!F67="", "",Eighth!F67)</f>
        <v/>
      </c>
      <c r="G1814" s="66" t="str">
        <f>IF(Eighth!G67="", "",Eighth!G67)</f>
        <v/>
      </c>
      <c r="H1814" s="66" t="str">
        <f>IF(Eighth!H67="", "",Eighth!H67)</f>
        <v/>
      </c>
      <c r="I1814" s="66" t="str">
        <f>IF(Eighth!I67="", "",Eighth!I67)</f>
        <v/>
      </c>
      <c r="J1814" s="66" t="str">
        <f>IF(Eighth!J67="", "",Eighth!J67)</f>
        <v/>
      </c>
      <c r="K1814" s="86" t="str">
        <f>IF(Eighth!K67="", "",Eighth!K67)</f>
        <v/>
      </c>
      <c r="M1814" s="67" t="str">
        <f t="shared" si="86"/>
        <v/>
      </c>
      <c r="N1814" s="76" t="str">
        <f t="shared" si="87"/>
        <v/>
      </c>
      <c r="O1814" s="33">
        <f t="shared" si="85"/>
        <v>0</v>
      </c>
    </row>
    <row r="1815" spans="1:15" x14ac:dyDescent="0.25">
      <c r="A1815" s="64" t="s">
        <v>181</v>
      </c>
      <c r="B1815" s="79" t="str">
        <f>IF(Eighth!B68="", "",Eighth!B68)</f>
        <v/>
      </c>
      <c r="C1815" s="66" t="str">
        <f>IF(Eighth!C68="", "",Eighth!C68)</f>
        <v/>
      </c>
      <c r="D1815" s="66" t="str">
        <f>IF(Eighth!D68="", "",Eighth!D68)</f>
        <v/>
      </c>
      <c r="E1815" s="66" t="str">
        <f>IF(Eighth!E68="", "",Eighth!E68)</f>
        <v/>
      </c>
      <c r="F1815" s="66" t="str">
        <f>IF(Eighth!F68="", "",Eighth!F68)</f>
        <v/>
      </c>
      <c r="G1815" s="66" t="str">
        <f>IF(Eighth!G68="", "",Eighth!G68)</f>
        <v/>
      </c>
      <c r="H1815" s="66" t="str">
        <f>IF(Eighth!H68="", "",Eighth!H68)</f>
        <v/>
      </c>
      <c r="I1815" s="66" t="str">
        <f>IF(Eighth!I68="", "",Eighth!I68)</f>
        <v/>
      </c>
      <c r="J1815" s="66" t="str">
        <f>IF(Eighth!J68="", "",Eighth!J68)</f>
        <v/>
      </c>
      <c r="K1815" s="86" t="str">
        <f>IF(Eighth!K68="", "",Eighth!K68)</f>
        <v/>
      </c>
      <c r="M1815" s="67" t="str">
        <f t="shared" si="86"/>
        <v/>
      </c>
      <c r="N1815" s="76" t="str">
        <f t="shared" si="87"/>
        <v/>
      </c>
      <c r="O1815" s="33">
        <f t="shared" si="85"/>
        <v>0</v>
      </c>
    </row>
    <row r="1816" spans="1:15" x14ac:dyDescent="0.25">
      <c r="A1816" s="64" t="s">
        <v>181</v>
      </c>
      <c r="B1816" s="79" t="str">
        <f>IF(Eighth!B69="", "",Eighth!B69)</f>
        <v/>
      </c>
      <c r="C1816" s="66" t="str">
        <f>IF(Eighth!C69="", "",Eighth!C69)</f>
        <v/>
      </c>
      <c r="D1816" s="66" t="str">
        <f>IF(Eighth!D69="", "",Eighth!D69)</f>
        <v/>
      </c>
      <c r="E1816" s="66" t="str">
        <f>IF(Eighth!E69="", "",Eighth!E69)</f>
        <v/>
      </c>
      <c r="F1816" s="66" t="str">
        <f>IF(Eighth!F69="", "",Eighth!F69)</f>
        <v/>
      </c>
      <c r="G1816" s="66" t="str">
        <f>IF(Eighth!G69="", "",Eighth!G69)</f>
        <v/>
      </c>
      <c r="H1816" s="66" t="str">
        <f>IF(Eighth!H69="", "",Eighth!H69)</f>
        <v/>
      </c>
      <c r="I1816" s="66" t="str">
        <f>IF(Eighth!I69="", "",Eighth!I69)</f>
        <v/>
      </c>
      <c r="J1816" s="66" t="str">
        <f>IF(Eighth!J69="", "",Eighth!J69)</f>
        <v/>
      </c>
      <c r="K1816" s="86" t="str">
        <f>IF(Eighth!K69="", "",Eighth!K69)</f>
        <v/>
      </c>
      <c r="M1816" s="67" t="str">
        <f t="shared" si="86"/>
        <v/>
      </c>
      <c r="N1816" s="76" t="str">
        <f t="shared" si="87"/>
        <v/>
      </c>
      <c r="O1816" s="33">
        <f t="shared" si="85"/>
        <v>0</v>
      </c>
    </row>
    <row r="1817" spans="1:15" x14ac:dyDescent="0.25">
      <c r="A1817" s="64" t="s">
        <v>181</v>
      </c>
      <c r="B1817" s="79" t="str">
        <f>IF(Eighth!B70="", "",Eighth!B70)</f>
        <v/>
      </c>
      <c r="C1817" s="66" t="str">
        <f>IF(Eighth!C70="", "",Eighth!C70)</f>
        <v/>
      </c>
      <c r="D1817" s="66" t="str">
        <f>IF(Eighth!D70="", "",Eighth!D70)</f>
        <v/>
      </c>
      <c r="E1817" s="66" t="str">
        <f>IF(Eighth!E70="", "",Eighth!E70)</f>
        <v/>
      </c>
      <c r="F1817" s="66" t="str">
        <f>IF(Eighth!F70="", "",Eighth!F70)</f>
        <v/>
      </c>
      <c r="G1817" s="66" t="str">
        <f>IF(Eighth!G70="", "",Eighth!G70)</f>
        <v/>
      </c>
      <c r="H1817" s="66" t="str">
        <f>IF(Eighth!H70="", "",Eighth!H70)</f>
        <v/>
      </c>
      <c r="I1817" s="66" t="str">
        <f>IF(Eighth!I70="", "",Eighth!I70)</f>
        <v/>
      </c>
      <c r="J1817" s="66" t="str">
        <f>IF(Eighth!J70="", "",Eighth!J70)</f>
        <v/>
      </c>
      <c r="K1817" s="86" t="str">
        <f>IF(Eighth!K70="", "",Eighth!K70)</f>
        <v/>
      </c>
      <c r="M1817" s="67" t="str">
        <f t="shared" si="86"/>
        <v/>
      </c>
      <c r="N1817" s="76" t="str">
        <f t="shared" si="87"/>
        <v/>
      </c>
      <c r="O1817" s="33">
        <f t="shared" si="85"/>
        <v>0</v>
      </c>
    </row>
    <row r="1818" spans="1:15" x14ac:dyDescent="0.25">
      <c r="A1818" s="64" t="s">
        <v>181</v>
      </c>
      <c r="B1818" s="79" t="str">
        <f>IF(Eighth!B71="", "",Eighth!B71)</f>
        <v/>
      </c>
      <c r="C1818" s="66" t="str">
        <f>IF(Eighth!C71="", "",Eighth!C71)</f>
        <v/>
      </c>
      <c r="D1818" s="66" t="str">
        <f>IF(Eighth!D71="", "",Eighth!D71)</f>
        <v/>
      </c>
      <c r="E1818" s="66" t="str">
        <f>IF(Eighth!E71="", "",Eighth!E71)</f>
        <v/>
      </c>
      <c r="F1818" s="66" t="str">
        <f>IF(Eighth!F71="", "",Eighth!F71)</f>
        <v/>
      </c>
      <c r="G1818" s="66" t="str">
        <f>IF(Eighth!G71="", "",Eighth!G71)</f>
        <v/>
      </c>
      <c r="H1818" s="66" t="str">
        <f>IF(Eighth!H71="", "",Eighth!H71)</f>
        <v/>
      </c>
      <c r="I1818" s="66" t="str">
        <f>IF(Eighth!I71="", "",Eighth!I71)</f>
        <v/>
      </c>
      <c r="J1818" s="66" t="str">
        <f>IF(Eighth!J71="", "",Eighth!J71)</f>
        <v/>
      </c>
      <c r="K1818" s="86" t="str">
        <f>IF(Eighth!K71="", "",Eighth!K71)</f>
        <v/>
      </c>
      <c r="M1818" s="67" t="str">
        <f t="shared" si="86"/>
        <v/>
      </c>
      <c r="N1818" s="76" t="str">
        <f t="shared" si="87"/>
        <v/>
      </c>
      <c r="O1818" s="33">
        <f t="shared" si="85"/>
        <v>0</v>
      </c>
    </row>
    <row r="1819" spans="1:15" x14ac:dyDescent="0.25">
      <c r="A1819" s="64" t="s">
        <v>181</v>
      </c>
      <c r="B1819" s="79" t="str">
        <f>IF(Eighth!B72="", "",Eighth!B72)</f>
        <v/>
      </c>
      <c r="C1819" s="66" t="str">
        <f>IF(Eighth!C72="", "",Eighth!C72)</f>
        <v/>
      </c>
      <c r="D1819" s="66" t="str">
        <f>IF(Eighth!D72="", "",Eighth!D72)</f>
        <v/>
      </c>
      <c r="E1819" s="66" t="str">
        <f>IF(Eighth!E72="", "",Eighth!E72)</f>
        <v/>
      </c>
      <c r="F1819" s="66" t="str">
        <f>IF(Eighth!F72="", "",Eighth!F72)</f>
        <v/>
      </c>
      <c r="G1819" s="66" t="str">
        <f>IF(Eighth!G72="", "",Eighth!G72)</f>
        <v/>
      </c>
      <c r="H1819" s="66" t="str">
        <f>IF(Eighth!H72="", "",Eighth!H72)</f>
        <v/>
      </c>
      <c r="I1819" s="66" t="str">
        <f>IF(Eighth!I72="", "",Eighth!I72)</f>
        <v/>
      </c>
      <c r="J1819" s="66" t="str">
        <f>IF(Eighth!J72="", "",Eighth!J72)</f>
        <v/>
      </c>
      <c r="K1819" s="86" t="str">
        <f>IF(Eighth!K72="", "",Eighth!K72)</f>
        <v/>
      </c>
      <c r="M1819" s="67" t="str">
        <f t="shared" si="86"/>
        <v/>
      </c>
      <c r="N1819" s="76" t="str">
        <f t="shared" si="87"/>
        <v/>
      </c>
      <c r="O1819" s="33">
        <f t="shared" si="85"/>
        <v>0</v>
      </c>
    </row>
    <row r="1820" spans="1:15" x14ac:dyDescent="0.25">
      <c r="A1820" s="64" t="s">
        <v>181</v>
      </c>
      <c r="B1820" s="79" t="str">
        <f>IF(Eighth!B73="", "",Eighth!B73)</f>
        <v/>
      </c>
      <c r="C1820" s="66" t="str">
        <f>IF(Eighth!C73="", "",Eighth!C73)</f>
        <v/>
      </c>
      <c r="D1820" s="66" t="str">
        <f>IF(Eighth!D73="", "",Eighth!D73)</f>
        <v/>
      </c>
      <c r="E1820" s="66" t="str">
        <f>IF(Eighth!E73="", "",Eighth!E73)</f>
        <v/>
      </c>
      <c r="F1820" s="66" t="str">
        <f>IF(Eighth!F73="", "",Eighth!F73)</f>
        <v/>
      </c>
      <c r="G1820" s="66" t="str">
        <f>IF(Eighth!G73="", "",Eighth!G73)</f>
        <v/>
      </c>
      <c r="H1820" s="66" t="str">
        <f>IF(Eighth!H73="", "",Eighth!H73)</f>
        <v/>
      </c>
      <c r="I1820" s="66" t="str">
        <f>IF(Eighth!I73="", "",Eighth!I73)</f>
        <v/>
      </c>
      <c r="J1820" s="66" t="str">
        <f>IF(Eighth!J73="", "",Eighth!J73)</f>
        <v/>
      </c>
      <c r="K1820" s="86" t="str">
        <f>IF(Eighth!K73="", "",Eighth!K73)</f>
        <v/>
      </c>
      <c r="M1820" s="67" t="str">
        <f t="shared" si="86"/>
        <v/>
      </c>
      <c r="N1820" s="76" t="str">
        <f t="shared" si="87"/>
        <v/>
      </c>
      <c r="O1820" s="33">
        <f t="shared" si="85"/>
        <v>0</v>
      </c>
    </row>
    <row r="1821" spans="1:15" x14ac:dyDescent="0.25">
      <c r="A1821" s="64" t="s">
        <v>181</v>
      </c>
      <c r="B1821" s="79" t="str">
        <f>IF(Eighth!B74="", "",Eighth!B74)</f>
        <v/>
      </c>
      <c r="C1821" s="66" t="str">
        <f>IF(Eighth!C74="", "",Eighth!C74)</f>
        <v/>
      </c>
      <c r="D1821" s="66" t="str">
        <f>IF(Eighth!D74="", "",Eighth!D74)</f>
        <v/>
      </c>
      <c r="E1821" s="66" t="str">
        <f>IF(Eighth!E74="", "",Eighth!E74)</f>
        <v/>
      </c>
      <c r="F1821" s="66" t="str">
        <f>IF(Eighth!F74="", "",Eighth!F74)</f>
        <v/>
      </c>
      <c r="G1821" s="66" t="str">
        <f>IF(Eighth!G74="", "",Eighth!G74)</f>
        <v/>
      </c>
      <c r="H1821" s="66" t="str">
        <f>IF(Eighth!H74="", "",Eighth!H74)</f>
        <v/>
      </c>
      <c r="I1821" s="66" t="str">
        <f>IF(Eighth!I74="", "",Eighth!I74)</f>
        <v/>
      </c>
      <c r="J1821" s="66" t="str">
        <f>IF(Eighth!J74="", "",Eighth!J74)</f>
        <v/>
      </c>
      <c r="K1821" s="86" t="str">
        <f>IF(Eighth!K74="", "",Eighth!K74)</f>
        <v/>
      </c>
      <c r="M1821" s="67" t="str">
        <f t="shared" si="86"/>
        <v/>
      </c>
      <c r="N1821" s="76" t="str">
        <f t="shared" si="87"/>
        <v/>
      </c>
      <c r="O1821" s="33">
        <f t="shared" si="85"/>
        <v>0</v>
      </c>
    </row>
    <row r="1822" spans="1:15" x14ac:dyDescent="0.25">
      <c r="A1822" s="64" t="s">
        <v>181</v>
      </c>
      <c r="B1822" s="79" t="str">
        <f>IF(Eighth!B75="", "",Eighth!B75)</f>
        <v/>
      </c>
      <c r="C1822" s="66" t="str">
        <f>IF(Eighth!C75="", "",Eighth!C75)</f>
        <v/>
      </c>
      <c r="D1822" s="66" t="str">
        <f>IF(Eighth!D75="", "",Eighth!D75)</f>
        <v/>
      </c>
      <c r="E1822" s="66" t="str">
        <f>IF(Eighth!E75="", "",Eighth!E75)</f>
        <v/>
      </c>
      <c r="F1822" s="66" t="str">
        <f>IF(Eighth!F75="", "",Eighth!F75)</f>
        <v/>
      </c>
      <c r="G1822" s="66" t="str">
        <f>IF(Eighth!G75="", "",Eighth!G75)</f>
        <v/>
      </c>
      <c r="H1822" s="66" t="str">
        <f>IF(Eighth!H75="", "",Eighth!H75)</f>
        <v/>
      </c>
      <c r="I1822" s="66" t="str">
        <f>IF(Eighth!I75="", "",Eighth!I75)</f>
        <v/>
      </c>
      <c r="J1822" s="66" t="str">
        <f>IF(Eighth!J75="", "",Eighth!J75)</f>
        <v/>
      </c>
      <c r="K1822" s="86" t="str">
        <f>IF(Eighth!K75="", "",Eighth!K75)</f>
        <v/>
      </c>
      <c r="M1822" s="67" t="str">
        <f t="shared" si="86"/>
        <v/>
      </c>
      <c r="N1822" s="76" t="str">
        <f t="shared" si="87"/>
        <v/>
      </c>
      <c r="O1822" s="33">
        <f t="shared" si="85"/>
        <v>0</v>
      </c>
    </row>
    <row r="1823" spans="1:15" x14ac:dyDescent="0.25">
      <c r="A1823" s="64" t="s">
        <v>181</v>
      </c>
      <c r="B1823" s="79" t="str">
        <f>IF(Eighth!B76="", "",Eighth!B76)</f>
        <v/>
      </c>
      <c r="C1823" s="66" t="str">
        <f>IF(Eighth!C76="", "",Eighth!C76)</f>
        <v/>
      </c>
      <c r="D1823" s="66" t="str">
        <f>IF(Eighth!D76="", "",Eighth!D76)</f>
        <v/>
      </c>
      <c r="E1823" s="66" t="str">
        <f>IF(Eighth!E76="", "",Eighth!E76)</f>
        <v/>
      </c>
      <c r="F1823" s="66" t="str">
        <f>IF(Eighth!F76="", "",Eighth!F76)</f>
        <v/>
      </c>
      <c r="G1823" s="66" t="str">
        <f>IF(Eighth!G76="", "",Eighth!G76)</f>
        <v/>
      </c>
      <c r="H1823" s="66" t="str">
        <f>IF(Eighth!H76="", "",Eighth!H76)</f>
        <v/>
      </c>
      <c r="I1823" s="66" t="str">
        <f>IF(Eighth!I76="", "",Eighth!I76)</f>
        <v/>
      </c>
      <c r="J1823" s="66" t="str">
        <f>IF(Eighth!J76="", "",Eighth!J76)</f>
        <v/>
      </c>
      <c r="K1823" s="86" t="str">
        <f>IF(Eighth!K76="", "",Eighth!K76)</f>
        <v/>
      </c>
      <c r="M1823" s="67" t="str">
        <f t="shared" si="86"/>
        <v/>
      </c>
      <c r="N1823" s="76" t="str">
        <f t="shared" si="87"/>
        <v/>
      </c>
      <c r="O1823" s="33">
        <f t="shared" si="85"/>
        <v>0</v>
      </c>
    </row>
    <row r="1824" spans="1:15" x14ac:dyDescent="0.25">
      <c r="A1824" s="64" t="s">
        <v>181</v>
      </c>
      <c r="B1824" s="79" t="str">
        <f>IF(Eighth!B77="", "",Eighth!B77)</f>
        <v/>
      </c>
      <c r="C1824" s="66" t="str">
        <f>IF(Eighth!C77="", "",Eighth!C77)</f>
        <v/>
      </c>
      <c r="D1824" s="66" t="str">
        <f>IF(Eighth!D77="", "",Eighth!D77)</f>
        <v/>
      </c>
      <c r="E1824" s="66" t="str">
        <f>IF(Eighth!E77="", "",Eighth!E77)</f>
        <v/>
      </c>
      <c r="F1824" s="66" t="str">
        <f>IF(Eighth!F77="", "",Eighth!F77)</f>
        <v/>
      </c>
      <c r="G1824" s="66" t="str">
        <f>IF(Eighth!G77="", "",Eighth!G77)</f>
        <v/>
      </c>
      <c r="H1824" s="66" t="str">
        <f>IF(Eighth!H77="", "",Eighth!H77)</f>
        <v/>
      </c>
      <c r="I1824" s="66" t="str">
        <f>IF(Eighth!I77="", "",Eighth!I77)</f>
        <v/>
      </c>
      <c r="J1824" s="66" t="str">
        <f>IF(Eighth!J77="", "",Eighth!J77)</f>
        <v/>
      </c>
      <c r="K1824" s="86" t="str">
        <f>IF(Eighth!K77="", "",Eighth!K77)</f>
        <v/>
      </c>
      <c r="M1824" s="67" t="str">
        <f t="shared" si="86"/>
        <v/>
      </c>
      <c r="N1824" s="76" t="str">
        <f t="shared" si="87"/>
        <v/>
      </c>
      <c r="O1824" s="33">
        <f t="shared" si="85"/>
        <v>0</v>
      </c>
    </row>
    <row r="1825" spans="1:15" x14ac:dyDescent="0.25">
      <c r="A1825" s="64" t="s">
        <v>181</v>
      </c>
      <c r="B1825" s="79" t="str">
        <f>IF(Eighth!B78="", "",Eighth!B78)</f>
        <v/>
      </c>
      <c r="C1825" s="66" t="str">
        <f>IF(Eighth!C78="", "",Eighth!C78)</f>
        <v/>
      </c>
      <c r="D1825" s="66" t="str">
        <f>IF(Eighth!D78="", "",Eighth!D78)</f>
        <v/>
      </c>
      <c r="E1825" s="66" t="str">
        <f>IF(Eighth!E78="", "",Eighth!E78)</f>
        <v/>
      </c>
      <c r="F1825" s="66" t="str">
        <f>IF(Eighth!F78="", "",Eighth!F78)</f>
        <v/>
      </c>
      <c r="G1825" s="66" t="str">
        <f>IF(Eighth!G78="", "",Eighth!G78)</f>
        <v/>
      </c>
      <c r="H1825" s="66" t="str">
        <f>IF(Eighth!H78="", "",Eighth!H78)</f>
        <v/>
      </c>
      <c r="I1825" s="66" t="str">
        <f>IF(Eighth!I78="", "",Eighth!I78)</f>
        <v/>
      </c>
      <c r="J1825" s="66" t="str">
        <f>IF(Eighth!J78="", "",Eighth!J78)</f>
        <v/>
      </c>
      <c r="K1825" s="86" t="str">
        <f>IF(Eighth!K78="", "",Eighth!K78)</f>
        <v/>
      </c>
      <c r="M1825" s="67" t="str">
        <f t="shared" si="86"/>
        <v/>
      </c>
      <c r="N1825" s="76" t="str">
        <f t="shared" si="87"/>
        <v/>
      </c>
      <c r="O1825" s="33">
        <f t="shared" si="85"/>
        <v>0</v>
      </c>
    </row>
    <row r="1826" spans="1:15" x14ac:dyDescent="0.25">
      <c r="A1826" s="64" t="s">
        <v>181</v>
      </c>
      <c r="B1826" s="79" t="str">
        <f>IF(Eighth!B79="", "",Eighth!B79)</f>
        <v/>
      </c>
      <c r="C1826" s="66" t="str">
        <f>IF(Eighth!C79="", "",Eighth!C79)</f>
        <v/>
      </c>
      <c r="D1826" s="66" t="str">
        <f>IF(Eighth!D79="", "",Eighth!D79)</f>
        <v/>
      </c>
      <c r="E1826" s="66" t="str">
        <f>IF(Eighth!E79="", "",Eighth!E79)</f>
        <v/>
      </c>
      <c r="F1826" s="66" t="str">
        <f>IF(Eighth!F79="", "",Eighth!F79)</f>
        <v/>
      </c>
      <c r="G1826" s="66" t="str">
        <f>IF(Eighth!G79="", "",Eighth!G79)</f>
        <v/>
      </c>
      <c r="H1826" s="66" t="str">
        <f>IF(Eighth!H79="", "",Eighth!H79)</f>
        <v/>
      </c>
      <c r="I1826" s="66" t="str">
        <f>IF(Eighth!I79="", "",Eighth!I79)</f>
        <v/>
      </c>
      <c r="J1826" s="66" t="str">
        <f>IF(Eighth!J79="", "",Eighth!J79)</f>
        <v/>
      </c>
      <c r="K1826" s="86" t="str">
        <f>IF(Eighth!K79="", "",Eighth!K79)</f>
        <v/>
      </c>
      <c r="M1826" s="67" t="str">
        <f t="shared" si="86"/>
        <v/>
      </c>
      <c r="N1826" s="76" t="str">
        <f t="shared" si="87"/>
        <v/>
      </c>
      <c r="O1826" s="33">
        <f t="shared" si="85"/>
        <v>0</v>
      </c>
    </row>
    <row r="1827" spans="1:15" x14ac:dyDescent="0.25">
      <c r="A1827" s="64" t="s">
        <v>181</v>
      </c>
      <c r="B1827" s="79" t="str">
        <f>IF(Eighth!B80="", "",Eighth!B80)</f>
        <v/>
      </c>
      <c r="C1827" s="66" t="str">
        <f>IF(Eighth!C80="", "",Eighth!C80)</f>
        <v/>
      </c>
      <c r="D1827" s="66" t="str">
        <f>IF(Eighth!D80="", "",Eighth!D80)</f>
        <v/>
      </c>
      <c r="E1827" s="66" t="str">
        <f>IF(Eighth!E80="", "",Eighth!E80)</f>
        <v/>
      </c>
      <c r="F1827" s="66" t="str">
        <f>IF(Eighth!F80="", "",Eighth!F80)</f>
        <v/>
      </c>
      <c r="G1827" s="66" t="str">
        <f>IF(Eighth!G80="", "",Eighth!G80)</f>
        <v/>
      </c>
      <c r="H1827" s="66" t="str">
        <f>IF(Eighth!H80="", "",Eighth!H80)</f>
        <v/>
      </c>
      <c r="I1827" s="66" t="str">
        <f>IF(Eighth!I80="", "",Eighth!I80)</f>
        <v/>
      </c>
      <c r="J1827" s="66" t="str">
        <f>IF(Eighth!J80="", "",Eighth!J80)</f>
        <v/>
      </c>
      <c r="K1827" s="86" t="str">
        <f>IF(Eighth!K80="", "",Eighth!K80)</f>
        <v/>
      </c>
      <c r="M1827" s="67" t="str">
        <f t="shared" si="86"/>
        <v/>
      </c>
      <c r="N1827" s="76" t="str">
        <f t="shared" si="87"/>
        <v/>
      </c>
      <c r="O1827" s="33">
        <f t="shared" si="85"/>
        <v>0</v>
      </c>
    </row>
    <row r="1828" spans="1:15" x14ac:dyDescent="0.25">
      <c r="A1828" s="64" t="s">
        <v>181</v>
      </c>
      <c r="B1828" s="79" t="str">
        <f>IF(Eighth!B81="", "",Eighth!B81)</f>
        <v/>
      </c>
      <c r="C1828" s="66" t="str">
        <f>IF(Eighth!C81="", "",Eighth!C81)</f>
        <v/>
      </c>
      <c r="D1828" s="66" t="str">
        <f>IF(Eighth!D81="", "",Eighth!D81)</f>
        <v/>
      </c>
      <c r="E1828" s="66" t="str">
        <f>IF(Eighth!E81="", "",Eighth!E81)</f>
        <v/>
      </c>
      <c r="F1828" s="66" t="str">
        <f>IF(Eighth!F81="", "",Eighth!F81)</f>
        <v/>
      </c>
      <c r="G1828" s="66" t="str">
        <f>IF(Eighth!G81="", "",Eighth!G81)</f>
        <v/>
      </c>
      <c r="H1828" s="66" t="str">
        <f>IF(Eighth!H81="", "",Eighth!H81)</f>
        <v/>
      </c>
      <c r="I1828" s="66" t="str">
        <f>IF(Eighth!I81="", "",Eighth!I81)</f>
        <v/>
      </c>
      <c r="J1828" s="66" t="str">
        <f>IF(Eighth!J81="", "",Eighth!J81)</f>
        <v/>
      </c>
      <c r="K1828" s="86" t="str">
        <f>IF(Eighth!K81="", "",Eighth!K81)</f>
        <v/>
      </c>
      <c r="M1828" s="67" t="str">
        <f t="shared" si="86"/>
        <v/>
      </c>
      <c r="N1828" s="76" t="str">
        <f t="shared" si="87"/>
        <v/>
      </c>
      <c r="O1828" s="33">
        <f t="shared" si="85"/>
        <v>0</v>
      </c>
    </row>
    <row r="1829" spans="1:15" x14ac:dyDescent="0.25">
      <c r="A1829" s="64" t="s">
        <v>181</v>
      </c>
      <c r="B1829" s="79" t="str">
        <f>IF(Eighth!B82="", "",Eighth!B82)</f>
        <v/>
      </c>
      <c r="C1829" s="66" t="str">
        <f>IF(Eighth!C82="", "",Eighth!C82)</f>
        <v/>
      </c>
      <c r="D1829" s="66" t="str">
        <f>IF(Eighth!D82="", "",Eighth!D82)</f>
        <v/>
      </c>
      <c r="E1829" s="66" t="str">
        <f>IF(Eighth!E82="", "",Eighth!E82)</f>
        <v/>
      </c>
      <c r="F1829" s="66" t="str">
        <f>IF(Eighth!F82="", "",Eighth!F82)</f>
        <v/>
      </c>
      <c r="G1829" s="66" t="str">
        <f>IF(Eighth!G82="", "",Eighth!G82)</f>
        <v/>
      </c>
      <c r="H1829" s="66" t="str">
        <f>IF(Eighth!H82="", "",Eighth!H82)</f>
        <v/>
      </c>
      <c r="I1829" s="66" t="str">
        <f>IF(Eighth!I82="", "",Eighth!I82)</f>
        <v/>
      </c>
      <c r="J1829" s="66" t="str">
        <f>IF(Eighth!J82="", "",Eighth!J82)</f>
        <v/>
      </c>
      <c r="K1829" s="86" t="str">
        <f>IF(Eighth!K82="", "",Eighth!K82)</f>
        <v/>
      </c>
      <c r="M1829" s="67" t="str">
        <f t="shared" si="86"/>
        <v/>
      </c>
      <c r="N1829" s="76" t="str">
        <f t="shared" si="87"/>
        <v/>
      </c>
      <c r="O1829" s="33">
        <f t="shared" si="85"/>
        <v>0</v>
      </c>
    </row>
    <row r="1830" spans="1:15" x14ac:dyDescent="0.25">
      <c r="A1830" s="64" t="s">
        <v>181</v>
      </c>
      <c r="B1830" s="79" t="str">
        <f>IF(Eighth!B83="", "",Eighth!B83)</f>
        <v/>
      </c>
      <c r="C1830" s="66" t="str">
        <f>IF(Eighth!C83="", "",Eighth!C83)</f>
        <v/>
      </c>
      <c r="D1830" s="66" t="str">
        <f>IF(Eighth!D83="", "",Eighth!D83)</f>
        <v/>
      </c>
      <c r="E1830" s="66" t="str">
        <f>IF(Eighth!E83="", "",Eighth!E83)</f>
        <v/>
      </c>
      <c r="F1830" s="66" t="str">
        <f>IF(Eighth!F83="", "",Eighth!F83)</f>
        <v/>
      </c>
      <c r="G1830" s="66" t="str">
        <f>IF(Eighth!G83="", "",Eighth!G83)</f>
        <v/>
      </c>
      <c r="H1830" s="66" t="str">
        <f>IF(Eighth!H83="", "",Eighth!H83)</f>
        <v/>
      </c>
      <c r="I1830" s="66" t="str">
        <f>IF(Eighth!I83="", "",Eighth!I83)</f>
        <v/>
      </c>
      <c r="J1830" s="66" t="str">
        <f>IF(Eighth!J83="", "",Eighth!J83)</f>
        <v/>
      </c>
      <c r="K1830" s="86" t="str">
        <f>IF(Eighth!K83="", "",Eighth!K83)</f>
        <v/>
      </c>
      <c r="M1830" s="67" t="str">
        <f t="shared" si="86"/>
        <v/>
      </c>
      <c r="N1830" s="76" t="str">
        <f t="shared" si="87"/>
        <v/>
      </c>
      <c r="O1830" s="33">
        <f t="shared" si="85"/>
        <v>0</v>
      </c>
    </row>
    <row r="1831" spans="1:15" x14ac:dyDescent="0.25">
      <c r="A1831" s="64" t="s">
        <v>181</v>
      </c>
      <c r="B1831" s="79" t="str">
        <f>IF(Eighth!B84="", "",Eighth!B84)</f>
        <v/>
      </c>
      <c r="C1831" s="66" t="str">
        <f>IF(Eighth!C84="", "",Eighth!C84)</f>
        <v/>
      </c>
      <c r="D1831" s="66" t="str">
        <f>IF(Eighth!D84="", "",Eighth!D84)</f>
        <v/>
      </c>
      <c r="E1831" s="66" t="str">
        <f>IF(Eighth!E84="", "",Eighth!E84)</f>
        <v/>
      </c>
      <c r="F1831" s="66" t="str">
        <f>IF(Eighth!F84="", "",Eighth!F84)</f>
        <v/>
      </c>
      <c r="G1831" s="66" t="str">
        <f>IF(Eighth!G84="", "",Eighth!G84)</f>
        <v/>
      </c>
      <c r="H1831" s="66" t="str">
        <f>IF(Eighth!H84="", "",Eighth!H84)</f>
        <v/>
      </c>
      <c r="I1831" s="66" t="str">
        <f>IF(Eighth!I84="", "",Eighth!I84)</f>
        <v/>
      </c>
      <c r="J1831" s="66" t="str">
        <f>IF(Eighth!J84="", "",Eighth!J84)</f>
        <v/>
      </c>
      <c r="K1831" s="86" t="str">
        <f>IF(Eighth!K84="", "",Eighth!K84)</f>
        <v/>
      </c>
      <c r="M1831" s="67" t="str">
        <f t="shared" si="86"/>
        <v/>
      </c>
      <c r="N1831" s="76" t="str">
        <f t="shared" si="87"/>
        <v/>
      </c>
      <c r="O1831" s="33">
        <f t="shared" si="85"/>
        <v>0</v>
      </c>
    </row>
    <row r="1832" spans="1:15" x14ac:dyDescent="0.25">
      <c r="A1832" s="64" t="s">
        <v>181</v>
      </c>
      <c r="B1832" s="79" t="str">
        <f>IF(Eighth!B85="", "",Eighth!B85)</f>
        <v/>
      </c>
      <c r="C1832" s="66" t="str">
        <f>IF(Eighth!C85="", "",Eighth!C85)</f>
        <v/>
      </c>
      <c r="D1832" s="66" t="str">
        <f>IF(Eighth!D85="", "",Eighth!D85)</f>
        <v/>
      </c>
      <c r="E1832" s="66" t="str">
        <f>IF(Eighth!E85="", "",Eighth!E85)</f>
        <v/>
      </c>
      <c r="F1832" s="66" t="str">
        <f>IF(Eighth!F85="", "",Eighth!F85)</f>
        <v/>
      </c>
      <c r="G1832" s="66" t="str">
        <f>IF(Eighth!G85="", "",Eighth!G85)</f>
        <v/>
      </c>
      <c r="H1832" s="66" t="str">
        <f>IF(Eighth!H85="", "",Eighth!H85)</f>
        <v/>
      </c>
      <c r="I1832" s="66" t="str">
        <f>IF(Eighth!I85="", "",Eighth!I85)</f>
        <v/>
      </c>
      <c r="J1832" s="66" t="str">
        <f>IF(Eighth!J85="", "",Eighth!J85)</f>
        <v/>
      </c>
      <c r="K1832" s="86" t="str">
        <f>IF(Eighth!K85="", "",Eighth!K85)</f>
        <v/>
      </c>
      <c r="M1832" s="67" t="str">
        <f t="shared" si="86"/>
        <v/>
      </c>
      <c r="N1832" s="76" t="str">
        <f t="shared" si="87"/>
        <v/>
      </c>
      <c r="O1832" s="33">
        <f t="shared" si="85"/>
        <v>0</v>
      </c>
    </row>
    <row r="1833" spans="1:15" x14ac:dyDescent="0.25">
      <c r="A1833" s="64" t="s">
        <v>181</v>
      </c>
      <c r="B1833" s="79" t="str">
        <f>IF(Eighth!B86="", "",Eighth!B86)</f>
        <v/>
      </c>
      <c r="C1833" s="66" t="str">
        <f>IF(Eighth!C86="", "",Eighth!C86)</f>
        <v/>
      </c>
      <c r="D1833" s="66" t="str">
        <f>IF(Eighth!D86="", "",Eighth!D86)</f>
        <v/>
      </c>
      <c r="E1833" s="66" t="str">
        <f>IF(Eighth!E86="", "",Eighth!E86)</f>
        <v/>
      </c>
      <c r="F1833" s="66" t="str">
        <f>IF(Eighth!F86="", "",Eighth!F86)</f>
        <v/>
      </c>
      <c r="G1833" s="66" t="str">
        <f>IF(Eighth!G86="", "",Eighth!G86)</f>
        <v/>
      </c>
      <c r="H1833" s="66" t="str">
        <f>IF(Eighth!H86="", "",Eighth!H86)</f>
        <v/>
      </c>
      <c r="I1833" s="66" t="str">
        <f>IF(Eighth!I86="", "",Eighth!I86)</f>
        <v/>
      </c>
      <c r="J1833" s="66" t="str">
        <f>IF(Eighth!J86="", "",Eighth!J86)</f>
        <v/>
      </c>
      <c r="K1833" s="86" t="str">
        <f>IF(Eighth!K86="", "",Eighth!K86)</f>
        <v/>
      </c>
      <c r="M1833" s="67" t="str">
        <f t="shared" si="86"/>
        <v/>
      </c>
      <c r="N1833" s="76" t="str">
        <f t="shared" si="87"/>
        <v/>
      </c>
      <c r="O1833" s="33">
        <f t="shared" si="85"/>
        <v>0</v>
      </c>
    </row>
    <row r="1834" spans="1:15" x14ac:dyDescent="0.25">
      <c r="A1834" s="64" t="s">
        <v>181</v>
      </c>
      <c r="B1834" s="79" t="str">
        <f>IF(Eighth!B87="", "",Eighth!B87)</f>
        <v/>
      </c>
      <c r="C1834" s="66" t="str">
        <f>IF(Eighth!C87="", "",Eighth!C87)</f>
        <v/>
      </c>
      <c r="D1834" s="66" t="str">
        <f>IF(Eighth!D87="", "",Eighth!D87)</f>
        <v/>
      </c>
      <c r="E1834" s="66" t="str">
        <f>IF(Eighth!E87="", "",Eighth!E87)</f>
        <v/>
      </c>
      <c r="F1834" s="66" t="str">
        <f>IF(Eighth!F87="", "",Eighth!F87)</f>
        <v/>
      </c>
      <c r="G1834" s="66" t="str">
        <f>IF(Eighth!G87="", "",Eighth!G87)</f>
        <v/>
      </c>
      <c r="H1834" s="66" t="str">
        <f>IF(Eighth!H87="", "",Eighth!H87)</f>
        <v/>
      </c>
      <c r="I1834" s="66" t="str">
        <f>IF(Eighth!I87="", "",Eighth!I87)</f>
        <v/>
      </c>
      <c r="J1834" s="66" t="str">
        <f>IF(Eighth!J87="", "",Eighth!J87)</f>
        <v/>
      </c>
      <c r="K1834" s="86" t="str">
        <f>IF(Eighth!K87="", "",Eighth!K87)</f>
        <v/>
      </c>
      <c r="M1834" s="67" t="str">
        <f t="shared" si="86"/>
        <v/>
      </c>
      <c r="N1834" s="76" t="str">
        <f t="shared" si="87"/>
        <v/>
      </c>
      <c r="O1834" s="33">
        <f t="shared" si="85"/>
        <v>0</v>
      </c>
    </row>
    <row r="1835" spans="1:15" x14ac:dyDescent="0.25">
      <c r="A1835" s="64" t="s">
        <v>181</v>
      </c>
      <c r="B1835" s="79" t="str">
        <f>IF(Eighth!B88="", "",Eighth!B88)</f>
        <v/>
      </c>
      <c r="C1835" s="66" t="str">
        <f>IF(Eighth!C88="", "",Eighth!C88)</f>
        <v/>
      </c>
      <c r="D1835" s="66" t="str">
        <f>IF(Eighth!D88="", "",Eighth!D88)</f>
        <v/>
      </c>
      <c r="E1835" s="66" t="str">
        <f>IF(Eighth!E88="", "",Eighth!E88)</f>
        <v/>
      </c>
      <c r="F1835" s="66" t="str">
        <f>IF(Eighth!F88="", "",Eighth!F88)</f>
        <v/>
      </c>
      <c r="G1835" s="66" t="str">
        <f>IF(Eighth!G88="", "",Eighth!G88)</f>
        <v/>
      </c>
      <c r="H1835" s="66" t="str">
        <f>IF(Eighth!H88="", "",Eighth!H88)</f>
        <v/>
      </c>
      <c r="I1835" s="66" t="str">
        <f>IF(Eighth!I88="", "",Eighth!I88)</f>
        <v/>
      </c>
      <c r="J1835" s="66" t="str">
        <f>IF(Eighth!J88="", "",Eighth!J88)</f>
        <v/>
      </c>
      <c r="K1835" s="86" t="str">
        <f>IF(Eighth!K88="", "",Eighth!K88)</f>
        <v/>
      </c>
      <c r="M1835" s="67" t="str">
        <f t="shared" si="86"/>
        <v/>
      </c>
      <c r="N1835" s="76" t="str">
        <f t="shared" si="87"/>
        <v/>
      </c>
      <c r="O1835" s="33">
        <f t="shared" si="85"/>
        <v>0</v>
      </c>
    </row>
    <row r="1836" spans="1:15" x14ac:dyDescent="0.25">
      <c r="A1836" s="64" t="s">
        <v>181</v>
      </c>
      <c r="B1836" s="79" t="str">
        <f>IF(Eighth!B89="", "",Eighth!B89)</f>
        <v/>
      </c>
      <c r="C1836" s="66" t="str">
        <f>IF(Eighth!C89="", "",Eighth!C89)</f>
        <v/>
      </c>
      <c r="D1836" s="66" t="str">
        <f>IF(Eighth!D89="", "",Eighth!D89)</f>
        <v/>
      </c>
      <c r="E1836" s="66" t="str">
        <f>IF(Eighth!E89="", "",Eighth!E89)</f>
        <v/>
      </c>
      <c r="F1836" s="66" t="str">
        <f>IF(Eighth!F89="", "",Eighth!F89)</f>
        <v/>
      </c>
      <c r="G1836" s="66" t="str">
        <f>IF(Eighth!G89="", "",Eighth!G89)</f>
        <v/>
      </c>
      <c r="H1836" s="66" t="str">
        <f>IF(Eighth!H89="", "",Eighth!H89)</f>
        <v/>
      </c>
      <c r="I1836" s="66" t="str">
        <f>IF(Eighth!I89="", "",Eighth!I89)</f>
        <v/>
      </c>
      <c r="J1836" s="66" t="str">
        <f>IF(Eighth!J89="", "",Eighth!J89)</f>
        <v/>
      </c>
      <c r="K1836" s="86" t="str">
        <f>IF(Eighth!K89="", "",Eighth!K89)</f>
        <v/>
      </c>
      <c r="M1836" s="67" t="str">
        <f t="shared" si="86"/>
        <v/>
      </c>
      <c r="N1836" s="76" t="str">
        <f t="shared" si="87"/>
        <v/>
      </c>
      <c r="O1836" s="33">
        <f t="shared" si="85"/>
        <v>0</v>
      </c>
    </row>
    <row r="1837" spans="1:15" x14ac:dyDescent="0.25">
      <c r="A1837" s="64" t="s">
        <v>181</v>
      </c>
      <c r="B1837" s="79" t="str">
        <f>IF(Eighth!B90="", "",Eighth!B90)</f>
        <v/>
      </c>
      <c r="C1837" s="66" t="str">
        <f>IF(Eighth!C90="", "",Eighth!C90)</f>
        <v/>
      </c>
      <c r="D1837" s="66" t="str">
        <f>IF(Eighth!D90="", "",Eighth!D90)</f>
        <v/>
      </c>
      <c r="E1837" s="66" t="str">
        <f>IF(Eighth!E90="", "",Eighth!E90)</f>
        <v/>
      </c>
      <c r="F1837" s="66" t="str">
        <f>IF(Eighth!F90="", "",Eighth!F90)</f>
        <v/>
      </c>
      <c r="G1837" s="66" t="str">
        <f>IF(Eighth!G90="", "",Eighth!G90)</f>
        <v/>
      </c>
      <c r="H1837" s="66" t="str">
        <f>IF(Eighth!H90="", "",Eighth!H90)</f>
        <v/>
      </c>
      <c r="I1837" s="66" t="str">
        <f>IF(Eighth!I90="", "",Eighth!I90)</f>
        <v/>
      </c>
      <c r="J1837" s="66" t="str">
        <f>IF(Eighth!J90="", "",Eighth!J90)</f>
        <v/>
      </c>
      <c r="K1837" s="86" t="str">
        <f>IF(Eighth!K90="", "",Eighth!K90)</f>
        <v/>
      </c>
      <c r="M1837" s="67" t="str">
        <f t="shared" si="86"/>
        <v/>
      </c>
      <c r="N1837" s="76" t="str">
        <f t="shared" si="87"/>
        <v/>
      </c>
      <c r="O1837" s="33">
        <f t="shared" si="85"/>
        <v>0</v>
      </c>
    </row>
    <row r="1838" spans="1:15" x14ac:dyDescent="0.25">
      <c r="A1838" s="64" t="s">
        <v>181</v>
      </c>
      <c r="B1838" s="79" t="str">
        <f>IF(Eighth!B91="", "",Eighth!B91)</f>
        <v/>
      </c>
      <c r="C1838" s="66" t="str">
        <f>IF(Eighth!C91="", "",Eighth!C91)</f>
        <v/>
      </c>
      <c r="D1838" s="66" t="str">
        <f>IF(Eighth!D91="", "",Eighth!D91)</f>
        <v/>
      </c>
      <c r="E1838" s="66" t="str">
        <f>IF(Eighth!E91="", "",Eighth!E91)</f>
        <v/>
      </c>
      <c r="F1838" s="66" t="str">
        <f>IF(Eighth!F91="", "",Eighth!F91)</f>
        <v/>
      </c>
      <c r="G1838" s="66" t="str">
        <f>IF(Eighth!G91="", "",Eighth!G91)</f>
        <v/>
      </c>
      <c r="H1838" s="66" t="str">
        <f>IF(Eighth!H91="", "",Eighth!H91)</f>
        <v/>
      </c>
      <c r="I1838" s="66" t="str">
        <f>IF(Eighth!I91="", "",Eighth!I91)</f>
        <v/>
      </c>
      <c r="J1838" s="66" t="str">
        <f>IF(Eighth!J91="", "",Eighth!J91)</f>
        <v/>
      </c>
      <c r="K1838" s="86" t="str">
        <f>IF(Eighth!K91="", "",Eighth!K91)</f>
        <v/>
      </c>
      <c r="M1838" s="67" t="str">
        <f t="shared" si="86"/>
        <v/>
      </c>
      <c r="N1838" s="76" t="str">
        <f t="shared" si="87"/>
        <v/>
      </c>
      <c r="O1838" s="33">
        <f t="shared" si="85"/>
        <v>0</v>
      </c>
    </row>
    <row r="1839" spans="1:15" x14ac:dyDescent="0.25">
      <c r="A1839" s="64" t="s">
        <v>181</v>
      </c>
      <c r="B1839" s="79" t="str">
        <f>IF(Eighth!B92="", "",Eighth!B92)</f>
        <v/>
      </c>
      <c r="C1839" s="66" t="str">
        <f>IF(Eighth!C92="", "",Eighth!C92)</f>
        <v/>
      </c>
      <c r="D1839" s="66" t="str">
        <f>IF(Eighth!D92="", "",Eighth!D92)</f>
        <v/>
      </c>
      <c r="E1839" s="66" t="str">
        <f>IF(Eighth!E92="", "",Eighth!E92)</f>
        <v/>
      </c>
      <c r="F1839" s="66" t="str">
        <f>IF(Eighth!F92="", "",Eighth!F92)</f>
        <v/>
      </c>
      <c r="G1839" s="66" t="str">
        <f>IF(Eighth!G92="", "",Eighth!G92)</f>
        <v/>
      </c>
      <c r="H1839" s="66" t="str">
        <f>IF(Eighth!H92="", "",Eighth!H92)</f>
        <v/>
      </c>
      <c r="I1839" s="66" t="str">
        <f>IF(Eighth!I92="", "",Eighth!I92)</f>
        <v/>
      </c>
      <c r="J1839" s="66" t="str">
        <f>IF(Eighth!J92="", "",Eighth!J92)</f>
        <v/>
      </c>
      <c r="K1839" s="86" t="str">
        <f>IF(Eighth!K92="", "",Eighth!K92)</f>
        <v/>
      </c>
      <c r="M1839" s="67" t="str">
        <f t="shared" si="86"/>
        <v/>
      </c>
      <c r="N1839" s="76" t="str">
        <f t="shared" si="87"/>
        <v/>
      </c>
      <c r="O1839" s="33">
        <f t="shared" si="85"/>
        <v>0</v>
      </c>
    </row>
    <row r="1840" spans="1:15" x14ac:dyDescent="0.25">
      <c r="A1840" s="64" t="s">
        <v>181</v>
      </c>
      <c r="B1840" s="79" t="str">
        <f>IF(Eighth!B93="", "",Eighth!B93)</f>
        <v/>
      </c>
      <c r="C1840" s="66" t="str">
        <f>IF(Eighth!C93="", "",Eighth!C93)</f>
        <v/>
      </c>
      <c r="D1840" s="66" t="str">
        <f>IF(Eighth!D93="", "",Eighth!D93)</f>
        <v/>
      </c>
      <c r="E1840" s="66" t="str">
        <f>IF(Eighth!E93="", "",Eighth!E93)</f>
        <v/>
      </c>
      <c r="F1840" s="66" t="str">
        <f>IF(Eighth!F93="", "",Eighth!F93)</f>
        <v/>
      </c>
      <c r="G1840" s="66" t="str">
        <f>IF(Eighth!G93="", "",Eighth!G93)</f>
        <v/>
      </c>
      <c r="H1840" s="66" t="str">
        <f>IF(Eighth!H93="", "",Eighth!H93)</f>
        <v/>
      </c>
      <c r="I1840" s="66" t="str">
        <f>IF(Eighth!I93="", "",Eighth!I93)</f>
        <v/>
      </c>
      <c r="J1840" s="66" t="str">
        <f>IF(Eighth!J93="", "",Eighth!J93)</f>
        <v/>
      </c>
      <c r="K1840" s="86" t="str">
        <f>IF(Eighth!K93="", "",Eighth!K93)</f>
        <v/>
      </c>
      <c r="M1840" s="67" t="str">
        <f t="shared" si="86"/>
        <v/>
      </c>
      <c r="N1840" s="76" t="str">
        <f t="shared" si="87"/>
        <v/>
      </c>
      <c r="O1840" s="33">
        <f t="shared" si="85"/>
        <v>0</v>
      </c>
    </row>
    <row r="1841" spans="1:15" x14ac:dyDescent="0.25">
      <c r="A1841" s="64" t="s">
        <v>181</v>
      </c>
      <c r="B1841" s="79" t="str">
        <f>IF(Eighth!B94="", "",Eighth!B94)</f>
        <v/>
      </c>
      <c r="C1841" s="66" t="str">
        <f>IF(Eighth!C94="", "",Eighth!C94)</f>
        <v/>
      </c>
      <c r="D1841" s="66" t="str">
        <f>IF(Eighth!D94="", "",Eighth!D94)</f>
        <v/>
      </c>
      <c r="E1841" s="66" t="str">
        <f>IF(Eighth!E94="", "",Eighth!E94)</f>
        <v/>
      </c>
      <c r="F1841" s="66" t="str">
        <f>IF(Eighth!F94="", "",Eighth!F94)</f>
        <v/>
      </c>
      <c r="G1841" s="66" t="str">
        <f>IF(Eighth!G94="", "",Eighth!G94)</f>
        <v/>
      </c>
      <c r="H1841" s="66" t="str">
        <f>IF(Eighth!H94="", "",Eighth!H94)</f>
        <v/>
      </c>
      <c r="I1841" s="66" t="str">
        <f>IF(Eighth!I94="", "",Eighth!I94)</f>
        <v/>
      </c>
      <c r="J1841" s="66" t="str">
        <f>IF(Eighth!J94="", "",Eighth!J94)</f>
        <v/>
      </c>
      <c r="K1841" s="86" t="str">
        <f>IF(Eighth!K94="", "",Eighth!K94)</f>
        <v/>
      </c>
      <c r="M1841" s="67" t="str">
        <f t="shared" si="86"/>
        <v/>
      </c>
      <c r="N1841" s="76" t="str">
        <f t="shared" si="87"/>
        <v/>
      </c>
      <c r="O1841" s="33">
        <f t="shared" si="85"/>
        <v>0</v>
      </c>
    </row>
    <row r="1842" spans="1:15" x14ac:dyDescent="0.25">
      <c r="A1842" s="64" t="s">
        <v>181</v>
      </c>
      <c r="B1842" s="79" t="str">
        <f>IF(Eighth!B95="", "",Eighth!B95)</f>
        <v/>
      </c>
      <c r="C1842" s="66" t="str">
        <f>IF(Eighth!C95="", "",Eighth!C95)</f>
        <v/>
      </c>
      <c r="D1842" s="66" t="str">
        <f>IF(Eighth!D95="", "",Eighth!D95)</f>
        <v/>
      </c>
      <c r="E1842" s="66" t="str">
        <f>IF(Eighth!E95="", "",Eighth!E95)</f>
        <v/>
      </c>
      <c r="F1842" s="66" t="str">
        <f>IF(Eighth!F95="", "",Eighth!F95)</f>
        <v/>
      </c>
      <c r="G1842" s="66" t="str">
        <f>IF(Eighth!G95="", "",Eighth!G95)</f>
        <v/>
      </c>
      <c r="H1842" s="66" t="str">
        <f>IF(Eighth!H95="", "",Eighth!H95)</f>
        <v/>
      </c>
      <c r="I1842" s="66" t="str">
        <f>IF(Eighth!I95="", "",Eighth!I95)</f>
        <v/>
      </c>
      <c r="J1842" s="66" t="str">
        <f>IF(Eighth!J95="", "",Eighth!J95)</f>
        <v/>
      </c>
      <c r="K1842" s="86" t="str">
        <f>IF(Eighth!K95="", "",Eighth!K95)</f>
        <v/>
      </c>
      <c r="M1842" s="67" t="str">
        <f t="shared" si="86"/>
        <v/>
      </c>
      <c r="N1842" s="76" t="str">
        <f t="shared" si="87"/>
        <v/>
      </c>
      <c r="O1842" s="33">
        <f t="shared" si="85"/>
        <v>0</v>
      </c>
    </row>
    <row r="1843" spans="1:15" x14ac:dyDescent="0.25">
      <c r="A1843" s="64" t="s">
        <v>181</v>
      </c>
      <c r="B1843" s="79" t="str">
        <f>IF(Eighth!B96="", "",Eighth!B96)</f>
        <v/>
      </c>
      <c r="C1843" s="66" t="str">
        <f>IF(Eighth!C96="", "",Eighth!C96)</f>
        <v/>
      </c>
      <c r="D1843" s="66" t="str">
        <f>IF(Eighth!D96="", "",Eighth!D96)</f>
        <v/>
      </c>
      <c r="E1843" s="66" t="str">
        <f>IF(Eighth!E96="", "",Eighth!E96)</f>
        <v/>
      </c>
      <c r="F1843" s="66" t="str">
        <f>IF(Eighth!F96="", "",Eighth!F96)</f>
        <v/>
      </c>
      <c r="G1843" s="66" t="str">
        <f>IF(Eighth!G96="", "",Eighth!G96)</f>
        <v/>
      </c>
      <c r="H1843" s="66" t="str">
        <f>IF(Eighth!H96="", "",Eighth!H96)</f>
        <v/>
      </c>
      <c r="I1843" s="66" t="str">
        <f>IF(Eighth!I96="", "",Eighth!I96)</f>
        <v/>
      </c>
      <c r="J1843" s="66" t="str">
        <f>IF(Eighth!J96="", "",Eighth!J96)</f>
        <v/>
      </c>
      <c r="K1843" s="86" t="str">
        <f>IF(Eighth!K96="", "",Eighth!K96)</f>
        <v/>
      </c>
      <c r="M1843" s="67" t="str">
        <f t="shared" si="86"/>
        <v/>
      </c>
      <c r="N1843" s="76" t="str">
        <f t="shared" si="87"/>
        <v/>
      </c>
      <c r="O1843" s="33">
        <f t="shared" si="85"/>
        <v>0</v>
      </c>
    </row>
    <row r="1844" spans="1:15" x14ac:dyDescent="0.25">
      <c r="A1844" s="64" t="s">
        <v>181</v>
      </c>
      <c r="B1844" s="79" t="str">
        <f>IF(Eighth!B97="", "",Eighth!B97)</f>
        <v/>
      </c>
      <c r="C1844" s="66" t="str">
        <f>IF(Eighth!C97="", "",Eighth!C97)</f>
        <v/>
      </c>
      <c r="D1844" s="66" t="str">
        <f>IF(Eighth!D97="", "",Eighth!D97)</f>
        <v/>
      </c>
      <c r="E1844" s="66" t="str">
        <f>IF(Eighth!E97="", "",Eighth!E97)</f>
        <v/>
      </c>
      <c r="F1844" s="66" t="str">
        <f>IF(Eighth!F97="", "",Eighth!F97)</f>
        <v/>
      </c>
      <c r="G1844" s="66" t="str">
        <f>IF(Eighth!G97="", "",Eighth!G97)</f>
        <v/>
      </c>
      <c r="H1844" s="66" t="str">
        <f>IF(Eighth!H97="", "",Eighth!H97)</f>
        <v/>
      </c>
      <c r="I1844" s="66" t="str">
        <f>IF(Eighth!I97="", "",Eighth!I97)</f>
        <v/>
      </c>
      <c r="J1844" s="66" t="str">
        <f>IF(Eighth!J97="", "",Eighth!J97)</f>
        <v/>
      </c>
      <c r="K1844" s="86" t="str">
        <f>IF(Eighth!K97="", "",Eighth!K97)</f>
        <v/>
      </c>
      <c r="M1844" s="67" t="str">
        <f t="shared" si="86"/>
        <v/>
      </c>
      <c r="N1844" s="76" t="str">
        <f t="shared" si="87"/>
        <v/>
      </c>
      <c r="O1844" s="33">
        <f t="shared" si="85"/>
        <v>0</v>
      </c>
    </row>
    <row r="1845" spans="1:15" x14ac:dyDescent="0.25">
      <c r="A1845" s="64" t="s">
        <v>181</v>
      </c>
      <c r="B1845" s="79" t="str">
        <f>IF(Eighth!B98="", "",Eighth!B98)</f>
        <v/>
      </c>
      <c r="C1845" s="66" t="str">
        <f>IF(Eighth!C98="", "",Eighth!C98)</f>
        <v/>
      </c>
      <c r="D1845" s="66" t="str">
        <f>IF(Eighth!D98="", "",Eighth!D98)</f>
        <v/>
      </c>
      <c r="E1845" s="66" t="str">
        <f>IF(Eighth!E98="", "",Eighth!E98)</f>
        <v/>
      </c>
      <c r="F1845" s="66" t="str">
        <f>IF(Eighth!F98="", "",Eighth!F98)</f>
        <v/>
      </c>
      <c r="G1845" s="66" t="str">
        <f>IF(Eighth!G98="", "",Eighth!G98)</f>
        <v/>
      </c>
      <c r="H1845" s="66" t="str">
        <f>IF(Eighth!H98="", "",Eighth!H98)</f>
        <v/>
      </c>
      <c r="I1845" s="66" t="str">
        <f>IF(Eighth!I98="", "",Eighth!I98)</f>
        <v/>
      </c>
      <c r="J1845" s="66" t="str">
        <f>IF(Eighth!J98="", "",Eighth!J98)</f>
        <v/>
      </c>
      <c r="K1845" s="86" t="str">
        <f>IF(Eighth!K98="", "",Eighth!K98)</f>
        <v/>
      </c>
      <c r="M1845" s="67" t="str">
        <f t="shared" si="86"/>
        <v/>
      </c>
      <c r="N1845" s="76" t="str">
        <f t="shared" si="87"/>
        <v/>
      </c>
      <c r="O1845" s="33">
        <f t="shared" si="85"/>
        <v>0</v>
      </c>
    </row>
    <row r="1846" spans="1:15" x14ac:dyDescent="0.25">
      <c r="A1846" s="64" t="s">
        <v>181</v>
      </c>
      <c r="B1846" s="79" t="str">
        <f>IF(Eighth!B99="", "",Eighth!B99)</f>
        <v/>
      </c>
      <c r="C1846" s="66" t="str">
        <f>IF(Eighth!C99="", "",Eighth!C99)</f>
        <v/>
      </c>
      <c r="D1846" s="66" t="str">
        <f>IF(Eighth!D99="", "",Eighth!D99)</f>
        <v/>
      </c>
      <c r="E1846" s="66" t="str">
        <f>IF(Eighth!E99="", "",Eighth!E99)</f>
        <v/>
      </c>
      <c r="F1846" s="66" t="str">
        <f>IF(Eighth!F99="", "",Eighth!F99)</f>
        <v/>
      </c>
      <c r="G1846" s="66" t="str">
        <f>IF(Eighth!G99="", "",Eighth!G99)</f>
        <v/>
      </c>
      <c r="H1846" s="66" t="str">
        <f>IF(Eighth!H99="", "",Eighth!H99)</f>
        <v/>
      </c>
      <c r="I1846" s="66" t="str">
        <f>IF(Eighth!I99="", "",Eighth!I99)</f>
        <v/>
      </c>
      <c r="J1846" s="66" t="str">
        <f>IF(Eighth!J99="", "",Eighth!J99)</f>
        <v/>
      </c>
      <c r="K1846" s="86" t="str">
        <f>IF(Eighth!K99="", "",Eighth!K99)</f>
        <v/>
      </c>
      <c r="M1846" s="67" t="str">
        <f t="shared" si="86"/>
        <v/>
      </c>
      <c r="N1846" s="76" t="str">
        <f t="shared" si="87"/>
        <v/>
      </c>
      <c r="O1846" s="33">
        <f t="shared" si="85"/>
        <v>0</v>
      </c>
    </row>
    <row r="1847" spans="1:15" x14ac:dyDescent="0.25">
      <c r="A1847" s="64" t="s">
        <v>181</v>
      </c>
      <c r="B1847" s="79" t="str">
        <f>IF(Eighth!B100="", "",Eighth!B100)</f>
        <v/>
      </c>
      <c r="C1847" s="66" t="str">
        <f>IF(Eighth!C100="", "",Eighth!C100)</f>
        <v/>
      </c>
      <c r="D1847" s="66" t="str">
        <f>IF(Eighth!D100="", "",Eighth!D100)</f>
        <v/>
      </c>
      <c r="E1847" s="66" t="str">
        <f>IF(Eighth!E100="", "",Eighth!E100)</f>
        <v/>
      </c>
      <c r="F1847" s="66" t="str">
        <f>IF(Eighth!F100="", "",Eighth!F100)</f>
        <v/>
      </c>
      <c r="G1847" s="66" t="str">
        <f>IF(Eighth!G100="", "",Eighth!G100)</f>
        <v/>
      </c>
      <c r="H1847" s="66" t="str">
        <f>IF(Eighth!H100="", "",Eighth!H100)</f>
        <v/>
      </c>
      <c r="I1847" s="66" t="str">
        <f>IF(Eighth!I100="", "",Eighth!I100)</f>
        <v/>
      </c>
      <c r="J1847" s="66" t="str">
        <f>IF(Eighth!J100="", "",Eighth!J100)</f>
        <v/>
      </c>
      <c r="K1847" s="86" t="str">
        <f>IF(Eighth!K100="", "",Eighth!K100)</f>
        <v/>
      </c>
      <c r="M1847" s="67" t="str">
        <f t="shared" si="86"/>
        <v/>
      </c>
      <c r="N1847" s="76" t="str">
        <f t="shared" si="87"/>
        <v/>
      </c>
      <c r="O1847" s="33">
        <f t="shared" si="85"/>
        <v>0</v>
      </c>
    </row>
    <row r="1848" spans="1:15" x14ac:dyDescent="0.25">
      <c r="A1848" s="64" t="s">
        <v>181</v>
      </c>
      <c r="B1848" s="79" t="str">
        <f>IF(Eighth!B101="", "",Eighth!B101)</f>
        <v/>
      </c>
      <c r="C1848" s="66" t="str">
        <f>IF(Eighth!C101="", "",Eighth!C101)</f>
        <v/>
      </c>
      <c r="D1848" s="66" t="str">
        <f>IF(Eighth!D101="", "",Eighth!D101)</f>
        <v/>
      </c>
      <c r="E1848" s="66" t="str">
        <f>IF(Eighth!E101="", "",Eighth!E101)</f>
        <v/>
      </c>
      <c r="F1848" s="66" t="str">
        <f>IF(Eighth!F101="", "",Eighth!F101)</f>
        <v/>
      </c>
      <c r="G1848" s="66" t="str">
        <f>IF(Eighth!G101="", "",Eighth!G101)</f>
        <v/>
      </c>
      <c r="H1848" s="66" t="str">
        <f>IF(Eighth!H101="", "",Eighth!H101)</f>
        <v/>
      </c>
      <c r="I1848" s="66" t="str">
        <f>IF(Eighth!I101="", "",Eighth!I101)</f>
        <v/>
      </c>
      <c r="J1848" s="66" t="str">
        <f>IF(Eighth!J101="", "",Eighth!J101)</f>
        <v/>
      </c>
      <c r="K1848" s="86" t="str">
        <f>IF(Eighth!K101="", "",Eighth!K101)</f>
        <v/>
      </c>
      <c r="M1848" s="67" t="str">
        <f t="shared" si="86"/>
        <v/>
      </c>
      <c r="N1848" s="76" t="str">
        <f t="shared" si="87"/>
        <v/>
      </c>
      <c r="O1848" s="33">
        <f t="shared" si="85"/>
        <v>0</v>
      </c>
    </row>
    <row r="1849" spans="1:15" x14ac:dyDescent="0.25">
      <c r="A1849" s="64" t="s">
        <v>181</v>
      </c>
      <c r="B1849" s="79" t="str">
        <f>IF(Eighth!B102="", "",Eighth!B102)</f>
        <v/>
      </c>
      <c r="C1849" s="66" t="str">
        <f>IF(Eighth!C102="", "",Eighth!C102)</f>
        <v/>
      </c>
      <c r="D1849" s="66" t="str">
        <f>IF(Eighth!D102="", "",Eighth!D102)</f>
        <v/>
      </c>
      <c r="E1849" s="66" t="str">
        <f>IF(Eighth!E102="", "",Eighth!E102)</f>
        <v/>
      </c>
      <c r="F1849" s="66" t="str">
        <f>IF(Eighth!F102="", "",Eighth!F102)</f>
        <v/>
      </c>
      <c r="G1849" s="66" t="str">
        <f>IF(Eighth!G102="", "",Eighth!G102)</f>
        <v/>
      </c>
      <c r="H1849" s="66" t="str">
        <f>IF(Eighth!H102="", "",Eighth!H102)</f>
        <v/>
      </c>
      <c r="I1849" s="66" t="str">
        <f>IF(Eighth!I102="", "",Eighth!I102)</f>
        <v/>
      </c>
      <c r="J1849" s="66" t="str">
        <f>IF(Eighth!J102="", "",Eighth!J102)</f>
        <v/>
      </c>
      <c r="K1849" s="86" t="str">
        <f>IF(Eighth!K102="", "",Eighth!K102)</f>
        <v/>
      </c>
      <c r="M1849" s="67" t="str">
        <f t="shared" si="86"/>
        <v/>
      </c>
      <c r="N1849" s="76" t="str">
        <f t="shared" si="87"/>
        <v/>
      </c>
      <c r="O1849" s="33">
        <f t="shared" si="85"/>
        <v>0</v>
      </c>
    </row>
    <row r="1850" spans="1:15" x14ac:dyDescent="0.25">
      <c r="A1850" s="64" t="s">
        <v>181</v>
      </c>
      <c r="B1850" s="79" t="str">
        <f>IF(Eighth!B103="", "",Eighth!B103)</f>
        <v/>
      </c>
      <c r="C1850" s="66" t="str">
        <f>IF(Eighth!C103="", "",Eighth!C103)</f>
        <v/>
      </c>
      <c r="D1850" s="66" t="str">
        <f>IF(Eighth!D103="", "",Eighth!D103)</f>
        <v/>
      </c>
      <c r="E1850" s="66" t="str">
        <f>IF(Eighth!E103="", "",Eighth!E103)</f>
        <v/>
      </c>
      <c r="F1850" s="66" t="str">
        <f>IF(Eighth!F103="", "",Eighth!F103)</f>
        <v/>
      </c>
      <c r="G1850" s="66" t="str">
        <f>IF(Eighth!G103="", "",Eighth!G103)</f>
        <v/>
      </c>
      <c r="H1850" s="66" t="str">
        <f>IF(Eighth!H103="", "",Eighth!H103)</f>
        <v/>
      </c>
      <c r="I1850" s="66" t="str">
        <f>IF(Eighth!I103="", "",Eighth!I103)</f>
        <v/>
      </c>
      <c r="J1850" s="66" t="str">
        <f>IF(Eighth!J103="", "",Eighth!J103)</f>
        <v/>
      </c>
      <c r="K1850" s="86" t="str">
        <f>IF(Eighth!K103="", "",Eighth!K103)</f>
        <v/>
      </c>
      <c r="M1850" s="67" t="str">
        <f t="shared" si="86"/>
        <v/>
      </c>
      <c r="N1850" s="76" t="str">
        <f t="shared" si="87"/>
        <v/>
      </c>
      <c r="O1850" s="33">
        <f t="shared" si="85"/>
        <v>0</v>
      </c>
    </row>
    <row r="1851" spans="1:15" x14ac:dyDescent="0.25">
      <c r="A1851" s="64" t="s">
        <v>181</v>
      </c>
      <c r="B1851" s="79" t="str">
        <f>IF(Eighth!B104="", "",Eighth!B104)</f>
        <v/>
      </c>
      <c r="C1851" s="66" t="str">
        <f>IF(Eighth!C104="", "",Eighth!C104)</f>
        <v/>
      </c>
      <c r="D1851" s="66" t="str">
        <f>IF(Eighth!D104="", "",Eighth!D104)</f>
        <v/>
      </c>
      <c r="E1851" s="66" t="str">
        <f>IF(Eighth!E104="", "",Eighth!E104)</f>
        <v/>
      </c>
      <c r="F1851" s="66" t="str">
        <f>IF(Eighth!F104="", "",Eighth!F104)</f>
        <v/>
      </c>
      <c r="G1851" s="66" t="str">
        <f>IF(Eighth!G104="", "",Eighth!G104)</f>
        <v/>
      </c>
      <c r="H1851" s="66" t="str">
        <f>IF(Eighth!H104="", "",Eighth!H104)</f>
        <v/>
      </c>
      <c r="I1851" s="66" t="str">
        <f>IF(Eighth!I104="", "",Eighth!I104)</f>
        <v/>
      </c>
      <c r="J1851" s="66" t="str">
        <f>IF(Eighth!J104="", "",Eighth!J104)</f>
        <v/>
      </c>
      <c r="K1851" s="86" t="str">
        <f>IF(Eighth!K104="", "",Eighth!K104)</f>
        <v/>
      </c>
      <c r="M1851" s="67" t="str">
        <f t="shared" si="86"/>
        <v/>
      </c>
      <c r="N1851" s="76" t="str">
        <f t="shared" si="87"/>
        <v/>
      </c>
      <c r="O1851" s="33">
        <f t="shared" si="85"/>
        <v>0</v>
      </c>
    </row>
    <row r="1852" spans="1:15" x14ac:dyDescent="0.25">
      <c r="A1852" s="64" t="s">
        <v>181</v>
      </c>
      <c r="B1852" s="79" t="str">
        <f>IF(Eighth!B105="", "",Eighth!B105)</f>
        <v/>
      </c>
      <c r="C1852" s="66" t="str">
        <f>IF(Eighth!C105="", "",Eighth!C105)</f>
        <v/>
      </c>
      <c r="D1852" s="66" t="str">
        <f>IF(Eighth!D105="", "",Eighth!D105)</f>
        <v/>
      </c>
      <c r="E1852" s="66" t="str">
        <f>IF(Eighth!E105="", "",Eighth!E105)</f>
        <v/>
      </c>
      <c r="F1852" s="66" t="str">
        <f>IF(Eighth!F105="", "",Eighth!F105)</f>
        <v/>
      </c>
      <c r="G1852" s="66" t="str">
        <f>IF(Eighth!G105="", "",Eighth!G105)</f>
        <v/>
      </c>
      <c r="H1852" s="66" t="str">
        <f>IF(Eighth!H105="", "",Eighth!H105)</f>
        <v/>
      </c>
      <c r="I1852" s="66" t="str">
        <f>IF(Eighth!I105="", "",Eighth!I105)</f>
        <v/>
      </c>
      <c r="J1852" s="66" t="str">
        <f>IF(Eighth!J105="", "",Eighth!J105)</f>
        <v/>
      </c>
      <c r="K1852" s="86" t="str">
        <f>IF(Eighth!K105="", "",Eighth!K105)</f>
        <v/>
      </c>
      <c r="M1852" s="67" t="str">
        <f t="shared" si="86"/>
        <v/>
      </c>
      <c r="N1852" s="76" t="str">
        <f t="shared" si="87"/>
        <v/>
      </c>
      <c r="O1852" s="33">
        <f t="shared" si="85"/>
        <v>0</v>
      </c>
    </row>
    <row r="1853" spans="1:15" x14ac:dyDescent="0.25">
      <c r="A1853" s="64" t="s">
        <v>181</v>
      </c>
      <c r="B1853" s="79" t="str">
        <f>IF(Eighth!B106="", "",Eighth!B106)</f>
        <v/>
      </c>
      <c r="C1853" s="66" t="str">
        <f>IF(Eighth!C106="", "",Eighth!C106)</f>
        <v/>
      </c>
      <c r="D1853" s="66" t="str">
        <f>IF(Eighth!D106="", "",Eighth!D106)</f>
        <v/>
      </c>
      <c r="E1853" s="66" t="str">
        <f>IF(Eighth!E106="", "",Eighth!E106)</f>
        <v/>
      </c>
      <c r="F1853" s="66" t="str">
        <f>IF(Eighth!F106="", "",Eighth!F106)</f>
        <v/>
      </c>
      <c r="G1853" s="66" t="str">
        <f>IF(Eighth!G106="", "",Eighth!G106)</f>
        <v/>
      </c>
      <c r="H1853" s="66" t="str">
        <f>IF(Eighth!H106="", "",Eighth!H106)</f>
        <v/>
      </c>
      <c r="I1853" s="66" t="str">
        <f>IF(Eighth!I106="", "",Eighth!I106)</f>
        <v/>
      </c>
      <c r="J1853" s="66" t="str">
        <f>IF(Eighth!J106="", "",Eighth!J106)</f>
        <v/>
      </c>
      <c r="K1853" s="86" t="str">
        <f>IF(Eighth!K106="", "",Eighth!K106)</f>
        <v/>
      </c>
      <c r="M1853" s="67" t="str">
        <f t="shared" si="86"/>
        <v/>
      </c>
      <c r="N1853" s="76" t="str">
        <f t="shared" si="87"/>
        <v/>
      </c>
      <c r="O1853" s="33">
        <f t="shared" si="85"/>
        <v>0</v>
      </c>
    </row>
    <row r="1854" spans="1:15" x14ac:dyDescent="0.25">
      <c r="A1854" s="64" t="s">
        <v>181</v>
      </c>
      <c r="B1854" s="79" t="str">
        <f>IF(Eighth!B107="", "",Eighth!B107)</f>
        <v/>
      </c>
      <c r="C1854" s="66" t="str">
        <f>IF(Eighth!C107="", "",Eighth!C107)</f>
        <v/>
      </c>
      <c r="D1854" s="66" t="str">
        <f>IF(Eighth!D107="", "",Eighth!D107)</f>
        <v/>
      </c>
      <c r="E1854" s="66" t="str">
        <f>IF(Eighth!E107="", "",Eighth!E107)</f>
        <v/>
      </c>
      <c r="F1854" s="66" t="str">
        <f>IF(Eighth!F107="", "",Eighth!F107)</f>
        <v/>
      </c>
      <c r="G1854" s="66" t="str">
        <f>IF(Eighth!G107="", "",Eighth!G107)</f>
        <v/>
      </c>
      <c r="H1854" s="66" t="str">
        <f>IF(Eighth!H107="", "",Eighth!H107)</f>
        <v/>
      </c>
      <c r="I1854" s="66" t="str">
        <f>IF(Eighth!I107="", "",Eighth!I107)</f>
        <v/>
      </c>
      <c r="J1854" s="66" t="str">
        <f>IF(Eighth!J107="", "",Eighth!J107)</f>
        <v/>
      </c>
      <c r="K1854" s="86" t="str">
        <f>IF(Eighth!K107="", "",Eighth!K107)</f>
        <v/>
      </c>
      <c r="M1854" s="67" t="str">
        <f t="shared" si="86"/>
        <v/>
      </c>
      <c r="N1854" s="76" t="str">
        <f t="shared" si="87"/>
        <v/>
      </c>
      <c r="O1854" s="33">
        <f t="shared" si="85"/>
        <v>0</v>
      </c>
    </row>
    <row r="1855" spans="1:15" x14ac:dyDescent="0.25">
      <c r="A1855" s="64" t="s">
        <v>181</v>
      </c>
      <c r="B1855" s="79" t="str">
        <f>IF(Eighth!B108="", "",Eighth!B108)</f>
        <v/>
      </c>
      <c r="C1855" s="66" t="str">
        <f>IF(Eighth!C108="", "",Eighth!C108)</f>
        <v/>
      </c>
      <c r="D1855" s="66" t="str">
        <f>IF(Eighth!D108="", "",Eighth!D108)</f>
        <v/>
      </c>
      <c r="E1855" s="66" t="str">
        <f>IF(Eighth!E108="", "",Eighth!E108)</f>
        <v/>
      </c>
      <c r="F1855" s="66" t="str">
        <f>IF(Eighth!F108="", "",Eighth!F108)</f>
        <v/>
      </c>
      <c r="G1855" s="66" t="str">
        <f>IF(Eighth!G108="", "",Eighth!G108)</f>
        <v/>
      </c>
      <c r="H1855" s="66" t="str">
        <f>IF(Eighth!H108="", "",Eighth!H108)</f>
        <v/>
      </c>
      <c r="I1855" s="66" t="str">
        <f>IF(Eighth!I108="", "",Eighth!I108)</f>
        <v/>
      </c>
      <c r="J1855" s="66" t="str">
        <f>IF(Eighth!J108="", "",Eighth!J108)</f>
        <v/>
      </c>
      <c r="K1855" s="86" t="str">
        <f>IF(Eighth!K108="", "",Eighth!K108)</f>
        <v/>
      </c>
      <c r="M1855" s="67" t="str">
        <f t="shared" si="86"/>
        <v/>
      </c>
      <c r="N1855" s="76" t="str">
        <f t="shared" si="87"/>
        <v/>
      </c>
      <c r="O1855" s="33">
        <f t="shared" si="85"/>
        <v>0</v>
      </c>
    </row>
    <row r="1856" spans="1:15" x14ac:dyDescent="0.25">
      <c r="A1856" s="64" t="s">
        <v>181</v>
      </c>
      <c r="B1856" s="79" t="str">
        <f>IF(Eighth!B109="", "",Eighth!B109)</f>
        <v/>
      </c>
      <c r="C1856" s="66" t="str">
        <f>IF(Eighth!C109="", "",Eighth!C109)</f>
        <v/>
      </c>
      <c r="D1856" s="66" t="str">
        <f>IF(Eighth!D109="", "",Eighth!D109)</f>
        <v/>
      </c>
      <c r="E1856" s="66" t="str">
        <f>IF(Eighth!E109="", "",Eighth!E109)</f>
        <v/>
      </c>
      <c r="F1856" s="66" t="str">
        <f>IF(Eighth!F109="", "",Eighth!F109)</f>
        <v/>
      </c>
      <c r="G1856" s="66" t="str">
        <f>IF(Eighth!G109="", "",Eighth!G109)</f>
        <v/>
      </c>
      <c r="H1856" s="66" t="str">
        <f>IF(Eighth!H109="", "",Eighth!H109)</f>
        <v/>
      </c>
      <c r="I1856" s="66" t="str">
        <f>IF(Eighth!I109="", "",Eighth!I109)</f>
        <v/>
      </c>
      <c r="J1856" s="66" t="str">
        <f>IF(Eighth!J109="", "",Eighth!J109)</f>
        <v/>
      </c>
      <c r="K1856" s="86" t="str">
        <f>IF(Eighth!K109="", "",Eighth!K109)</f>
        <v/>
      </c>
      <c r="M1856" s="67" t="str">
        <f t="shared" si="86"/>
        <v/>
      </c>
      <c r="N1856" s="76" t="str">
        <f t="shared" si="87"/>
        <v/>
      </c>
      <c r="O1856" s="33">
        <f t="shared" si="85"/>
        <v>0</v>
      </c>
    </row>
    <row r="1857" spans="1:15" x14ac:dyDescent="0.25">
      <c r="A1857" s="64" t="s">
        <v>181</v>
      </c>
      <c r="B1857" s="79" t="str">
        <f>IF(Eighth!B110="", "",Eighth!B110)</f>
        <v/>
      </c>
      <c r="C1857" s="66" t="str">
        <f>IF(Eighth!C110="", "",Eighth!C110)</f>
        <v/>
      </c>
      <c r="D1857" s="66" t="str">
        <f>IF(Eighth!D110="", "",Eighth!D110)</f>
        <v/>
      </c>
      <c r="E1857" s="66" t="str">
        <f>IF(Eighth!E110="", "",Eighth!E110)</f>
        <v/>
      </c>
      <c r="F1857" s="66" t="str">
        <f>IF(Eighth!F110="", "",Eighth!F110)</f>
        <v/>
      </c>
      <c r="G1857" s="66" t="str">
        <f>IF(Eighth!G110="", "",Eighth!G110)</f>
        <v/>
      </c>
      <c r="H1857" s="66" t="str">
        <f>IF(Eighth!H110="", "",Eighth!H110)</f>
        <v/>
      </c>
      <c r="I1857" s="66" t="str">
        <f>IF(Eighth!I110="", "",Eighth!I110)</f>
        <v/>
      </c>
      <c r="J1857" s="66" t="str">
        <f>IF(Eighth!J110="", "",Eighth!J110)</f>
        <v/>
      </c>
      <c r="K1857" s="86" t="str">
        <f>IF(Eighth!K110="", "",Eighth!K110)</f>
        <v/>
      </c>
      <c r="M1857" s="67" t="str">
        <f t="shared" si="86"/>
        <v/>
      </c>
      <c r="N1857" s="76" t="str">
        <f t="shared" si="87"/>
        <v/>
      </c>
      <c r="O1857" s="33">
        <f t="shared" si="85"/>
        <v>0</v>
      </c>
    </row>
    <row r="1858" spans="1:15" x14ac:dyDescent="0.25">
      <c r="A1858" s="64" t="s">
        <v>181</v>
      </c>
      <c r="B1858" s="79" t="str">
        <f>IF(Eighth!B111="", "",Eighth!B111)</f>
        <v/>
      </c>
      <c r="C1858" s="66" t="str">
        <f>IF(Eighth!C111="", "",Eighth!C111)</f>
        <v/>
      </c>
      <c r="D1858" s="66" t="str">
        <f>IF(Eighth!D111="", "",Eighth!D111)</f>
        <v/>
      </c>
      <c r="E1858" s="66" t="str">
        <f>IF(Eighth!E111="", "",Eighth!E111)</f>
        <v/>
      </c>
      <c r="F1858" s="66" t="str">
        <f>IF(Eighth!F111="", "",Eighth!F111)</f>
        <v/>
      </c>
      <c r="G1858" s="66" t="str">
        <f>IF(Eighth!G111="", "",Eighth!G111)</f>
        <v/>
      </c>
      <c r="H1858" s="66" t="str">
        <f>IF(Eighth!H111="", "",Eighth!H111)</f>
        <v/>
      </c>
      <c r="I1858" s="66" t="str">
        <f>IF(Eighth!I111="", "",Eighth!I111)</f>
        <v/>
      </c>
      <c r="J1858" s="66" t="str">
        <f>IF(Eighth!J111="", "",Eighth!J111)</f>
        <v/>
      </c>
      <c r="K1858" s="86" t="str">
        <f>IF(Eighth!K111="", "",Eighth!K111)</f>
        <v/>
      </c>
      <c r="M1858" s="67" t="str">
        <f t="shared" si="86"/>
        <v/>
      </c>
      <c r="N1858" s="76" t="str">
        <f t="shared" si="87"/>
        <v/>
      </c>
      <c r="O1858" s="33">
        <f t="shared" ref="O1858:O1921" si="88">SUM(M1858:N1858)</f>
        <v>0</v>
      </c>
    </row>
    <row r="1859" spans="1:15" x14ac:dyDescent="0.25">
      <c r="A1859" s="64" t="s">
        <v>181</v>
      </c>
      <c r="B1859" s="79" t="str">
        <f>IF(Eighth!B112="", "",Eighth!B112)</f>
        <v/>
      </c>
      <c r="C1859" s="66" t="str">
        <f>IF(Eighth!C112="", "",Eighth!C112)</f>
        <v/>
      </c>
      <c r="D1859" s="66" t="str">
        <f>IF(Eighth!D112="", "",Eighth!D112)</f>
        <v/>
      </c>
      <c r="E1859" s="66" t="str">
        <f>IF(Eighth!E112="", "",Eighth!E112)</f>
        <v/>
      </c>
      <c r="F1859" s="66" t="str">
        <f>IF(Eighth!F112="", "",Eighth!F112)</f>
        <v/>
      </c>
      <c r="G1859" s="66" t="str">
        <f>IF(Eighth!G112="", "",Eighth!G112)</f>
        <v/>
      </c>
      <c r="H1859" s="66" t="str">
        <f>IF(Eighth!H112="", "",Eighth!H112)</f>
        <v/>
      </c>
      <c r="I1859" s="66" t="str">
        <f>IF(Eighth!I112="", "",Eighth!I112)</f>
        <v/>
      </c>
      <c r="J1859" s="66" t="str">
        <f>IF(Eighth!J112="", "",Eighth!J112)</f>
        <v/>
      </c>
      <c r="K1859" s="86" t="str">
        <f>IF(Eighth!K112="", "",Eighth!K112)</f>
        <v/>
      </c>
      <c r="M1859" s="67" t="str">
        <f t="shared" ref="M1859:M1922" si="89">IF(C1859="PwC",(7-COUNTIF(B1859:H1859,"")),"")</f>
        <v/>
      </c>
      <c r="N1859" s="76" t="str">
        <f t="shared" ref="N1859:N1922" si="90">IF(C1859="Carer",(7-COUNTIF(B1859:H1859,"")),"")</f>
        <v/>
      </c>
      <c r="O1859" s="33">
        <f t="shared" si="88"/>
        <v>0</v>
      </c>
    </row>
    <row r="1860" spans="1:15" x14ac:dyDescent="0.25">
      <c r="A1860" s="64" t="s">
        <v>181</v>
      </c>
      <c r="B1860" s="79" t="str">
        <f>IF(Eighth!B113="", "",Eighth!B113)</f>
        <v/>
      </c>
      <c r="C1860" s="66" t="str">
        <f>IF(Eighth!C113="", "",Eighth!C113)</f>
        <v/>
      </c>
      <c r="D1860" s="66" t="str">
        <f>IF(Eighth!D113="", "",Eighth!D113)</f>
        <v/>
      </c>
      <c r="E1860" s="66" t="str">
        <f>IF(Eighth!E113="", "",Eighth!E113)</f>
        <v/>
      </c>
      <c r="F1860" s="66" t="str">
        <f>IF(Eighth!F113="", "",Eighth!F113)</f>
        <v/>
      </c>
      <c r="G1860" s="66" t="str">
        <f>IF(Eighth!G113="", "",Eighth!G113)</f>
        <v/>
      </c>
      <c r="H1860" s="66" t="str">
        <f>IF(Eighth!H113="", "",Eighth!H113)</f>
        <v/>
      </c>
      <c r="I1860" s="66" t="str">
        <f>IF(Eighth!I113="", "",Eighth!I113)</f>
        <v/>
      </c>
      <c r="J1860" s="66" t="str">
        <f>IF(Eighth!J113="", "",Eighth!J113)</f>
        <v/>
      </c>
      <c r="K1860" s="86" t="str">
        <f>IF(Eighth!K113="", "",Eighth!K113)</f>
        <v/>
      </c>
      <c r="M1860" s="67" t="str">
        <f t="shared" si="89"/>
        <v/>
      </c>
      <c r="N1860" s="76" t="str">
        <f t="shared" si="90"/>
        <v/>
      </c>
      <c r="O1860" s="33">
        <f t="shared" si="88"/>
        <v>0</v>
      </c>
    </row>
    <row r="1861" spans="1:15" x14ac:dyDescent="0.25">
      <c r="A1861" s="64" t="s">
        <v>181</v>
      </c>
      <c r="B1861" s="79" t="str">
        <f>IF(Eighth!B114="", "",Eighth!B114)</f>
        <v/>
      </c>
      <c r="C1861" s="66" t="str">
        <f>IF(Eighth!C114="", "",Eighth!C114)</f>
        <v/>
      </c>
      <c r="D1861" s="66" t="str">
        <f>IF(Eighth!D114="", "",Eighth!D114)</f>
        <v/>
      </c>
      <c r="E1861" s="66" t="str">
        <f>IF(Eighth!E114="", "",Eighth!E114)</f>
        <v/>
      </c>
      <c r="F1861" s="66" t="str">
        <f>IF(Eighth!F114="", "",Eighth!F114)</f>
        <v/>
      </c>
      <c r="G1861" s="66" t="str">
        <f>IF(Eighth!G114="", "",Eighth!G114)</f>
        <v/>
      </c>
      <c r="H1861" s="66" t="str">
        <f>IF(Eighth!H114="", "",Eighth!H114)</f>
        <v/>
      </c>
      <c r="I1861" s="66" t="str">
        <f>IF(Eighth!I114="", "",Eighth!I114)</f>
        <v/>
      </c>
      <c r="J1861" s="66" t="str">
        <f>IF(Eighth!J114="", "",Eighth!J114)</f>
        <v/>
      </c>
      <c r="K1861" s="86" t="str">
        <f>IF(Eighth!K114="", "",Eighth!K114)</f>
        <v/>
      </c>
      <c r="M1861" s="67" t="str">
        <f t="shared" si="89"/>
        <v/>
      </c>
      <c r="N1861" s="76" t="str">
        <f t="shared" si="90"/>
        <v/>
      </c>
      <c r="O1861" s="33">
        <f t="shared" si="88"/>
        <v>0</v>
      </c>
    </row>
    <row r="1862" spans="1:15" x14ac:dyDescent="0.25">
      <c r="A1862" s="64" t="s">
        <v>181</v>
      </c>
      <c r="B1862" s="79" t="str">
        <f>IF(Eighth!B115="", "",Eighth!B115)</f>
        <v/>
      </c>
      <c r="C1862" s="66" t="str">
        <f>IF(Eighth!C115="", "",Eighth!C115)</f>
        <v/>
      </c>
      <c r="D1862" s="66" t="str">
        <f>IF(Eighth!D115="", "",Eighth!D115)</f>
        <v/>
      </c>
      <c r="E1862" s="66" t="str">
        <f>IF(Eighth!E115="", "",Eighth!E115)</f>
        <v/>
      </c>
      <c r="F1862" s="66" t="str">
        <f>IF(Eighth!F115="", "",Eighth!F115)</f>
        <v/>
      </c>
      <c r="G1862" s="66" t="str">
        <f>IF(Eighth!G115="", "",Eighth!G115)</f>
        <v/>
      </c>
      <c r="H1862" s="66" t="str">
        <f>IF(Eighth!H115="", "",Eighth!H115)</f>
        <v/>
      </c>
      <c r="I1862" s="66" t="str">
        <f>IF(Eighth!I115="", "",Eighth!I115)</f>
        <v/>
      </c>
      <c r="J1862" s="66" t="str">
        <f>IF(Eighth!J115="", "",Eighth!J115)</f>
        <v/>
      </c>
      <c r="K1862" s="86" t="str">
        <f>IF(Eighth!K115="", "",Eighth!K115)</f>
        <v/>
      </c>
      <c r="M1862" s="67" t="str">
        <f t="shared" si="89"/>
        <v/>
      </c>
      <c r="N1862" s="76" t="str">
        <f t="shared" si="90"/>
        <v/>
      </c>
      <c r="O1862" s="33">
        <f t="shared" si="88"/>
        <v>0</v>
      </c>
    </row>
    <row r="1863" spans="1:15" x14ac:dyDescent="0.25">
      <c r="A1863" s="64" t="s">
        <v>181</v>
      </c>
      <c r="B1863" s="79" t="str">
        <f>IF(Eighth!B116="", "",Eighth!B116)</f>
        <v/>
      </c>
      <c r="C1863" s="66" t="str">
        <f>IF(Eighth!C116="", "",Eighth!C116)</f>
        <v/>
      </c>
      <c r="D1863" s="66" t="str">
        <f>IF(Eighth!D116="", "",Eighth!D116)</f>
        <v/>
      </c>
      <c r="E1863" s="66" t="str">
        <f>IF(Eighth!E116="", "",Eighth!E116)</f>
        <v/>
      </c>
      <c r="F1863" s="66" t="str">
        <f>IF(Eighth!F116="", "",Eighth!F116)</f>
        <v/>
      </c>
      <c r="G1863" s="66" t="str">
        <f>IF(Eighth!G116="", "",Eighth!G116)</f>
        <v/>
      </c>
      <c r="H1863" s="66" t="str">
        <f>IF(Eighth!H116="", "",Eighth!H116)</f>
        <v/>
      </c>
      <c r="I1863" s="66" t="str">
        <f>IF(Eighth!I116="", "",Eighth!I116)</f>
        <v/>
      </c>
      <c r="J1863" s="66" t="str">
        <f>IF(Eighth!J116="", "",Eighth!J116)</f>
        <v/>
      </c>
      <c r="K1863" s="86" t="str">
        <f>IF(Eighth!K116="", "",Eighth!K116)</f>
        <v/>
      </c>
      <c r="M1863" s="67" t="str">
        <f t="shared" si="89"/>
        <v/>
      </c>
      <c r="N1863" s="76" t="str">
        <f t="shared" si="90"/>
        <v/>
      </c>
      <c r="O1863" s="33">
        <f t="shared" si="88"/>
        <v>0</v>
      </c>
    </row>
    <row r="1864" spans="1:15" x14ac:dyDescent="0.25">
      <c r="A1864" s="64" t="s">
        <v>181</v>
      </c>
      <c r="B1864" s="79" t="str">
        <f>IF(Eighth!B117="", "",Eighth!B117)</f>
        <v/>
      </c>
      <c r="C1864" s="66" t="str">
        <f>IF(Eighth!C117="", "",Eighth!C117)</f>
        <v/>
      </c>
      <c r="D1864" s="66" t="str">
        <f>IF(Eighth!D117="", "",Eighth!D117)</f>
        <v/>
      </c>
      <c r="E1864" s="66" t="str">
        <f>IF(Eighth!E117="", "",Eighth!E117)</f>
        <v/>
      </c>
      <c r="F1864" s="66" t="str">
        <f>IF(Eighth!F117="", "",Eighth!F117)</f>
        <v/>
      </c>
      <c r="G1864" s="66" t="str">
        <f>IF(Eighth!G117="", "",Eighth!G117)</f>
        <v/>
      </c>
      <c r="H1864" s="66" t="str">
        <f>IF(Eighth!H117="", "",Eighth!H117)</f>
        <v/>
      </c>
      <c r="I1864" s="66" t="str">
        <f>IF(Eighth!I117="", "",Eighth!I117)</f>
        <v/>
      </c>
      <c r="J1864" s="66" t="str">
        <f>IF(Eighth!J117="", "",Eighth!J117)</f>
        <v/>
      </c>
      <c r="K1864" s="86" t="str">
        <f>IF(Eighth!K117="", "",Eighth!K117)</f>
        <v/>
      </c>
      <c r="M1864" s="67" t="str">
        <f t="shared" si="89"/>
        <v/>
      </c>
      <c r="N1864" s="76" t="str">
        <f t="shared" si="90"/>
        <v/>
      </c>
      <c r="O1864" s="33">
        <f t="shared" si="88"/>
        <v>0</v>
      </c>
    </row>
    <row r="1865" spans="1:15" x14ac:dyDescent="0.25">
      <c r="A1865" s="64" t="s">
        <v>181</v>
      </c>
      <c r="B1865" s="79" t="str">
        <f>IF(Eighth!B118="", "",Eighth!B118)</f>
        <v/>
      </c>
      <c r="C1865" s="66" t="str">
        <f>IF(Eighth!C118="", "",Eighth!C118)</f>
        <v/>
      </c>
      <c r="D1865" s="66" t="str">
        <f>IF(Eighth!D118="", "",Eighth!D118)</f>
        <v/>
      </c>
      <c r="E1865" s="66" t="str">
        <f>IF(Eighth!E118="", "",Eighth!E118)</f>
        <v/>
      </c>
      <c r="F1865" s="66" t="str">
        <f>IF(Eighth!F118="", "",Eighth!F118)</f>
        <v/>
      </c>
      <c r="G1865" s="66" t="str">
        <f>IF(Eighth!G118="", "",Eighth!G118)</f>
        <v/>
      </c>
      <c r="H1865" s="66" t="str">
        <f>IF(Eighth!H118="", "",Eighth!H118)</f>
        <v/>
      </c>
      <c r="I1865" s="66" t="str">
        <f>IF(Eighth!I118="", "",Eighth!I118)</f>
        <v/>
      </c>
      <c r="J1865" s="66" t="str">
        <f>IF(Eighth!J118="", "",Eighth!J118)</f>
        <v/>
      </c>
      <c r="K1865" s="86" t="str">
        <f>IF(Eighth!K118="", "",Eighth!K118)</f>
        <v/>
      </c>
      <c r="M1865" s="67" t="str">
        <f t="shared" si="89"/>
        <v/>
      </c>
      <c r="N1865" s="76" t="str">
        <f t="shared" si="90"/>
        <v/>
      </c>
      <c r="O1865" s="33">
        <f t="shared" si="88"/>
        <v>0</v>
      </c>
    </row>
    <row r="1866" spans="1:15" x14ac:dyDescent="0.25">
      <c r="A1866" s="64" t="s">
        <v>181</v>
      </c>
      <c r="B1866" s="79" t="str">
        <f>IF(Eighth!B119="", "",Eighth!B119)</f>
        <v/>
      </c>
      <c r="C1866" s="66" t="str">
        <f>IF(Eighth!C119="", "",Eighth!C119)</f>
        <v/>
      </c>
      <c r="D1866" s="66" t="str">
        <f>IF(Eighth!D119="", "",Eighth!D119)</f>
        <v/>
      </c>
      <c r="E1866" s="66" t="str">
        <f>IF(Eighth!E119="", "",Eighth!E119)</f>
        <v/>
      </c>
      <c r="F1866" s="66" t="str">
        <f>IF(Eighth!F119="", "",Eighth!F119)</f>
        <v/>
      </c>
      <c r="G1866" s="66" t="str">
        <f>IF(Eighth!G119="", "",Eighth!G119)</f>
        <v/>
      </c>
      <c r="H1866" s="66" t="str">
        <f>IF(Eighth!H119="", "",Eighth!H119)</f>
        <v/>
      </c>
      <c r="I1866" s="66" t="str">
        <f>IF(Eighth!I119="", "",Eighth!I119)</f>
        <v/>
      </c>
      <c r="J1866" s="66" t="str">
        <f>IF(Eighth!J119="", "",Eighth!J119)</f>
        <v/>
      </c>
      <c r="K1866" s="86" t="str">
        <f>IF(Eighth!K119="", "",Eighth!K119)</f>
        <v/>
      </c>
      <c r="M1866" s="67" t="str">
        <f t="shared" si="89"/>
        <v/>
      </c>
      <c r="N1866" s="76" t="str">
        <f t="shared" si="90"/>
        <v/>
      </c>
      <c r="O1866" s="33">
        <f t="shared" si="88"/>
        <v>0</v>
      </c>
    </row>
    <row r="1867" spans="1:15" x14ac:dyDescent="0.25">
      <c r="A1867" s="64" t="s">
        <v>181</v>
      </c>
      <c r="B1867" s="79" t="str">
        <f>IF(Eighth!B120="", "",Eighth!B120)</f>
        <v/>
      </c>
      <c r="C1867" s="66" t="str">
        <f>IF(Eighth!C120="", "",Eighth!C120)</f>
        <v/>
      </c>
      <c r="D1867" s="66" t="str">
        <f>IF(Eighth!D120="", "",Eighth!D120)</f>
        <v/>
      </c>
      <c r="E1867" s="66" t="str">
        <f>IF(Eighth!E120="", "",Eighth!E120)</f>
        <v/>
      </c>
      <c r="F1867" s="66" t="str">
        <f>IF(Eighth!F120="", "",Eighth!F120)</f>
        <v/>
      </c>
      <c r="G1867" s="66" t="str">
        <f>IF(Eighth!G120="", "",Eighth!G120)</f>
        <v/>
      </c>
      <c r="H1867" s="66" t="str">
        <f>IF(Eighth!H120="", "",Eighth!H120)</f>
        <v/>
      </c>
      <c r="I1867" s="66" t="str">
        <f>IF(Eighth!I120="", "",Eighth!I120)</f>
        <v/>
      </c>
      <c r="J1867" s="66" t="str">
        <f>IF(Eighth!J120="", "",Eighth!J120)</f>
        <v/>
      </c>
      <c r="K1867" s="86" t="str">
        <f>IF(Eighth!K120="", "",Eighth!K120)</f>
        <v/>
      </c>
      <c r="M1867" s="67" t="str">
        <f t="shared" si="89"/>
        <v/>
      </c>
      <c r="N1867" s="76" t="str">
        <f t="shared" si="90"/>
        <v/>
      </c>
      <c r="O1867" s="33">
        <f t="shared" si="88"/>
        <v>0</v>
      </c>
    </row>
    <row r="1868" spans="1:15" x14ac:dyDescent="0.25">
      <c r="A1868" s="64" t="s">
        <v>181</v>
      </c>
      <c r="B1868" s="79" t="str">
        <f>IF(Eighth!B121="", "",Eighth!B121)</f>
        <v/>
      </c>
      <c r="C1868" s="66" t="str">
        <f>IF(Eighth!C121="", "",Eighth!C121)</f>
        <v/>
      </c>
      <c r="D1868" s="66" t="str">
        <f>IF(Eighth!D121="", "",Eighth!D121)</f>
        <v/>
      </c>
      <c r="E1868" s="66" t="str">
        <f>IF(Eighth!E121="", "",Eighth!E121)</f>
        <v/>
      </c>
      <c r="F1868" s="66" t="str">
        <f>IF(Eighth!F121="", "",Eighth!F121)</f>
        <v/>
      </c>
      <c r="G1868" s="66" t="str">
        <f>IF(Eighth!G121="", "",Eighth!G121)</f>
        <v/>
      </c>
      <c r="H1868" s="66" t="str">
        <f>IF(Eighth!H121="", "",Eighth!H121)</f>
        <v/>
      </c>
      <c r="I1868" s="66" t="str">
        <f>IF(Eighth!I121="", "",Eighth!I121)</f>
        <v/>
      </c>
      <c r="J1868" s="66" t="str">
        <f>IF(Eighth!J121="", "",Eighth!J121)</f>
        <v/>
      </c>
      <c r="K1868" s="86" t="str">
        <f>IF(Eighth!K121="", "",Eighth!K121)</f>
        <v/>
      </c>
      <c r="M1868" s="67" t="str">
        <f t="shared" si="89"/>
        <v/>
      </c>
      <c r="N1868" s="76" t="str">
        <f t="shared" si="90"/>
        <v/>
      </c>
      <c r="O1868" s="33">
        <f t="shared" si="88"/>
        <v>0</v>
      </c>
    </row>
    <row r="1869" spans="1:15" x14ac:dyDescent="0.25">
      <c r="A1869" s="64" t="s">
        <v>181</v>
      </c>
      <c r="B1869" s="79" t="str">
        <f>IF(Eighth!B122="", "",Eighth!B122)</f>
        <v/>
      </c>
      <c r="C1869" s="66" t="str">
        <f>IF(Eighth!C122="", "",Eighth!C122)</f>
        <v/>
      </c>
      <c r="D1869" s="66" t="str">
        <f>IF(Eighth!D122="", "",Eighth!D122)</f>
        <v/>
      </c>
      <c r="E1869" s="66" t="str">
        <f>IF(Eighth!E122="", "",Eighth!E122)</f>
        <v/>
      </c>
      <c r="F1869" s="66" t="str">
        <f>IF(Eighth!F122="", "",Eighth!F122)</f>
        <v/>
      </c>
      <c r="G1869" s="66" t="str">
        <f>IF(Eighth!G122="", "",Eighth!G122)</f>
        <v/>
      </c>
      <c r="H1869" s="66" t="str">
        <f>IF(Eighth!H122="", "",Eighth!H122)</f>
        <v/>
      </c>
      <c r="I1869" s="66" t="str">
        <f>IF(Eighth!I122="", "",Eighth!I122)</f>
        <v/>
      </c>
      <c r="J1869" s="66" t="str">
        <f>IF(Eighth!J122="", "",Eighth!J122)</f>
        <v/>
      </c>
      <c r="K1869" s="86" t="str">
        <f>IF(Eighth!K122="", "",Eighth!K122)</f>
        <v/>
      </c>
      <c r="M1869" s="67" t="str">
        <f t="shared" si="89"/>
        <v/>
      </c>
      <c r="N1869" s="76" t="str">
        <f t="shared" si="90"/>
        <v/>
      </c>
      <c r="O1869" s="33">
        <f t="shared" si="88"/>
        <v>0</v>
      </c>
    </row>
    <row r="1870" spans="1:15" x14ac:dyDescent="0.25">
      <c r="A1870" s="64" t="s">
        <v>181</v>
      </c>
      <c r="B1870" s="79" t="str">
        <f>IF(Eighth!B123="", "",Eighth!B123)</f>
        <v/>
      </c>
      <c r="C1870" s="66" t="str">
        <f>IF(Eighth!C123="", "",Eighth!C123)</f>
        <v/>
      </c>
      <c r="D1870" s="66" t="str">
        <f>IF(Eighth!D123="", "",Eighth!D123)</f>
        <v/>
      </c>
      <c r="E1870" s="66" t="str">
        <f>IF(Eighth!E123="", "",Eighth!E123)</f>
        <v/>
      </c>
      <c r="F1870" s="66" t="str">
        <f>IF(Eighth!F123="", "",Eighth!F123)</f>
        <v/>
      </c>
      <c r="G1870" s="66" t="str">
        <f>IF(Eighth!G123="", "",Eighth!G123)</f>
        <v/>
      </c>
      <c r="H1870" s="66" t="str">
        <f>IF(Eighth!H123="", "",Eighth!H123)</f>
        <v/>
      </c>
      <c r="I1870" s="66" t="str">
        <f>IF(Eighth!I123="", "",Eighth!I123)</f>
        <v/>
      </c>
      <c r="J1870" s="66" t="str">
        <f>IF(Eighth!J123="", "",Eighth!J123)</f>
        <v/>
      </c>
      <c r="K1870" s="86" t="str">
        <f>IF(Eighth!K123="", "",Eighth!K123)</f>
        <v/>
      </c>
      <c r="M1870" s="67" t="str">
        <f t="shared" si="89"/>
        <v/>
      </c>
      <c r="N1870" s="76" t="str">
        <f t="shared" si="90"/>
        <v/>
      </c>
      <c r="O1870" s="33">
        <f t="shared" si="88"/>
        <v>0</v>
      </c>
    </row>
    <row r="1871" spans="1:15" x14ac:dyDescent="0.25">
      <c r="A1871" s="64" t="s">
        <v>181</v>
      </c>
      <c r="B1871" s="79" t="str">
        <f>IF(Eighth!B124="", "",Eighth!B124)</f>
        <v/>
      </c>
      <c r="C1871" s="66" t="str">
        <f>IF(Eighth!C124="", "",Eighth!C124)</f>
        <v/>
      </c>
      <c r="D1871" s="66" t="str">
        <f>IF(Eighth!D124="", "",Eighth!D124)</f>
        <v/>
      </c>
      <c r="E1871" s="66" t="str">
        <f>IF(Eighth!E124="", "",Eighth!E124)</f>
        <v/>
      </c>
      <c r="F1871" s="66" t="str">
        <f>IF(Eighth!F124="", "",Eighth!F124)</f>
        <v/>
      </c>
      <c r="G1871" s="66" t="str">
        <f>IF(Eighth!G124="", "",Eighth!G124)</f>
        <v/>
      </c>
      <c r="H1871" s="66" t="str">
        <f>IF(Eighth!H124="", "",Eighth!H124)</f>
        <v/>
      </c>
      <c r="I1871" s="66" t="str">
        <f>IF(Eighth!I124="", "",Eighth!I124)</f>
        <v/>
      </c>
      <c r="J1871" s="66" t="str">
        <f>IF(Eighth!J124="", "",Eighth!J124)</f>
        <v/>
      </c>
      <c r="K1871" s="86" t="str">
        <f>IF(Eighth!K124="", "",Eighth!K124)</f>
        <v/>
      </c>
      <c r="M1871" s="67" t="str">
        <f t="shared" si="89"/>
        <v/>
      </c>
      <c r="N1871" s="76" t="str">
        <f t="shared" si="90"/>
        <v/>
      </c>
      <c r="O1871" s="33">
        <f t="shared" si="88"/>
        <v>0</v>
      </c>
    </row>
    <row r="1872" spans="1:15" x14ac:dyDescent="0.25">
      <c r="A1872" s="64" t="s">
        <v>181</v>
      </c>
      <c r="B1872" s="79" t="str">
        <f>IF(Eighth!B125="", "",Eighth!B125)</f>
        <v/>
      </c>
      <c r="C1872" s="66" t="str">
        <f>IF(Eighth!C125="", "",Eighth!C125)</f>
        <v/>
      </c>
      <c r="D1872" s="66" t="str">
        <f>IF(Eighth!D125="", "",Eighth!D125)</f>
        <v/>
      </c>
      <c r="E1872" s="66" t="str">
        <f>IF(Eighth!E125="", "",Eighth!E125)</f>
        <v/>
      </c>
      <c r="F1872" s="66" t="str">
        <f>IF(Eighth!F125="", "",Eighth!F125)</f>
        <v/>
      </c>
      <c r="G1872" s="66" t="str">
        <f>IF(Eighth!G125="", "",Eighth!G125)</f>
        <v/>
      </c>
      <c r="H1872" s="66" t="str">
        <f>IF(Eighth!H125="", "",Eighth!H125)</f>
        <v/>
      </c>
      <c r="I1872" s="66" t="str">
        <f>IF(Eighth!I125="", "",Eighth!I125)</f>
        <v/>
      </c>
      <c r="J1872" s="66" t="str">
        <f>IF(Eighth!J125="", "",Eighth!J125)</f>
        <v/>
      </c>
      <c r="K1872" s="86" t="str">
        <f>IF(Eighth!K125="", "",Eighth!K125)</f>
        <v/>
      </c>
      <c r="M1872" s="67" t="str">
        <f t="shared" si="89"/>
        <v/>
      </c>
      <c r="N1872" s="76" t="str">
        <f t="shared" si="90"/>
        <v/>
      </c>
      <c r="O1872" s="33">
        <f t="shared" si="88"/>
        <v>0</v>
      </c>
    </row>
    <row r="1873" spans="1:15" x14ac:dyDescent="0.25">
      <c r="A1873" s="64" t="s">
        <v>181</v>
      </c>
      <c r="B1873" s="79" t="str">
        <f>IF(Eighth!B126="", "",Eighth!B126)</f>
        <v/>
      </c>
      <c r="C1873" s="66" t="str">
        <f>IF(Eighth!C126="", "",Eighth!C126)</f>
        <v/>
      </c>
      <c r="D1873" s="66" t="str">
        <f>IF(Eighth!D126="", "",Eighth!D126)</f>
        <v/>
      </c>
      <c r="E1873" s="66" t="str">
        <f>IF(Eighth!E126="", "",Eighth!E126)</f>
        <v/>
      </c>
      <c r="F1873" s="66" t="str">
        <f>IF(Eighth!F126="", "",Eighth!F126)</f>
        <v/>
      </c>
      <c r="G1873" s="66" t="str">
        <f>IF(Eighth!G126="", "",Eighth!G126)</f>
        <v/>
      </c>
      <c r="H1873" s="66" t="str">
        <f>IF(Eighth!H126="", "",Eighth!H126)</f>
        <v/>
      </c>
      <c r="I1873" s="66" t="str">
        <f>IF(Eighth!I126="", "",Eighth!I126)</f>
        <v/>
      </c>
      <c r="J1873" s="66" t="str">
        <f>IF(Eighth!J126="", "",Eighth!J126)</f>
        <v/>
      </c>
      <c r="K1873" s="86" t="str">
        <f>IF(Eighth!K126="", "",Eighth!K126)</f>
        <v/>
      </c>
      <c r="M1873" s="67" t="str">
        <f t="shared" si="89"/>
        <v/>
      </c>
      <c r="N1873" s="76" t="str">
        <f t="shared" si="90"/>
        <v/>
      </c>
      <c r="O1873" s="33">
        <f t="shared" si="88"/>
        <v>0</v>
      </c>
    </row>
    <row r="1874" spans="1:15" x14ac:dyDescent="0.25">
      <c r="A1874" s="64" t="s">
        <v>181</v>
      </c>
      <c r="B1874" s="79" t="str">
        <f>IF(Eighth!B127="", "",Eighth!B127)</f>
        <v/>
      </c>
      <c r="C1874" s="66" t="str">
        <f>IF(Eighth!C127="", "",Eighth!C127)</f>
        <v/>
      </c>
      <c r="D1874" s="66" t="str">
        <f>IF(Eighth!D127="", "",Eighth!D127)</f>
        <v/>
      </c>
      <c r="E1874" s="66" t="str">
        <f>IF(Eighth!E127="", "",Eighth!E127)</f>
        <v/>
      </c>
      <c r="F1874" s="66" t="str">
        <f>IF(Eighth!F127="", "",Eighth!F127)</f>
        <v/>
      </c>
      <c r="G1874" s="66" t="str">
        <f>IF(Eighth!G127="", "",Eighth!G127)</f>
        <v/>
      </c>
      <c r="H1874" s="66" t="str">
        <f>IF(Eighth!H127="", "",Eighth!H127)</f>
        <v/>
      </c>
      <c r="I1874" s="66" t="str">
        <f>IF(Eighth!I127="", "",Eighth!I127)</f>
        <v/>
      </c>
      <c r="J1874" s="66" t="str">
        <f>IF(Eighth!J127="", "",Eighth!J127)</f>
        <v/>
      </c>
      <c r="K1874" s="86" t="str">
        <f>IF(Eighth!K127="", "",Eighth!K127)</f>
        <v/>
      </c>
      <c r="M1874" s="67" t="str">
        <f t="shared" si="89"/>
        <v/>
      </c>
      <c r="N1874" s="76" t="str">
        <f t="shared" si="90"/>
        <v/>
      </c>
      <c r="O1874" s="33">
        <f t="shared" si="88"/>
        <v>0</v>
      </c>
    </row>
    <row r="1875" spans="1:15" x14ac:dyDescent="0.25">
      <c r="A1875" s="64" t="s">
        <v>181</v>
      </c>
      <c r="B1875" s="79" t="str">
        <f>IF(Eighth!B128="", "",Eighth!B128)</f>
        <v/>
      </c>
      <c r="C1875" s="66" t="str">
        <f>IF(Eighth!C128="", "",Eighth!C128)</f>
        <v/>
      </c>
      <c r="D1875" s="66" t="str">
        <f>IF(Eighth!D128="", "",Eighth!D128)</f>
        <v/>
      </c>
      <c r="E1875" s="66" t="str">
        <f>IF(Eighth!E128="", "",Eighth!E128)</f>
        <v/>
      </c>
      <c r="F1875" s="66" t="str">
        <f>IF(Eighth!F128="", "",Eighth!F128)</f>
        <v/>
      </c>
      <c r="G1875" s="66" t="str">
        <f>IF(Eighth!G128="", "",Eighth!G128)</f>
        <v/>
      </c>
      <c r="H1875" s="66" t="str">
        <f>IF(Eighth!H128="", "",Eighth!H128)</f>
        <v/>
      </c>
      <c r="I1875" s="66" t="str">
        <f>IF(Eighth!I128="", "",Eighth!I128)</f>
        <v/>
      </c>
      <c r="J1875" s="66" t="str">
        <f>IF(Eighth!J128="", "",Eighth!J128)</f>
        <v/>
      </c>
      <c r="K1875" s="86" t="str">
        <f>IF(Eighth!K128="", "",Eighth!K128)</f>
        <v/>
      </c>
      <c r="M1875" s="67" t="str">
        <f t="shared" si="89"/>
        <v/>
      </c>
      <c r="N1875" s="76" t="str">
        <f t="shared" si="90"/>
        <v/>
      </c>
      <c r="O1875" s="33">
        <f t="shared" si="88"/>
        <v>0</v>
      </c>
    </row>
    <row r="1876" spans="1:15" x14ac:dyDescent="0.25">
      <c r="A1876" s="64" t="s">
        <v>181</v>
      </c>
      <c r="B1876" s="79" t="str">
        <f>IF(Eighth!B129="", "",Eighth!B129)</f>
        <v/>
      </c>
      <c r="C1876" s="66" t="str">
        <f>IF(Eighth!C129="", "",Eighth!C129)</f>
        <v/>
      </c>
      <c r="D1876" s="66" t="str">
        <f>IF(Eighth!D129="", "",Eighth!D129)</f>
        <v/>
      </c>
      <c r="E1876" s="66" t="str">
        <f>IF(Eighth!E129="", "",Eighth!E129)</f>
        <v/>
      </c>
      <c r="F1876" s="66" t="str">
        <f>IF(Eighth!F129="", "",Eighth!F129)</f>
        <v/>
      </c>
      <c r="G1876" s="66" t="str">
        <f>IF(Eighth!G129="", "",Eighth!G129)</f>
        <v/>
      </c>
      <c r="H1876" s="66" t="str">
        <f>IF(Eighth!H129="", "",Eighth!H129)</f>
        <v/>
      </c>
      <c r="I1876" s="66" t="str">
        <f>IF(Eighth!I129="", "",Eighth!I129)</f>
        <v/>
      </c>
      <c r="J1876" s="66" t="str">
        <f>IF(Eighth!J129="", "",Eighth!J129)</f>
        <v/>
      </c>
      <c r="K1876" s="86" t="str">
        <f>IF(Eighth!K129="", "",Eighth!K129)</f>
        <v/>
      </c>
      <c r="M1876" s="67" t="str">
        <f t="shared" si="89"/>
        <v/>
      </c>
      <c r="N1876" s="76" t="str">
        <f t="shared" si="90"/>
        <v/>
      </c>
      <c r="O1876" s="33">
        <f t="shared" si="88"/>
        <v>0</v>
      </c>
    </row>
    <row r="1877" spans="1:15" x14ac:dyDescent="0.25">
      <c r="A1877" s="64" t="s">
        <v>181</v>
      </c>
      <c r="B1877" s="79" t="str">
        <f>IF(Eighth!B130="", "",Eighth!B130)</f>
        <v/>
      </c>
      <c r="C1877" s="66" t="str">
        <f>IF(Eighth!C130="", "",Eighth!C130)</f>
        <v/>
      </c>
      <c r="D1877" s="66" t="str">
        <f>IF(Eighth!D130="", "",Eighth!D130)</f>
        <v/>
      </c>
      <c r="E1877" s="66" t="str">
        <f>IF(Eighth!E130="", "",Eighth!E130)</f>
        <v/>
      </c>
      <c r="F1877" s="66" t="str">
        <f>IF(Eighth!F130="", "",Eighth!F130)</f>
        <v/>
      </c>
      <c r="G1877" s="66" t="str">
        <f>IF(Eighth!G130="", "",Eighth!G130)</f>
        <v/>
      </c>
      <c r="H1877" s="66" t="str">
        <f>IF(Eighth!H130="", "",Eighth!H130)</f>
        <v/>
      </c>
      <c r="I1877" s="66" t="str">
        <f>IF(Eighth!I130="", "",Eighth!I130)</f>
        <v/>
      </c>
      <c r="J1877" s="66" t="str">
        <f>IF(Eighth!J130="", "",Eighth!J130)</f>
        <v/>
      </c>
      <c r="K1877" s="86" t="str">
        <f>IF(Eighth!K130="", "",Eighth!K130)</f>
        <v/>
      </c>
      <c r="M1877" s="67" t="str">
        <f t="shared" si="89"/>
        <v/>
      </c>
      <c r="N1877" s="76" t="str">
        <f t="shared" si="90"/>
        <v/>
      </c>
      <c r="O1877" s="33">
        <f t="shared" si="88"/>
        <v>0</v>
      </c>
    </row>
    <row r="1878" spans="1:15" x14ac:dyDescent="0.25">
      <c r="A1878" s="64" t="s">
        <v>181</v>
      </c>
      <c r="B1878" s="79" t="str">
        <f>IF(Eighth!B131="", "",Eighth!B131)</f>
        <v/>
      </c>
      <c r="C1878" s="66" t="str">
        <f>IF(Eighth!C131="", "",Eighth!C131)</f>
        <v/>
      </c>
      <c r="D1878" s="66" t="str">
        <f>IF(Eighth!D131="", "",Eighth!D131)</f>
        <v/>
      </c>
      <c r="E1878" s="66" t="str">
        <f>IF(Eighth!E131="", "",Eighth!E131)</f>
        <v/>
      </c>
      <c r="F1878" s="66" t="str">
        <f>IF(Eighth!F131="", "",Eighth!F131)</f>
        <v/>
      </c>
      <c r="G1878" s="66" t="str">
        <f>IF(Eighth!G131="", "",Eighth!G131)</f>
        <v/>
      </c>
      <c r="H1878" s="66" t="str">
        <f>IF(Eighth!H131="", "",Eighth!H131)</f>
        <v/>
      </c>
      <c r="I1878" s="66" t="str">
        <f>IF(Eighth!I131="", "",Eighth!I131)</f>
        <v/>
      </c>
      <c r="J1878" s="66" t="str">
        <f>IF(Eighth!J131="", "",Eighth!J131)</f>
        <v/>
      </c>
      <c r="K1878" s="86" t="str">
        <f>IF(Eighth!K131="", "",Eighth!K131)</f>
        <v/>
      </c>
      <c r="M1878" s="67" t="str">
        <f t="shared" si="89"/>
        <v/>
      </c>
      <c r="N1878" s="76" t="str">
        <f t="shared" si="90"/>
        <v/>
      </c>
      <c r="O1878" s="33">
        <f t="shared" si="88"/>
        <v>0</v>
      </c>
    </row>
    <row r="1879" spans="1:15" x14ac:dyDescent="0.25">
      <c r="A1879" s="64" t="s">
        <v>181</v>
      </c>
      <c r="B1879" s="79" t="str">
        <f>IF(Eighth!B132="", "",Eighth!B132)</f>
        <v/>
      </c>
      <c r="C1879" s="66" t="str">
        <f>IF(Eighth!C132="", "",Eighth!C132)</f>
        <v/>
      </c>
      <c r="D1879" s="66" t="str">
        <f>IF(Eighth!D132="", "",Eighth!D132)</f>
        <v/>
      </c>
      <c r="E1879" s="66" t="str">
        <f>IF(Eighth!E132="", "",Eighth!E132)</f>
        <v/>
      </c>
      <c r="F1879" s="66" t="str">
        <f>IF(Eighth!F132="", "",Eighth!F132)</f>
        <v/>
      </c>
      <c r="G1879" s="66" t="str">
        <f>IF(Eighth!G132="", "",Eighth!G132)</f>
        <v/>
      </c>
      <c r="H1879" s="66" t="str">
        <f>IF(Eighth!H132="", "",Eighth!H132)</f>
        <v/>
      </c>
      <c r="I1879" s="66" t="str">
        <f>IF(Eighth!I132="", "",Eighth!I132)</f>
        <v/>
      </c>
      <c r="J1879" s="66" t="str">
        <f>IF(Eighth!J132="", "",Eighth!J132)</f>
        <v/>
      </c>
      <c r="K1879" s="86" t="str">
        <f>IF(Eighth!K132="", "",Eighth!K132)</f>
        <v/>
      </c>
      <c r="M1879" s="67" t="str">
        <f t="shared" si="89"/>
        <v/>
      </c>
      <c r="N1879" s="76" t="str">
        <f t="shared" si="90"/>
        <v/>
      </c>
      <c r="O1879" s="33">
        <f t="shared" si="88"/>
        <v>0</v>
      </c>
    </row>
    <row r="1880" spans="1:15" x14ac:dyDescent="0.25">
      <c r="A1880" s="64" t="s">
        <v>181</v>
      </c>
      <c r="B1880" s="79" t="str">
        <f>IF(Eighth!B133="", "",Eighth!B133)</f>
        <v/>
      </c>
      <c r="C1880" s="66" t="str">
        <f>IF(Eighth!C133="", "",Eighth!C133)</f>
        <v/>
      </c>
      <c r="D1880" s="66" t="str">
        <f>IF(Eighth!D133="", "",Eighth!D133)</f>
        <v/>
      </c>
      <c r="E1880" s="66" t="str">
        <f>IF(Eighth!E133="", "",Eighth!E133)</f>
        <v/>
      </c>
      <c r="F1880" s="66" t="str">
        <f>IF(Eighth!F133="", "",Eighth!F133)</f>
        <v/>
      </c>
      <c r="G1880" s="66" t="str">
        <f>IF(Eighth!G133="", "",Eighth!G133)</f>
        <v/>
      </c>
      <c r="H1880" s="66" t="str">
        <f>IF(Eighth!H133="", "",Eighth!H133)</f>
        <v/>
      </c>
      <c r="I1880" s="66" t="str">
        <f>IF(Eighth!I133="", "",Eighth!I133)</f>
        <v/>
      </c>
      <c r="J1880" s="66" t="str">
        <f>IF(Eighth!J133="", "",Eighth!J133)</f>
        <v/>
      </c>
      <c r="K1880" s="86" t="str">
        <f>IF(Eighth!K133="", "",Eighth!K133)</f>
        <v/>
      </c>
      <c r="M1880" s="67" t="str">
        <f t="shared" si="89"/>
        <v/>
      </c>
      <c r="N1880" s="76" t="str">
        <f t="shared" si="90"/>
        <v/>
      </c>
      <c r="O1880" s="33">
        <f t="shared" si="88"/>
        <v>0</v>
      </c>
    </row>
    <row r="1881" spans="1:15" x14ac:dyDescent="0.25">
      <c r="A1881" s="64" t="s">
        <v>181</v>
      </c>
      <c r="B1881" s="79" t="str">
        <f>IF(Eighth!B134="", "",Eighth!B134)</f>
        <v/>
      </c>
      <c r="C1881" s="66" t="str">
        <f>IF(Eighth!C134="", "",Eighth!C134)</f>
        <v/>
      </c>
      <c r="D1881" s="66" t="str">
        <f>IF(Eighth!D134="", "",Eighth!D134)</f>
        <v/>
      </c>
      <c r="E1881" s="66" t="str">
        <f>IF(Eighth!E134="", "",Eighth!E134)</f>
        <v/>
      </c>
      <c r="F1881" s="66" t="str">
        <f>IF(Eighth!F134="", "",Eighth!F134)</f>
        <v/>
      </c>
      <c r="G1881" s="66" t="str">
        <f>IF(Eighth!G134="", "",Eighth!G134)</f>
        <v/>
      </c>
      <c r="H1881" s="66" t="str">
        <f>IF(Eighth!H134="", "",Eighth!H134)</f>
        <v/>
      </c>
      <c r="I1881" s="66" t="str">
        <f>IF(Eighth!I134="", "",Eighth!I134)</f>
        <v/>
      </c>
      <c r="J1881" s="66" t="str">
        <f>IF(Eighth!J134="", "",Eighth!J134)</f>
        <v/>
      </c>
      <c r="K1881" s="86" t="str">
        <f>IF(Eighth!K134="", "",Eighth!K134)</f>
        <v/>
      </c>
      <c r="M1881" s="67" t="str">
        <f t="shared" si="89"/>
        <v/>
      </c>
      <c r="N1881" s="76" t="str">
        <f t="shared" si="90"/>
        <v/>
      </c>
      <c r="O1881" s="33">
        <f t="shared" si="88"/>
        <v>0</v>
      </c>
    </row>
    <row r="1882" spans="1:15" x14ac:dyDescent="0.25">
      <c r="A1882" s="64" t="s">
        <v>181</v>
      </c>
      <c r="B1882" s="79" t="str">
        <f>IF(Eighth!B135="", "",Eighth!B135)</f>
        <v/>
      </c>
      <c r="C1882" s="66" t="str">
        <f>IF(Eighth!C135="", "",Eighth!C135)</f>
        <v/>
      </c>
      <c r="D1882" s="66" t="str">
        <f>IF(Eighth!D135="", "",Eighth!D135)</f>
        <v/>
      </c>
      <c r="E1882" s="66" t="str">
        <f>IF(Eighth!E135="", "",Eighth!E135)</f>
        <v/>
      </c>
      <c r="F1882" s="66" t="str">
        <f>IF(Eighth!F135="", "",Eighth!F135)</f>
        <v/>
      </c>
      <c r="G1882" s="66" t="str">
        <f>IF(Eighth!G135="", "",Eighth!G135)</f>
        <v/>
      </c>
      <c r="H1882" s="66" t="str">
        <f>IF(Eighth!H135="", "",Eighth!H135)</f>
        <v/>
      </c>
      <c r="I1882" s="66" t="str">
        <f>IF(Eighth!I135="", "",Eighth!I135)</f>
        <v/>
      </c>
      <c r="J1882" s="66" t="str">
        <f>IF(Eighth!J135="", "",Eighth!J135)</f>
        <v/>
      </c>
      <c r="K1882" s="86" t="str">
        <f>IF(Eighth!K135="", "",Eighth!K135)</f>
        <v/>
      </c>
      <c r="M1882" s="67" t="str">
        <f t="shared" si="89"/>
        <v/>
      </c>
      <c r="N1882" s="76" t="str">
        <f t="shared" si="90"/>
        <v/>
      </c>
      <c r="O1882" s="33">
        <f t="shared" si="88"/>
        <v>0</v>
      </c>
    </row>
    <row r="1883" spans="1:15" x14ac:dyDescent="0.25">
      <c r="A1883" s="64" t="s">
        <v>181</v>
      </c>
      <c r="B1883" s="79" t="str">
        <f>IF(Eighth!B136="", "",Eighth!B136)</f>
        <v/>
      </c>
      <c r="C1883" s="66" t="str">
        <f>IF(Eighth!C136="", "",Eighth!C136)</f>
        <v/>
      </c>
      <c r="D1883" s="66" t="str">
        <f>IF(Eighth!D136="", "",Eighth!D136)</f>
        <v/>
      </c>
      <c r="E1883" s="66" t="str">
        <f>IF(Eighth!E136="", "",Eighth!E136)</f>
        <v/>
      </c>
      <c r="F1883" s="66" t="str">
        <f>IF(Eighth!F136="", "",Eighth!F136)</f>
        <v/>
      </c>
      <c r="G1883" s="66" t="str">
        <f>IF(Eighth!G136="", "",Eighth!G136)</f>
        <v/>
      </c>
      <c r="H1883" s="66" t="str">
        <f>IF(Eighth!H136="", "",Eighth!H136)</f>
        <v/>
      </c>
      <c r="I1883" s="66" t="str">
        <f>IF(Eighth!I136="", "",Eighth!I136)</f>
        <v/>
      </c>
      <c r="J1883" s="66" t="str">
        <f>IF(Eighth!J136="", "",Eighth!J136)</f>
        <v/>
      </c>
      <c r="K1883" s="86" t="str">
        <f>IF(Eighth!K136="", "",Eighth!K136)</f>
        <v/>
      </c>
      <c r="M1883" s="67" t="str">
        <f t="shared" si="89"/>
        <v/>
      </c>
      <c r="N1883" s="76" t="str">
        <f t="shared" si="90"/>
        <v/>
      </c>
      <c r="O1883" s="33">
        <f t="shared" si="88"/>
        <v>0</v>
      </c>
    </row>
    <row r="1884" spans="1:15" x14ac:dyDescent="0.25">
      <c r="A1884" s="64" t="s">
        <v>181</v>
      </c>
      <c r="B1884" s="79" t="str">
        <f>IF(Eighth!B137="", "",Eighth!B137)</f>
        <v/>
      </c>
      <c r="C1884" s="66" t="str">
        <f>IF(Eighth!C137="", "",Eighth!C137)</f>
        <v/>
      </c>
      <c r="D1884" s="66" t="str">
        <f>IF(Eighth!D137="", "",Eighth!D137)</f>
        <v/>
      </c>
      <c r="E1884" s="66" t="str">
        <f>IF(Eighth!E137="", "",Eighth!E137)</f>
        <v/>
      </c>
      <c r="F1884" s="66" t="str">
        <f>IF(Eighth!F137="", "",Eighth!F137)</f>
        <v/>
      </c>
      <c r="G1884" s="66" t="str">
        <f>IF(Eighth!G137="", "",Eighth!G137)</f>
        <v/>
      </c>
      <c r="H1884" s="66" t="str">
        <f>IF(Eighth!H137="", "",Eighth!H137)</f>
        <v/>
      </c>
      <c r="I1884" s="66" t="str">
        <f>IF(Eighth!I137="", "",Eighth!I137)</f>
        <v/>
      </c>
      <c r="J1884" s="66" t="str">
        <f>IF(Eighth!J137="", "",Eighth!J137)</f>
        <v/>
      </c>
      <c r="K1884" s="86" t="str">
        <f>IF(Eighth!K137="", "",Eighth!K137)</f>
        <v/>
      </c>
      <c r="M1884" s="67" t="str">
        <f t="shared" si="89"/>
        <v/>
      </c>
      <c r="N1884" s="76" t="str">
        <f t="shared" si="90"/>
        <v/>
      </c>
      <c r="O1884" s="33">
        <f t="shared" si="88"/>
        <v>0</v>
      </c>
    </row>
    <row r="1885" spans="1:15" x14ac:dyDescent="0.25">
      <c r="A1885" s="64" t="s">
        <v>181</v>
      </c>
      <c r="B1885" s="79" t="str">
        <f>IF(Eighth!B138="", "",Eighth!B138)</f>
        <v/>
      </c>
      <c r="C1885" s="66" t="str">
        <f>IF(Eighth!C138="", "",Eighth!C138)</f>
        <v/>
      </c>
      <c r="D1885" s="66" t="str">
        <f>IF(Eighth!D138="", "",Eighth!D138)</f>
        <v/>
      </c>
      <c r="E1885" s="66" t="str">
        <f>IF(Eighth!E138="", "",Eighth!E138)</f>
        <v/>
      </c>
      <c r="F1885" s="66" t="str">
        <f>IF(Eighth!F138="", "",Eighth!F138)</f>
        <v/>
      </c>
      <c r="G1885" s="66" t="str">
        <f>IF(Eighth!G138="", "",Eighth!G138)</f>
        <v/>
      </c>
      <c r="H1885" s="66" t="str">
        <f>IF(Eighth!H138="", "",Eighth!H138)</f>
        <v/>
      </c>
      <c r="I1885" s="66" t="str">
        <f>IF(Eighth!I138="", "",Eighth!I138)</f>
        <v/>
      </c>
      <c r="J1885" s="66" t="str">
        <f>IF(Eighth!J138="", "",Eighth!J138)</f>
        <v/>
      </c>
      <c r="K1885" s="86" t="str">
        <f>IF(Eighth!K138="", "",Eighth!K138)</f>
        <v/>
      </c>
      <c r="M1885" s="67" t="str">
        <f t="shared" si="89"/>
        <v/>
      </c>
      <c r="N1885" s="76" t="str">
        <f t="shared" si="90"/>
        <v/>
      </c>
      <c r="O1885" s="33">
        <f t="shared" si="88"/>
        <v>0</v>
      </c>
    </row>
    <row r="1886" spans="1:15" x14ac:dyDescent="0.25">
      <c r="A1886" s="64" t="s">
        <v>181</v>
      </c>
      <c r="B1886" s="79" t="str">
        <f>IF(Eighth!B139="", "",Eighth!B139)</f>
        <v/>
      </c>
      <c r="C1886" s="66" t="str">
        <f>IF(Eighth!C139="", "",Eighth!C139)</f>
        <v/>
      </c>
      <c r="D1886" s="66" t="str">
        <f>IF(Eighth!D139="", "",Eighth!D139)</f>
        <v/>
      </c>
      <c r="E1886" s="66" t="str">
        <f>IF(Eighth!E139="", "",Eighth!E139)</f>
        <v/>
      </c>
      <c r="F1886" s="66" t="str">
        <f>IF(Eighth!F139="", "",Eighth!F139)</f>
        <v/>
      </c>
      <c r="G1886" s="66" t="str">
        <f>IF(Eighth!G139="", "",Eighth!G139)</f>
        <v/>
      </c>
      <c r="H1886" s="66" t="str">
        <f>IF(Eighth!H139="", "",Eighth!H139)</f>
        <v/>
      </c>
      <c r="I1886" s="66" t="str">
        <f>IF(Eighth!I139="", "",Eighth!I139)</f>
        <v/>
      </c>
      <c r="J1886" s="66" t="str">
        <f>IF(Eighth!J139="", "",Eighth!J139)</f>
        <v/>
      </c>
      <c r="K1886" s="86" t="str">
        <f>IF(Eighth!K139="", "",Eighth!K139)</f>
        <v/>
      </c>
      <c r="M1886" s="67" t="str">
        <f t="shared" si="89"/>
        <v/>
      </c>
      <c r="N1886" s="76" t="str">
        <f t="shared" si="90"/>
        <v/>
      </c>
      <c r="O1886" s="33">
        <f t="shared" si="88"/>
        <v>0</v>
      </c>
    </row>
    <row r="1887" spans="1:15" x14ac:dyDescent="0.25">
      <c r="A1887" s="64" t="s">
        <v>181</v>
      </c>
      <c r="B1887" s="79" t="str">
        <f>IF(Eighth!B140="", "",Eighth!B140)</f>
        <v/>
      </c>
      <c r="C1887" s="66" t="str">
        <f>IF(Eighth!C140="", "",Eighth!C140)</f>
        <v/>
      </c>
      <c r="D1887" s="66" t="str">
        <f>IF(Eighth!D140="", "",Eighth!D140)</f>
        <v/>
      </c>
      <c r="E1887" s="66" t="str">
        <f>IF(Eighth!E140="", "",Eighth!E140)</f>
        <v/>
      </c>
      <c r="F1887" s="66" t="str">
        <f>IF(Eighth!F140="", "",Eighth!F140)</f>
        <v/>
      </c>
      <c r="G1887" s="66" t="str">
        <f>IF(Eighth!G140="", "",Eighth!G140)</f>
        <v/>
      </c>
      <c r="H1887" s="66" t="str">
        <f>IF(Eighth!H140="", "",Eighth!H140)</f>
        <v/>
      </c>
      <c r="I1887" s="66" t="str">
        <f>IF(Eighth!I140="", "",Eighth!I140)</f>
        <v/>
      </c>
      <c r="J1887" s="66" t="str">
        <f>IF(Eighth!J140="", "",Eighth!J140)</f>
        <v/>
      </c>
      <c r="K1887" s="86" t="str">
        <f>IF(Eighth!K140="", "",Eighth!K140)</f>
        <v/>
      </c>
      <c r="M1887" s="67" t="str">
        <f t="shared" si="89"/>
        <v/>
      </c>
      <c r="N1887" s="76" t="str">
        <f t="shared" si="90"/>
        <v/>
      </c>
      <c r="O1887" s="33">
        <f t="shared" si="88"/>
        <v>0</v>
      </c>
    </row>
    <row r="1888" spans="1:15" x14ac:dyDescent="0.25">
      <c r="A1888" s="64" t="s">
        <v>181</v>
      </c>
      <c r="B1888" s="79" t="str">
        <f>IF(Eighth!B141="", "",Eighth!B141)</f>
        <v/>
      </c>
      <c r="C1888" s="66" t="str">
        <f>IF(Eighth!C141="", "",Eighth!C141)</f>
        <v/>
      </c>
      <c r="D1888" s="66" t="str">
        <f>IF(Eighth!D141="", "",Eighth!D141)</f>
        <v/>
      </c>
      <c r="E1888" s="66" t="str">
        <f>IF(Eighth!E141="", "",Eighth!E141)</f>
        <v/>
      </c>
      <c r="F1888" s="66" t="str">
        <f>IF(Eighth!F141="", "",Eighth!F141)</f>
        <v/>
      </c>
      <c r="G1888" s="66" t="str">
        <f>IF(Eighth!G141="", "",Eighth!G141)</f>
        <v/>
      </c>
      <c r="H1888" s="66" t="str">
        <f>IF(Eighth!H141="", "",Eighth!H141)</f>
        <v/>
      </c>
      <c r="I1888" s="66" t="str">
        <f>IF(Eighth!I141="", "",Eighth!I141)</f>
        <v/>
      </c>
      <c r="J1888" s="66" t="str">
        <f>IF(Eighth!J141="", "",Eighth!J141)</f>
        <v/>
      </c>
      <c r="K1888" s="86" t="str">
        <f>IF(Eighth!K141="", "",Eighth!K141)</f>
        <v/>
      </c>
      <c r="M1888" s="67" t="str">
        <f t="shared" si="89"/>
        <v/>
      </c>
      <c r="N1888" s="76" t="str">
        <f t="shared" si="90"/>
        <v/>
      </c>
      <c r="O1888" s="33">
        <f t="shared" si="88"/>
        <v>0</v>
      </c>
    </row>
    <row r="1889" spans="1:15" x14ac:dyDescent="0.25">
      <c r="A1889" s="64" t="s">
        <v>181</v>
      </c>
      <c r="B1889" s="79" t="str">
        <f>IF(Eighth!B142="", "",Eighth!B142)</f>
        <v/>
      </c>
      <c r="C1889" s="66" t="str">
        <f>IF(Eighth!C142="", "",Eighth!C142)</f>
        <v/>
      </c>
      <c r="D1889" s="66" t="str">
        <f>IF(Eighth!D142="", "",Eighth!D142)</f>
        <v/>
      </c>
      <c r="E1889" s="66" t="str">
        <f>IF(Eighth!E142="", "",Eighth!E142)</f>
        <v/>
      </c>
      <c r="F1889" s="66" t="str">
        <f>IF(Eighth!F142="", "",Eighth!F142)</f>
        <v/>
      </c>
      <c r="G1889" s="66" t="str">
        <f>IF(Eighth!G142="", "",Eighth!G142)</f>
        <v/>
      </c>
      <c r="H1889" s="66" t="str">
        <f>IF(Eighth!H142="", "",Eighth!H142)</f>
        <v/>
      </c>
      <c r="I1889" s="66" t="str">
        <f>IF(Eighth!I142="", "",Eighth!I142)</f>
        <v/>
      </c>
      <c r="J1889" s="66" t="str">
        <f>IF(Eighth!J142="", "",Eighth!J142)</f>
        <v/>
      </c>
      <c r="K1889" s="86" t="str">
        <f>IF(Eighth!K142="", "",Eighth!K142)</f>
        <v/>
      </c>
      <c r="M1889" s="67" t="str">
        <f t="shared" si="89"/>
        <v/>
      </c>
      <c r="N1889" s="76" t="str">
        <f t="shared" si="90"/>
        <v/>
      </c>
      <c r="O1889" s="33">
        <f t="shared" si="88"/>
        <v>0</v>
      </c>
    </row>
    <row r="1890" spans="1:15" x14ac:dyDescent="0.25">
      <c r="A1890" s="64" t="s">
        <v>181</v>
      </c>
      <c r="B1890" s="79" t="str">
        <f>IF(Eighth!B143="", "",Eighth!B143)</f>
        <v/>
      </c>
      <c r="C1890" s="66" t="str">
        <f>IF(Eighth!C143="", "",Eighth!C143)</f>
        <v/>
      </c>
      <c r="D1890" s="66" t="str">
        <f>IF(Eighth!D143="", "",Eighth!D143)</f>
        <v/>
      </c>
      <c r="E1890" s="66" t="str">
        <f>IF(Eighth!E143="", "",Eighth!E143)</f>
        <v/>
      </c>
      <c r="F1890" s="66" t="str">
        <f>IF(Eighth!F143="", "",Eighth!F143)</f>
        <v/>
      </c>
      <c r="G1890" s="66" t="str">
        <f>IF(Eighth!G143="", "",Eighth!G143)</f>
        <v/>
      </c>
      <c r="H1890" s="66" t="str">
        <f>IF(Eighth!H143="", "",Eighth!H143)</f>
        <v/>
      </c>
      <c r="I1890" s="66" t="str">
        <f>IF(Eighth!I143="", "",Eighth!I143)</f>
        <v/>
      </c>
      <c r="J1890" s="66" t="str">
        <f>IF(Eighth!J143="", "",Eighth!J143)</f>
        <v/>
      </c>
      <c r="K1890" s="86" t="str">
        <f>IF(Eighth!K143="", "",Eighth!K143)</f>
        <v/>
      </c>
      <c r="M1890" s="67" t="str">
        <f t="shared" si="89"/>
        <v/>
      </c>
      <c r="N1890" s="76" t="str">
        <f t="shared" si="90"/>
        <v/>
      </c>
      <c r="O1890" s="33">
        <f t="shared" si="88"/>
        <v>0</v>
      </c>
    </row>
    <row r="1891" spans="1:15" x14ac:dyDescent="0.25">
      <c r="A1891" s="64" t="s">
        <v>181</v>
      </c>
      <c r="B1891" s="79" t="str">
        <f>IF(Eighth!B144="", "",Eighth!B144)</f>
        <v/>
      </c>
      <c r="C1891" s="66" t="str">
        <f>IF(Eighth!C144="", "",Eighth!C144)</f>
        <v/>
      </c>
      <c r="D1891" s="66" t="str">
        <f>IF(Eighth!D144="", "",Eighth!D144)</f>
        <v/>
      </c>
      <c r="E1891" s="66" t="str">
        <f>IF(Eighth!E144="", "",Eighth!E144)</f>
        <v/>
      </c>
      <c r="F1891" s="66" t="str">
        <f>IF(Eighth!F144="", "",Eighth!F144)</f>
        <v/>
      </c>
      <c r="G1891" s="66" t="str">
        <f>IF(Eighth!G144="", "",Eighth!G144)</f>
        <v/>
      </c>
      <c r="H1891" s="66" t="str">
        <f>IF(Eighth!H144="", "",Eighth!H144)</f>
        <v/>
      </c>
      <c r="I1891" s="66" t="str">
        <f>IF(Eighth!I144="", "",Eighth!I144)</f>
        <v/>
      </c>
      <c r="J1891" s="66" t="str">
        <f>IF(Eighth!J144="", "",Eighth!J144)</f>
        <v/>
      </c>
      <c r="K1891" s="86" t="str">
        <f>IF(Eighth!K144="", "",Eighth!K144)</f>
        <v/>
      </c>
      <c r="M1891" s="67" t="str">
        <f t="shared" si="89"/>
        <v/>
      </c>
      <c r="N1891" s="76" t="str">
        <f t="shared" si="90"/>
        <v/>
      </c>
      <c r="O1891" s="33">
        <f t="shared" si="88"/>
        <v>0</v>
      </c>
    </row>
    <row r="1892" spans="1:15" x14ac:dyDescent="0.25">
      <c r="A1892" s="64" t="s">
        <v>181</v>
      </c>
      <c r="B1892" s="79" t="str">
        <f>IF(Eighth!B145="", "",Eighth!B145)</f>
        <v/>
      </c>
      <c r="C1892" s="66" t="str">
        <f>IF(Eighth!C145="", "",Eighth!C145)</f>
        <v/>
      </c>
      <c r="D1892" s="66" t="str">
        <f>IF(Eighth!D145="", "",Eighth!D145)</f>
        <v/>
      </c>
      <c r="E1892" s="66" t="str">
        <f>IF(Eighth!E145="", "",Eighth!E145)</f>
        <v/>
      </c>
      <c r="F1892" s="66" t="str">
        <f>IF(Eighth!F145="", "",Eighth!F145)</f>
        <v/>
      </c>
      <c r="G1892" s="66" t="str">
        <f>IF(Eighth!G145="", "",Eighth!G145)</f>
        <v/>
      </c>
      <c r="H1892" s="66" t="str">
        <f>IF(Eighth!H145="", "",Eighth!H145)</f>
        <v/>
      </c>
      <c r="I1892" s="66" t="str">
        <f>IF(Eighth!I145="", "",Eighth!I145)</f>
        <v/>
      </c>
      <c r="J1892" s="66" t="str">
        <f>IF(Eighth!J145="", "",Eighth!J145)</f>
        <v/>
      </c>
      <c r="K1892" s="86" t="str">
        <f>IF(Eighth!K145="", "",Eighth!K145)</f>
        <v/>
      </c>
      <c r="M1892" s="67" t="str">
        <f t="shared" si="89"/>
        <v/>
      </c>
      <c r="N1892" s="76" t="str">
        <f t="shared" si="90"/>
        <v/>
      </c>
      <c r="O1892" s="33">
        <f t="shared" si="88"/>
        <v>0</v>
      </c>
    </row>
    <row r="1893" spans="1:15" x14ac:dyDescent="0.25">
      <c r="A1893" s="64" t="s">
        <v>181</v>
      </c>
      <c r="B1893" s="79" t="str">
        <f>IF(Eighth!B146="", "",Eighth!B146)</f>
        <v/>
      </c>
      <c r="C1893" s="66" t="str">
        <f>IF(Eighth!C146="", "",Eighth!C146)</f>
        <v/>
      </c>
      <c r="D1893" s="66" t="str">
        <f>IF(Eighth!D146="", "",Eighth!D146)</f>
        <v/>
      </c>
      <c r="E1893" s="66" t="str">
        <f>IF(Eighth!E146="", "",Eighth!E146)</f>
        <v/>
      </c>
      <c r="F1893" s="66" t="str">
        <f>IF(Eighth!F146="", "",Eighth!F146)</f>
        <v/>
      </c>
      <c r="G1893" s="66" t="str">
        <f>IF(Eighth!G146="", "",Eighth!G146)</f>
        <v/>
      </c>
      <c r="H1893" s="66" t="str">
        <f>IF(Eighth!H146="", "",Eighth!H146)</f>
        <v/>
      </c>
      <c r="I1893" s="66" t="str">
        <f>IF(Eighth!I146="", "",Eighth!I146)</f>
        <v/>
      </c>
      <c r="J1893" s="66" t="str">
        <f>IF(Eighth!J146="", "",Eighth!J146)</f>
        <v/>
      </c>
      <c r="K1893" s="86" t="str">
        <f>IF(Eighth!K146="", "",Eighth!K146)</f>
        <v/>
      </c>
      <c r="M1893" s="67" t="str">
        <f t="shared" si="89"/>
        <v/>
      </c>
      <c r="N1893" s="76" t="str">
        <f t="shared" si="90"/>
        <v/>
      </c>
      <c r="O1893" s="33">
        <f t="shared" si="88"/>
        <v>0</v>
      </c>
    </row>
    <row r="1894" spans="1:15" x14ac:dyDescent="0.25">
      <c r="A1894" s="64" t="s">
        <v>181</v>
      </c>
      <c r="B1894" s="79" t="str">
        <f>IF(Eighth!B147="", "",Eighth!B147)</f>
        <v/>
      </c>
      <c r="C1894" s="66" t="str">
        <f>IF(Eighth!C147="", "",Eighth!C147)</f>
        <v/>
      </c>
      <c r="D1894" s="66" t="str">
        <f>IF(Eighth!D147="", "",Eighth!D147)</f>
        <v/>
      </c>
      <c r="E1894" s="66" t="str">
        <f>IF(Eighth!E147="", "",Eighth!E147)</f>
        <v/>
      </c>
      <c r="F1894" s="66" t="str">
        <f>IF(Eighth!F147="", "",Eighth!F147)</f>
        <v/>
      </c>
      <c r="G1894" s="66" t="str">
        <f>IF(Eighth!G147="", "",Eighth!G147)</f>
        <v/>
      </c>
      <c r="H1894" s="66" t="str">
        <f>IF(Eighth!H147="", "",Eighth!H147)</f>
        <v/>
      </c>
      <c r="I1894" s="66" t="str">
        <f>IF(Eighth!I147="", "",Eighth!I147)</f>
        <v/>
      </c>
      <c r="J1894" s="66" t="str">
        <f>IF(Eighth!J147="", "",Eighth!J147)</f>
        <v/>
      </c>
      <c r="K1894" s="86" t="str">
        <f>IF(Eighth!K147="", "",Eighth!K147)</f>
        <v/>
      </c>
      <c r="M1894" s="67" t="str">
        <f t="shared" si="89"/>
        <v/>
      </c>
      <c r="N1894" s="76" t="str">
        <f t="shared" si="90"/>
        <v/>
      </c>
      <c r="O1894" s="33">
        <f t="shared" si="88"/>
        <v>0</v>
      </c>
    </row>
    <row r="1895" spans="1:15" x14ac:dyDescent="0.25">
      <c r="A1895" s="64" t="s">
        <v>181</v>
      </c>
      <c r="B1895" s="79" t="str">
        <f>IF(Eighth!B148="", "",Eighth!B148)</f>
        <v/>
      </c>
      <c r="C1895" s="66" t="str">
        <f>IF(Eighth!C148="", "",Eighth!C148)</f>
        <v/>
      </c>
      <c r="D1895" s="66" t="str">
        <f>IF(Eighth!D148="", "",Eighth!D148)</f>
        <v/>
      </c>
      <c r="E1895" s="66" t="str">
        <f>IF(Eighth!E148="", "",Eighth!E148)</f>
        <v/>
      </c>
      <c r="F1895" s="66" t="str">
        <f>IF(Eighth!F148="", "",Eighth!F148)</f>
        <v/>
      </c>
      <c r="G1895" s="66" t="str">
        <f>IF(Eighth!G148="", "",Eighth!G148)</f>
        <v/>
      </c>
      <c r="H1895" s="66" t="str">
        <f>IF(Eighth!H148="", "",Eighth!H148)</f>
        <v/>
      </c>
      <c r="I1895" s="66" t="str">
        <f>IF(Eighth!I148="", "",Eighth!I148)</f>
        <v/>
      </c>
      <c r="J1895" s="66" t="str">
        <f>IF(Eighth!J148="", "",Eighth!J148)</f>
        <v/>
      </c>
      <c r="K1895" s="86" t="str">
        <f>IF(Eighth!K148="", "",Eighth!K148)</f>
        <v/>
      </c>
      <c r="M1895" s="67" t="str">
        <f t="shared" si="89"/>
        <v/>
      </c>
      <c r="N1895" s="76" t="str">
        <f t="shared" si="90"/>
        <v/>
      </c>
      <c r="O1895" s="33">
        <f t="shared" si="88"/>
        <v>0</v>
      </c>
    </row>
    <row r="1896" spans="1:15" x14ac:dyDescent="0.25">
      <c r="A1896" s="64" t="s">
        <v>181</v>
      </c>
      <c r="B1896" s="79" t="str">
        <f>IF(Eighth!B149="", "",Eighth!B149)</f>
        <v/>
      </c>
      <c r="C1896" s="66" t="str">
        <f>IF(Eighth!C149="", "",Eighth!C149)</f>
        <v/>
      </c>
      <c r="D1896" s="66" t="str">
        <f>IF(Eighth!D149="", "",Eighth!D149)</f>
        <v/>
      </c>
      <c r="E1896" s="66" t="str">
        <f>IF(Eighth!E149="", "",Eighth!E149)</f>
        <v/>
      </c>
      <c r="F1896" s="66" t="str">
        <f>IF(Eighth!F149="", "",Eighth!F149)</f>
        <v/>
      </c>
      <c r="G1896" s="66" t="str">
        <f>IF(Eighth!G149="", "",Eighth!G149)</f>
        <v/>
      </c>
      <c r="H1896" s="66" t="str">
        <f>IF(Eighth!H149="", "",Eighth!H149)</f>
        <v/>
      </c>
      <c r="I1896" s="66" t="str">
        <f>IF(Eighth!I149="", "",Eighth!I149)</f>
        <v/>
      </c>
      <c r="J1896" s="66" t="str">
        <f>IF(Eighth!J149="", "",Eighth!J149)</f>
        <v/>
      </c>
      <c r="K1896" s="86" t="str">
        <f>IF(Eighth!K149="", "",Eighth!K149)</f>
        <v/>
      </c>
      <c r="M1896" s="67" t="str">
        <f t="shared" si="89"/>
        <v/>
      </c>
      <c r="N1896" s="76" t="str">
        <f t="shared" si="90"/>
        <v/>
      </c>
      <c r="O1896" s="33">
        <f t="shared" si="88"/>
        <v>0</v>
      </c>
    </row>
    <row r="1897" spans="1:15" x14ac:dyDescent="0.25">
      <c r="A1897" s="64" t="s">
        <v>181</v>
      </c>
      <c r="B1897" s="79" t="str">
        <f>IF(Eighth!B150="", "",Eighth!B150)</f>
        <v/>
      </c>
      <c r="C1897" s="66" t="str">
        <f>IF(Eighth!C150="", "",Eighth!C150)</f>
        <v/>
      </c>
      <c r="D1897" s="66" t="str">
        <f>IF(Eighth!D150="", "",Eighth!D150)</f>
        <v/>
      </c>
      <c r="E1897" s="66" t="str">
        <f>IF(Eighth!E150="", "",Eighth!E150)</f>
        <v/>
      </c>
      <c r="F1897" s="66" t="str">
        <f>IF(Eighth!F150="", "",Eighth!F150)</f>
        <v/>
      </c>
      <c r="G1897" s="66" t="str">
        <f>IF(Eighth!G150="", "",Eighth!G150)</f>
        <v/>
      </c>
      <c r="H1897" s="66" t="str">
        <f>IF(Eighth!H150="", "",Eighth!H150)</f>
        <v/>
      </c>
      <c r="I1897" s="66" t="str">
        <f>IF(Eighth!I150="", "",Eighth!I150)</f>
        <v/>
      </c>
      <c r="J1897" s="66" t="str">
        <f>IF(Eighth!J150="", "",Eighth!J150)</f>
        <v/>
      </c>
      <c r="K1897" s="86" t="str">
        <f>IF(Eighth!K150="", "",Eighth!K150)</f>
        <v/>
      </c>
      <c r="M1897" s="67" t="str">
        <f t="shared" si="89"/>
        <v/>
      </c>
      <c r="N1897" s="76" t="str">
        <f t="shared" si="90"/>
        <v/>
      </c>
      <c r="O1897" s="33">
        <f t="shared" si="88"/>
        <v>0</v>
      </c>
    </row>
    <row r="1898" spans="1:15" x14ac:dyDescent="0.25">
      <c r="A1898" s="64" t="s">
        <v>181</v>
      </c>
      <c r="B1898" s="79" t="str">
        <f>IF(Eighth!B151="", "",Eighth!B151)</f>
        <v/>
      </c>
      <c r="C1898" s="66" t="str">
        <f>IF(Eighth!C151="", "",Eighth!C151)</f>
        <v/>
      </c>
      <c r="D1898" s="66" t="str">
        <f>IF(Eighth!D151="", "",Eighth!D151)</f>
        <v/>
      </c>
      <c r="E1898" s="66" t="str">
        <f>IF(Eighth!E151="", "",Eighth!E151)</f>
        <v/>
      </c>
      <c r="F1898" s="66" t="str">
        <f>IF(Eighth!F151="", "",Eighth!F151)</f>
        <v/>
      </c>
      <c r="G1898" s="66" t="str">
        <f>IF(Eighth!G151="", "",Eighth!G151)</f>
        <v/>
      </c>
      <c r="H1898" s="66" t="str">
        <f>IF(Eighth!H151="", "",Eighth!H151)</f>
        <v/>
      </c>
      <c r="I1898" s="66" t="str">
        <f>IF(Eighth!I151="", "",Eighth!I151)</f>
        <v/>
      </c>
      <c r="J1898" s="66" t="str">
        <f>IF(Eighth!J151="", "",Eighth!J151)</f>
        <v/>
      </c>
      <c r="K1898" s="86" t="str">
        <f>IF(Eighth!K151="", "",Eighth!K151)</f>
        <v/>
      </c>
      <c r="M1898" s="67" t="str">
        <f t="shared" si="89"/>
        <v/>
      </c>
      <c r="N1898" s="76" t="str">
        <f t="shared" si="90"/>
        <v/>
      </c>
      <c r="O1898" s="33">
        <f t="shared" si="88"/>
        <v>0</v>
      </c>
    </row>
    <row r="1899" spans="1:15" x14ac:dyDescent="0.25">
      <c r="A1899" s="64" t="s">
        <v>181</v>
      </c>
      <c r="B1899" s="79" t="str">
        <f>IF(Eighth!B152="", "",Eighth!B152)</f>
        <v/>
      </c>
      <c r="C1899" s="66" t="str">
        <f>IF(Eighth!C152="", "",Eighth!C152)</f>
        <v/>
      </c>
      <c r="D1899" s="66" t="str">
        <f>IF(Eighth!D152="", "",Eighth!D152)</f>
        <v/>
      </c>
      <c r="E1899" s="66" t="str">
        <f>IF(Eighth!E152="", "",Eighth!E152)</f>
        <v/>
      </c>
      <c r="F1899" s="66" t="str">
        <f>IF(Eighth!F152="", "",Eighth!F152)</f>
        <v/>
      </c>
      <c r="G1899" s="66" t="str">
        <f>IF(Eighth!G152="", "",Eighth!G152)</f>
        <v/>
      </c>
      <c r="H1899" s="66" t="str">
        <f>IF(Eighth!H152="", "",Eighth!H152)</f>
        <v/>
      </c>
      <c r="I1899" s="66" t="str">
        <f>IF(Eighth!I152="", "",Eighth!I152)</f>
        <v/>
      </c>
      <c r="J1899" s="66" t="str">
        <f>IF(Eighth!J152="", "",Eighth!J152)</f>
        <v/>
      </c>
      <c r="K1899" s="86" t="str">
        <f>IF(Eighth!K152="", "",Eighth!K152)</f>
        <v/>
      </c>
      <c r="M1899" s="67" t="str">
        <f t="shared" si="89"/>
        <v/>
      </c>
      <c r="N1899" s="76" t="str">
        <f t="shared" si="90"/>
        <v/>
      </c>
      <c r="O1899" s="33">
        <f t="shared" si="88"/>
        <v>0</v>
      </c>
    </row>
    <row r="1900" spans="1:15" x14ac:dyDescent="0.25">
      <c r="A1900" s="64" t="s">
        <v>181</v>
      </c>
      <c r="B1900" s="79" t="str">
        <f>IF(Eighth!B153="", "",Eighth!B153)</f>
        <v/>
      </c>
      <c r="C1900" s="66" t="str">
        <f>IF(Eighth!C153="", "",Eighth!C153)</f>
        <v/>
      </c>
      <c r="D1900" s="66" t="str">
        <f>IF(Eighth!D153="", "",Eighth!D153)</f>
        <v/>
      </c>
      <c r="E1900" s="66" t="str">
        <f>IF(Eighth!E153="", "",Eighth!E153)</f>
        <v/>
      </c>
      <c r="F1900" s="66" t="str">
        <f>IF(Eighth!F153="", "",Eighth!F153)</f>
        <v/>
      </c>
      <c r="G1900" s="66" t="str">
        <f>IF(Eighth!G153="", "",Eighth!G153)</f>
        <v/>
      </c>
      <c r="H1900" s="66" t="str">
        <f>IF(Eighth!H153="", "",Eighth!H153)</f>
        <v/>
      </c>
      <c r="I1900" s="66" t="str">
        <f>IF(Eighth!I153="", "",Eighth!I153)</f>
        <v/>
      </c>
      <c r="J1900" s="66" t="str">
        <f>IF(Eighth!J153="", "",Eighth!J153)</f>
        <v/>
      </c>
      <c r="K1900" s="86" t="str">
        <f>IF(Eighth!K153="", "",Eighth!K153)</f>
        <v/>
      </c>
      <c r="M1900" s="67" t="str">
        <f t="shared" si="89"/>
        <v/>
      </c>
      <c r="N1900" s="76" t="str">
        <f t="shared" si="90"/>
        <v/>
      </c>
      <c r="O1900" s="33">
        <f t="shared" si="88"/>
        <v>0</v>
      </c>
    </row>
    <row r="1901" spans="1:15" x14ac:dyDescent="0.25">
      <c r="A1901" s="64" t="s">
        <v>181</v>
      </c>
      <c r="B1901" s="79" t="str">
        <f>IF(Eighth!B154="", "",Eighth!B154)</f>
        <v/>
      </c>
      <c r="C1901" s="66" t="str">
        <f>IF(Eighth!C154="", "",Eighth!C154)</f>
        <v/>
      </c>
      <c r="D1901" s="66" t="str">
        <f>IF(Eighth!D154="", "",Eighth!D154)</f>
        <v/>
      </c>
      <c r="E1901" s="66" t="str">
        <f>IF(Eighth!E154="", "",Eighth!E154)</f>
        <v/>
      </c>
      <c r="F1901" s="66" t="str">
        <f>IF(Eighth!F154="", "",Eighth!F154)</f>
        <v/>
      </c>
      <c r="G1901" s="66" t="str">
        <f>IF(Eighth!G154="", "",Eighth!G154)</f>
        <v/>
      </c>
      <c r="H1901" s="66" t="str">
        <f>IF(Eighth!H154="", "",Eighth!H154)</f>
        <v/>
      </c>
      <c r="I1901" s="66" t="str">
        <f>IF(Eighth!I154="", "",Eighth!I154)</f>
        <v/>
      </c>
      <c r="J1901" s="66" t="str">
        <f>IF(Eighth!J154="", "",Eighth!J154)</f>
        <v/>
      </c>
      <c r="K1901" s="86" t="str">
        <f>IF(Eighth!K154="", "",Eighth!K154)</f>
        <v/>
      </c>
      <c r="M1901" s="67" t="str">
        <f t="shared" si="89"/>
        <v/>
      </c>
      <c r="N1901" s="76" t="str">
        <f t="shared" si="90"/>
        <v/>
      </c>
      <c r="O1901" s="33">
        <f t="shared" si="88"/>
        <v>0</v>
      </c>
    </row>
    <row r="1902" spans="1:15" x14ac:dyDescent="0.25">
      <c r="A1902" s="64" t="s">
        <v>181</v>
      </c>
      <c r="B1902" s="79" t="str">
        <f>IF(Eighth!B155="", "",Eighth!B155)</f>
        <v/>
      </c>
      <c r="C1902" s="66" t="str">
        <f>IF(Eighth!C155="", "",Eighth!C155)</f>
        <v/>
      </c>
      <c r="D1902" s="66" t="str">
        <f>IF(Eighth!D155="", "",Eighth!D155)</f>
        <v/>
      </c>
      <c r="E1902" s="66" t="str">
        <f>IF(Eighth!E155="", "",Eighth!E155)</f>
        <v/>
      </c>
      <c r="F1902" s="66" t="str">
        <f>IF(Eighth!F155="", "",Eighth!F155)</f>
        <v/>
      </c>
      <c r="G1902" s="66" t="str">
        <f>IF(Eighth!G155="", "",Eighth!G155)</f>
        <v/>
      </c>
      <c r="H1902" s="66" t="str">
        <f>IF(Eighth!H155="", "",Eighth!H155)</f>
        <v/>
      </c>
      <c r="I1902" s="66" t="str">
        <f>IF(Eighth!I155="", "",Eighth!I155)</f>
        <v/>
      </c>
      <c r="J1902" s="66" t="str">
        <f>IF(Eighth!J155="", "",Eighth!J155)</f>
        <v/>
      </c>
      <c r="K1902" s="86" t="str">
        <f>IF(Eighth!K155="", "",Eighth!K155)</f>
        <v/>
      </c>
      <c r="M1902" s="67" t="str">
        <f t="shared" si="89"/>
        <v/>
      </c>
      <c r="N1902" s="76" t="str">
        <f t="shared" si="90"/>
        <v/>
      </c>
      <c r="O1902" s="33">
        <f t="shared" si="88"/>
        <v>0</v>
      </c>
    </row>
    <row r="1903" spans="1:15" x14ac:dyDescent="0.25">
      <c r="A1903" s="64" t="s">
        <v>181</v>
      </c>
      <c r="B1903" s="79" t="str">
        <f>IF(Eighth!B156="", "",Eighth!B156)</f>
        <v/>
      </c>
      <c r="C1903" s="66" t="str">
        <f>IF(Eighth!C156="", "",Eighth!C156)</f>
        <v/>
      </c>
      <c r="D1903" s="66" t="str">
        <f>IF(Eighth!D156="", "",Eighth!D156)</f>
        <v/>
      </c>
      <c r="E1903" s="66" t="str">
        <f>IF(Eighth!E156="", "",Eighth!E156)</f>
        <v/>
      </c>
      <c r="F1903" s="66" t="str">
        <f>IF(Eighth!F156="", "",Eighth!F156)</f>
        <v/>
      </c>
      <c r="G1903" s="66" t="str">
        <f>IF(Eighth!G156="", "",Eighth!G156)</f>
        <v/>
      </c>
      <c r="H1903" s="66" t="str">
        <f>IF(Eighth!H156="", "",Eighth!H156)</f>
        <v/>
      </c>
      <c r="I1903" s="66" t="str">
        <f>IF(Eighth!I156="", "",Eighth!I156)</f>
        <v/>
      </c>
      <c r="J1903" s="66" t="str">
        <f>IF(Eighth!J156="", "",Eighth!J156)</f>
        <v/>
      </c>
      <c r="K1903" s="86" t="str">
        <f>IF(Eighth!K156="", "",Eighth!K156)</f>
        <v/>
      </c>
      <c r="M1903" s="67" t="str">
        <f t="shared" si="89"/>
        <v/>
      </c>
      <c r="N1903" s="76" t="str">
        <f t="shared" si="90"/>
        <v/>
      </c>
      <c r="O1903" s="33">
        <f t="shared" si="88"/>
        <v>0</v>
      </c>
    </row>
    <row r="1904" spans="1:15" x14ac:dyDescent="0.25">
      <c r="A1904" s="64" t="s">
        <v>181</v>
      </c>
      <c r="B1904" s="79" t="str">
        <f>IF(Eighth!B157="", "",Eighth!B157)</f>
        <v/>
      </c>
      <c r="C1904" s="66" t="str">
        <f>IF(Eighth!C157="", "",Eighth!C157)</f>
        <v/>
      </c>
      <c r="D1904" s="66" t="str">
        <f>IF(Eighth!D157="", "",Eighth!D157)</f>
        <v/>
      </c>
      <c r="E1904" s="66" t="str">
        <f>IF(Eighth!E157="", "",Eighth!E157)</f>
        <v/>
      </c>
      <c r="F1904" s="66" t="str">
        <f>IF(Eighth!F157="", "",Eighth!F157)</f>
        <v/>
      </c>
      <c r="G1904" s="66" t="str">
        <f>IF(Eighth!G157="", "",Eighth!G157)</f>
        <v/>
      </c>
      <c r="H1904" s="66" t="str">
        <f>IF(Eighth!H157="", "",Eighth!H157)</f>
        <v/>
      </c>
      <c r="I1904" s="66" t="str">
        <f>IF(Eighth!I157="", "",Eighth!I157)</f>
        <v/>
      </c>
      <c r="J1904" s="66" t="str">
        <f>IF(Eighth!J157="", "",Eighth!J157)</f>
        <v/>
      </c>
      <c r="K1904" s="86" t="str">
        <f>IF(Eighth!K157="", "",Eighth!K157)</f>
        <v/>
      </c>
      <c r="M1904" s="67" t="str">
        <f t="shared" si="89"/>
        <v/>
      </c>
      <c r="N1904" s="76" t="str">
        <f t="shared" si="90"/>
        <v/>
      </c>
      <c r="O1904" s="33">
        <f t="shared" si="88"/>
        <v>0</v>
      </c>
    </row>
    <row r="1905" spans="1:15" x14ac:dyDescent="0.25">
      <c r="A1905" s="64" t="s">
        <v>181</v>
      </c>
      <c r="B1905" s="79" t="str">
        <f>IF(Eighth!B158="", "",Eighth!B158)</f>
        <v/>
      </c>
      <c r="C1905" s="66" t="str">
        <f>IF(Eighth!C158="", "",Eighth!C158)</f>
        <v/>
      </c>
      <c r="D1905" s="66" t="str">
        <f>IF(Eighth!D158="", "",Eighth!D158)</f>
        <v/>
      </c>
      <c r="E1905" s="66" t="str">
        <f>IF(Eighth!E158="", "",Eighth!E158)</f>
        <v/>
      </c>
      <c r="F1905" s="66" t="str">
        <f>IF(Eighth!F158="", "",Eighth!F158)</f>
        <v/>
      </c>
      <c r="G1905" s="66" t="str">
        <f>IF(Eighth!G158="", "",Eighth!G158)</f>
        <v/>
      </c>
      <c r="H1905" s="66" t="str">
        <f>IF(Eighth!H158="", "",Eighth!H158)</f>
        <v/>
      </c>
      <c r="I1905" s="66" t="str">
        <f>IF(Eighth!I158="", "",Eighth!I158)</f>
        <v/>
      </c>
      <c r="J1905" s="66" t="str">
        <f>IF(Eighth!J158="", "",Eighth!J158)</f>
        <v/>
      </c>
      <c r="K1905" s="86" t="str">
        <f>IF(Eighth!K158="", "",Eighth!K158)</f>
        <v/>
      </c>
      <c r="M1905" s="67" t="str">
        <f t="shared" si="89"/>
        <v/>
      </c>
      <c r="N1905" s="76" t="str">
        <f t="shared" si="90"/>
        <v/>
      </c>
      <c r="O1905" s="33">
        <f t="shared" si="88"/>
        <v>0</v>
      </c>
    </row>
    <row r="1906" spans="1:15" x14ac:dyDescent="0.25">
      <c r="A1906" s="64" t="s">
        <v>181</v>
      </c>
      <c r="B1906" s="79" t="str">
        <f>IF(Eighth!B159="", "",Eighth!B159)</f>
        <v/>
      </c>
      <c r="C1906" s="66" t="str">
        <f>IF(Eighth!C159="", "",Eighth!C159)</f>
        <v/>
      </c>
      <c r="D1906" s="66" t="str">
        <f>IF(Eighth!D159="", "",Eighth!D159)</f>
        <v/>
      </c>
      <c r="E1906" s="66" t="str">
        <f>IF(Eighth!E159="", "",Eighth!E159)</f>
        <v/>
      </c>
      <c r="F1906" s="66" t="str">
        <f>IF(Eighth!F159="", "",Eighth!F159)</f>
        <v/>
      </c>
      <c r="G1906" s="66" t="str">
        <f>IF(Eighth!G159="", "",Eighth!G159)</f>
        <v/>
      </c>
      <c r="H1906" s="66" t="str">
        <f>IF(Eighth!H159="", "",Eighth!H159)</f>
        <v/>
      </c>
      <c r="I1906" s="66" t="str">
        <f>IF(Eighth!I159="", "",Eighth!I159)</f>
        <v/>
      </c>
      <c r="J1906" s="66" t="str">
        <f>IF(Eighth!J159="", "",Eighth!J159)</f>
        <v/>
      </c>
      <c r="K1906" s="86" t="str">
        <f>IF(Eighth!K159="", "",Eighth!K159)</f>
        <v/>
      </c>
      <c r="M1906" s="67" t="str">
        <f t="shared" si="89"/>
        <v/>
      </c>
      <c r="N1906" s="76" t="str">
        <f t="shared" si="90"/>
        <v/>
      </c>
      <c r="O1906" s="33">
        <f t="shared" si="88"/>
        <v>0</v>
      </c>
    </row>
    <row r="1907" spans="1:15" x14ac:dyDescent="0.25">
      <c r="A1907" s="64" t="s">
        <v>181</v>
      </c>
      <c r="B1907" s="79" t="str">
        <f>IF(Eighth!B160="", "",Eighth!B160)</f>
        <v/>
      </c>
      <c r="C1907" s="66" t="str">
        <f>IF(Eighth!C160="", "",Eighth!C160)</f>
        <v/>
      </c>
      <c r="D1907" s="66" t="str">
        <f>IF(Eighth!D160="", "",Eighth!D160)</f>
        <v/>
      </c>
      <c r="E1907" s="66" t="str">
        <f>IF(Eighth!E160="", "",Eighth!E160)</f>
        <v/>
      </c>
      <c r="F1907" s="66" t="str">
        <f>IF(Eighth!F160="", "",Eighth!F160)</f>
        <v/>
      </c>
      <c r="G1907" s="66" t="str">
        <f>IF(Eighth!G160="", "",Eighth!G160)</f>
        <v/>
      </c>
      <c r="H1907" s="66" t="str">
        <f>IF(Eighth!H160="", "",Eighth!H160)</f>
        <v/>
      </c>
      <c r="I1907" s="66" t="str">
        <f>IF(Eighth!I160="", "",Eighth!I160)</f>
        <v/>
      </c>
      <c r="J1907" s="66" t="str">
        <f>IF(Eighth!J160="", "",Eighth!J160)</f>
        <v/>
      </c>
      <c r="K1907" s="86" t="str">
        <f>IF(Eighth!K160="", "",Eighth!K160)</f>
        <v/>
      </c>
      <c r="M1907" s="67" t="str">
        <f t="shared" si="89"/>
        <v/>
      </c>
      <c r="N1907" s="76" t="str">
        <f t="shared" si="90"/>
        <v/>
      </c>
      <c r="O1907" s="33">
        <f t="shared" si="88"/>
        <v>0</v>
      </c>
    </row>
    <row r="1908" spans="1:15" x14ac:dyDescent="0.25">
      <c r="A1908" s="64" t="s">
        <v>181</v>
      </c>
      <c r="B1908" s="79" t="str">
        <f>IF(Eighth!B161="", "",Eighth!B161)</f>
        <v/>
      </c>
      <c r="C1908" s="66" t="str">
        <f>IF(Eighth!C161="", "",Eighth!C161)</f>
        <v/>
      </c>
      <c r="D1908" s="66" t="str">
        <f>IF(Eighth!D161="", "",Eighth!D161)</f>
        <v/>
      </c>
      <c r="E1908" s="66" t="str">
        <f>IF(Eighth!E161="", "",Eighth!E161)</f>
        <v/>
      </c>
      <c r="F1908" s="66" t="str">
        <f>IF(Eighth!F161="", "",Eighth!F161)</f>
        <v/>
      </c>
      <c r="G1908" s="66" t="str">
        <f>IF(Eighth!G161="", "",Eighth!G161)</f>
        <v/>
      </c>
      <c r="H1908" s="66" t="str">
        <f>IF(Eighth!H161="", "",Eighth!H161)</f>
        <v/>
      </c>
      <c r="I1908" s="66" t="str">
        <f>IF(Eighth!I161="", "",Eighth!I161)</f>
        <v/>
      </c>
      <c r="J1908" s="66" t="str">
        <f>IF(Eighth!J161="", "",Eighth!J161)</f>
        <v/>
      </c>
      <c r="K1908" s="86" t="str">
        <f>IF(Eighth!K161="", "",Eighth!K161)</f>
        <v/>
      </c>
      <c r="M1908" s="67" t="str">
        <f t="shared" si="89"/>
        <v/>
      </c>
      <c r="N1908" s="76" t="str">
        <f t="shared" si="90"/>
        <v/>
      </c>
      <c r="O1908" s="33">
        <f t="shared" si="88"/>
        <v>0</v>
      </c>
    </row>
    <row r="1909" spans="1:15" x14ac:dyDescent="0.25">
      <c r="A1909" s="64" t="s">
        <v>181</v>
      </c>
      <c r="B1909" s="79" t="str">
        <f>IF(Eighth!B162="", "",Eighth!B162)</f>
        <v/>
      </c>
      <c r="C1909" s="66" t="str">
        <f>IF(Eighth!C162="", "",Eighth!C162)</f>
        <v/>
      </c>
      <c r="D1909" s="66" t="str">
        <f>IF(Eighth!D162="", "",Eighth!D162)</f>
        <v/>
      </c>
      <c r="E1909" s="66" t="str">
        <f>IF(Eighth!E162="", "",Eighth!E162)</f>
        <v/>
      </c>
      <c r="F1909" s="66" t="str">
        <f>IF(Eighth!F162="", "",Eighth!F162)</f>
        <v/>
      </c>
      <c r="G1909" s="66" t="str">
        <f>IF(Eighth!G162="", "",Eighth!G162)</f>
        <v/>
      </c>
      <c r="H1909" s="66" t="str">
        <f>IF(Eighth!H162="", "",Eighth!H162)</f>
        <v/>
      </c>
      <c r="I1909" s="66" t="str">
        <f>IF(Eighth!I162="", "",Eighth!I162)</f>
        <v/>
      </c>
      <c r="J1909" s="66" t="str">
        <f>IF(Eighth!J162="", "",Eighth!J162)</f>
        <v/>
      </c>
      <c r="K1909" s="86" t="str">
        <f>IF(Eighth!K162="", "",Eighth!K162)</f>
        <v/>
      </c>
      <c r="M1909" s="67" t="str">
        <f t="shared" si="89"/>
        <v/>
      </c>
      <c r="N1909" s="76" t="str">
        <f t="shared" si="90"/>
        <v/>
      </c>
      <c r="O1909" s="33">
        <f t="shared" si="88"/>
        <v>0</v>
      </c>
    </row>
    <row r="1910" spans="1:15" x14ac:dyDescent="0.25">
      <c r="A1910" s="64" t="s">
        <v>181</v>
      </c>
      <c r="B1910" s="79" t="str">
        <f>IF(Eighth!B163="", "",Eighth!B163)</f>
        <v/>
      </c>
      <c r="C1910" s="66" t="str">
        <f>IF(Eighth!C163="", "",Eighth!C163)</f>
        <v/>
      </c>
      <c r="D1910" s="66" t="str">
        <f>IF(Eighth!D163="", "",Eighth!D163)</f>
        <v/>
      </c>
      <c r="E1910" s="66" t="str">
        <f>IF(Eighth!E163="", "",Eighth!E163)</f>
        <v/>
      </c>
      <c r="F1910" s="66" t="str">
        <f>IF(Eighth!F163="", "",Eighth!F163)</f>
        <v/>
      </c>
      <c r="G1910" s="66" t="str">
        <f>IF(Eighth!G163="", "",Eighth!G163)</f>
        <v/>
      </c>
      <c r="H1910" s="66" t="str">
        <f>IF(Eighth!H163="", "",Eighth!H163)</f>
        <v/>
      </c>
      <c r="I1910" s="66" t="str">
        <f>IF(Eighth!I163="", "",Eighth!I163)</f>
        <v/>
      </c>
      <c r="J1910" s="66" t="str">
        <f>IF(Eighth!J163="", "",Eighth!J163)</f>
        <v/>
      </c>
      <c r="K1910" s="86" t="str">
        <f>IF(Eighth!K163="", "",Eighth!K163)</f>
        <v/>
      </c>
      <c r="M1910" s="67" t="str">
        <f t="shared" si="89"/>
        <v/>
      </c>
      <c r="N1910" s="76" t="str">
        <f t="shared" si="90"/>
        <v/>
      </c>
      <c r="O1910" s="33">
        <f t="shared" si="88"/>
        <v>0</v>
      </c>
    </row>
    <row r="1911" spans="1:15" x14ac:dyDescent="0.25">
      <c r="A1911" s="64" t="s">
        <v>181</v>
      </c>
      <c r="B1911" s="79" t="str">
        <f>IF(Eighth!B164="", "",Eighth!B164)</f>
        <v/>
      </c>
      <c r="C1911" s="66" t="str">
        <f>IF(Eighth!C164="", "",Eighth!C164)</f>
        <v/>
      </c>
      <c r="D1911" s="66" t="str">
        <f>IF(Eighth!D164="", "",Eighth!D164)</f>
        <v/>
      </c>
      <c r="E1911" s="66" t="str">
        <f>IF(Eighth!E164="", "",Eighth!E164)</f>
        <v/>
      </c>
      <c r="F1911" s="66" t="str">
        <f>IF(Eighth!F164="", "",Eighth!F164)</f>
        <v/>
      </c>
      <c r="G1911" s="66" t="str">
        <f>IF(Eighth!G164="", "",Eighth!G164)</f>
        <v/>
      </c>
      <c r="H1911" s="66" t="str">
        <f>IF(Eighth!H164="", "",Eighth!H164)</f>
        <v/>
      </c>
      <c r="I1911" s="66" t="str">
        <f>IF(Eighth!I164="", "",Eighth!I164)</f>
        <v/>
      </c>
      <c r="J1911" s="66" t="str">
        <f>IF(Eighth!J164="", "",Eighth!J164)</f>
        <v/>
      </c>
      <c r="K1911" s="86" t="str">
        <f>IF(Eighth!K164="", "",Eighth!K164)</f>
        <v/>
      </c>
      <c r="M1911" s="67" t="str">
        <f t="shared" si="89"/>
        <v/>
      </c>
      <c r="N1911" s="76" t="str">
        <f t="shared" si="90"/>
        <v/>
      </c>
      <c r="O1911" s="33">
        <f t="shared" si="88"/>
        <v>0</v>
      </c>
    </row>
    <row r="1912" spans="1:15" x14ac:dyDescent="0.25">
      <c r="A1912" s="64" t="s">
        <v>181</v>
      </c>
      <c r="B1912" s="79" t="str">
        <f>IF(Eighth!B165="", "",Eighth!B165)</f>
        <v/>
      </c>
      <c r="C1912" s="66" t="str">
        <f>IF(Eighth!C165="", "",Eighth!C165)</f>
        <v/>
      </c>
      <c r="D1912" s="66" t="str">
        <f>IF(Eighth!D165="", "",Eighth!D165)</f>
        <v/>
      </c>
      <c r="E1912" s="66" t="str">
        <f>IF(Eighth!E165="", "",Eighth!E165)</f>
        <v/>
      </c>
      <c r="F1912" s="66" t="str">
        <f>IF(Eighth!F165="", "",Eighth!F165)</f>
        <v/>
      </c>
      <c r="G1912" s="66" t="str">
        <f>IF(Eighth!G165="", "",Eighth!G165)</f>
        <v/>
      </c>
      <c r="H1912" s="66" t="str">
        <f>IF(Eighth!H165="", "",Eighth!H165)</f>
        <v/>
      </c>
      <c r="I1912" s="66" t="str">
        <f>IF(Eighth!I165="", "",Eighth!I165)</f>
        <v/>
      </c>
      <c r="J1912" s="66" t="str">
        <f>IF(Eighth!J165="", "",Eighth!J165)</f>
        <v/>
      </c>
      <c r="K1912" s="86" t="str">
        <f>IF(Eighth!K165="", "",Eighth!K165)</f>
        <v/>
      </c>
      <c r="M1912" s="67" t="str">
        <f t="shared" si="89"/>
        <v/>
      </c>
      <c r="N1912" s="76" t="str">
        <f t="shared" si="90"/>
        <v/>
      </c>
      <c r="O1912" s="33">
        <f t="shared" si="88"/>
        <v>0</v>
      </c>
    </row>
    <row r="1913" spans="1:15" x14ac:dyDescent="0.25">
      <c r="A1913" s="64" t="s">
        <v>181</v>
      </c>
      <c r="B1913" s="79" t="str">
        <f>IF(Eighth!B166="", "",Eighth!B166)</f>
        <v/>
      </c>
      <c r="C1913" s="66" t="str">
        <f>IF(Eighth!C166="", "",Eighth!C166)</f>
        <v/>
      </c>
      <c r="D1913" s="66" t="str">
        <f>IF(Eighth!D166="", "",Eighth!D166)</f>
        <v/>
      </c>
      <c r="E1913" s="66" t="str">
        <f>IF(Eighth!E166="", "",Eighth!E166)</f>
        <v/>
      </c>
      <c r="F1913" s="66" t="str">
        <f>IF(Eighth!F166="", "",Eighth!F166)</f>
        <v/>
      </c>
      <c r="G1913" s="66" t="str">
        <f>IF(Eighth!G166="", "",Eighth!G166)</f>
        <v/>
      </c>
      <c r="H1913" s="66" t="str">
        <f>IF(Eighth!H166="", "",Eighth!H166)</f>
        <v/>
      </c>
      <c r="I1913" s="66" t="str">
        <f>IF(Eighth!I166="", "",Eighth!I166)</f>
        <v/>
      </c>
      <c r="J1913" s="66" t="str">
        <f>IF(Eighth!J166="", "",Eighth!J166)</f>
        <v/>
      </c>
      <c r="K1913" s="86" t="str">
        <f>IF(Eighth!K166="", "",Eighth!K166)</f>
        <v/>
      </c>
      <c r="M1913" s="67" t="str">
        <f t="shared" si="89"/>
        <v/>
      </c>
      <c r="N1913" s="76" t="str">
        <f t="shared" si="90"/>
        <v/>
      </c>
      <c r="O1913" s="33">
        <f t="shared" si="88"/>
        <v>0</v>
      </c>
    </row>
    <row r="1914" spans="1:15" x14ac:dyDescent="0.25">
      <c r="A1914" s="64" t="s">
        <v>181</v>
      </c>
      <c r="B1914" s="79" t="str">
        <f>IF(Eighth!B167="", "",Eighth!B167)</f>
        <v/>
      </c>
      <c r="C1914" s="66" t="str">
        <f>IF(Eighth!C167="", "",Eighth!C167)</f>
        <v/>
      </c>
      <c r="D1914" s="66" t="str">
        <f>IF(Eighth!D167="", "",Eighth!D167)</f>
        <v/>
      </c>
      <c r="E1914" s="66" t="str">
        <f>IF(Eighth!E167="", "",Eighth!E167)</f>
        <v/>
      </c>
      <c r="F1914" s="66" t="str">
        <f>IF(Eighth!F167="", "",Eighth!F167)</f>
        <v/>
      </c>
      <c r="G1914" s="66" t="str">
        <f>IF(Eighth!G167="", "",Eighth!G167)</f>
        <v/>
      </c>
      <c r="H1914" s="66" t="str">
        <f>IF(Eighth!H167="", "",Eighth!H167)</f>
        <v/>
      </c>
      <c r="I1914" s="66" t="str">
        <f>IF(Eighth!I167="", "",Eighth!I167)</f>
        <v/>
      </c>
      <c r="J1914" s="66" t="str">
        <f>IF(Eighth!J167="", "",Eighth!J167)</f>
        <v/>
      </c>
      <c r="K1914" s="86" t="str">
        <f>IF(Eighth!K167="", "",Eighth!K167)</f>
        <v/>
      </c>
      <c r="M1914" s="67" t="str">
        <f t="shared" si="89"/>
        <v/>
      </c>
      <c r="N1914" s="76" t="str">
        <f t="shared" si="90"/>
        <v/>
      </c>
      <c r="O1914" s="33">
        <f t="shared" si="88"/>
        <v>0</v>
      </c>
    </row>
    <row r="1915" spans="1:15" x14ac:dyDescent="0.25">
      <c r="A1915" s="64" t="s">
        <v>181</v>
      </c>
      <c r="B1915" s="79" t="str">
        <f>IF(Eighth!B168="", "",Eighth!B168)</f>
        <v/>
      </c>
      <c r="C1915" s="66" t="str">
        <f>IF(Eighth!C168="", "",Eighth!C168)</f>
        <v/>
      </c>
      <c r="D1915" s="66" t="str">
        <f>IF(Eighth!D168="", "",Eighth!D168)</f>
        <v/>
      </c>
      <c r="E1915" s="66" t="str">
        <f>IF(Eighth!E168="", "",Eighth!E168)</f>
        <v/>
      </c>
      <c r="F1915" s="66" t="str">
        <f>IF(Eighth!F168="", "",Eighth!F168)</f>
        <v/>
      </c>
      <c r="G1915" s="66" t="str">
        <f>IF(Eighth!G168="", "",Eighth!G168)</f>
        <v/>
      </c>
      <c r="H1915" s="66" t="str">
        <f>IF(Eighth!H168="", "",Eighth!H168)</f>
        <v/>
      </c>
      <c r="I1915" s="66" t="str">
        <f>IF(Eighth!I168="", "",Eighth!I168)</f>
        <v/>
      </c>
      <c r="J1915" s="66" t="str">
        <f>IF(Eighth!J168="", "",Eighth!J168)</f>
        <v/>
      </c>
      <c r="K1915" s="86" t="str">
        <f>IF(Eighth!K168="", "",Eighth!K168)</f>
        <v/>
      </c>
      <c r="M1915" s="67" t="str">
        <f t="shared" si="89"/>
        <v/>
      </c>
      <c r="N1915" s="76" t="str">
        <f t="shared" si="90"/>
        <v/>
      </c>
      <c r="O1915" s="33">
        <f t="shared" si="88"/>
        <v>0</v>
      </c>
    </row>
    <row r="1916" spans="1:15" x14ac:dyDescent="0.25">
      <c r="A1916" s="64" t="s">
        <v>181</v>
      </c>
      <c r="B1916" s="79" t="str">
        <f>IF(Eighth!B169="", "",Eighth!B169)</f>
        <v/>
      </c>
      <c r="C1916" s="66" t="str">
        <f>IF(Eighth!C169="", "",Eighth!C169)</f>
        <v/>
      </c>
      <c r="D1916" s="66" t="str">
        <f>IF(Eighth!D169="", "",Eighth!D169)</f>
        <v/>
      </c>
      <c r="E1916" s="66" t="str">
        <f>IF(Eighth!E169="", "",Eighth!E169)</f>
        <v/>
      </c>
      <c r="F1916" s="66" t="str">
        <f>IF(Eighth!F169="", "",Eighth!F169)</f>
        <v/>
      </c>
      <c r="G1916" s="66" t="str">
        <f>IF(Eighth!G169="", "",Eighth!G169)</f>
        <v/>
      </c>
      <c r="H1916" s="66" t="str">
        <f>IF(Eighth!H169="", "",Eighth!H169)</f>
        <v/>
      </c>
      <c r="I1916" s="66" t="str">
        <f>IF(Eighth!I169="", "",Eighth!I169)</f>
        <v/>
      </c>
      <c r="J1916" s="66" t="str">
        <f>IF(Eighth!J169="", "",Eighth!J169)</f>
        <v/>
      </c>
      <c r="K1916" s="86" t="str">
        <f>IF(Eighth!K169="", "",Eighth!K169)</f>
        <v/>
      </c>
      <c r="M1916" s="67" t="str">
        <f t="shared" si="89"/>
        <v/>
      </c>
      <c r="N1916" s="76" t="str">
        <f t="shared" si="90"/>
        <v/>
      </c>
      <c r="O1916" s="33">
        <f t="shared" si="88"/>
        <v>0</v>
      </c>
    </row>
    <row r="1917" spans="1:15" x14ac:dyDescent="0.25">
      <c r="A1917" s="64" t="s">
        <v>181</v>
      </c>
      <c r="B1917" s="79" t="str">
        <f>IF(Eighth!B170="", "",Eighth!B170)</f>
        <v/>
      </c>
      <c r="C1917" s="66" t="str">
        <f>IF(Eighth!C170="", "",Eighth!C170)</f>
        <v/>
      </c>
      <c r="D1917" s="66" t="str">
        <f>IF(Eighth!D170="", "",Eighth!D170)</f>
        <v/>
      </c>
      <c r="E1917" s="66" t="str">
        <f>IF(Eighth!E170="", "",Eighth!E170)</f>
        <v/>
      </c>
      <c r="F1917" s="66" t="str">
        <f>IF(Eighth!F170="", "",Eighth!F170)</f>
        <v/>
      </c>
      <c r="G1917" s="66" t="str">
        <f>IF(Eighth!G170="", "",Eighth!G170)</f>
        <v/>
      </c>
      <c r="H1917" s="66" t="str">
        <f>IF(Eighth!H170="", "",Eighth!H170)</f>
        <v/>
      </c>
      <c r="I1917" s="66" t="str">
        <f>IF(Eighth!I170="", "",Eighth!I170)</f>
        <v/>
      </c>
      <c r="J1917" s="66" t="str">
        <f>IF(Eighth!J170="", "",Eighth!J170)</f>
        <v/>
      </c>
      <c r="K1917" s="86" t="str">
        <f>IF(Eighth!K170="", "",Eighth!K170)</f>
        <v/>
      </c>
      <c r="M1917" s="67" t="str">
        <f t="shared" si="89"/>
        <v/>
      </c>
      <c r="N1917" s="76" t="str">
        <f t="shared" si="90"/>
        <v/>
      </c>
      <c r="O1917" s="33">
        <f t="shared" si="88"/>
        <v>0</v>
      </c>
    </row>
    <row r="1918" spans="1:15" x14ac:dyDescent="0.25">
      <c r="A1918" s="64" t="s">
        <v>181</v>
      </c>
      <c r="B1918" s="79" t="str">
        <f>IF(Eighth!B171="", "",Eighth!B171)</f>
        <v/>
      </c>
      <c r="C1918" s="66" t="str">
        <f>IF(Eighth!C171="", "",Eighth!C171)</f>
        <v/>
      </c>
      <c r="D1918" s="66" t="str">
        <f>IF(Eighth!D171="", "",Eighth!D171)</f>
        <v/>
      </c>
      <c r="E1918" s="66" t="str">
        <f>IF(Eighth!E171="", "",Eighth!E171)</f>
        <v/>
      </c>
      <c r="F1918" s="66" t="str">
        <f>IF(Eighth!F171="", "",Eighth!F171)</f>
        <v/>
      </c>
      <c r="G1918" s="66" t="str">
        <f>IF(Eighth!G171="", "",Eighth!G171)</f>
        <v/>
      </c>
      <c r="H1918" s="66" t="str">
        <f>IF(Eighth!H171="", "",Eighth!H171)</f>
        <v/>
      </c>
      <c r="I1918" s="66" t="str">
        <f>IF(Eighth!I171="", "",Eighth!I171)</f>
        <v/>
      </c>
      <c r="J1918" s="66" t="str">
        <f>IF(Eighth!J171="", "",Eighth!J171)</f>
        <v/>
      </c>
      <c r="K1918" s="86" t="str">
        <f>IF(Eighth!K171="", "",Eighth!K171)</f>
        <v/>
      </c>
      <c r="M1918" s="67" t="str">
        <f t="shared" si="89"/>
        <v/>
      </c>
      <c r="N1918" s="76" t="str">
        <f t="shared" si="90"/>
        <v/>
      </c>
      <c r="O1918" s="33">
        <f t="shared" si="88"/>
        <v>0</v>
      </c>
    </row>
    <row r="1919" spans="1:15" x14ac:dyDescent="0.25">
      <c r="A1919" s="64" t="s">
        <v>181</v>
      </c>
      <c r="B1919" s="79" t="str">
        <f>IF(Eighth!B172="", "",Eighth!B172)</f>
        <v/>
      </c>
      <c r="C1919" s="66" t="str">
        <f>IF(Eighth!C172="", "",Eighth!C172)</f>
        <v/>
      </c>
      <c r="D1919" s="66" t="str">
        <f>IF(Eighth!D172="", "",Eighth!D172)</f>
        <v/>
      </c>
      <c r="E1919" s="66" t="str">
        <f>IF(Eighth!E172="", "",Eighth!E172)</f>
        <v/>
      </c>
      <c r="F1919" s="66" t="str">
        <f>IF(Eighth!F172="", "",Eighth!F172)</f>
        <v/>
      </c>
      <c r="G1919" s="66" t="str">
        <f>IF(Eighth!G172="", "",Eighth!G172)</f>
        <v/>
      </c>
      <c r="H1919" s="66" t="str">
        <f>IF(Eighth!H172="", "",Eighth!H172)</f>
        <v/>
      </c>
      <c r="I1919" s="66" t="str">
        <f>IF(Eighth!I172="", "",Eighth!I172)</f>
        <v/>
      </c>
      <c r="J1919" s="66" t="str">
        <f>IF(Eighth!J172="", "",Eighth!J172)</f>
        <v/>
      </c>
      <c r="K1919" s="86" t="str">
        <f>IF(Eighth!K172="", "",Eighth!K172)</f>
        <v/>
      </c>
      <c r="M1919" s="67" t="str">
        <f t="shared" si="89"/>
        <v/>
      </c>
      <c r="N1919" s="76" t="str">
        <f t="shared" si="90"/>
        <v/>
      </c>
      <c r="O1919" s="33">
        <f t="shared" si="88"/>
        <v>0</v>
      </c>
    </row>
    <row r="1920" spans="1:15" x14ac:dyDescent="0.25">
      <c r="A1920" s="64" t="s">
        <v>181</v>
      </c>
      <c r="B1920" s="79" t="str">
        <f>IF(Eighth!B173="", "",Eighth!B173)</f>
        <v/>
      </c>
      <c r="C1920" s="66" t="str">
        <f>IF(Eighth!C173="", "",Eighth!C173)</f>
        <v/>
      </c>
      <c r="D1920" s="66" t="str">
        <f>IF(Eighth!D173="", "",Eighth!D173)</f>
        <v/>
      </c>
      <c r="E1920" s="66" t="str">
        <f>IF(Eighth!E173="", "",Eighth!E173)</f>
        <v/>
      </c>
      <c r="F1920" s="66" t="str">
        <f>IF(Eighth!F173="", "",Eighth!F173)</f>
        <v/>
      </c>
      <c r="G1920" s="66" t="str">
        <f>IF(Eighth!G173="", "",Eighth!G173)</f>
        <v/>
      </c>
      <c r="H1920" s="66" t="str">
        <f>IF(Eighth!H173="", "",Eighth!H173)</f>
        <v/>
      </c>
      <c r="I1920" s="66" t="str">
        <f>IF(Eighth!I173="", "",Eighth!I173)</f>
        <v/>
      </c>
      <c r="J1920" s="66" t="str">
        <f>IF(Eighth!J173="", "",Eighth!J173)</f>
        <v/>
      </c>
      <c r="K1920" s="86" t="str">
        <f>IF(Eighth!K173="", "",Eighth!K173)</f>
        <v/>
      </c>
      <c r="M1920" s="67" t="str">
        <f t="shared" si="89"/>
        <v/>
      </c>
      <c r="N1920" s="76" t="str">
        <f t="shared" si="90"/>
        <v/>
      </c>
      <c r="O1920" s="33">
        <f t="shared" si="88"/>
        <v>0</v>
      </c>
    </row>
    <row r="1921" spans="1:15" x14ac:dyDescent="0.25">
      <c r="A1921" s="64" t="s">
        <v>181</v>
      </c>
      <c r="B1921" s="79" t="str">
        <f>IF(Eighth!B174="", "",Eighth!B174)</f>
        <v/>
      </c>
      <c r="C1921" s="66" t="str">
        <f>IF(Eighth!C174="", "",Eighth!C174)</f>
        <v/>
      </c>
      <c r="D1921" s="66" t="str">
        <f>IF(Eighth!D174="", "",Eighth!D174)</f>
        <v/>
      </c>
      <c r="E1921" s="66" t="str">
        <f>IF(Eighth!E174="", "",Eighth!E174)</f>
        <v/>
      </c>
      <c r="F1921" s="66" t="str">
        <f>IF(Eighth!F174="", "",Eighth!F174)</f>
        <v/>
      </c>
      <c r="G1921" s="66" t="str">
        <f>IF(Eighth!G174="", "",Eighth!G174)</f>
        <v/>
      </c>
      <c r="H1921" s="66" t="str">
        <f>IF(Eighth!H174="", "",Eighth!H174)</f>
        <v/>
      </c>
      <c r="I1921" s="66" t="str">
        <f>IF(Eighth!I174="", "",Eighth!I174)</f>
        <v/>
      </c>
      <c r="J1921" s="66" t="str">
        <f>IF(Eighth!J174="", "",Eighth!J174)</f>
        <v/>
      </c>
      <c r="K1921" s="86" t="str">
        <f>IF(Eighth!K174="", "",Eighth!K174)</f>
        <v/>
      </c>
      <c r="M1921" s="67" t="str">
        <f t="shared" si="89"/>
        <v/>
      </c>
      <c r="N1921" s="76" t="str">
        <f t="shared" si="90"/>
        <v/>
      </c>
      <c r="O1921" s="33">
        <f t="shared" si="88"/>
        <v>0</v>
      </c>
    </row>
    <row r="1922" spans="1:15" x14ac:dyDescent="0.25">
      <c r="A1922" s="64" t="s">
        <v>181</v>
      </c>
      <c r="B1922" s="79" t="str">
        <f>IF(Eighth!B175="", "",Eighth!B175)</f>
        <v/>
      </c>
      <c r="C1922" s="66" t="str">
        <f>IF(Eighth!C175="", "",Eighth!C175)</f>
        <v/>
      </c>
      <c r="D1922" s="66" t="str">
        <f>IF(Eighth!D175="", "",Eighth!D175)</f>
        <v/>
      </c>
      <c r="E1922" s="66" t="str">
        <f>IF(Eighth!E175="", "",Eighth!E175)</f>
        <v/>
      </c>
      <c r="F1922" s="66" t="str">
        <f>IF(Eighth!F175="", "",Eighth!F175)</f>
        <v/>
      </c>
      <c r="G1922" s="66" t="str">
        <f>IF(Eighth!G175="", "",Eighth!G175)</f>
        <v/>
      </c>
      <c r="H1922" s="66" t="str">
        <f>IF(Eighth!H175="", "",Eighth!H175)</f>
        <v/>
      </c>
      <c r="I1922" s="66" t="str">
        <f>IF(Eighth!I175="", "",Eighth!I175)</f>
        <v/>
      </c>
      <c r="J1922" s="66" t="str">
        <f>IF(Eighth!J175="", "",Eighth!J175)</f>
        <v/>
      </c>
      <c r="K1922" s="86" t="str">
        <f>IF(Eighth!K175="", "",Eighth!K175)</f>
        <v/>
      </c>
      <c r="M1922" s="67" t="str">
        <f t="shared" si="89"/>
        <v/>
      </c>
      <c r="N1922" s="76" t="str">
        <f t="shared" si="90"/>
        <v/>
      </c>
      <c r="O1922" s="33">
        <f t="shared" ref="O1922:O1985" si="91">SUM(M1922:N1922)</f>
        <v>0</v>
      </c>
    </row>
    <row r="1923" spans="1:15" x14ac:dyDescent="0.25">
      <c r="A1923" s="64" t="s">
        <v>181</v>
      </c>
      <c r="B1923" s="79" t="str">
        <f>IF(Eighth!B176="", "",Eighth!B176)</f>
        <v/>
      </c>
      <c r="C1923" s="66" t="str">
        <f>IF(Eighth!C176="", "",Eighth!C176)</f>
        <v/>
      </c>
      <c r="D1923" s="66" t="str">
        <f>IF(Eighth!D176="", "",Eighth!D176)</f>
        <v/>
      </c>
      <c r="E1923" s="66" t="str">
        <f>IF(Eighth!E176="", "",Eighth!E176)</f>
        <v/>
      </c>
      <c r="F1923" s="66" t="str">
        <f>IF(Eighth!F176="", "",Eighth!F176)</f>
        <v/>
      </c>
      <c r="G1923" s="66" t="str">
        <f>IF(Eighth!G176="", "",Eighth!G176)</f>
        <v/>
      </c>
      <c r="H1923" s="66" t="str">
        <f>IF(Eighth!H176="", "",Eighth!H176)</f>
        <v/>
      </c>
      <c r="I1923" s="66" t="str">
        <f>IF(Eighth!I176="", "",Eighth!I176)</f>
        <v/>
      </c>
      <c r="J1923" s="66" t="str">
        <f>IF(Eighth!J176="", "",Eighth!J176)</f>
        <v/>
      </c>
      <c r="K1923" s="86" t="str">
        <f>IF(Eighth!K176="", "",Eighth!K176)</f>
        <v/>
      </c>
      <c r="M1923" s="67" t="str">
        <f t="shared" ref="M1923:M1986" si="92">IF(C1923="PwC",(7-COUNTIF(B1923:H1923,"")),"")</f>
        <v/>
      </c>
      <c r="N1923" s="76" t="str">
        <f t="shared" ref="N1923:N1986" si="93">IF(C1923="Carer",(7-COUNTIF(B1923:H1923,"")),"")</f>
        <v/>
      </c>
      <c r="O1923" s="33">
        <f t="shared" si="91"/>
        <v>0</v>
      </c>
    </row>
    <row r="1924" spans="1:15" x14ac:dyDescent="0.25">
      <c r="A1924" s="64" t="s">
        <v>181</v>
      </c>
      <c r="B1924" s="79" t="str">
        <f>IF(Eighth!B177="", "",Eighth!B177)</f>
        <v/>
      </c>
      <c r="C1924" s="66" t="str">
        <f>IF(Eighth!C177="", "",Eighth!C177)</f>
        <v/>
      </c>
      <c r="D1924" s="66" t="str">
        <f>IF(Eighth!D177="", "",Eighth!D177)</f>
        <v/>
      </c>
      <c r="E1924" s="66" t="str">
        <f>IF(Eighth!E177="", "",Eighth!E177)</f>
        <v/>
      </c>
      <c r="F1924" s="66" t="str">
        <f>IF(Eighth!F177="", "",Eighth!F177)</f>
        <v/>
      </c>
      <c r="G1924" s="66" t="str">
        <f>IF(Eighth!G177="", "",Eighth!G177)</f>
        <v/>
      </c>
      <c r="H1924" s="66" t="str">
        <f>IF(Eighth!H177="", "",Eighth!H177)</f>
        <v/>
      </c>
      <c r="I1924" s="66" t="str">
        <f>IF(Eighth!I177="", "",Eighth!I177)</f>
        <v/>
      </c>
      <c r="J1924" s="66" t="str">
        <f>IF(Eighth!J177="", "",Eighth!J177)</f>
        <v/>
      </c>
      <c r="K1924" s="86" t="str">
        <f>IF(Eighth!K177="", "",Eighth!K177)</f>
        <v/>
      </c>
      <c r="M1924" s="67" t="str">
        <f t="shared" si="92"/>
        <v/>
      </c>
      <c r="N1924" s="76" t="str">
        <f t="shared" si="93"/>
        <v/>
      </c>
      <c r="O1924" s="33">
        <f t="shared" si="91"/>
        <v>0</v>
      </c>
    </row>
    <row r="1925" spans="1:15" x14ac:dyDescent="0.25">
      <c r="A1925" s="64" t="s">
        <v>181</v>
      </c>
      <c r="B1925" s="79" t="str">
        <f>IF(Eighth!B178="", "",Eighth!B178)</f>
        <v/>
      </c>
      <c r="C1925" s="66" t="str">
        <f>IF(Eighth!C178="", "",Eighth!C178)</f>
        <v/>
      </c>
      <c r="D1925" s="66" t="str">
        <f>IF(Eighth!D178="", "",Eighth!D178)</f>
        <v/>
      </c>
      <c r="E1925" s="66" t="str">
        <f>IF(Eighth!E178="", "",Eighth!E178)</f>
        <v/>
      </c>
      <c r="F1925" s="66" t="str">
        <f>IF(Eighth!F178="", "",Eighth!F178)</f>
        <v/>
      </c>
      <c r="G1925" s="66" t="str">
        <f>IF(Eighth!G178="", "",Eighth!G178)</f>
        <v/>
      </c>
      <c r="H1925" s="66" t="str">
        <f>IF(Eighth!H178="", "",Eighth!H178)</f>
        <v/>
      </c>
      <c r="I1925" s="66" t="str">
        <f>IF(Eighth!I178="", "",Eighth!I178)</f>
        <v/>
      </c>
      <c r="J1925" s="66" t="str">
        <f>IF(Eighth!J178="", "",Eighth!J178)</f>
        <v/>
      </c>
      <c r="K1925" s="86" t="str">
        <f>IF(Eighth!K178="", "",Eighth!K178)</f>
        <v/>
      </c>
      <c r="M1925" s="67" t="str">
        <f t="shared" si="92"/>
        <v/>
      </c>
      <c r="N1925" s="76" t="str">
        <f t="shared" si="93"/>
        <v/>
      </c>
      <c r="O1925" s="33">
        <f t="shared" si="91"/>
        <v>0</v>
      </c>
    </row>
    <row r="1926" spans="1:15" x14ac:dyDescent="0.25">
      <c r="A1926" s="64" t="s">
        <v>181</v>
      </c>
      <c r="B1926" s="79" t="str">
        <f>IF(Eighth!B179="", "",Eighth!B179)</f>
        <v/>
      </c>
      <c r="C1926" s="66" t="str">
        <f>IF(Eighth!C179="", "",Eighth!C179)</f>
        <v/>
      </c>
      <c r="D1926" s="66" t="str">
        <f>IF(Eighth!D179="", "",Eighth!D179)</f>
        <v/>
      </c>
      <c r="E1926" s="66" t="str">
        <f>IF(Eighth!E179="", "",Eighth!E179)</f>
        <v/>
      </c>
      <c r="F1926" s="66" t="str">
        <f>IF(Eighth!F179="", "",Eighth!F179)</f>
        <v/>
      </c>
      <c r="G1926" s="66" t="str">
        <f>IF(Eighth!G179="", "",Eighth!G179)</f>
        <v/>
      </c>
      <c r="H1926" s="66" t="str">
        <f>IF(Eighth!H179="", "",Eighth!H179)</f>
        <v/>
      </c>
      <c r="I1926" s="66" t="str">
        <f>IF(Eighth!I179="", "",Eighth!I179)</f>
        <v/>
      </c>
      <c r="J1926" s="66" t="str">
        <f>IF(Eighth!J179="", "",Eighth!J179)</f>
        <v/>
      </c>
      <c r="K1926" s="86" t="str">
        <f>IF(Eighth!K179="", "",Eighth!K179)</f>
        <v/>
      </c>
      <c r="M1926" s="67" t="str">
        <f t="shared" si="92"/>
        <v/>
      </c>
      <c r="N1926" s="76" t="str">
        <f t="shared" si="93"/>
        <v/>
      </c>
      <c r="O1926" s="33">
        <f t="shared" si="91"/>
        <v>0</v>
      </c>
    </row>
    <row r="1927" spans="1:15" x14ac:dyDescent="0.25">
      <c r="A1927" s="64" t="s">
        <v>181</v>
      </c>
      <c r="B1927" s="79" t="str">
        <f>IF(Eighth!B180="", "",Eighth!B180)</f>
        <v/>
      </c>
      <c r="C1927" s="66" t="str">
        <f>IF(Eighth!C180="", "",Eighth!C180)</f>
        <v/>
      </c>
      <c r="D1927" s="66" t="str">
        <f>IF(Eighth!D180="", "",Eighth!D180)</f>
        <v/>
      </c>
      <c r="E1927" s="66" t="str">
        <f>IF(Eighth!E180="", "",Eighth!E180)</f>
        <v/>
      </c>
      <c r="F1927" s="66" t="str">
        <f>IF(Eighth!F180="", "",Eighth!F180)</f>
        <v/>
      </c>
      <c r="G1927" s="66" t="str">
        <f>IF(Eighth!G180="", "",Eighth!G180)</f>
        <v/>
      </c>
      <c r="H1927" s="66" t="str">
        <f>IF(Eighth!H180="", "",Eighth!H180)</f>
        <v/>
      </c>
      <c r="I1927" s="66" t="str">
        <f>IF(Eighth!I180="", "",Eighth!I180)</f>
        <v/>
      </c>
      <c r="J1927" s="66" t="str">
        <f>IF(Eighth!J180="", "",Eighth!J180)</f>
        <v/>
      </c>
      <c r="K1927" s="86" t="str">
        <f>IF(Eighth!K180="", "",Eighth!K180)</f>
        <v/>
      </c>
      <c r="M1927" s="67" t="str">
        <f t="shared" si="92"/>
        <v/>
      </c>
      <c r="N1927" s="76" t="str">
        <f t="shared" si="93"/>
        <v/>
      </c>
      <c r="O1927" s="33">
        <f t="shared" si="91"/>
        <v>0</v>
      </c>
    </row>
    <row r="1928" spans="1:15" x14ac:dyDescent="0.25">
      <c r="A1928" s="64" t="s">
        <v>181</v>
      </c>
      <c r="B1928" s="79" t="str">
        <f>IF(Eighth!B181="", "",Eighth!B181)</f>
        <v/>
      </c>
      <c r="C1928" s="66" t="str">
        <f>IF(Eighth!C181="", "",Eighth!C181)</f>
        <v/>
      </c>
      <c r="D1928" s="66" t="str">
        <f>IF(Eighth!D181="", "",Eighth!D181)</f>
        <v/>
      </c>
      <c r="E1928" s="66" t="str">
        <f>IF(Eighth!E181="", "",Eighth!E181)</f>
        <v/>
      </c>
      <c r="F1928" s="66" t="str">
        <f>IF(Eighth!F181="", "",Eighth!F181)</f>
        <v/>
      </c>
      <c r="G1928" s="66" t="str">
        <f>IF(Eighth!G181="", "",Eighth!G181)</f>
        <v/>
      </c>
      <c r="H1928" s="66" t="str">
        <f>IF(Eighth!H181="", "",Eighth!H181)</f>
        <v/>
      </c>
      <c r="I1928" s="66" t="str">
        <f>IF(Eighth!I181="", "",Eighth!I181)</f>
        <v/>
      </c>
      <c r="J1928" s="66" t="str">
        <f>IF(Eighth!J181="", "",Eighth!J181)</f>
        <v/>
      </c>
      <c r="K1928" s="86" t="str">
        <f>IF(Eighth!K181="", "",Eighth!K181)</f>
        <v/>
      </c>
      <c r="M1928" s="67" t="str">
        <f t="shared" si="92"/>
        <v/>
      </c>
      <c r="N1928" s="76" t="str">
        <f t="shared" si="93"/>
        <v/>
      </c>
      <c r="O1928" s="33">
        <f t="shared" si="91"/>
        <v>0</v>
      </c>
    </row>
    <row r="1929" spans="1:15" x14ac:dyDescent="0.25">
      <c r="A1929" s="64" t="s">
        <v>181</v>
      </c>
      <c r="B1929" s="79" t="str">
        <f>IF(Eighth!B182="", "",Eighth!B182)</f>
        <v/>
      </c>
      <c r="C1929" s="66" t="str">
        <f>IF(Eighth!C182="", "",Eighth!C182)</f>
        <v/>
      </c>
      <c r="D1929" s="66" t="str">
        <f>IF(Eighth!D182="", "",Eighth!D182)</f>
        <v/>
      </c>
      <c r="E1929" s="66" t="str">
        <f>IF(Eighth!E182="", "",Eighth!E182)</f>
        <v/>
      </c>
      <c r="F1929" s="66" t="str">
        <f>IF(Eighth!F182="", "",Eighth!F182)</f>
        <v/>
      </c>
      <c r="G1929" s="66" t="str">
        <f>IF(Eighth!G182="", "",Eighth!G182)</f>
        <v/>
      </c>
      <c r="H1929" s="66" t="str">
        <f>IF(Eighth!H182="", "",Eighth!H182)</f>
        <v/>
      </c>
      <c r="I1929" s="66" t="str">
        <f>IF(Eighth!I182="", "",Eighth!I182)</f>
        <v/>
      </c>
      <c r="J1929" s="66" t="str">
        <f>IF(Eighth!J182="", "",Eighth!J182)</f>
        <v/>
      </c>
      <c r="K1929" s="86" t="str">
        <f>IF(Eighth!K182="", "",Eighth!K182)</f>
        <v/>
      </c>
      <c r="M1929" s="67" t="str">
        <f t="shared" si="92"/>
        <v/>
      </c>
      <c r="N1929" s="76" t="str">
        <f t="shared" si="93"/>
        <v/>
      </c>
      <c r="O1929" s="33">
        <f t="shared" si="91"/>
        <v>0</v>
      </c>
    </row>
    <row r="1930" spans="1:15" x14ac:dyDescent="0.25">
      <c r="A1930" s="64" t="s">
        <v>181</v>
      </c>
      <c r="B1930" s="79" t="str">
        <f>IF(Eighth!B183="", "",Eighth!B183)</f>
        <v/>
      </c>
      <c r="C1930" s="66" t="str">
        <f>IF(Eighth!C183="", "",Eighth!C183)</f>
        <v/>
      </c>
      <c r="D1930" s="66" t="str">
        <f>IF(Eighth!D183="", "",Eighth!D183)</f>
        <v/>
      </c>
      <c r="E1930" s="66" t="str">
        <f>IF(Eighth!E183="", "",Eighth!E183)</f>
        <v/>
      </c>
      <c r="F1930" s="66" t="str">
        <f>IF(Eighth!F183="", "",Eighth!F183)</f>
        <v/>
      </c>
      <c r="G1930" s="66" t="str">
        <f>IF(Eighth!G183="", "",Eighth!G183)</f>
        <v/>
      </c>
      <c r="H1930" s="66" t="str">
        <f>IF(Eighth!H183="", "",Eighth!H183)</f>
        <v/>
      </c>
      <c r="I1930" s="66" t="str">
        <f>IF(Eighth!I183="", "",Eighth!I183)</f>
        <v/>
      </c>
      <c r="J1930" s="66" t="str">
        <f>IF(Eighth!J183="", "",Eighth!J183)</f>
        <v/>
      </c>
      <c r="K1930" s="86" t="str">
        <f>IF(Eighth!K183="", "",Eighth!K183)</f>
        <v/>
      </c>
      <c r="M1930" s="67" t="str">
        <f t="shared" si="92"/>
        <v/>
      </c>
      <c r="N1930" s="76" t="str">
        <f t="shared" si="93"/>
        <v/>
      </c>
      <c r="O1930" s="33">
        <f t="shared" si="91"/>
        <v>0</v>
      </c>
    </row>
    <row r="1931" spans="1:15" x14ac:dyDescent="0.25">
      <c r="A1931" s="64" t="s">
        <v>181</v>
      </c>
      <c r="B1931" s="79" t="str">
        <f>IF(Eighth!B184="", "",Eighth!B184)</f>
        <v/>
      </c>
      <c r="C1931" s="66" t="str">
        <f>IF(Eighth!C184="", "",Eighth!C184)</f>
        <v/>
      </c>
      <c r="D1931" s="66" t="str">
        <f>IF(Eighth!D184="", "",Eighth!D184)</f>
        <v/>
      </c>
      <c r="E1931" s="66" t="str">
        <f>IF(Eighth!E184="", "",Eighth!E184)</f>
        <v/>
      </c>
      <c r="F1931" s="66" t="str">
        <f>IF(Eighth!F184="", "",Eighth!F184)</f>
        <v/>
      </c>
      <c r="G1931" s="66" t="str">
        <f>IF(Eighth!G184="", "",Eighth!G184)</f>
        <v/>
      </c>
      <c r="H1931" s="66" t="str">
        <f>IF(Eighth!H184="", "",Eighth!H184)</f>
        <v/>
      </c>
      <c r="I1931" s="66" t="str">
        <f>IF(Eighth!I184="", "",Eighth!I184)</f>
        <v/>
      </c>
      <c r="J1931" s="66" t="str">
        <f>IF(Eighth!J184="", "",Eighth!J184)</f>
        <v/>
      </c>
      <c r="K1931" s="86" t="str">
        <f>IF(Eighth!K184="", "",Eighth!K184)</f>
        <v/>
      </c>
      <c r="M1931" s="67" t="str">
        <f t="shared" si="92"/>
        <v/>
      </c>
      <c r="N1931" s="76" t="str">
        <f t="shared" si="93"/>
        <v/>
      </c>
      <c r="O1931" s="33">
        <f t="shared" si="91"/>
        <v>0</v>
      </c>
    </row>
    <row r="1932" spans="1:15" x14ac:dyDescent="0.25">
      <c r="A1932" s="64" t="s">
        <v>181</v>
      </c>
      <c r="B1932" s="79" t="str">
        <f>IF(Eighth!B185="", "",Eighth!B185)</f>
        <v/>
      </c>
      <c r="C1932" s="66" t="str">
        <f>IF(Eighth!C185="", "",Eighth!C185)</f>
        <v/>
      </c>
      <c r="D1932" s="66" t="str">
        <f>IF(Eighth!D185="", "",Eighth!D185)</f>
        <v/>
      </c>
      <c r="E1932" s="66" t="str">
        <f>IF(Eighth!E185="", "",Eighth!E185)</f>
        <v/>
      </c>
      <c r="F1932" s="66" t="str">
        <f>IF(Eighth!F185="", "",Eighth!F185)</f>
        <v/>
      </c>
      <c r="G1932" s="66" t="str">
        <f>IF(Eighth!G185="", "",Eighth!G185)</f>
        <v/>
      </c>
      <c r="H1932" s="66" t="str">
        <f>IF(Eighth!H185="", "",Eighth!H185)</f>
        <v/>
      </c>
      <c r="I1932" s="66" t="str">
        <f>IF(Eighth!I185="", "",Eighth!I185)</f>
        <v/>
      </c>
      <c r="J1932" s="66" t="str">
        <f>IF(Eighth!J185="", "",Eighth!J185)</f>
        <v/>
      </c>
      <c r="K1932" s="86" t="str">
        <f>IF(Eighth!K185="", "",Eighth!K185)</f>
        <v/>
      </c>
      <c r="M1932" s="67" t="str">
        <f t="shared" si="92"/>
        <v/>
      </c>
      <c r="N1932" s="76" t="str">
        <f t="shared" si="93"/>
        <v/>
      </c>
      <c r="O1932" s="33">
        <f t="shared" si="91"/>
        <v>0</v>
      </c>
    </row>
    <row r="1933" spans="1:15" x14ac:dyDescent="0.25">
      <c r="A1933" s="64" t="s">
        <v>181</v>
      </c>
      <c r="B1933" s="79" t="str">
        <f>IF(Eighth!B186="", "",Eighth!B186)</f>
        <v/>
      </c>
      <c r="C1933" s="66" t="str">
        <f>IF(Eighth!C186="", "",Eighth!C186)</f>
        <v/>
      </c>
      <c r="D1933" s="66" t="str">
        <f>IF(Eighth!D186="", "",Eighth!D186)</f>
        <v/>
      </c>
      <c r="E1933" s="66" t="str">
        <f>IF(Eighth!E186="", "",Eighth!E186)</f>
        <v/>
      </c>
      <c r="F1933" s="66" t="str">
        <f>IF(Eighth!F186="", "",Eighth!F186)</f>
        <v/>
      </c>
      <c r="G1933" s="66" t="str">
        <f>IF(Eighth!G186="", "",Eighth!G186)</f>
        <v/>
      </c>
      <c r="H1933" s="66" t="str">
        <f>IF(Eighth!H186="", "",Eighth!H186)</f>
        <v/>
      </c>
      <c r="I1933" s="66" t="str">
        <f>IF(Eighth!I186="", "",Eighth!I186)</f>
        <v/>
      </c>
      <c r="J1933" s="66" t="str">
        <f>IF(Eighth!J186="", "",Eighth!J186)</f>
        <v/>
      </c>
      <c r="K1933" s="86" t="str">
        <f>IF(Eighth!K186="", "",Eighth!K186)</f>
        <v/>
      </c>
      <c r="M1933" s="67" t="str">
        <f t="shared" si="92"/>
        <v/>
      </c>
      <c r="N1933" s="76" t="str">
        <f t="shared" si="93"/>
        <v/>
      </c>
      <c r="O1933" s="33">
        <f t="shared" si="91"/>
        <v>0</v>
      </c>
    </row>
    <row r="1934" spans="1:15" x14ac:dyDescent="0.25">
      <c r="A1934" s="64" t="s">
        <v>181</v>
      </c>
      <c r="B1934" s="79" t="str">
        <f>IF(Eighth!B187="", "",Eighth!B187)</f>
        <v/>
      </c>
      <c r="C1934" s="66" t="str">
        <f>IF(Eighth!C187="", "",Eighth!C187)</f>
        <v/>
      </c>
      <c r="D1934" s="66" t="str">
        <f>IF(Eighth!D187="", "",Eighth!D187)</f>
        <v/>
      </c>
      <c r="E1934" s="66" t="str">
        <f>IF(Eighth!E187="", "",Eighth!E187)</f>
        <v/>
      </c>
      <c r="F1934" s="66" t="str">
        <f>IF(Eighth!F187="", "",Eighth!F187)</f>
        <v/>
      </c>
      <c r="G1934" s="66" t="str">
        <f>IF(Eighth!G187="", "",Eighth!G187)</f>
        <v/>
      </c>
      <c r="H1934" s="66" t="str">
        <f>IF(Eighth!H187="", "",Eighth!H187)</f>
        <v/>
      </c>
      <c r="I1934" s="66" t="str">
        <f>IF(Eighth!I187="", "",Eighth!I187)</f>
        <v/>
      </c>
      <c r="J1934" s="66" t="str">
        <f>IF(Eighth!J187="", "",Eighth!J187)</f>
        <v/>
      </c>
      <c r="K1934" s="86" t="str">
        <f>IF(Eighth!K187="", "",Eighth!K187)</f>
        <v/>
      </c>
      <c r="M1934" s="67" t="str">
        <f t="shared" si="92"/>
        <v/>
      </c>
      <c r="N1934" s="76" t="str">
        <f t="shared" si="93"/>
        <v/>
      </c>
      <c r="O1934" s="33">
        <f t="shared" si="91"/>
        <v>0</v>
      </c>
    </row>
    <row r="1935" spans="1:15" x14ac:dyDescent="0.25">
      <c r="A1935" s="64" t="s">
        <v>181</v>
      </c>
      <c r="B1935" s="79" t="str">
        <f>IF(Eighth!B188="", "",Eighth!B188)</f>
        <v/>
      </c>
      <c r="C1935" s="66" t="str">
        <f>IF(Eighth!C188="", "",Eighth!C188)</f>
        <v/>
      </c>
      <c r="D1935" s="66" t="str">
        <f>IF(Eighth!D188="", "",Eighth!D188)</f>
        <v/>
      </c>
      <c r="E1935" s="66" t="str">
        <f>IF(Eighth!E188="", "",Eighth!E188)</f>
        <v/>
      </c>
      <c r="F1935" s="66" t="str">
        <f>IF(Eighth!F188="", "",Eighth!F188)</f>
        <v/>
      </c>
      <c r="G1935" s="66" t="str">
        <f>IF(Eighth!G188="", "",Eighth!G188)</f>
        <v/>
      </c>
      <c r="H1935" s="66" t="str">
        <f>IF(Eighth!H188="", "",Eighth!H188)</f>
        <v/>
      </c>
      <c r="I1935" s="66" t="str">
        <f>IF(Eighth!I188="", "",Eighth!I188)</f>
        <v/>
      </c>
      <c r="J1935" s="66" t="str">
        <f>IF(Eighth!J188="", "",Eighth!J188)</f>
        <v/>
      </c>
      <c r="K1935" s="86" t="str">
        <f>IF(Eighth!K188="", "",Eighth!K188)</f>
        <v/>
      </c>
      <c r="M1935" s="67" t="str">
        <f t="shared" si="92"/>
        <v/>
      </c>
      <c r="N1935" s="76" t="str">
        <f t="shared" si="93"/>
        <v/>
      </c>
      <c r="O1935" s="33">
        <f t="shared" si="91"/>
        <v>0</v>
      </c>
    </row>
    <row r="1936" spans="1:15" x14ac:dyDescent="0.25">
      <c r="A1936" s="64" t="s">
        <v>181</v>
      </c>
      <c r="B1936" s="79" t="str">
        <f>IF(Eighth!B189="", "",Eighth!B189)</f>
        <v/>
      </c>
      <c r="C1936" s="66" t="str">
        <f>IF(Eighth!C189="", "",Eighth!C189)</f>
        <v/>
      </c>
      <c r="D1936" s="66" t="str">
        <f>IF(Eighth!D189="", "",Eighth!D189)</f>
        <v/>
      </c>
      <c r="E1936" s="66" t="str">
        <f>IF(Eighth!E189="", "",Eighth!E189)</f>
        <v/>
      </c>
      <c r="F1936" s="66" t="str">
        <f>IF(Eighth!F189="", "",Eighth!F189)</f>
        <v/>
      </c>
      <c r="G1936" s="66" t="str">
        <f>IF(Eighth!G189="", "",Eighth!G189)</f>
        <v/>
      </c>
      <c r="H1936" s="66" t="str">
        <f>IF(Eighth!H189="", "",Eighth!H189)</f>
        <v/>
      </c>
      <c r="I1936" s="66" t="str">
        <f>IF(Eighth!I189="", "",Eighth!I189)</f>
        <v/>
      </c>
      <c r="J1936" s="66" t="str">
        <f>IF(Eighth!J189="", "",Eighth!J189)</f>
        <v/>
      </c>
      <c r="K1936" s="86" t="str">
        <f>IF(Eighth!K189="", "",Eighth!K189)</f>
        <v/>
      </c>
      <c r="M1936" s="67" t="str">
        <f t="shared" si="92"/>
        <v/>
      </c>
      <c r="N1936" s="76" t="str">
        <f t="shared" si="93"/>
        <v/>
      </c>
      <c r="O1936" s="33">
        <f t="shared" si="91"/>
        <v>0</v>
      </c>
    </row>
    <row r="1937" spans="1:15" x14ac:dyDescent="0.25">
      <c r="A1937" s="64" t="s">
        <v>181</v>
      </c>
      <c r="B1937" s="79" t="str">
        <f>IF(Eighth!B190="", "",Eighth!B190)</f>
        <v/>
      </c>
      <c r="C1937" s="66" t="str">
        <f>IF(Eighth!C190="", "",Eighth!C190)</f>
        <v/>
      </c>
      <c r="D1937" s="66" t="str">
        <f>IF(Eighth!D190="", "",Eighth!D190)</f>
        <v/>
      </c>
      <c r="E1937" s="66" t="str">
        <f>IF(Eighth!E190="", "",Eighth!E190)</f>
        <v/>
      </c>
      <c r="F1937" s="66" t="str">
        <f>IF(Eighth!F190="", "",Eighth!F190)</f>
        <v/>
      </c>
      <c r="G1937" s="66" t="str">
        <f>IF(Eighth!G190="", "",Eighth!G190)</f>
        <v/>
      </c>
      <c r="H1937" s="66" t="str">
        <f>IF(Eighth!H190="", "",Eighth!H190)</f>
        <v/>
      </c>
      <c r="I1937" s="66" t="str">
        <f>IF(Eighth!I190="", "",Eighth!I190)</f>
        <v/>
      </c>
      <c r="J1937" s="66" t="str">
        <f>IF(Eighth!J190="", "",Eighth!J190)</f>
        <v/>
      </c>
      <c r="K1937" s="86" t="str">
        <f>IF(Eighth!K190="", "",Eighth!K190)</f>
        <v/>
      </c>
      <c r="M1937" s="67" t="str">
        <f t="shared" si="92"/>
        <v/>
      </c>
      <c r="N1937" s="76" t="str">
        <f t="shared" si="93"/>
        <v/>
      </c>
      <c r="O1937" s="33">
        <f t="shared" si="91"/>
        <v>0</v>
      </c>
    </row>
    <row r="1938" spans="1:15" x14ac:dyDescent="0.25">
      <c r="A1938" s="64" t="s">
        <v>181</v>
      </c>
      <c r="B1938" s="79" t="str">
        <f>IF(Eighth!B191="", "",Eighth!B191)</f>
        <v/>
      </c>
      <c r="C1938" s="66" t="str">
        <f>IF(Eighth!C191="", "",Eighth!C191)</f>
        <v/>
      </c>
      <c r="D1938" s="66" t="str">
        <f>IF(Eighth!D191="", "",Eighth!D191)</f>
        <v/>
      </c>
      <c r="E1938" s="66" t="str">
        <f>IF(Eighth!E191="", "",Eighth!E191)</f>
        <v/>
      </c>
      <c r="F1938" s="66" t="str">
        <f>IF(Eighth!F191="", "",Eighth!F191)</f>
        <v/>
      </c>
      <c r="G1938" s="66" t="str">
        <f>IF(Eighth!G191="", "",Eighth!G191)</f>
        <v/>
      </c>
      <c r="H1938" s="66" t="str">
        <f>IF(Eighth!H191="", "",Eighth!H191)</f>
        <v/>
      </c>
      <c r="I1938" s="66" t="str">
        <f>IF(Eighth!I191="", "",Eighth!I191)</f>
        <v/>
      </c>
      <c r="J1938" s="66" t="str">
        <f>IF(Eighth!J191="", "",Eighth!J191)</f>
        <v/>
      </c>
      <c r="K1938" s="86" t="str">
        <f>IF(Eighth!K191="", "",Eighth!K191)</f>
        <v/>
      </c>
      <c r="M1938" s="67" t="str">
        <f t="shared" si="92"/>
        <v/>
      </c>
      <c r="N1938" s="76" t="str">
        <f t="shared" si="93"/>
        <v/>
      </c>
      <c r="O1938" s="33">
        <f t="shared" si="91"/>
        <v>0</v>
      </c>
    </row>
    <row r="1939" spans="1:15" x14ac:dyDescent="0.25">
      <c r="A1939" s="64" t="s">
        <v>181</v>
      </c>
      <c r="B1939" s="79" t="str">
        <f>IF(Eighth!B192="", "",Eighth!B192)</f>
        <v/>
      </c>
      <c r="C1939" s="66" t="str">
        <f>IF(Eighth!C192="", "",Eighth!C192)</f>
        <v/>
      </c>
      <c r="D1939" s="66" t="str">
        <f>IF(Eighth!D192="", "",Eighth!D192)</f>
        <v/>
      </c>
      <c r="E1939" s="66" t="str">
        <f>IF(Eighth!E192="", "",Eighth!E192)</f>
        <v/>
      </c>
      <c r="F1939" s="66" t="str">
        <f>IF(Eighth!F192="", "",Eighth!F192)</f>
        <v/>
      </c>
      <c r="G1939" s="66" t="str">
        <f>IF(Eighth!G192="", "",Eighth!G192)</f>
        <v/>
      </c>
      <c r="H1939" s="66" t="str">
        <f>IF(Eighth!H192="", "",Eighth!H192)</f>
        <v/>
      </c>
      <c r="I1939" s="66" t="str">
        <f>IF(Eighth!I192="", "",Eighth!I192)</f>
        <v/>
      </c>
      <c r="J1939" s="66" t="str">
        <f>IF(Eighth!J192="", "",Eighth!J192)</f>
        <v/>
      </c>
      <c r="K1939" s="86" t="str">
        <f>IF(Eighth!K192="", "",Eighth!K192)</f>
        <v/>
      </c>
      <c r="M1939" s="67" t="str">
        <f t="shared" si="92"/>
        <v/>
      </c>
      <c r="N1939" s="76" t="str">
        <f t="shared" si="93"/>
        <v/>
      </c>
      <c r="O1939" s="33">
        <f t="shared" si="91"/>
        <v>0</v>
      </c>
    </row>
    <row r="1940" spans="1:15" x14ac:dyDescent="0.25">
      <c r="A1940" s="64" t="s">
        <v>181</v>
      </c>
      <c r="B1940" s="79" t="str">
        <f>IF(Eighth!B193="", "",Eighth!B193)</f>
        <v/>
      </c>
      <c r="C1940" s="66" t="str">
        <f>IF(Eighth!C193="", "",Eighth!C193)</f>
        <v/>
      </c>
      <c r="D1940" s="66" t="str">
        <f>IF(Eighth!D193="", "",Eighth!D193)</f>
        <v/>
      </c>
      <c r="E1940" s="66" t="str">
        <f>IF(Eighth!E193="", "",Eighth!E193)</f>
        <v/>
      </c>
      <c r="F1940" s="66" t="str">
        <f>IF(Eighth!F193="", "",Eighth!F193)</f>
        <v/>
      </c>
      <c r="G1940" s="66" t="str">
        <f>IF(Eighth!G193="", "",Eighth!G193)</f>
        <v/>
      </c>
      <c r="H1940" s="66" t="str">
        <f>IF(Eighth!H193="", "",Eighth!H193)</f>
        <v/>
      </c>
      <c r="I1940" s="66" t="str">
        <f>IF(Eighth!I193="", "",Eighth!I193)</f>
        <v/>
      </c>
      <c r="J1940" s="66" t="str">
        <f>IF(Eighth!J193="", "",Eighth!J193)</f>
        <v/>
      </c>
      <c r="K1940" s="86" t="str">
        <f>IF(Eighth!K193="", "",Eighth!K193)</f>
        <v/>
      </c>
      <c r="M1940" s="67" t="str">
        <f t="shared" si="92"/>
        <v/>
      </c>
      <c r="N1940" s="76" t="str">
        <f t="shared" si="93"/>
        <v/>
      </c>
      <c r="O1940" s="33">
        <f t="shared" si="91"/>
        <v>0</v>
      </c>
    </row>
    <row r="1941" spans="1:15" x14ac:dyDescent="0.25">
      <c r="A1941" s="64" t="s">
        <v>181</v>
      </c>
      <c r="B1941" s="79" t="str">
        <f>IF(Eighth!B194="", "",Eighth!B194)</f>
        <v/>
      </c>
      <c r="C1941" s="66" t="str">
        <f>IF(Eighth!C194="", "",Eighth!C194)</f>
        <v/>
      </c>
      <c r="D1941" s="66" t="str">
        <f>IF(Eighth!D194="", "",Eighth!D194)</f>
        <v/>
      </c>
      <c r="E1941" s="66" t="str">
        <f>IF(Eighth!E194="", "",Eighth!E194)</f>
        <v/>
      </c>
      <c r="F1941" s="66" t="str">
        <f>IF(Eighth!F194="", "",Eighth!F194)</f>
        <v/>
      </c>
      <c r="G1941" s="66" t="str">
        <f>IF(Eighth!G194="", "",Eighth!G194)</f>
        <v/>
      </c>
      <c r="H1941" s="66" t="str">
        <f>IF(Eighth!H194="", "",Eighth!H194)</f>
        <v/>
      </c>
      <c r="I1941" s="66" t="str">
        <f>IF(Eighth!I194="", "",Eighth!I194)</f>
        <v/>
      </c>
      <c r="J1941" s="66" t="str">
        <f>IF(Eighth!J194="", "",Eighth!J194)</f>
        <v/>
      </c>
      <c r="K1941" s="86" t="str">
        <f>IF(Eighth!K194="", "",Eighth!K194)</f>
        <v/>
      </c>
      <c r="M1941" s="67" t="str">
        <f t="shared" si="92"/>
        <v/>
      </c>
      <c r="N1941" s="76" t="str">
        <f t="shared" si="93"/>
        <v/>
      </c>
      <c r="O1941" s="33">
        <f t="shared" si="91"/>
        <v>0</v>
      </c>
    </row>
    <row r="1942" spans="1:15" x14ac:dyDescent="0.25">
      <c r="A1942" s="64" t="s">
        <v>181</v>
      </c>
      <c r="B1942" s="79" t="str">
        <f>IF(Eighth!B195="", "",Eighth!B195)</f>
        <v/>
      </c>
      <c r="C1942" s="66" t="str">
        <f>IF(Eighth!C195="", "",Eighth!C195)</f>
        <v/>
      </c>
      <c r="D1942" s="66" t="str">
        <f>IF(Eighth!D195="", "",Eighth!D195)</f>
        <v/>
      </c>
      <c r="E1942" s="66" t="str">
        <f>IF(Eighth!E195="", "",Eighth!E195)</f>
        <v/>
      </c>
      <c r="F1942" s="66" t="str">
        <f>IF(Eighth!F195="", "",Eighth!F195)</f>
        <v/>
      </c>
      <c r="G1942" s="66" t="str">
        <f>IF(Eighth!G195="", "",Eighth!G195)</f>
        <v/>
      </c>
      <c r="H1942" s="66" t="str">
        <f>IF(Eighth!H195="", "",Eighth!H195)</f>
        <v/>
      </c>
      <c r="I1942" s="66" t="str">
        <f>IF(Eighth!I195="", "",Eighth!I195)</f>
        <v/>
      </c>
      <c r="J1942" s="66" t="str">
        <f>IF(Eighth!J195="", "",Eighth!J195)</f>
        <v/>
      </c>
      <c r="K1942" s="86" t="str">
        <f>IF(Eighth!K195="", "",Eighth!K195)</f>
        <v/>
      </c>
      <c r="M1942" s="67" t="str">
        <f t="shared" si="92"/>
        <v/>
      </c>
      <c r="N1942" s="76" t="str">
        <f t="shared" si="93"/>
        <v/>
      </c>
      <c r="O1942" s="33">
        <f t="shared" si="91"/>
        <v>0</v>
      </c>
    </row>
    <row r="1943" spans="1:15" x14ac:dyDescent="0.25">
      <c r="A1943" s="64" t="s">
        <v>181</v>
      </c>
      <c r="B1943" s="79" t="str">
        <f>IF(Eighth!B196="", "",Eighth!B196)</f>
        <v/>
      </c>
      <c r="C1943" s="66" t="str">
        <f>IF(Eighth!C196="", "",Eighth!C196)</f>
        <v/>
      </c>
      <c r="D1943" s="66" t="str">
        <f>IF(Eighth!D196="", "",Eighth!D196)</f>
        <v/>
      </c>
      <c r="E1943" s="66" t="str">
        <f>IF(Eighth!E196="", "",Eighth!E196)</f>
        <v/>
      </c>
      <c r="F1943" s="66" t="str">
        <f>IF(Eighth!F196="", "",Eighth!F196)</f>
        <v/>
      </c>
      <c r="G1943" s="66" t="str">
        <f>IF(Eighth!G196="", "",Eighth!G196)</f>
        <v/>
      </c>
      <c r="H1943" s="66" t="str">
        <f>IF(Eighth!H196="", "",Eighth!H196)</f>
        <v/>
      </c>
      <c r="I1943" s="66" t="str">
        <f>IF(Eighth!I196="", "",Eighth!I196)</f>
        <v/>
      </c>
      <c r="J1943" s="66" t="str">
        <f>IF(Eighth!J196="", "",Eighth!J196)</f>
        <v/>
      </c>
      <c r="K1943" s="86" t="str">
        <f>IF(Eighth!K196="", "",Eighth!K196)</f>
        <v/>
      </c>
      <c r="M1943" s="67" t="str">
        <f t="shared" si="92"/>
        <v/>
      </c>
      <c r="N1943" s="76" t="str">
        <f t="shared" si="93"/>
        <v/>
      </c>
      <c r="O1943" s="33">
        <f t="shared" si="91"/>
        <v>0</v>
      </c>
    </row>
    <row r="1944" spans="1:15" x14ac:dyDescent="0.25">
      <c r="A1944" s="64" t="s">
        <v>181</v>
      </c>
      <c r="B1944" s="79" t="str">
        <f>IF(Eighth!B197="", "",Eighth!B197)</f>
        <v/>
      </c>
      <c r="C1944" s="66" t="str">
        <f>IF(Eighth!C197="", "",Eighth!C197)</f>
        <v/>
      </c>
      <c r="D1944" s="66" t="str">
        <f>IF(Eighth!D197="", "",Eighth!D197)</f>
        <v/>
      </c>
      <c r="E1944" s="66" t="str">
        <f>IF(Eighth!E197="", "",Eighth!E197)</f>
        <v/>
      </c>
      <c r="F1944" s="66" t="str">
        <f>IF(Eighth!F197="", "",Eighth!F197)</f>
        <v/>
      </c>
      <c r="G1944" s="66" t="str">
        <f>IF(Eighth!G197="", "",Eighth!G197)</f>
        <v/>
      </c>
      <c r="H1944" s="66" t="str">
        <f>IF(Eighth!H197="", "",Eighth!H197)</f>
        <v/>
      </c>
      <c r="I1944" s="66" t="str">
        <f>IF(Eighth!I197="", "",Eighth!I197)</f>
        <v/>
      </c>
      <c r="J1944" s="66" t="str">
        <f>IF(Eighth!J197="", "",Eighth!J197)</f>
        <v/>
      </c>
      <c r="K1944" s="86" t="str">
        <f>IF(Eighth!K197="", "",Eighth!K197)</f>
        <v/>
      </c>
      <c r="M1944" s="67" t="str">
        <f t="shared" si="92"/>
        <v/>
      </c>
      <c r="N1944" s="76" t="str">
        <f t="shared" si="93"/>
        <v/>
      </c>
      <c r="O1944" s="33">
        <f t="shared" si="91"/>
        <v>0</v>
      </c>
    </row>
    <row r="1945" spans="1:15" x14ac:dyDescent="0.25">
      <c r="A1945" s="64" t="s">
        <v>181</v>
      </c>
      <c r="B1945" s="79" t="str">
        <f>IF(Eighth!B198="", "",Eighth!B198)</f>
        <v/>
      </c>
      <c r="C1945" s="66" t="str">
        <f>IF(Eighth!C198="", "",Eighth!C198)</f>
        <v/>
      </c>
      <c r="D1945" s="66" t="str">
        <f>IF(Eighth!D198="", "",Eighth!D198)</f>
        <v/>
      </c>
      <c r="E1945" s="66" t="str">
        <f>IF(Eighth!E198="", "",Eighth!E198)</f>
        <v/>
      </c>
      <c r="F1945" s="66" t="str">
        <f>IF(Eighth!F198="", "",Eighth!F198)</f>
        <v/>
      </c>
      <c r="G1945" s="66" t="str">
        <f>IF(Eighth!G198="", "",Eighth!G198)</f>
        <v/>
      </c>
      <c r="H1945" s="66" t="str">
        <f>IF(Eighth!H198="", "",Eighth!H198)</f>
        <v/>
      </c>
      <c r="I1945" s="66" t="str">
        <f>IF(Eighth!I198="", "",Eighth!I198)</f>
        <v/>
      </c>
      <c r="J1945" s="66" t="str">
        <f>IF(Eighth!J198="", "",Eighth!J198)</f>
        <v/>
      </c>
      <c r="K1945" s="86" t="str">
        <f>IF(Eighth!K198="", "",Eighth!K198)</f>
        <v/>
      </c>
      <c r="M1945" s="67" t="str">
        <f t="shared" si="92"/>
        <v/>
      </c>
      <c r="N1945" s="76" t="str">
        <f t="shared" si="93"/>
        <v/>
      </c>
      <c r="O1945" s="33">
        <f t="shared" si="91"/>
        <v>0</v>
      </c>
    </row>
    <row r="1946" spans="1:15" x14ac:dyDescent="0.25">
      <c r="A1946" s="64" t="s">
        <v>181</v>
      </c>
      <c r="B1946" s="79" t="str">
        <f>IF(Eighth!B199="", "",Eighth!B199)</f>
        <v/>
      </c>
      <c r="C1946" s="66" t="str">
        <f>IF(Eighth!C199="", "",Eighth!C199)</f>
        <v/>
      </c>
      <c r="D1946" s="66" t="str">
        <f>IF(Eighth!D199="", "",Eighth!D199)</f>
        <v/>
      </c>
      <c r="E1946" s="66" t="str">
        <f>IF(Eighth!E199="", "",Eighth!E199)</f>
        <v/>
      </c>
      <c r="F1946" s="66" t="str">
        <f>IF(Eighth!F199="", "",Eighth!F199)</f>
        <v/>
      </c>
      <c r="G1946" s="66" t="str">
        <f>IF(Eighth!G199="", "",Eighth!G199)</f>
        <v/>
      </c>
      <c r="H1946" s="66" t="str">
        <f>IF(Eighth!H199="", "",Eighth!H199)</f>
        <v/>
      </c>
      <c r="I1946" s="66" t="str">
        <f>IF(Eighth!I199="", "",Eighth!I199)</f>
        <v/>
      </c>
      <c r="J1946" s="66" t="str">
        <f>IF(Eighth!J199="", "",Eighth!J199)</f>
        <v/>
      </c>
      <c r="K1946" s="86" t="str">
        <f>IF(Eighth!K199="", "",Eighth!K199)</f>
        <v/>
      </c>
      <c r="M1946" s="67" t="str">
        <f t="shared" si="92"/>
        <v/>
      </c>
      <c r="N1946" s="76" t="str">
        <f t="shared" si="93"/>
        <v/>
      </c>
      <c r="O1946" s="33">
        <f t="shared" si="91"/>
        <v>0</v>
      </c>
    </row>
    <row r="1947" spans="1:15" x14ac:dyDescent="0.25">
      <c r="A1947" s="64" t="s">
        <v>181</v>
      </c>
      <c r="B1947" s="79" t="str">
        <f>IF(Eighth!B200="", "",Eighth!B200)</f>
        <v/>
      </c>
      <c r="C1947" s="66" t="str">
        <f>IF(Eighth!C200="", "",Eighth!C200)</f>
        <v/>
      </c>
      <c r="D1947" s="66" t="str">
        <f>IF(Eighth!D200="", "",Eighth!D200)</f>
        <v/>
      </c>
      <c r="E1947" s="66" t="str">
        <f>IF(Eighth!E200="", "",Eighth!E200)</f>
        <v/>
      </c>
      <c r="F1947" s="66" t="str">
        <f>IF(Eighth!F200="", "",Eighth!F200)</f>
        <v/>
      </c>
      <c r="G1947" s="66" t="str">
        <f>IF(Eighth!G200="", "",Eighth!G200)</f>
        <v/>
      </c>
      <c r="H1947" s="66" t="str">
        <f>IF(Eighth!H200="", "",Eighth!H200)</f>
        <v/>
      </c>
      <c r="I1947" s="66" t="str">
        <f>IF(Eighth!I200="", "",Eighth!I200)</f>
        <v/>
      </c>
      <c r="J1947" s="66" t="str">
        <f>IF(Eighth!J200="", "",Eighth!J200)</f>
        <v/>
      </c>
      <c r="K1947" s="86" t="str">
        <f>IF(Eighth!K200="", "",Eighth!K200)</f>
        <v/>
      </c>
      <c r="M1947" s="67" t="str">
        <f t="shared" si="92"/>
        <v/>
      </c>
      <c r="N1947" s="76" t="str">
        <f t="shared" si="93"/>
        <v/>
      </c>
      <c r="O1947" s="33">
        <f t="shared" si="91"/>
        <v>0</v>
      </c>
    </row>
    <row r="1948" spans="1:15" x14ac:dyDescent="0.25">
      <c r="A1948" s="64" t="s">
        <v>181</v>
      </c>
      <c r="B1948" s="79" t="str">
        <f>IF(Eighth!B201="", "",Eighth!B201)</f>
        <v/>
      </c>
      <c r="C1948" s="66" t="str">
        <f>IF(Eighth!C201="", "",Eighth!C201)</f>
        <v/>
      </c>
      <c r="D1948" s="66" t="str">
        <f>IF(Eighth!D201="", "",Eighth!D201)</f>
        <v/>
      </c>
      <c r="E1948" s="66" t="str">
        <f>IF(Eighth!E201="", "",Eighth!E201)</f>
        <v/>
      </c>
      <c r="F1948" s="66" t="str">
        <f>IF(Eighth!F201="", "",Eighth!F201)</f>
        <v/>
      </c>
      <c r="G1948" s="66" t="str">
        <f>IF(Eighth!G201="", "",Eighth!G201)</f>
        <v/>
      </c>
      <c r="H1948" s="66" t="str">
        <f>IF(Eighth!H201="", "",Eighth!H201)</f>
        <v/>
      </c>
      <c r="I1948" s="66" t="str">
        <f>IF(Eighth!I201="", "",Eighth!I201)</f>
        <v/>
      </c>
      <c r="J1948" s="66" t="str">
        <f>IF(Eighth!J201="", "",Eighth!J201)</f>
        <v/>
      </c>
      <c r="K1948" s="86" t="str">
        <f>IF(Eighth!K201="", "",Eighth!K201)</f>
        <v/>
      </c>
      <c r="M1948" s="67" t="str">
        <f t="shared" si="92"/>
        <v/>
      </c>
      <c r="N1948" s="76" t="str">
        <f t="shared" si="93"/>
        <v/>
      </c>
      <c r="O1948" s="33">
        <f t="shared" si="91"/>
        <v>0</v>
      </c>
    </row>
    <row r="1949" spans="1:15" x14ac:dyDescent="0.25">
      <c r="A1949" s="64" t="s">
        <v>181</v>
      </c>
      <c r="B1949" s="79" t="str">
        <f>IF(Eighth!B202="", "",Eighth!B202)</f>
        <v/>
      </c>
      <c r="C1949" s="66" t="str">
        <f>IF(Eighth!C202="", "",Eighth!C202)</f>
        <v/>
      </c>
      <c r="D1949" s="66" t="str">
        <f>IF(Eighth!D202="", "",Eighth!D202)</f>
        <v/>
      </c>
      <c r="E1949" s="66" t="str">
        <f>IF(Eighth!E202="", "",Eighth!E202)</f>
        <v/>
      </c>
      <c r="F1949" s="66" t="str">
        <f>IF(Eighth!F202="", "",Eighth!F202)</f>
        <v/>
      </c>
      <c r="G1949" s="66" t="str">
        <f>IF(Eighth!G202="", "",Eighth!G202)</f>
        <v/>
      </c>
      <c r="H1949" s="66" t="str">
        <f>IF(Eighth!H202="", "",Eighth!H202)</f>
        <v/>
      </c>
      <c r="I1949" s="66" t="str">
        <f>IF(Eighth!I202="", "",Eighth!I202)</f>
        <v/>
      </c>
      <c r="J1949" s="66" t="str">
        <f>IF(Eighth!J202="", "",Eighth!J202)</f>
        <v/>
      </c>
      <c r="K1949" s="86" t="str">
        <f>IF(Eighth!K202="", "",Eighth!K202)</f>
        <v/>
      </c>
      <c r="M1949" s="67" t="str">
        <f t="shared" si="92"/>
        <v/>
      </c>
      <c r="N1949" s="76" t="str">
        <f t="shared" si="93"/>
        <v/>
      </c>
      <c r="O1949" s="33">
        <f t="shared" si="91"/>
        <v>0</v>
      </c>
    </row>
    <row r="1950" spans="1:15" x14ac:dyDescent="0.25">
      <c r="A1950" s="64" t="s">
        <v>181</v>
      </c>
      <c r="B1950" s="79" t="str">
        <f>IF(Eighth!B203="", "",Eighth!B203)</f>
        <v/>
      </c>
      <c r="C1950" s="66" t="str">
        <f>IF(Eighth!C203="", "",Eighth!C203)</f>
        <v/>
      </c>
      <c r="D1950" s="66" t="str">
        <f>IF(Eighth!D203="", "",Eighth!D203)</f>
        <v/>
      </c>
      <c r="E1950" s="66" t="str">
        <f>IF(Eighth!E203="", "",Eighth!E203)</f>
        <v/>
      </c>
      <c r="F1950" s="66" t="str">
        <f>IF(Eighth!F203="", "",Eighth!F203)</f>
        <v/>
      </c>
      <c r="G1950" s="66" t="str">
        <f>IF(Eighth!G203="", "",Eighth!G203)</f>
        <v/>
      </c>
      <c r="H1950" s="66" t="str">
        <f>IF(Eighth!H203="", "",Eighth!H203)</f>
        <v/>
      </c>
      <c r="I1950" s="66" t="str">
        <f>IF(Eighth!I203="", "",Eighth!I203)</f>
        <v/>
      </c>
      <c r="J1950" s="66" t="str">
        <f>IF(Eighth!J203="", "",Eighth!J203)</f>
        <v/>
      </c>
      <c r="K1950" s="86" t="str">
        <f>IF(Eighth!K203="", "",Eighth!K203)</f>
        <v/>
      </c>
      <c r="M1950" s="67" t="str">
        <f t="shared" si="92"/>
        <v/>
      </c>
      <c r="N1950" s="76" t="str">
        <f t="shared" si="93"/>
        <v/>
      </c>
      <c r="O1950" s="33">
        <f t="shared" si="91"/>
        <v>0</v>
      </c>
    </row>
    <row r="1951" spans="1:15" x14ac:dyDescent="0.25">
      <c r="A1951" s="64" t="s">
        <v>181</v>
      </c>
      <c r="B1951" s="79" t="str">
        <f>IF(Eighth!B204="", "",Eighth!B204)</f>
        <v/>
      </c>
      <c r="C1951" s="66" t="str">
        <f>IF(Eighth!C204="", "",Eighth!C204)</f>
        <v/>
      </c>
      <c r="D1951" s="66" t="str">
        <f>IF(Eighth!D204="", "",Eighth!D204)</f>
        <v/>
      </c>
      <c r="E1951" s="66" t="str">
        <f>IF(Eighth!E204="", "",Eighth!E204)</f>
        <v/>
      </c>
      <c r="F1951" s="66" t="str">
        <f>IF(Eighth!F204="", "",Eighth!F204)</f>
        <v/>
      </c>
      <c r="G1951" s="66" t="str">
        <f>IF(Eighth!G204="", "",Eighth!G204)</f>
        <v/>
      </c>
      <c r="H1951" s="66" t="str">
        <f>IF(Eighth!H204="", "",Eighth!H204)</f>
        <v/>
      </c>
      <c r="I1951" s="66" t="str">
        <f>IF(Eighth!I204="", "",Eighth!I204)</f>
        <v/>
      </c>
      <c r="J1951" s="66" t="str">
        <f>IF(Eighth!J204="", "",Eighth!J204)</f>
        <v/>
      </c>
      <c r="K1951" s="86" t="str">
        <f>IF(Eighth!K204="", "",Eighth!K204)</f>
        <v/>
      </c>
      <c r="M1951" s="67" t="str">
        <f t="shared" si="92"/>
        <v/>
      </c>
      <c r="N1951" s="76" t="str">
        <f t="shared" si="93"/>
        <v/>
      </c>
      <c r="O1951" s="33">
        <f t="shared" si="91"/>
        <v>0</v>
      </c>
    </row>
    <row r="1952" spans="1:15" x14ac:dyDescent="0.25">
      <c r="A1952" s="64" t="s">
        <v>181</v>
      </c>
      <c r="B1952" s="79" t="str">
        <f>IF(Eighth!B205="", "",Eighth!B205)</f>
        <v/>
      </c>
      <c r="C1952" s="66" t="str">
        <f>IF(Eighth!C205="", "",Eighth!C205)</f>
        <v/>
      </c>
      <c r="D1952" s="66" t="str">
        <f>IF(Eighth!D205="", "",Eighth!D205)</f>
        <v/>
      </c>
      <c r="E1952" s="66" t="str">
        <f>IF(Eighth!E205="", "",Eighth!E205)</f>
        <v/>
      </c>
      <c r="F1952" s="66" t="str">
        <f>IF(Eighth!F205="", "",Eighth!F205)</f>
        <v/>
      </c>
      <c r="G1952" s="66" t="str">
        <f>IF(Eighth!G205="", "",Eighth!G205)</f>
        <v/>
      </c>
      <c r="H1952" s="66" t="str">
        <f>IF(Eighth!H205="", "",Eighth!H205)</f>
        <v/>
      </c>
      <c r="I1952" s="66" t="str">
        <f>IF(Eighth!I205="", "",Eighth!I205)</f>
        <v/>
      </c>
      <c r="J1952" s="66" t="str">
        <f>IF(Eighth!J205="", "",Eighth!J205)</f>
        <v/>
      </c>
      <c r="K1952" s="86" t="str">
        <f>IF(Eighth!K205="", "",Eighth!K205)</f>
        <v/>
      </c>
      <c r="M1952" s="67" t="str">
        <f t="shared" si="92"/>
        <v/>
      </c>
      <c r="N1952" s="76" t="str">
        <f t="shared" si="93"/>
        <v/>
      </c>
      <c r="O1952" s="33">
        <f t="shared" si="91"/>
        <v>0</v>
      </c>
    </row>
    <row r="1953" spans="1:15" x14ac:dyDescent="0.25">
      <c r="A1953" s="64" t="s">
        <v>181</v>
      </c>
      <c r="B1953" s="79" t="str">
        <f>IF(Eighth!B206="", "",Eighth!B206)</f>
        <v/>
      </c>
      <c r="C1953" s="66" t="str">
        <f>IF(Eighth!C206="", "",Eighth!C206)</f>
        <v/>
      </c>
      <c r="D1953" s="66" t="str">
        <f>IF(Eighth!D206="", "",Eighth!D206)</f>
        <v/>
      </c>
      <c r="E1953" s="66" t="str">
        <f>IF(Eighth!E206="", "",Eighth!E206)</f>
        <v/>
      </c>
      <c r="F1953" s="66" t="str">
        <f>IF(Eighth!F206="", "",Eighth!F206)</f>
        <v/>
      </c>
      <c r="G1953" s="66" t="str">
        <f>IF(Eighth!G206="", "",Eighth!G206)</f>
        <v/>
      </c>
      <c r="H1953" s="66" t="str">
        <f>IF(Eighth!H206="", "",Eighth!H206)</f>
        <v/>
      </c>
      <c r="I1953" s="66" t="str">
        <f>IF(Eighth!I206="", "",Eighth!I206)</f>
        <v/>
      </c>
      <c r="J1953" s="66" t="str">
        <f>IF(Eighth!J206="", "",Eighth!J206)</f>
        <v/>
      </c>
      <c r="K1953" s="86" t="str">
        <f>IF(Eighth!K206="", "",Eighth!K206)</f>
        <v/>
      </c>
      <c r="M1953" s="67" t="str">
        <f t="shared" si="92"/>
        <v/>
      </c>
      <c r="N1953" s="76" t="str">
        <f t="shared" si="93"/>
        <v/>
      </c>
      <c r="O1953" s="33">
        <f t="shared" si="91"/>
        <v>0</v>
      </c>
    </row>
    <row r="1954" spans="1:15" x14ac:dyDescent="0.25">
      <c r="A1954" s="64" t="s">
        <v>181</v>
      </c>
      <c r="B1954" s="79" t="str">
        <f>IF(Eighth!B207="", "",Eighth!B207)</f>
        <v/>
      </c>
      <c r="C1954" s="66" t="str">
        <f>IF(Eighth!C207="", "",Eighth!C207)</f>
        <v/>
      </c>
      <c r="D1954" s="66" t="str">
        <f>IF(Eighth!D207="", "",Eighth!D207)</f>
        <v/>
      </c>
      <c r="E1954" s="66" t="str">
        <f>IF(Eighth!E207="", "",Eighth!E207)</f>
        <v/>
      </c>
      <c r="F1954" s="66" t="str">
        <f>IF(Eighth!F207="", "",Eighth!F207)</f>
        <v/>
      </c>
      <c r="G1954" s="66" t="str">
        <f>IF(Eighth!G207="", "",Eighth!G207)</f>
        <v/>
      </c>
      <c r="H1954" s="66" t="str">
        <f>IF(Eighth!H207="", "",Eighth!H207)</f>
        <v/>
      </c>
      <c r="I1954" s="66" t="str">
        <f>IF(Eighth!I207="", "",Eighth!I207)</f>
        <v/>
      </c>
      <c r="J1954" s="66" t="str">
        <f>IF(Eighth!J207="", "",Eighth!J207)</f>
        <v/>
      </c>
      <c r="K1954" s="86" t="str">
        <f>IF(Eighth!K207="", "",Eighth!K207)</f>
        <v/>
      </c>
      <c r="M1954" s="67" t="str">
        <f t="shared" si="92"/>
        <v/>
      </c>
      <c r="N1954" s="76" t="str">
        <f t="shared" si="93"/>
        <v/>
      </c>
      <c r="O1954" s="33">
        <f t="shared" si="91"/>
        <v>0</v>
      </c>
    </row>
    <row r="1955" spans="1:15" x14ac:dyDescent="0.25">
      <c r="A1955" s="64" t="s">
        <v>181</v>
      </c>
      <c r="B1955" s="79" t="str">
        <f>IF(Eighth!B208="", "",Eighth!B208)</f>
        <v/>
      </c>
      <c r="C1955" s="66" t="str">
        <f>IF(Eighth!C208="", "",Eighth!C208)</f>
        <v/>
      </c>
      <c r="D1955" s="66" t="str">
        <f>IF(Eighth!D208="", "",Eighth!D208)</f>
        <v/>
      </c>
      <c r="E1955" s="66" t="str">
        <f>IF(Eighth!E208="", "",Eighth!E208)</f>
        <v/>
      </c>
      <c r="F1955" s="66" t="str">
        <f>IF(Eighth!F208="", "",Eighth!F208)</f>
        <v/>
      </c>
      <c r="G1955" s="66" t="str">
        <f>IF(Eighth!G208="", "",Eighth!G208)</f>
        <v/>
      </c>
      <c r="H1955" s="66" t="str">
        <f>IF(Eighth!H208="", "",Eighth!H208)</f>
        <v/>
      </c>
      <c r="I1955" s="66" t="str">
        <f>IF(Eighth!I208="", "",Eighth!I208)</f>
        <v/>
      </c>
      <c r="J1955" s="66" t="str">
        <f>IF(Eighth!J208="", "",Eighth!J208)</f>
        <v/>
      </c>
      <c r="K1955" s="86" t="str">
        <f>IF(Eighth!K208="", "",Eighth!K208)</f>
        <v/>
      </c>
      <c r="M1955" s="67" t="str">
        <f t="shared" si="92"/>
        <v/>
      </c>
      <c r="N1955" s="76" t="str">
        <f t="shared" si="93"/>
        <v/>
      </c>
      <c r="O1955" s="33">
        <f t="shared" si="91"/>
        <v>0</v>
      </c>
    </row>
    <row r="1956" spans="1:15" x14ac:dyDescent="0.25">
      <c r="A1956" s="64" t="s">
        <v>181</v>
      </c>
      <c r="B1956" s="79" t="str">
        <f>IF(Eighth!B209="", "",Eighth!B209)</f>
        <v/>
      </c>
      <c r="C1956" s="66" t="str">
        <f>IF(Eighth!C209="", "",Eighth!C209)</f>
        <v/>
      </c>
      <c r="D1956" s="66" t="str">
        <f>IF(Eighth!D209="", "",Eighth!D209)</f>
        <v/>
      </c>
      <c r="E1956" s="66" t="str">
        <f>IF(Eighth!E209="", "",Eighth!E209)</f>
        <v/>
      </c>
      <c r="F1956" s="66" t="str">
        <f>IF(Eighth!F209="", "",Eighth!F209)</f>
        <v/>
      </c>
      <c r="G1956" s="66" t="str">
        <f>IF(Eighth!G209="", "",Eighth!G209)</f>
        <v/>
      </c>
      <c r="H1956" s="66" t="str">
        <f>IF(Eighth!H209="", "",Eighth!H209)</f>
        <v/>
      </c>
      <c r="I1956" s="66" t="str">
        <f>IF(Eighth!I209="", "",Eighth!I209)</f>
        <v/>
      </c>
      <c r="J1956" s="66" t="str">
        <f>IF(Eighth!J209="", "",Eighth!J209)</f>
        <v/>
      </c>
      <c r="K1956" s="86" t="str">
        <f>IF(Eighth!K209="", "",Eighth!K209)</f>
        <v/>
      </c>
      <c r="M1956" s="67" t="str">
        <f t="shared" si="92"/>
        <v/>
      </c>
      <c r="N1956" s="76" t="str">
        <f t="shared" si="93"/>
        <v/>
      </c>
      <c r="O1956" s="33">
        <f t="shared" si="91"/>
        <v>0</v>
      </c>
    </row>
    <row r="1957" spans="1:15" x14ac:dyDescent="0.25">
      <c r="A1957" s="64" t="s">
        <v>181</v>
      </c>
      <c r="B1957" s="79" t="str">
        <f>IF(Eighth!B210="", "",Eighth!B210)</f>
        <v/>
      </c>
      <c r="C1957" s="66" t="str">
        <f>IF(Eighth!C210="", "",Eighth!C210)</f>
        <v/>
      </c>
      <c r="D1957" s="66" t="str">
        <f>IF(Eighth!D210="", "",Eighth!D210)</f>
        <v/>
      </c>
      <c r="E1957" s="66" t="str">
        <f>IF(Eighth!E210="", "",Eighth!E210)</f>
        <v/>
      </c>
      <c r="F1957" s="66" t="str">
        <f>IF(Eighth!F210="", "",Eighth!F210)</f>
        <v/>
      </c>
      <c r="G1957" s="66" t="str">
        <f>IF(Eighth!G210="", "",Eighth!G210)</f>
        <v/>
      </c>
      <c r="H1957" s="66" t="str">
        <f>IF(Eighth!H210="", "",Eighth!H210)</f>
        <v/>
      </c>
      <c r="I1957" s="66" t="str">
        <f>IF(Eighth!I210="", "",Eighth!I210)</f>
        <v/>
      </c>
      <c r="J1957" s="66" t="str">
        <f>IF(Eighth!J210="", "",Eighth!J210)</f>
        <v/>
      </c>
      <c r="K1957" s="86" t="str">
        <f>IF(Eighth!K210="", "",Eighth!K210)</f>
        <v/>
      </c>
      <c r="M1957" s="67" t="str">
        <f t="shared" si="92"/>
        <v/>
      </c>
      <c r="N1957" s="76" t="str">
        <f t="shared" si="93"/>
        <v/>
      </c>
      <c r="O1957" s="33">
        <f t="shared" si="91"/>
        <v>0</v>
      </c>
    </row>
    <row r="1958" spans="1:15" x14ac:dyDescent="0.25">
      <c r="A1958" s="64" t="s">
        <v>181</v>
      </c>
      <c r="B1958" s="79" t="str">
        <f>IF(Eighth!B211="", "",Eighth!B211)</f>
        <v/>
      </c>
      <c r="C1958" s="66" t="str">
        <f>IF(Eighth!C211="", "",Eighth!C211)</f>
        <v/>
      </c>
      <c r="D1958" s="66" t="str">
        <f>IF(Eighth!D211="", "",Eighth!D211)</f>
        <v/>
      </c>
      <c r="E1958" s="66" t="str">
        <f>IF(Eighth!E211="", "",Eighth!E211)</f>
        <v/>
      </c>
      <c r="F1958" s="66" t="str">
        <f>IF(Eighth!F211="", "",Eighth!F211)</f>
        <v/>
      </c>
      <c r="G1958" s="66" t="str">
        <f>IF(Eighth!G211="", "",Eighth!G211)</f>
        <v/>
      </c>
      <c r="H1958" s="66" t="str">
        <f>IF(Eighth!H211="", "",Eighth!H211)</f>
        <v/>
      </c>
      <c r="I1958" s="66" t="str">
        <f>IF(Eighth!I211="", "",Eighth!I211)</f>
        <v/>
      </c>
      <c r="J1958" s="66" t="str">
        <f>IF(Eighth!J211="", "",Eighth!J211)</f>
        <v/>
      </c>
      <c r="K1958" s="86" t="str">
        <f>IF(Eighth!K211="", "",Eighth!K211)</f>
        <v/>
      </c>
      <c r="M1958" s="67" t="str">
        <f t="shared" si="92"/>
        <v/>
      </c>
      <c r="N1958" s="76" t="str">
        <f t="shared" si="93"/>
        <v/>
      </c>
      <c r="O1958" s="33">
        <f t="shared" si="91"/>
        <v>0</v>
      </c>
    </row>
    <row r="1959" spans="1:15" x14ac:dyDescent="0.25">
      <c r="A1959" s="64" t="s">
        <v>181</v>
      </c>
      <c r="B1959" s="79" t="str">
        <f>IF(Eighth!B212="", "",Eighth!B212)</f>
        <v/>
      </c>
      <c r="C1959" s="66" t="str">
        <f>IF(Eighth!C212="", "",Eighth!C212)</f>
        <v/>
      </c>
      <c r="D1959" s="66" t="str">
        <f>IF(Eighth!D212="", "",Eighth!D212)</f>
        <v/>
      </c>
      <c r="E1959" s="66" t="str">
        <f>IF(Eighth!E212="", "",Eighth!E212)</f>
        <v/>
      </c>
      <c r="F1959" s="66" t="str">
        <f>IF(Eighth!F212="", "",Eighth!F212)</f>
        <v/>
      </c>
      <c r="G1959" s="66" t="str">
        <f>IF(Eighth!G212="", "",Eighth!G212)</f>
        <v/>
      </c>
      <c r="H1959" s="66" t="str">
        <f>IF(Eighth!H212="", "",Eighth!H212)</f>
        <v/>
      </c>
      <c r="I1959" s="66" t="str">
        <f>IF(Eighth!I212="", "",Eighth!I212)</f>
        <v/>
      </c>
      <c r="J1959" s="66" t="str">
        <f>IF(Eighth!J212="", "",Eighth!J212)</f>
        <v/>
      </c>
      <c r="K1959" s="86" t="str">
        <f>IF(Eighth!K212="", "",Eighth!K212)</f>
        <v/>
      </c>
      <c r="M1959" s="67" t="str">
        <f t="shared" si="92"/>
        <v/>
      </c>
      <c r="N1959" s="76" t="str">
        <f t="shared" si="93"/>
        <v/>
      </c>
      <c r="O1959" s="33">
        <f t="shared" si="91"/>
        <v>0</v>
      </c>
    </row>
    <row r="1960" spans="1:15" x14ac:dyDescent="0.25">
      <c r="A1960" s="64" t="s">
        <v>181</v>
      </c>
      <c r="B1960" s="79" t="str">
        <f>IF(Eighth!B213="", "",Eighth!B213)</f>
        <v/>
      </c>
      <c r="C1960" s="66" t="str">
        <f>IF(Eighth!C213="", "",Eighth!C213)</f>
        <v/>
      </c>
      <c r="D1960" s="66" t="str">
        <f>IF(Eighth!D213="", "",Eighth!D213)</f>
        <v/>
      </c>
      <c r="E1960" s="66" t="str">
        <f>IF(Eighth!E213="", "",Eighth!E213)</f>
        <v/>
      </c>
      <c r="F1960" s="66" t="str">
        <f>IF(Eighth!F213="", "",Eighth!F213)</f>
        <v/>
      </c>
      <c r="G1960" s="66" t="str">
        <f>IF(Eighth!G213="", "",Eighth!G213)</f>
        <v/>
      </c>
      <c r="H1960" s="66" t="str">
        <f>IF(Eighth!H213="", "",Eighth!H213)</f>
        <v/>
      </c>
      <c r="I1960" s="66" t="str">
        <f>IF(Eighth!I213="", "",Eighth!I213)</f>
        <v/>
      </c>
      <c r="J1960" s="66" t="str">
        <f>IF(Eighth!J213="", "",Eighth!J213)</f>
        <v/>
      </c>
      <c r="K1960" s="86" t="str">
        <f>IF(Eighth!K213="", "",Eighth!K213)</f>
        <v/>
      </c>
      <c r="M1960" s="67" t="str">
        <f t="shared" si="92"/>
        <v/>
      </c>
      <c r="N1960" s="76" t="str">
        <f t="shared" si="93"/>
        <v/>
      </c>
      <c r="O1960" s="33">
        <f t="shared" si="91"/>
        <v>0</v>
      </c>
    </row>
    <row r="1961" spans="1:15" x14ac:dyDescent="0.25">
      <c r="A1961" s="64" t="s">
        <v>181</v>
      </c>
      <c r="B1961" s="79" t="str">
        <f>IF(Eighth!B214="", "",Eighth!B214)</f>
        <v/>
      </c>
      <c r="C1961" s="66" t="str">
        <f>IF(Eighth!C214="", "",Eighth!C214)</f>
        <v/>
      </c>
      <c r="D1961" s="66" t="str">
        <f>IF(Eighth!D214="", "",Eighth!D214)</f>
        <v/>
      </c>
      <c r="E1961" s="66" t="str">
        <f>IF(Eighth!E214="", "",Eighth!E214)</f>
        <v/>
      </c>
      <c r="F1961" s="66" t="str">
        <f>IF(Eighth!F214="", "",Eighth!F214)</f>
        <v/>
      </c>
      <c r="G1961" s="66" t="str">
        <f>IF(Eighth!G214="", "",Eighth!G214)</f>
        <v/>
      </c>
      <c r="H1961" s="66" t="str">
        <f>IF(Eighth!H214="", "",Eighth!H214)</f>
        <v/>
      </c>
      <c r="I1961" s="66" t="str">
        <f>IF(Eighth!I214="", "",Eighth!I214)</f>
        <v/>
      </c>
      <c r="J1961" s="66" t="str">
        <f>IF(Eighth!J214="", "",Eighth!J214)</f>
        <v/>
      </c>
      <c r="K1961" s="86" t="str">
        <f>IF(Eighth!K214="", "",Eighth!K214)</f>
        <v/>
      </c>
      <c r="M1961" s="67" t="str">
        <f t="shared" si="92"/>
        <v/>
      </c>
      <c r="N1961" s="76" t="str">
        <f t="shared" si="93"/>
        <v/>
      </c>
      <c r="O1961" s="33">
        <f t="shared" si="91"/>
        <v>0</v>
      </c>
    </row>
    <row r="1962" spans="1:15" x14ac:dyDescent="0.25">
      <c r="A1962" s="64" t="s">
        <v>181</v>
      </c>
      <c r="B1962" s="79" t="str">
        <f>IF(Eighth!B215="", "",Eighth!B215)</f>
        <v/>
      </c>
      <c r="C1962" s="66" t="str">
        <f>IF(Eighth!C215="", "",Eighth!C215)</f>
        <v/>
      </c>
      <c r="D1962" s="66" t="str">
        <f>IF(Eighth!D215="", "",Eighth!D215)</f>
        <v/>
      </c>
      <c r="E1962" s="66" t="str">
        <f>IF(Eighth!E215="", "",Eighth!E215)</f>
        <v/>
      </c>
      <c r="F1962" s="66" t="str">
        <f>IF(Eighth!F215="", "",Eighth!F215)</f>
        <v/>
      </c>
      <c r="G1962" s="66" t="str">
        <f>IF(Eighth!G215="", "",Eighth!G215)</f>
        <v/>
      </c>
      <c r="H1962" s="66" t="str">
        <f>IF(Eighth!H215="", "",Eighth!H215)</f>
        <v/>
      </c>
      <c r="I1962" s="66" t="str">
        <f>IF(Eighth!I215="", "",Eighth!I215)</f>
        <v/>
      </c>
      <c r="J1962" s="66" t="str">
        <f>IF(Eighth!J215="", "",Eighth!J215)</f>
        <v/>
      </c>
      <c r="K1962" s="86" t="str">
        <f>IF(Eighth!K215="", "",Eighth!K215)</f>
        <v/>
      </c>
      <c r="M1962" s="67" t="str">
        <f t="shared" si="92"/>
        <v/>
      </c>
      <c r="N1962" s="76" t="str">
        <f t="shared" si="93"/>
        <v/>
      </c>
      <c r="O1962" s="33">
        <f t="shared" si="91"/>
        <v>0</v>
      </c>
    </row>
    <row r="1963" spans="1:15" x14ac:dyDescent="0.25">
      <c r="A1963" s="64" t="s">
        <v>181</v>
      </c>
      <c r="B1963" s="79" t="str">
        <f>IF(Eighth!B216="", "",Eighth!B216)</f>
        <v/>
      </c>
      <c r="C1963" s="66" t="str">
        <f>IF(Eighth!C216="", "",Eighth!C216)</f>
        <v/>
      </c>
      <c r="D1963" s="66" t="str">
        <f>IF(Eighth!D216="", "",Eighth!D216)</f>
        <v/>
      </c>
      <c r="E1963" s="66" t="str">
        <f>IF(Eighth!E216="", "",Eighth!E216)</f>
        <v/>
      </c>
      <c r="F1963" s="66" t="str">
        <f>IF(Eighth!F216="", "",Eighth!F216)</f>
        <v/>
      </c>
      <c r="G1963" s="66" t="str">
        <f>IF(Eighth!G216="", "",Eighth!G216)</f>
        <v/>
      </c>
      <c r="H1963" s="66" t="str">
        <f>IF(Eighth!H216="", "",Eighth!H216)</f>
        <v/>
      </c>
      <c r="I1963" s="66" t="str">
        <f>IF(Eighth!I216="", "",Eighth!I216)</f>
        <v/>
      </c>
      <c r="J1963" s="66" t="str">
        <f>IF(Eighth!J216="", "",Eighth!J216)</f>
        <v/>
      </c>
      <c r="K1963" s="86" t="str">
        <f>IF(Eighth!K216="", "",Eighth!K216)</f>
        <v/>
      </c>
      <c r="M1963" s="67" t="str">
        <f t="shared" si="92"/>
        <v/>
      </c>
      <c r="N1963" s="76" t="str">
        <f t="shared" si="93"/>
        <v/>
      </c>
      <c r="O1963" s="33">
        <f t="shared" si="91"/>
        <v>0</v>
      </c>
    </row>
    <row r="1964" spans="1:15" x14ac:dyDescent="0.25">
      <c r="A1964" s="64" t="s">
        <v>181</v>
      </c>
      <c r="B1964" s="79" t="str">
        <f>IF(Eighth!B217="", "",Eighth!B217)</f>
        <v/>
      </c>
      <c r="C1964" s="66" t="str">
        <f>IF(Eighth!C217="", "",Eighth!C217)</f>
        <v/>
      </c>
      <c r="D1964" s="66" t="str">
        <f>IF(Eighth!D217="", "",Eighth!D217)</f>
        <v/>
      </c>
      <c r="E1964" s="66" t="str">
        <f>IF(Eighth!E217="", "",Eighth!E217)</f>
        <v/>
      </c>
      <c r="F1964" s="66" t="str">
        <f>IF(Eighth!F217="", "",Eighth!F217)</f>
        <v/>
      </c>
      <c r="G1964" s="66" t="str">
        <f>IF(Eighth!G217="", "",Eighth!G217)</f>
        <v/>
      </c>
      <c r="H1964" s="66" t="str">
        <f>IF(Eighth!H217="", "",Eighth!H217)</f>
        <v/>
      </c>
      <c r="I1964" s="66" t="str">
        <f>IF(Eighth!I217="", "",Eighth!I217)</f>
        <v/>
      </c>
      <c r="J1964" s="66" t="str">
        <f>IF(Eighth!J217="", "",Eighth!J217)</f>
        <v/>
      </c>
      <c r="K1964" s="86" t="str">
        <f>IF(Eighth!K217="", "",Eighth!K217)</f>
        <v/>
      </c>
      <c r="M1964" s="67" t="str">
        <f t="shared" si="92"/>
        <v/>
      </c>
      <c r="N1964" s="76" t="str">
        <f t="shared" si="93"/>
        <v/>
      </c>
      <c r="O1964" s="33">
        <f t="shared" si="91"/>
        <v>0</v>
      </c>
    </row>
    <row r="1965" spans="1:15" x14ac:dyDescent="0.25">
      <c r="A1965" s="64" t="s">
        <v>181</v>
      </c>
      <c r="B1965" s="79" t="str">
        <f>IF(Eighth!B218="", "",Eighth!B218)</f>
        <v/>
      </c>
      <c r="C1965" s="66" t="str">
        <f>IF(Eighth!C218="", "",Eighth!C218)</f>
        <v/>
      </c>
      <c r="D1965" s="66" t="str">
        <f>IF(Eighth!D218="", "",Eighth!D218)</f>
        <v/>
      </c>
      <c r="E1965" s="66" t="str">
        <f>IF(Eighth!E218="", "",Eighth!E218)</f>
        <v/>
      </c>
      <c r="F1965" s="66" t="str">
        <f>IF(Eighth!F218="", "",Eighth!F218)</f>
        <v/>
      </c>
      <c r="G1965" s="66" t="str">
        <f>IF(Eighth!G218="", "",Eighth!G218)</f>
        <v/>
      </c>
      <c r="H1965" s="66" t="str">
        <f>IF(Eighth!H218="", "",Eighth!H218)</f>
        <v/>
      </c>
      <c r="I1965" s="66" t="str">
        <f>IF(Eighth!I218="", "",Eighth!I218)</f>
        <v/>
      </c>
      <c r="J1965" s="66" t="str">
        <f>IF(Eighth!J218="", "",Eighth!J218)</f>
        <v/>
      </c>
      <c r="K1965" s="86" t="str">
        <f>IF(Eighth!K218="", "",Eighth!K218)</f>
        <v/>
      </c>
      <c r="M1965" s="67" t="str">
        <f t="shared" si="92"/>
        <v/>
      </c>
      <c r="N1965" s="76" t="str">
        <f t="shared" si="93"/>
        <v/>
      </c>
      <c r="O1965" s="33">
        <f t="shared" si="91"/>
        <v>0</v>
      </c>
    </row>
    <row r="1966" spans="1:15" x14ac:dyDescent="0.25">
      <c r="A1966" s="64" t="s">
        <v>181</v>
      </c>
      <c r="B1966" s="79" t="str">
        <f>IF(Eighth!B219="", "",Eighth!B219)</f>
        <v/>
      </c>
      <c r="C1966" s="66" t="str">
        <f>IF(Eighth!C219="", "",Eighth!C219)</f>
        <v/>
      </c>
      <c r="D1966" s="66" t="str">
        <f>IF(Eighth!D219="", "",Eighth!D219)</f>
        <v/>
      </c>
      <c r="E1966" s="66" t="str">
        <f>IF(Eighth!E219="", "",Eighth!E219)</f>
        <v/>
      </c>
      <c r="F1966" s="66" t="str">
        <f>IF(Eighth!F219="", "",Eighth!F219)</f>
        <v/>
      </c>
      <c r="G1966" s="66" t="str">
        <f>IF(Eighth!G219="", "",Eighth!G219)</f>
        <v/>
      </c>
      <c r="H1966" s="66" t="str">
        <f>IF(Eighth!H219="", "",Eighth!H219)</f>
        <v/>
      </c>
      <c r="I1966" s="66" t="str">
        <f>IF(Eighth!I219="", "",Eighth!I219)</f>
        <v/>
      </c>
      <c r="J1966" s="66" t="str">
        <f>IF(Eighth!J219="", "",Eighth!J219)</f>
        <v/>
      </c>
      <c r="K1966" s="86" t="str">
        <f>IF(Eighth!K219="", "",Eighth!K219)</f>
        <v/>
      </c>
      <c r="M1966" s="67" t="str">
        <f t="shared" si="92"/>
        <v/>
      </c>
      <c r="N1966" s="76" t="str">
        <f t="shared" si="93"/>
        <v/>
      </c>
      <c r="O1966" s="33">
        <f t="shared" si="91"/>
        <v>0</v>
      </c>
    </row>
    <row r="1967" spans="1:15" x14ac:dyDescent="0.25">
      <c r="A1967" s="64" t="s">
        <v>181</v>
      </c>
      <c r="B1967" s="79" t="str">
        <f>IF(Eighth!B220="", "",Eighth!B220)</f>
        <v/>
      </c>
      <c r="C1967" s="66" t="str">
        <f>IF(Eighth!C220="", "",Eighth!C220)</f>
        <v/>
      </c>
      <c r="D1967" s="66" t="str">
        <f>IF(Eighth!D220="", "",Eighth!D220)</f>
        <v/>
      </c>
      <c r="E1967" s="66" t="str">
        <f>IF(Eighth!E220="", "",Eighth!E220)</f>
        <v/>
      </c>
      <c r="F1967" s="66" t="str">
        <f>IF(Eighth!F220="", "",Eighth!F220)</f>
        <v/>
      </c>
      <c r="G1967" s="66" t="str">
        <f>IF(Eighth!G220="", "",Eighth!G220)</f>
        <v/>
      </c>
      <c r="H1967" s="66" t="str">
        <f>IF(Eighth!H220="", "",Eighth!H220)</f>
        <v/>
      </c>
      <c r="I1967" s="66" t="str">
        <f>IF(Eighth!I220="", "",Eighth!I220)</f>
        <v/>
      </c>
      <c r="J1967" s="66" t="str">
        <f>IF(Eighth!J220="", "",Eighth!J220)</f>
        <v/>
      </c>
      <c r="K1967" s="86" t="str">
        <f>IF(Eighth!K220="", "",Eighth!K220)</f>
        <v/>
      </c>
      <c r="M1967" s="67" t="str">
        <f t="shared" si="92"/>
        <v/>
      </c>
      <c r="N1967" s="76" t="str">
        <f t="shared" si="93"/>
        <v/>
      </c>
      <c r="O1967" s="33">
        <f t="shared" si="91"/>
        <v>0</v>
      </c>
    </row>
    <row r="1968" spans="1:15" x14ac:dyDescent="0.25">
      <c r="A1968" s="64" t="s">
        <v>181</v>
      </c>
      <c r="B1968" s="79" t="str">
        <f>IF(Eighth!B221="", "",Eighth!B221)</f>
        <v/>
      </c>
      <c r="C1968" s="66" t="str">
        <f>IF(Eighth!C221="", "",Eighth!C221)</f>
        <v/>
      </c>
      <c r="D1968" s="66" t="str">
        <f>IF(Eighth!D221="", "",Eighth!D221)</f>
        <v/>
      </c>
      <c r="E1968" s="66" t="str">
        <f>IF(Eighth!E221="", "",Eighth!E221)</f>
        <v/>
      </c>
      <c r="F1968" s="66" t="str">
        <f>IF(Eighth!F221="", "",Eighth!F221)</f>
        <v/>
      </c>
      <c r="G1968" s="66" t="str">
        <f>IF(Eighth!G221="", "",Eighth!G221)</f>
        <v/>
      </c>
      <c r="H1968" s="66" t="str">
        <f>IF(Eighth!H221="", "",Eighth!H221)</f>
        <v/>
      </c>
      <c r="I1968" s="66" t="str">
        <f>IF(Eighth!I221="", "",Eighth!I221)</f>
        <v/>
      </c>
      <c r="J1968" s="66" t="str">
        <f>IF(Eighth!J221="", "",Eighth!J221)</f>
        <v/>
      </c>
      <c r="K1968" s="86" t="str">
        <f>IF(Eighth!K221="", "",Eighth!K221)</f>
        <v/>
      </c>
      <c r="M1968" s="67" t="str">
        <f t="shared" si="92"/>
        <v/>
      </c>
      <c r="N1968" s="76" t="str">
        <f t="shared" si="93"/>
        <v/>
      </c>
      <c r="O1968" s="33">
        <f t="shared" si="91"/>
        <v>0</v>
      </c>
    </row>
    <row r="1969" spans="1:15" x14ac:dyDescent="0.25">
      <c r="A1969" s="64" t="s">
        <v>181</v>
      </c>
      <c r="B1969" s="79" t="str">
        <f>IF(Eighth!B222="", "",Eighth!B222)</f>
        <v/>
      </c>
      <c r="C1969" s="66" t="str">
        <f>IF(Eighth!C222="", "",Eighth!C222)</f>
        <v/>
      </c>
      <c r="D1969" s="66" t="str">
        <f>IF(Eighth!D222="", "",Eighth!D222)</f>
        <v/>
      </c>
      <c r="E1969" s="66" t="str">
        <f>IF(Eighth!E222="", "",Eighth!E222)</f>
        <v/>
      </c>
      <c r="F1969" s="66" t="str">
        <f>IF(Eighth!F222="", "",Eighth!F222)</f>
        <v/>
      </c>
      <c r="G1969" s="66" t="str">
        <f>IF(Eighth!G222="", "",Eighth!G222)</f>
        <v/>
      </c>
      <c r="H1969" s="66" t="str">
        <f>IF(Eighth!H222="", "",Eighth!H222)</f>
        <v/>
      </c>
      <c r="I1969" s="66" t="str">
        <f>IF(Eighth!I222="", "",Eighth!I222)</f>
        <v/>
      </c>
      <c r="J1969" s="66" t="str">
        <f>IF(Eighth!J222="", "",Eighth!J222)</f>
        <v/>
      </c>
      <c r="K1969" s="86" t="str">
        <f>IF(Eighth!K222="", "",Eighth!K222)</f>
        <v/>
      </c>
      <c r="M1969" s="67" t="str">
        <f t="shared" si="92"/>
        <v/>
      </c>
      <c r="N1969" s="76" t="str">
        <f t="shared" si="93"/>
        <v/>
      </c>
      <c r="O1969" s="33">
        <f t="shared" si="91"/>
        <v>0</v>
      </c>
    </row>
    <row r="1970" spans="1:15" x14ac:dyDescent="0.25">
      <c r="A1970" s="64" t="s">
        <v>181</v>
      </c>
      <c r="B1970" s="79" t="str">
        <f>IF(Eighth!B223="", "",Eighth!B223)</f>
        <v/>
      </c>
      <c r="C1970" s="66" t="str">
        <f>IF(Eighth!C223="", "",Eighth!C223)</f>
        <v/>
      </c>
      <c r="D1970" s="66" t="str">
        <f>IF(Eighth!D223="", "",Eighth!D223)</f>
        <v/>
      </c>
      <c r="E1970" s="66" t="str">
        <f>IF(Eighth!E223="", "",Eighth!E223)</f>
        <v/>
      </c>
      <c r="F1970" s="66" t="str">
        <f>IF(Eighth!F223="", "",Eighth!F223)</f>
        <v/>
      </c>
      <c r="G1970" s="66" t="str">
        <f>IF(Eighth!G223="", "",Eighth!G223)</f>
        <v/>
      </c>
      <c r="H1970" s="66" t="str">
        <f>IF(Eighth!H223="", "",Eighth!H223)</f>
        <v/>
      </c>
      <c r="I1970" s="66" t="str">
        <f>IF(Eighth!I223="", "",Eighth!I223)</f>
        <v/>
      </c>
      <c r="J1970" s="66" t="str">
        <f>IF(Eighth!J223="", "",Eighth!J223)</f>
        <v/>
      </c>
      <c r="K1970" s="86" t="str">
        <f>IF(Eighth!K223="", "",Eighth!K223)</f>
        <v/>
      </c>
      <c r="M1970" s="67" t="str">
        <f t="shared" si="92"/>
        <v/>
      </c>
      <c r="N1970" s="76" t="str">
        <f t="shared" si="93"/>
        <v/>
      </c>
      <c r="O1970" s="33">
        <f t="shared" si="91"/>
        <v>0</v>
      </c>
    </row>
    <row r="1971" spans="1:15" x14ac:dyDescent="0.25">
      <c r="A1971" s="64" t="s">
        <v>181</v>
      </c>
      <c r="B1971" s="79" t="str">
        <f>IF(Eighth!B224="", "",Eighth!B224)</f>
        <v/>
      </c>
      <c r="C1971" s="66" t="str">
        <f>IF(Eighth!C224="", "",Eighth!C224)</f>
        <v/>
      </c>
      <c r="D1971" s="66" t="str">
        <f>IF(Eighth!D224="", "",Eighth!D224)</f>
        <v/>
      </c>
      <c r="E1971" s="66" t="str">
        <f>IF(Eighth!E224="", "",Eighth!E224)</f>
        <v/>
      </c>
      <c r="F1971" s="66" t="str">
        <f>IF(Eighth!F224="", "",Eighth!F224)</f>
        <v/>
      </c>
      <c r="G1971" s="66" t="str">
        <f>IF(Eighth!G224="", "",Eighth!G224)</f>
        <v/>
      </c>
      <c r="H1971" s="66" t="str">
        <f>IF(Eighth!H224="", "",Eighth!H224)</f>
        <v/>
      </c>
      <c r="I1971" s="66" t="str">
        <f>IF(Eighth!I224="", "",Eighth!I224)</f>
        <v/>
      </c>
      <c r="J1971" s="66" t="str">
        <f>IF(Eighth!J224="", "",Eighth!J224)</f>
        <v/>
      </c>
      <c r="K1971" s="86" t="str">
        <f>IF(Eighth!K224="", "",Eighth!K224)</f>
        <v/>
      </c>
      <c r="M1971" s="67" t="str">
        <f t="shared" si="92"/>
        <v/>
      </c>
      <c r="N1971" s="76" t="str">
        <f t="shared" si="93"/>
        <v/>
      </c>
      <c r="O1971" s="33">
        <f t="shared" si="91"/>
        <v>0</v>
      </c>
    </row>
    <row r="1972" spans="1:15" x14ac:dyDescent="0.25">
      <c r="A1972" s="64" t="s">
        <v>181</v>
      </c>
      <c r="B1972" s="79" t="str">
        <f>IF(Eighth!B225="", "",Eighth!B225)</f>
        <v/>
      </c>
      <c r="C1972" s="66" t="str">
        <f>IF(Eighth!C225="", "",Eighth!C225)</f>
        <v/>
      </c>
      <c r="D1972" s="66" t="str">
        <f>IF(Eighth!D225="", "",Eighth!D225)</f>
        <v/>
      </c>
      <c r="E1972" s="66" t="str">
        <f>IF(Eighth!E225="", "",Eighth!E225)</f>
        <v/>
      </c>
      <c r="F1972" s="66" t="str">
        <f>IF(Eighth!F225="", "",Eighth!F225)</f>
        <v/>
      </c>
      <c r="G1972" s="66" t="str">
        <f>IF(Eighth!G225="", "",Eighth!G225)</f>
        <v/>
      </c>
      <c r="H1972" s="66" t="str">
        <f>IF(Eighth!H225="", "",Eighth!H225)</f>
        <v/>
      </c>
      <c r="I1972" s="66" t="str">
        <f>IF(Eighth!I225="", "",Eighth!I225)</f>
        <v/>
      </c>
      <c r="J1972" s="66" t="str">
        <f>IF(Eighth!J225="", "",Eighth!J225)</f>
        <v/>
      </c>
      <c r="K1972" s="86" t="str">
        <f>IF(Eighth!K225="", "",Eighth!K225)</f>
        <v/>
      </c>
      <c r="M1972" s="67" t="str">
        <f t="shared" si="92"/>
        <v/>
      </c>
      <c r="N1972" s="76" t="str">
        <f t="shared" si="93"/>
        <v/>
      </c>
      <c r="O1972" s="33">
        <f t="shared" si="91"/>
        <v>0</v>
      </c>
    </row>
    <row r="1973" spans="1:15" x14ac:dyDescent="0.25">
      <c r="A1973" s="64" t="s">
        <v>181</v>
      </c>
      <c r="B1973" s="79" t="str">
        <f>IF(Eighth!B226="", "",Eighth!B226)</f>
        <v/>
      </c>
      <c r="C1973" s="66" t="str">
        <f>IF(Eighth!C226="", "",Eighth!C226)</f>
        <v/>
      </c>
      <c r="D1973" s="66" t="str">
        <f>IF(Eighth!D226="", "",Eighth!D226)</f>
        <v/>
      </c>
      <c r="E1973" s="66" t="str">
        <f>IF(Eighth!E226="", "",Eighth!E226)</f>
        <v/>
      </c>
      <c r="F1973" s="66" t="str">
        <f>IF(Eighth!F226="", "",Eighth!F226)</f>
        <v/>
      </c>
      <c r="G1973" s="66" t="str">
        <f>IF(Eighth!G226="", "",Eighth!G226)</f>
        <v/>
      </c>
      <c r="H1973" s="66" t="str">
        <f>IF(Eighth!H226="", "",Eighth!H226)</f>
        <v/>
      </c>
      <c r="I1973" s="66" t="str">
        <f>IF(Eighth!I226="", "",Eighth!I226)</f>
        <v/>
      </c>
      <c r="J1973" s="66" t="str">
        <f>IF(Eighth!J226="", "",Eighth!J226)</f>
        <v/>
      </c>
      <c r="K1973" s="86" t="str">
        <f>IF(Eighth!K226="", "",Eighth!K226)</f>
        <v/>
      </c>
      <c r="M1973" s="67" t="str">
        <f t="shared" si="92"/>
        <v/>
      </c>
      <c r="N1973" s="76" t="str">
        <f t="shared" si="93"/>
        <v/>
      </c>
      <c r="O1973" s="33">
        <f t="shared" si="91"/>
        <v>0</v>
      </c>
    </row>
    <row r="1974" spans="1:15" x14ac:dyDescent="0.25">
      <c r="A1974" s="64" t="s">
        <v>181</v>
      </c>
      <c r="B1974" s="79" t="str">
        <f>IF(Eighth!B227="", "",Eighth!B227)</f>
        <v/>
      </c>
      <c r="C1974" s="66" t="str">
        <f>IF(Eighth!C227="", "",Eighth!C227)</f>
        <v/>
      </c>
      <c r="D1974" s="66" t="str">
        <f>IF(Eighth!D227="", "",Eighth!D227)</f>
        <v/>
      </c>
      <c r="E1974" s="66" t="str">
        <f>IF(Eighth!E227="", "",Eighth!E227)</f>
        <v/>
      </c>
      <c r="F1974" s="66" t="str">
        <f>IF(Eighth!F227="", "",Eighth!F227)</f>
        <v/>
      </c>
      <c r="G1974" s="66" t="str">
        <f>IF(Eighth!G227="", "",Eighth!G227)</f>
        <v/>
      </c>
      <c r="H1974" s="66" t="str">
        <f>IF(Eighth!H227="", "",Eighth!H227)</f>
        <v/>
      </c>
      <c r="I1974" s="66" t="str">
        <f>IF(Eighth!I227="", "",Eighth!I227)</f>
        <v/>
      </c>
      <c r="J1974" s="66" t="str">
        <f>IF(Eighth!J227="", "",Eighth!J227)</f>
        <v/>
      </c>
      <c r="K1974" s="86" t="str">
        <f>IF(Eighth!K227="", "",Eighth!K227)</f>
        <v/>
      </c>
      <c r="M1974" s="67" t="str">
        <f t="shared" si="92"/>
        <v/>
      </c>
      <c r="N1974" s="76" t="str">
        <f t="shared" si="93"/>
        <v/>
      </c>
      <c r="O1974" s="33">
        <f t="shared" si="91"/>
        <v>0</v>
      </c>
    </row>
    <row r="1975" spans="1:15" x14ac:dyDescent="0.25">
      <c r="A1975" s="64" t="s">
        <v>181</v>
      </c>
      <c r="B1975" s="79" t="str">
        <f>IF(Eighth!B228="", "",Eighth!B228)</f>
        <v/>
      </c>
      <c r="C1975" s="66" t="str">
        <f>IF(Eighth!C228="", "",Eighth!C228)</f>
        <v/>
      </c>
      <c r="D1975" s="66" t="str">
        <f>IF(Eighth!D228="", "",Eighth!D228)</f>
        <v/>
      </c>
      <c r="E1975" s="66" t="str">
        <f>IF(Eighth!E228="", "",Eighth!E228)</f>
        <v/>
      </c>
      <c r="F1975" s="66" t="str">
        <f>IF(Eighth!F228="", "",Eighth!F228)</f>
        <v/>
      </c>
      <c r="G1975" s="66" t="str">
        <f>IF(Eighth!G228="", "",Eighth!G228)</f>
        <v/>
      </c>
      <c r="H1975" s="66" t="str">
        <f>IF(Eighth!H228="", "",Eighth!H228)</f>
        <v/>
      </c>
      <c r="I1975" s="66" t="str">
        <f>IF(Eighth!I228="", "",Eighth!I228)</f>
        <v/>
      </c>
      <c r="J1975" s="66" t="str">
        <f>IF(Eighth!J228="", "",Eighth!J228)</f>
        <v/>
      </c>
      <c r="K1975" s="86" t="str">
        <f>IF(Eighth!K228="", "",Eighth!K228)</f>
        <v/>
      </c>
      <c r="M1975" s="67" t="str">
        <f t="shared" si="92"/>
        <v/>
      </c>
      <c r="N1975" s="76" t="str">
        <f t="shared" si="93"/>
        <v/>
      </c>
      <c r="O1975" s="33">
        <f t="shared" si="91"/>
        <v>0</v>
      </c>
    </row>
    <row r="1976" spans="1:15" x14ac:dyDescent="0.25">
      <c r="A1976" s="64" t="s">
        <v>181</v>
      </c>
      <c r="B1976" s="79" t="str">
        <f>IF(Eighth!B229="", "",Eighth!B229)</f>
        <v/>
      </c>
      <c r="C1976" s="66" t="str">
        <f>IF(Eighth!C229="", "",Eighth!C229)</f>
        <v/>
      </c>
      <c r="D1976" s="66" t="str">
        <f>IF(Eighth!D229="", "",Eighth!D229)</f>
        <v/>
      </c>
      <c r="E1976" s="66" t="str">
        <f>IF(Eighth!E229="", "",Eighth!E229)</f>
        <v/>
      </c>
      <c r="F1976" s="66" t="str">
        <f>IF(Eighth!F229="", "",Eighth!F229)</f>
        <v/>
      </c>
      <c r="G1976" s="66" t="str">
        <f>IF(Eighth!G229="", "",Eighth!G229)</f>
        <v/>
      </c>
      <c r="H1976" s="66" t="str">
        <f>IF(Eighth!H229="", "",Eighth!H229)</f>
        <v/>
      </c>
      <c r="I1976" s="66" t="str">
        <f>IF(Eighth!I229="", "",Eighth!I229)</f>
        <v/>
      </c>
      <c r="J1976" s="66" t="str">
        <f>IF(Eighth!J229="", "",Eighth!J229)</f>
        <v/>
      </c>
      <c r="K1976" s="86" t="str">
        <f>IF(Eighth!K229="", "",Eighth!K229)</f>
        <v/>
      </c>
      <c r="M1976" s="67" t="str">
        <f t="shared" si="92"/>
        <v/>
      </c>
      <c r="N1976" s="76" t="str">
        <f t="shared" si="93"/>
        <v/>
      </c>
      <c r="O1976" s="33">
        <f t="shared" si="91"/>
        <v>0</v>
      </c>
    </row>
    <row r="1977" spans="1:15" x14ac:dyDescent="0.25">
      <c r="A1977" s="64" t="s">
        <v>181</v>
      </c>
      <c r="B1977" s="79" t="str">
        <f>IF(Eighth!B230="", "",Eighth!B230)</f>
        <v/>
      </c>
      <c r="C1977" s="66" t="str">
        <f>IF(Eighth!C230="", "",Eighth!C230)</f>
        <v/>
      </c>
      <c r="D1977" s="66" t="str">
        <f>IF(Eighth!D230="", "",Eighth!D230)</f>
        <v/>
      </c>
      <c r="E1977" s="66" t="str">
        <f>IF(Eighth!E230="", "",Eighth!E230)</f>
        <v/>
      </c>
      <c r="F1977" s="66" t="str">
        <f>IF(Eighth!F230="", "",Eighth!F230)</f>
        <v/>
      </c>
      <c r="G1977" s="66" t="str">
        <f>IF(Eighth!G230="", "",Eighth!G230)</f>
        <v/>
      </c>
      <c r="H1977" s="66" t="str">
        <f>IF(Eighth!H230="", "",Eighth!H230)</f>
        <v/>
      </c>
      <c r="I1977" s="66" t="str">
        <f>IF(Eighth!I230="", "",Eighth!I230)</f>
        <v/>
      </c>
      <c r="J1977" s="66" t="str">
        <f>IF(Eighth!J230="", "",Eighth!J230)</f>
        <v/>
      </c>
      <c r="K1977" s="86" t="str">
        <f>IF(Eighth!K230="", "",Eighth!K230)</f>
        <v/>
      </c>
      <c r="M1977" s="67" t="str">
        <f t="shared" si="92"/>
        <v/>
      </c>
      <c r="N1977" s="76" t="str">
        <f t="shared" si="93"/>
        <v/>
      </c>
      <c r="O1977" s="33">
        <f t="shared" si="91"/>
        <v>0</v>
      </c>
    </row>
    <row r="1978" spans="1:15" x14ac:dyDescent="0.25">
      <c r="A1978" s="64" t="s">
        <v>181</v>
      </c>
      <c r="B1978" s="79" t="str">
        <f>IF(Eighth!B231="", "",Eighth!B231)</f>
        <v/>
      </c>
      <c r="C1978" s="66" t="str">
        <f>IF(Eighth!C231="", "",Eighth!C231)</f>
        <v/>
      </c>
      <c r="D1978" s="66" t="str">
        <f>IF(Eighth!D231="", "",Eighth!D231)</f>
        <v/>
      </c>
      <c r="E1978" s="66" t="str">
        <f>IF(Eighth!E231="", "",Eighth!E231)</f>
        <v/>
      </c>
      <c r="F1978" s="66" t="str">
        <f>IF(Eighth!F231="", "",Eighth!F231)</f>
        <v/>
      </c>
      <c r="G1978" s="66" t="str">
        <f>IF(Eighth!G231="", "",Eighth!G231)</f>
        <v/>
      </c>
      <c r="H1978" s="66" t="str">
        <f>IF(Eighth!H231="", "",Eighth!H231)</f>
        <v/>
      </c>
      <c r="I1978" s="66" t="str">
        <f>IF(Eighth!I231="", "",Eighth!I231)</f>
        <v/>
      </c>
      <c r="J1978" s="66" t="str">
        <f>IF(Eighth!J231="", "",Eighth!J231)</f>
        <v/>
      </c>
      <c r="K1978" s="86" t="str">
        <f>IF(Eighth!K231="", "",Eighth!K231)</f>
        <v/>
      </c>
      <c r="M1978" s="67" t="str">
        <f t="shared" si="92"/>
        <v/>
      </c>
      <c r="N1978" s="76" t="str">
        <f t="shared" si="93"/>
        <v/>
      </c>
      <c r="O1978" s="33">
        <f t="shared" si="91"/>
        <v>0</v>
      </c>
    </row>
    <row r="1979" spans="1:15" x14ac:dyDescent="0.25">
      <c r="A1979" s="64" t="s">
        <v>181</v>
      </c>
      <c r="B1979" s="79" t="str">
        <f>IF(Eighth!B232="", "",Eighth!B232)</f>
        <v/>
      </c>
      <c r="C1979" s="66" t="str">
        <f>IF(Eighth!C232="", "",Eighth!C232)</f>
        <v/>
      </c>
      <c r="D1979" s="66" t="str">
        <f>IF(Eighth!D232="", "",Eighth!D232)</f>
        <v/>
      </c>
      <c r="E1979" s="66" t="str">
        <f>IF(Eighth!E232="", "",Eighth!E232)</f>
        <v/>
      </c>
      <c r="F1979" s="66" t="str">
        <f>IF(Eighth!F232="", "",Eighth!F232)</f>
        <v/>
      </c>
      <c r="G1979" s="66" t="str">
        <f>IF(Eighth!G232="", "",Eighth!G232)</f>
        <v/>
      </c>
      <c r="H1979" s="66" t="str">
        <f>IF(Eighth!H232="", "",Eighth!H232)</f>
        <v/>
      </c>
      <c r="I1979" s="66" t="str">
        <f>IF(Eighth!I232="", "",Eighth!I232)</f>
        <v/>
      </c>
      <c r="J1979" s="66" t="str">
        <f>IF(Eighth!J232="", "",Eighth!J232)</f>
        <v/>
      </c>
      <c r="K1979" s="86" t="str">
        <f>IF(Eighth!K232="", "",Eighth!K232)</f>
        <v/>
      </c>
      <c r="M1979" s="67" t="str">
        <f t="shared" si="92"/>
        <v/>
      </c>
      <c r="N1979" s="76" t="str">
        <f t="shared" si="93"/>
        <v/>
      </c>
      <c r="O1979" s="33">
        <f t="shared" si="91"/>
        <v>0</v>
      </c>
    </row>
    <row r="1980" spans="1:15" x14ac:dyDescent="0.25">
      <c r="A1980" s="64" t="s">
        <v>181</v>
      </c>
      <c r="B1980" s="79" t="str">
        <f>IF(Eighth!B233="", "",Eighth!B233)</f>
        <v/>
      </c>
      <c r="C1980" s="66" t="str">
        <f>IF(Eighth!C233="", "",Eighth!C233)</f>
        <v/>
      </c>
      <c r="D1980" s="66" t="str">
        <f>IF(Eighth!D233="", "",Eighth!D233)</f>
        <v/>
      </c>
      <c r="E1980" s="66" t="str">
        <f>IF(Eighth!E233="", "",Eighth!E233)</f>
        <v/>
      </c>
      <c r="F1980" s="66" t="str">
        <f>IF(Eighth!F233="", "",Eighth!F233)</f>
        <v/>
      </c>
      <c r="G1980" s="66" t="str">
        <f>IF(Eighth!G233="", "",Eighth!G233)</f>
        <v/>
      </c>
      <c r="H1980" s="66" t="str">
        <f>IF(Eighth!H233="", "",Eighth!H233)</f>
        <v/>
      </c>
      <c r="I1980" s="66" t="str">
        <f>IF(Eighth!I233="", "",Eighth!I233)</f>
        <v/>
      </c>
      <c r="J1980" s="66" t="str">
        <f>IF(Eighth!J233="", "",Eighth!J233)</f>
        <v/>
      </c>
      <c r="K1980" s="86" t="str">
        <f>IF(Eighth!K233="", "",Eighth!K233)</f>
        <v/>
      </c>
      <c r="M1980" s="67" t="str">
        <f t="shared" si="92"/>
        <v/>
      </c>
      <c r="N1980" s="76" t="str">
        <f t="shared" si="93"/>
        <v/>
      </c>
      <c r="O1980" s="33">
        <f t="shared" si="91"/>
        <v>0</v>
      </c>
    </row>
    <row r="1981" spans="1:15" x14ac:dyDescent="0.25">
      <c r="A1981" s="64" t="s">
        <v>181</v>
      </c>
      <c r="B1981" s="79" t="str">
        <f>IF(Eighth!B234="", "",Eighth!B234)</f>
        <v/>
      </c>
      <c r="C1981" s="66" t="str">
        <f>IF(Eighth!C234="", "",Eighth!C234)</f>
        <v/>
      </c>
      <c r="D1981" s="66" t="str">
        <f>IF(Eighth!D234="", "",Eighth!D234)</f>
        <v/>
      </c>
      <c r="E1981" s="66" t="str">
        <f>IF(Eighth!E234="", "",Eighth!E234)</f>
        <v/>
      </c>
      <c r="F1981" s="66" t="str">
        <f>IF(Eighth!F234="", "",Eighth!F234)</f>
        <v/>
      </c>
      <c r="G1981" s="66" t="str">
        <f>IF(Eighth!G234="", "",Eighth!G234)</f>
        <v/>
      </c>
      <c r="H1981" s="66" t="str">
        <f>IF(Eighth!H234="", "",Eighth!H234)</f>
        <v/>
      </c>
      <c r="I1981" s="66" t="str">
        <f>IF(Eighth!I234="", "",Eighth!I234)</f>
        <v/>
      </c>
      <c r="J1981" s="66" t="str">
        <f>IF(Eighth!J234="", "",Eighth!J234)</f>
        <v/>
      </c>
      <c r="K1981" s="86" t="str">
        <f>IF(Eighth!K234="", "",Eighth!K234)</f>
        <v/>
      </c>
      <c r="M1981" s="67" t="str">
        <f t="shared" si="92"/>
        <v/>
      </c>
      <c r="N1981" s="76" t="str">
        <f t="shared" si="93"/>
        <v/>
      </c>
      <c r="O1981" s="33">
        <f t="shared" si="91"/>
        <v>0</v>
      </c>
    </row>
    <row r="1982" spans="1:15" x14ac:dyDescent="0.25">
      <c r="A1982" s="64" t="s">
        <v>181</v>
      </c>
      <c r="B1982" s="79" t="str">
        <f>IF(Eighth!B235="", "",Eighth!B235)</f>
        <v/>
      </c>
      <c r="C1982" s="66" t="str">
        <f>IF(Eighth!C235="", "",Eighth!C235)</f>
        <v/>
      </c>
      <c r="D1982" s="66" t="str">
        <f>IF(Eighth!D235="", "",Eighth!D235)</f>
        <v/>
      </c>
      <c r="E1982" s="66" t="str">
        <f>IF(Eighth!E235="", "",Eighth!E235)</f>
        <v/>
      </c>
      <c r="F1982" s="66" t="str">
        <f>IF(Eighth!F235="", "",Eighth!F235)</f>
        <v/>
      </c>
      <c r="G1982" s="66" t="str">
        <f>IF(Eighth!G235="", "",Eighth!G235)</f>
        <v/>
      </c>
      <c r="H1982" s="66" t="str">
        <f>IF(Eighth!H235="", "",Eighth!H235)</f>
        <v/>
      </c>
      <c r="I1982" s="66" t="str">
        <f>IF(Eighth!I235="", "",Eighth!I235)</f>
        <v/>
      </c>
      <c r="J1982" s="66" t="str">
        <f>IF(Eighth!J235="", "",Eighth!J235)</f>
        <v/>
      </c>
      <c r="K1982" s="86" t="str">
        <f>IF(Eighth!K235="", "",Eighth!K235)</f>
        <v/>
      </c>
      <c r="M1982" s="67" t="str">
        <f t="shared" si="92"/>
        <v/>
      </c>
      <c r="N1982" s="76" t="str">
        <f t="shared" si="93"/>
        <v/>
      </c>
      <c r="O1982" s="33">
        <f t="shared" si="91"/>
        <v>0</v>
      </c>
    </row>
    <row r="1983" spans="1:15" x14ac:dyDescent="0.25">
      <c r="A1983" s="64" t="s">
        <v>181</v>
      </c>
      <c r="B1983" s="79" t="str">
        <f>IF(Eighth!B236="", "",Eighth!B236)</f>
        <v/>
      </c>
      <c r="C1983" s="66" t="str">
        <f>IF(Eighth!C236="", "",Eighth!C236)</f>
        <v/>
      </c>
      <c r="D1983" s="66" t="str">
        <f>IF(Eighth!D236="", "",Eighth!D236)</f>
        <v/>
      </c>
      <c r="E1983" s="66" t="str">
        <f>IF(Eighth!E236="", "",Eighth!E236)</f>
        <v/>
      </c>
      <c r="F1983" s="66" t="str">
        <f>IF(Eighth!F236="", "",Eighth!F236)</f>
        <v/>
      </c>
      <c r="G1983" s="66" t="str">
        <f>IF(Eighth!G236="", "",Eighth!G236)</f>
        <v/>
      </c>
      <c r="H1983" s="66" t="str">
        <f>IF(Eighth!H236="", "",Eighth!H236)</f>
        <v/>
      </c>
      <c r="I1983" s="66" t="str">
        <f>IF(Eighth!I236="", "",Eighth!I236)</f>
        <v/>
      </c>
      <c r="J1983" s="66" t="str">
        <f>IF(Eighth!J236="", "",Eighth!J236)</f>
        <v/>
      </c>
      <c r="K1983" s="86" t="str">
        <f>IF(Eighth!K236="", "",Eighth!K236)</f>
        <v/>
      </c>
      <c r="M1983" s="67" t="str">
        <f t="shared" si="92"/>
        <v/>
      </c>
      <c r="N1983" s="76" t="str">
        <f t="shared" si="93"/>
        <v/>
      </c>
      <c r="O1983" s="33">
        <f t="shared" si="91"/>
        <v>0</v>
      </c>
    </row>
    <row r="1984" spans="1:15" x14ac:dyDescent="0.25">
      <c r="A1984" s="64" t="s">
        <v>181</v>
      </c>
      <c r="B1984" s="79" t="str">
        <f>IF(Eighth!B237="", "",Eighth!B237)</f>
        <v/>
      </c>
      <c r="C1984" s="66" t="str">
        <f>IF(Eighth!C237="", "",Eighth!C237)</f>
        <v/>
      </c>
      <c r="D1984" s="66" t="str">
        <f>IF(Eighth!D237="", "",Eighth!D237)</f>
        <v/>
      </c>
      <c r="E1984" s="66" t="str">
        <f>IF(Eighth!E237="", "",Eighth!E237)</f>
        <v/>
      </c>
      <c r="F1984" s="66" t="str">
        <f>IF(Eighth!F237="", "",Eighth!F237)</f>
        <v/>
      </c>
      <c r="G1984" s="66" t="str">
        <f>IF(Eighth!G237="", "",Eighth!G237)</f>
        <v/>
      </c>
      <c r="H1984" s="66" t="str">
        <f>IF(Eighth!H237="", "",Eighth!H237)</f>
        <v/>
      </c>
      <c r="I1984" s="66" t="str">
        <f>IF(Eighth!I237="", "",Eighth!I237)</f>
        <v/>
      </c>
      <c r="J1984" s="66" t="str">
        <f>IF(Eighth!J237="", "",Eighth!J237)</f>
        <v/>
      </c>
      <c r="K1984" s="86" t="str">
        <f>IF(Eighth!K237="", "",Eighth!K237)</f>
        <v/>
      </c>
      <c r="M1984" s="67" t="str">
        <f t="shared" si="92"/>
        <v/>
      </c>
      <c r="N1984" s="76" t="str">
        <f t="shared" si="93"/>
        <v/>
      </c>
      <c r="O1984" s="33">
        <f t="shared" si="91"/>
        <v>0</v>
      </c>
    </row>
    <row r="1985" spans="1:15" x14ac:dyDescent="0.25">
      <c r="A1985" s="64" t="s">
        <v>181</v>
      </c>
      <c r="B1985" s="79" t="str">
        <f>IF(Eighth!B238="", "",Eighth!B238)</f>
        <v/>
      </c>
      <c r="C1985" s="66" t="str">
        <f>IF(Eighth!C238="", "",Eighth!C238)</f>
        <v/>
      </c>
      <c r="D1985" s="66" t="str">
        <f>IF(Eighth!D238="", "",Eighth!D238)</f>
        <v/>
      </c>
      <c r="E1985" s="66" t="str">
        <f>IF(Eighth!E238="", "",Eighth!E238)</f>
        <v/>
      </c>
      <c r="F1985" s="66" t="str">
        <f>IF(Eighth!F238="", "",Eighth!F238)</f>
        <v/>
      </c>
      <c r="G1985" s="66" t="str">
        <f>IF(Eighth!G238="", "",Eighth!G238)</f>
        <v/>
      </c>
      <c r="H1985" s="66" t="str">
        <f>IF(Eighth!H238="", "",Eighth!H238)</f>
        <v/>
      </c>
      <c r="I1985" s="66" t="str">
        <f>IF(Eighth!I238="", "",Eighth!I238)</f>
        <v/>
      </c>
      <c r="J1985" s="66" t="str">
        <f>IF(Eighth!J238="", "",Eighth!J238)</f>
        <v/>
      </c>
      <c r="K1985" s="86" t="str">
        <f>IF(Eighth!K238="", "",Eighth!K238)</f>
        <v/>
      </c>
      <c r="M1985" s="67" t="str">
        <f t="shared" si="92"/>
        <v/>
      </c>
      <c r="N1985" s="76" t="str">
        <f t="shared" si="93"/>
        <v/>
      </c>
      <c r="O1985" s="33">
        <f t="shared" si="91"/>
        <v>0</v>
      </c>
    </row>
    <row r="1986" spans="1:15" x14ac:dyDescent="0.25">
      <c r="A1986" s="64" t="s">
        <v>181</v>
      </c>
      <c r="B1986" s="79" t="str">
        <f>IF(Eighth!B239="", "",Eighth!B239)</f>
        <v/>
      </c>
      <c r="C1986" s="66" t="str">
        <f>IF(Eighth!C239="", "",Eighth!C239)</f>
        <v/>
      </c>
      <c r="D1986" s="66" t="str">
        <f>IF(Eighth!D239="", "",Eighth!D239)</f>
        <v/>
      </c>
      <c r="E1986" s="66" t="str">
        <f>IF(Eighth!E239="", "",Eighth!E239)</f>
        <v/>
      </c>
      <c r="F1986" s="66" t="str">
        <f>IF(Eighth!F239="", "",Eighth!F239)</f>
        <v/>
      </c>
      <c r="G1986" s="66" t="str">
        <f>IF(Eighth!G239="", "",Eighth!G239)</f>
        <v/>
      </c>
      <c r="H1986" s="66" t="str">
        <f>IF(Eighth!H239="", "",Eighth!H239)</f>
        <v/>
      </c>
      <c r="I1986" s="66" t="str">
        <f>IF(Eighth!I239="", "",Eighth!I239)</f>
        <v/>
      </c>
      <c r="J1986" s="66" t="str">
        <f>IF(Eighth!J239="", "",Eighth!J239)</f>
        <v/>
      </c>
      <c r="K1986" s="86" t="str">
        <f>IF(Eighth!K239="", "",Eighth!K239)</f>
        <v/>
      </c>
      <c r="M1986" s="67" t="str">
        <f t="shared" si="92"/>
        <v/>
      </c>
      <c r="N1986" s="76" t="str">
        <f t="shared" si="93"/>
        <v/>
      </c>
      <c r="O1986" s="33">
        <f t="shared" ref="O1986:O2049" si="94">SUM(M1986:N1986)</f>
        <v>0</v>
      </c>
    </row>
    <row r="1987" spans="1:15" x14ac:dyDescent="0.25">
      <c r="A1987" s="64" t="s">
        <v>181</v>
      </c>
      <c r="B1987" s="79" t="str">
        <f>IF(Eighth!B240="", "",Eighth!B240)</f>
        <v/>
      </c>
      <c r="C1987" s="66" t="str">
        <f>IF(Eighth!C240="", "",Eighth!C240)</f>
        <v/>
      </c>
      <c r="D1987" s="66" t="str">
        <f>IF(Eighth!D240="", "",Eighth!D240)</f>
        <v/>
      </c>
      <c r="E1987" s="66" t="str">
        <f>IF(Eighth!E240="", "",Eighth!E240)</f>
        <v/>
      </c>
      <c r="F1987" s="66" t="str">
        <f>IF(Eighth!F240="", "",Eighth!F240)</f>
        <v/>
      </c>
      <c r="G1987" s="66" t="str">
        <f>IF(Eighth!G240="", "",Eighth!G240)</f>
        <v/>
      </c>
      <c r="H1987" s="66" t="str">
        <f>IF(Eighth!H240="", "",Eighth!H240)</f>
        <v/>
      </c>
      <c r="I1987" s="66" t="str">
        <f>IF(Eighth!I240="", "",Eighth!I240)</f>
        <v/>
      </c>
      <c r="J1987" s="66" t="str">
        <f>IF(Eighth!J240="", "",Eighth!J240)</f>
        <v/>
      </c>
      <c r="K1987" s="86" t="str">
        <f>IF(Eighth!K240="", "",Eighth!K240)</f>
        <v/>
      </c>
      <c r="M1987" s="67" t="str">
        <f t="shared" ref="M1987:M2050" si="95">IF(C1987="PwC",(7-COUNTIF(B1987:H1987,"")),"")</f>
        <v/>
      </c>
      <c r="N1987" s="76" t="str">
        <f t="shared" ref="N1987:N2050" si="96">IF(C1987="Carer",(7-COUNTIF(B1987:H1987,"")),"")</f>
        <v/>
      </c>
      <c r="O1987" s="33">
        <f t="shared" si="94"/>
        <v>0</v>
      </c>
    </row>
    <row r="1988" spans="1:15" x14ac:dyDescent="0.25">
      <c r="A1988" s="64" t="s">
        <v>181</v>
      </c>
      <c r="B1988" s="79" t="str">
        <f>IF(Eighth!B241="", "",Eighth!B241)</f>
        <v/>
      </c>
      <c r="C1988" s="66" t="str">
        <f>IF(Eighth!C241="", "",Eighth!C241)</f>
        <v/>
      </c>
      <c r="D1988" s="66" t="str">
        <f>IF(Eighth!D241="", "",Eighth!D241)</f>
        <v/>
      </c>
      <c r="E1988" s="66" t="str">
        <f>IF(Eighth!E241="", "",Eighth!E241)</f>
        <v/>
      </c>
      <c r="F1988" s="66" t="str">
        <f>IF(Eighth!F241="", "",Eighth!F241)</f>
        <v/>
      </c>
      <c r="G1988" s="66" t="str">
        <f>IF(Eighth!G241="", "",Eighth!G241)</f>
        <v/>
      </c>
      <c r="H1988" s="66" t="str">
        <f>IF(Eighth!H241="", "",Eighth!H241)</f>
        <v/>
      </c>
      <c r="I1988" s="66" t="str">
        <f>IF(Eighth!I241="", "",Eighth!I241)</f>
        <v/>
      </c>
      <c r="J1988" s="66" t="str">
        <f>IF(Eighth!J241="", "",Eighth!J241)</f>
        <v/>
      </c>
      <c r="K1988" s="86" t="str">
        <f>IF(Eighth!K241="", "",Eighth!K241)</f>
        <v/>
      </c>
      <c r="M1988" s="67" t="str">
        <f t="shared" si="95"/>
        <v/>
      </c>
      <c r="N1988" s="76" t="str">
        <f t="shared" si="96"/>
        <v/>
      </c>
      <c r="O1988" s="33">
        <f t="shared" si="94"/>
        <v>0</v>
      </c>
    </row>
    <row r="1989" spans="1:15" x14ac:dyDescent="0.25">
      <c r="A1989" s="64" t="s">
        <v>181</v>
      </c>
      <c r="B1989" s="79" t="str">
        <f>IF(Eighth!B242="", "",Eighth!B242)</f>
        <v/>
      </c>
      <c r="C1989" s="66" t="str">
        <f>IF(Eighth!C242="", "",Eighth!C242)</f>
        <v/>
      </c>
      <c r="D1989" s="66" t="str">
        <f>IF(Eighth!D242="", "",Eighth!D242)</f>
        <v/>
      </c>
      <c r="E1989" s="66" t="str">
        <f>IF(Eighth!E242="", "",Eighth!E242)</f>
        <v/>
      </c>
      <c r="F1989" s="66" t="str">
        <f>IF(Eighth!F242="", "",Eighth!F242)</f>
        <v/>
      </c>
      <c r="G1989" s="66" t="str">
        <f>IF(Eighth!G242="", "",Eighth!G242)</f>
        <v/>
      </c>
      <c r="H1989" s="66" t="str">
        <f>IF(Eighth!H242="", "",Eighth!H242)</f>
        <v/>
      </c>
      <c r="I1989" s="66" t="str">
        <f>IF(Eighth!I242="", "",Eighth!I242)</f>
        <v/>
      </c>
      <c r="J1989" s="66" t="str">
        <f>IF(Eighth!J242="", "",Eighth!J242)</f>
        <v/>
      </c>
      <c r="K1989" s="86" t="str">
        <f>IF(Eighth!K242="", "",Eighth!K242)</f>
        <v/>
      </c>
      <c r="M1989" s="67" t="str">
        <f t="shared" si="95"/>
        <v/>
      </c>
      <c r="N1989" s="76" t="str">
        <f t="shared" si="96"/>
        <v/>
      </c>
      <c r="O1989" s="33">
        <f t="shared" si="94"/>
        <v>0</v>
      </c>
    </row>
    <row r="1990" spans="1:15" x14ac:dyDescent="0.25">
      <c r="A1990" s="64" t="s">
        <v>181</v>
      </c>
      <c r="B1990" s="79" t="str">
        <f>IF(Eighth!B243="", "",Eighth!B243)</f>
        <v/>
      </c>
      <c r="C1990" s="66" t="str">
        <f>IF(Eighth!C243="", "",Eighth!C243)</f>
        <v/>
      </c>
      <c r="D1990" s="66" t="str">
        <f>IF(Eighth!D243="", "",Eighth!D243)</f>
        <v/>
      </c>
      <c r="E1990" s="66" t="str">
        <f>IF(Eighth!E243="", "",Eighth!E243)</f>
        <v/>
      </c>
      <c r="F1990" s="66" t="str">
        <f>IF(Eighth!F243="", "",Eighth!F243)</f>
        <v/>
      </c>
      <c r="G1990" s="66" t="str">
        <f>IF(Eighth!G243="", "",Eighth!G243)</f>
        <v/>
      </c>
      <c r="H1990" s="66" t="str">
        <f>IF(Eighth!H243="", "",Eighth!H243)</f>
        <v/>
      </c>
      <c r="I1990" s="66" t="str">
        <f>IF(Eighth!I243="", "",Eighth!I243)</f>
        <v/>
      </c>
      <c r="J1990" s="66" t="str">
        <f>IF(Eighth!J243="", "",Eighth!J243)</f>
        <v/>
      </c>
      <c r="K1990" s="86" t="str">
        <f>IF(Eighth!K243="", "",Eighth!K243)</f>
        <v/>
      </c>
      <c r="M1990" s="67" t="str">
        <f t="shared" si="95"/>
        <v/>
      </c>
      <c r="N1990" s="76" t="str">
        <f t="shared" si="96"/>
        <v/>
      </c>
      <c r="O1990" s="33">
        <f t="shared" si="94"/>
        <v>0</v>
      </c>
    </row>
    <row r="1991" spans="1:15" x14ac:dyDescent="0.25">
      <c r="A1991" s="64" t="s">
        <v>181</v>
      </c>
      <c r="B1991" s="79" t="str">
        <f>IF(Eighth!B244="", "",Eighth!B244)</f>
        <v/>
      </c>
      <c r="C1991" s="66" t="str">
        <f>IF(Eighth!C244="", "",Eighth!C244)</f>
        <v/>
      </c>
      <c r="D1991" s="66" t="str">
        <f>IF(Eighth!D244="", "",Eighth!D244)</f>
        <v/>
      </c>
      <c r="E1991" s="66" t="str">
        <f>IF(Eighth!E244="", "",Eighth!E244)</f>
        <v/>
      </c>
      <c r="F1991" s="66" t="str">
        <f>IF(Eighth!F244="", "",Eighth!F244)</f>
        <v/>
      </c>
      <c r="G1991" s="66" t="str">
        <f>IF(Eighth!G244="", "",Eighth!G244)</f>
        <v/>
      </c>
      <c r="H1991" s="66" t="str">
        <f>IF(Eighth!H244="", "",Eighth!H244)</f>
        <v/>
      </c>
      <c r="I1991" s="66" t="str">
        <f>IF(Eighth!I244="", "",Eighth!I244)</f>
        <v/>
      </c>
      <c r="J1991" s="66" t="str">
        <f>IF(Eighth!J244="", "",Eighth!J244)</f>
        <v/>
      </c>
      <c r="K1991" s="86" t="str">
        <f>IF(Eighth!K244="", "",Eighth!K244)</f>
        <v/>
      </c>
      <c r="M1991" s="67" t="str">
        <f t="shared" si="95"/>
        <v/>
      </c>
      <c r="N1991" s="76" t="str">
        <f t="shared" si="96"/>
        <v/>
      </c>
      <c r="O1991" s="33">
        <f t="shared" si="94"/>
        <v>0</v>
      </c>
    </row>
    <row r="1992" spans="1:15" x14ac:dyDescent="0.25">
      <c r="A1992" s="64" t="s">
        <v>181</v>
      </c>
      <c r="B1992" s="79" t="str">
        <f>IF(Eighth!B245="", "",Eighth!B245)</f>
        <v/>
      </c>
      <c r="C1992" s="66" t="str">
        <f>IF(Eighth!C245="", "",Eighth!C245)</f>
        <v/>
      </c>
      <c r="D1992" s="66" t="str">
        <f>IF(Eighth!D245="", "",Eighth!D245)</f>
        <v/>
      </c>
      <c r="E1992" s="66" t="str">
        <f>IF(Eighth!E245="", "",Eighth!E245)</f>
        <v/>
      </c>
      <c r="F1992" s="66" t="str">
        <f>IF(Eighth!F245="", "",Eighth!F245)</f>
        <v/>
      </c>
      <c r="G1992" s="66" t="str">
        <f>IF(Eighth!G245="", "",Eighth!G245)</f>
        <v/>
      </c>
      <c r="H1992" s="66" t="str">
        <f>IF(Eighth!H245="", "",Eighth!H245)</f>
        <v/>
      </c>
      <c r="I1992" s="66" t="str">
        <f>IF(Eighth!I245="", "",Eighth!I245)</f>
        <v/>
      </c>
      <c r="J1992" s="66" t="str">
        <f>IF(Eighth!J245="", "",Eighth!J245)</f>
        <v/>
      </c>
      <c r="K1992" s="86" t="str">
        <f>IF(Eighth!K245="", "",Eighth!K245)</f>
        <v/>
      </c>
      <c r="M1992" s="67" t="str">
        <f t="shared" si="95"/>
        <v/>
      </c>
      <c r="N1992" s="76" t="str">
        <f t="shared" si="96"/>
        <v/>
      </c>
      <c r="O1992" s="33">
        <f t="shared" si="94"/>
        <v>0</v>
      </c>
    </row>
    <row r="1993" spans="1:15" x14ac:dyDescent="0.25">
      <c r="A1993" s="64" t="s">
        <v>181</v>
      </c>
      <c r="B1993" s="79" t="str">
        <f>IF(Eighth!B246="", "",Eighth!B246)</f>
        <v/>
      </c>
      <c r="C1993" s="66" t="str">
        <f>IF(Eighth!C246="", "",Eighth!C246)</f>
        <v/>
      </c>
      <c r="D1993" s="66" t="str">
        <f>IF(Eighth!D246="", "",Eighth!D246)</f>
        <v/>
      </c>
      <c r="E1993" s="66" t="str">
        <f>IF(Eighth!E246="", "",Eighth!E246)</f>
        <v/>
      </c>
      <c r="F1993" s="66" t="str">
        <f>IF(Eighth!F246="", "",Eighth!F246)</f>
        <v/>
      </c>
      <c r="G1993" s="66" t="str">
        <f>IF(Eighth!G246="", "",Eighth!G246)</f>
        <v/>
      </c>
      <c r="H1993" s="66" t="str">
        <f>IF(Eighth!H246="", "",Eighth!H246)</f>
        <v/>
      </c>
      <c r="I1993" s="66" t="str">
        <f>IF(Eighth!I246="", "",Eighth!I246)</f>
        <v/>
      </c>
      <c r="J1993" s="66" t="str">
        <f>IF(Eighth!J246="", "",Eighth!J246)</f>
        <v/>
      </c>
      <c r="K1993" s="86" t="str">
        <f>IF(Eighth!K246="", "",Eighth!K246)</f>
        <v/>
      </c>
      <c r="M1993" s="67" t="str">
        <f t="shared" si="95"/>
        <v/>
      </c>
      <c r="N1993" s="76" t="str">
        <f t="shared" si="96"/>
        <v/>
      </c>
      <c r="O1993" s="33">
        <f t="shared" si="94"/>
        <v>0</v>
      </c>
    </row>
    <row r="1994" spans="1:15" x14ac:dyDescent="0.25">
      <c r="A1994" s="64" t="s">
        <v>181</v>
      </c>
      <c r="B1994" s="79" t="str">
        <f>IF(Eighth!B247="", "",Eighth!B247)</f>
        <v/>
      </c>
      <c r="C1994" s="66" t="str">
        <f>IF(Eighth!C247="", "",Eighth!C247)</f>
        <v/>
      </c>
      <c r="D1994" s="66" t="str">
        <f>IF(Eighth!D247="", "",Eighth!D247)</f>
        <v/>
      </c>
      <c r="E1994" s="66" t="str">
        <f>IF(Eighth!E247="", "",Eighth!E247)</f>
        <v/>
      </c>
      <c r="F1994" s="66" t="str">
        <f>IF(Eighth!F247="", "",Eighth!F247)</f>
        <v/>
      </c>
      <c r="G1994" s="66" t="str">
        <f>IF(Eighth!G247="", "",Eighth!G247)</f>
        <v/>
      </c>
      <c r="H1994" s="66" t="str">
        <f>IF(Eighth!H247="", "",Eighth!H247)</f>
        <v/>
      </c>
      <c r="I1994" s="66" t="str">
        <f>IF(Eighth!I247="", "",Eighth!I247)</f>
        <v/>
      </c>
      <c r="J1994" s="66" t="str">
        <f>IF(Eighth!J247="", "",Eighth!J247)</f>
        <v/>
      </c>
      <c r="K1994" s="86" t="str">
        <f>IF(Eighth!K247="", "",Eighth!K247)</f>
        <v/>
      </c>
      <c r="M1994" s="67" t="str">
        <f t="shared" si="95"/>
        <v/>
      </c>
      <c r="N1994" s="76" t="str">
        <f t="shared" si="96"/>
        <v/>
      </c>
      <c r="O1994" s="33">
        <f t="shared" si="94"/>
        <v>0</v>
      </c>
    </row>
    <row r="1995" spans="1:15" x14ac:dyDescent="0.25">
      <c r="A1995" s="64" t="s">
        <v>181</v>
      </c>
      <c r="B1995" s="79" t="str">
        <f>IF(Eighth!B248="", "",Eighth!B248)</f>
        <v/>
      </c>
      <c r="C1995" s="66" t="str">
        <f>IF(Eighth!C248="", "",Eighth!C248)</f>
        <v/>
      </c>
      <c r="D1995" s="66" t="str">
        <f>IF(Eighth!D248="", "",Eighth!D248)</f>
        <v/>
      </c>
      <c r="E1995" s="66" t="str">
        <f>IF(Eighth!E248="", "",Eighth!E248)</f>
        <v/>
      </c>
      <c r="F1995" s="66" t="str">
        <f>IF(Eighth!F248="", "",Eighth!F248)</f>
        <v/>
      </c>
      <c r="G1995" s="66" t="str">
        <f>IF(Eighth!G248="", "",Eighth!G248)</f>
        <v/>
      </c>
      <c r="H1995" s="66" t="str">
        <f>IF(Eighth!H248="", "",Eighth!H248)</f>
        <v/>
      </c>
      <c r="I1995" s="66" t="str">
        <f>IF(Eighth!I248="", "",Eighth!I248)</f>
        <v/>
      </c>
      <c r="J1995" s="66" t="str">
        <f>IF(Eighth!J248="", "",Eighth!J248)</f>
        <v/>
      </c>
      <c r="K1995" s="86" t="str">
        <f>IF(Eighth!K248="", "",Eighth!K248)</f>
        <v/>
      </c>
      <c r="M1995" s="67" t="str">
        <f t="shared" si="95"/>
        <v/>
      </c>
      <c r="N1995" s="76" t="str">
        <f t="shared" si="96"/>
        <v/>
      </c>
      <c r="O1995" s="33">
        <f t="shared" si="94"/>
        <v>0</v>
      </c>
    </row>
    <row r="1996" spans="1:15" x14ac:dyDescent="0.25">
      <c r="A1996" s="64" t="s">
        <v>181</v>
      </c>
      <c r="B1996" s="79" t="str">
        <f>IF(Eighth!B249="", "",Eighth!B249)</f>
        <v/>
      </c>
      <c r="C1996" s="66" t="str">
        <f>IF(Eighth!C249="", "",Eighth!C249)</f>
        <v/>
      </c>
      <c r="D1996" s="66" t="str">
        <f>IF(Eighth!D249="", "",Eighth!D249)</f>
        <v/>
      </c>
      <c r="E1996" s="66" t="str">
        <f>IF(Eighth!E249="", "",Eighth!E249)</f>
        <v/>
      </c>
      <c r="F1996" s="66" t="str">
        <f>IF(Eighth!F249="", "",Eighth!F249)</f>
        <v/>
      </c>
      <c r="G1996" s="66" t="str">
        <f>IF(Eighth!G249="", "",Eighth!G249)</f>
        <v/>
      </c>
      <c r="H1996" s="66" t="str">
        <f>IF(Eighth!H249="", "",Eighth!H249)</f>
        <v/>
      </c>
      <c r="I1996" s="66" t="str">
        <f>IF(Eighth!I249="", "",Eighth!I249)</f>
        <v/>
      </c>
      <c r="J1996" s="66" t="str">
        <f>IF(Eighth!J249="", "",Eighth!J249)</f>
        <v/>
      </c>
      <c r="K1996" s="86" t="str">
        <f>IF(Eighth!K249="", "",Eighth!K249)</f>
        <v/>
      </c>
      <c r="M1996" s="67" t="str">
        <f t="shared" si="95"/>
        <v/>
      </c>
      <c r="N1996" s="76" t="str">
        <f t="shared" si="96"/>
        <v/>
      </c>
      <c r="O1996" s="33">
        <f t="shared" si="94"/>
        <v>0</v>
      </c>
    </row>
    <row r="1997" spans="1:15" x14ac:dyDescent="0.25">
      <c r="A1997" s="64" t="s">
        <v>181</v>
      </c>
      <c r="B1997" s="79" t="str">
        <f>IF(Eighth!B250="", "",Eighth!B250)</f>
        <v/>
      </c>
      <c r="C1997" s="66" t="str">
        <f>IF(Eighth!C250="", "",Eighth!C250)</f>
        <v/>
      </c>
      <c r="D1997" s="66" t="str">
        <f>IF(Eighth!D250="", "",Eighth!D250)</f>
        <v/>
      </c>
      <c r="E1997" s="66" t="str">
        <f>IF(Eighth!E250="", "",Eighth!E250)</f>
        <v/>
      </c>
      <c r="F1997" s="66" t="str">
        <f>IF(Eighth!F250="", "",Eighth!F250)</f>
        <v/>
      </c>
      <c r="G1997" s="66" t="str">
        <f>IF(Eighth!G250="", "",Eighth!G250)</f>
        <v/>
      </c>
      <c r="H1997" s="66" t="str">
        <f>IF(Eighth!H250="", "",Eighth!H250)</f>
        <v/>
      </c>
      <c r="I1997" s="66" t="str">
        <f>IF(Eighth!I250="", "",Eighth!I250)</f>
        <v/>
      </c>
      <c r="J1997" s="66" t="str">
        <f>IF(Eighth!J250="", "",Eighth!J250)</f>
        <v/>
      </c>
      <c r="K1997" s="86" t="str">
        <f>IF(Eighth!K250="", "",Eighth!K250)</f>
        <v/>
      </c>
      <c r="M1997" s="67" t="str">
        <f t="shared" si="95"/>
        <v/>
      </c>
      <c r="N1997" s="76" t="str">
        <f t="shared" si="96"/>
        <v/>
      </c>
      <c r="O1997" s="33">
        <f t="shared" si="94"/>
        <v>0</v>
      </c>
    </row>
    <row r="1998" spans="1:15" x14ac:dyDescent="0.25">
      <c r="A1998" s="64" t="s">
        <v>181</v>
      </c>
      <c r="B1998" s="79" t="str">
        <f>IF(Eighth!B251="", "",Eighth!B251)</f>
        <v/>
      </c>
      <c r="C1998" s="66" t="str">
        <f>IF(Eighth!C251="", "",Eighth!C251)</f>
        <v/>
      </c>
      <c r="D1998" s="66" t="str">
        <f>IF(Eighth!D251="", "",Eighth!D251)</f>
        <v/>
      </c>
      <c r="E1998" s="66" t="str">
        <f>IF(Eighth!E251="", "",Eighth!E251)</f>
        <v/>
      </c>
      <c r="F1998" s="66" t="str">
        <f>IF(Eighth!F251="", "",Eighth!F251)</f>
        <v/>
      </c>
      <c r="G1998" s="66" t="str">
        <f>IF(Eighth!G251="", "",Eighth!G251)</f>
        <v/>
      </c>
      <c r="H1998" s="66" t="str">
        <f>IF(Eighth!H251="", "",Eighth!H251)</f>
        <v/>
      </c>
      <c r="I1998" s="66" t="str">
        <f>IF(Eighth!I251="", "",Eighth!I251)</f>
        <v/>
      </c>
      <c r="J1998" s="66" t="str">
        <f>IF(Eighth!J251="", "",Eighth!J251)</f>
        <v/>
      </c>
      <c r="K1998" s="86" t="str">
        <f>IF(Eighth!K251="", "",Eighth!K251)</f>
        <v/>
      </c>
      <c r="M1998" s="67" t="str">
        <f t="shared" si="95"/>
        <v/>
      </c>
      <c r="N1998" s="76" t="str">
        <f t="shared" si="96"/>
        <v/>
      </c>
      <c r="O1998" s="33">
        <f t="shared" si="94"/>
        <v>0</v>
      </c>
    </row>
    <row r="1999" spans="1:15" x14ac:dyDescent="0.25">
      <c r="A1999" s="64" t="s">
        <v>181</v>
      </c>
      <c r="B1999" s="79" t="str">
        <f>IF(Eighth!B252="", "",Eighth!B252)</f>
        <v/>
      </c>
      <c r="C1999" s="66" t="str">
        <f>IF(Eighth!C252="", "",Eighth!C252)</f>
        <v/>
      </c>
      <c r="D1999" s="66" t="str">
        <f>IF(Eighth!D252="", "",Eighth!D252)</f>
        <v/>
      </c>
      <c r="E1999" s="66" t="str">
        <f>IF(Eighth!E252="", "",Eighth!E252)</f>
        <v/>
      </c>
      <c r="F1999" s="66" t="str">
        <f>IF(Eighth!F252="", "",Eighth!F252)</f>
        <v/>
      </c>
      <c r="G1999" s="66" t="str">
        <f>IF(Eighth!G252="", "",Eighth!G252)</f>
        <v/>
      </c>
      <c r="H1999" s="66" t="str">
        <f>IF(Eighth!H252="", "",Eighth!H252)</f>
        <v/>
      </c>
      <c r="I1999" s="66" t="str">
        <f>IF(Eighth!I252="", "",Eighth!I252)</f>
        <v/>
      </c>
      <c r="J1999" s="66" t="str">
        <f>IF(Eighth!J252="", "",Eighth!J252)</f>
        <v/>
      </c>
      <c r="K1999" s="86" t="str">
        <f>IF(Eighth!K252="", "",Eighth!K252)</f>
        <v/>
      </c>
      <c r="M1999" s="67" t="str">
        <f t="shared" si="95"/>
        <v/>
      </c>
      <c r="N1999" s="76" t="str">
        <f t="shared" si="96"/>
        <v/>
      </c>
      <c r="O1999" s="33">
        <f t="shared" si="94"/>
        <v>0</v>
      </c>
    </row>
    <row r="2000" spans="1:15" x14ac:dyDescent="0.25">
      <c r="A2000" s="64" t="s">
        <v>181</v>
      </c>
      <c r="B2000" s="79" t="str">
        <f>IF(Eighth!B253="", "",Eighth!B253)</f>
        <v/>
      </c>
      <c r="C2000" s="66" t="str">
        <f>IF(Eighth!C253="", "",Eighth!C253)</f>
        <v/>
      </c>
      <c r="D2000" s="66" t="str">
        <f>IF(Eighth!D253="", "",Eighth!D253)</f>
        <v/>
      </c>
      <c r="E2000" s="66" t="str">
        <f>IF(Eighth!E253="", "",Eighth!E253)</f>
        <v/>
      </c>
      <c r="F2000" s="66" t="str">
        <f>IF(Eighth!F253="", "",Eighth!F253)</f>
        <v/>
      </c>
      <c r="G2000" s="66" t="str">
        <f>IF(Eighth!G253="", "",Eighth!G253)</f>
        <v/>
      </c>
      <c r="H2000" s="66" t="str">
        <f>IF(Eighth!H253="", "",Eighth!H253)</f>
        <v/>
      </c>
      <c r="I2000" s="66" t="str">
        <f>IF(Eighth!I253="", "",Eighth!I253)</f>
        <v/>
      </c>
      <c r="J2000" s="66" t="str">
        <f>IF(Eighth!J253="", "",Eighth!J253)</f>
        <v/>
      </c>
      <c r="K2000" s="86" t="str">
        <f>IF(Eighth!K253="", "",Eighth!K253)</f>
        <v/>
      </c>
      <c r="M2000" s="67" t="str">
        <f t="shared" si="95"/>
        <v/>
      </c>
      <c r="N2000" s="76" t="str">
        <f t="shared" si="96"/>
        <v/>
      </c>
      <c r="O2000" s="33">
        <f t="shared" si="94"/>
        <v>0</v>
      </c>
    </row>
    <row r="2001" spans="1:15" ht="15.75" thickBot="1" x14ac:dyDescent="0.3">
      <c r="A2001" s="68" t="s">
        <v>181</v>
      </c>
      <c r="B2001" s="80" t="str">
        <f>IF(Eighth!B254="", "",Eighth!B254)</f>
        <v/>
      </c>
      <c r="C2001" s="70" t="str">
        <f>IF(Eighth!C254="", "",Eighth!C254)</f>
        <v/>
      </c>
      <c r="D2001" s="70" t="str">
        <f>IF(Eighth!D254="", "",Eighth!D254)</f>
        <v/>
      </c>
      <c r="E2001" s="70" t="str">
        <f>IF(Eighth!E254="", "",Eighth!E254)</f>
        <v/>
      </c>
      <c r="F2001" s="70" t="str">
        <f>IF(Eighth!F254="", "",Eighth!F254)</f>
        <v/>
      </c>
      <c r="G2001" s="70" t="str">
        <f>IF(Eighth!G254="", "",Eighth!G254)</f>
        <v/>
      </c>
      <c r="H2001" s="70" t="str">
        <f>IF(Eighth!H254="", "",Eighth!H254)</f>
        <v/>
      </c>
      <c r="I2001" s="70" t="str">
        <f>IF(Eighth!I254="", "",Eighth!I254)</f>
        <v/>
      </c>
      <c r="J2001" s="70" t="str">
        <f>IF(Eighth!J254="", "",Eighth!J254)</f>
        <v/>
      </c>
      <c r="K2001" s="90" t="str">
        <f>IF(Eighth!K254="", "",Eighth!K254)</f>
        <v/>
      </c>
      <c r="L2001" s="91"/>
      <c r="M2001" s="71" t="str">
        <f t="shared" si="95"/>
        <v/>
      </c>
      <c r="N2001" s="77" t="str">
        <f t="shared" si="96"/>
        <v/>
      </c>
      <c r="O2001" s="33">
        <f t="shared" si="94"/>
        <v>0</v>
      </c>
    </row>
    <row r="2002" spans="1:15" x14ac:dyDescent="0.25">
      <c r="A2002" s="64" t="s">
        <v>182</v>
      </c>
      <c r="B2002" s="79" t="str">
        <f>IF(Ninth!B5="", "",Ninth!B5)</f>
        <v/>
      </c>
      <c r="C2002" s="66" t="str">
        <f>IF(Ninth!C5="", "",Ninth!C5)</f>
        <v/>
      </c>
      <c r="D2002" s="66" t="str">
        <f>IF(Ninth!D5="", "",Ninth!D5)</f>
        <v/>
      </c>
      <c r="E2002" s="66" t="str">
        <f>IF(Ninth!E5="", "",Ninth!E5)</f>
        <v/>
      </c>
      <c r="F2002" s="66" t="str">
        <f>IF(Ninth!F5="", "",Ninth!F5)</f>
        <v/>
      </c>
      <c r="G2002" s="66" t="str">
        <f>IF(Ninth!G5="", "",Ninth!G5)</f>
        <v/>
      </c>
      <c r="H2002" s="66" t="str">
        <f>IF(Ninth!H5="", "",Ninth!H5)</f>
        <v/>
      </c>
      <c r="I2002" s="66" t="str">
        <f>IF(Ninth!I5="", "",Ninth!I5)</f>
        <v/>
      </c>
      <c r="J2002" s="66" t="str">
        <f>IF(Ninth!J5="", "",Ninth!J5)</f>
        <v/>
      </c>
      <c r="K2002" s="86" t="str">
        <f>IF(Ninth!K5="", "",Ninth!K5)</f>
        <v/>
      </c>
      <c r="M2002" s="67" t="str">
        <f t="shared" si="95"/>
        <v/>
      </c>
      <c r="N2002" s="76" t="str">
        <f t="shared" si="96"/>
        <v/>
      </c>
      <c r="O2002" s="33">
        <f t="shared" si="94"/>
        <v>0</v>
      </c>
    </row>
    <row r="2003" spans="1:15" x14ac:dyDescent="0.25">
      <c r="A2003" s="64" t="s">
        <v>182</v>
      </c>
      <c r="B2003" s="79" t="str">
        <f>IF(Ninth!B6="", "",Ninth!B6)</f>
        <v/>
      </c>
      <c r="C2003" s="66" t="str">
        <f>IF(Ninth!C6="", "",Ninth!C6)</f>
        <v/>
      </c>
      <c r="D2003" s="66" t="str">
        <f>IF(Ninth!D6="", "",Ninth!D6)</f>
        <v/>
      </c>
      <c r="E2003" s="66" t="str">
        <f>IF(Ninth!E6="", "",Ninth!E6)</f>
        <v/>
      </c>
      <c r="F2003" s="66" t="str">
        <f>IF(Ninth!F6="", "",Ninth!F6)</f>
        <v/>
      </c>
      <c r="G2003" s="66" t="str">
        <f>IF(Ninth!G6="", "",Ninth!G6)</f>
        <v/>
      </c>
      <c r="H2003" s="66" t="str">
        <f>IF(Ninth!H6="", "",Ninth!H6)</f>
        <v/>
      </c>
      <c r="I2003" s="66" t="str">
        <f>IF(Ninth!I6="", "",Ninth!I6)</f>
        <v/>
      </c>
      <c r="J2003" s="66" t="str">
        <f>IF(Ninth!J6="", "",Ninth!J6)</f>
        <v/>
      </c>
      <c r="K2003" s="86" t="str">
        <f>IF(Ninth!K6="", "",Ninth!K6)</f>
        <v/>
      </c>
      <c r="M2003" s="67" t="str">
        <f t="shared" si="95"/>
        <v/>
      </c>
      <c r="N2003" s="76" t="str">
        <f t="shared" si="96"/>
        <v/>
      </c>
      <c r="O2003" s="33">
        <f t="shared" si="94"/>
        <v>0</v>
      </c>
    </row>
    <row r="2004" spans="1:15" x14ac:dyDescent="0.25">
      <c r="A2004" s="64" t="s">
        <v>182</v>
      </c>
      <c r="B2004" s="79" t="str">
        <f>IF(Ninth!B7="", "",Ninth!B7)</f>
        <v/>
      </c>
      <c r="C2004" s="66" t="str">
        <f>IF(Ninth!C7="", "",Ninth!C7)</f>
        <v/>
      </c>
      <c r="D2004" s="66" t="str">
        <f>IF(Ninth!D7="", "",Ninth!D7)</f>
        <v/>
      </c>
      <c r="E2004" s="66" t="str">
        <f>IF(Ninth!E7="", "",Ninth!E7)</f>
        <v/>
      </c>
      <c r="F2004" s="66" t="str">
        <f>IF(Ninth!F7="", "",Ninth!F7)</f>
        <v/>
      </c>
      <c r="G2004" s="66" t="str">
        <f>IF(Ninth!G7="", "",Ninth!G7)</f>
        <v/>
      </c>
      <c r="H2004" s="66" t="str">
        <f>IF(Ninth!H7="", "",Ninth!H7)</f>
        <v/>
      </c>
      <c r="I2004" s="66" t="str">
        <f>IF(Ninth!I7="", "",Ninth!I7)</f>
        <v/>
      </c>
      <c r="J2004" s="66" t="str">
        <f>IF(Ninth!J7="", "",Ninth!J7)</f>
        <v/>
      </c>
      <c r="K2004" s="86" t="str">
        <f>IF(Ninth!K7="", "",Ninth!K7)</f>
        <v/>
      </c>
      <c r="M2004" s="67" t="str">
        <f t="shared" si="95"/>
        <v/>
      </c>
      <c r="N2004" s="76" t="str">
        <f t="shared" si="96"/>
        <v/>
      </c>
      <c r="O2004" s="33">
        <f t="shared" si="94"/>
        <v>0</v>
      </c>
    </row>
    <row r="2005" spans="1:15" x14ac:dyDescent="0.25">
      <c r="A2005" s="64" t="s">
        <v>182</v>
      </c>
      <c r="B2005" s="79" t="str">
        <f>IF(Ninth!B8="", "",Ninth!B8)</f>
        <v/>
      </c>
      <c r="C2005" s="66" t="str">
        <f>IF(Ninth!C8="", "",Ninth!C8)</f>
        <v/>
      </c>
      <c r="D2005" s="66" t="str">
        <f>IF(Ninth!D8="", "",Ninth!D8)</f>
        <v/>
      </c>
      <c r="E2005" s="66" t="str">
        <f>IF(Ninth!E8="", "",Ninth!E8)</f>
        <v/>
      </c>
      <c r="F2005" s="66" t="str">
        <f>IF(Ninth!F8="", "",Ninth!F8)</f>
        <v/>
      </c>
      <c r="G2005" s="66" t="str">
        <f>IF(Ninth!G8="", "",Ninth!G8)</f>
        <v/>
      </c>
      <c r="H2005" s="66" t="str">
        <f>IF(Ninth!H8="", "",Ninth!H8)</f>
        <v/>
      </c>
      <c r="I2005" s="66" t="str">
        <f>IF(Ninth!I8="", "",Ninth!I8)</f>
        <v/>
      </c>
      <c r="J2005" s="66" t="str">
        <f>IF(Ninth!J8="", "",Ninth!J8)</f>
        <v/>
      </c>
      <c r="K2005" s="86" t="str">
        <f>IF(Ninth!K8="", "",Ninth!K8)</f>
        <v/>
      </c>
      <c r="M2005" s="67" t="str">
        <f t="shared" si="95"/>
        <v/>
      </c>
      <c r="N2005" s="76" t="str">
        <f t="shared" si="96"/>
        <v/>
      </c>
      <c r="O2005" s="33">
        <f t="shared" si="94"/>
        <v>0</v>
      </c>
    </row>
    <row r="2006" spans="1:15" x14ac:dyDescent="0.25">
      <c r="A2006" s="64" t="s">
        <v>182</v>
      </c>
      <c r="B2006" s="79" t="str">
        <f>IF(Ninth!B9="", "",Ninth!B9)</f>
        <v/>
      </c>
      <c r="C2006" s="66" t="str">
        <f>IF(Ninth!C9="", "",Ninth!C9)</f>
        <v/>
      </c>
      <c r="D2006" s="66" t="str">
        <f>IF(Ninth!D9="", "",Ninth!D9)</f>
        <v/>
      </c>
      <c r="E2006" s="66" t="str">
        <f>IF(Ninth!E9="", "",Ninth!E9)</f>
        <v/>
      </c>
      <c r="F2006" s="66" t="str">
        <f>IF(Ninth!F9="", "",Ninth!F9)</f>
        <v/>
      </c>
      <c r="G2006" s="66" t="str">
        <f>IF(Ninth!G9="", "",Ninth!G9)</f>
        <v/>
      </c>
      <c r="H2006" s="66" t="str">
        <f>IF(Ninth!H9="", "",Ninth!H9)</f>
        <v/>
      </c>
      <c r="I2006" s="66" t="str">
        <f>IF(Ninth!I9="", "",Ninth!I9)</f>
        <v/>
      </c>
      <c r="J2006" s="66" t="str">
        <f>IF(Ninth!J9="", "",Ninth!J9)</f>
        <v/>
      </c>
      <c r="K2006" s="86" t="str">
        <f>IF(Ninth!K9="", "",Ninth!K9)</f>
        <v/>
      </c>
      <c r="M2006" s="67" t="str">
        <f t="shared" si="95"/>
        <v/>
      </c>
      <c r="N2006" s="76" t="str">
        <f t="shared" si="96"/>
        <v/>
      </c>
      <c r="O2006" s="33">
        <f t="shared" si="94"/>
        <v>0</v>
      </c>
    </row>
    <row r="2007" spans="1:15" x14ac:dyDescent="0.25">
      <c r="A2007" s="64" t="s">
        <v>182</v>
      </c>
      <c r="B2007" s="79" t="str">
        <f>IF(Ninth!B10="", "",Ninth!B10)</f>
        <v/>
      </c>
      <c r="C2007" s="66" t="str">
        <f>IF(Ninth!C10="", "",Ninth!C10)</f>
        <v/>
      </c>
      <c r="D2007" s="66" t="str">
        <f>IF(Ninth!D10="", "",Ninth!D10)</f>
        <v/>
      </c>
      <c r="E2007" s="66" t="str">
        <f>IF(Ninth!E10="", "",Ninth!E10)</f>
        <v/>
      </c>
      <c r="F2007" s="66" t="str">
        <f>IF(Ninth!F10="", "",Ninth!F10)</f>
        <v/>
      </c>
      <c r="G2007" s="66" t="str">
        <f>IF(Ninth!G10="", "",Ninth!G10)</f>
        <v/>
      </c>
      <c r="H2007" s="66" t="str">
        <f>IF(Ninth!H10="", "",Ninth!H10)</f>
        <v/>
      </c>
      <c r="I2007" s="66" t="str">
        <f>IF(Ninth!I10="", "",Ninth!I10)</f>
        <v/>
      </c>
      <c r="J2007" s="66" t="str">
        <f>IF(Ninth!J10="", "",Ninth!J10)</f>
        <v/>
      </c>
      <c r="K2007" s="86" t="str">
        <f>IF(Ninth!K10="", "",Ninth!K10)</f>
        <v/>
      </c>
      <c r="M2007" s="67" t="str">
        <f t="shared" si="95"/>
        <v/>
      </c>
      <c r="N2007" s="76" t="str">
        <f t="shared" si="96"/>
        <v/>
      </c>
      <c r="O2007" s="33">
        <f t="shared" si="94"/>
        <v>0</v>
      </c>
    </row>
    <row r="2008" spans="1:15" x14ac:dyDescent="0.25">
      <c r="A2008" s="64" t="s">
        <v>182</v>
      </c>
      <c r="B2008" s="79" t="str">
        <f>IF(Ninth!B11="", "",Ninth!B11)</f>
        <v/>
      </c>
      <c r="C2008" s="66" t="str">
        <f>IF(Ninth!C11="", "",Ninth!C11)</f>
        <v/>
      </c>
      <c r="D2008" s="66" t="str">
        <f>IF(Ninth!D11="", "",Ninth!D11)</f>
        <v/>
      </c>
      <c r="E2008" s="66" t="str">
        <f>IF(Ninth!E11="", "",Ninth!E11)</f>
        <v/>
      </c>
      <c r="F2008" s="66" t="str">
        <f>IF(Ninth!F11="", "",Ninth!F11)</f>
        <v/>
      </c>
      <c r="G2008" s="66" t="str">
        <f>IF(Ninth!G11="", "",Ninth!G11)</f>
        <v/>
      </c>
      <c r="H2008" s="66" t="str">
        <f>IF(Ninth!H11="", "",Ninth!H11)</f>
        <v/>
      </c>
      <c r="I2008" s="66" t="str">
        <f>IF(Ninth!I11="", "",Ninth!I11)</f>
        <v/>
      </c>
      <c r="J2008" s="66" t="str">
        <f>IF(Ninth!J11="", "",Ninth!J11)</f>
        <v/>
      </c>
      <c r="K2008" s="86" t="str">
        <f>IF(Ninth!K11="", "",Ninth!K11)</f>
        <v/>
      </c>
      <c r="M2008" s="67" t="str">
        <f t="shared" si="95"/>
        <v/>
      </c>
      <c r="N2008" s="76" t="str">
        <f t="shared" si="96"/>
        <v/>
      </c>
      <c r="O2008" s="33">
        <f t="shared" si="94"/>
        <v>0</v>
      </c>
    </row>
    <row r="2009" spans="1:15" x14ac:dyDescent="0.25">
      <c r="A2009" s="64" t="s">
        <v>182</v>
      </c>
      <c r="B2009" s="79" t="str">
        <f>IF(Ninth!B12="", "",Ninth!B12)</f>
        <v/>
      </c>
      <c r="C2009" s="66" t="str">
        <f>IF(Ninth!C12="", "",Ninth!C12)</f>
        <v/>
      </c>
      <c r="D2009" s="66" t="str">
        <f>IF(Ninth!D12="", "",Ninth!D12)</f>
        <v/>
      </c>
      <c r="E2009" s="66" t="str">
        <f>IF(Ninth!E12="", "",Ninth!E12)</f>
        <v/>
      </c>
      <c r="F2009" s="66" t="str">
        <f>IF(Ninth!F12="", "",Ninth!F12)</f>
        <v/>
      </c>
      <c r="G2009" s="66" t="str">
        <f>IF(Ninth!G12="", "",Ninth!G12)</f>
        <v/>
      </c>
      <c r="H2009" s="66" t="str">
        <f>IF(Ninth!H12="", "",Ninth!H12)</f>
        <v/>
      </c>
      <c r="I2009" s="66" t="str">
        <f>IF(Ninth!I12="", "",Ninth!I12)</f>
        <v/>
      </c>
      <c r="J2009" s="66" t="str">
        <f>IF(Ninth!J12="", "",Ninth!J12)</f>
        <v/>
      </c>
      <c r="K2009" s="86" t="str">
        <f>IF(Ninth!K12="", "",Ninth!K12)</f>
        <v/>
      </c>
      <c r="M2009" s="67" t="str">
        <f t="shared" si="95"/>
        <v/>
      </c>
      <c r="N2009" s="76" t="str">
        <f t="shared" si="96"/>
        <v/>
      </c>
      <c r="O2009" s="33">
        <f t="shared" si="94"/>
        <v>0</v>
      </c>
    </row>
    <row r="2010" spans="1:15" x14ac:dyDescent="0.25">
      <c r="A2010" s="64" t="s">
        <v>182</v>
      </c>
      <c r="B2010" s="79" t="str">
        <f>IF(Ninth!B13="", "",Ninth!B13)</f>
        <v/>
      </c>
      <c r="C2010" s="66" t="str">
        <f>IF(Ninth!C13="", "",Ninth!C13)</f>
        <v/>
      </c>
      <c r="D2010" s="66" t="str">
        <f>IF(Ninth!D13="", "",Ninth!D13)</f>
        <v/>
      </c>
      <c r="E2010" s="66" t="str">
        <f>IF(Ninth!E13="", "",Ninth!E13)</f>
        <v/>
      </c>
      <c r="F2010" s="66" t="str">
        <f>IF(Ninth!F13="", "",Ninth!F13)</f>
        <v/>
      </c>
      <c r="G2010" s="66" t="str">
        <f>IF(Ninth!G13="", "",Ninth!G13)</f>
        <v/>
      </c>
      <c r="H2010" s="66" t="str">
        <f>IF(Ninth!H13="", "",Ninth!H13)</f>
        <v/>
      </c>
      <c r="I2010" s="66" t="str">
        <f>IF(Ninth!I13="", "",Ninth!I13)</f>
        <v/>
      </c>
      <c r="J2010" s="66" t="str">
        <f>IF(Ninth!J13="", "",Ninth!J13)</f>
        <v/>
      </c>
      <c r="K2010" s="86" t="str">
        <f>IF(Ninth!K13="", "",Ninth!K13)</f>
        <v/>
      </c>
      <c r="M2010" s="67" t="str">
        <f t="shared" si="95"/>
        <v/>
      </c>
      <c r="N2010" s="76" t="str">
        <f t="shared" si="96"/>
        <v/>
      </c>
      <c r="O2010" s="33">
        <f t="shared" si="94"/>
        <v>0</v>
      </c>
    </row>
    <row r="2011" spans="1:15" x14ac:dyDescent="0.25">
      <c r="A2011" s="64" t="s">
        <v>182</v>
      </c>
      <c r="B2011" s="79" t="str">
        <f>IF(Ninth!B14="", "",Ninth!B14)</f>
        <v/>
      </c>
      <c r="C2011" s="66" t="str">
        <f>IF(Ninth!C14="", "",Ninth!C14)</f>
        <v/>
      </c>
      <c r="D2011" s="66" t="str">
        <f>IF(Ninth!D14="", "",Ninth!D14)</f>
        <v/>
      </c>
      <c r="E2011" s="66" t="str">
        <f>IF(Ninth!E14="", "",Ninth!E14)</f>
        <v/>
      </c>
      <c r="F2011" s="66" t="str">
        <f>IF(Ninth!F14="", "",Ninth!F14)</f>
        <v/>
      </c>
      <c r="G2011" s="66" t="str">
        <f>IF(Ninth!G14="", "",Ninth!G14)</f>
        <v/>
      </c>
      <c r="H2011" s="66" t="str">
        <f>IF(Ninth!H14="", "",Ninth!H14)</f>
        <v/>
      </c>
      <c r="I2011" s="66" t="str">
        <f>IF(Ninth!I14="", "",Ninth!I14)</f>
        <v/>
      </c>
      <c r="J2011" s="66" t="str">
        <f>IF(Ninth!J14="", "",Ninth!J14)</f>
        <v/>
      </c>
      <c r="K2011" s="86" t="str">
        <f>IF(Ninth!K14="", "",Ninth!K14)</f>
        <v/>
      </c>
      <c r="M2011" s="67" t="str">
        <f t="shared" si="95"/>
        <v/>
      </c>
      <c r="N2011" s="76" t="str">
        <f t="shared" si="96"/>
        <v/>
      </c>
      <c r="O2011" s="33">
        <f t="shared" si="94"/>
        <v>0</v>
      </c>
    </row>
    <row r="2012" spans="1:15" x14ac:dyDescent="0.25">
      <c r="A2012" s="64" t="s">
        <v>182</v>
      </c>
      <c r="B2012" s="79" t="str">
        <f>IF(Ninth!B15="", "",Ninth!B15)</f>
        <v/>
      </c>
      <c r="C2012" s="66" t="str">
        <f>IF(Ninth!C15="", "",Ninth!C15)</f>
        <v/>
      </c>
      <c r="D2012" s="66" t="str">
        <f>IF(Ninth!D15="", "",Ninth!D15)</f>
        <v/>
      </c>
      <c r="E2012" s="66" t="str">
        <f>IF(Ninth!E15="", "",Ninth!E15)</f>
        <v/>
      </c>
      <c r="F2012" s="66" t="str">
        <f>IF(Ninth!F15="", "",Ninth!F15)</f>
        <v/>
      </c>
      <c r="G2012" s="66" t="str">
        <f>IF(Ninth!G15="", "",Ninth!G15)</f>
        <v/>
      </c>
      <c r="H2012" s="66" t="str">
        <f>IF(Ninth!H15="", "",Ninth!H15)</f>
        <v/>
      </c>
      <c r="I2012" s="66" t="str">
        <f>IF(Ninth!I15="", "",Ninth!I15)</f>
        <v/>
      </c>
      <c r="J2012" s="66" t="str">
        <f>IF(Ninth!J15="", "",Ninth!J15)</f>
        <v/>
      </c>
      <c r="K2012" s="86" t="str">
        <f>IF(Ninth!K15="", "",Ninth!K15)</f>
        <v/>
      </c>
      <c r="M2012" s="67" t="str">
        <f t="shared" si="95"/>
        <v/>
      </c>
      <c r="N2012" s="76" t="str">
        <f t="shared" si="96"/>
        <v/>
      </c>
      <c r="O2012" s="33">
        <f t="shared" si="94"/>
        <v>0</v>
      </c>
    </row>
    <row r="2013" spans="1:15" x14ac:dyDescent="0.25">
      <c r="A2013" s="64" t="s">
        <v>182</v>
      </c>
      <c r="B2013" s="79" t="str">
        <f>IF(Ninth!B16="", "",Ninth!B16)</f>
        <v/>
      </c>
      <c r="C2013" s="66" t="str">
        <f>IF(Ninth!C16="", "",Ninth!C16)</f>
        <v/>
      </c>
      <c r="D2013" s="66" t="str">
        <f>IF(Ninth!D16="", "",Ninth!D16)</f>
        <v/>
      </c>
      <c r="E2013" s="66" t="str">
        <f>IF(Ninth!E16="", "",Ninth!E16)</f>
        <v/>
      </c>
      <c r="F2013" s="66" t="str">
        <f>IF(Ninth!F16="", "",Ninth!F16)</f>
        <v/>
      </c>
      <c r="G2013" s="66" t="str">
        <f>IF(Ninth!G16="", "",Ninth!G16)</f>
        <v/>
      </c>
      <c r="H2013" s="66" t="str">
        <f>IF(Ninth!H16="", "",Ninth!H16)</f>
        <v/>
      </c>
      <c r="I2013" s="66" t="str">
        <f>IF(Ninth!I16="", "",Ninth!I16)</f>
        <v/>
      </c>
      <c r="J2013" s="66" t="str">
        <f>IF(Ninth!J16="", "",Ninth!J16)</f>
        <v/>
      </c>
      <c r="K2013" s="86" t="str">
        <f>IF(Ninth!K16="", "",Ninth!K16)</f>
        <v/>
      </c>
      <c r="M2013" s="67" t="str">
        <f t="shared" si="95"/>
        <v/>
      </c>
      <c r="N2013" s="76" t="str">
        <f t="shared" si="96"/>
        <v/>
      </c>
      <c r="O2013" s="33">
        <f t="shared" si="94"/>
        <v>0</v>
      </c>
    </row>
    <row r="2014" spans="1:15" x14ac:dyDescent="0.25">
      <c r="A2014" s="64" t="s">
        <v>182</v>
      </c>
      <c r="B2014" s="79" t="str">
        <f>IF(Ninth!B17="", "",Ninth!B17)</f>
        <v/>
      </c>
      <c r="C2014" s="66" t="str">
        <f>IF(Ninth!C17="", "",Ninth!C17)</f>
        <v/>
      </c>
      <c r="D2014" s="66" t="str">
        <f>IF(Ninth!D17="", "",Ninth!D17)</f>
        <v/>
      </c>
      <c r="E2014" s="66" t="str">
        <f>IF(Ninth!E17="", "",Ninth!E17)</f>
        <v/>
      </c>
      <c r="F2014" s="66" t="str">
        <f>IF(Ninth!F17="", "",Ninth!F17)</f>
        <v/>
      </c>
      <c r="G2014" s="66" t="str">
        <f>IF(Ninth!G17="", "",Ninth!G17)</f>
        <v/>
      </c>
      <c r="H2014" s="66" t="str">
        <f>IF(Ninth!H17="", "",Ninth!H17)</f>
        <v/>
      </c>
      <c r="I2014" s="66" t="str">
        <f>IF(Ninth!I17="", "",Ninth!I17)</f>
        <v/>
      </c>
      <c r="J2014" s="66" t="str">
        <f>IF(Ninth!J17="", "",Ninth!J17)</f>
        <v/>
      </c>
      <c r="K2014" s="86" t="str">
        <f>IF(Ninth!K17="", "",Ninth!K17)</f>
        <v/>
      </c>
      <c r="M2014" s="67" t="str">
        <f t="shared" si="95"/>
        <v/>
      </c>
      <c r="N2014" s="76" t="str">
        <f t="shared" si="96"/>
        <v/>
      </c>
      <c r="O2014" s="33">
        <f t="shared" si="94"/>
        <v>0</v>
      </c>
    </row>
    <row r="2015" spans="1:15" x14ac:dyDescent="0.25">
      <c r="A2015" s="64" t="s">
        <v>182</v>
      </c>
      <c r="B2015" s="79" t="str">
        <f>IF(Ninth!B18="", "",Ninth!B18)</f>
        <v/>
      </c>
      <c r="C2015" s="66" t="str">
        <f>IF(Ninth!C18="", "",Ninth!C18)</f>
        <v/>
      </c>
      <c r="D2015" s="66" t="str">
        <f>IF(Ninth!D18="", "",Ninth!D18)</f>
        <v/>
      </c>
      <c r="E2015" s="66" t="str">
        <f>IF(Ninth!E18="", "",Ninth!E18)</f>
        <v/>
      </c>
      <c r="F2015" s="66" t="str">
        <f>IF(Ninth!F18="", "",Ninth!F18)</f>
        <v/>
      </c>
      <c r="G2015" s="66" t="str">
        <f>IF(Ninth!G18="", "",Ninth!G18)</f>
        <v/>
      </c>
      <c r="H2015" s="66" t="str">
        <f>IF(Ninth!H18="", "",Ninth!H18)</f>
        <v/>
      </c>
      <c r="I2015" s="66" t="str">
        <f>IF(Ninth!I18="", "",Ninth!I18)</f>
        <v/>
      </c>
      <c r="J2015" s="66" t="str">
        <f>IF(Ninth!J18="", "",Ninth!J18)</f>
        <v/>
      </c>
      <c r="K2015" s="86" t="str">
        <f>IF(Ninth!K18="", "",Ninth!K18)</f>
        <v/>
      </c>
      <c r="M2015" s="67" t="str">
        <f t="shared" si="95"/>
        <v/>
      </c>
      <c r="N2015" s="76" t="str">
        <f t="shared" si="96"/>
        <v/>
      </c>
      <c r="O2015" s="33">
        <f t="shared" si="94"/>
        <v>0</v>
      </c>
    </row>
    <row r="2016" spans="1:15" x14ac:dyDescent="0.25">
      <c r="A2016" s="64" t="s">
        <v>182</v>
      </c>
      <c r="B2016" s="79" t="str">
        <f>IF(Ninth!B19="", "",Ninth!B19)</f>
        <v/>
      </c>
      <c r="C2016" s="66" t="str">
        <f>IF(Ninth!C19="", "",Ninth!C19)</f>
        <v/>
      </c>
      <c r="D2016" s="66" t="str">
        <f>IF(Ninth!D19="", "",Ninth!D19)</f>
        <v/>
      </c>
      <c r="E2016" s="66" t="str">
        <f>IF(Ninth!E19="", "",Ninth!E19)</f>
        <v/>
      </c>
      <c r="F2016" s="66" t="str">
        <f>IF(Ninth!F19="", "",Ninth!F19)</f>
        <v/>
      </c>
      <c r="G2016" s="66" t="str">
        <f>IF(Ninth!G19="", "",Ninth!G19)</f>
        <v/>
      </c>
      <c r="H2016" s="66" t="str">
        <f>IF(Ninth!H19="", "",Ninth!H19)</f>
        <v/>
      </c>
      <c r="I2016" s="66" t="str">
        <f>IF(Ninth!I19="", "",Ninth!I19)</f>
        <v/>
      </c>
      <c r="J2016" s="66" t="str">
        <f>IF(Ninth!J19="", "",Ninth!J19)</f>
        <v/>
      </c>
      <c r="K2016" s="86" t="str">
        <f>IF(Ninth!K19="", "",Ninth!K19)</f>
        <v/>
      </c>
      <c r="M2016" s="67" t="str">
        <f t="shared" si="95"/>
        <v/>
      </c>
      <c r="N2016" s="76" t="str">
        <f t="shared" si="96"/>
        <v/>
      </c>
      <c r="O2016" s="33">
        <f t="shared" si="94"/>
        <v>0</v>
      </c>
    </row>
    <row r="2017" spans="1:15" x14ac:dyDescent="0.25">
      <c r="A2017" s="64" t="s">
        <v>182</v>
      </c>
      <c r="B2017" s="79" t="str">
        <f>IF(Ninth!B20="", "",Ninth!B20)</f>
        <v/>
      </c>
      <c r="C2017" s="66" t="str">
        <f>IF(Ninth!C20="", "",Ninth!C20)</f>
        <v/>
      </c>
      <c r="D2017" s="66" t="str">
        <f>IF(Ninth!D20="", "",Ninth!D20)</f>
        <v/>
      </c>
      <c r="E2017" s="66" t="str">
        <f>IF(Ninth!E20="", "",Ninth!E20)</f>
        <v/>
      </c>
      <c r="F2017" s="66" t="str">
        <f>IF(Ninth!F20="", "",Ninth!F20)</f>
        <v/>
      </c>
      <c r="G2017" s="66" t="str">
        <f>IF(Ninth!G20="", "",Ninth!G20)</f>
        <v/>
      </c>
      <c r="H2017" s="66" t="str">
        <f>IF(Ninth!H20="", "",Ninth!H20)</f>
        <v/>
      </c>
      <c r="I2017" s="66" t="str">
        <f>IF(Ninth!I20="", "",Ninth!I20)</f>
        <v/>
      </c>
      <c r="J2017" s="66" t="str">
        <f>IF(Ninth!J20="", "",Ninth!J20)</f>
        <v/>
      </c>
      <c r="K2017" s="86" t="str">
        <f>IF(Ninth!K20="", "",Ninth!K20)</f>
        <v/>
      </c>
      <c r="M2017" s="67" t="str">
        <f t="shared" si="95"/>
        <v/>
      </c>
      <c r="N2017" s="76" t="str">
        <f t="shared" si="96"/>
        <v/>
      </c>
      <c r="O2017" s="33">
        <f t="shared" si="94"/>
        <v>0</v>
      </c>
    </row>
    <row r="2018" spans="1:15" x14ac:dyDescent="0.25">
      <c r="A2018" s="64" t="s">
        <v>182</v>
      </c>
      <c r="B2018" s="79" t="str">
        <f>IF(Ninth!B21="", "",Ninth!B21)</f>
        <v/>
      </c>
      <c r="C2018" s="66" t="str">
        <f>IF(Ninth!C21="", "",Ninth!C21)</f>
        <v/>
      </c>
      <c r="D2018" s="66" t="str">
        <f>IF(Ninth!D21="", "",Ninth!D21)</f>
        <v/>
      </c>
      <c r="E2018" s="66" t="str">
        <f>IF(Ninth!E21="", "",Ninth!E21)</f>
        <v/>
      </c>
      <c r="F2018" s="66" t="str">
        <f>IF(Ninth!F21="", "",Ninth!F21)</f>
        <v/>
      </c>
      <c r="G2018" s="66" t="str">
        <f>IF(Ninth!G21="", "",Ninth!G21)</f>
        <v/>
      </c>
      <c r="H2018" s="66" t="str">
        <f>IF(Ninth!H21="", "",Ninth!H21)</f>
        <v/>
      </c>
      <c r="I2018" s="66" t="str">
        <f>IF(Ninth!I21="", "",Ninth!I21)</f>
        <v/>
      </c>
      <c r="J2018" s="66" t="str">
        <f>IF(Ninth!J21="", "",Ninth!J21)</f>
        <v/>
      </c>
      <c r="K2018" s="86" t="str">
        <f>IF(Ninth!K21="", "",Ninth!K21)</f>
        <v/>
      </c>
      <c r="M2018" s="67" t="str">
        <f t="shared" si="95"/>
        <v/>
      </c>
      <c r="N2018" s="76" t="str">
        <f t="shared" si="96"/>
        <v/>
      </c>
      <c r="O2018" s="33">
        <f t="shared" si="94"/>
        <v>0</v>
      </c>
    </row>
    <row r="2019" spans="1:15" x14ac:dyDescent="0.25">
      <c r="A2019" s="64" t="s">
        <v>182</v>
      </c>
      <c r="B2019" s="79" t="str">
        <f>IF(Ninth!B22="", "",Ninth!B22)</f>
        <v/>
      </c>
      <c r="C2019" s="66" t="str">
        <f>IF(Ninth!C22="", "",Ninth!C22)</f>
        <v/>
      </c>
      <c r="D2019" s="66" t="str">
        <f>IF(Ninth!D22="", "",Ninth!D22)</f>
        <v/>
      </c>
      <c r="E2019" s="66" t="str">
        <f>IF(Ninth!E22="", "",Ninth!E22)</f>
        <v/>
      </c>
      <c r="F2019" s="66" t="str">
        <f>IF(Ninth!F22="", "",Ninth!F22)</f>
        <v/>
      </c>
      <c r="G2019" s="66" t="str">
        <f>IF(Ninth!G22="", "",Ninth!G22)</f>
        <v/>
      </c>
      <c r="H2019" s="66" t="str">
        <f>IF(Ninth!H22="", "",Ninth!H22)</f>
        <v/>
      </c>
      <c r="I2019" s="66" t="str">
        <f>IF(Ninth!I22="", "",Ninth!I22)</f>
        <v/>
      </c>
      <c r="J2019" s="66" t="str">
        <f>IF(Ninth!J22="", "",Ninth!J22)</f>
        <v/>
      </c>
      <c r="K2019" s="86" t="str">
        <f>IF(Ninth!K22="", "",Ninth!K22)</f>
        <v/>
      </c>
      <c r="M2019" s="67" t="str">
        <f t="shared" si="95"/>
        <v/>
      </c>
      <c r="N2019" s="76" t="str">
        <f t="shared" si="96"/>
        <v/>
      </c>
      <c r="O2019" s="33">
        <f t="shared" si="94"/>
        <v>0</v>
      </c>
    </row>
    <row r="2020" spans="1:15" x14ac:dyDescent="0.25">
      <c r="A2020" s="64" t="s">
        <v>182</v>
      </c>
      <c r="B2020" s="79" t="str">
        <f>IF(Ninth!B23="", "",Ninth!B23)</f>
        <v/>
      </c>
      <c r="C2020" s="66" t="str">
        <f>IF(Ninth!C23="", "",Ninth!C23)</f>
        <v/>
      </c>
      <c r="D2020" s="66" t="str">
        <f>IF(Ninth!D23="", "",Ninth!D23)</f>
        <v/>
      </c>
      <c r="E2020" s="66" t="str">
        <f>IF(Ninth!E23="", "",Ninth!E23)</f>
        <v/>
      </c>
      <c r="F2020" s="66" t="str">
        <f>IF(Ninth!F23="", "",Ninth!F23)</f>
        <v/>
      </c>
      <c r="G2020" s="66" t="str">
        <f>IF(Ninth!G23="", "",Ninth!G23)</f>
        <v/>
      </c>
      <c r="H2020" s="66" t="str">
        <f>IF(Ninth!H23="", "",Ninth!H23)</f>
        <v/>
      </c>
      <c r="I2020" s="66" t="str">
        <f>IF(Ninth!I23="", "",Ninth!I23)</f>
        <v/>
      </c>
      <c r="J2020" s="66" t="str">
        <f>IF(Ninth!J23="", "",Ninth!J23)</f>
        <v/>
      </c>
      <c r="K2020" s="86" t="str">
        <f>IF(Ninth!K23="", "",Ninth!K23)</f>
        <v/>
      </c>
      <c r="M2020" s="67" t="str">
        <f t="shared" si="95"/>
        <v/>
      </c>
      <c r="N2020" s="76" t="str">
        <f t="shared" si="96"/>
        <v/>
      </c>
      <c r="O2020" s="33">
        <f t="shared" si="94"/>
        <v>0</v>
      </c>
    </row>
    <row r="2021" spans="1:15" x14ac:dyDescent="0.25">
      <c r="A2021" s="64" t="s">
        <v>182</v>
      </c>
      <c r="B2021" s="79" t="str">
        <f>IF(Ninth!B24="", "",Ninth!B24)</f>
        <v/>
      </c>
      <c r="C2021" s="66" t="str">
        <f>IF(Ninth!C24="", "",Ninth!C24)</f>
        <v/>
      </c>
      <c r="D2021" s="66" t="str">
        <f>IF(Ninth!D24="", "",Ninth!D24)</f>
        <v/>
      </c>
      <c r="E2021" s="66" t="str">
        <f>IF(Ninth!E24="", "",Ninth!E24)</f>
        <v/>
      </c>
      <c r="F2021" s="66" t="str">
        <f>IF(Ninth!F24="", "",Ninth!F24)</f>
        <v/>
      </c>
      <c r="G2021" s="66" t="str">
        <f>IF(Ninth!G24="", "",Ninth!G24)</f>
        <v/>
      </c>
      <c r="H2021" s="66" t="str">
        <f>IF(Ninth!H24="", "",Ninth!H24)</f>
        <v/>
      </c>
      <c r="I2021" s="66" t="str">
        <f>IF(Ninth!I24="", "",Ninth!I24)</f>
        <v/>
      </c>
      <c r="J2021" s="66" t="str">
        <f>IF(Ninth!J24="", "",Ninth!J24)</f>
        <v/>
      </c>
      <c r="K2021" s="86" t="str">
        <f>IF(Ninth!K24="", "",Ninth!K24)</f>
        <v/>
      </c>
      <c r="M2021" s="67" t="str">
        <f t="shared" si="95"/>
        <v/>
      </c>
      <c r="N2021" s="76" t="str">
        <f t="shared" si="96"/>
        <v/>
      </c>
      <c r="O2021" s="33">
        <f t="shared" si="94"/>
        <v>0</v>
      </c>
    </row>
    <row r="2022" spans="1:15" x14ac:dyDescent="0.25">
      <c r="A2022" s="64" t="s">
        <v>182</v>
      </c>
      <c r="B2022" s="79" t="str">
        <f>IF(Ninth!B25="", "",Ninth!B25)</f>
        <v/>
      </c>
      <c r="C2022" s="66" t="str">
        <f>IF(Ninth!C25="", "",Ninth!C25)</f>
        <v/>
      </c>
      <c r="D2022" s="66" t="str">
        <f>IF(Ninth!D25="", "",Ninth!D25)</f>
        <v/>
      </c>
      <c r="E2022" s="66" t="str">
        <f>IF(Ninth!E25="", "",Ninth!E25)</f>
        <v/>
      </c>
      <c r="F2022" s="66" t="str">
        <f>IF(Ninth!F25="", "",Ninth!F25)</f>
        <v/>
      </c>
      <c r="G2022" s="66" t="str">
        <f>IF(Ninth!G25="", "",Ninth!G25)</f>
        <v/>
      </c>
      <c r="H2022" s="66" t="str">
        <f>IF(Ninth!H25="", "",Ninth!H25)</f>
        <v/>
      </c>
      <c r="I2022" s="66" t="str">
        <f>IF(Ninth!I25="", "",Ninth!I25)</f>
        <v/>
      </c>
      <c r="J2022" s="66" t="str">
        <f>IF(Ninth!J25="", "",Ninth!J25)</f>
        <v/>
      </c>
      <c r="K2022" s="86" t="str">
        <f>IF(Ninth!K25="", "",Ninth!K25)</f>
        <v/>
      </c>
      <c r="M2022" s="67" t="str">
        <f t="shared" si="95"/>
        <v/>
      </c>
      <c r="N2022" s="76" t="str">
        <f t="shared" si="96"/>
        <v/>
      </c>
      <c r="O2022" s="33">
        <f t="shared" si="94"/>
        <v>0</v>
      </c>
    </row>
    <row r="2023" spans="1:15" x14ac:dyDescent="0.25">
      <c r="A2023" s="64" t="s">
        <v>182</v>
      </c>
      <c r="B2023" s="79" t="str">
        <f>IF(Ninth!B26="", "",Ninth!B26)</f>
        <v/>
      </c>
      <c r="C2023" s="66" t="str">
        <f>IF(Ninth!C26="", "",Ninth!C26)</f>
        <v/>
      </c>
      <c r="D2023" s="66" t="str">
        <f>IF(Ninth!D26="", "",Ninth!D26)</f>
        <v/>
      </c>
      <c r="E2023" s="66" t="str">
        <f>IF(Ninth!E26="", "",Ninth!E26)</f>
        <v/>
      </c>
      <c r="F2023" s="66" t="str">
        <f>IF(Ninth!F26="", "",Ninth!F26)</f>
        <v/>
      </c>
      <c r="G2023" s="66" t="str">
        <f>IF(Ninth!G26="", "",Ninth!G26)</f>
        <v/>
      </c>
      <c r="H2023" s="66" t="str">
        <f>IF(Ninth!H26="", "",Ninth!H26)</f>
        <v/>
      </c>
      <c r="I2023" s="66" t="str">
        <f>IF(Ninth!I26="", "",Ninth!I26)</f>
        <v/>
      </c>
      <c r="J2023" s="66" t="str">
        <f>IF(Ninth!J26="", "",Ninth!J26)</f>
        <v/>
      </c>
      <c r="K2023" s="86" t="str">
        <f>IF(Ninth!K26="", "",Ninth!K26)</f>
        <v/>
      </c>
      <c r="M2023" s="67" t="str">
        <f t="shared" si="95"/>
        <v/>
      </c>
      <c r="N2023" s="76" t="str">
        <f t="shared" si="96"/>
        <v/>
      </c>
      <c r="O2023" s="33">
        <f t="shared" si="94"/>
        <v>0</v>
      </c>
    </row>
    <row r="2024" spans="1:15" x14ac:dyDescent="0.25">
      <c r="A2024" s="64" t="s">
        <v>182</v>
      </c>
      <c r="B2024" s="79" t="str">
        <f>IF(Ninth!B27="", "",Ninth!B27)</f>
        <v/>
      </c>
      <c r="C2024" s="66" t="str">
        <f>IF(Ninth!C27="", "",Ninth!C27)</f>
        <v/>
      </c>
      <c r="D2024" s="66" t="str">
        <f>IF(Ninth!D27="", "",Ninth!D27)</f>
        <v/>
      </c>
      <c r="E2024" s="66" t="str">
        <f>IF(Ninth!E27="", "",Ninth!E27)</f>
        <v/>
      </c>
      <c r="F2024" s="66" t="str">
        <f>IF(Ninth!F27="", "",Ninth!F27)</f>
        <v/>
      </c>
      <c r="G2024" s="66" t="str">
        <f>IF(Ninth!G27="", "",Ninth!G27)</f>
        <v/>
      </c>
      <c r="H2024" s="66" t="str">
        <f>IF(Ninth!H27="", "",Ninth!H27)</f>
        <v/>
      </c>
      <c r="I2024" s="66" t="str">
        <f>IF(Ninth!I27="", "",Ninth!I27)</f>
        <v/>
      </c>
      <c r="J2024" s="66" t="str">
        <f>IF(Ninth!J27="", "",Ninth!J27)</f>
        <v/>
      </c>
      <c r="K2024" s="86" t="str">
        <f>IF(Ninth!K27="", "",Ninth!K27)</f>
        <v/>
      </c>
      <c r="M2024" s="67" t="str">
        <f t="shared" si="95"/>
        <v/>
      </c>
      <c r="N2024" s="76" t="str">
        <f t="shared" si="96"/>
        <v/>
      </c>
      <c r="O2024" s="33">
        <f t="shared" si="94"/>
        <v>0</v>
      </c>
    </row>
    <row r="2025" spans="1:15" x14ac:dyDescent="0.25">
      <c r="A2025" s="64" t="s">
        <v>182</v>
      </c>
      <c r="B2025" s="79" t="str">
        <f>IF(Ninth!B28="", "",Ninth!B28)</f>
        <v/>
      </c>
      <c r="C2025" s="66" t="str">
        <f>IF(Ninth!C28="", "",Ninth!C28)</f>
        <v/>
      </c>
      <c r="D2025" s="66" t="str">
        <f>IF(Ninth!D28="", "",Ninth!D28)</f>
        <v/>
      </c>
      <c r="E2025" s="66" t="str">
        <f>IF(Ninth!E28="", "",Ninth!E28)</f>
        <v/>
      </c>
      <c r="F2025" s="66" t="str">
        <f>IF(Ninth!F28="", "",Ninth!F28)</f>
        <v/>
      </c>
      <c r="G2025" s="66" t="str">
        <f>IF(Ninth!G28="", "",Ninth!G28)</f>
        <v/>
      </c>
      <c r="H2025" s="66" t="str">
        <f>IF(Ninth!H28="", "",Ninth!H28)</f>
        <v/>
      </c>
      <c r="I2025" s="66" t="str">
        <f>IF(Ninth!I28="", "",Ninth!I28)</f>
        <v/>
      </c>
      <c r="J2025" s="66" t="str">
        <f>IF(Ninth!J28="", "",Ninth!J28)</f>
        <v/>
      </c>
      <c r="K2025" s="86" t="str">
        <f>IF(Ninth!K28="", "",Ninth!K28)</f>
        <v/>
      </c>
      <c r="M2025" s="67" t="str">
        <f t="shared" si="95"/>
        <v/>
      </c>
      <c r="N2025" s="76" t="str">
        <f t="shared" si="96"/>
        <v/>
      </c>
      <c r="O2025" s="33">
        <f t="shared" si="94"/>
        <v>0</v>
      </c>
    </row>
    <row r="2026" spans="1:15" x14ac:dyDescent="0.25">
      <c r="A2026" s="64" t="s">
        <v>182</v>
      </c>
      <c r="B2026" s="79" t="str">
        <f>IF(Ninth!B29="", "",Ninth!B29)</f>
        <v/>
      </c>
      <c r="C2026" s="66" t="str">
        <f>IF(Ninth!C29="", "",Ninth!C29)</f>
        <v/>
      </c>
      <c r="D2026" s="66" t="str">
        <f>IF(Ninth!D29="", "",Ninth!D29)</f>
        <v/>
      </c>
      <c r="E2026" s="66" t="str">
        <f>IF(Ninth!E29="", "",Ninth!E29)</f>
        <v/>
      </c>
      <c r="F2026" s="66" t="str">
        <f>IF(Ninth!F29="", "",Ninth!F29)</f>
        <v/>
      </c>
      <c r="G2026" s="66" t="str">
        <f>IF(Ninth!G29="", "",Ninth!G29)</f>
        <v/>
      </c>
      <c r="H2026" s="66" t="str">
        <f>IF(Ninth!H29="", "",Ninth!H29)</f>
        <v/>
      </c>
      <c r="I2026" s="66" t="str">
        <f>IF(Ninth!I29="", "",Ninth!I29)</f>
        <v/>
      </c>
      <c r="J2026" s="66" t="str">
        <f>IF(Ninth!J29="", "",Ninth!J29)</f>
        <v/>
      </c>
      <c r="K2026" s="86" t="str">
        <f>IF(Ninth!K29="", "",Ninth!K29)</f>
        <v/>
      </c>
      <c r="M2026" s="67" t="str">
        <f t="shared" si="95"/>
        <v/>
      </c>
      <c r="N2026" s="76" t="str">
        <f t="shared" si="96"/>
        <v/>
      </c>
      <c r="O2026" s="33">
        <f t="shared" si="94"/>
        <v>0</v>
      </c>
    </row>
    <row r="2027" spans="1:15" x14ac:dyDescent="0.25">
      <c r="A2027" s="64" t="s">
        <v>182</v>
      </c>
      <c r="B2027" s="79" t="str">
        <f>IF(Ninth!B30="", "",Ninth!B30)</f>
        <v/>
      </c>
      <c r="C2027" s="66" t="str">
        <f>IF(Ninth!C30="", "",Ninth!C30)</f>
        <v/>
      </c>
      <c r="D2027" s="66" t="str">
        <f>IF(Ninth!D30="", "",Ninth!D30)</f>
        <v/>
      </c>
      <c r="E2027" s="66" t="str">
        <f>IF(Ninth!E30="", "",Ninth!E30)</f>
        <v/>
      </c>
      <c r="F2027" s="66" t="str">
        <f>IF(Ninth!F30="", "",Ninth!F30)</f>
        <v/>
      </c>
      <c r="G2027" s="66" t="str">
        <f>IF(Ninth!G30="", "",Ninth!G30)</f>
        <v/>
      </c>
      <c r="H2027" s="66" t="str">
        <f>IF(Ninth!H30="", "",Ninth!H30)</f>
        <v/>
      </c>
      <c r="I2027" s="66" t="str">
        <f>IF(Ninth!I30="", "",Ninth!I30)</f>
        <v/>
      </c>
      <c r="J2027" s="66" t="str">
        <f>IF(Ninth!J30="", "",Ninth!J30)</f>
        <v/>
      </c>
      <c r="K2027" s="86" t="str">
        <f>IF(Ninth!K30="", "",Ninth!K30)</f>
        <v/>
      </c>
      <c r="M2027" s="67" t="str">
        <f t="shared" si="95"/>
        <v/>
      </c>
      <c r="N2027" s="76" t="str">
        <f t="shared" si="96"/>
        <v/>
      </c>
      <c r="O2027" s="33">
        <f t="shared" si="94"/>
        <v>0</v>
      </c>
    </row>
    <row r="2028" spans="1:15" x14ac:dyDescent="0.25">
      <c r="A2028" s="64" t="s">
        <v>182</v>
      </c>
      <c r="B2028" s="79" t="str">
        <f>IF(Ninth!B31="", "",Ninth!B31)</f>
        <v/>
      </c>
      <c r="C2028" s="66" t="str">
        <f>IF(Ninth!C31="", "",Ninth!C31)</f>
        <v/>
      </c>
      <c r="D2028" s="66" t="str">
        <f>IF(Ninth!D31="", "",Ninth!D31)</f>
        <v/>
      </c>
      <c r="E2028" s="66" t="str">
        <f>IF(Ninth!E31="", "",Ninth!E31)</f>
        <v/>
      </c>
      <c r="F2028" s="66" t="str">
        <f>IF(Ninth!F31="", "",Ninth!F31)</f>
        <v/>
      </c>
      <c r="G2028" s="66" t="str">
        <f>IF(Ninth!G31="", "",Ninth!G31)</f>
        <v/>
      </c>
      <c r="H2028" s="66" t="str">
        <f>IF(Ninth!H31="", "",Ninth!H31)</f>
        <v/>
      </c>
      <c r="I2028" s="66" t="str">
        <f>IF(Ninth!I31="", "",Ninth!I31)</f>
        <v/>
      </c>
      <c r="J2028" s="66" t="str">
        <f>IF(Ninth!J31="", "",Ninth!J31)</f>
        <v/>
      </c>
      <c r="K2028" s="86" t="str">
        <f>IF(Ninth!K31="", "",Ninth!K31)</f>
        <v/>
      </c>
      <c r="M2028" s="67" t="str">
        <f t="shared" si="95"/>
        <v/>
      </c>
      <c r="N2028" s="76" t="str">
        <f t="shared" si="96"/>
        <v/>
      </c>
      <c r="O2028" s="33">
        <f t="shared" si="94"/>
        <v>0</v>
      </c>
    </row>
    <row r="2029" spans="1:15" x14ac:dyDescent="0.25">
      <c r="A2029" s="64" t="s">
        <v>182</v>
      </c>
      <c r="B2029" s="79" t="str">
        <f>IF(Ninth!B32="", "",Ninth!B32)</f>
        <v/>
      </c>
      <c r="C2029" s="66" t="str">
        <f>IF(Ninth!C32="", "",Ninth!C32)</f>
        <v/>
      </c>
      <c r="D2029" s="66" t="str">
        <f>IF(Ninth!D32="", "",Ninth!D32)</f>
        <v/>
      </c>
      <c r="E2029" s="66" t="str">
        <f>IF(Ninth!E32="", "",Ninth!E32)</f>
        <v/>
      </c>
      <c r="F2029" s="66" t="str">
        <f>IF(Ninth!F32="", "",Ninth!F32)</f>
        <v/>
      </c>
      <c r="G2029" s="66" t="str">
        <f>IF(Ninth!G32="", "",Ninth!G32)</f>
        <v/>
      </c>
      <c r="H2029" s="66" t="str">
        <f>IF(Ninth!H32="", "",Ninth!H32)</f>
        <v/>
      </c>
      <c r="I2029" s="66" t="str">
        <f>IF(Ninth!I32="", "",Ninth!I32)</f>
        <v/>
      </c>
      <c r="J2029" s="66" t="str">
        <f>IF(Ninth!J32="", "",Ninth!J32)</f>
        <v/>
      </c>
      <c r="K2029" s="86" t="str">
        <f>IF(Ninth!K32="", "",Ninth!K32)</f>
        <v/>
      </c>
      <c r="M2029" s="67" t="str">
        <f t="shared" si="95"/>
        <v/>
      </c>
      <c r="N2029" s="76" t="str">
        <f t="shared" si="96"/>
        <v/>
      </c>
      <c r="O2029" s="33">
        <f t="shared" si="94"/>
        <v>0</v>
      </c>
    </row>
    <row r="2030" spans="1:15" x14ac:dyDescent="0.25">
      <c r="A2030" s="64" t="s">
        <v>182</v>
      </c>
      <c r="B2030" s="79" t="str">
        <f>IF(Ninth!B33="", "",Ninth!B33)</f>
        <v/>
      </c>
      <c r="C2030" s="66" t="str">
        <f>IF(Ninth!C33="", "",Ninth!C33)</f>
        <v/>
      </c>
      <c r="D2030" s="66" t="str">
        <f>IF(Ninth!D33="", "",Ninth!D33)</f>
        <v/>
      </c>
      <c r="E2030" s="66" t="str">
        <f>IF(Ninth!E33="", "",Ninth!E33)</f>
        <v/>
      </c>
      <c r="F2030" s="66" t="str">
        <f>IF(Ninth!F33="", "",Ninth!F33)</f>
        <v/>
      </c>
      <c r="G2030" s="66" t="str">
        <f>IF(Ninth!G33="", "",Ninth!G33)</f>
        <v/>
      </c>
      <c r="H2030" s="66" t="str">
        <f>IF(Ninth!H33="", "",Ninth!H33)</f>
        <v/>
      </c>
      <c r="I2030" s="66" t="str">
        <f>IF(Ninth!I33="", "",Ninth!I33)</f>
        <v/>
      </c>
      <c r="J2030" s="66" t="str">
        <f>IF(Ninth!J33="", "",Ninth!J33)</f>
        <v/>
      </c>
      <c r="K2030" s="86" t="str">
        <f>IF(Ninth!K33="", "",Ninth!K33)</f>
        <v/>
      </c>
      <c r="M2030" s="67" t="str">
        <f t="shared" si="95"/>
        <v/>
      </c>
      <c r="N2030" s="76" t="str">
        <f t="shared" si="96"/>
        <v/>
      </c>
      <c r="O2030" s="33">
        <f t="shared" si="94"/>
        <v>0</v>
      </c>
    </row>
    <row r="2031" spans="1:15" x14ac:dyDescent="0.25">
      <c r="A2031" s="64" t="s">
        <v>182</v>
      </c>
      <c r="B2031" s="79" t="str">
        <f>IF(Ninth!B34="", "",Ninth!B34)</f>
        <v/>
      </c>
      <c r="C2031" s="66" t="str">
        <f>IF(Ninth!C34="", "",Ninth!C34)</f>
        <v/>
      </c>
      <c r="D2031" s="66" t="str">
        <f>IF(Ninth!D34="", "",Ninth!D34)</f>
        <v/>
      </c>
      <c r="E2031" s="66" t="str">
        <f>IF(Ninth!E34="", "",Ninth!E34)</f>
        <v/>
      </c>
      <c r="F2031" s="66" t="str">
        <f>IF(Ninth!F34="", "",Ninth!F34)</f>
        <v/>
      </c>
      <c r="G2031" s="66" t="str">
        <f>IF(Ninth!G34="", "",Ninth!G34)</f>
        <v/>
      </c>
      <c r="H2031" s="66" t="str">
        <f>IF(Ninth!H34="", "",Ninth!H34)</f>
        <v/>
      </c>
      <c r="I2031" s="66" t="str">
        <f>IF(Ninth!I34="", "",Ninth!I34)</f>
        <v/>
      </c>
      <c r="J2031" s="66" t="str">
        <f>IF(Ninth!J34="", "",Ninth!J34)</f>
        <v/>
      </c>
      <c r="K2031" s="86" t="str">
        <f>IF(Ninth!K34="", "",Ninth!K34)</f>
        <v/>
      </c>
      <c r="M2031" s="67" t="str">
        <f t="shared" si="95"/>
        <v/>
      </c>
      <c r="N2031" s="76" t="str">
        <f t="shared" si="96"/>
        <v/>
      </c>
      <c r="O2031" s="33">
        <f t="shared" si="94"/>
        <v>0</v>
      </c>
    </row>
    <row r="2032" spans="1:15" x14ac:dyDescent="0.25">
      <c r="A2032" s="64" t="s">
        <v>182</v>
      </c>
      <c r="B2032" s="79" t="str">
        <f>IF(Ninth!B35="", "",Ninth!B35)</f>
        <v/>
      </c>
      <c r="C2032" s="66" t="str">
        <f>IF(Ninth!C35="", "",Ninth!C35)</f>
        <v/>
      </c>
      <c r="D2032" s="66" t="str">
        <f>IF(Ninth!D35="", "",Ninth!D35)</f>
        <v/>
      </c>
      <c r="E2032" s="66" t="str">
        <f>IF(Ninth!E35="", "",Ninth!E35)</f>
        <v/>
      </c>
      <c r="F2032" s="66" t="str">
        <f>IF(Ninth!F35="", "",Ninth!F35)</f>
        <v/>
      </c>
      <c r="G2032" s="66" t="str">
        <f>IF(Ninth!G35="", "",Ninth!G35)</f>
        <v/>
      </c>
      <c r="H2032" s="66" t="str">
        <f>IF(Ninth!H35="", "",Ninth!H35)</f>
        <v/>
      </c>
      <c r="I2032" s="66" t="str">
        <f>IF(Ninth!I35="", "",Ninth!I35)</f>
        <v/>
      </c>
      <c r="J2032" s="66" t="str">
        <f>IF(Ninth!J35="", "",Ninth!J35)</f>
        <v/>
      </c>
      <c r="K2032" s="86" t="str">
        <f>IF(Ninth!K35="", "",Ninth!K35)</f>
        <v/>
      </c>
      <c r="M2032" s="67" t="str">
        <f t="shared" si="95"/>
        <v/>
      </c>
      <c r="N2032" s="76" t="str">
        <f t="shared" si="96"/>
        <v/>
      </c>
      <c r="O2032" s="33">
        <f t="shared" si="94"/>
        <v>0</v>
      </c>
    </row>
    <row r="2033" spans="1:15" x14ac:dyDescent="0.25">
      <c r="A2033" s="64" t="s">
        <v>182</v>
      </c>
      <c r="B2033" s="79" t="str">
        <f>IF(Ninth!B36="", "",Ninth!B36)</f>
        <v/>
      </c>
      <c r="C2033" s="66" t="str">
        <f>IF(Ninth!C36="", "",Ninth!C36)</f>
        <v/>
      </c>
      <c r="D2033" s="66" t="str">
        <f>IF(Ninth!D36="", "",Ninth!D36)</f>
        <v/>
      </c>
      <c r="E2033" s="66" t="str">
        <f>IF(Ninth!E36="", "",Ninth!E36)</f>
        <v/>
      </c>
      <c r="F2033" s="66" t="str">
        <f>IF(Ninth!F36="", "",Ninth!F36)</f>
        <v/>
      </c>
      <c r="G2033" s="66" t="str">
        <f>IF(Ninth!G36="", "",Ninth!G36)</f>
        <v/>
      </c>
      <c r="H2033" s="66" t="str">
        <f>IF(Ninth!H36="", "",Ninth!H36)</f>
        <v/>
      </c>
      <c r="I2033" s="66" t="str">
        <f>IF(Ninth!I36="", "",Ninth!I36)</f>
        <v/>
      </c>
      <c r="J2033" s="66" t="str">
        <f>IF(Ninth!J36="", "",Ninth!J36)</f>
        <v/>
      </c>
      <c r="K2033" s="86" t="str">
        <f>IF(Ninth!K36="", "",Ninth!K36)</f>
        <v/>
      </c>
      <c r="M2033" s="67" t="str">
        <f t="shared" si="95"/>
        <v/>
      </c>
      <c r="N2033" s="76" t="str">
        <f t="shared" si="96"/>
        <v/>
      </c>
      <c r="O2033" s="33">
        <f t="shared" si="94"/>
        <v>0</v>
      </c>
    </row>
    <row r="2034" spans="1:15" x14ac:dyDescent="0.25">
      <c r="A2034" s="64" t="s">
        <v>182</v>
      </c>
      <c r="B2034" s="79" t="str">
        <f>IF(Ninth!B37="", "",Ninth!B37)</f>
        <v/>
      </c>
      <c r="C2034" s="66" t="str">
        <f>IF(Ninth!C37="", "",Ninth!C37)</f>
        <v/>
      </c>
      <c r="D2034" s="66" t="str">
        <f>IF(Ninth!D37="", "",Ninth!D37)</f>
        <v/>
      </c>
      <c r="E2034" s="66" t="str">
        <f>IF(Ninth!E37="", "",Ninth!E37)</f>
        <v/>
      </c>
      <c r="F2034" s="66" t="str">
        <f>IF(Ninth!F37="", "",Ninth!F37)</f>
        <v/>
      </c>
      <c r="G2034" s="66" t="str">
        <f>IF(Ninth!G37="", "",Ninth!G37)</f>
        <v/>
      </c>
      <c r="H2034" s="66" t="str">
        <f>IF(Ninth!H37="", "",Ninth!H37)</f>
        <v/>
      </c>
      <c r="I2034" s="66" t="str">
        <f>IF(Ninth!I37="", "",Ninth!I37)</f>
        <v/>
      </c>
      <c r="J2034" s="66" t="str">
        <f>IF(Ninth!J37="", "",Ninth!J37)</f>
        <v/>
      </c>
      <c r="K2034" s="86" t="str">
        <f>IF(Ninth!K37="", "",Ninth!K37)</f>
        <v/>
      </c>
      <c r="M2034" s="67" t="str">
        <f t="shared" si="95"/>
        <v/>
      </c>
      <c r="N2034" s="76" t="str">
        <f t="shared" si="96"/>
        <v/>
      </c>
      <c r="O2034" s="33">
        <f t="shared" si="94"/>
        <v>0</v>
      </c>
    </row>
    <row r="2035" spans="1:15" x14ac:dyDescent="0.25">
      <c r="A2035" s="64" t="s">
        <v>182</v>
      </c>
      <c r="B2035" s="79" t="str">
        <f>IF(Ninth!B38="", "",Ninth!B38)</f>
        <v/>
      </c>
      <c r="C2035" s="66" t="str">
        <f>IF(Ninth!C38="", "",Ninth!C38)</f>
        <v/>
      </c>
      <c r="D2035" s="66" t="str">
        <f>IF(Ninth!D38="", "",Ninth!D38)</f>
        <v/>
      </c>
      <c r="E2035" s="66" t="str">
        <f>IF(Ninth!E38="", "",Ninth!E38)</f>
        <v/>
      </c>
      <c r="F2035" s="66" t="str">
        <f>IF(Ninth!F38="", "",Ninth!F38)</f>
        <v/>
      </c>
      <c r="G2035" s="66" t="str">
        <f>IF(Ninth!G38="", "",Ninth!G38)</f>
        <v/>
      </c>
      <c r="H2035" s="66" t="str">
        <f>IF(Ninth!H38="", "",Ninth!H38)</f>
        <v/>
      </c>
      <c r="I2035" s="66" t="str">
        <f>IF(Ninth!I38="", "",Ninth!I38)</f>
        <v/>
      </c>
      <c r="J2035" s="66" t="str">
        <f>IF(Ninth!J38="", "",Ninth!J38)</f>
        <v/>
      </c>
      <c r="K2035" s="86" t="str">
        <f>IF(Ninth!K38="", "",Ninth!K38)</f>
        <v/>
      </c>
      <c r="M2035" s="67" t="str">
        <f t="shared" si="95"/>
        <v/>
      </c>
      <c r="N2035" s="76" t="str">
        <f t="shared" si="96"/>
        <v/>
      </c>
      <c r="O2035" s="33">
        <f t="shared" si="94"/>
        <v>0</v>
      </c>
    </row>
    <row r="2036" spans="1:15" x14ac:dyDescent="0.25">
      <c r="A2036" s="64" t="s">
        <v>182</v>
      </c>
      <c r="B2036" s="79" t="str">
        <f>IF(Ninth!B39="", "",Ninth!B39)</f>
        <v/>
      </c>
      <c r="C2036" s="66" t="str">
        <f>IF(Ninth!C39="", "",Ninth!C39)</f>
        <v/>
      </c>
      <c r="D2036" s="66" t="str">
        <f>IF(Ninth!D39="", "",Ninth!D39)</f>
        <v/>
      </c>
      <c r="E2036" s="66" t="str">
        <f>IF(Ninth!E39="", "",Ninth!E39)</f>
        <v/>
      </c>
      <c r="F2036" s="66" t="str">
        <f>IF(Ninth!F39="", "",Ninth!F39)</f>
        <v/>
      </c>
      <c r="G2036" s="66" t="str">
        <f>IF(Ninth!G39="", "",Ninth!G39)</f>
        <v/>
      </c>
      <c r="H2036" s="66" t="str">
        <f>IF(Ninth!H39="", "",Ninth!H39)</f>
        <v/>
      </c>
      <c r="I2036" s="66" t="str">
        <f>IF(Ninth!I39="", "",Ninth!I39)</f>
        <v/>
      </c>
      <c r="J2036" s="66" t="str">
        <f>IF(Ninth!J39="", "",Ninth!J39)</f>
        <v/>
      </c>
      <c r="K2036" s="86" t="str">
        <f>IF(Ninth!K39="", "",Ninth!K39)</f>
        <v/>
      </c>
      <c r="M2036" s="67" t="str">
        <f t="shared" si="95"/>
        <v/>
      </c>
      <c r="N2036" s="76" t="str">
        <f t="shared" si="96"/>
        <v/>
      </c>
      <c r="O2036" s="33">
        <f t="shared" si="94"/>
        <v>0</v>
      </c>
    </row>
    <row r="2037" spans="1:15" x14ac:dyDescent="0.25">
      <c r="A2037" s="64" t="s">
        <v>182</v>
      </c>
      <c r="B2037" s="79" t="str">
        <f>IF(Ninth!B40="", "",Ninth!B40)</f>
        <v/>
      </c>
      <c r="C2037" s="66" t="str">
        <f>IF(Ninth!C40="", "",Ninth!C40)</f>
        <v/>
      </c>
      <c r="D2037" s="66" t="str">
        <f>IF(Ninth!D40="", "",Ninth!D40)</f>
        <v/>
      </c>
      <c r="E2037" s="66" t="str">
        <f>IF(Ninth!E40="", "",Ninth!E40)</f>
        <v/>
      </c>
      <c r="F2037" s="66" t="str">
        <f>IF(Ninth!F40="", "",Ninth!F40)</f>
        <v/>
      </c>
      <c r="G2037" s="66" t="str">
        <f>IF(Ninth!G40="", "",Ninth!G40)</f>
        <v/>
      </c>
      <c r="H2037" s="66" t="str">
        <f>IF(Ninth!H40="", "",Ninth!H40)</f>
        <v/>
      </c>
      <c r="I2037" s="66" t="str">
        <f>IF(Ninth!I40="", "",Ninth!I40)</f>
        <v/>
      </c>
      <c r="J2037" s="66" t="str">
        <f>IF(Ninth!J40="", "",Ninth!J40)</f>
        <v/>
      </c>
      <c r="K2037" s="86" t="str">
        <f>IF(Ninth!K40="", "",Ninth!K40)</f>
        <v/>
      </c>
      <c r="M2037" s="67" t="str">
        <f t="shared" si="95"/>
        <v/>
      </c>
      <c r="N2037" s="76" t="str">
        <f t="shared" si="96"/>
        <v/>
      </c>
      <c r="O2037" s="33">
        <f t="shared" si="94"/>
        <v>0</v>
      </c>
    </row>
    <row r="2038" spans="1:15" x14ac:dyDescent="0.25">
      <c r="A2038" s="64" t="s">
        <v>182</v>
      </c>
      <c r="B2038" s="79" t="str">
        <f>IF(Ninth!B41="", "",Ninth!B41)</f>
        <v/>
      </c>
      <c r="C2038" s="66" t="str">
        <f>IF(Ninth!C41="", "",Ninth!C41)</f>
        <v/>
      </c>
      <c r="D2038" s="66" t="str">
        <f>IF(Ninth!D41="", "",Ninth!D41)</f>
        <v/>
      </c>
      <c r="E2038" s="66" t="str">
        <f>IF(Ninth!E41="", "",Ninth!E41)</f>
        <v/>
      </c>
      <c r="F2038" s="66" t="str">
        <f>IF(Ninth!F41="", "",Ninth!F41)</f>
        <v/>
      </c>
      <c r="G2038" s="66" t="str">
        <f>IF(Ninth!G41="", "",Ninth!G41)</f>
        <v/>
      </c>
      <c r="H2038" s="66" t="str">
        <f>IF(Ninth!H41="", "",Ninth!H41)</f>
        <v/>
      </c>
      <c r="I2038" s="66" t="str">
        <f>IF(Ninth!I41="", "",Ninth!I41)</f>
        <v/>
      </c>
      <c r="J2038" s="66" t="str">
        <f>IF(Ninth!J41="", "",Ninth!J41)</f>
        <v/>
      </c>
      <c r="K2038" s="86" t="str">
        <f>IF(Ninth!K41="", "",Ninth!K41)</f>
        <v/>
      </c>
      <c r="M2038" s="67" t="str">
        <f t="shared" si="95"/>
        <v/>
      </c>
      <c r="N2038" s="76" t="str">
        <f t="shared" si="96"/>
        <v/>
      </c>
      <c r="O2038" s="33">
        <f t="shared" si="94"/>
        <v>0</v>
      </c>
    </row>
    <row r="2039" spans="1:15" x14ac:dyDescent="0.25">
      <c r="A2039" s="64" t="s">
        <v>182</v>
      </c>
      <c r="B2039" s="79" t="str">
        <f>IF(Ninth!B42="", "",Ninth!B42)</f>
        <v/>
      </c>
      <c r="C2039" s="66" t="str">
        <f>IF(Ninth!C42="", "",Ninth!C42)</f>
        <v/>
      </c>
      <c r="D2039" s="66" t="str">
        <f>IF(Ninth!D42="", "",Ninth!D42)</f>
        <v/>
      </c>
      <c r="E2039" s="66" t="str">
        <f>IF(Ninth!E42="", "",Ninth!E42)</f>
        <v/>
      </c>
      <c r="F2039" s="66" t="str">
        <f>IF(Ninth!F42="", "",Ninth!F42)</f>
        <v/>
      </c>
      <c r="G2039" s="66" t="str">
        <f>IF(Ninth!G42="", "",Ninth!G42)</f>
        <v/>
      </c>
      <c r="H2039" s="66" t="str">
        <f>IF(Ninth!H42="", "",Ninth!H42)</f>
        <v/>
      </c>
      <c r="I2039" s="66" t="str">
        <f>IF(Ninth!I42="", "",Ninth!I42)</f>
        <v/>
      </c>
      <c r="J2039" s="66" t="str">
        <f>IF(Ninth!J42="", "",Ninth!J42)</f>
        <v/>
      </c>
      <c r="K2039" s="86" t="str">
        <f>IF(Ninth!K42="", "",Ninth!K42)</f>
        <v/>
      </c>
      <c r="M2039" s="67" t="str">
        <f t="shared" si="95"/>
        <v/>
      </c>
      <c r="N2039" s="76" t="str">
        <f t="shared" si="96"/>
        <v/>
      </c>
      <c r="O2039" s="33">
        <f t="shared" si="94"/>
        <v>0</v>
      </c>
    </row>
    <row r="2040" spans="1:15" x14ac:dyDescent="0.25">
      <c r="A2040" s="64" t="s">
        <v>182</v>
      </c>
      <c r="B2040" s="79" t="str">
        <f>IF(Ninth!B43="", "",Ninth!B43)</f>
        <v/>
      </c>
      <c r="C2040" s="66" t="str">
        <f>IF(Ninth!C43="", "",Ninth!C43)</f>
        <v/>
      </c>
      <c r="D2040" s="66" t="str">
        <f>IF(Ninth!D43="", "",Ninth!D43)</f>
        <v/>
      </c>
      <c r="E2040" s="66" t="str">
        <f>IF(Ninth!E43="", "",Ninth!E43)</f>
        <v/>
      </c>
      <c r="F2040" s="66" t="str">
        <f>IF(Ninth!F43="", "",Ninth!F43)</f>
        <v/>
      </c>
      <c r="G2040" s="66" t="str">
        <f>IF(Ninth!G43="", "",Ninth!G43)</f>
        <v/>
      </c>
      <c r="H2040" s="66" t="str">
        <f>IF(Ninth!H43="", "",Ninth!H43)</f>
        <v/>
      </c>
      <c r="I2040" s="66" t="str">
        <f>IF(Ninth!I43="", "",Ninth!I43)</f>
        <v/>
      </c>
      <c r="J2040" s="66" t="str">
        <f>IF(Ninth!J43="", "",Ninth!J43)</f>
        <v/>
      </c>
      <c r="K2040" s="86" t="str">
        <f>IF(Ninth!K43="", "",Ninth!K43)</f>
        <v/>
      </c>
      <c r="M2040" s="67" t="str">
        <f t="shared" si="95"/>
        <v/>
      </c>
      <c r="N2040" s="76" t="str">
        <f t="shared" si="96"/>
        <v/>
      </c>
      <c r="O2040" s="33">
        <f t="shared" si="94"/>
        <v>0</v>
      </c>
    </row>
    <row r="2041" spans="1:15" x14ac:dyDescent="0.25">
      <c r="A2041" s="64" t="s">
        <v>182</v>
      </c>
      <c r="B2041" s="79" t="str">
        <f>IF(Ninth!B44="", "",Ninth!B44)</f>
        <v/>
      </c>
      <c r="C2041" s="66" t="str">
        <f>IF(Ninth!C44="", "",Ninth!C44)</f>
        <v/>
      </c>
      <c r="D2041" s="66" t="str">
        <f>IF(Ninth!D44="", "",Ninth!D44)</f>
        <v/>
      </c>
      <c r="E2041" s="66" t="str">
        <f>IF(Ninth!E44="", "",Ninth!E44)</f>
        <v/>
      </c>
      <c r="F2041" s="66" t="str">
        <f>IF(Ninth!F44="", "",Ninth!F44)</f>
        <v/>
      </c>
      <c r="G2041" s="66" t="str">
        <f>IF(Ninth!G44="", "",Ninth!G44)</f>
        <v/>
      </c>
      <c r="H2041" s="66" t="str">
        <f>IF(Ninth!H44="", "",Ninth!H44)</f>
        <v/>
      </c>
      <c r="I2041" s="66" t="str">
        <f>IF(Ninth!I44="", "",Ninth!I44)</f>
        <v/>
      </c>
      <c r="J2041" s="66" t="str">
        <f>IF(Ninth!J44="", "",Ninth!J44)</f>
        <v/>
      </c>
      <c r="K2041" s="86" t="str">
        <f>IF(Ninth!K44="", "",Ninth!K44)</f>
        <v/>
      </c>
      <c r="M2041" s="67" t="str">
        <f t="shared" si="95"/>
        <v/>
      </c>
      <c r="N2041" s="76" t="str">
        <f t="shared" si="96"/>
        <v/>
      </c>
      <c r="O2041" s="33">
        <f t="shared" si="94"/>
        <v>0</v>
      </c>
    </row>
    <row r="2042" spans="1:15" x14ac:dyDescent="0.25">
      <c r="A2042" s="64" t="s">
        <v>182</v>
      </c>
      <c r="B2042" s="79" t="str">
        <f>IF(Ninth!B45="", "",Ninth!B45)</f>
        <v/>
      </c>
      <c r="C2042" s="66" t="str">
        <f>IF(Ninth!C45="", "",Ninth!C45)</f>
        <v/>
      </c>
      <c r="D2042" s="66" t="str">
        <f>IF(Ninth!D45="", "",Ninth!D45)</f>
        <v/>
      </c>
      <c r="E2042" s="66" t="str">
        <f>IF(Ninth!E45="", "",Ninth!E45)</f>
        <v/>
      </c>
      <c r="F2042" s="66" t="str">
        <f>IF(Ninth!F45="", "",Ninth!F45)</f>
        <v/>
      </c>
      <c r="G2042" s="66" t="str">
        <f>IF(Ninth!G45="", "",Ninth!G45)</f>
        <v/>
      </c>
      <c r="H2042" s="66" t="str">
        <f>IF(Ninth!H45="", "",Ninth!H45)</f>
        <v/>
      </c>
      <c r="I2042" s="66" t="str">
        <f>IF(Ninth!I45="", "",Ninth!I45)</f>
        <v/>
      </c>
      <c r="J2042" s="66" t="str">
        <f>IF(Ninth!J45="", "",Ninth!J45)</f>
        <v/>
      </c>
      <c r="K2042" s="86" t="str">
        <f>IF(Ninth!K45="", "",Ninth!K45)</f>
        <v/>
      </c>
      <c r="M2042" s="67" t="str">
        <f t="shared" si="95"/>
        <v/>
      </c>
      <c r="N2042" s="76" t="str">
        <f t="shared" si="96"/>
        <v/>
      </c>
      <c r="O2042" s="33">
        <f t="shared" si="94"/>
        <v>0</v>
      </c>
    </row>
    <row r="2043" spans="1:15" x14ac:dyDescent="0.25">
      <c r="A2043" s="64" t="s">
        <v>182</v>
      </c>
      <c r="B2043" s="79" t="str">
        <f>IF(Ninth!B46="", "",Ninth!B46)</f>
        <v/>
      </c>
      <c r="C2043" s="66" t="str">
        <f>IF(Ninth!C46="", "",Ninth!C46)</f>
        <v/>
      </c>
      <c r="D2043" s="66" t="str">
        <f>IF(Ninth!D46="", "",Ninth!D46)</f>
        <v/>
      </c>
      <c r="E2043" s="66" t="str">
        <f>IF(Ninth!E46="", "",Ninth!E46)</f>
        <v/>
      </c>
      <c r="F2043" s="66" t="str">
        <f>IF(Ninth!F46="", "",Ninth!F46)</f>
        <v/>
      </c>
      <c r="G2043" s="66" t="str">
        <f>IF(Ninth!G46="", "",Ninth!G46)</f>
        <v/>
      </c>
      <c r="H2043" s="66" t="str">
        <f>IF(Ninth!H46="", "",Ninth!H46)</f>
        <v/>
      </c>
      <c r="I2043" s="66" t="str">
        <f>IF(Ninth!I46="", "",Ninth!I46)</f>
        <v/>
      </c>
      <c r="J2043" s="66" t="str">
        <f>IF(Ninth!J46="", "",Ninth!J46)</f>
        <v/>
      </c>
      <c r="K2043" s="86" t="str">
        <f>IF(Ninth!K46="", "",Ninth!K46)</f>
        <v/>
      </c>
      <c r="M2043" s="67" t="str">
        <f t="shared" si="95"/>
        <v/>
      </c>
      <c r="N2043" s="76" t="str">
        <f t="shared" si="96"/>
        <v/>
      </c>
      <c r="O2043" s="33">
        <f t="shared" si="94"/>
        <v>0</v>
      </c>
    </row>
    <row r="2044" spans="1:15" x14ac:dyDescent="0.25">
      <c r="A2044" s="64" t="s">
        <v>182</v>
      </c>
      <c r="B2044" s="79" t="str">
        <f>IF(Ninth!B47="", "",Ninth!B47)</f>
        <v/>
      </c>
      <c r="C2044" s="66" t="str">
        <f>IF(Ninth!C47="", "",Ninth!C47)</f>
        <v/>
      </c>
      <c r="D2044" s="66" t="str">
        <f>IF(Ninth!D47="", "",Ninth!D47)</f>
        <v/>
      </c>
      <c r="E2044" s="66" t="str">
        <f>IF(Ninth!E47="", "",Ninth!E47)</f>
        <v/>
      </c>
      <c r="F2044" s="66" t="str">
        <f>IF(Ninth!F47="", "",Ninth!F47)</f>
        <v/>
      </c>
      <c r="G2044" s="66" t="str">
        <f>IF(Ninth!G47="", "",Ninth!G47)</f>
        <v/>
      </c>
      <c r="H2044" s="66" t="str">
        <f>IF(Ninth!H47="", "",Ninth!H47)</f>
        <v/>
      </c>
      <c r="I2044" s="66" t="str">
        <f>IF(Ninth!I47="", "",Ninth!I47)</f>
        <v/>
      </c>
      <c r="J2044" s="66" t="str">
        <f>IF(Ninth!J47="", "",Ninth!J47)</f>
        <v/>
      </c>
      <c r="K2044" s="86" t="str">
        <f>IF(Ninth!K47="", "",Ninth!K47)</f>
        <v/>
      </c>
      <c r="M2044" s="67" t="str">
        <f t="shared" si="95"/>
        <v/>
      </c>
      <c r="N2044" s="76" t="str">
        <f t="shared" si="96"/>
        <v/>
      </c>
      <c r="O2044" s="33">
        <f t="shared" si="94"/>
        <v>0</v>
      </c>
    </row>
    <row r="2045" spans="1:15" x14ac:dyDescent="0.25">
      <c r="A2045" s="64" t="s">
        <v>182</v>
      </c>
      <c r="B2045" s="79" t="str">
        <f>IF(Ninth!B48="", "",Ninth!B48)</f>
        <v/>
      </c>
      <c r="C2045" s="66" t="str">
        <f>IF(Ninth!C48="", "",Ninth!C48)</f>
        <v/>
      </c>
      <c r="D2045" s="66" t="str">
        <f>IF(Ninth!D48="", "",Ninth!D48)</f>
        <v/>
      </c>
      <c r="E2045" s="66" t="str">
        <f>IF(Ninth!E48="", "",Ninth!E48)</f>
        <v/>
      </c>
      <c r="F2045" s="66" t="str">
        <f>IF(Ninth!F48="", "",Ninth!F48)</f>
        <v/>
      </c>
      <c r="G2045" s="66" t="str">
        <f>IF(Ninth!G48="", "",Ninth!G48)</f>
        <v/>
      </c>
      <c r="H2045" s="66" t="str">
        <f>IF(Ninth!H48="", "",Ninth!H48)</f>
        <v/>
      </c>
      <c r="I2045" s="66" t="str">
        <f>IF(Ninth!I48="", "",Ninth!I48)</f>
        <v/>
      </c>
      <c r="J2045" s="66" t="str">
        <f>IF(Ninth!J48="", "",Ninth!J48)</f>
        <v/>
      </c>
      <c r="K2045" s="86" t="str">
        <f>IF(Ninth!K48="", "",Ninth!K48)</f>
        <v/>
      </c>
      <c r="M2045" s="67" t="str">
        <f t="shared" si="95"/>
        <v/>
      </c>
      <c r="N2045" s="76" t="str">
        <f t="shared" si="96"/>
        <v/>
      </c>
      <c r="O2045" s="33">
        <f t="shared" si="94"/>
        <v>0</v>
      </c>
    </row>
    <row r="2046" spans="1:15" x14ac:dyDescent="0.25">
      <c r="A2046" s="64" t="s">
        <v>182</v>
      </c>
      <c r="B2046" s="79" t="str">
        <f>IF(Ninth!B49="", "",Ninth!B49)</f>
        <v/>
      </c>
      <c r="C2046" s="66" t="str">
        <f>IF(Ninth!C49="", "",Ninth!C49)</f>
        <v/>
      </c>
      <c r="D2046" s="66" t="str">
        <f>IF(Ninth!D49="", "",Ninth!D49)</f>
        <v/>
      </c>
      <c r="E2046" s="66" t="str">
        <f>IF(Ninth!E49="", "",Ninth!E49)</f>
        <v/>
      </c>
      <c r="F2046" s="66" t="str">
        <f>IF(Ninth!F49="", "",Ninth!F49)</f>
        <v/>
      </c>
      <c r="G2046" s="66" t="str">
        <f>IF(Ninth!G49="", "",Ninth!G49)</f>
        <v/>
      </c>
      <c r="H2046" s="66" t="str">
        <f>IF(Ninth!H49="", "",Ninth!H49)</f>
        <v/>
      </c>
      <c r="I2046" s="66" t="str">
        <f>IF(Ninth!I49="", "",Ninth!I49)</f>
        <v/>
      </c>
      <c r="J2046" s="66" t="str">
        <f>IF(Ninth!J49="", "",Ninth!J49)</f>
        <v/>
      </c>
      <c r="K2046" s="86" t="str">
        <f>IF(Ninth!K49="", "",Ninth!K49)</f>
        <v/>
      </c>
      <c r="M2046" s="67" t="str">
        <f t="shared" si="95"/>
        <v/>
      </c>
      <c r="N2046" s="76" t="str">
        <f t="shared" si="96"/>
        <v/>
      </c>
      <c r="O2046" s="33">
        <f t="shared" si="94"/>
        <v>0</v>
      </c>
    </row>
    <row r="2047" spans="1:15" x14ac:dyDescent="0.25">
      <c r="A2047" s="64" t="s">
        <v>182</v>
      </c>
      <c r="B2047" s="79" t="str">
        <f>IF(Ninth!B50="", "",Ninth!B50)</f>
        <v/>
      </c>
      <c r="C2047" s="66" t="str">
        <f>IF(Ninth!C50="", "",Ninth!C50)</f>
        <v/>
      </c>
      <c r="D2047" s="66" t="str">
        <f>IF(Ninth!D50="", "",Ninth!D50)</f>
        <v/>
      </c>
      <c r="E2047" s="66" t="str">
        <f>IF(Ninth!E50="", "",Ninth!E50)</f>
        <v/>
      </c>
      <c r="F2047" s="66" t="str">
        <f>IF(Ninth!F50="", "",Ninth!F50)</f>
        <v/>
      </c>
      <c r="G2047" s="66" t="str">
        <f>IF(Ninth!G50="", "",Ninth!G50)</f>
        <v/>
      </c>
      <c r="H2047" s="66" t="str">
        <f>IF(Ninth!H50="", "",Ninth!H50)</f>
        <v/>
      </c>
      <c r="I2047" s="66" t="str">
        <f>IF(Ninth!I50="", "",Ninth!I50)</f>
        <v/>
      </c>
      <c r="J2047" s="66" t="str">
        <f>IF(Ninth!J50="", "",Ninth!J50)</f>
        <v/>
      </c>
      <c r="K2047" s="86" t="str">
        <f>IF(Ninth!K50="", "",Ninth!K50)</f>
        <v/>
      </c>
      <c r="M2047" s="67" t="str">
        <f t="shared" si="95"/>
        <v/>
      </c>
      <c r="N2047" s="76" t="str">
        <f t="shared" si="96"/>
        <v/>
      </c>
      <c r="O2047" s="33">
        <f t="shared" si="94"/>
        <v>0</v>
      </c>
    </row>
    <row r="2048" spans="1:15" x14ac:dyDescent="0.25">
      <c r="A2048" s="64" t="s">
        <v>182</v>
      </c>
      <c r="B2048" s="79" t="str">
        <f>IF(Ninth!B51="", "",Ninth!B51)</f>
        <v/>
      </c>
      <c r="C2048" s="66" t="str">
        <f>IF(Ninth!C51="", "",Ninth!C51)</f>
        <v/>
      </c>
      <c r="D2048" s="66" t="str">
        <f>IF(Ninth!D51="", "",Ninth!D51)</f>
        <v/>
      </c>
      <c r="E2048" s="66" t="str">
        <f>IF(Ninth!E51="", "",Ninth!E51)</f>
        <v/>
      </c>
      <c r="F2048" s="66" t="str">
        <f>IF(Ninth!F51="", "",Ninth!F51)</f>
        <v/>
      </c>
      <c r="G2048" s="66" t="str">
        <f>IF(Ninth!G51="", "",Ninth!G51)</f>
        <v/>
      </c>
      <c r="H2048" s="66" t="str">
        <f>IF(Ninth!H51="", "",Ninth!H51)</f>
        <v/>
      </c>
      <c r="I2048" s="66" t="str">
        <f>IF(Ninth!I51="", "",Ninth!I51)</f>
        <v/>
      </c>
      <c r="J2048" s="66" t="str">
        <f>IF(Ninth!J51="", "",Ninth!J51)</f>
        <v/>
      </c>
      <c r="K2048" s="86" t="str">
        <f>IF(Ninth!K51="", "",Ninth!K51)</f>
        <v/>
      </c>
      <c r="M2048" s="67" t="str">
        <f t="shared" si="95"/>
        <v/>
      </c>
      <c r="N2048" s="76" t="str">
        <f t="shared" si="96"/>
        <v/>
      </c>
      <c r="O2048" s="33">
        <f t="shared" si="94"/>
        <v>0</v>
      </c>
    </row>
    <row r="2049" spans="1:15" x14ac:dyDescent="0.25">
      <c r="A2049" s="64" t="s">
        <v>182</v>
      </c>
      <c r="B2049" s="79" t="str">
        <f>IF(Ninth!B52="", "",Ninth!B52)</f>
        <v/>
      </c>
      <c r="C2049" s="66" t="str">
        <f>IF(Ninth!C52="", "",Ninth!C52)</f>
        <v/>
      </c>
      <c r="D2049" s="66" t="str">
        <f>IF(Ninth!D52="", "",Ninth!D52)</f>
        <v/>
      </c>
      <c r="E2049" s="66" t="str">
        <f>IF(Ninth!E52="", "",Ninth!E52)</f>
        <v/>
      </c>
      <c r="F2049" s="66" t="str">
        <f>IF(Ninth!F52="", "",Ninth!F52)</f>
        <v/>
      </c>
      <c r="G2049" s="66" t="str">
        <f>IF(Ninth!G52="", "",Ninth!G52)</f>
        <v/>
      </c>
      <c r="H2049" s="66" t="str">
        <f>IF(Ninth!H52="", "",Ninth!H52)</f>
        <v/>
      </c>
      <c r="I2049" s="66" t="str">
        <f>IF(Ninth!I52="", "",Ninth!I52)</f>
        <v/>
      </c>
      <c r="J2049" s="66" t="str">
        <f>IF(Ninth!J52="", "",Ninth!J52)</f>
        <v/>
      </c>
      <c r="K2049" s="86" t="str">
        <f>IF(Ninth!K52="", "",Ninth!K52)</f>
        <v/>
      </c>
      <c r="M2049" s="67" t="str">
        <f t="shared" si="95"/>
        <v/>
      </c>
      <c r="N2049" s="76" t="str">
        <f t="shared" si="96"/>
        <v/>
      </c>
      <c r="O2049" s="33">
        <f t="shared" si="94"/>
        <v>0</v>
      </c>
    </row>
    <row r="2050" spans="1:15" x14ac:dyDescent="0.25">
      <c r="A2050" s="64" t="s">
        <v>182</v>
      </c>
      <c r="B2050" s="79" t="str">
        <f>IF(Ninth!B53="", "",Ninth!B53)</f>
        <v/>
      </c>
      <c r="C2050" s="66" t="str">
        <f>IF(Ninth!C53="", "",Ninth!C53)</f>
        <v/>
      </c>
      <c r="D2050" s="66" t="str">
        <f>IF(Ninth!D53="", "",Ninth!D53)</f>
        <v/>
      </c>
      <c r="E2050" s="66" t="str">
        <f>IF(Ninth!E53="", "",Ninth!E53)</f>
        <v/>
      </c>
      <c r="F2050" s="66" t="str">
        <f>IF(Ninth!F53="", "",Ninth!F53)</f>
        <v/>
      </c>
      <c r="G2050" s="66" t="str">
        <f>IF(Ninth!G53="", "",Ninth!G53)</f>
        <v/>
      </c>
      <c r="H2050" s="66" t="str">
        <f>IF(Ninth!H53="", "",Ninth!H53)</f>
        <v/>
      </c>
      <c r="I2050" s="66" t="str">
        <f>IF(Ninth!I53="", "",Ninth!I53)</f>
        <v/>
      </c>
      <c r="J2050" s="66" t="str">
        <f>IF(Ninth!J53="", "",Ninth!J53)</f>
        <v/>
      </c>
      <c r="K2050" s="86" t="str">
        <f>IF(Ninth!K53="", "",Ninth!K53)</f>
        <v/>
      </c>
      <c r="M2050" s="67" t="str">
        <f t="shared" si="95"/>
        <v/>
      </c>
      <c r="N2050" s="76" t="str">
        <f t="shared" si="96"/>
        <v/>
      </c>
      <c r="O2050" s="33">
        <f t="shared" ref="O2050:O2113" si="97">SUM(M2050:N2050)</f>
        <v>0</v>
      </c>
    </row>
    <row r="2051" spans="1:15" x14ac:dyDescent="0.25">
      <c r="A2051" s="64" t="s">
        <v>182</v>
      </c>
      <c r="B2051" s="79" t="str">
        <f>IF(Ninth!B54="", "",Ninth!B54)</f>
        <v/>
      </c>
      <c r="C2051" s="66" t="str">
        <f>IF(Ninth!C54="", "",Ninth!C54)</f>
        <v/>
      </c>
      <c r="D2051" s="66" t="str">
        <f>IF(Ninth!D54="", "",Ninth!D54)</f>
        <v/>
      </c>
      <c r="E2051" s="66" t="str">
        <f>IF(Ninth!E54="", "",Ninth!E54)</f>
        <v/>
      </c>
      <c r="F2051" s="66" t="str">
        <f>IF(Ninth!F54="", "",Ninth!F54)</f>
        <v/>
      </c>
      <c r="G2051" s="66" t="str">
        <f>IF(Ninth!G54="", "",Ninth!G54)</f>
        <v/>
      </c>
      <c r="H2051" s="66" t="str">
        <f>IF(Ninth!H54="", "",Ninth!H54)</f>
        <v/>
      </c>
      <c r="I2051" s="66" t="str">
        <f>IF(Ninth!I54="", "",Ninth!I54)</f>
        <v/>
      </c>
      <c r="J2051" s="66" t="str">
        <f>IF(Ninth!J54="", "",Ninth!J54)</f>
        <v/>
      </c>
      <c r="K2051" s="86" t="str">
        <f>IF(Ninth!K54="", "",Ninth!K54)</f>
        <v/>
      </c>
      <c r="M2051" s="67" t="str">
        <f t="shared" ref="M2051:M2114" si="98">IF(C2051="PwC",(7-COUNTIF(B2051:H2051,"")),"")</f>
        <v/>
      </c>
      <c r="N2051" s="76" t="str">
        <f t="shared" ref="N2051:N2114" si="99">IF(C2051="Carer",(7-COUNTIF(B2051:H2051,"")),"")</f>
        <v/>
      </c>
      <c r="O2051" s="33">
        <f t="shared" si="97"/>
        <v>0</v>
      </c>
    </row>
    <row r="2052" spans="1:15" x14ac:dyDescent="0.25">
      <c r="A2052" s="64" t="s">
        <v>182</v>
      </c>
      <c r="B2052" s="79" t="str">
        <f>IF(Ninth!B55="", "",Ninth!B55)</f>
        <v/>
      </c>
      <c r="C2052" s="66" t="str">
        <f>IF(Ninth!C55="", "",Ninth!C55)</f>
        <v/>
      </c>
      <c r="D2052" s="66" t="str">
        <f>IF(Ninth!D55="", "",Ninth!D55)</f>
        <v/>
      </c>
      <c r="E2052" s="66" t="str">
        <f>IF(Ninth!E55="", "",Ninth!E55)</f>
        <v/>
      </c>
      <c r="F2052" s="66" t="str">
        <f>IF(Ninth!F55="", "",Ninth!F55)</f>
        <v/>
      </c>
      <c r="G2052" s="66" t="str">
        <f>IF(Ninth!G55="", "",Ninth!G55)</f>
        <v/>
      </c>
      <c r="H2052" s="66" t="str">
        <f>IF(Ninth!H55="", "",Ninth!H55)</f>
        <v/>
      </c>
      <c r="I2052" s="66" t="str">
        <f>IF(Ninth!I55="", "",Ninth!I55)</f>
        <v/>
      </c>
      <c r="J2052" s="66" t="str">
        <f>IF(Ninth!J55="", "",Ninth!J55)</f>
        <v/>
      </c>
      <c r="K2052" s="86" t="str">
        <f>IF(Ninth!K55="", "",Ninth!K55)</f>
        <v/>
      </c>
      <c r="M2052" s="67" t="str">
        <f t="shared" si="98"/>
        <v/>
      </c>
      <c r="N2052" s="76" t="str">
        <f t="shared" si="99"/>
        <v/>
      </c>
      <c r="O2052" s="33">
        <f t="shared" si="97"/>
        <v>0</v>
      </c>
    </row>
    <row r="2053" spans="1:15" x14ac:dyDescent="0.25">
      <c r="A2053" s="64" t="s">
        <v>182</v>
      </c>
      <c r="B2053" s="79" t="str">
        <f>IF(Ninth!B56="", "",Ninth!B56)</f>
        <v/>
      </c>
      <c r="C2053" s="66" t="str">
        <f>IF(Ninth!C56="", "",Ninth!C56)</f>
        <v/>
      </c>
      <c r="D2053" s="66" t="str">
        <f>IF(Ninth!D56="", "",Ninth!D56)</f>
        <v/>
      </c>
      <c r="E2053" s="66" t="str">
        <f>IF(Ninth!E56="", "",Ninth!E56)</f>
        <v/>
      </c>
      <c r="F2053" s="66" t="str">
        <f>IF(Ninth!F56="", "",Ninth!F56)</f>
        <v/>
      </c>
      <c r="G2053" s="66" t="str">
        <f>IF(Ninth!G56="", "",Ninth!G56)</f>
        <v/>
      </c>
      <c r="H2053" s="66" t="str">
        <f>IF(Ninth!H56="", "",Ninth!H56)</f>
        <v/>
      </c>
      <c r="I2053" s="66" t="str">
        <f>IF(Ninth!I56="", "",Ninth!I56)</f>
        <v/>
      </c>
      <c r="J2053" s="66" t="str">
        <f>IF(Ninth!J56="", "",Ninth!J56)</f>
        <v/>
      </c>
      <c r="K2053" s="86" t="str">
        <f>IF(Ninth!K56="", "",Ninth!K56)</f>
        <v/>
      </c>
      <c r="M2053" s="67" t="str">
        <f t="shared" si="98"/>
        <v/>
      </c>
      <c r="N2053" s="76" t="str">
        <f t="shared" si="99"/>
        <v/>
      </c>
      <c r="O2053" s="33">
        <f t="shared" si="97"/>
        <v>0</v>
      </c>
    </row>
    <row r="2054" spans="1:15" x14ac:dyDescent="0.25">
      <c r="A2054" s="64" t="s">
        <v>182</v>
      </c>
      <c r="B2054" s="79" t="str">
        <f>IF(Ninth!B57="", "",Ninth!B57)</f>
        <v/>
      </c>
      <c r="C2054" s="66" t="str">
        <f>IF(Ninth!C57="", "",Ninth!C57)</f>
        <v/>
      </c>
      <c r="D2054" s="66" t="str">
        <f>IF(Ninth!D57="", "",Ninth!D57)</f>
        <v/>
      </c>
      <c r="E2054" s="66" t="str">
        <f>IF(Ninth!E57="", "",Ninth!E57)</f>
        <v/>
      </c>
      <c r="F2054" s="66" t="str">
        <f>IF(Ninth!F57="", "",Ninth!F57)</f>
        <v/>
      </c>
      <c r="G2054" s="66" t="str">
        <f>IF(Ninth!G57="", "",Ninth!G57)</f>
        <v/>
      </c>
      <c r="H2054" s="66" t="str">
        <f>IF(Ninth!H57="", "",Ninth!H57)</f>
        <v/>
      </c>
      <c r="I2054" s="66" t="str">
        <f>IF(Ninth!I57="", "",Ninth!I57)</f>
        <v/>
      </c>
      <c r="J2054" s="66" t="str">
        <f>IF(Ninth!J57="", "",Ninth!J57)</f>
        <v/>
      </c>
      <c r="K2054" s="86" t="str">
        <f>IF(Ninth!K57="", "",Ninth!K57)</f>
        <v/>
      </c>
      <c r="M2054" s="67" t="str">
        <f t="shared" si="98"/>
        <v/>
      </c>
      <c r="N2054" s="76" t="str">
        <f t="shared" si="99"/>
        <v/>
      </c>
      <c r="O2054" s="33">
        <f t="shared" si="97"/>
        <v>0</v>
      </c>
    </row>
    <row r="2055" spans="1:15" x14ac:dyDescent="0.25">
      <c r="A2055" s="64" t="s">
        <v>182</v>
      </c>
      <c r="B2055" s="79" t="str">
        <f>IF(Ninth!B58="", "",Ninth!B58)</f>
        <v/>
      </c>
      <c r="C2055" s="66" t="str">
        <f>IF(Ninth!C58="", "",Ninth!C58)</f>
        <v/>
      </c>
      <c r="D2055" s="66" t="str">
        <f>IF(Ninth!D58="", "",Ninth!D58)</f>
        <v/>
      </c>
      <c r="E2055" s="66" t="str">
        <f>IF(Ninth!E58="", "",Ninth!E58)</f>
        <v/>
      </c>
      <c r="F2055" s="66" t="str">
        <f>IF(Ninth!F58="", "",Ninth!F58)</f>
        <v/>
      </c>
      <c r="G2055" s="66" t="str">
        <f>IF(Ninth!G58="", "",Ninth!G58)</f>
        <v/>
      </c>
      <c r="H2055" s="66" t="str">
        <f>IF(Ninth!H58="", "",Ninth!H58)</f>
        <v/>
      </c>
      <c r="I2055" s="66" t="str">
        <f>IF(Ninth!I58="", "",Ninth!I58)</f>
        <v/>
      </c>
      <c r="J2055" s="66" t="str">
        <f>IF(Ninth!J58="", "",Ninth!J58)</f>
        <v/>
      </c>
      <c r="K2055" s="86" t="str">
        <f>IF(Ninth!K58="", "",Ninth!K58)</f>
        <v/>
      </c>
      <c r="M2055" s="67" t="str">
        <f t="shared" si="98"/>
        <v/>
      </c>
      <c r="N2055" s="76" t="str">
        <f t="shared" si="99"/>
        <v/>
      </c>
      <c r="O2055" s="33">
        <f t="shared" si="97"/>
        <v>0</v>
      </c>
    </row>
    <row r="2056" spans="1:15" x14ac:dyDescent="0.25">
      <c r="A2056" s="64" t="s">
        <v>182</v>
      </c>
      <c r="B2056" s="79" t="str">
        <f>IF(Ninth!B59="", "",Ninth!B59)</f>
        <v/>
      </c>
      <c r="C2056" s="66" t="str">
        <f>IF(Ninth!C59="", "",Ninth!C59)</f>
        <v/>
      </c>
      <c r="D2056" s="66" t="str">
        <f>IF(Ninth!D59="", "",Ninth!D59)</f>
        <v/>
      </c>
      <c r="E2056" s="66" t="str">
        <f>IF(Ninth!E59="", "",Ninth!E59)</f>
        <v/>
      </c>
      <c r="F2056" s="66" t="str">
        <f>IF(Ninth!F59="", "",Ninth!F59)</f>
        <v/>
      </c>
      <c r="G2056" s="66" t="str">
        <f>IF(Ninth!G59="", "",Ninth!G59)</f>
        <v/>
      </c>
      <c r="H2056" s="66" t="str">
        <f>IF(Ninth!H59="", "",Ninth!H59)</f>
        <v/>
      </c>
      <c r="I2056" s="66" t="str">
        <f>IF(Ninth!I59="", "",Ninth!I59)</f>
        <v/>
      </c>
      <c r="J2056" s="66" t="str">
        <f>IF(Ninth!J59="", "",Ninth!J59)</f>
        <v/>
      </c>
      <c r="K2056" s="86" t="str">
        <f>IF(Ninth!K59="", "",Ninth!K59)</f>
        <v/>
      </c>
      <c r="M2056" s="67" t="str">
        <f t="shared" si="98"/>
        <v/>
      </c>
      <c r="N2056" s="76" t="str">
        <f t="shared" si="99"/>
        <v/>
      </c>
      <c r="O2056" s="33">
        <f t="shared" si="97"/>
        <v>0</v>
      </c>
    </row>
    <row r="2057" spans="1:15" x14ac:dyDescent="0.25">
      <c r="A2057" s="64" t="s">
        <v>182</v>
      </c>
      <c r="B2057" s="79" t="str">
        <f>IF(Ninth!B60="", "",Ninth!B60)</f>
        <v/>
      </c>
      <c r="C2057" s="66" t="str">
        <f>IF(Ninth!C60="", "",Ninth!C60)</f>
        <v/>
      </c>
      <c r="D2057" s="66" t="str">
        <f>IF(Ninth!D60="", "",Ninth!D60)</f>
        <v/>
      </c>
      <c r="E2057" s="66" t="str">
        <f>IF(Ninth!E60="", "",Ninth!E60)</f>
        <v/>
      </c>
      <c r="F2057" s="66" t="str">
        <f>IF(Ninth!F60="", "",Ninth!F60)</f>
        <v/>
      </c>
      <c r="G2057" s="66" t="str">
        <f>IF(Ninth!G60="", "",Ninth!G60)</f>
        <v/>
      </c>
      <c r="H2057" s="66" t="str">
        <f>IF(Ninth!H60="", "",Ninth!H60)</f>
        <v/>
      </c>
      <c r="I2057" s="66" t="str">
        <f>IF(Ninth!I60="", "",Ninth!I60)</f>
        <v/>
      </c>
      <c r="J2057" s="66" t="str">
        <f>IF(Ninth!J60="", "",Ninth!J60)</f>
        <v/>
      </c>
      <c r="K2057" s="86" t="str">
        <f>IF(Ninth!K60="", "",Ninth!K60)</f>
        <v/>
      </c>
      <c r="M2057" s="67" t="str">
        <f t="shared" si="98"/>
        <v/>
      </c>
      <c r="N2057" s="76" t="str">
        <f t="shared" si="99"/>
        <v/>
      </c>
      <c r="O2057" s="33">
        <f t="shared" si="97"/>
        <v>0</v>
      </c>
    </row>
    <row r="2058" spans="1:15" x14ac:dyDescent="0.25">
      <c r="A2058" s="64" t="s">
        <v>182</v>
      </c>
      <c r="B2058" s="79" t="str">
        <f>IF(Ninth!B61="", "",Ninth!B61)</f>
        <v/>
      </c>
      <c r="C2058" s="66" t="str">
        <f>IF(Ninth!C61="", "",Ninth!C61)</f>
        <v/>
      </c>
      <c r="D2058" s="66" t="str">
        <f>IF(Ninth!D61="", "",Ninth!D61)</f>
        <v/>
      </c>
      <c r="E2058" s="66" t="str">
        <f>IF(Ninth!E61="", "",Ninth!E61)</f>
        <v/>
      </c>
      <c r="F2058" s="66" t="str">
        <f>IF(Ninth!F61="", "",Ninth!F61)</f>
        <v/>
      </c>
      <c r="G2058" s="66" t="str">
        <f>IF(Ninth!G61="", "",Ninth!G61)</f>
        <v/>
      </c>
      <c r="H2058" s="66" t="str">
        <f>IF(Ninth!H61="", "",Ninth!H61)</f>
        <v/>
      </c>
      <c r="I2058" s="66" t="str">
        <f>IF(Ninth!I61="", "",Ninth!I61)</f>
        <v/>
      </c>
      <c r="J2058" s="66" t="str">
        <f>IF(Ninth!J61="", "",Ninth!J61)</f>
        <v/>
      </c>
      <c r="K2058" s="86" t="str">
        <f>IF(Ninth!K61="", "",Ninth!K61)</f>
        <v/>
      </c>
      <c r="M2058" s="67" t="str">
        <f t="shared" si="98"/>
        <v/>
      </c>
      <c r="N2058" s="76" t="str">
        <f t="shared" si="99"/>
        <v/>
      </c>
      <c r="O2058" s="33">
        <f t="shared" si="97"/>
        <v>0</v>
      </c>
    </row>
    <row r="2059" spans="1:15" x14ac:dyDescent="0.25">
      <c r="A2059" s="64" t="s">
        <v>182</v>
      </c>
      <c r="B2059" s="79" t="str">
        <f>IF(Ninth!B62="", "",Ninth!B62)</f>
        <v/>
      </c>
      <c r="C2059" s="66" t="str">
        <f>IF(Ninth!C62="", "",Ninth!C62)</f>
        <v/>
      </c>
      <c r="D2059" s="66" t="str">
        <f>IF(Ninth!D62="", "",Ninth!D62)</f>
        <v/>
      </c>
      <c r="E2059" s="66" t="str">
        <f>IF(Ninth!E62="", "",Ninth!E62)</f>
        <v/>
      </c>
      <c r="F2059" s="66" t="str">
        <f>IF(Ninth!F62="", "",Ninth!F62)</f>
        <v/>
      </c>
      <c r="G2059" s="66" t="str">
        <f>IF(Ninth!G62="", "",Ninth!G62)</f>
        <v/>
      </c>
      <c r="H2059" s="66" t="str">
        <f>IF(Ninth!H62="", "",Ninth!H62)</f>
        <v/>
      </c>
      <c r="I2059" s="66" t="str">
        <f>IF(Ninth!I62="", "",Ninth!I62)</f>
        <v/>
      </c>
      <c r="J2059" s="66" t="str">
        <f>IF(Ninth!J62="", "",Ninth!J62)</f>
        <v/>
      </c>
      <c r="K2059" s="86" t="str">
        <f>IF(Ninth!K62="", "",Ninth!K62)</f>
        <v/>
      </c>
      <c r="M2059" s="67" t="str">
        <f t="shared" si="98"/>
        <v/>
      </c>
      <c r="N2059" s="76" t="str">
        <f t="shared" si="99"/>
        <v/>
      </c>
      <c r="O2059" s="33">
        <f t="shared" si="97"/>
        <v>0</v>
      </c>
    </row>
    <row r="2060" spans="1:15" x14ac:dyDescent="0.25">
      <c r="A2060" s="64" t="s">
        <v>182</v>
      </c>
      <c r="B2060" s="79" t="str">
        <f>IF(Ninth!B63="", "",Ninth!B63)</f>
        <v/>
      </c>
      <c r="C2060" s="66" t="str">
        <f>IF(Ninth!C63="", "",Ninth!C63)</f>
        <v/>
      </c>
      <c r="D2060" s="66" t="str">
        <f>IF(Ninth!D63="", "",Ninth!D63)</f>
        <v/>
      </c>
      <c r="E2060" s="66" t="str">
        <f>IF(Ninth!E63="", "",Ninth!E63)</f>
        <v/>
      </c>
      <c r="F2060" s="66" t="str">
        <f>IF(Ninth!F63="", "",Ninth!F63)</f>
        <v/>
      </c>
      <c r="G2060" s="66" t="str">
        <f>IF(Ninth!G63="", "",Ninth!G63)</f>
        <v/>
      </c>
      <c r="H2060" s="66" t="str">
        <f>IF(Ninth!H63="", "",Ninth!H63)</f>
        <v/>
      </c>
      <c r="I2060" s="66" t="str">
        <f>IF(Ninth!I63="", "",Ninth!I63)</f>
        <v/>
      </c>
      <c r="J2060" s="66" t="str">
        <f>IF(Ninth!J63="", "",Ninth!J63)</f>
        <v/>
      </c>
      <c r="K2060" s="86" t="str">
        <f>IF(Ninth!K63="", "",Ninth!K63)</f>
        <v/>
      </c>
      <c r="M2060" s="67" t="str">
        <f t="shared" si="98"/>
        <v/>
      </c>
      <c r="N2060" s="76" t="str">
        <f t="shared" si="99"/>
        <v/>
      </c>
      <c r="O2060" s="33">
        <f t="shared" si="97"/>
        <v>0</v>
      </c>
    </row>
    <row r="2061" spans="1:15" x14ac:dyDescent="0.25">
      <c r="A2061" s="64" t="s">
        <v>182</v>
      </c>
      <c r="B2061" s="79" t="str">
        <f>IF(Ninth!B64="", "",Ninth!B64)</f>
        <v/>
      </c>
      <c r="C2061" s="66" t="str">
        <f>IF(Ninth!C64="", "",Ninth!C64)</f>
        <v/>
      </c>
      <c r="D2061" s="66" t="str">
        <f>IF(Ninth!D64="", "",Ninth!D64)</f>
        <v/>
      </c>
      <c r="E2061" s="66" t="str">
        <f>IF(Ninth!E64="", "",Ninth!E64)</f>
        <v/>
      </c>
      <c r="F2061" s="66" t="str">
        <f>IF(Ninth!F64="", "",Ninth!F64)</f>
        <v/>
      </c>
      <c r="G2061" s="66" t="str">
        <f>IF(Ninth!G64="", "",Ninth!G64)</f>
        <v/>
      </c>
      <c r="H2061" s="66" t="str">
        <f>IF(Ninth!H64="", "",Ninth!H64)</f>
        <v/>
      </c>
      <c r="I2061" s="66" t="str">
        <f>IF(Ninth!I64="", "",Ninth!I64)</f>
        <v/>
      </c>
      <c r="J2061" s="66" t="str">
        <f>IF(Ninth!J64="", "",Ninth!J64)</f>
        <v/>
      </c>
      <c r="K2061" s="86" t="str">
        <f>IF(Ninth!K64="", "",Ninth!K64)</f>
        <v/>
      </c>
      <c r="M2061" s="67" t="str">
        <f t="shared" si="98"/>
        <v/>
      </c>
      <c r="N2061" s="76" t="str">
        <f t="shared" si="99"/>
        <v/>
      </c>
      <c r="O2061" s="33">
        <f t="shared" si="97"/>
        <v>0</v>
      </c>
    </row>
    <row r="2062" spans="1:15" x14ac:dyDescent="0.25">
      <c r="A2062" s="64" t="s">
        <v>182</v>
      </c>
      <c r="B2062" s="79" t="str">
        <f>IF(Ninth!B65="", "",Ninth!B65)</f>
        <v/>
      </c>
      <c r="C2062" s="66" t="str">
        <f>IF(Ninth!C65="", "",Ninth!C65)</f>
        <v/>
      </c>
      <c r="D2062" s="66" t="str">
        <f>IF(Ninth!D65="", "",Ninth!D65)</f>
        <v/>
      </c>
      <c r="E2062" s="66" t="str">
        <f>IF(Ninth!E65="", "",Ninth!E65)</f>
        <v/>
      </c>
      <c r="F2062" s="66" t="str">
        <f>IF(Ninth!F65="", "",Ninth!F65)</f>
        <v/>
      </c>
      <c r="G2062" s="66" t="str">
        <f>IF(Ninth!G65="", "",Ninth!G65)</f>
        <v/>
      </c>
      <c r="H2062" s="66" t="str">
        <f>IF(Ninth!H65="", "",Ninth!H65)</f>
        <v/>
      </c>
      <c r="I2062" s="66" t="str">
        <f>IF(Ninth!I65="", "",Ninth!I65)</f>
        <v/>
      </c>
      <c r="J2062" s="66" t="str">
        <f>IF(Ninth!J65="", "",Ninth!J65)</f>
        <v/>
      </c>
      <c r="K2062" s="86" t="str">
        <f>IF(Ninth!K65="", "",Ninth!K65)</f>
        <v/>
      </c>
      <c r="M2062" s="67" t="str">
        <f t="shared" si="98"/>
        <v/>
      </c>
      <c r="N2062" s="76" t="str">
        <f t="shared" si="99"/>
        <v/>
      </c>
      <c r="O2062" s="33">
        <f t="shared" si="97"/>
        <v>0</v>
      </c>
    </row>
    <row r="2063" spans="1:15" x14ac:dyDescent="0.25">
      <c r="A2063" s="64" t="s">
        <v>182</v>
      </c>
      <c r="B2063" s="79" t="str">
        <f>IF(Ninth!B66="", "",Ninth!B66)</f>
        <v/>
      </c>
      <c r="C2063" s="66" t="str">
        <f>IF(Ninth!C66="", "",Ninth!C66)</f>
        <v/>
      </c>
      <c r="D2063" s="66" t="str">
        <f>IF(Ninth!D66="", "",Ninth!D66)</f>
        <v/>
      </c>
      <c r="E2063" s="66" t="str">
        <f>IF(Ninth!E66="", "",Ninth!E66)</f>
        <v/>
      </c>
      <c r="F2063" s="66" t="str">
        <f>IF(Ninth!F66="", "",Ninth!F66)</f>
        <v/>
      </c>
      <c r="G2063" s="66" t="str">
        <f>IF(Ninth!G66="", "",Ninth!G66)</f>
        <v/>
      </c>
      <c r="H2063" s="66" t="str">
        <f>IF(Ninth!H66="", "",Ninth!H66)</f>
        <v/>
      </c>
      <c r="I2063" s="66" t="str">
        <f>IF(Ninth!I66="", "",Ninth!I66)</f>
        <v/>
      </c>
      <c r="J2063" s="66" t="str">
        <f>IF(Ninth!J66="", "",Ninth!J66)</f>
        <v/>
      </c>
      <c r="K2063" s="86" t="str">
        <f>IF(Ninth!K66="", "",Ninth!K66)</f>
        <v/>
      </c>
      <c r="M2063" s="67" t="str">
        <f t="shared" si="98"/>
        <v/>
      </c>
      <c r="N2063" s="76" t="str">
        <f t="shared" si="99"/>
        <v/>
      </c>
      <c r="O2063" s="33">
        <f t="shared" si="97"/>
        <v>0</v>
      </c>
    </row>
    <row r="2064" spans="1:15" x14ac:dyDescent="0.25">
      <c r="A2064" s="64" t="s">
        <v>182</v>
      </c>
      <c r="B2064" s="79" t="str">
        <f>IF(Ninth!B67="", "",Ninth!B67)</f>
        <v/>
      </c>
      <c r="C2064" s="66" t="str">
        <f>IF(Ninth!C67="", "",Ninth!C67)</f>
        <v/>
      </c>
      <c r="D2064" s="66" t="str">
        <f>IF(Ninth!D67="", "",Ninth!D67)</f>
        <v/>
      </c>
      <c r="E2064" s="66" t="str">
        <f>IF(Ninth!E67="", "",Ninth!E67)</f>
        <v/>
      </c>
      <c r="F2064" s="66" t="str">
        <f>IF(Ninth!F67="", "",Ninth!F67)</f>
        <v/>
      </c>
      <c r="G2064" s="66" t="str">
        <f>IF(Ninth!G67="", "",Ninth!G67)</f>
        <v/>
      </c>
      <c r="H2064" s="66" t="str">
        <f>IF(Ninth!H67="", "",Ninth!H67)</f>
        <v/>
      </c>
      <c r="I2064" s="66" t="str">
        <f>IF(Ninth!I67="", "",Ninth!I67)</f>
        <v/>
      </c>
      <c r="J2064" s="66" t="str">
        <f>IF(Ninth!J67="", "",Ninth!J67)</f>
        <v/>
      </c>
      <c r="K2064" s="86" t="str">
        <f>IF(Ninth!K67="", "",Ninth!K67)</f>
        <v/>
      </c>
      <c r="M2064" s="67" t="str">
        <f t="shared" si="98"/>
        <v/>
      </c>
      <c r="N2064" s="76" t="str">
        <f t="shared" si="99"/>
        <v/>
      </c>
      <c r="O2064" s="33">
        <f t="shared" si="97"/>
        <v>0</v>
      </c>
    </row>
    <row r="2065" spans="1:15" x14ac:dyDescent="0.25">
      <c r="A2065" s="64" t="s">
        <v>182</v>
      </c>
      <c r="B2065" s="79" t="str">
        <f>IF(Ninth!B68="", "",Ninth!B68)</f>
        <v/>
      </c>
      <c r="C2065" s="66" t="str">
        <f>IF(Ninth!C68="", "",Ninth!C68)</f>
        <v/>
      </c>
      <c r="D2065" s="66" t="str">
        <f>IF(Ninth!D68="", "",Ninth!D68)</f>
        <v/>
      </c>
      <c r="E2065" s="66" t="str">
        <f>IF(Ninth!E68="", "",Ninth!E68)</f>
        <v/>
      </c>
      <c r="F2065" s="66" t="str">
        <f>IF(Ninth!F68="", "",Ninth!F68)</f>
        <v/>
      </c>
      <c r="G2065" s="66" t="str">
        <f>IF(Ninth!G68="", "",Ninth!G68)</f>
        <v/>
      </c>
      <c r="H2065" s="66" t="str">
        <f>IF(Ninth!H68="", "",Ninth!H68)</f>
        <v/>
      </c>
      <c r="I2065" s="66" t="str">
        <f>IF(Ninth!I68="", "",Ninth!I68)</f>
        <v/>
      </c>
      <c r="J2065" s="66" t="str">
        <f>IF(Ninth!J68="", "",Ninth!J68)</f>
        <v/>
      </c>
      <c r="K2065" s="86" t="str">
        <f>IF(Ninth!K68="", "",Ninth!K68)</f>
        <v/>
      </c>
      <c r="M2065" s="67" t="str">
        <f t="shared" si="98"/>
        <v/>
      </c>
      <c r="N2065" s="76" t="str">
        <f t="shared" si="99"/>
        <v/>
      </c>
      <c r="O2065" s="33">
        <f t="shared" si="97"/>
        <v>0</v>
      </c>
    </row>
    <row r="2066" spans="1:15" x14ac:dyDescent="0.25">
      <c r="A2066" s="64" t="s">
        <v>182</v>
      </c>
      <c r="B2066" s="79" t="str">
        <f>IF(Ninth!B69="", "",Ninth!B69)</f>
        <v/>
      </c>
      <c r="C2066" s="66" t="str">
        <f>IF(Ninth!C69="", "",Ninth!C69)</f>
        <v/>
      </c>
      <c r="D2066" s="66" t="str">
        <f>IF(Ninth!D69="", "",Ninth!D69)</f>
        <v/>
      </c>
      <c r="E2066" s="66" t="str">
        <f>IF(Ninth!E69="", "",Ninth!E69)</f>
        <v/>
      </c>
      <c r="F2066" s="66" t="str">
        <f>IF(Ninth!F69="", "",Ninth!F69)</f>
        <v/>
      </c>
      <c r="G2066" s="66" t="str">
        <f>IF(Ninth!G69="", "",Ninth!G69)</f>
        <v/>
      </c>
      <c r="H2066" s="66" t="str">
        <f>IF(Ninth!H69="", "",Ninth!H69)</f>
        <v/>
      </c>
      <c r="I2066" s="66" t="str">
        <f>IF(Ninth!I69="", "",Ninth!I69)</f>
        <v/>
      </c>
      <c r="J2066" s="66" t="str">
        <f>IF(Ninth!J69="", "",Ninth!J69)</f>
        <v/>
      </c>
      <c r="K2066" s="86" t="str">
        <f>IF(Ninth!K69="", "",Ninth!K69)</f>
        <v/>
      </c>
      <c r="M2066" s="67" t="str">
        <f t="shared" si="98"/>
        <v/>
      </c>
      <c r="N2066" s="76" t="str">
        <f t="shared" si="99"/>
        <v/>
      </c>
      <c r="O2066" s="33">
        <f t="shared" si="97"/>
        <v>0</v>
      </c>
    </row>
    <row r="2067" spans="1:15" x14ac:dyDescent="0.25">
      <c r="A2067" s="64" t="s">
        <v>182</v>
      </c>
      <c r="B2067" s="79" t="str">
        <f>IF(Ninth!B70="", "",Ninth!B70)</f>
        <v/>
      </c>
      <c r="C2067" s="66" t="str">
        <f>IF(Ninth!C70="", "",Ninth!C70)</f>
        <v/>
      </c>
      <c r="D2067" s="66" t="str">
        <f>IF(Ninth!D70="", "",Ninth!D70)</f>
        <v/>
      </c>
      <c r="E2067" s="66" t="str">
        <f>IF(Ninth!E70="", "",Ninth!E70)</f>
        <v/>
      </c>
      <c r="F2067" s="66" t="str">
        <f>IF(Ninth!F70="", "",Ninth!F70)</f>
        <v/>
      </c>
      <c r="G2067" s="66" t="str">
        <f>IF(Ninth!G70="", "",Ninth!G70)</f>
        <v/>
      </c>
      <c r="H2067" s="66" t="str">
        <f>IF(Ninth!H70="", "",Ninth!H70)</f>
        <v/>
      </c>
      <c r="I2067" s="66" t="str">
        <f>IF(Ninth!I70="", "",Ninth!I70)</f>
        <v/>
      </c>
      <c r="J2067" s="66" t="str">
        <f>IF(Ninth!J70="", "",Ninth!J70)</f>
        <v/>
      </c>
      <c r="K2067" s="86" t="str">
        <f>IF(Ninth!K70="", "",Ninth!K70)</f>
        <v/>
      </c>
      <c r="M2067" s="67" t="str">
        <f t="shared" si="98"/>
        <v/>
      </c>
      <c r="N2067" s="76" t="str">
        <f t="shared" si="99"/>
        <v/>
      </c>
      <c r="O2067" s="33">
        <f t="shared" si="97"/>
        <v>0</v>
      </c>
    </row>
    <row r="2068" spans="1:15" x14ac:dyDescent="0.25">
      <c r="A2068" s="64" t="s">
        <v>182</v>
      </c>
      <c r="B2068" s="79" t="str">
        <f>IF(Ninth!B71="", "",Ninth!B71)</f>
        <v/>
      </c>
      <c r="C2068" s="66" t="str">
        <f>IF(Ninth!C71="", "",Ninth!C71)</f>
        <v/>
      </c>
      <c r="D2068" s="66" t="str">
        <f>IF(Ninth!D71="", "",Ninth!D71)</f>
        <v/>
      </c>
      <c r="E2068" s="66" t="str">
        <f>IF(Ninth!E71="", "",Ninth!E71)</f>
        <v/>
      </c>
      <c r="F2068" s="66" t="str">
        <f>IF(Ninth!F71="", "",Ninth!F71)</f>
        <v/>
      </c>
      <c r="G2068" s="66" t="str">
        <f>IF(Ninth!G71="", "",Ninth!G71)</f>
        <v/>
      </c>
      <c r="H2068" s="66" t="str">
        <f>IF(Ninth!H71="", "",Ninth!H71)</f>
        <v/>
      </c>
      <c r="I2068" s="66" t="str">
        <f>IF(Ninth!I71="", "",Ninth!I71)</f>
        <v/>
      </c>
      <c r="J2068" s="66" t="str">
        <f>IF(Ninth!J71="", "",Ninth!J71)</f>
        <v/>
      </c>
      <c r="K2068" s="86" t="str">
        <f>IF(Ninth!K71="", "",Ninth!K71)</f>
        <v/>
      </c>
      <c r="M2068" s="67" t="str">
        <f t="shared" si="98"/>
        <v/>
      </c>
      <c r="N2068" s="76" t="str">
        <f t="shared" si="99"/>
        <v/>
      </c>
      <c r="O2068" s="33">
        <f t="shared" si="97"/>
        <v>0</v>
      </c>
    </row>
    <row r="2069" spans="1:15" x14ac:dyDescent="0.25">
      <c r="A2069" s="64" t="s">
        <v>182</v>
      </c>
      <c r="B2069" s="79" t="str">
        <f>IF(Ninth!B72="", "",Ninth!B72)</f>
        <v/>
      </c>
      <c r="C2069" s="66" t="str">
        <f>IF(Ninth!C72="", "",Ninth!C72)</f>
        <v/>
      </c>
      <c r="D2069" s="66" t="str">
        <f>IF(Ninth!D72="", "",Ninth!D72)</f>
        <v/>
      </c>
      <c r="E2069" s="66" t="str">
        <f>IF(Ninth!E72="", "",Ninth!E72)</f>
        <v/>
      </c>
      <c r="F2069" s="66" t="str">
        <f>IF(Ninth!F72="", "",Ninth!F72)</f>
        <v/>
      </c>
      <c r="G2069" s="66" t="str">
        <f>IF(Ninth!G72="", "",Ninth!G72)</f>
        <v/>
      </c>
      <c r="H2069" s="66" t="str">
        <f>IF(Ninth!H72="", "",Ninth!H72)</f>
        <v/>
      </c>
      <c r="I2069" s="66" t="str">
        <f>IF(Ninth!I72="", "",Ninth!I72)</f>
        <v/>
      </c>
      <c r="J2069" s="66" t="str">
        <f>IF(Ninth!J72="", "",Ninth!J72)</f>
        <v/>
      </c>
      <c r="K2069" s="86" t="str">
        <f>IF(Ninth!K72="", "",Ninth!K72)</f>
        <v/>
      </c>
      <c r="M2069" s="67" t="str">
        <f t="shared" si="98"/>
        <v/>
      </c>
      <c r="N2069" s="76" t="str">
        <f t="shared" si="99"/>
        <v/>
      </c>
      <c r="O2069" s="33">
        <f t="shared" si="97"/>
        <v>0</v>
      </c>
    </row>
    <row r="2070" spans="1:15" x14ac:dyDescent="0.25">
      <c r="A2070" s="64" t="s">
        <v>182</v>
      </c>
      <c r="B2070" s="79" t="str">
        <f>IF(Ninth!B73="", "",Ninth!B73)</f>
        <v/>
      </c>
      <c r="C2070" s="66" t="str">
        <f>IF(Ninth!C73="", "",Ninth!C73)</f>
        <v/>
      </c>
      <c r="D2070" s="66" t="str">
        <f>IF(Ninth!D73="", "",Ninth!D73)</f>
        <v/>
      </c>
      <c r="E2070" s="66" t="str">
        <f>IF(Ninth!E73="", "",Ninth!E73)</f>
        <v/>
      </c>
      <c r="F2070" s="66" t="str">
        <f>IF(Ninth!F73="", "",Ninth!F73)</f>
        <v/>
      </c>
      <c r="G2070" s="66" t="str">
        <f>IF(Ninth!G73="", "",Ninth!G73)</f>
        <v/>
      </c>
      <c r="H2070" s="66" t="str">
        <f>IF(Ninth!H73="", "",Ninth!H73)</f>
        <v/>
      </c>
      <c r="I2070" s="66" t="str">
        <f>IF(Ninth!I73="", "",Ninth!I73)</f>
        <v/>
      </c>
      <c r="J2070" s="66" t="str">
        <f>IF(Ninth!J73="", "",Ninth!J73)</f>
        <v/>
      </c>
      <c r="K2070" s="86" t="str">
        <f>IF(Ninth!K73="", "",Ninth!K73)</f>
        <v/>
      </c>
      <c r="M2070" s="67" t="str">
        <f t="shared" si="98"/>
        <v/>
      </c>
      <c r="N2070" s="76" t="str">
        <f t="shared" si="99"/>
        <v/>
      </c>
      <c r="O2070" s="33">
        <f t="shared" si="97"/>
        <v>0</v>
      </c>
    </row>
    <row r="2071" spans="1:15" x14ac:dyDescent="0.25">
      <c r="A2071" s="64" t="s">
        <v>182</v>
      </c>
      <c r="B2071" s="79" t="str">
        <f>IF(Ninth!B74="", "",Ninth!B74)</f>
        <v/>
      </c>
      <c r="C2071" s="66" t="str">
        <f>IF(Ninth!C74="", "",Ninth!C74)</f>
        <v/>
      </c>
      <c r="D2071" s="66" t="str">
        <f>IF(Ninth!D74="", "",Ninth!D74)</f>
        <v/>
      </c>
      <c r="E2071" s="66" t="str">
        <f>IF(Ninth!E74="", "",Ninth!E74)</f>
        <v/>
      </c>
      <c r="F2071" s="66" t="str">
        <f>IF(Ninth!F74="", "",Ninth!F74)</f>
        <v/>
      </c>
      <c r="G2071" s="66" t="str">
        <f>IF(Ninth!G74="", "",Ninth!G74)</f>
        <v/>
      </c>
      <c r="H2071" s="66" t="str">
        <f>IF(Ninth!H74="", "",Ninth!H74)</f>
        <v/>
      </c>
      <c r="I2071" s="66" t="str">
        <f>IF(Ninth!I74="", "",Ninth!I74)</f>
        <v/>
      </c>
      <c r="J2071" s="66" t="str">
        <f>IF(Ninth!J74="", "",Ninth!J74)</f>
        <v/>
      </c>
      <c r="K2071" s="86" t="str">
        <f>IF(Ninth!K74="", "",Ninth!K74)</f>
        <v/>
      </c>
      <c r="M2071" s="67" t="str">
        <f t="shared" si="98"/>
        <v/>
      </c>
      <c r="N2071" s="76" t="str">
        <f t="shared" si="99"/>
        <v/>
      </c>
      <c r="O2071" s="33">
        <f t="shared" si="97"/>
        <v>0</v>
      </c>
    </row>
    <row r="2072" spans="1:15" x14ac:dyDescent="0.25">
      <c r="A2072" s="64" t="s">
        <v>182</v>
      </c>
      <c r="B2072" s="79" t="str">
        <f>IF(Ninth!B75="", "",Ninth!B75)</f>
        <v/>
      </c>
      <c r="C2072" s="66" t="str">
        <f>IF(Ninth!C75="", "",Ninth!C75)</f>
        <v/>
      </c>
      <c r="D2072" s="66" t="str">
        <f>IF(Ninth!D75="", "",Ninth!D75)</f>
        <v/>
      </c>
      <c r="E2072" s="66" t="str">
        <f>IF(Ninth!E75="", "",Ninth!E75)</f>
        <v/>
      </c>
      <c r="F2072" s="66" t="str">
        <f>IF(Ninth!F75="", "",Ninth!F75)</f>
        <v/>
      </c>
      <c r="G2072" s="66" t="str">
        <f>IF(Ninth!G75="", "",Ninth!G75)</f>
        <v/>
      </c>
      <c r="H2072" s="66" t="str">
        <f>IF(Ninth!H75="", "",Ninth!H75)</f>
        <v/>
      </c>
      <c r="I2072" s="66" t="str">
        <f>IF(Ninth!I75="", "",Ninth!I75)</f>
        <v/>
      </c>
      <c r="J2072" s="66" t="str">
        <f>IF(Ninth!J75="", "",Ninth!J75)</f>
        <v/>
      </c>
      <c r="K2072" s="86" t="str">
        <f>IF(Ninth!K75="", "",Ninth!K75)</f>
        <v/>
      </c>
      <c r="M2072" s="67" t="str">
        <f t="shared" si="98"/>
        <v/>
      </c>
      <c r="N2072" s="76" t="str">
        <f t="shared" si="99"/>
        <v/>
      </c>
      <c r="O2072" s="33">
        <f t="shared" si="97"/>
        <v>0</v>
      </c>
    </row>
    <row r="2073" spans="1:15" x14ac:dyDescent="0.25">
      <c r="A2073" s="64" t="s">
        <v>182</v>
      </c>
      <c r="B2073" s="79" t="str">
        <f>IF(Ninth!B76="", "",Ninth!B76)</f>
        <v/>
      </c>
      <c r="C2073" s="66" t="str">
        <f>IF(Ninth!C76="", "",Ninth!C76)</f>
        <v/>
      </c>
      <c r="D2073" s="66" t="str">
        <f>IF(Ninth!D76="", "",Ninth!D76)</f>
        <v/>
      </c>
      <c r="E2073" s="66" t="str">
        <f>IF(Ninth!E76="", "",Ninth!E76)</f>
        <v/>
      </c>
      <c r="F2073" s="66" t="str">
        <f>IF(Ninth!F76="", "",Ninth!F76)</f>
        <v/>
      </c>
      <c r="G2073" s="66" t="str">
        <f>IF(Ninth!G76="", "",Ninth!G76)</f>
        <v/>
      </c>
      <c r="H2073" s="66" t="str">
        <f>IF(Ninth!H76="", "",Ninth!H76)</f>
        <v/>
      </c>
      <c r="I2073" s="66" t="str">
        <f>IF(Ninth!I76="", "",Ninth!I76)</f>
        <v/>
      </c>
      <c r="J2073" s="66" t="str">
        <f>IF(Ninth!J76="", "",Ninth!J76)</f>
        <v/>
      </c>
      <c r="K2073" s="86" t="str">
        <f>IF(Ninth!K76="", "",Ninth!K76)</f>
        <v/>
      </c>
      <c r="M2073" s="67" t="str">
        <f t="shared" si="98"/>
        <v/>
      </c>
      <c r="N2073" s="76" t="str">
        <f t="shared" si="99"/>
        <v/>
      </c>
      <c r="O2073" s="33">
        <f t="shared" si="97"/>
        <v>0</v>
      </c>
    </row>
    <row r="2074" spans="1:15" x14ac:dyDescent="0.25">
      <c r="A2074" s="64" t="s">
        <v>182</v>
      </c>
      <c r="B2074" s="79" t="str">
        <f>IF(Ninth!B77="", "",Ninth!B77)</f>
        <v/>
      </c>
      <c r="C2074" s="66" t="str">
        <f>IF(Ninth!C77="", "",Ninth!C77)</f>
        <v/>
      </c>
      <c r="D2074" s="66" t="str">
        <f>IF(Ninth!D77="", "",Ninth!D77)</f>
        <v/>
      </c>
      <c r="E2074" s="66" t="str">
        <f>IF(Ninth!E77="", "",Ninth!E77)</f>
        <v/>
      </c>
      <c r="F2074" s="66" t="str">
        <f>IF(Ninth!F77="", "",Ninth!F77)</f>
        <v/>
      </c>
      <c r="G2074" s="66" t="str">
        <f>IF(Ninth!G77="", "",Ninth!G77)</f>
        <v/>
      </c>
      <c r="H2074" s="66" t="str">
        <f>IF(Ninth!H77="", "",Ninth!H77)</f>
        <v/>
      </c>
      <c r="I2074" s="66" t="str">
        <f>IF(Ninth!I77="", "",Ninth!I77)</f>
        <v/>
      </c>
      <c r="J2074" s="66" t="str">
        <f>IF(Ninth!J77="", "",Ninth!J77)</f>
        <v/>
      </c>
      <c r="K2074" s="86" t="str">
        <f>IF(Ninth!K77="", "",Ninth!K77)</f>
        <v/>
      </c>
      <c r="M2074" s="67" t="str">
        <f t="shared" si="98"/>
        <v/>
      </c>
      <c r="N2074" s="76" t="str">
        <f t="shared" si="99"/>
        <v/>
      </c>
      <c r="O2074" s="33">
        <f t="shared" si="97"/>
        <v>0</v>
      </c>
    </row>
    <row r="2075" spans="1:15" x14ac:dyDescent="0.25">
      <c r="A2075" s="64" t="s">
        <v>182</v>
      </c>
      <c r="B2075" s="79" t="str">
        <f>IF(Ninth!B78="", "",Ninth!B78)</f>
        <v/>
      </c>
      <c r="C2075" s="66" t="str">
        <f>IF(Ninth!C78="", "",Ninth!C78)</f>
        <v/>
      </c>
      <c r="D2075" s="66" t="str">
        <f>IF(Ninth!D78="", "",Ninth!D78)</f>
        <v/>
      </c>
      <c r="E2075" s="66" t="str">
        <f>IF(Ninth!E78="", "",Ninth!E78)</f>
        <v/>
      </c>
      <c r="F2075" s="66" t="str">
        <f>IF(Ninth!F78="", "",Ninth!F78)</f>
        <v/>
      </c>
      <c r="G2075" s="66" t="str">
        <f>IF(Ninth!G78="", "",Ninth!G78)</f>
        <v/>
      </c>
      <c r="H2075" s="66" t="str">
        <f>IF(Ninth!H78="", "",Ninth!H78)</f>
        <v/>
      </c>
      <c r="I2075" s="66" t="str">
        <f>IF(Ninth!I78="", "",Ninth!I78)</f>
        <v/>
      </c>
      <c r="J2075" s="66" t="str">
        <f>IF(Ninth!J78="", "",Ninth!J78)</f>
        <v/>
      </c>
      <c r="K2075" s="86" t="str">
        <f>IF(Ninth!K78="", "",Ninth!K78)</f>
        <v/>
      </c>
      <c r="M2075" s="67" t="str">
        <f t="shared" si="98"/>
        <v/>
      </c>
      <c r="N2075" s="76" t="str">
        <f t="shared" si="99"/>
        <v/>
      </c>
      <c r="O2075" s="33">
        <f t="shared" si="97"/>
        <v>0</v>
      </c>
    </row>
    <row r="2076" spans="1:15" x14ac:dyDescent="0.25">
      <c r="A2076" s="64" t="s">
        <v>182</v>
      </c>
      <c r="B2076" s="79" t="str">
        <f>IF(Ninth!B79="", "",Ninth!B79)</f>
        <v/>
      </c>
      <c r="C2076" s="66" t="str">
        <f>IF(Ninth!C79="", "",Ninth!C79)</f>
        <v/>
      </c>
      <c r="D2076" s="66" t="str">
        <f>IF(Ninth!D79="", "",Ninth!D79)</f>
        <v/>
      </c>
      <c r="E2076" s="66" t="str">
        <f>IF(Ninth!E79="", "",Ninth!E79)</f>
        <v/>
      </c>
      <c r="F2076" s="66" t="str">
        <f>IF(Ninth!F79="", "",Ninth!F79)</f>
        <v/>
      </c>
      <c r="G2076" s="66" t="str">
        <f>IF(Ninth!G79="", "",Ninth!G79)</f>
        <v/>
      </c>
      <c r="H2076" s="66" t="str">
        <f>IF(Ninth!H79="", "",Ninth!H79)</f>
        <v/>
      </c>
      <c r="I2076" s="66" t="str">
        <f>IF(Ninth!I79="", "",Ninth!I79)</f>
        <v/>
      </c>
      <c r="J2076" s="66" t="str">
        <f>IF(Ninth!J79="", "",Ninth!J79)</f>
        <v/>
      </c>
      <c r="K2076" s="86" t="str">
        <f>IF(Ninth!K79="", "",Ninth!K79)</f>
        <v/>
      </c>
      <c r="M2076" s="67" t="str">
        <f t="shared" si="98"/>
        <v/>
      </c>
      <c r="N2076" s="76" t="str">
        <f t="shared" si="99"/>
        <v/>
      </c>
      <c r="O2076" s="33">
        <f t="shared" si="97"/>
        <v>0</v>
      </c>
    </row>
    <row r="2077" spans="1:15" x14ac:dyDescent="0.25">
      <c r="A2077" s="64" t="s">
        <v>182</v>
      </c>
      <c r="B2077" s="79" t="str">
        <f>IF(Ninth!B80="", "",Ninth!B80)</f>
        <v/>
      </c>
      <c r="C2077" s="66" t="str">
        <f>IF(Ninth!C80="", "",Ninth!C80)</f>
        <v/>
      </c>
      <c r="D2077" s="66" t="str">
        <f>IF(Ninth!D80="", "",Ninth!D80)</f>
        <v/>
      </c>
      <c r="E2077" s="66" t="str">
        <f>IF(Ninth!E80="", "",Ninth!E80)</f>
        <v/>
      </c>
      <c r="F2077" s="66" t="str">
        <f>IF(Ninth!F80="", "",Ninth!F80)</f>
        <v/>
      </c>
      <c r="G2077" s="66" t="str">
        <f>IF(Ninth!G80="", "",Ninth!G80)</f>
        <v/>
      </c>
      <c r="H2077" s="66" t="str">
        <f>IF(Ninth!H80="", "",Ninth!H80)</f>
        <v/>
      </c>
      <c r="I2077" s="66" t="str">
        <f>IF(Ninth!I80="", "",Ninth!I80)</f>
        <v/>
      </c>
      <c r="J2077" s="66" t="str">
        <f>IF(Ninth!J80="", "",Ninth!J80)</f>
        <v/>
      </c>
      <c r="K2077" s="86" t="str">
        <f>IF(Ninth!K80="", "",Ninth!K80)</f>
        <v/>
      </c>
      <c r="M2077" s="67" t="str">
        <f t="shared" si="98"/>
        <v/>
      </c>
      <c r="N2077" s="76" t="str">
        <f t="shared" si="99"/>
        <v/>
      </c>
      <c r="O2077" s="33">
        <f t="shared" si="97"/>
        <v>0</v>
      </c>
    </row>
    <row r="2078" spans="1:15" x14ac:dyDescent="0.25">
      <c r="A2078" s="64" t="s">
        <v>182</v>
      </c>
      <c r="B2078" s="79" t="str">
        <f>IF(Ninth!B81="", "",Ninth!B81)</f>
        <v/>
      </c>
      <c r="C2078" s="66" t="str">
        <f>IF(Ninth!C81="", "",Ninth!C81)</f>
        <v/>
      </c>
      <c r="D2078" s="66" t="str">
        <f>IF(Ninth!D81="", "",Ninth!D81)</f>
        <v/>
      </c>
      <c r="E2078" s="66" t="str">
        <f>IF(Ninth!E81="", "",Ninth!E81)</f>
        <v/>
      </c>
      <c r="F2078" s="66" t="str">
        <f>IF(Ninth!F81="", "",Ninth!F81)</f>
        <v/>
      </c>
      <c r="G2078" s="66" t="str">
        <f>IF(Ninth!G81="", "",Ninth!G81)</f>
        <v/>
      </c>
      <c r="H2078" s="66" t="str">
        <f>IF(Ninth!H81="", "",Ninth!H81)</f>
        <v/>
      </c>
      <c r="I2078" s="66" t="str">
        <f>IF(Ninth!I81="", "",Ninth!I81)</f>
        <v/>
      </c>
      <c r="J2078" s="66" t="str">
        <f>IF(Ninth!J81="", "",Ninth!J81)</f>
        <v/>
      </c>
      <c r="K2078" s="86" t="str">
        <f>IF(Ninth!K81="", "",Ninth!K81)</f>
        <v/>
      </c>
      <c r="M2078" s="67" t="str">
        <f t="shared" si="98"/>
        <v/>
      </c>
      <c r="N2078" s="76" t="str">
        <f t="shared" si="99"/>
        <v/>
      </c>
      <c r="O2078" s="33">
        <f t="shared" si="97"/>
        <v>0</v>
      </c>
    </row>
    <row r="2079" spans="1:15" x14ac:dyDescent="0.25">
      <c r="A2079" s="64" t="s">
        <v>182</v>
      </c>
      <c r="B2079" s="79" t="str">
        <f>IF(Ninth!B82="", "",Ninth!B82)</f>
        <v/>
      </c>
      <c r="C2079" s="66" t="str">
        <f>IF(Ninth!C82="", "",Ninth!C82)</f>
        <v/>
      </c>
      <c r="D2079" s="66" t="str">
        <f>IF(Ninth!D82="", "",Ninth!D82)</f>
        <v/>
      </c>
      <c r="E2079" s="66" t="str">
        <f>IF(Ninth!E82="", "",Ninth!E82)</f>
        <v/>
      </c>
      <c r="F2079" s="66" t="str">
        <f>IF(Ninth!F82="", "",Ninth!F82)</f>
        <v/>
      </c>
      <c r="G2079" s="66" t="str">
        <f>IF(Ninth!G82="", "",Ninth!G82)</f>
        <v/>
      </c>
      <c r="H2079" s="66" t="str">
        <f>IF(Ninth!H82="", "",Ninth!H82)</f>
        <v/>
      </c>
      <c r="I2079" s="66" t="str">
        <f>IF(Ninth!I82="", "",Ninth!I82)</f>
        <v/>
      </c>
      <c r="J2079" s="66" t="str">
        <f>IF(Ninth!J82="", "",Ninth!J82)</f>
        <v/>
      </c>
      <c r="K2079" s="86" t="str">
        <f>IF(Ninth!K82="", "",Ninth!K82)</f>
        <v/>
      </c>
      <c r="M2079" s="67" t="str">
        <f t="shared" si="98"/>
        <v/>
      </c>
      <c r="N2079" s="76" t="str">
        <f t="shared" si="99"/>
        <v/>
      </c>
      <c r="O2079" s="33">
        <f t="shared" si="97"/>
        <v>0</v>
      </c>
    </row>
    <row r="2080" spans="1:15" x14ac:dyDescent="0.25">
      <c r="A2080" s="64" t="s">
        <v>182</v>
      </c>
      <c r="B2080" s="79" t="str">
        <f>IF(Ninth!B83="", "",Ninth!B83)</f>
        <v/>
      </c>
      <c r="C2080" s="66" t="str">
        <f>IF(Ninth!C83="", "",Ninth!C83)</f>
        <v/>
      </c>
      <c r="D2080" s="66" t="str">
        <f>IF(Ninth!D83="", "",Ninth!D83)</f>
        <v/>
      </c>
      <c r="E2080" s="66" t="str">
        <f>IF(Ninth!E83="", "",Ninth!E83)</f>
        <v/>
      </c>
      <c r="F2080" s="66" t="str">
        <f>IF(Ninth!F83="", "",Ninth!F83)</f>
        <v/>
      </c>
      <c r="G2080" s="66" t="str">
        <f>IF(Ninth!G83="", "",Ninth!G83)</f>
        <v/>
      </c>
      <c r="H2080" s="66" t="str">
        <f>IF(Ninth!H83="", "",Ninth!H83)</f>
        <v/>
      </c>
      <c r="I2080" s="66" t="str">
        <f>IF(Ninth!I83="", "",Ninth!I83)</f>
        <v/>
      </c>
      <c r="J2080" s="66" t="str">
        <f>IF(Ninth!J83="", "",Ninth!J83)</f>
        <v/>
      </c>
      <c r="K2080" s="86" t="str">
        <f>IF(Ninth!K83="", "",Ninth!K83)</f>
        <v/>
      </c>
      <c r="M2080" s="67" t="str">
        <f t="shared" si="98"/>
        <v/>
      </c>
      <c r="N2080" s="76" t="str">
        <f t="shared" si="99"/>
        <v/>
      </c>
      <c r="O2080" s="33">
        <f t="shared" si="97"/>
        <v>0</v>
      </c>
    </row>
    <row r="2081" spans="1:15" x14ac:dyDescent="0.25">
      <c r="A2081" s="64" t="s">
        <v>182</v>
      </c>
      <c r="B2081" s="79" t="str">
        <f>IF(Ninth!B84="", "",Ninth!B84)</f>
        <v/>
      </c>
      <c r="C2081" s="66" t="str">
        <f>IF(Ninth!C84="", "",Ninth!C84)</f>
        <v/>
      </c>
      <c r="D2081" s="66" t="str">
        <f>IF(Ninth!D84="", "",Ninth!D84)</f>
        <v/>
      </c>
      <c r="E2081" s="66" t="str">
        <f>IF(Ninth!E84="", "",Ninth!E84)</f>
        <v/>
      </c>
      <c r="F2081" s="66" t="str">
        <f>IF(Ninth!F84="", "",Ninth!F84)</f>
        <v/>
      </c>
      <c r="G2081" s="66" t="str">
        <f>IF(Ninth!G84="", "",Ninth!G84)</f>
        <v/>
      </c>
      <c r="H2081" s="66" t="str">
        <f>IF(Ninth!H84="", "",Ninth!H84)</f>
        <v/>
      </c>
      <c r="I2081" s="66" t="str">
        <f>IF(Ninth!I84="", "",Ninth!I84)</f>
        <v/>
      </c>
      <c r="J2081" s="66" t="str">
        <f>IF(Ninth!J84="", "",Ninth!J84)</f>
        <v/>
      </c>
      <c r="K2081" s="86" t="str">
        <f>IF(Ninth!K84="", "",Ninth!K84)</f>
        <v/>
      </c>
      <c r="M2081" s="67" t="str">
        <f t="shared" si="98"/>
        <v/>
      </c>
      <c r="N2081" s="76" t="str">
        <f t="shared" si="99"/>
        <v/>
      </c>
      <c r="O2081" s="33">
        <f t="shared" si="97"/>
        <v>0</v>
      </c>
    </row>
    <row r="2082" spans="1:15" x14ac:dyDescent="0.25">
      <c r="A2082" s="64" t="s">
        <v>182</v>
      </c>
      <c r="B2082" s="79" t="str">
        <f>IF(Ninth!B85="", "",Ninth!B85)</f>
        <v/>
      </c>
      <c r="C2082" s="66" t="str">
        <f>IF(Ninth!C85="", "",Ninth!C85)</f>
        <v/>
      </c>
      <c r="D2082" s="66" t="str">
        <f>IF(Ninth!D85="", "",Ninth!D85)</f>
        <v/>
      </c>
      <c r="E2082" s="66" t="str">
        <f>IF(Ninth!E85="", "",Ninth!E85)</f>
        <v/>
      </c>
      <c r="F2082" s="66" t="str">
        <f>IF(Ninth!F85="", "",Ninth!F85)</f>
        <v/>
      </c>
      <c r="G2082" s="66" t="str">
        <f>IF(Ninth!G85="", "",Ninth!G85)</f>
        <v/>
      </c>
      <c r="H2082" s="66" t="str">
        <f>IF(Ninth!H85="", "",Ninth!H85)</f>
        <v/>
      </c>
      <c r="I2082" s="66" t="str">
        <f>IF(Ninth!I85="", "",Ninth!I85)</f>
        <v/>
      </c>
      <c r="J2082" s="66" t="str">
        <f>IF(Ninth!J85="", "",Ninth!J85)</f>
        <v/>
      </c>
      <c r="K2082" s="86" t="str">
        <f>IF(Ninth!K85="", "",Ninth!K85)</f>
        <v/>
      </c>
      <c r="M2082" s="67" t="str">
        <f t="shared" si="98"/>
        <v/>
      </c>
      <c r="N2082" s="76" t="str">
        <f t="shared" si="99"/>
        <v/>
      </c>
      <c r="O2082" s="33">
        <f t="shared" si="97"/>
        <v>0</v>
      </c>
    </row>
    <row r="2083" spans="1:15" x14ac:dyDescent="0.25">
      <c r="A2083" s="64" t="s">
        <v>182</v>
      </c>
      <c r="B2083" s="79" t="str">
        <f>IF(Ninth!B86="", "",Ninth!B86)</f>
        <v/>
      </c>
      <c r="C2083" s="66" t="str">
        <f>IF(Ninth!C86="", "",Ninth!C86)</f>
        <v/>
      </c>
      <c r="D2083" s="66" t="str">
        <f>IF(Ninth!D86="", "",Ninth!D86)</f>
        <v/>
      </c>
      <c r="E2083" s="66" t="str">
        <f>IF(Ninth!E86="", "",Ninth!E86)</f>
        <v/>
      </c>
      <c r="F2083" s="66" t="str">
        <f>IF(Ninth!F86="", "",Ninth!F86)</f>
        <v/>
      </c>
      <c r="G2083" s="66" t="str">
        <f>IF(Ninth!G86="", "",Ninth!G86)</f>
        <v/>
      </c>
      <c r="H2083" s="66" t="str">
        <f>IF(Ninth!H86="", "",Ninth!H86)</f>
        <v/>
      </c>
      <c r="I2083" s="66" t="str">
        <f>IF(Ninth!I86="", "",Ninth!I86)</f>
        <v/>
      </c>
      <c r="J2083" s="66" t="str">
        <f>IF(Ninth!J86="", "",Ninth!J86)</f>
        <v/>
      </c>
      <c r="K2083" s="86" t="str">
        <f>IF(Ninth!K86="", "",Ninth!K86)</f>
        <v/>
      </c>
      <c r="M2083" s="67" t="str">
        <f t="shared" si="98"/>
        <v/>
      </c>
      <c r="N2083" s="76" t="str">
        <f t="shared" si="99"/>
        <v/>
      </c>
      <c r="O2083" s="33">
        <f t="shared" si="97"/>
        <v>0</v>
      </c>
    </row>
    <row r="2084" spans="1:15" x14ac:dyDescent="0.25">
      <c r="A2084" s="64" t="s">
        <v>182</v>
      </c>
      <c r="B2084" s="79" t="str">
        <f>IF(Ninth!B87="", "",Ninth!B87)</f>
        <v/>
      </c>
      <c r="C2084" s="66" t="str">
        <f>IF(Ninth!C87="", "",Ninth!C87)</f>
        <v/>
      </c>
      <c r="D2084" s="66" t="str">
        <f>IF(Ninth!D87="", "",Ninth!D87)</f>
        <v/>
      </c>
      <c r="E2084" s="66" t="str">
        <f>IF(Ninth!E87="", "",Ninth!E87)</f>
        <v/>
      </c>
      <c r="F2084" s="66" t="str">
        <f>IF(Ninth!F87="", "",Ninth!F87)</f>
        <v/>
      </c>
      <c r="G2084" s="66" t="str">
        <f>IF(Ninth!G87="", "",Ninth!G87)</f>
        <v/>
      </c>
      <c r="H2084" s="66" t="str">
        <f>IF(Ninth!H87="", "",Ninth!H87)</f>
        <v/>
      </c>
      <c r="I2084" s="66" t="str">
        <f>IF(Ninth!I87="", "",Ninth!I87)</f>
        <v/>
      </c>
      <c r="J2084" s="66" t="str">
        <f>IF(Ninth!J87="", "",Ninth!J87)</f>
        <v/>
      </c>
      <c r="K2084" s="86" t="str">
        <f>IF(Ninth!K87="", "",Ninth!K87)</f>
        <v/>
      </c>
      <c r="M2084" s="67" t="str">
        <f t="shared" si="98"/>
        <v/>
      </c>
      <c r="N2084" s="76" t="str">
        <f t="shared" si="99"/>
        <v/>
      </c>
      <c r="O2084" s="33">
        <f t="shared" si="97"/>
        <v>0</v>
      </c>
    </row>
    <row r="2085" spans="1:15" x14ac:dyDescent="0.25">
      <c r="A2085" s="64" t="s">
        <v>182</v>
      </c>
      <c r="B2085" s="79" t="str">
        <f>IF(Ninth!B88="", "",Ninth!B88)</f>
        <v/>
      </c>
      <c r="C2085" s="66" t="str">
        <f>IF(Ninth!C88="", "",Ninth!C88)</f>
        <v/>
      </c>
      <c r="D2085" s="66" t="str">
        <f>IF(Ninth!D88="", "",Ninth!D88)</f>
        <v/>
      </c>
      <c r="E2085" s="66" t="str">
        <f>IF(Ninth!E88="", "",Ninth!E88)</f>
        <v/>
      </c>
      <c r="F2085" s="66" t="str">
        <f>IF(Ninth!F88="", "",Ninth!F88)</f>
        <v/>
      </c>
      <c r="G2085" s="66" t="str">
        <f>IF(Ninth!G88="", "",Ninth!G88)</f>
        <v/>
      </c>
      <c r="H2085" s="66" t="str">
        <f>IF(Ninth!H88="", "",Ninth!H88)</f>
        <v/>
      </c>
      <c r="I2085" s="66" t="str">
        <f>IF(Ninth!I88="", "",Ninth!I88)</f>
        <v/>
      </c>
      <c r="J2085" s="66" t="str">
        <f>IF(Ninth!J88="", "",Ninth!J88)</f>
        <v/>
      </c>
      <c r="K2085" s="86" t="str">
        <f>IF(Ninth!K88="", "",Ninth!K88)</f>
        <v/>
      </c>
      <c r="M2085" s="67" t="str">
        <f t="shared" si="98"/>
        <v/>
      </c>
      <c r="N2085" s="76" t="str">
        <f t="shared" si="99"/>
        <v/>
      </c>
      <c r="O2085" s="33">
        <f t="shared" si="97"/>
        <v>0</v>
      </c>
    </row>
    <row r="2086" spans="1:15" x14ac:dyDescent="0.25">
      <c r="A2086" s="64" t="s">
        <v>182</v>
      </c>
      <c r="B2086" s="79" t="str">
        <f>IF(Ninth!B89="", "",Ninth!B89)</f>
        <v/>
      </c>
      <c r="C2086" s="66" t="str">
        <f>IF(Ninth!C89="", "",Ninth!C89)</f>
        <v/>
      </c>
      <c r="D2086" s="66" t="str">
        <f>IF(Ninth!D89="", "",Ninth!D89)</f>
        <v/>
      </c>
      <c r="E2086" s="66" t="str">
        <f>IF(Ninth!E89="", "",Ninth!E89)</f>
        <v/>
      </c>
      <c r="F2086" s="66" t="str">
        <f>IF(Ninth!F89="", "",Ninth!F89)</f>
        <v/>
      </c>
      <c r="G2086" s="66" t="str">
        <f>IF(Ninth!G89="", "",Ninth!G89)</f>
        <v/>
      </c>
      <c r="H2086" s="66" t="str">
        <f>IF(Ninth!H89="", "",Ninth!H89)</f>
        <v/>
      </c>
      <c r="I2086" s="66" t="str">
        <f>IF(Ninth!I89="", "",Ninth!I89)</f>
        <v/>
      </c>
      <c r="J2086" s="66" t="str">
        <f>IF(Ninth!J89="", "",Ninth!J89)</f>
        <v/>
      </c>
      <c r="K2086" s="86" t="str">
        <f>IF(Ninth!K89="", "",Ninth!K89)</f>
        <v/>
      </c>
      <c r="M2086" s="67" t="str">
        <f t="shared" si="98"/>
        <v/>
      </c>
      <c r="N2086" s="76" t="str">
        <f t="shared" si="99"/>
        <v/>
      </c>
      <c r="O2086" s="33">
        <f t="shared" si="97"/>
        <v>0</v>
      </c>
    </row>
    <row r="2087" spans="1:15" x14ac:dyDescent="0.25">
      <c r="A2087" s="64" t="s">
        <v>182</v>
      </c>
      <c r="B2087" s="79" t="str">
        <f>IF(Ninth!B90="", "",Ninth!B90)</f>
        <v/>
      </c>
      <c r="C2087" s="66" t="str">
        <f>IF(Ninth!C90="", "",Ninth!C90)</f>
        <v/>
      </c>
      <c r="D2087" s="66" t="str">
        <f>IF(Ninth!D90="", "",Ninth!D90)</f>
        <v/>
      </c>
      <c r="E2087" s="66" t="str">
        <f>IF(Ninth!E90="", "",Ninth!E90)</f>
        <v/>
      </c>
      <c r="F2087" s="66" t="str">
        <f>IF(Ninth!F90="", "",Ninth!F90)</f>
        <v/>
      </c>
      <c r="G2087" s="66" t="str">
        <f>IF(Ninth!G90="", "",Ninth!G90)</f>
        <v/>
      </c>
      <c r="H2087" s="66" t="str">
        <f>IF(Ninth!H90="", "",Ninth!H90)</f>
        <v/>
      </c>
      <c r="I2087" s="66" t="str">
        <f>IF(Ninth!I90="", "",Ninth!I90)</f>
        <v/>
      </c>
      <c r="J2087" s="66" t="str">
        <f>IF(Ninth!J90="", "",Ninth!J90)</f>
        <v/>
      </c>
      <c r="K2087" s="86" t="str">
        <f>IF(Ninth!K90="", "",Ninth!K90)</f>
        <v/>
      </c>
      <c r="M2087" s="67" t="str">
        <f t="shared" si="98"/>
        <v/>
      </c>
      <c r="N2087" s="76" t="str">
        <f t="shared" si="99"/>
        <v/>
      </c>
      <c r="O2087" s="33">
        <f t="shared" si="97"/>
        <v>0</v>
      </c>
    </row>
    <row r="2088" spans="1:15" x14ac:dyDescent="0.25">
      <c r="A2088" s="64" t="s">
        <v>182</v>
      </c>
      <c r="B2088" s="79" t="str">
        <f>IF(Ninth!B91="", "",Ninth!B91)</f>
        <v/>
      </c>
      <c r="C2088" s="66" t="str">
        <f>IF(Ninth!C91="", "",Ninth!C91)</f>
        <v/>
      </c>
      <c r="D2088" s="66" t="str">
        <f>IF(Ninth!D91="", "",Ninth!D91)</f>
        <v/>
      </c>
      <c r="E2088" s="66" t="str">
        <f>IF(Ninth!E91="", "",Ninth!E91)</f>
        <v/>
      </c>
      <c r="F2088" s="66" t="str">
        <f>IF(Ninth!F91="", "",Ninth!F91)</f>
        <v/>
      </c>
      <c r="G2088" s="66" t="str">
        <f>IF(Ninth!G91="", "",Ninth!G91)</f>
        <v/>
      </c>
      <c r="H2088" s="66" t="str">
        <f>IF(Ninth!H91="", "",Ninth!H91)</f>
        <v/>
      </c>
      <c r="I2088" s="66" t="str">
        <f>IF(Ninth!I91="", "",Ninth!I91)</f>
        <v/>
      </c>
      <c r="J2088" s="66" t="str">
        <f>IF(Ninth!J91="", "",Ninth!J91)</f>
        <v/>
      </c>
      <c r="K2088" s="86" t="str">
        <f>IF(Ninth!K91="", "",Ninth!K91)</f>
        <v/>
      </c>
      <c r="M2088" s="67" t="str">
        <f t="shared" si="98"/>
        <v/>
      </c>
      <c r="N2088" s="76" t="str">
        <f t="shared" si="99"/>
        <v/>
      </c>
      <c r="O2088" s="33">
        <f t="shared" si="97"/>
        <v>0</v>
      </c>
    </row>
    <row r="2089" spans="1:15" x14ac:dyDescent="0.25">
      <c r="A2089" s="64" t="s">
        <v>182</v>
      </c>
      <c r="B2089" s="79" t="str">
        <f>IF(Ninth!B92="", "",Ninth!B92)</f>
        <v/>
      </c>
      <c r="C2089" s="66" t="str">
        <f>IF(Ninth!C92="", "",Ninth!C92)</f>
        <v/>
      </c>
      <c r="D2089" s="66" t="str">
        <f>IF(Ninth!D92="", "",Ninth!D92)</f>
        <v/>
      </c>
      <c r="E2089" s="66" t="str">
        <f>IF(Ninth!E92="", "",Ninth!E92)</f>
        <v/>
      </c>
      <c r="F2089" s="66" t="str">
        <f>IF(Ninth!F92="", "",Ninth!F92)</f>
        <v/>
      </c>
      <c r="G2089" s="66" t="str">
        <f>IF(Ninth!G92="", "",Ninth!G92)</f>
        <v/>
      </c>
      <c r="H2089" s="66" t="str">
        <f>IF(Ninth!H92="", "",Ninth!H92)</f>
        <v/>
      </c>
      <c r="I2089" s="66" t="str">
        <f>IF(Ninth!I92="", "",Ninth!I92)</f>
        <v/>
      </c>
      <c r="J2089" s="66" t="str">
        <f>IF(Ninth!J92="", "",Ninth!J92)</f>
        <v/>
      </c>
      <c r="K2089" s="86" t="str">
        <f>IF(Ninth!K92="", "",Ninth!K92)</f>
        <v/>
      </c>
      <c r="M2089" s="67" t="str">
        <f t="shared" si="98"/>
        <v/>
      </c>
      <c r="N2089" s="76" t="str">
        <f t="shared" si="99"/>
        <v/>
      </c>
      <c r="O2089" s="33">
        <f t="shared" si="97"/>
        <v>0</v>
      </c>
    </row>
    <row r="2090" spans="1:15" x14ac:dyDescent="0.25">
      <c r="A2090" s="64" t="s">
        <v>182</v>
      </c>
      <c r="B2090" s="79" t="str">
        <f>IF(Ninth!B93="", "",Ninth!B93)</f>
        <v/>
      </c>
      <c r="C2090" s="66" t="str">
        <f>IF(Ninth!C93="", "",Ninth!C93)</f>
        <v/>
      </c>
      <c r="D2090" s="66" t="str">
        <f>IF(Ninth!D93="", "",Ninth!D93)</f>
        <v/>
      </c>
      <c r="E2090" s="66" t="str">
        <f>IF(Ninth!E93="", "",Ninth!E93)</f>
        <v/>
      </c>
      <c r="F2090" s="66" t="str">
        <f>IF(Ninth!F93="", "",Ninth!F93)</f>
        <v/>
      </c>
      <c r="G2090" s="66" t="str">
        <f>IF(Ninth!G93="", "",Ninth!G93)</f>
        <v/>
      </c>
      <c r="H2090" s="66" t="str">
        <f>IF(Ninth!H93="", "",Ninth!H93)</f>
        <v/>
      </c>
      <c r="I2090" s="66" t="str">
        <f>IF(Ninth!I93="", "",Ninth!I93)</f>
        <v/>
      </c>
      <c r="J2090" s="66" t="str">
        <f>IF(Ninth!J93="", "",Ninth!J93)</f>
        <v/>
      </c>
      <c r="K2090" s="86" t="str">
        <f>IF(Ninth!K93="", "",Ninth!K93)</f>
        <v/>
      </c>
      <c r="M2090" s="67" t="str">
        <f t="shared" si="98"/>
        <v/>
      </c>
      <c r="N2090" s="76" t="str">
        <f t="shared" si="99"/>
        <v/>
      </c>
      <c r="O2090" s="33">
        <f t="shared" si="97"/>
        <v>0</v>
      </c>
    </row>
    <row r="2091" spans="1:15" x14ac:dyDescent="0.25">
      <c r="A2091" s="64" t="s">
        <v>182</v>
      </c>
      <c r="B2091" s="79" t="str">
        <f>IF(Ninth!B94="", "",Ninth!B94)</f>
        <v/>
      </c>
      <c r="C2091" s="66" t="str">
        <f>IF(Ninth!C94="", "",Ninth!C94)</f>
        <v/>
      </c>
      <c r="D2091" s="66" t="str">
        <f>IF(Ninth!D94="", "",Ninth!D94)</f>
        <v/>
      </c>
      <c r="E2091" s="66" t="str">
        <f>IF(Ninth!E94="", "",Ninth!E94)</f>
        <v/>
      </c>
      <c r="F2091" s="66" t="str">
        <f>IF(Ninth!F94="", "",Ninth!F94)</f>
        <v/>
      </c>
      <c r="G2091" s="66" t="str">
        <f>IF(Ninth!G94="", "",Ninth!G94)</f>
        <v/>
      </c>
      <c r="H2091" s="66" t="str">
        <f>IF(Ninth!H94="", "",Ninth!H94)</f>
        <v/>
      </c>
      <c r="I2091" s="66" t="str">
        <f>IF(Ninth!I94="", "",Ninth!I94)</f>
        <v/>
      </c>
      <c r="J2091" s="66" t="str">
        <f>IF(Ninth!J94="", "",Ninth!J94)</f>
        <v/>
      </c>
      <c r="K2091" s="86" t="str">
        <f>IF(Ninth!K94="", "",Ninth!K94)</f>
        <v/>
      </c>
      <c r="M2091" s="67" t="str">
        <f t="shared" si="98"/>
        <v/>
      </c>
      <c r="N2091" s="76" t="str">
        <f t="shared" si="99"/>
        <v/>
      </c>
      <c r="O2091" s="33">
        <f t="shared" si="97"/>
        <v>0</v>
      </c>
    </row>
    <row r="2092" spans="1:15" x14ac:dyDescent="0.25">
      <c r="A2092" s="64" t="s">
        <v>182</v>
      </c>
      <c r="B2092" s="79" t="str">
        <f>IF(Ninth!B95="", "",Ninth!B95)</f>
        <v/>
      </c>
      <c r="C2092" s="66" t="str">
        <f>IF(Ninth!C95="", "",Ninth!C95)</f>
        <v/>
      </c>
      <c r="D2092" s="66" t="str">
        <f>IF(Ninth!D95="", "",Ninth!D95)</f>
        <v/>
      </c>
      <c r="E2092" s="66" t="str">
        <f>IF(Ninth!E95="", "",Ninth!E95)</f>
        <v/>
      </c>
      <c r="F2092" s="66" t="str">
        <f>IF(Ninth!F95="", "",Ninth!F95)</f>
        <v/>
      </c>
      <c r="G2092" s="66" t="str">
        <f>IF(Ninth!G95="", "",Ninth!G95)</f>
        <v/>
      </c>
      <c r="H2092" s="66" t="str">
        <f>IF(Ninth!H95="", "",Ninth!H95)</f>
        <v/>
      </c>
      <c r="I2092" s="66" t="str">
        <f>IF(Ninth!I95="", "",Ninth!I95)</f>
        <v/>
      </c>
      <c r="J2092" s="66" t="str">
        <f>IF(Ninth!J95="", "",Ninth!J95)</f>
        <v/>
      </c>
      <c r="K2092" s="86" t="str">
        <f>IF(Ninth!K95="", "",Ninth!K95)</f>
        <v/>
      </c>
      <c r="M2092" s="67" t="str">
        <f t="shared" si="98"/>
        <v/>
      </c>
      <c r="N2092" s="76" t="str">
        <f t="shared" si="99"/>
        <v/>
      </c>
      <c r="O2092" s="33">
        <f t="shared" si="97"/>
        <v>0</v>
      </c>
    </row>
    <row r="2093" spans="1:15" x14ac:dyDescent="0.25">
      <c r="A2093" s="64" t="s">
        <v>182</v>
      </c>
      <c r="B2093" s="79" t="str">
        <f>IF(Ninth!B96="", "",Ninth!B96)</f>
        <v/>
      </c>
      <c r="C2093" s="66" t="str">
        <f>IF(Ninth!C96="", "",Ninth!C96)</f>
        <v/>
      </c>
      <c r="D2093" s="66" t="str">
        <f>IF(Ninth!D96="", "",Ninth!D96)</f>
        <v/>
      </c>
      <c r="E2093" s="66" t="str">
        <f>IF(Ninth!E96="", "",Ninth!E96)</f>
        <v/>
      </c>
      <c r="F2093" s="66" t="str">
        <f>IF(Ninth!F96="", "",Ninth!F96)</f>
        <v/>
      </c>
      <c r="G2093" s="66" t="str">
        <f>IF(Ninth!G96="", "",Ninth!G96)</f>
        <v/>
      </c>
      <c r="H2093" s="66" t="str">
        <f>IF(Ninth!H96="", "",Ninth!H96)</f>
        <v/>
      </c>
      <c r="I2093" s="66" t="str">
        <f>IF(Ninth!I96="", "",Ninth!I96)</f>
        <v/>
      </c>
      <c r="J2093" s="66" t="str">
        <f>IF(Ninth!J96="", "",Ninth!J96)</f>
        <v/>
      </c>
      <c r="K2093" s="86" t="str">
        <f>IF(Ninth!K96="", "",Ninth!K96)</f>
        <v/>
      </c>
      <c r="M2093" s="67" t="str">
        <f t="shared" si="98"/>
        <v/>
      </c>
      <c r="N2093" s="76" t="str">
        <f t="shared" si="99"/>
        <v/>
      </c>
      <c r="O2093" s="33">
        <f t="shared" si="97"/>
        <v>0</v>
      </c>
    </row>
    <row r="2094" spans="1:15" x14ac:dyDescent="0.25">
      <c r="A2094" s="64" t="s">
        <v>182</v>
      </c>
      <c r="B2094" s="79" t="str">
        <f>IF(Ninth!B97="", "",Ninth!B97)</f>
        <v/>
      </c>
      <c r="C2094" s="66" t="str">
        <f>IF(Ninth!C97="", "",Ninth!C97)</f>
        <v/>
      </c>
      <c r="D2094" s="66" t="str">
        <f>IF(Ninth!D97="", "",Ninth!D97)</f>
        <v/>
      </c>
      <c r="E2094" s="66" t="str">
        <f>IF(Ninth!E97="", "",Ninth!E97)</f>
        <v/>
      </c>
      <c r="F2094" s="66" t="str">
        <f>IF(Ninth!F97="", "",Ninth!F97)</f>
        <v/>
      </c>
      <c r="G2094" s="66" t="str">
        <f>IF(Ninth!G97="", "",Ninth!G97)</f>
        <v/>
      </c>
      <c r="H2094" s="66" t="str">
        <f>IF(Ninth!H97="", "",Ninth!H97)</f>
        <v/>
      </c>
      <c r="I2094" s="66" t="str">
        <f>IF(Ninth!I97="", "",Ninth!I97)</f>
        <v/>
      </c>
      <c r="J2094" s="66" t="str">
        <f>IF(Ninth!J97="", "",Ninth!J97)</f>
        <v/>
      </c>
      <c r="K2094" s="86" t="str">
        <f>IF(Ninth!K97="", "",Ninth!K97)</f>
        <v/>
      </c>
      <c r="M2094" s="67" t="str">
        <f t="shared" si="98"/>
        <v/>
      </c>
      <c r="N2094" s="76" t="str">
        <f t="shared" si="99"/>
        <v/>
      </c>
      <c r="O2094" s="33">
        <f t="shared" si="97"/>
        <v>0</v>
      </c>
    </row>
    <row r="2095" spans="1:15" x14ac:dyDescent="0.25">
      <c r="A2095" s="64" t="s">
        <v>182</v>
      </c>
      <c r="B2095" s="79" t="str">
        <f>IF(Ninth!B98="", "",Ninth!B98)</f>
        <v/>
      </c>
      <c r="C2095" s="66" t="str">
        <f>IF(Ninth!C98="", "",Ninth!C98)</f>
        <v/>
      </c>
      <c r="D2095" s="66" t="str">
        <f>IF(Ninth!D98="", "",Ninth!D98)</f>
        <v/>
      </c>
      <c r="E2095" s="66" t="str">
        <f>IF(Ninth!E98="", "",Ninth!E98)</f>
        <v/>
      </c>
      <c r="F2095" s="66" t="str">
        <f>IF(Ninth!F98="", "",Ninth!F98)</f>
        <v/>
      </c>
      <c r="G2095" s="66" t="str">
        <f>IF(Ninth!G98="", "",Ninth!G98)</f>
        <v/>
      </c>
      <c r="H2095" s="66" t="str">
        <f>IF(Ninth!H98="", "",Ninth!H98)</f>
        <v/>
      </c>
      <c r="I2095" s="66" t="str">
        <f>IF(Ninth!I98="", "",Ninth!I98)</f>
        <v/>
      </c>
      <c r="J2095" s="66" t="str">
        <f>IF(Ninth!J98="", "",Ninth!J98)</f>
        <v/>
      </c>
      <c r="K2095" s="86" t="str">
        <f>IF(Ninth!K98="", "",Ninth!K98)</f>
        <v/>
      </c>
      <c r="M2095" s="67" t="str">
        <f t="shared" si="98"/>
        <v/>
      </c>
      <c r="N2095" s="76" t="str">
        <f t="shared" si="99"/>
        <v/>
      </c>
      <c r="O2095" s="33">
        <f t="shared" si="97"/>
        <v>0</v>
      </c>
    </row>
    <row r="2096" spans="1:15" x14ac:dyDescent="0.25">
      <c r="A2096" s="64" t="s">
        <v>182</v>
      </c>
      <c r="B2096" s="79" t="str">
        <f>IF(Ninth!B99="", "",Ninth!B99)</f>
        <v/>
      </c>
      <c r="C2096" s="66" t="str">
        <f>IF(Ninth!C99="", "",Ninth!C99)</f>
        <v/>
      </c>
      <c r="D2096" s="66" t="str">
        <f>IF(Ninth!D99="", "",Ninth!D99)</f>
        <v/>
      </c>
      <c r="E2096" s="66" t="str">
        <f>IF(Ninth!E99="", "",Ninth!E99)</f>
        <v/>
      </c>
      <c r="F2096" s="66" t="str">
        <f>IF(Ninth!F99="", "",Ninth!F99)</f>
        <v/>
      </c>
      <c r="G2096" s="66" t="str">
        <f>IF(Ninth!G99="", "",Ninth!G99)</f>
        <v/>
      </c>
      <c r="H2096" s="66" t="str">
        <f>IF(Ninth!H99="", "",Ninth!H99)</f>
        <v/>
      </c>
      <c r="I2096" s="66" t="str">
        <f>IF(Ninth!I99="", "",Ninth!I99)</f>
        <v/>
      </c>
      <c r="J2096" s="66" t="str">
        <f>IF(Ninth!J99="", "",Ninth!J99)</f>
        <v/>
      </c>
      <c r="K2096" s="86" t="str">
        <f>IF(Ninth!K99="", "",Ninth!K99)</f>
        <v/>
      </c>
      <c r="M2096" s="67" t="str">
        <f t="shared" si="98"/>
        <v/>
      </c>
      <c r="N2096" s="76" t="str">
        <f t="shared" si="99"/>
        <v/>
      </c>
      <c r="O2096" s="33">
        <f t="shared" si="97"/>
        <v>0</v>
      </c>
    </row>
    <row r="2097" spans="1:15" x14ac:dyDescent="0.25">
      <c r="A2097" s="64" t="s">
        <v>182</v>
      </c>
      <c r="B2097" s="79" t="str">
        <f>IF(Ninth!B100="", "",Ninth!B100)</f>
        <v/>
      </c>
      <c r="C2097" s="66" t="str">
        <f>IF(Ninth!C100="", "",Ninth!C100)</f>
        <v/>
      </c>
      <c r="D2097" s="66" t="str">
        <f>IF(Ninth!D100="", "",Ninth!D100)</f>
        <v/>
      </c>
      <c r="E2097" s="66" t="str">
        <f>IF(Ninth!E100="", "",Ninth!E100)</f>
        <v/>
      </c>
      <c r="F2097" s="66" t="str">
        <f>IF(Ninth!F100="", "",Ninth!F100)</f>
        <v/>
      </c>
      <c r="G2097" s="66" t="str">
        <f>IF(Ninth!G100="", "",Ninth!G100)</f>
        <v/>
      </c>
      <c r="H2097" s="66" t="str">
        <f>IF(Ninth!H100="", "",Ninth!H100)</f>
        <v/>
      </c>
      <c r="I2097" s="66" t="str">
        <f>IF(Ninth!I100="", "",Ninth!I100)</f>
        <v/>
      </c>
      <c r="J2097" s="66" t="str">
        <f>IF(Ninth!J100="", "",Ninth!J100)</f>
        <v/>
      </c>
      <c r="K2097" s="86" t="str">
        <f>IF(Ninth!K100="", "",Ninth!K100)</f>
        <v/>
      </c>
      <c r="M2097" s="67" t="str">
        <f t="shared" si="98"/>
        <v/>
      </c>
      <c r="N2097" s="76" t="str">
        <f t="shared" si="99"/>
        <v/>
      </c>
      <c r="O2097" s="33">
        <f t="shared" si="97"/>
        <v>0</v>
      </c>
    </row>
    <row r="2098" spans="1:15" x14ac:dyDescent="0.25">
      <c r="A2098" s="64" t="s">
        <v>182</v>
      </c>
      <c r="B2098" s="79" t="str">
        <f>IF(Ninth!B101="", "",Ninth!B101)</f>
        <v/>
      </c>
      <c r="C2098" s="66" t="str">
        <f>IF(Ninth!C101="", "",Ninth!C101)</f>
        <v/>
      </c>
      <c r="D2098" s="66" t="str">
        <f>IF(Ninth!D101="", "",Ninth!D101)</f>
        <v/>
      </c>
      <c r="E2098" s="66" t="str">
        <f>IF(Ninth!E101="", "",Ninth!E101)</f>
        <v/>
      </c>
      <c r="F2098" s="66" t="str">
        <f>IF(Ninth!F101="", "",Ninth!F101)</f>
        <v/>
      </c>
      <c r="G2098" s="66" t="str">
        <f>IF(Ninth!G101="", "",Ninth!G101)</f>
        <v/>
      </c>
      <c r="H2098" s="66" t="str">
        <f>IF(Ninth!H101="", "",Ninth!H101)</f>
        <v/>
      </c>
      <c r="I2098" s="66" t="str">
        <f>IF(Ninth!I101="", "",Ninth!I101)</f>
        <v/>
      </c>
      <c r="J2098" s="66" t="str">
        <f>IF(Ninth!J101="", "",Ninth!J101)</f>
        <v/>
      </c>
      <c r="K2098" s="86" t="str">
        <f>IF(Ninth!K101="", "",Ninth!K101)</f>
        <v/>
      </c>
      <c r="M2098" s="67" t="str">
        <f t="shared" si="98"/>
        <v/>
      </c>
      <c r="N2098" s="76" t="str">
        <f t="shared" si="99"/>
        <v/>
      </c>
      <c r="O2098" s="33">
        <f t="shared" si="97"/>
        <v>0</v>
      </c>
    </row>
    <row r="2099" spans="1:15" x14ac:dyDescent="0.25">
      <c r="A2099" s="64" t="s">
        <v>182</v>
      </c>
      <c r="B2099" s="79" t="str">
        <f>IF(Ninth!B102="", "",Ninth!B102)</f>
        <v/>
      </c>
      <c r="C2099" s="66" t="str">
        <f>IF(Ninth!C102="", "",Ninth!C102)</f>
        <v/>
      </c>
      <c r="D2099" s="66" t="str">
        <f>IF(Ninth!D102="", "",Ninth!D102)</f>
        <v/>
      </c>
      <c r="E2099" s="66" t="str">
        <f>IF(Ninth!E102="", "",Ninth!E102)</f>
        <v/>
      </c>
      <c r="F2099" s="66" t="str">
        <f>IF(Ninth!F102="", "",Ninth!F102)</f>
        <v/>
      </c>
      <c r="G2099" s="66" t="str">
        <f>IF(Ninth!G102="", "",Ninth!G102)</f>
        <v/>
      </c>
      <c r="H2099" s="66" t="str">
        <f>IF(Ninth!H102="", "",Ninth!H102)</f>
        <v/>
      </c>
      <c r="I2099" s="66" t="str">
        <f>IF(Ninth!I102="", "",Ninth!I102)</f>
        <v/>
      </c>
      <c r="J2099" s="66" t="str">
        <f>IF(Ninth!J102="", "",Ninth!J102)</f>
        <v/>
      </c>
      <c r="K2099" s="86" t="str">
        <f>IF(Ninth!K102="", "",Ninth!K102)</f>
        <v/>
      </c>
      <c r="M2099" s="67" t="str">
        <f t="shared" si="98"/>
        <v/>
      </c>
      <c r="N2099" s="76" t="str">
        <f t="shared" si="99"/>
        <v/>
      </c>
      <c r="O2099" s="33">
        <f t="shared" si="97"/>
        <v>0</v>
      </c>
    </row>
    <row r="2100" spans="1:15" x14ac:dyDescent="0.25">
      <c r="A2100" s="64" t="s">
        <v>182</v>
      </c>
      <c r="B2100" s="79" t="str">
        <f>IF(Ninth!B103="", "",Ninth!B103)</f>
        <v/>
      </c>
      <c r="C2100" s="66" t="str">
        <f>IF(Ninth!C103="", "",Ninth!C103)</f>
        <v/>
      </c>
      <c r="D2100" s="66" t="str">
        <f>IF(Ninth!D103="", "",Ninth!D103)</f>
        <v/>
      </c>
      <c r="E2100" s="66" t="str">
        <f>IF(Ninth!E103="", "",Ninth!E103)</f>
        <v/>
      </c>
      <c r="F2100" s="66" t="str">
        <f>IF(Ninth!F103="", "",Ninth!F103)</f>
        <v/>
      </c>
      <c r="G2100" s="66" t="str">
        <f>IF(Ninth!G103="", "",Ninth!G103)</f>
        <v/>
      </c>
      <c r="H2100" s="66" t="str">
        <f>IF(Ninth!H103="", "",Ninth!H103)</f>
        <v/>
      </c>
      <c r="I2100" s="66" t="str">
        <f>IF(Ninth!I103="", "",Ninth!I103)</f>
        <v/>
      </c>
      <c r="J2100" s="66" t="str">
        <f>IF(Ninth!J103="", "",Ninth!J103)</f>
        <v/>
      </c>
      <c r="K2100" s="86" t="str">
        <f>IF(Ninth!K103="", "",Ninth!K103)</f>
        <v/>
      </c>
      <c r="M2100" s="67" t="str">
        <f t="shared" si="98"/>
        <v/>
      </c>
      <c r="N2100" s="76" t="str">
        <f t="shared" si="99"/>
        <v/>
      </c>
      <c r="O2100" s="33">
        <f t="shared" si="97"/>
        <v>0</v>
      </c>
    </row>
    <row r="2101" spans="1:15" x14ac:dyDescent="0.25">
      <c r="A2101" s="64" t="s">
        <v>182</v>
      </c>
      <c r="B2101" s="79" t="str">
        <f>IF(Ninth!B104="", "",Ninth!B104)</f>
        <v/>
      </c>
      <c r="C2101" s="66" t="str">
        <f>IF(Ninth!C104="", "",Ninth!C104)</f>
        <v/>
      </c>
      <c r="D2101" s="66" t="str">
        <f>IF(Ninth!D104="", "",Ninth!D104)</f>
        <v/>
      </c>
      <c r="E2101" s="66" t="str">
        <f>IF(Ninth!E104="", "",Ninth!E104)</f>
        <v/>
      </c>
      <c r="F2101" s="66" t="str">
        <f>IF(Ninth!F104="", "",Ninth!F104)</f>
        <v/>
      </c>
      <c r="G2101" s="66" t="str">
        <f>IF(Ninth!G104="", "",Ninth!G104)</f>
        <v/>
      </c>
      <c r="H2101" s="66" t="str">
        <f>IF(Ninth!H104="", "",Ninth!H104)</f>
        <v/>
      </c>
      <c r="I2101" s="66" t="str">
        <f>IF(Ninth!I104="", "",Ninth!I104)</f>
        <v/>
      </c>
      <c r="J2101" s="66" t="str">
        <f>IF(Ninth!J104="", "",Ninth!J104)</f>
        <v/>
      </c>
      <c r="K2101" s="86" t="str">
        <f>IF(Ninth!K104="", "",Ninth!K104)</f>
        <v/>
      </c>
      <c r="M2101" s="67" t="str">
        <f t="shared" si="98"/>
        <v/>
      </c>
      <c r="N2101" s="76" t="str">
        <f t="shared" si="99"/>
        <v/>
      </c>
      <c r="O2101" s="33">
        <f t="shared" si="97"/>
        <v>0</v>
      </c>
    </row>
    <row r="2102" spans="1:15" x14ac:dyDescent="0.25">
      <c r="A2102" s="64" t="s">
        <v>182</v>
      </c>
      <c r="B2102" s="79" t="str">
        <f>IF(Ninth!B105="", "",Ninth!B105)</f>
        <v/>
      </c>
      <c r="C2102" s="66" t="str">
        <f>IF(Ninth!C105="", "",Ninth!C105)</f>
        <v/>
      </c>
      <c r="D2102" s="66" t="str">
        <f>IF(Ninth!D105="", "",Ninth!D105)</f>
        <v/>
      </c>
      <c r="E2102" s="66" t="str">
        <f>IF(Ninth!E105="", "",Ninth!E105)</f>
        <v/>
      </c>
      <c r="F2102" s="66" t="str">
        <f>IF(Ninth!F105="", "",Ninth!F105)</f>
        <v/>
      </c>
      <c r="G2102" s="66" t="str">
        <f>IF(Ninth!G105="", "",Ninth!G105)</f>
        <v/>
      </c>
      <c r="H2102" s="66" t="str">
        <f>IF(Ninth!H105="", "",Ninth!H105)</f>
        <v/>
      </c>
      <c r="I2102" s="66" t="str">
        <f>IF(Ninth!I105="", "",Ninth!I105)</f>
        <v/>
      </c>
      <c r="J2102" s="66" t="str">
        <f>IF(Ninth!J105="", "",Ninth!J105)</f>
        <v/>
      </c>
      <c r="K2102" s="86" t="str">
        <f>IF(Ninth!K105="", "",Ninth!K105)</f>
        <v/>
      </c>
      <c r="M2102" s="67" t="str">
        <f t="shared" si="98"/>
        <v/>
      </c>
      <c r="N2102" s="76" t="str">
        <f t="shared" si="99"/>
        <v/>
      </c>
      <c r="O2102" s="33">
        <f t="shared" si="97"/>
        <v>0</v>
      </c>
    </row>
    <row r="2103" spans="1:15" x14ac:dyDescent="0.25">
      <c r="A2103" s="64" t="s">
        <v>182</v>
      </c>
      <c r="B2103" s="79" t="str">
        <f>IF(Ninth!B106="", "",Ninth!B106)</f>
        <v/>
      </c>
      <c r="C2103" s="66" t="str">
        <f>IF(Ninth!C106="", "",Ninth!C106)</f>
        <v/>
      </c>
      <c r="D2103" s="66" t="str">
        <f>IF(Ninth!D106="", "",Ninth!D106)</f>
        <v/>
      </c>
      <c r="E2103" s="66" t="str">
        <f>IF(Ninth!E106="", "",Ninth!E106)</f>
        <v/>
      </c>
      <c r="F2103" s="66" t="str">
        <f>IF(Ninth!F106="", "",Ninth!F106)</f>
        <v/>
      </c>
      <c r="G2103" s="66" t="str">
        <f>IF(Ninth!G106="", "",Ninth!G106)</f>
        <v/>
      </c>
      <c r="H2103" s="66" t="str">
        <f>IF(Ninth!H106="", "",Ninth!H106)</f>
        <v/>
      </c>
      <c r="I2103" s="66" t="str">
        <f>IF(Ninth!I106="", "",Ninth!I106)</f>
        <v/>
      </c>
      <c r="J2103" s="66" t="str">
        <f>IF(Ninth!J106="", "",Ninth!J106)</f>
        <v/>
      </c>
      <c r="K2103" s="86" t="str">
        <f>IF(Ninth!K106="", "",Ninth!K106)</f>
        <v/>
      </c>
      <c r="M2103" s="67" t="str">
        <f t="shared" si="98"/>
        <v/>
      </c>
      <c r="N2103" s="76" t="str">
        <f t="shared" si="99"/>
        <v/>
      </c>
      <c r="O2103" s="33">
        <f t="shared" si="97"/>
        <v>0</v>
      </c>
    </row>
    <row r="2104" spans="1:15" x14ac:dyDescent="0.25">
      <c r="A2104" s="64" t="s">
        <v>182</v>
      </c>
      <c r="B2104" s="79" t="str">
        <f>IF(Ninth!B107="", "",Ninth!B107)</f>
        <v/>
      </c>
      <c r="C2104" s="66" t="str">
        <f>IF(Ninth!C107="", "",Ninth!C107)</f>
        <v/>
      </c>
      <c r="D2104" s="66" t="str">
        <f>IF(Ninth!D107="", "",Ninth!D107)</f>
        <v/>
      </c>
      <c r="E2104" s="66" t="str">
        <f>IF(Ninth!E107="", "",Ninth!E107)</f>
        <v/>
      </c>
      <c r="F2104" s="66" t="str">
        <f>IF(Ninth!F107="", "",Ninth!F107)</f>
        <v/>
      </c>
      <c r="G2104" s="66" t="str">
        <f>IF(Ninth!G107="", "",Ninth!G107)</f>
        <v/>
      </c>
      <c r="H2104" s="66" t="str">
        <f>IF(Ninth!H107="", "",Ninth!H107)</f>
        <v/>
      </c>
      <c r="I2104" s="66" t="str">
        <f>IF(Ninth!I107="", "",Ninth!I107)</f>
        <v/>
      </c>
      <c r="J2104" s="66" t="str">
        <f>IF(Ninth!J107="", "",Ninth!J107)</f>
        <v/>
      </c>
      <c r="K2104" s="86" t="str">
        <f>IF(Ninth!K107="", "",Ninth!K107)</f>
        <v/>
      </c>
      <c r="M2104" s="67" t="str">
        <f t="shared" si="98"/>
        <v/>
      </c>
      <c r="N2104" s="76" t="str">
        <f t="shared" si="99"/>
        <v/>
      </c>
      <c r="O2104" s="33">
        <f t="shared" si="97"/>
        <v>0</v>
      </c>
    </row>
    <row r="2105" spans="1:15" x14ac:dyDescent="0.25">
      <c r="A2105" s="64" t="s">
        <v>182</v>
      </c>
      <c r="B2105" s="79" t="str">
        <f>IF(Ninth!B108="", "",Ninth!B108)</f>
        <v/>
      </c>
      <c r="C2105" s="66" t="str">
        <f>IF(Ninth!C108="", "",Ninth!C108)</f>
        <v/>
      </c>
      <c r="D2105" s="66" t="str">
        <f>IF(Ninth!D108="", "",Ninth!D108)</f>
        <v/>
      </c>
      <c r="E2105" s="66" t="str">
        <f>IF(Ninth!E108="", "",Ninth!E108)</f>
        <v/>
      </c>
      <c r="F2105" s="66" t="str">
        <f>IF(Ninth!F108="", "",Ninth!F108)</f>
        <v/>
      </c>
      <c r="G2105" s="66" t="str">
        <f>IF(Ninth!G108="", "",Ninth!G108)</f>
        <v/>
      </c>
      <c r="H2105" s="66" t="str">
        <f>IF(Ninth!H108="", "",Ninth!H108)</f>
        <v/>
      </c>
      <c r="I2105" s="66" t="str">
        <f>IF(Ninth!I108="", "",Ninth!I108)</f>
        <v/>
      </c>
      <c r="J2105" s="66" t="str">
        <f>IF(Ninth!J108="", "",Ninth!J108)</f>
        <v/>
      </c>
      <c r="K2105" s="86" t="str">
        <f>IF(Ninth!K108="", "",Ninth!K108)</f>
        <v/>
      </c>
      <c r="M2105" s="67" t="str">
        <f t="shared" si="98"/>
        <v/>
      </c>
      <c r="N2105" s="76" t="str">
        <f t="shared" si="99"/>
        <v/>
      </c>
      <c r="O2105" s="33">
        <f t="shared" si="97"/>
        <v>0</v>
      </c>
    </row>
    <row r="2106" spans="1:15" x14ac:dyDescent="0.25">
      <c r="A2106" s="64" t="s">
        <v>182</v>
      </c>
      <c r="B2106" s="79" t="str">
        <f>IF(Ninth!B109="", "",Ninth!B109)</f>
        <v/>
      </c>
      <c r="C2106" s="66" t="str">
        <f>IF(Ninth!C109="", "",Ninth!C109)</f>
        <v/>
      </c>
      <c r="D2106" s="66" t="str">
        <f>IF(Ninth!D109="", "",Ninth!D109)</f>
        <v/>
      </c>
      <c r="E2106" s="66" t="str">
        <f>IF(Ninth!E109="", "",Ninth!E109)</f>
        <v/>
      </c>
      <c r="F2106" s="66" t="str">
        <f>IF(Ninth!F109="", "",Ninth!F109)</f>
        <v/>
      </c>
      <c r="G2106" s="66" t="str">
        <f>IF(Ninth!G109="", "",Ninth!G109)</f>
        <v/>
      </c>
      <c r="H2106" s="66" t="str">
        <f>IF(Ninth!H109="", "",Ninth!H109)</f>
        <v/>
      </c>
      <c r="I2106" s="66" t="str">
        <f>IF(Ninth!I109="", "",Ninth!I109)</f>
        <v/>
      </c>
      <c r="J2106" s="66" t="str">
        <f>IF(Ninth!J109="", "",Ninth!J109)</f>
        <v/>
      </c>
      <c r="K2106" s="86" t="str">
        <f>IF(Ninth!K109="", "",Ninth!K109)</f>
        <v/>
      </c>
      <c r="M2106" s="67" t="str">
        <f t="shared" si="98"/>
        <v/>
      </c>
      <c r="N2106" s="76" t="str">
        <f t="shared" si="99"/>
        <v/>
      </c>
      <c r="O2106" s="33">
        <f t="shared" si="97"/>
        <v>0</v>
      </c>
    </row>
    <row r="2107" spans="1:15" x14ac:dyDescent="0.25">
      <c r="A2107" s="64" t="s">
        <v>182</v>
      </c>
      <c r="B2107" s="79" t="str">
        <f>IF(Ninth!B110="", "",Ninth!B110)</f>
        <v/>
      </c>
      <c r="C2107" s="66" t="str">
        <f>IF(Ninth!C110="", "",Ninth!C110)</f>
        <v/>
      </c>
      <c r="D2107" s="66" t="str">
        <f>IF(Ninth!D110="", "",Ninth!D110)</f>
        <v/>
      </c>
      <c r="E2107" s="66" t="str">
        <f>IF(Ninth!E110="", "",Ninth!E110)</f>
        <v/>
      </c>
      <c r="F2107" s="66" t="str">
        <f>IF(Ninth!F110="", "",Ninth!F110)</f>
        <v/>
      </c>
      <c r="G2107" s="66" t="str">
        <f>IF(Ninth!G110="", "",Ninth!G110)</f>
        <v/>
      </c>
      <c r="H2107" s="66" t="str">
        <f>IF(Ninth!H110="", "",Ninth!H110)</f>
        <v/>
      </c>
      <c r="I2107" s="66" t="str">
        <f>IF(Ninth!I110="", "",Ninth!I110)</f>
        <v/>
      </c>
      <c r="J2107" s="66" t="str">
        <f>IF(Ninth!J110="", "",Ninth!J110)</f>
        <v/>
      </c>
      <c r="K2107" s="86" t="str">
        <f>IF(Ninth!K110="", "",Ninth!K110)</f>
        <v/>
      </c>
      <c r="M2107" s="67" t="str">
        <f t="shared" si="98"/>
        <v/>
      </c>
      <c r="N2107" s="76" t="str">
        <f t="shared" si="99"/>
        <v/>
      </c>
      <c r="O2107" s="33">
        <f t="shared" si="97"/>
        <v>0</v>
      </c>
    </row>
    <row r="2108" spans="1:15" x14ac:dyDescent="0.25">
      <c r="A2108" s="64" t="s">
        <v>182</v>
      </c>
      <c r="B2108" s="79" t="str">
        <f>IF(Ninth!B111="", "",Ninth!B111)</f>
        <v/>
      </c>
      <c r="C2108" s="66" t="str">
        <f>IF(Ninth!C111="", "",Ninth!C111)</f>
        <v/>
      </c>
      <c r="D2108" s="66" t="str">
        <f>IF(Ninth!D111="", "",Ninth!D111)</f>
        <v/>
      </c>
      <c r="E2108" s="66" t="str">
        <f>IF(Ninth!E111="", "",Ninth!E111)</f>
        <v/>
      </c>
      <c r="F2108" s="66" t="str">
        <f>IF(Ninth!F111="", "",Ninth!F111)</f>
        <v/>
      </c>
      <c r="G2108" s="66" t="str">
        <f>IF(Ninth!G111="", "",Ninth!G111)</f>
        <v/>
      </c>
      <c r="H2108" s="66" t="str">
        <f>IF(Ninth!H111="", "",Ninth!H111)</f>
        <v/>
      </c>
      <c r="I2108" s="66" t="str">
        <f>IF(Ninth!I111="", "",Ninth!I111)</f>
        <v/>
      </c>
      <c r="J2108" s="66" t="str">
        <f>IF(Ninth!J111="", "",Ninth!J111)</f>
        <v/>
      </c>
      <c r="K2108" s="86" t="str">
        <f>IF(Ninth!K111="", "",Ninth!K111)</f>
        <v/>
      </c>
      <c r="M2108" s="67" t="str">
        <f t="shared" si="98"/>
        <v/>
      </c>
      <c r="N2108" s="76" t="str">
        <f t="shared" si="99"/>
        <v/>
      </c>
      <c r="O2108" s="33">
        <f t="shared" si="97"/>
        <v>0</v>
      </c>
    </row>
    <row r="2109" spans="1:15" x14ac:dyDescent="0.25">
      <c r="A2109" s="64" t="s">
        <v>182</v>
      </c>
      <c r="B2109" s="79" t="str">
        <f>IF(Ninth!B112="", "",Ninth!B112)</f>
        <v/>
      </c>
      <c r="C2109" s="66" t="str">
        <f>IF(Ninth!C112="", "",Ninth!C112)</f>
        <v/>
      </c>
      <c r="D2109" s="66" t="str">
        <f>IF(Ninth!D112="", "",Ninth!D112)</f>
        <v/>
      </c>
      <c r="E2109" s="66" t="str">
        <f>IF(Ninth!E112="", "",Ninth!E112)</f>
        <v/>
      </c>
      <c r="F2109" s="66" t="str">
        <f>IF(Ninth!F112="", "",Ninth!F112)</f>
        <v/>
      </c>
      <c r="G2109" s="66" t="str">
        <f>IF(Ninth!G112="", "",Ninth!G112)</f>
        <v/>
      </c>
      <c r="H2109" s="66" t="str">
        <f>IF(Ninth!H112="", "",Ninth!H112)</f>
        <v/>
      </c>
      <c r="I2109" s="66" t="str">
        <f>IF(Ninth!I112="", "",Ninth!I112)</f>
        <v/>
      </c>
      <c r="J2109" s="66" t="str">
        <f>IF(Ninth!J112="", "",Ninth!J112)</f>
        <v/>
      </c>
      <c r="K2109" s="86" t="str">
        <f>IF(Ninth!K112="", "",Ninth!K112)</f>
        <v/>
      </c>
      <c r="M2109" s="67" t="str">
        <f t="shared" si="98"/>
        <v/>
      </c>
      <c r="N2109" s="76" t="str">
        <f t="shared" si="99"/>
        <v/>
      </c>
      <c r="O2109" s="33">
        <f t="shared" si="97"/>
        <v>0</v>
      </c>
    </row>
    <row r="2110" spans="1:15" x14ac:dyDescent="0.25">
      <c r="A2110" s="64" t="s">
        <v>182</v>
      </c>
      <c r="B2110" s="79" t="str">
        <f>IF(Ninth!B113="", "",Ninth!B113)</f>
        <v/>
      </c>
      <c r="C2110" s="66" t="str">
        <f>IF(Ninth!C113="", "",Ninth!C113)</f>
        <v/>
      </c>
      <c r="D2110" s="66" t="str">
        <f>IF(Ninth!D113="", "",Ninth!D113)</f>
        <v/>
      </c>
      <c r="E2110" s="66" t="str">
        <f>IF(Ninth!E113="", "",Ninth!E113)</f>
        <v/>
      </c>
      <c r="F2110" s="66" t="str">
        <f>IF(Ninth!F113="", "",Ninth!F113)</f>
        <v/>
      </c>
      <c r="G2110" s="66" t="str">
        <f>IF(Ninth!G113="", "",Ninth!G113)</f>
        <v/>
      </c>
      <c r="H2110" s="66" t="str">
        <f>IF(Ninth!H113="", "",Ninth!H113)</f>
        <v/>
      </c>
      <c r="I2110" s="66" t="str">
        <f>IF(Ninth!I113="", "",Ninth!I113)</f>
        <v/>
      </c>
      <c r="J2110" s="66" t="str">
        <f>IF(Ninth!J113="", "",Ninth!J113)</f>
        <v/>
      </c>
      <c r="K2110" s="86" t="str">
        <f>IF(Ninth!K113="", "",Ninth!K113)</f>
        <v/>
      </c>
      <c r="M2110" s="67" t="str">
        <f t="shared" si="98"/>
        <v/>
      </c>
      <c r="N2110" s="76" t="str">
        <f t="shared" si="99"/>
        <v/>
      </c>
      <c r="O2110" s="33">
        <f t="shared" si="97"/>
        <v>0</v>
      </c>
    </row>
    <row r="2111" spans="1:15" x14ac:dyDescent="0.25">
      <c r="A2111" s="64" t="s">
        <v>182</v>
      </c>
      <c r="B2111" s="79" t="str">
        <f>IF(Ninth!B114="", "",Ninth!B114)</f>
        <v/>
      </c>
      <c r="C2111" s="66" t="str">
        <f>IF(Ninth!C114="", "",Ninth!C114)</f>
        <v/>
      </c>
      <c r="D2111" s="66" t="str">
        <f>IF(Ninth!D114="", "",Ninth!D114)</f>
        <v/>
      </c>
      <c r="E2111" s="66" t="str">
        <f>IF(Ninth!E114="", "",Ninth!E114)</f>
        <v/>
      </c>
      <c r="F2111" s="66" t="str">
        <f>IF(Ninth!F114="", "",Ninth!F114)</f>
        <v/>
      </c>
      <c r="G2111" s="66" t="str">
        <f>IF(Ninth!G114="", "",Ninth!G114)</f>
        <v/>
      </c>
      <c r="H2111" s="66" t="str">
        <f>IF(Ninth!H114="", "",Ninth!H114)</f>
        <v/>
      </c>
      <c r="I2111" s="66" t="str">
        <f>IF(Ninth!I114="", "",Ninth!I114)</f>
        <v/>
      </c>
      <c r="J2111" s="66" t="str">
        <f>IF(Ninth!J114="", "",Ninth!J114)</f>
        <v/>
      </c>
      <c r="K2111" s="86" t="str">
        <f>IF(Ninth!K114="", "",Ninth!K114)</f>
        <v/>
      </c>
      <c r="M2111" s="67" t="str">
        <f t="shared" si="98"/>
        <v/>
      </c>
      <c r="N2111" s="76" t="str">
        <f t="shared" si="99"/>
        <v/>
      </c>
      <c r="O2111" s="33">
        <f t="shared" si="97"/>
        <v>0</v>
      </c>
    </row>
    <row r="2112" spans="1:15" x14ac:dyDescent="0.25">
      <c r="A2112" s="64" t="s">
        <v>182</v>
      </c>
      <c r="B2112" s="79" t="str">
        <f>IF(Ninth!B115="", "",Ninth!B115)</f>
        <v/>
      </c>
      <c r="C2112" s="66" t="str">
        <f>IF(Ninth!C115="", "",Ninth!C115)</f>
        <v/>
      </c>
      <c r="D2112" s="66" t="str">
        <f>IF(Ninth!D115="", "",Ninth!D115)</f>
        <v/>
      </c>
      <c r="E2112" s="66" t="str">
        <f>IF(Ninth!E115="", "",Ninth!E115)</f>
        <v/>
      </c>
      <c r="F2112" s="66" t="str">
        <f>IF(Ninth!F115="", "",Ninth!F115)</f>
        <v/>
      </c>
      <c r="G2112" s="66" t="str">
        <f>IF(Ninth!G115="", "",Ninth!G115)</f>
        <v/>
      </c>
      <c r="H2112" s="66" t="str">
        <f>IF(Ninth!H115="", "",Ninth!H115)</f>
        <v/>
      </c>
      <c r="I2112" s="66" t="str">
        <f>IF(Ninth!I115="", "",Ninth!I115)</f>
        <v/>
      </c>
      <c r="J2112" s="66" t="str">
        <f>IF(Ninth!J115="", "",Ninth!J115)</f>
        <v/>
      </c>
      <c r="K2112" s="86" t="str">
        <f>IF(Ninth!K115="", "",Ninth!K115)</f>
        <v/>
      </c>
      <c r="M2112" s="67" t="str">
        <f t="shared" si="98"/>
        <v/>
      </c>
      <c r="N2112" s="76" t="str">
        <f t="shared" si="99"/>
        <v/>
      </c>
      <c r="O2112" s="33">
        <f t="shared" si="97"/>
        <v>0</v>
      </c>
    </row>
    <row r="2113" spans="1:15" x14ac:dyDescent="0.25">
      <c r="A2113" s="64" t="s">
        <v>182</v>
      </c>
      <c r="B2113" s="79" t="str">
        <f>IF(Ninth!B116="", "",Ninth!B116)</f>
        <v/>
      </c>
      <c r="C2113" s="66" t="str">
        <f>IF(Ninth!C116="", "",Ninth!C116)</f>
        <v/>
      </c>
      <c r="D2113" s="66" t="str">
        <f>IF(Ninth!D116="", "",Ninth!D116)</f>
        <v/>
      </c>
      <c r="E2113" s="66" t="str">
        <f>IF(Ninth!E116="", "",Ninth!E116)</f>
        <v/>
      </c>
      <c r="F2113" s="66" t="str">
        <f>IF(Ninth!F116="", "",Ninth!F116)</f>
        <v/>
      </c>
      <c r="G2113" s="66" t="str">
        <f>IF(Ninth!G116="", "",Ninth!G116)</f>
        <v/>
      </c>
      <c r="H2113" s="66" t="str">
        <f>IF(Ninth!H116="", "",Ninth!H116)</f>
        <v/>
      </c>
      <c r="I2113" s="66" t="str">
        <f>IF(Ninth!I116="", "",Ninth!I116)</f>
        <v/>
      </c>
      <c r="J2113" s="66" t="str">
        <f>IF(Ninth!J116="", "",Ninth!J116)</f>
        <v/>
      </c>
      <c r="K2113" s="86" t="str">
        <f>IF(Ninth!K116="", "",Ninth!K116)</f>
        <v/>
      </c>
      <c r="M2113" s="67" t="str">
        <f t="shared" si="98"/>
        <v/>
      </c>
      <c r="N2113" s="76" t="str">
        <f t="shared" si="99"/>
        <v/>
      </c>
      <c r="O2113" s="33">
        <f t="shared" si="97"/>
        <v>0</v>
      </c>
    </row>
    <row r="2114" spans="1:15" x14ac:dyDescent="0.25">
      <c r="A2114" s="64" t="s">
        <v>182</v>
      </c>
      <c r="B2114" s="79" t="str">
        <f>IF(Ninth!B117="", "",Ninth!B117)</f>
        <v/>
      </c>
      <c r="C2114" s="66" t="str">
        <f>IF(Ninth!C117="", "",Ninth!C117)</f>
        <v/>
      </c>
      <c r="D2114" s="66" t="str">
        <f>IF(Ninth!D117="", "",Ninth!D117)</f>
        <v/>
      </c>
      <c r="E2114" s="66" t="str">
        <f>IF(Ninth!E117="", "",Ninth!E117)</f>
        <v/>
      </c>
      <c r="F2114" s="66" t="str">
        <f>IF(Ninth!F117="", "",Ninth!F117)</f>
        <v/>
      </c>
      <c r="G2114" s="66" t="str">
        <f>IF(Ninth!G117="", "",Ninth!G117)</f>
        <v/>
      </c>
      <c r="H2114" s="66" t="str">
        <f>IF(Ninth!H117="", "",Ninth!H117)</f>
        <v/>
      </c>
      <c r="I2114" s="66" t="str">
        <f>IF(Ninth!I117="", "",Ninth!I117)</f>
        <v/>
      </c>
      <c r="J2114" s="66" t="str">
        <f>IF(Ninth!J117="", "",Ninth!J117)</f>
        <v/>
      </c>
      <c r="K2114" s="86" t="str">
        <f>IF(Ninth!K117="", "",Ninth!K117)</f>
        <v/>
      </c>
      <c r="M2114" s="67" t="str">
        <f t="shared" si="98"/>
        <v/>
      </c>
      <c r="N2114" s="76" t="str">
        <f t="shared" si="99"/>
        <v/>
      </c>
      <c r="O2114" s="33">
        <f t="shared" ref="O2114:O2177" si="100">SUM(M2114:N2114)</f>
        <v>0</v>
      </c>
    </row>
    <row r="2115" spans="1:15" x14ac:dyDescent="0.25">
      <c r="A2115" s="64" t="s">
        <v>182</v>
      </c>
      <c r="B2115" s="79" t="str">
        <f>IF(Ninth!B118="", "",Ninth!B118)</f>
        <v/>
      </c>
      <c r="C2115" s="66" t="str">
        <f>IF(Ninth!C118="", "",Ninth!C118)</f>
        <v/>
      </c>
      <c r="D2115" s="66" t="str">
        <f>IF(Ninth!D118="", "",Ninth!D118)</f>
        <v/>
      </c>
      <c r="E2115" s="66" t="str">
        <f>IF(Ninth!E118="", "",Ninth!E118)</f>
        <v/>
      </c>
      <c r="F2115" s="66" t="str">
        <f>IF(Ninth!F118="", "",Ninth!F118)</f>
        <v/>
      </c>
      <c r="G2115" s="66" t="str">
        <f>IF(Ninth!G118="", "",Ninth!G118)</f>
        <v/>
      </c>
      <c r="H2115" s="66" t="str">
        <f>IF(Ninth!H118="", "",Ninth!H118)</f>
        <v/>
      </c>
      <c r="I2115" s="66" t="str">
        <f>IF(Ninth!I118="", "",Ninth!I118)</f>
        <v/>
      </c>
      <c r="J2115" s="66" t="str">
        <f>IF(Ninth!J118="", "",Ninth!J118)</f>
        <v/>
      </c>
      <c r="K2115" s="86" t="str">
        <f>IF(Ninth!K118="", "",Ninth!K118)</f>
        <v/>
      </c>
      <c r="M2115" s="67" t="str">
        <f t="shared" ref="M2115:M2178" si="101">IF(C2115="PwC",(7-COUNTIF(B2115:H2115,"")),"")</f>
        <v/>
      </c>
      <c r="N2115" s="76" t="str">
        <f t="shared" ref="N2115:N2178" si="102">IF(C2115="Carer",(7-COUNTIF(B2115:H2115,"")),"")</f>
        <v/>
      </c>
      <c r="O2115" s="33">
        <f t="shared" si="100"/>
        <v>0</v>
      </c>
    </row>
    <row r="2116" spans="1:15" x14ac:dyDescent="0.25">
      <c r="A2116" s="64" t="s">
        <v>182</v>
      </c>
      <c r="B2116" s="79" t="str">
        <f>IF(Ninth!B119="", "",Ninth!B119)</f>
        <v/>
      </c>
      <c r="C2116" s="66" t="str">
        <f>IF(Ninth!C119="", "",Ninth!C119)</f>
        <v/>
      </c>
      <c r="D2116" s="66" t="str">
        <f>IF(Ninth!D119="", "",Ninth!D119)</f>
        <v/>
      </c>
      <c r="E2116" s="66" t="str">
        <f>IF(Ninth!E119="", "",Ninth!E119)</f>
        <v/>
      </c>
      <c r="F2116" s="66" t="str">
        <f>IF(Ninth!F119="", "",Ninth!F119)</f>
        <v/>
      </c>
      <c r="G2116" s="66" t="str">
        <f>IF(Ninth!G119="", "",Ninth!G119)</f>
        <v/>
      </c>
      <c r="H2116" s="66" t="str">
        <f>IF(Ninth!H119="", "",Ninth!H119)</f>
        <v/>
      </c>
      <c r="I2116" s="66" t="str">
        <f>IF(Ninth!I119="", "",Ninth!I119)</f>
        <v/>
      </c>
      <c r="J2116" s="66" t="str">
        <f>IF(Ninth!J119="", "",Ninth!J119)</f>
        <v/>
      </c>
      <c r="K2116" s="86" t="str">
        <f>IF(Ninth!K119="", "",Ninth!K119)</f>
        <v/>
      </c>
      <c r="M2116" s="67" t="str">
        <f t="shared" si="101"/>
        <v/>
      </c>
      <c r="N2116" s="76" t="str">
        <f t="shared" si="102"/>
        <v/>
      </c>
      <c r="O2116" s="33">
        <f t="shared" si="100"/>
        <v>0</v>
      </c>
    </row>
    <row r="2117" spans="1:15" x14ac:dyDescent="0.25">
      <c r="A2117" s="64" t="s">
        <v>182</v>
      </c>
      <c r="B2117" s="79" t="str">
        <f>IF(Ninth!B120="", "",Ninth!B120)</f>
        <v/>
      </c>
      <c r="C2117" s="66" t="str">
        <f>IF(Ninth!C120="", "",Ninth!C120)</f>
        <v/>
      </c>
      <c r="D2117" s="66" t="str">
        <f>IF(Ninth!D120="", "",Ninth!D120)</f>
        <v/>
      </c>
      <c r="E2117" s="66" t="str">
        <f>IF(Ninth!E120="", "",Ninth!E120)</f>
        <v/>
      </c>
      <c r="F2117" s="66" t="str">
        <f>IF(Ninth!F120="", "",Ninth!F120)</f>
        <v/>
      </c>
      <c r="G2117" s="66" t="str">
        <f>IF(Ninth!G120="", "",Ninth!G120)</f>
        <v/>
      </c>
      <c r="H2117" s="66" t="str">
        <f>IF(Ninth!H120="", "",Ninth!H120)</f>
        <v/>
      </c>
      <c r="I2117" s="66" t="str">
        <f>IF(Ninth!I120="", "",Ninth!I120)</f>
        <v/>
      </c>
      <c r="J2117" s="66" t="str">
        <f>IF(Ninth!J120="", "",Ninth!J120)</f>
        <v/>
      </c>
      <c r="K2117" s="86" t="str">
        <f>IF(Ninth!K120="", "",Ninth!K120)</f>
        <v/>
      </c>
      <c r="M2117" s="67" t="str">
        <f t="shared" si="101"/>
        <v/>
      </c>
      <c r="N2117" s="76" t="str">
        <f t="shared" si="102"/>
        <v/>
      </c>
      <c r="O2117" s="33">
        <f t="shared" si="100"/>
        <v>0</v>
      </c>
    </row>
    <row r="2118" spans="1:15" x14ac:dyDescent="0.25">
      <c r="A2118" s="64" t="s">
        <v>182</v>
      </c>
      <c r="B2118" s="79" t="str">
        <f>IF(Ninth!B121="", "",Ninth!B121)</f>
        <v/>
      </c>
      <c r="C2118" s="66" t="str">
        <f>IF(Ninth!C121="", "",Ninth!C121)</f>
        <v/>
      </c>
      <c r="D2118" s="66" t="str">
        <f>IF(Ninth!D121="", "",Ninth!D121)</f>
        <v/>
      </c>
      <c r="E2118" s="66" t="str">
        <f>IF(Ninth!E121="", "",Ninth!E121)</f>
        <v/>
      </c>
      <c r="F2118" s="66" t="str">
        <f>IF(Ninth!F121="", "",Ninth!F121)</f>
        <v/>
      </c>
      <c r="G2118" s="66" t="str">
        <f>IF(Ninth!G121="", "",Ninth!G121)</f>
        <v/>
      </c>
      <c r="H2118" s="66" t="str">
        <f>IF(Ninth!H121="", "",Ninth!H121)</f>
        <v/>
      </c>
      <c r="I2118" s="66" t="str">
        <f>IF(Ninth!I121="", "",Ninth!I121)</f>
        <v/>
      </c>
      <c r="J2118" s="66" t="str">
        <f>IF(Ninth!J121="", "",Ninth!J121)</f>
        <v/>
      </c>
      <c r="K2118" s="86" t="str">
        <f>IF(Ninth!K121="", "",Ninth!K121)</f>
        <v/>
      </c>
      <c r="M2118" s="67" t="str">
        <f t="shared" si="101"/>
        <v/>
      </c>
      <c r="N2118" s="76" t="str">
        <f t="shared" si="102"/>
        <v/>
      </c>
      <c r="O2118" s="33">
        <f t="shared" si="100"/>
        <v>0</v>
      </c>
    </row>
    <row r="2119" spans="1:15" x14ac:dyDescent="0.25">
      <c r="A2119" s="64" t="s">
        <v>182</v>
      </c>
      <c r="B2119" s="79" t="str">
        <f>IF(Ninth!B122="", "",Ninth!B122)</f>
        <v/>
      </c>
      <c r="C2119" s="66" t="str">
        <f>IF(Ninth!C122="", "",Ninth!C122)</f>
        <v/>
      </c>
      <c r="D2119" s="66" t="str">
        <f>IF(Ninth!D122="", "",Ninth!D122)</f>
        <v/>
      </c>
      <c r="E2119" s="66" t="str">
        <f>IF(Ninth!E122="", "",Ninth!E122)</f>
        <v/>
      </c>
      <c r="F2119" s="66" t="str">
        <f>IF(Ninth!F122="", "",Ninth!F122)</f>
        <v/>
      </c>
      <c r="G2119" s="66" t="str">
        <f>IF(Ninth!G122="", "",Ninth!G122)</f>
        <v/>
      </c>
      <c r="H2119" s="66" t="str">
        <f>IF(Ninth!H122="", "",Ninth!H122)</f>
        <v/>
      </c>
      <c r="I2119" s="66" t="str">
        <f>IF(Ninth!I122="", "",Ninth!I122)</f>
        <v/>
      </c>
      <c r="J2119" s="66" t="str">
        <f>IF(Ninth!J122="", "",Ninth!J122)</f>
        <v/>
      </c>
      <c r="K2119" s="86" t="str">
        <f>IF(Ninth!K122="", "",Ninth!K122)</f>
        <v/>
      </c>
      <c r="M2119" s="67" t="str">
        <f t="shared" si="101"/>
        <v/>
      </c>
      <c r="N2119" s="76" t="str">
        <f t="shared" si="102"/>
        <v/>
      </c>
      <c r="O2119" s="33">
        <f t="shared" si="100"/>
        <v>0</v>
      </c>
    </row>
    <row r="2120" spans="1:15" x14ac:dyDescent="0.25">
      <c r="A2120" s="64" t="s">
        <v>182</v>
      </c>
      <c r="B2120" s="79" t="str">
        <f>IF(Ninth!B123="", "",Ninth!B123)</f>
        <v/>
      </c>
      <c r="C2120" s="66" t="str">
        <f>IF(Ninth!C123="", "",Ninth!C123)</f>
        <v/>
      </c>
      <c r="D2120" s="66" t="str">
        <f>IF(Ninth!D123="", "",Ninth!D123)</f>
        <v/>
      </c>
      <c r="E2120" s="66" t="str">
        <f>IF(Ninth!E123="", "",Ninth!E123)</f>
        <v/>
      </c>
      <c r="F2120" s="66" t="str">
        <f>IF(Ninth!F123="", "",Ninth!F123)</f>
        <v/>
      </c>
      <c r="G2120" s="66" t="str">
        <f>IF(Ninth!G123="", "",Ninth!G123)</f>
        <v/>
      </c>
      <c r="H2120" s="66" t="str">
        <f>IF(Ninth!H123="", "",Ninth!H123)</f>
        <v/>
      </c>
      <c r="I2120" s="66" t="str">
        <f>IF(Ninth!I123="", "",Ninth!I123)</f>
        <v/>
      </c>
      <c r="J2120" s="66" t="str">
        <f>IF(Ninth!J123="", "",Ninth!J123)</f>
        <v/>
      </c>
      <c r="K2120" s="86" t="str">
        <f>IF(Ninth!K123="", "",Ninth!K123)</f>
        <v/>
      </c>
      <c r="M2120" s="67" t="str">
        <f t="shared" si="101"/>
        <v/>
      </c>
      <c r="N2120" s="76" t="str">
        <f t="shared" si="102"/>
        <v/>
      </c>
      <c r="O2120" s="33">
        <f t="shared" si="100"/>
        <v>0</v>
      </c>
    </row>
    <row r="2121" spans="1:15" x14ac:dyDescent="0.25">
      <c r="A2121" s="64" t="s">
        <v>182</v>
      </c>
      <c r="B2121" s="79" t="str">
        <f>IF(Ninth!B124="", "",Ninth!B124)</f>
        <v/>
      </c>
      <c r="C2121" s="66" t="str">
        <f>IF(Ninth!C124="", "",Ninth!C124)</f>
        <v/>
      </c>
      <c r="D2121" s="66" t="str">
        <f>IF(Ninth!D124="", "",Ninth!D124)</f>
        <v/>
      </c>
      <c r="E2121" s="66" t="str">
        <f>IF(Ninth!E124="", "",Ninth!E124)</f>
        <v/>
      </c>
      <c r="F2121" s="66" t="str">
        <f>IF(Ninth!F124="", "",Ninth!F124)</f>
        <v/>
      </c>
      <c r="G2121" s="66" t="str">
        <f>IF(Ninth!G124="", "",Ninth!G124)</f>
        <v/>
      </c>
      <c r="H2121" s="66" t="str">
        <f>IF(Ninth!H124="", "",Ninth!H124)</f>
        <v/>
      </c>
      <c r="I2121" s="66" t="str">
        <f>IF(Ninth!I124="", "",Ninth!I124)</f>
        <v/>
      </c>
      <c r="J2121" s="66" t="str">
        <f>IF(Ninth!J124="", "",Ninth!J124)</f>
        <v/>
      </c>
      <c r="K2121" s="86" t="str">
        <f>IF(Ninth!K124="", "",Ninth!K124)</f>
        <v/>
      </c>
      <c r="M2121" s="67" t="str">
        <f t="shared" si="101"/>
        <v/>
      </c>
      <c r="N2121" s="76" t="str">
        <f t="shared" si="102"/>
        <v/>
      </c>
      <c r="O2121" s="33">
        <f t="shared" si="100"/>
        <v>0</v>
      </c>
    </row>
    <row r="2122" spans="1:15" x14ac:dyDescent="0.25">
      <c r="A2122" s="64" t="s">
        <v>182</v>
      </c>
      <c r="B2122" s="79" t="str">
        <f>IF(Ninth!B125="", "",Ninth!B125)</f>
        <v/>
      </c>
      <c r="C2122" s="66" t="str">
        <f>IF(Ninth!C125="", "",Ninth!C125)</f>
        <v/>
      </c>
      <c r="D2122" s="66" t="str">
        <f>IF(Ninth!D125="", "",Ninth!D125)</f>
        <v/>
      </c>
      <c r="E2122" s="66" t="str">
        <f>IF(Ninth!E125="", "",Ninth!E125)</f>
        <v/>
      </c>
      <c r="F2122" s="66" t="str">
        <f>IF(Ninth!F125="", "",Ninth!F125)</f>
        <v/>
      </c>
      <c r="G2122" s="66" t="str">
        <f>IF(Ninth!G125="", "",Ninth!G125)</f>
        <v/>
      </c>
      <c r="H2122" s="66" t="str">
        <f>IF(Ninth!H125="", "",Ninth!H125)</f>
        <v/>
      </c>
      <c r="I2122" s="66" t="str">
        <f>IF(Ninth!I125="", "",Ninth!I125)</f>
        <v/>
      </c>
      <c r="J2122" s="66" t="str">
        <f>IF(Ninth!J125="", "",Ninth!J125)</f>
        <v/>
      </c>
      <c r="K2122" s="86" t="str">
        <f>IF(Ninth!K125="", "",Ninth!K125)</f>
        <v/>
      </c>
      <c r="M2122" s="67" t="str">
        <f t="shared" si="101"/>
        <v/>
      </c>
      <c r="N2122" s="76" t="str">
        <f t="shared" si="102"/>
        <v/>
      </c>
      <c r="O2122" s="33">
        <f t="shared" si="100"/>
        <v>0</v>
      </c>
    </row>
    <row r="2123" spans="1:15" x14ac:dyDescent="0.25">
      <c r="A2123" s="64" t="s">
        <v>182</v>
      </c>
      <c r="B2123" s="79" t="str">
        <f>IF(Ninth!B126="", "",Ninth!B126)</f>
        <v/>
      </c>
      <c r="C2123" s="66" t="str">
        <f>IF(Ninth!C126="", "",Ninth!C126)</f>
        <v/>
      </c>
      <c r="D2123" s="66" t="str">
        <f>IF(Ninth!D126="", "",Ninth!D126)</f>
        <v/>
      </c>
      <c r="E2123" s="66" t="str">
        <f>IF(Ninth!E126="", "",Ninth!E126)</f>
        <v/>
      </c>
      <c r="F2123" s="66" t="str">
        <f>IF(Ninth!F126="", "",Ninth!F126)</f>
        <v/>
      </c>
      <c r="G2123" s="66" t="str">
        <f>IF(Ninth!G126="", "",Ninth!G126)</f>
        <v/>
      </c>
      <c r="H2123" s="66" t="str">
        <f>IF(Ninth!H126="", "",Ninth!H126)</f>
        <v/>
      </c>
      <c r="I2123" s="66" t="str">
        <f>IF(Ninth!I126="", "",Ninth!I126)</f>
        <v/>
      </c>
      <c r="J2123" s="66" t="str">
        <f>IF(Ninth!J126="", "",Ninth!J126)</f>
        <v/>
      </c>
      <c r="K2123" s="86" t="str">
        <f>IF(Ninth!K126="", "",Ninth!K126)</f>
        <v/>
      </c>
      <c r="M2123" s="67" t="str">
        <f t="shared" si="101"/>
        <v/>
      </c>
      <c r="N2123" s="76" t="str">
        <f t="shared" si="102"/>
        <v/>
      </c>
      <c r="O2123" s="33">
        <f t="shared" si="100"/>
        <v>0</v>
      </c>
    </row>
    <row r="2124" spans="1:15" x14ac:dyDescent="0.25">
      <c r="A2124" s="64" t="s">
        <v>182</v>
      </c>
      <c r="B2124" s="79" t="str">
        <f>IF(Ninth!B127="", "",Ninth!B127)</f>
        <v/>
      </c>
      <c r="C2124" s="66" t="str">
        <f>IF(Ninth!C127="", "",Ninth!C127)</f>
        <v/>
      </c>
      <c r="D2124" s="66" t="str">
        <f>IF(Ninth!D127="", "",Ninth!D127)</f>
        <v/>
      </c>
      <c r="E2124" s="66" t="str">
        <f>IF(Ninth!E127="", "",Ninth!E127)</f>
        <v/>
      </c>
      <c r="F2124" s="66" t="str">
        <f>IF(Ninth!F127="", "",Ninth!F127)</f>
        <v/>
      </c>
      <c r="G2124" s="66" t="str">
        <f>IF(Ninth!G127="", "",Ninth!G127)</f>
        <v/>
      </c>
      <c r="H2124" s="66" t="str">
        <f>IF(Ninth!H127="", "",Ninth!H127)</f>
        <v/>
      </c>
      <c r="I2124" s="66" t="str">
        <f>IF(Ninth!I127="", "",Ninth!I127)</f>
        <v/>
      </c>
      <c r="J2124" s="66" t="str">
        <f>IF(Ninth!J127="", "",Ninth!J127)</f>
        <v/>
      </c>
      <c r="K2124" s="86" t="str">
        <f>IF(Ninth!K127="", "",Ninth!K127)</f>
        <v/>
      </c>
      <c r="M2124" s="67" t="str">
        <f t="shared" si="101"/>
        <v/>
      </c>
      <c r="N2124" s="76" t="str">
        <f t="shared" si="102"/>
        <v/>
      </c>
      <c r="O2124" s="33">
        <f t="shared" si="100"/>
        <v>0</v>
      </c>
    </row>
    <row r="2125" spans="1:15" x14ac:dyDescent="0.25">
      <c r="A2125" s="64" t="s">
        <v>182</v>
      </c>
      <c r="B2125" s="79" t="str">
        <f>IF(Ninth!B128="", "",Ninth!B128)</f>
        <v/>
      </c>
      <c r="C2125" s="66" t="str">
        <f>IF(Ninth!C128="", "",Ninth!C128)</f>
        <v/>
      </c>
      <c r="D2125" s="66" t="str">
        <f>IF(Ninth!D128="", "",Ninth!D128)</f>
        <v/>
      </c>
      <c r="E2125" s="66" t="str">
        <f>IF(Ninth!E128="", "",Ninth!E128)</f>
        <v/>
      </c>
      <c r="F2125" s="66" t="str">
        <f>IF(Ninth!F128="", "",Ninth!F128)</f>
        <v/>
      </c>
      <c r="G2125" s="66" t="str">
        <f>IF(Ninth!G128="", "",Ninth!G128)</f>
        <v/>
      </c>
      <c r="H2125" s="66" t="str">
        <f>IF(Ninth!H128="", "",Ninth!H128)</f>
        <v/>
      </c>
      <c r="I2125" s="66" t="str">
        <f>IF(Ninth!I128="", "",Ninth!I128)</f>
        <v/>
      </c>
      <c r="J2125" s="66" t="str">
        <f>IF(Ninth!J128="", "",Ninth!J128)</f>
        <v/>
      </c>
      <c r="K2125" s="86" t="str">
        <f>IF(Ninth!K128="", "",Ninth!K128)</f>
        <v/>
      </c>
      <c r="M2125" s="67" t="str">
        <f t="shared" si="101"/>
        <v/>
      </c>
      <c r="N2125" s="76" t="str">
        <f t="shared" si="102"/>
        <v/>
      </c>
      <c r="O2125" s="33">
        <f t="shared" si="100"/>
        <v>0</v>
      </c>
    </row>
    <row r="2126" spans="1:15" x14ac:dyDescent="0.25">
      <c r="A2126" s="64" t="s">
        <v>182</v>
      </c>
      <c r="B2126" s="79" t="str">
        <f>IF(Ninth!B129="", "",Ninth!B129)</f>
        <v/>
      </c>
      <c r="C2126" s="66" t="str">
        <f>IF(Ninth!C129="", "",Ninth!C129)</f>
        <v/>
      </c>
      <c r="D2126" s="66" t="str">
        <f>IF(Ninth!D129="", "",Ninth!D129)</f>
        <v/>
      </c>
      <c r="E2126" s="66" t="str">
        <f>IF(Ninth!E129="", "",Ninth!E129)</f>
        <v/>
      </c>
      <c r="F2126" s="66" t="str">
        <f>IF(Ninth!F129="", "",Ninth!F129)</f>
        <v/>
      </c>
      <c r="G2126" s="66" t="str">
        <f>IF(Ninth!G129="", "",Ninth!G129)</f>
        <v/>
      </c>
      <c r="H2126" s="66" t="str">
        <f>IF(Ninth!H129="", "",Ninth!H129)</f>
        <v/>
      </c>
      <c r="I2126" s="66" t="str">
        <f>IF(Ninth!I129="", "",Ninth!I129)</f>
        <v/>
      </c>
      <c r="J2126" s="66" t="str">
        <f>IF(Ninth!J129="", "",Ninth!J129)</f>
        <v/>
      </c>
      <c r="K2126" s="86" t="str">
        <f>IF(Ninth!K129="", "",Ninth!K129)</f>
        <v/>
      </c>
      <c r="M2126" s="67" t="str">
        <f t="shared" si="101"/>
        <v/>
      </c>
      <c r="N2126" s="76" t="str">
        <f t="shared" si="102"/>
        <v/>
      </c>
      <c r="O2126" s="33">
        <f t="shared" si="100"/>
        <v>0</v>
      </c>
    </row>
    <row r="2127" spans="1:15" x14ac:dyDescent="0.25">
      <c r="A2127" s="64" t="s">
        <v>182</v>
      </c>
      <c r="B2127" s="79" t="str">
        <f>IF(Ninth!B130="", "",Ninth!B130)</f>
        <v/>
      </c>
      <c r="C2127" s="66" t="str">
        <f>IF(Ninth!C130="", "",Ninth!C130)</f>
        <v/>
      </c>
      <c r="D2127" s="66" t="str">
        <f>IF(Ninth!D130="", "",Ninth!D130)</f>
        <v/>
      </c>
      <c r="E2127" s="66" t="str">
        <f>IF(Ninth!E130="", "",Ninth!E130)</f>
        <v/>
      </c>
      <c r="F2127" s="66" t="str">
        <f>IF(Ninth!F130="", "",Ninth!F130)</f>
        <v/>
      </c>
      <c r="G2127" s="66" t="str">
        <f>IF(Ninth!G130="", "",Ninth!G130)</f>
        <v/>
      </c>
      <c r="H2127" s="66" t="str">
        <f>IF(Ninth!H130="", "",Ninth!H130)</f>
        <v/>
      </c>
      <c r="I2127" s="66" t="str">
        <f>IF(Ninth!I130="", "",Ninth!I130)</f>
        <v/>
      </c>
      <c r="J2127" s="66" t="str">
        <f>IF(Ninth!J130="", "",Ninth!J130)</f>
        <v/>
      </c>
      <c r="K2127" s="86" t="str">
        <f>IF(Ninth!K130="", "",Ninth!K130)</f>
        <v/>
      </c>
      <c r="M2127" s="67" t="str">
        <f t="shared" si="101"/>
        <v/>
      </c>
      <c r="N2127" s="76" t="str">
        <f t="shared" si="102"/>
        <v/>
      </c>
      <c r="O2127" s="33">
        <f t="shared" si="100"/>
        <v>0</v>
      </c>
    </row>
    <row r="2128" spans="1:15" x14ac:dyDescent="0.25">
      <c r="A2128" s="64" t="s">
        <v>182</v>
      </c>
      <c r="B2128" s="79" t="str">
        <f>IF(Ninth!B131="", "",Ninth!B131)</f>
        <v/>
      </c>
      <c r="C2128" s="66" t="str">
        <f>IF(Ninth!C131="", "",Ninth!C131)</f>
        <v/>
      </c>
      <c r="D2128" s="66" t="str">
        <f>IF(Ninth!D131="", "",Ninth!D131)</f>
        <v/>
      </c>
      <c r="E2128" s="66" t="str">
        <f>IF(Ninth!E131="", "",Ninth!E131)</f>
        <v/>
      </c>
      <c r="F2128" s="66" t="str">
        <f>IF(Ninth!F131="", "",Ninth!F131)</f>
        <v/>
      </c>
      <c r="G2128" s="66" t="str">
        <f>IF(Ninth!G131="", "",Ninth!G131)</f>
        <v/>
      </c>
      <c r="H2128" s="66" t="str">
        <f>IF(Ninth!H131="", "",Ninth!H131)</f>
        <v/>
      </c>
      <c r="I2128" s="66" t="str">
        <f>IF(Ninth!I131="", "",Ninth!I131)</f>
        <v/>
      </c>
      <c r="J2128" s="66" t="str">
        <f>IF(Ninth!J131="", "",Ninth!J131)</f>
        <v/>
      </c>
      <c r="K2128" s="86" t="str">
        <f>IF(Ninth!K131="", "",Ninth!K131)</f>
        <v/>
      </c>
      <c r="M2128" s="67" t="str">
        <f t="shared" si="101"/>
        <v/>
      </c>
      <c r="N2128" s="76" t="str">
        <f t="shared" si="102"/>
        <v/>
      </c>
      <c r="O2128" s="33">
        <f t="shared" si="100"/>
        <v>0</v>
      </c>
    </row>
    <row r="2129" spans="1:15" x14ac:dyDescent="0.25">
      <c r="A2129" s="64" t="s">
        <v>182</v>
      </c>
      <c r="B2129" s="79" t="str">
        <f>IF(Ninth!B132="", "",Ninth!B132)</f>
        <v/>
      </c>
      <c r="C2129" s="66" t="str">
        <f>IF(Ninth!C132="", "",Ninth!C132)</f>
        <v/>
      </c>
      <c r="D2129" s="66" t="str">
        <f>IF(Ninth!D132="", "",Ninth!D132)</f>
        <v/>
      </c>
      <c r="E2129" s="66" t="str">
        <f>IF(Ninth!E132="", "",Ninth!E132)</f>
        <v/>
      </c>
      <c r="F2129" s="66" t="str">
        <f>IF(Ninth!F132="", "",Ninth!F132)</f>
        <v/>
      </c>
      <c r="G2129" s="66" t="str">
        <f>IF(Ninth!G132="", "",Ninth!G132)</f>
        <v/>
      </c>
      <c r="H2129" s="66" t="str">
        <f>IF(Ninth!H132="", "",Ninth!H132)</f>
        <v/>
      </c>
      <c r="I2129" s="66" t="str">
        <f>IF(Ninth!I132="", "",Ninth!I132)</f>
        <v/>
      </c>
      <c r="J2129" s="66" t="str">
        <f>IF(Ninth!J132="", "",Ninth!J132)</f>
        <v/>
      </c>
      <c r="K2129" s="86" t="str">
        <f>IF(Ninth!K132="", "",Ninth!K132)</f>
        <v/>
      </c>
      <c r="M2129" s="67" t="str">
        <f t="shared" si="101"/>
        <v/>
      </c>
      <c r="N2129" s="76" t="str">
        <f t="shared" si="102"/>
        <v/>
      </c>
      <c r="O2129" s="33">
        <f t="shared" si="100"/>
        <v>0</v>
      </c>
    </row>
    <row r="2130" spans="1:15" x14ac:dyDescent="0.25">
      <c r="A2130" s="64" t="s">
        <v>182</v>
      </c>
      <c r="B2130" s="79" t="str">
        <f>IF(Ninth!B133="", "",Ninth!B133)</f>
        <v/>
      </c>
      <c r="C2130" s="66" t="str">
        <f>IF(Ninth!C133="", "",Ninth!C133)</f>
        <v/>
      </c>
      <c r="D2130" s="66" t="str">
        <f>IF(Ninth!D133="", "",Ninth!D133)</f>
        <v/>
      </c>
      <c r="E2130" s="66" t="str">
        <f>IF(Ninth!E133="", "",Ninth!E133)</f>
        <v/>
      </c>
      <c r="F2130" s="66" t="str">
        <f>IF(Ninth!F133="", "",Ninth!F133)</f>
        <v/>
      </c>
      <c r="G2130" s="66" t="str">
        <f>IF(Ninth!G133="", "",Ninth!G133)</f>
        <v/>
      </c>
      <c r="H2130" s="66" t="str">
        <f>IF(Ninth!H133="", "",Ninth!H133)</f>
        <v/>
      </c>
      <c r="I2130" s="66" t="str">
        <f>IF(Ninth!I133="", "",Ninth!I133)</f>
        <v/>
      </c>
      <c r="J2130" s="66" t="str">
        <f>IF(Ninth!J133="", "",Ninth!J133)</f>
        <v/>
      </c>
      <c r="K2130" s="86" t="str">
        <f>IF(Ninth!K133="", "",Ninth!K133)</f>
        <v/>
      </c>
      <c r="M2130" s="67" t="str">
        <f t="shared" si="101"/>
        <v/>
      </c>
      <c r="N2130" s="76" t="str">
        <f t="shared" si="102"/>
        <v/>
      </c>
      <c r="O2130" s="33">
        <f t="shared" si="100"/>
        <v>0</v>
      </c>
    </row>
    <row r="2131" spans="1:15" x14ac:dyDescent="0.25">
      <c r="A2131" s="64" t="s">
        <v>182</v>
      </c>
      <c r="B2131" s="79" t="str">
        <f>IF(Ninth!B134="", "",Ninth!B134)</f>
        <v/>
      </c>
      <c r="C2131" s="66" t="str">
        <f>IF(Ninth!C134="", "",Ninth!C134)</f>
        <v/>
      </c>
      <c r="D2131" s="66" t="str">
        <f>IF(Ninth!D134="", "",Ninth!D134)</f>
        <v/>
      </c>
      <c r="E2131" s="66" t="str">
        <f>IF(Ninth!E134="", "",Ninth!E134)</f>
        <v/>
      </c>
      <c r="F2131" s="66" t="str">
        <f>IF(Ninth!F134="", "",Ninth!F134)</f>
        <v/>
      </c>
      <c r="G2131" s="66" t="str">
        <f>IF(Ninth!G134="", "",Ninth!G134)</f>
        <v/>
      </c>
      <c r="H2131" s="66" t="str">
        <f>IF(Ninth!H134="", "",Ninth!H134)</f>
        <v/>
      </c>
      <c r="I2131" s="66" t="str">
        <f>IF(Ninth!I134="", "",Ninth!I134)</f>
        <v/>
      </c>
      <c r="J2131" s="66" t="str">
        <f>IF(Ninth!J134="", "",Ninth!J134)</f>
        <v/>
      </c>
      <c r="K2131" s="86" t="str">
        <f>IF(Ninth!K134="", "",Ninth!K134)</f>
        <v/>
      </c>
      <c r="M2131" s="67" t="str">
        <f t="shared" si="101"/>
        <v/>
      </c>
      <c r="N2131" s="76" t="str">
        <f t="shared" si="102"/>
        <v/>
      </c>
      <c r="O2131" s="33">
        <f t="shared" si="100"/>
        <v>0</v>
      </c>
    </row>
    <row r="2132" spans="1:15" x14ac:dyDescent="0.25">
      <c r="A2132" s="64" t="s">
        <v>182</v>
      </c>
      <c r="B2132" s="79" t="str">
        <f>IF(Ninth!B135="", "",Ninth!B135)</f>
        <v/>
      </c>
      <c r="C2132" s="66" t="str">
        <f>IF(Ninth!C135="", "",Ninth!C135)</f>
        <v/>
      </c>
      <c r="D2132" s="66" t="str">
        <f>IF(Ninth!D135="", "",Ninth!D135)</f>
        <v/>
      </c>
      <c r="E2132" s="66" t="str">
        <f>IF(Ninth!E135="", "",Ninth!E135)</f>
        <v/>
      </c>
      <c r="F2132" s="66" t="str">
        <f>IF(Ninth!F135="", "",Ninth!F135)</f>
        <v/>
      </c>
      <c r="G2132" s="66" t="str">
        <f>IF(Ninth!G135="", "",Ninth!G135)</f>
        <v/>
      </c>
      <c r="H2132" s="66" t="str">
        <f>IF(Ninth!H135="", "",Ninth!H135)</f>
        <v/>
      </c>
      <c r="I2132" s="66" t="str">
        <f>IF(Ninth!I135="", "",Ninth!I135)</f>
        <v/>
      </c>
      <c r="J2132" s="66" t="str">
        <f>IF(Ninth!J135="", "",Ninth!J135)</f>
        <v/>
      </c>
      <c r="K2132" s="86" t="str">
        <f>IF(Ninth!K135="", "",Ninth!K135)</f>
        <v/>
      </c>
      <c r="M2132" s="67" t="str">
        <f t="shared" si="101"/>
        <v/>
      </c>
      <c r="N2132" s="76" t="str">
        <f t="shared" si="102"/>
        <v/>
      </c>
      <c r="O2132" s="33">
        <f t="shared" si="100"/>
        <v>0</v>
      </c>
    </row>
    <row r="2133" spans="1:15" x14ac:dyDescent="0.25">
      <c r="A2133" s="64" t="s">
        <v>182</v>
      </c>
      <c r="B2133" s="79" t="str">
        <f>IF(Ninth!B136="", "",Ninth!B136)</f>
        <v/>
      </c>
      <c r="C2133" s="66" t="str">
        <f>IF(Ninth!C136="", "",Ninth!C136)</f>
        <v/>
      </c>
      <c r="D2133" s="66" t="str">
        <f>IF(Ninth!D136="", "",Ninth!D136)</f>
        <v/>
      </c>
      <c r="E2133" s="66" t="str">
        <f>IF(Ninth!E136="", "",Ninth!E136)</f>
        <v/>
      </c>
      <c r="F2133" s="66" t="str">
        <f>IF(Ninth!F136="", "",Ninth!F136)</f>
        <v/>
      </c>
      <c r="G2133" s="66" t="str">
        <f>IF(Ninth!G136="", "",Ninth!G136)</f>
        <v/>
      </c>
      <c r="H2133" s="66" t="str">
        <f>IF(Ninth!H136="", "",Ninth!H136)</f>
        <v/>
      </c>
      <c r="I2133" s="66" t="str">
        <f>IF(Ninth!I136="", "",Ninth!I136)</f>
        <v/>
      </c>
      <c r="J2133" s="66" t="str">
        <f>IF(Ninth!J136="", "",Ninth!J136)</f>
        <v/>
      </c>
      <c r="K2133" s="86" t="str">
        <f>IF(Ninth!K136="", "",Ninth!K136)</f>
        <v/>
      </c>
      <c r="M2133" s="67" t="str">
        <f t="shared" si="101"/>
        <v/>
      </c>
      <c r="N2133" s="76" t="str">
        <f t="shared" si="102"/>
        <v/>
      </c>
      <c r="O2133" s="33">
        <f t="shared" si="100"/>
        <v>0</v>
      </c>
    </row>
    <row r="2134" spans="1:15" x14ac:dyDescent="0.25">
      <c r="A2134" s="64" t="s">
        <v>182</v>
      </c>
      <c r="B2134" s="79" t="str">
        <f>IF(Ninth!B137="", "",Ninth!B137)</f>
        <v/>
      </c>
      <c r="C2134" s="66" t="str">
        <f>IF(Ninth!C137="", "",Ninth!C137)</f>
        <v/>
      </c>
      <c r="D2134" s="66" t="str">
        <f>IF(Ninth!D137="", "",Ninth!D137)</f>
        <v/>
      </c>
      <c r="E2134" s="66" t="str">
        <f>IF(Ninth!E137="", "",Ninth!E137)</f>
        <v/>
      </c>
      <c r="F2134" s="66" t="str">
        <f>IF(Ninth!F137="", "",Ninth!F137)</f>
        <v/>
      </c>
      <c r="G2134" s="66" t="str">
        <f>IF(Ninth!G137="", "",Ninth!G137)</f>
        <v/>
      </c>
      <c r="H2134" s="66" t="str">
        <f>IF(Ninth!H137="", "",Ninth!H137)</f>
        <v/>
      </c>
      <c r="I2134" s="66" t="str">
        <f>IF(Ninth!I137="", "",Ninth!I137)</f>
        <v/>
      </c>
      <c r="J2134" s="66" t="str">
        <f>IF(Ninth!J137="", "",Ninth!J137)</f>
        <v/>
      </c>
      <c r="K2134" s="86" t="str">
        <f>IF(Ninth!K137="", "",Ninth!K137)</f>
        <v/>
      </c>
      <c r="M2134" s="67" t="str">
        <f t="shared" si="101"/>
        <v/>
      </c>
      <c r="N2134" s="76" t="str">
        <f t="shared" si="102"/>
        <v/>
      </c>
      <c r="O2134" s="33">
        <f t="shared" si="100"/>
        <v>0</v>
      </c>
    </row>
    <row r="2135" spans="1:15" x14ac:dyDescent="0.25">
      <c r="A2135" s="64" t="s">
        <v>182</v>
      </c>
      <c r="B2135" s="79" t="str">
        <f>IF(Ninth!B138="", "",Ninth!B138)</f>
        <v/>
      </c>
      <c r="C2135" s="66" t="str">
        <f>IF(Ninth!C138="", "",Ninth!C138)</f>
        <v/>
      </c>
      <c r="D2135" s="66" t="str">
        <f>IF(Ninth!D138="", "",Ninth!D138)</f>
        <v/>
      </c>
      <c r="E2135" s="66" t="str">
        <f>IF(Ninth!E138="", "",Ninth!E138)</f>
        <v/>
      </c>
      <c r="F2135" s="66" t="str">
        <f>IF(Ninth!F138="", "",Ninth!F138)</f>
        <v/>
      </c>
      <c r="G2135" s="66" t="str">
        <f>IF(Ninth!G138="", "",Ninth!G138)</f>
        <v/>
      </c>
      <c r="H2135" s="66" t="str">
        <f>IF(Ninth!H138="", "",Ninth!H138)</f>
        <v/>
      </c>
      <c r="I2135" s="66" t="str">
        <f>IF(Ninth!I138="", "",Ninth!I138)</f>
        <v/>
      </c>
      <c r="J2135" s="66" t="str">
        <f>IF(Ninth!J138="", "",Ninth!J138)</f>
        <v/>
      </c>
      <c r="K2135" s="86" t="str">
        <f>IF(Ninth!K138="", "",Ninth!K138)</f>
        <v/>
      </c>
      <c r="M2135" s="67" t="str">
        <f t="shared" si="101"/>
        <v/>
      </c>
      <c r="N2135" s="76" t="str">
        <f t="shared" si="102"/>
        <v/>
      </c>
      <c r="O2135" s="33">
        <f t="shared" si="100"/>
        <v>0</v>
      </c>
    </row>
    <row r="2136" spans="1:15" x14ac:dyDescent="0.25">
      <c r="A2136" s="64" t="s">
        <v>182</v>
      </c>
      <c r="B2136" s="79" t="str">
        <f>IF(Ninth!B139="", "",Ninth!B139)</f>
        <v/>
      </c>
      <c r="C2136" s="66" t="str">
        <f>IF(Ninth!C139="", "",Ninth!C139)</f>
        <v/>
      </c>
      <c r="D2136" s="66" t="str">
        <f>IF(Ninth!D139="", "",Ninth!D139)</f>
        <v/>
      </c>
      <c r="E2136" s="66" t="str">
        <f>IF(Ninth!E139="", "",Ninth!E139)</f>
        <v/>
      </c>
      <c r="F2136" s="66" t="str">
        <f>IF(Ninth!F139="", "",Ninth!F139)</f>
        <v/>
      </c>
      <c r="G2136" s="66" t="str">
        <f>IF(Ninth!G139="", "",Ninth!G139)</f>
        <v/>
      </c>
      <c r="H2136" s="66" t="str">
        <f>IF(Ninth!H139="", "",Ninth!H139)</f>
        <v/>
      </c>
      <c r="I2136" s="66" t="str">
        <f>IF(Ninth!I139="", "",Ninth!I139)</f>
        <v/>
      </c>
      <c r="J2136" s="66" t="str">
        <f>IF(Ninth!J139="", "",Ninth!J139)</f>
        <v/>
      </c>
      <c r="K2136" s="86" t="str">
        <f>IF(Ninth!K139="", "",Ninth!K139)</f>
        <v/>
      </c>
      <c r="M2136" s="67" t="str">
        <f t="shared" si="101"/>
        <v/>
      </c>
      <c r="N2136" s="76" t="str">
        <f t="shared" si="102"/>
        <v/>
      </c>
      <c r="O2136" s="33">
        <f t="shared" si="100"/>
        <v>0</v>
      </c>
    </row>
    <row r="2137" spans="1:15" x14ac:dyDescent="0.25">
      <c r="A2137" s="64" t="s">
        <v>182</v>
      </c>
      <c r="B2137" s="79" t="str">
        <f>IF(Ninth!B140="", "",Ninth!B140)</f>
        <v/>
      </c>
      <c r="C2137" s="66" t="str">
        <f>IF(Ninth!C140="", "",Ninth!C140)</f>
        <v/>
      </c>
      <c r="D2137" s="66" t="str">
        <f>IF(Ninth!D140="", "",Ninth!D140)</f>
        <v/>
      </c>
      <c r="E2137" s="66" t="str">
        <f>IF(Ninth!E140="", "",Ninth!E140)</f>
        <v/>
      </c>
      <c r="F2137" s="66" t="str">
        <f>IF(Ninth!F140="", "",Ninth!F140)</f>
        <v/>
      </c>
      <c r="G2137" s="66" t="str">
        <f>IF(Ninth!G140="", "",Ninth!G140)</f>
        <v/>
      </c>
      <c r="H2137" s="66" t="str">
        <f>IF(Ninth!H140="", "",Ninth!H140)</f>
        <v/>
      </c>
      <c r="I2137" s="66" t="str">
        <f>IF(Ninth!I140="", "",Ninth!I140)</f>
        <v/>
      </c>
      <c r="J2137" s="66" t="str">
        <f>IF(Ninth!J140="", "",Ninth!J140)</f>
        <v/>
      </c>
      <c r="K2137" s="86" t="str">
        <f>IF(Ninth!K140="", "",Ninth!K140)</f>
        <v/>
      </c>
      <c r="M2137" s="67" t="str">
        <f t="shared" si="101"/>
        <v/>
      </c>
      <c r="N2137" s="76" t="str">
        <f t="shared" si="102"/>
        <v/>
      </c>
      <c r="O2137" s="33">
        <f t="shared" si="100"/>
        <v>0</v>
      </c>
    </row>
    <row r="2138" spans="1:15" x14ac:dyDescent="0.25">
      <c r="A2138" s="64" t="s">
        <v>182</v>
      </c>
      <c r="B2138" s="79" t="str">
        <f>IF(Ninth!B141="", "",Ninth!B141)</f>
        <v/>
      </c>
      <c r="C2138" s="66" t="str">
        <f>IF(Ninth!C141="", "",Ninth!C141)</f>
        <v/>
      </c>
      <c r="D2138" s="66" t="str">
        <f>IF(Ninth!D141="", "",Ninth!D141)</f>
        <v/>
      </c>
      <c r="E2138" s="66" t="str">
        <f>IF(Ninth!E141="", "",Ninth!E141)</f>
        <v/>
      </c>
      <c r="F2138" s="66" t="str">
        <f>IF(Ninth!F141="", "",Ninth!F141)</f>
        <v/>
      </c>
      <c r="G2138" s="66" t="str">
        <f>IF(Ninth!G141="", "",Ninth!G141)</f>
        <v/>
      </c>
      <c r="H2138" s="66" t="str">
        <f>IF(Ninth!H141="", "",Ninth!H141)</f>
        <v/>
      </c>
      <c r="I2138" s="66" t="str">
        <f>IF(Ninth!I141="", "",Ninth!I141)</f>
        <v/>
      </c>
      <c r="J2138" s="66" t="str">
        <f>IF(Ninth!J141="", "",Ninth!J141)</f>
        <v/>
      </c>
      <c r="K2138" s="86" t="str">
        <f>IF(Ninth!K141="", "",Ninth!K141)</f>
        <v/>
      </c>
      <c r="M2138" s="67" t="str">
        <f t="shared" si="101"/>
        <v/>
      </c>
      <c r="N2138" s="76" t="str">
        <f t="shared" si="102"/>
        <v/>
      </c>
      <c r="O2138" s="33">
        <f t="shared" si="100"/>
        <v>0</v>
      </c>
    </row>
    <row r="2139" spans="1:15" x14ac:dyDescent="0.25">
      <c r="A2139" s="64" t="s">
        <v>182</v>
      </c>
      <c r="B2139" s="79" t="str">
        <f>IF(Ninth!B142="", "",Ninth!B142)</f>
        <v/>
      </c>
      <c r="C2139" s="66" t="str">
        <f>IF(Ninth!C142="", "",Ninth!C142)</f>
        <v/>
      </c>
      <c r="D2139" s="66" t="str">
        <f>IF(Ninth!D142="", "",Ninth!D142)</f>
        <v/>
      </c>
      <c r="E2139" s="66" t="str">
        <f>IF(Ninth!E142="", "",Ninth!E142)</f>
        <v/>
      </c>
      <c r="F2139" s="66" t="str">
        <f>IF(Ninth!F142="", "",Ninth!F142)</f>
        <v/>
      </c>
      <c r="G2139" s="66" t="str">
        <f>IF(Ninth!G142="", "",Ninth!G142)</f>
        <v/>
      </c>
      <c r="H2139" s="66" t="str">
        <f>IF(Ninth!H142="", "",Ninth!H142)</f>
        <v/>
      </c>
      <c r="I2139" s="66" t="str">
        <f>IF(Ninth!I142="", "",Ninth!I142)</f>
        <v/>
      </c>
      <c r="J2139" s="66" t="str">
        <f>IF(Ninth!J142="", "",Ninth!J142)</f>
        <v/>
      </c>
      <c r="K2139" s="86" t="str">
        <f>IF(Ninth!K142="", "",Ninth!K142)</f>
        <v/>
      </c>
      <c r="M2139" s="67" t="str">
        <f t="shared" si="101"/>
        <v/>
      </c>
      <c r="N2139" s="76" t="str">
        <f t="shared" si="102"/>
        <v/>
      </c>
      <c r="O2139" s="33">
        <f t="shared" si="100"/>
        <v>0</v>
      </c>
    </row>
    <row r="2140" spans="1:15" x14ac:dyDescent="0.25">
      <c r="A2140" s="64" t="s">
        <v>182</v>
      </c>
      <c r="B2140" s="79" t="str">
        <f>IF(Ninth!B143="", "",Ninth!B143)</f>
        <v/>
      </c>
      <c r="C2140" s="66" t="str">
        <f>IF(Ninth!C143="", "",Ninth!C143)</f>
        <v/>
      </c>
      <c r="D2140" s="66" t="str">
        <f>IF(Ninth!D143="", "",Ninth!D143)</f>
        <v/>
      </c>
      <c r="E2140" s="66" t="str">
        <f>IF(Ninth!E143="", "",Ninth!E143)</f>
        <v/>
      </c>
      <c r="F2140" s="66" t="str">
        <f>IF(Ninth!F143="", "",Ninth!F143)</f>
        <v/>
      </c>
      <c r="G2140" s="66" t="str">
        <f>IF(Ninth!G143="", "",Ninth!G143)</f>
        <v/>
      </c>
      <c r="H2140" s="66" t="str">
        <f>IF(Ninth!H143="", "",Ninth!H143)</f>
        <v/>
      </c>
      <c r="I2140" s="66" t="str">
        <f>IF(Ninth!I143="", "",Ninth!I143)</f>
        <v/>
      </c>
      <c r="J2140" s="66" t="str">
        <f>IF(Ninth!J143="", "",Ninth!J143)</f>
        <v/>
      </c>
      <c r="K2140" s="86" t="str">
        <f>IF(Ninth!K143="", "",Ninth!K143)</f>
        <v/>
      </c>
      <c r="M2140" s="67" t="str">
        <f t="shared" si="101"/>
        <v/>
      </c>
      <c r="N2140" s="76" t="str">
        <f t="shared" si="102"/>
        <v/>
      </c>
      <c r="O2140" s="33">
        <f t="shared" si="100"/>
        <v>0</v>
      </c>
    </row>
    <row r="2141" spans="1:15" x14ac:dyDescent="0.25">
      <c r="A2141" s="64" t="s">
        <v>182</v>
      </c>
      <c r="B2141" s="79" t="str">
        <f>IF(Ninth!B144="", "",Ninth!B144)</f>
        <v/>
      </c>
      <c r="C2141" s="66" t="str">
        <f>IF(Ninth!C144="", "",Ninth!C144)</f>
        <v/>
      </c>
      <c r="D2141" s="66" t="str">
        <f>IF(Ninth!D144="", "",Ninth!D144)</f>
        <v/>
      </c>
      <c r="E2141" s="66" t="str">
        <f>IF(Ninth!E144="", "",Ninth!E144)</f>
        <v/>
      </c>
      <c r="F2141" s="66" t="str">
        <f>IF(Ninth!F144="", "",Ninth!F144)</f>
        <v/>
      </c>
      <c r="G2141" s="66" t="str">
        <f>IF(Ninth!G144="", "",Ninth!G144)</f>
        <v/>
      </c>
      <c r="H2141" s="66" t="str">
        <f>IF(Ninth!H144="", "",Ninth!H144)</f>
        <v/>
      </c>
      <c r="I2141" s="66" t="str">
        <f>IF(Ninth!I144="", "",Ninth!I144)</f>
        <v/>
      </c>
      <c r="J2141" s="66" t="str">
        <f>IF(Ninth!J144="", "",Ninth!J144)</f>
        <v/>
      </c>
      <c r="K2141" s="86" t="str">
        <f>IF(Ninth!K144="", "",Ninth!K144)</f>
        <v/>
      </c>
      <c r="M2141" s="67" t="str">
        <f t="shared" si="101"/>
        <v/>
      </c>
      <c r="N2141" s="76" t="str">
        <f t="shared" si="102"/>
        <v/>
      </c>
      <c r="O2141" s="33">
        <f t="shared" si="100"/>
        <v>0</v>
      </c>
    </row>
    <row r="2142" spans="1:15" x14ac:dyDescent="0.25">
      <c r="A2142" s="64" t="s">
        <v>182</v>
      </c>
      <c r="B2142" s="79" t="str">
        <f>IF(Ninth!B145="", "",Ninth!B145)</f>
        <v/>
      </c>
      <c r="C2142" s="66" t="str">
        <f>IF(Ninth!C145="", "",Ninth!C145)</f>
        <v/>
      </c>
      <c r="D2142" s="66" t="str">
        <f>IF(Ninth!D145="", "",Ninth!D145)</f>
        <v/>
      </c>
      <c r="E2142" s="66" t="str">
        <f>IF(Ninth!E145="", "",Ninth!E145)</f>
        <v/>
      </c>
      <c r="F2142" s="66" t="str">
        <f>IF(Ninth!F145="", "",Ninth!F145)</f>
        <v/>
      </c>
      <c r="G2142" s="66" t="str">
        <f>IF(Ninth!G145="", "",Ninth!G145)</f>
        <v/>
      </c>
      <c r="H2142" s="66" t="str">
        <f>IF(Ninth!H145="", "",Ninth!H145)</f>
        <v/>
      </c>
      <c r="I2142" s="66" t="str">
        <f>IF(Ninth!I145="", "",Ninth!I145)</f>
        <v/>
      </c>
      <c r="J2142" s="66" t="str">
        <f>IF(Ninth!J145="", "",Ninth!J145)</f>
        <v/>
      </c>
      <c r="K2142" s="86" t="str">
        <f>IF(Ninth!K145="", "",Ninth!K145)</f>
        <v/>
      </c>
      <c r="M2142" s="67" t="str">
        <f t="shared" si="101"/>
        <v/>
      </c>
      <c r="N2142" s="76" t="str">
        <f t="shared" si="102"/>
        <v/>
      </c>
      <c r="O2142" s="33">
        <f t="shared" si="100"/>
        <v>0</v>
      </c>
    </row>
    <row r="2143" spans="1:15" x14ac:dyDescent="0.25">
      <c r="A2143" s="64" t="s">
        <v>182</v>
      </c>
      <c r="B2143" s="79" t="str">
        <f>IF(Ninth!B146="", "",Ninth!B146)</f>
        <v/>
      </c>
      <c r="C2143" s="66" t="str">
        <f>IF(Ninth!C146="", "",Ninth!C146)</f>
        <v/>
      </c>
      <c r="D2143" s="66" t="str">
        <f>IF(Ninth!D146="", "",Ninth!D146)</f>
        <v/>
      </c>
      <c r="E2143" s="66" t="str">
        <f>IF(Ninth!E146="", "",Ninth!E146)</f>
        <v/>
      </c>
      <c r="F2143" s="66" t="str">
        <f>IF(Ninth!F146="", "",Ninth!F146)</f>
        <v/>
      </c>
      <c r="G2143" s="66" t="str">
        <f>IF(Ninth!G146="", "",Ninth!G146)</f>
        <v/>
      </c>
      <c r="H2143" s="66" t="str">
        <f>IF(Ninth!H146="", "",Ninth!H146)</f>
        <v/>
      </c>
      <c r="I2143" s="66" t="str">
        <f>IF(Ninth!I146="", "",Ninth!I146)</f>
        <v/>
      </c>
      <c r="J2143" s="66" t="str">
        <f>IF(Ninth!J146="", "",Ninth!J146)</f>
        <v/>
      </c>
      <c r="K2143" s="86" t="str">
        <f>IF(Ninth!K146="", "",Ninth!K146)</f>
        <v/>
      </c>
      <c r="M2143" s="67" t="str">
        <f t="shared" si="101"/>
        <v/>
      </c>
      <c r="N2143" s="76" t="str">
        <f t="shared" si="102"/>
        <v/>
      </c>
      <c r="O2143" s="33">
        <f t="shared" si="100"/>
        <v>0</v>
      </c>
    </row>
    <row r="2144" spans="1:15" x14ac:dyDescent="0.25">
      <c r="A2144" s="64" t="s">
        <v>182</v>
      </c>
      <c r="B2144" s="79" t="str">
        <f>IF(Ninth!B147="", "",Ninth!B147)</f>
        <v/>
      </c>
      <c r="C2144" s="66" t="str">
        <f>IF(Ninth!C147="", "",Ninth!C147)</f>
        <v/>
      </c>
      <c r="D2144" s="66" t="str">
        <f>IF(Ninth!D147="", "",Ninth!D147)</f>
        <v/>
      </c>
      <c r="E2144" s="66" t="str">
        <f>IF(Ninth!E147="", "",Ninth!E147)</f>
        <v/>
      </c>
      <c r="F2144" s="66" t="str">
        <f>IF(Ninth!F147="", "",Ninth!F147)</f>
        <v/>
      </c>
      <c r="G2144" s="66" t="str">
        <f>IF(Ninth!G147="", "",Ninth!G147)</f>
        <v/>
      </c>
      <c r="H2144" s="66" t="str">
        <f>IF(Ninth!H147="", "",Ninth!H147)</f>
        <v/>
      </c>
      <c r="I2144" s="66" t="str">
        <f>IF(Ninth!I147="", "",Ninth!I147)</f>
        <v/>
      </c>
      <c r="J2144" s="66" t="str">
        <f>IF(Ninth!J147="", "",Ninth!J147)</f>
        <v/>
      </c>
      <c r="K2144" s="86" t="str">
        <f>IF(Ninth!K147="", "",Ninth!K147)</f>
        <v/>
      </c>
      <c r="M2144" s="67" t="str">
        <f t="shared" si="101"/>
        <v/>
      </c>
      <c r="N2144" s="76" t="str">
        <f t="shared" si="102"/>
        <v/>
      </c>
      <c r="O2144" s="33">
        <f t="shared" si="100"/>
        <v>0</v>
      </c>
    </row>
    <row r="2145" spans="1:15" x14ac:dyDescent="0.25">
      <c r="A2145" s="64" t="s">
        <v>182</v>
      </c>
      <c r="B2145" s="79" t="str">
        <f>IF(Ninth!B148="", "",Ninth!B148)</f>
        <v/>
      </c>
      <c r="C2145" s="66" t="str">
        <f>IF(Ninth!C148="", "",Ninth!C148)</f>
        <v/>
      </c>
      <c r="D2145" s="66" t="str">
        <f>IF(Ninth!D148="", "",Ninth!D148)</f>
        <v/>
      </c>
      <c r="E2145" s="66" t="str">
        <f>IF(Ninth!E148="", "",Ninth!E148)</f>
        <v/>
      </c>
      <c r="F2145" s="66" t="str">
        <f>IF(Ninth!F148="", "",Ninth!F148)</f>
        <v/>
      </c>
      <c r="G2145" s="66" t="str">
        <f>IF(Ninth!G148="", "",Ninth!G148)</f>
        <v/>
      </c>
      <c r="H2145" s="66" t="str">
        <f>IF(Ninth!H148="", "",Ninth!H148)</f>
        <v/>
      </c>
      <c r="I2145" s="66" t="str">
        <f>IF(Ninth!I148="", "",Ninth!I148)</f>
        <v/>
      </c>
      <c r="J2145" s="66" t="str">
        <f>IF(Ninth!J148="", "",Ninth!J148)</f>
        <v/>
      </c>
      <c r="K2145" s="86" t="str">
        <f>IF(Ninth!K148="", "",Ninth!K148)</f>
        <v/>
      </c>
      <c r="M2145" s="67" t="str">
        <f t="shared" si="101"/>
        <v/>
      </c>
      <c r="N2145" s="76" t="str">
        <f t="shared" si="102"/>
        <v/>
      </c>
      <c r="O2145" s="33">
        <f t="shared" si="100"/>
        <v>0</v>
      </c>
    </row>
    <row r="2146" spans="1:15" x14ac:dyDescent="0.25">
      <c r="A2146" s="64" t="s">
        <v>182</v>
      </c>
      <c r="B2146" s="79" t="str">
        <f>IF(Ninth!B149="", "",Ninth!B149)</f>
        <v/>
      </c>
      <c r="C2146" s="66" t="str">
        <f>IF(Ninth!C149="", "",Ninth!C149)</f>
        <v/>
      </c>
      <c r="D2146" s="66" t="str">
        <f>IF(Ninth!D149="", "",Ninth!D149)</f>
        <v/>
      </c>
      <c r="E2146" s="66" t="str">
        <f>IF(Ninth!E149="", "",Ninth!E149)</f>
        <v/>
      </c>
      <c r="F2146" s="66" t="str">
        <f>IF(Ninth!F149="", "",Ninth!F149)</f>
        <v/>
      </c>
      <c r="G2146" s="66" t="str">
        <f>IF(Ninth!G149="", "",Ninth!G149)</f>
        <v/>
      </c>
      <c r="H2146" s="66" t="str">
        <f>IF(Ninth!H149="", "",Ninth!H149)</f>
        <v/>
      </c>
      <c r="I2146" s="66" t="str">
        <f>IF(Ninth!I149="", "",Ninth!I149)</f>
        <v/>
      </c>
      <c r="J2146" s="66" t="str">
        <f>IF(Ninth!J149="", "",Ninth!J149)</f>
        <v/>
      </c>
      <c r="K2146" s="86" t="str">
        <f>IF(Ninth!K149="", "",Ninth!K149)</f>
        <v/>
      </c>
      <c r="M2146" s="67" t="str">
        <f t="shared" si="101"/>
        <v/>
      </c>
      <c r="N2146" s="76" t="str">
        <f t="shared" si="102"/>
        <v/>
      </c>
      <c r="O2146" s="33">
        <f t="shared" si="100"/>
        <v>0</v>
      </c>
    </row>
    <row r="2147" spans="1:15" x14ac:dyDescent="0.25">
      <c r="A2147" s="64" t="s">
        <v>182</v>
      </c>
      <c r="B2147" s="79" t="str">
        <f>IF(Ninth!B150="", "",Ninth!B150)</f>
        <v/>
      </c>
      <c r="C2147" s="66" t="str">
        <f>IF(Ninth!C150="", "",Ninth!C150)</f>
        <v/>
      </c>
      <c r="D2147" s="66" t="str">
        <f>IF(Ninth!D150="", "",Ninth!D150)</f>
        <v/>
      </c>
      <c r="E2147" s="66" t="str">
        <f>IF(Ninth!E150="", "",Ninth!E150)</f>
        <v/>
      </c>
      <c r="F2147" s="66" t="str">
        <f>IF(Ninth!F150="", "",Ninth!F150)</f>
        <v/>
      </c>
      <c r="G2147" s="66" t="str">
        <f>IF(Ninth!G150="", "",Ninth!G150)</f>
        <v/>
      </c>
      <c r="H2147" s="66" t="str">
        <f>IF(Ninth!H150="", "",Ninth!H150)</f>
        <v/>
      </c>
      <c r="I2147" s="66" t="str">
        <f>IF(Ninth!I150="", "",Ninth!I150)</f>
        <v/>
      </c>
      <c r="J2147" s="66" t="str">
        <f>IF(Ninth!J150="", "",Ninth!J150)</f>
        <v/>
      </c>
      <c r="K2147" s="86" t="str">
        <f>IF(Ninth!K150="", "",Ninth!K150)</f>
        <v/>
      </c>
      <c r="M2147" s="67" t="str">
        <f t="shared" si="101"/>
        <v/>
      </c>
      <c r="N2147" s="76" t="str">
        <f t="shared" si="102"/>
        <v/>
      </c>
      <c r="O2147" s="33">
        <f t="shared" si="100"/>
        <v>0</v>
      </c>
    </row>
    <row r="2148" spans="1:15" x14ac:dyDescent="0.25">
      <c r="A2148" s="64" t="s">
        <v>182</v>
      </c>
      <c r="B2148" s="79" t="str">
        <f>IF(Ninth!B151="", "",Ninth!B151)</f>
        <v/>
      </c>
      <c r="C2148" s="66" t="str">
        <f>IF(Ninth!C151="", "",Ninth!C151)</f>
        <v/>
      </c>
      <c r="D2148" s="66" t="str">
        <f>IF(Ninth!D151="", "",Ninth!D151)</f>
        <v/>
      </c>
      <c r="E2148" s="66" t="str">
        <f>IF(Ninth!E151="", "",Ninth!E151)</f>
        <v/>
      </c>
      <c r="F2148" s="66" t="str">
        <f>IF(Ninth!F151="", "",Ninth!F151)</f>
        <v/>
      </c>
      <c r="G2148" s="66" t="str">
        <f>IF(Ninth!G151="", "",Ninth!G151)</f>
        <v/>
      </c>
      <c r="H2148" s="66" t="str">
        <f>IF(Ninth!H151="", "",Ninth!H151)</f>
        <v/>
      </c>
      <c r="I2148" s="66" t="str">
        <f>IF(Ninth!I151="", "",Ninth!I151)</f>
        <v/>
      </c>
      <c r="J2148" s="66" t="str">
        <f>IF(Ninth!J151="", "",Ninth!J151)</f>
        <v/>
      </c>
      <c r="K2148" s="86" t="str">
        <f>IF(Ninth!K151="", "",Ninth!K151)</f>
        <v/>
      </c>
      <c r="M2148" s="67" t="str">
        <f t="shared" si="101"/>
        <v/>
      </c>
      <c r="N2148" s="76" t="str">
        <f t="shared" si="102"/>
        <v/>
      </c>
      <c r="O2148" s="33">
        <f t="shared" si="100"/>
        <v>0</v>
      </c>
    </row>
    <row r="2149" spans="1:15" x14ac:dyDescent="0.25">
      <c r="A2149" s="64" t="s">
        <v>182</v>
      </c>
      <c r="B2149" s="79" t="str">
        <f>IF(Ninth!B152="", "",Ninth!B152)</f>
        <v/>
      </c>
      <c r="C2149" s="66" t="str">
        <f>IF(Ninth!C152="", "",Ninth!C152)</f>
        <v/>
      </c>
      <c r="D2149" s="66" t="str">
        <f>IF(Ninth!D152="", "",Ninth!D152)</f>
        <v/>
      </c>
      <c r="E2149" s="66" t="str">
        <f>IF(Ninth!E152="", "",Ninth!E152)</f>
        <v/>
      </c>
      <c r="F2149" s="66" t="str">
        <f>IF(Ninth!F152="", "",Ninth!F152)</f>
        <v/>
      </c>
      <c r="G2149" s="66" t="str">
        <f>IF(Ninth!G152="", "",Ninth!G152)</f>
        <v/>
      </c>
      <c r="H2149" s="66" t="str">
        <f>IF(Ninth!H152="", "",Ninth!H152)</f>
        <v/>
      </c>
      <c r="I2149" s="66" t="str">
        <f>IF(Ninth!I152="", "",Ninth!I152)</f>
        <v/>
      </c>
      <c r="J2149" s="66" t="str">
        <f>IF(Ninth!J152="", "",Ninth!J152)</f>
        <v/>
      </c>
      <c r="K2149" s="86" t="str">
        <f>IF(Ninth!K152="", "",Ninth!K152)</f>
        <v/>
      </c>
      <c r="M2149" s="67" t="str">
        <f t="shared" si="101"/>
        <v/>
      </c>
      <c r="N2149" s="76" t="str">
        <f t="shared" si="102"/>
        <v/>
      </c>
      <c r="O2149" s="33">
        <f t="shared" si="100"/>
        <v>0</v>
      </c>
    </row>
    <row r="2150" spans="1:15" x14ac:dyDescent="0.25">
      <c r="A2150" s="64" t="s">
        <v>182</v>
      </c>
      <c r="B2150" s="79" t="str">
        <f>IF(Ninth!B153="", "",Ninth!B153)</f>
        <v/>
      </c>
      <c r="C2150" s="66" t="str">
        <f>IF(Ninth!C153="", "",Ninth!C153)</f>
        <v/>
      </c>
      <c r="D2150" s="66" t="str">
        <f>IF(Ninth!D153="", "",Ninth!D153)</f>
        <v/>
      </c>
      <c r="E2150" s="66" t="str">
        <f>IF(Ninth!E153="", "",Ninth!E153)</f>
        <v/>
      </c>
      <c r="F2150" s="66" t="str">
        <f>IF(Ninth!F153="", "",Ninth!F153)</f>
        <v/>
      </c>
      <c r="G2150" s="66" t="str">
        <f>IF(Ninth!G153="", "",Ninth!G153)</f>
        <v/>
      </c>
      <c r="H2150" s="66" t="str">
        <f>IF(Ninth!H153="", "",Ninth!H153)</f>
        <v/>
      </c>
      <c r="I2150" s="66" t="str">
        <f>IF(Ninth!I153="", "",Ninth!I153)</f>
        <v/>
      </c>
      <c r="J2150" s="66" t="str">
        <f>IF(Ninth!J153="", "",Ninth!J153)</f>
        <v/>
      </c>
      <c r="K2150" s="86" t="str">
        <f>IF(Ninth!K153="", "",Ninth!K153)</f>
        <v/>
      </c>
      <c r="M2150" s="67" t="str">
        <f t="shared" si="101"/>
        <v/>
      </c>
      <c r="N2150" s="76" t="str">
        <f t="shared" si="102"/>
        <v/>
      </c>
      <c r="O2150" s="33">
        <f t="shared" si="100"/>
        <v>0</v>
      </c>
    </row>
    <row r="2151" spans="1:15" x14ac:dyDescent="0.25">
      <c r="A2151" s="64" t="s">
        <v>182</v>
      </c>
      <c r="B2151" s="79" t="str">
        <f>IF(Ninth!B154="", "",Ninth!B154)</f>
        <v/>
      </c>
      <c r="C2151" s="66" t="str">
        <f>IF(Ninth!C154="", "",Ninth!C154)</f>
        <v/>
      </c>
      <c r="D2151" s="66" t="str">
        <f>IF(Ninth!D154="", "",Ninth!D154)</f>
        <v/>
      </c>
      <c r="E2151" s="66" t="str">
        <f>IF(Ninth!E154="", "",Ninth!E154)</f>
        <v/>
      </c>
      <c r="F2151" s="66" t="str">
        <f>IF(Ninth!F154="", "",Ninth!F154)</f>
        <v/>
      </c>
      <c r="G2151" s="66" t="str">
        <f>IF(Ninth!G154="", "",Ninth!G154)</f>
        <v/>
      </c>
      <c r="H2151" s="66" t="str">
        <f>IF(Ninth!H154="", "",Ninth!H154)</f>
        <v/>
      </c>
      <c r="I2151" s="66" t="str">
        <f>IF(Ninth!I154="", "",Ninth!I154)</f>
        <v/>
      </c>
      <c r="J2151" s="66" t="str">
        <f>IF(Ninth!J154="", "",Ninth!J154)</f>
        <v/>
      </c>
      <c r="K2151" s="86" t="str">
        <f>IF(Ninth!K154="", "",Ninth!K154)</f>
        <v/>
      </c>
      <c r="M2151" s="67" t="str">
        <f t="shared" si="101"/>
        <v/>
      </c>
      <c r="N2151" s="76" t="str">
        <f t="shared" si="102"/>
        <v/>
      </c>
      <c r="O2151" s="33">
        <f t="shared" si="100"/>
        <v>0</v>
      </c>
    </row>
    <row r="2152" spans="1:15" x14ac:dyDescent="0.25">
      <c r="A2152" s="64" t="s">
        <v>182</v>
      </c>
      <c r="B2152" s="79" t="str">
        <f>IF(Ninth!B155="", "",Ninth!B155)</f>
        <v/>
      </c>
      <c r="C2152" s="66" t="str">
        <f>IF(Ninth!C155="", "",Ninth!C155)</f>
        <v/>
      </c>
      <c r="D2152" s="66" t="str">
        <f>IF(Ninth!D155="", "",Ninth!D155)</f>
        <v/>
      </c>
      <c r="E2152" s="66" t="str">
        <f>IF(Ninth!E155="", "",Ninth!E155)</f>
        <v/>
      </c>
      <c r="F2152" s="66" t="str">
        <f>IF(Ninth!F155="", "",Ninth!F155)</f>
        <v/>
      </c>
      <c r="G2152" s="66" t="str">
        <f>IF(Ninth!G155="", "",Ninth!G155)</f>
        <v/>
      </c>
      <c r="H2152" s="66" t="str">
        <f>IF(Ninth!H155="", "",Ninth!H155)</f>
        <v/>
      </c>
      <c r="I2152" s="66" t="str">
        <f>IF(Ninth!I155="", "",Ninth!I155)</f>
        <v/>
      </c>
      <c r="J2152" s="66" t="str">
        <f>IF(Ninth!J155="", "",Ninth!J155)</f>
        <v/>
      </c>
      <c r="K2152" s="86" t="str">
        <f>IF(Ninth!K155="", "",Ninth!K155)</f>
        <v/>
      </c>
      <c r="M2152" s="67" t="str">
        <f t="shared" si="101"/>
        <v/>
      </c>
      <c r="N2152" s="76" t="str">
        <f t="shared" si="102"/>
        <v/>
      </c>
      <c r="O2152" s="33">
        <f t="shared" si="100"/>
        <v>0</v>
      </c>
    </row>
    <row r="2153" spans="1:15" x14ac:dyDescent="0.25">
      <c r="A2153" s="64" t="s">
        <v>182</v>
      </c>
      <c r="B2153" s="79" t="str">
        <f>IF(Ninth!B156="", "",Ninth!B156)</f>
        <v/>
      </c>
      <c r="C2153" s="66" t="str">
        <f>IF(Ninth!C156="", "",Ninth!C156)</f>
        <v/>
      </c>
      <c r="D2153" s="66" t="str">
        <f>IF(Ninth!D156="", "",Ninth!D156)</f>
        <v/>
      </c>
      <c r="E2153" s="66" t="str">
        <f>IF(Ninth!E156="", "",Ninth!E156)</f>
        <v/>
      </c>
      <c r="F2153" s="66" t="str">
        <f>IF(Ninth!F156="", "",Ninth!F156)</f>
        <v/>
      </c>
      <c r="G2153" s="66" t="str">
        <f>IF(Ninth!G156="", "",Ninth!G156)</f>
        <v/>
      </c>
      <c r="H2153" s="66" t="str">
        <f>IF(Ninth!H156="", "",Ninth!H156)</f>
        <v/>
      </c>
      <c r="I2153" s="66" t="str">
        <f>IF(Ninth!I156="", "",Ninth!I156)</f>
        <v/>
      </c>
      <c r="J2153" s="66" t="str">
        <f>IF(Ninth!J156="", "",Ninth!J156)</f>
        <v/>
      </c>
      <c r="K2153" s="86" t="str">
        <f>IF(Ninth!K156="", "",Ninth!K156)</f>
        <v/>
      </c>
      <c r="M2153" s="67" t="str">
        <f t="shared" si="101"/>
        <v/>
      </c>
      <c r="N2153" s="76" t="str">
        <f t="shared" si="102"/>
        <v/>
      </c>
      <c r="O2153" s="33">
        <f t="shared" si="100"/>
        <v>0</v>
      </c>
    </row>
    <row r="2154" spans="1:15" x14ac:dyDescent="0.25">
      <c r="A2154" s="64" t="s">
        <v>182</v>
      </c>
      <c r="B2154" s="79" t="str">
        <f>IF(Ninth!B157="", "",Ninth!B157)</f>
        <v/>
      </c>
      <c r="C2154" s="66" t="str">
        <f>IF(Ninth!C157="", "",Ninth!C157)</f>
        <v/>
      </c>
      <c r="D2154" s="66" t="str">
        <f>IF(Ninth!D157="", "",Ninth!D157)</f>
        <v/>
      </c>
      <c r="E2154" s="66" t="str">
        <f>IF(Ninth!E157="", "",Ninth!E157)</f>
        <v/>
      </c>
      <c r="F2154" s="66" t="str">
        <f>IF(Ninth!F157="", "",Ninth!F157)</f>
        <v/>
      </c>
      <c r="G2154" s="66" t="str">
        <f>IF(Ninth!G157="", "",Ninth!G157)</f>
        <v/>
      </c>
      <c r="H2154" s="66" t="str">
        <f>IF(Ninth!H157="", "",Ninth!H157)</f>
        <v/>
      </c>
      <c r="I2154" s="66" t="str">
        <f>IF(Ninth!I157="", "",Ninth!I157)</f>
        <v/>
      </c>
      <c r="J2154" s="66" t="str">
        <f>IF(Ninth!J157="", "",Ninth!J157)</f>
        <v/>
      </c>
      <c r="K2154" s="86" t="str">
        <f>IF(Ninth!K157="", "",Ninth!K157)</f>
        <v/>
      </c>
      <c r="M2154" s="67" t="str">
        <f t="shared" si="101"/>
        <v/>
      </c>
      <c r="N2154" s="76" t="str">
        <f t="shared" si="102"/>
        <v/>
      </c>
      <c r="O2154" s="33">
        <f t="shared" si="100"/>
        <v>0</v>
      </c>
    </row>
    <row r="2155" spans="1:15" x14ac:dyDescent="0.25">
      <c r="A2155" s="64" t="s">
        <v>182</v>
      </c>
      <c r="B2155" s="79" t="str">
        <f>IF(Ninth!B158="", "",Ninth!B158)</f>
        <v/>
      </c>
      <c r="C2155" s="66" t="str">
        <f>IF(Ninth!C158="", "",Ninth!C158)</f>
        <v/>
      </c>
      <c r="D2155" s="66" t="str">
        <f>IF(Ninth!D158="", "",Ninth!D158)</f>
        <v/>
      </c>
      <c r="E2155" s="66" t="str">
        <f>IF(Ninth!E158="", "",Ninth!E158)</f>
        <v/>
      </c>
      <c r="F2155" s="66" t="str">
        <f>IF(Ninth!F158="", "",Ninth!F158)</f>
        <v/>
      </c>
      <c r="G2155" s="66" t="str">
        <f>IF(Ninth!G158="", "",Ninth!G158)</f>
        <v/>
      </c>
      <c r="H2155" s="66" t="str">
        <f>IF(Ninth!H158="", "",Ninth!H158)</f>
        <v/>
      </c>
      <c r="I2155" s="66" t="str">
        <f>IF(Ninth!I158="", "",Ninth!I158)</f>
        <v/>
      </c>
      <c r="J2155" s="66" t="str">
        <f>IF(Ninth!J158="", "",Ninth!J158)</f>
        <v/>
      </c>
      <c r="K2155" s="86" t="str">
        <f>IF(Ninth!K158="", "",Ninth!K158)</f>
        <v/>
      </c>
      <c r="M2155" s="67" t="str">
        <f t="shared" si="101"/>
        <v/>
      </c>
      <c r="N2155" s="76" t="str">
        <f t="shared" si="102"/>
        <v/>
      </c>
      <c r="O2155" s="33">
        <f t="shared" si="100"/>
        <v>0</v>
      </c>
    </row>
    <row r="2156" spans="1:15" x14ac:dyDescent="0.25">
      <c r="A2156" s="64" t="s">
        <v>182</v>
      </c>
      <c r="B2156" s="79" t="str">
        <f>IF(Ninth!B159="", "",Ninth!B159)</f>
        <v/>
      </c>
      <c r="C2156" s="66" t="str">
        <f>IF(Ninth!C159="", "",Ninth!C159)</f>
        <v/>
      </c>
      <c r="D2156" s="66" t="str">
        <f>IF(Ninth!D159="", "",Ninth!D159)</f>
        <v/>
      </c>
      <c r="E2156" s="66" t="str">
        <f>IF(Ninth!E159="", "",Ninth!E159)</f>
        <v/>
      </c>
      <c r="F2156" s="66" t="str">
        <f>IF(Ninth!F159="", "",Ninth!F159)</f>
        <v/>
      </c>
      <c r="G2156" s="66" t="str">
        <f>IF(Ninth!G159="", "",Ninth!G159)</f>
        <v/>
      </c>
      <c r="H2156" s="66" t="str">
        <f>IF(Ninth!H159="", "",Ninth!H159)</f>
        <v/>
      </c>
      <c r="I2156" s="66" t="str">
        <f>IF(Ninth!I159="", "",Ninth!I159)</f>
        <v/>
      </c>
      <c r="J2156" s="66" t="str">
        <f>IF(Ninth!J159="", "",Ninth!J159)</f>
        <v/>
      </c>
      <c r="K2156" s="86" t="str">
        <f>IF(Ninth!K159="", "",Ninth!K159)</f>
        <v/>
      </c>
      <c r="M2156" s="67" t="str">
        <f t="shared" si="101"/>
        <v/>
      </c>
      <c r="N2156" s="76" t="str">
        <f t="shared" si="102"/>
        <v/>
      </c>
      <c r="O2156" s="33">
        <f t="shared" si="100"/>
        <v>0</v>
      </c>
    </row>
    <row r="2157" spans="1:15" x14ac:dyDescent="0.25">
      <c r="A2157" s="64" t="s">
        <v>182</v>
      </c>
      <c r="B2157" s="79" t="str">
        <f>IF(Ninth!B160="", "",Ninth!B160)</f>
        <v/>
      </c>
      <c r="C2157" s="66" t="str">
        <f>IF(Ninth!C160="", "",Ninth!C160)</f>
        <v/>
      </c>
      <c r="D2157" s="66" t="str">
        <f>IF(Ninth!D160="", "",Ninth!D160)</f>
        <v/>
      </c>
      <c r="E2157" s="66" t="str">
        <f>IF(Ninth!E160="", "",Ninth!E160)</f>
        <v/>
      </c>
      <c r="F2157" s="66" t="str">
        <f>IF(Ninth!F160="", "",Ninth!F160)</f>
        <v/>
      </c>
      <c r="G2157" s="66" t="str">
        <f>IF(Ninth!G160="", "",Ninth!G160)</f>
        <v/>
      </c>
      <c r="H2157" s="66" t="str">
        <f>IF(Ninth!H160="", "",Ninth!H160)</f>
        <v/>
      </c>
      <c r="I2157" s="66" t="str">
        <f>IF(Ninth!I160="", "",Ninth!I160)</f>
        <v/>
      </c>
      <c r="J2157" s="66" t="str">
        <f>IF(Ninth!J160="", "",Ninth!J160)</f>
        <v/>
      </c>
      <c r="K2157" s="86" t="str">
        <f>IF(Ninth!K160="", "",Ninth!K160)</f>
        <v/>
      </c>
      <c r="M2157" s="67" t="str">
        <f t="shared" si="101"/>
        <v/>
      </c>
      <c r="N2157" s="76" t="str">
        <f t="shared" si="102"/>
        <v/>
      </c>
      <c r="O2157" s="33">
        <f t="shared" si="100"/>
        <v>0</v>
      </c>
    </row>
    <row r="2158" spans="1:15" x14ac:dyDescent="0.25">
      <c r="A2158" s="64" t="s">
        <v>182</v>
      </c>
      <c r="B2158" s="79" t="str">
        <f>IF(Ninth!B161="", "",Ninth!B161)</f>
        <v/>
      </c>
      <c r="C2158" s="66" t="str">
        <f>IF(Ninth!C161="", "",Ninth!C161)</f>
        <v/>
      </c>
      <c r="D2158" s="66" t="str">
        <f>IF(Ninth!D161="", "",Ninth!D161)</f>
        <v/>
      </c>
      <c r="E2158" s="66" t="str">
        <f>IF(Ninth!E161="", "",Ninth!E161)</f>
        <v/>
      </c>
      <c r="F2158" s="66" t="str">
        <f>IF(Ninth!F161="", "",Ninth!F161)</f>
        <v/>
      </c>
      <c r="G2158" s="66" t="str">
        <f>IF(Ninth!G161="", "",Ninth!G161)</f>
        <v/>
      </c>
      <c r="H2158" s="66" t="str">
        <f>IF(Ninth!H161="", "",Ninth!H161)</f>
        <v/>
      </c>
      <c r="I2158" s="66" t="str">
        <f>IF(Ninth!I161="", "",Ninth!I161)</f>
        <v/>
      </c>
      <c r="J2158" s="66" t="str">
        <f>IF(Ninth!J161="", "",Ninth!J161)</f>
        <v/>
      </c>
      <c r="K2158" s="86" t="str">
        <f>IF(Ninth!K161="", "",Ninth!K161)</f>
        <v/>
      </c>
      <c r="M2158" s="67" t="str">
        <f t="shared" si="101"/>
        <v/>
      </c>
      <c r="N2158" s="76" t="str">
        <f t="shared" si="102"/>
        <v/>
      </c>
      <c r="O2158" s="33">
        <f t="shared" si="100"/>
        <v>0</v>
      </c>
    </row>
    <row r="2159" spans="1:15" x14ac:dyDescent="0.25">
      <c r="A2159" s="64" t="s">
        <v>182</v>
      </c>
      <c r="B2159" s="79" t="str">
        <f>IF(Ninth!B162="", "",Ninth!B162)</f>
        <v/>
      </c>
      <c r="C2159" s="66" t="str">
        <f>IF(Ninth!C162="", "",Ninth!C162)</f>
        <v/>
      </c>
      <c r="D2159" s="66" t="str">
        <f>IF(Ninth!D162="", "",Ninth!D162)</f>
        <v/>
      </c>
      <c r="E2159" s="66" t="str">
        <f>IF(Ninth!E162="", "",Ninth!E162)</f>
        <v/>
      </c>
      <c r="F2159" s="66" t="str">
        <f>IF(Ninth!F162="", "",Ninth!F162)</f>
        <v/>
      </c>
      <c r="G2159" s="66" t="str">
        <f>IF(Ninth!G162="", "",Ninth!G162)</f>
        <v/>
      </c>
      <c r="H2159" s="66" t="str">
        <f>IF(Ninth!H162="", "",Ninth!H162)</f>
        <v/>
      </c>
      <c r="I2159" s="66" t="str">
        <f>IF(Ninth!I162="", "",Ninth!I162)</f>
        <v/>
      </c>
      <c r="J2159" s="66" t="str">
        <f>IF(Ninth!J162="", "",Ninth!J162)</f>
        <v/>
      </c>
      <c r="K2159" s="86" t="str">
        <f>IF(Ninth!K162="", "",Ninth!K162)</f>
        <v/>
      </c>
      <c r="M2159" s="67" t="str">
        <f t="shared" si="101"/>
        <v/>
      </c>
      <c r="N2159" s="76" t="str">
        <f t="shared" si="102"/>
        <v/>
      </c>
      <c r="O2159" s="33">
        <f t="shared" si="100"/>
        <v>0</v>
      </c>
    </row>
    <row r="2160" spans="1:15" x14ac:dyDescent="0.25">
      <c r="A2160" s="64" t="s">
        <v>182</v>
      </c>
      <c r="B2160" s="79" t="str">
        <f>IF(Ninth!B163="", "",Ninth!B163)</f>
        <v/>
      </c>
      <c r="C2160" s="66" t="str">
        <f>IF(Ninth!C163="", "",Ninth!C163)</f>
        <v/>
      </c>
      <c r="D2160" s="66" t="str">
        <f>IF(Ninth!D163="", "",Ninth!D163)</f>
        <v/>
      </c>
      <c r="E2160" s="66" t="str">
        <f>IF(Ninth!E163="", "",Ninth!E163)</f>
        <v/>
      </c>
      <c r="F2160" s="66" t="str">
        <f>IF(Ninth!F163="", "",Ninth!F163)</f>
        <v/>
      </c>
      <c r="G2160" s="66" t="str">
        <f>IF(Ninth!G163="", "",Ninth!G163)</f>
        <v/>
      </c>
      <c r="H2160" s="66" t="str">
        <f>IF(Ninth!H163="", "",Ninth!H163)</f>
        <v/>
      </c>
      <c r="I2160" s="66" t="str">
        <f>IF(Ninth!I163="", "",Ninth!I163)</f>
        <v/>
      </c>
      <c r="J2160" s="66" t="str">
        <f>IF(Ninth!J163="", "",Ninth!J163)</f>
        <v/>
      </c>
      <c r="K2160" s="86" t="str">
        <f>IF(Ninth!K163="", "",Ninth!K163)</f>
        <v/>
      </c>
      <c r="M2160" s="67" t="str">
        <f t="shared" si="101"/>
        <v/>
      </c>
      <c r="N2160" s="76" t="str">
        <f t="shared" si="102"/>
        <v/>
      </c>
      <c r="O2160" s="33">
        <f t="shared" si="100"/>
        <v>0</v>
      </c>
    </row>
    <row r="2161" spans="1:15" x14ac:dyDescent="0.25">
      <c r="A2161" s="64" t="s">
        <v>182</v>
      </c>
      <c r="B2161" s="79" t="str">
        <f>IF(Ninth!B164="", "",Ninth!B164)</f>
        <v/>
      </c>
      <c r="C2161" s="66" t="str">
        <f>IF(Ninth!C164="", "",Ninth!C164)</f>
        <v/>
      </c>
      <c r="D2161" s="66" t="str">
        <f>IF(Ninth!D164="", "",Ninth!D164)</f>
        <v/>
      </c>
      <c r="E2161" s="66" t="str">
        <f>IF(Ninth!E164="", "",Ninth!E164)</f>
        <v/>
      </c>
      <c r="F2161" s="66" t="str">
        <f>IF(Ninth!F164="", "",Ninth!F164)</f>
        <v/>
      </c>
      <c r="G2161" s="66" t="str">
        <f>IF(Ninth!G164="", "",Ninth!G164)</f>
        <v/>
      </c>
      <c r="H2161" s="66" t="str">
        <f>IF(Ninth!H164="", "",Ninth!H164)</f>
        <v/>
      </c>
      <c r="I2161" s="66" t="str">
        <f>IF(Ninth!I164="", "",Ninth!I164)</f>
        <v/>
      </c>
      <c r="J2161" s="66" t="str">
        <f>IF(Ninth!J164="", "",Ninth!J164)</f>
        <v/>
      </c>
      <c r="K2161" s="86" t="str">
        <f>IF(Ninth!K164="", "",Ninth!K164)</f>
        <v/>
      </c>
      <c r="M2161" s="67" t="str">
        <f t="shared" si="101"/>
        <v/>
      </c>
      <c r="N2161" s="76" t="str">
        <f t="shared" si="102"/>
        <v/>
      </c>
      <c r="O2161" s="33">
        <f t="shared" si="100"/>
        <v>0</v>
      </c>
    </row>
    <row r="2162" spans="1:15" x14ac:dyDescent="0.25">
      <c r="A2162" s="64" t="s">
        <v>182</v>
      </c>
      <c r="B2162" s="79" t="str">
        <f>IF(Ninth!B165="", "",Ninth!B165)</f>
        <v/>
      </c>
      <c r="C2162" s="66" t="str">
        <f>IF(Ninth!C165="", "",Ninth!C165)</f>
        <v/>
      </c>
      <c r="D2162" s="66" t="str">
        <f>IF(Ninth!D165="", "",Ninth!D165)</f>
        <v/>
      </c>
      <c r="E2162" s="66" t="str">
        <f>IF(Ninth!E165="", "",Ninth!E165)</f>
        <v/>
      </c>
      <c r="F2162" s="66" t="str">
        <f>IF(Ninth!F165="", "",Ninth!F165)</f>
        <v/>
      </c>
      <c r="G2162" s="66" t="str">
        <f>IF(Ninth!G165="", "",Ninth!G165)</f>
        <v/>
      </c>
      <c r="H2162" s="66" t="str">
        <f>IF(Ninth!H165="", "",Ninth!H165)</f>
        <v/>
      </c>
      <c r="I2162" s="66" t="str">
        <f>IF(Ninth!I165="", "",Ninth!I165)</f>
        <v/>
      </c>
      <c r="J2162" s="66" t="str">
        <f>IF(Ninth!J165="", "",Ninth!J165)</f>
        <v/>
      </c>
      <c r="K2162" s="86" t="str">
        <f>IF(Ninth!K165="", "",Ninth!K165)</f>
        <v/>
      </c>
      <c r="M2162" s="67" t="str">
        <f t="shared" si="101"/>
        <v/>
      </c>
      <c r="N2162" s="76" t="str">
        <f t="shared" si="102"/>
        <v/>
      </c>
      <c r="O2162" s="33">
        <f t="shared" si="100"/>
        <v>0</v>
      </c>
    </row>
    <row r="2163" spans="1:15" x14ac:dyDescent="0.25">
      <c r="A2163" s="64" t="s">
        <v>182</v>
      </c>
      <c r="B2163" s="79" t="str">
        <f>IF(Ninth!B166="", "",Ninth!B166)</f>
        <v/>
      </c>
      <c r="C2163" s="66" t="str">
        <f>IF(Ninth!C166="", "",Ninth!C166)</f>
        <v/>
      </c>
      <c r="D2163" s="66" t="str">
        <f>IF(Ninth!D166="", "",Ninth!D166)</f>
        <v/>
      </c>
      <c r="E2163" s="66" t="str">
        <f>IF(Ninth!E166="", "",Ninth!E166)</f>
        <v/>
      </c>
      <c r="F2163" s="66" t="str">
        <f>IF(Ninth!F166="", "",Ninth!F166)</f>
        <v/>
      </c>
      <c r="G2163" s="66" t="str">
        <f>IF(Ninth!G166="", "",Ninth!G166)</f>
        <v/>
      </c>
      <c r="H2163" s="66" t="str">
        <f>IF(Ninth!H166="", "",Ninth!H166)</f>
        <v/>
      </c>
      <c r="I2163" s="66" t="str">
        <f>IF(Ninth!I166="", "",Ninth!I166)</f>
        <v/>
      </c>
      <c r="J2163" s="66" t="str">
        <f>IF(Ninth!J166="", "",Ninth!J166)</f>
        <v/>
      </c>
      <c r="K2163" s="86" t="str">
        <f>IF(Ninth!K166="", "",Ninth!K166)</f>
        <v/>
      </c>
      <c r="M2163" s="67" t="str">
        <f t="shared" si="101"/>
        <v/>
      </c>
      <c r="N2163" s="76" t="str">
        <f t="shared" si="102"/>
        <v/>
      </c>
      <c r="O2163" s="33">
        <f t="shared" si="100"/>
        <v>0</v>
      </c>
    </row>
    <row r="2164" spans="1:15" x14ac:dyDescent="0.25">
      <c r="A2164" s="64" t="s">
        <v>182</v>
      </c>
      <c r="B2164" s="79" t="str">
        <f>IF(Ninth!B167="", "",Ninth!B167)</f>
        <v/>
      </c>
      <c r="C2164" s="66" t="str">
        <f>IF(Ninth!C167="", "",Ninth!C167)</f>
        <v/>
      </c>
      <c r="D2164" s="66" t="str">
        <f>IF(Ninth!D167="", "",Ninth!D167)</f>
        <v/>
      </c>
      <c r="E2164" s="66" t="str">
        <f>IF(Ninth!E167="", "",Ninth!E167)</f>
        <v/>
      </c>
      <c r="F2164" s="66" t="str">
        <f>IF(Ninth!F167="", "",Ninth!F167)</f>
        <v/>
      </c>
      <c r="G2164" s="66" t="str">
        <f>IF(Ninth!G167="", "",Ninth!G167)</f>
        <v/>
      </c>
      <c r="H2164" s="66" t="str">
        <f>IF(Ninth!H167="", "",Ninth!H167)</f>
        <v/>
      </c>
      <c r="I2164" s="66" t="str">
        <f>IF(Ninth!I167="", "",Ninth!I167)</f>
        <v/>
      </c>
      <c r="J2164" s="66" t="str">
        <f>IF(Ninth!J167="", "",Ninth!J167)</f>
        <v/>
      </c>
      <c r="K2164" s="86" t="str">
        <f>IF(Ninth!K167="", "",Ninth!K167)</f>
        <v/>
      </c>
      <c r="M2164" s="67" t="str">
        <f t="shared" si="101"/>
        <v/>
      </c>
      <c r="N2164" s="76" t="str">
        <f t="shared" si="102"/>
        <v/>
      </c>
      <c r="O2164" s="33">
        <f t="shared" si="100"/>
        <v>0</v>
      </c>
    </row>
    <row r="2165" spans="1:15" x14ac:dyDescent="0.25">
      <c r="A2165" s="64" t="s">
        <v>182</v>
      </c>
      <c r="B2165" s="79" t="str">
        <f>IF(Ninth!B168="", "",Ninth!B168)</f>
        <v/>
      </c>
      <c r="C2165" s="66" t="str">
        <f>IF(Ninth!C168="", "",Ninth!C168)</f>
        <v/>
      </c>
      <c r="D2165" s="66" t="str">
        <f>IF(Ninth!D168="", "",Ninth!D168)</f>
        <v/>
      </c>
      <c r="E2165" s="66" t="str">
        <f>IF(Ninth!E168="", "",Ninth!E168)</f>
        <v/>
      </c>
      <c r="F2165" s="66" t="str">
        <f>IF(Ninth!F168="", "",Ninth!F168)</f>
        <v/>
      </c>
      <c r="G2165" s="66" t="str">
        <f>IF(Ninth!G168="", "",Ninth!G168)</f>
        <v/>
      </c>
      <c r="H2165" s="66" t="str">
        <f>IF(Ninth!H168="", "",Ninth!H168)</f>
        <v/>
      </c>
      <c r="I2165" s="66" t="str">
        <f>IF(Ninth!I168="", "",Ninth!I168)</f>
        <v/>
      </c>
      <c r="J2165" s="66" t="str">
        <f>IF(Ninth!J168="", "",Ninth!J168)</f>
        <v/>
      </c>
      <c r="K2165" s="86" t="str">
        <f>IF(Ninth!K168="", "",Ninth!K168)</f>
        <v/>
      </c>
      <c r="M2165" s="67" t="str">
        <f t="shared" si="101"/>
        <v/>
      </c>
      <c r="N2165" s="76" t="str">
        <f t="shared" si="102"/>
        <v/>
      </c>
      <c r="O2165" s="33">
        <f t="shared" si="100"/>
        <v>0</v>
      </c>
    </row>
    <row r="2166" spans="1:15" x14ac:dyDescent="0.25">
      <c r="A2166" s="64" t="s">
        <v>182</v>
      </c>
      <c r="B2166" s="79" t="str">
        <f>IF(Ninth!B169="", "",Ninth!B169)</f>
        <v/>
      </c>
      <c r="C2166" s="66" t="str">
        <f>IF(Ninth!C169="", "",Ninth!C169)</f>
        <v/>
      </c>
      <c r="D2166" s="66" t="str">
        <f>IF(Ninth!D169="", "",Ninth!D169)</f>
        <v/>
      </c>
      <c r="E2166" s="66" t="str">
        <f>IF(Ninth!E169="", "",Ninth!E169)</f>
        <v/>
      </c>
      <c r="F2166" s="66" t="str">
        <f>IF(Ninth!F169="", "",Ninth!F169)</f>
        <v/>
      </c>
      <c r="G2166" s="66" t="str">
        <f>IF(Ninth!G169="", "",Ninth!G169)</f>
        <v/>
      </c>
      <c r="H2166" s="66" t="str">
        <f>IF(Ninth!H169="", "",Ninth!H169)</f>
        <v/>
      </c>
      <c r="I2166" s="66" t="str">
        <f>IF(Ninth!I169="", "",Ninth!I169)</f>
        <v/>
      </c>
      <c r="J2166" s="66" t="str">
        <f>IF(Ninth!J169="", "",Ninth!J169)</f>
        <v/>
      </c>
      <c r="K2166" s="86" t="str">
        <f>IF(Ninth!K169="", "",Ninth!K169)</f>
        <v/>
      </c>
      <c r="M2166" s="67" t="str">
        <f t="shared" si="101"/>
        <v/>
      </c>
      <c r="N2166" s="76" t="str">
        <f t="shared" si="102"/>
        <v/>
      </c>
      <c r="O2166" s="33">
        <f t="shared" si="100"/>
        <v>0</v>
      </c>
    </row>
    <row r="2167" spans="1:15" x14ac:dyDescent="0.25">
      <c r="A2167" s="64" t="s">
        <v>182</v>
      </c>
      <c r="B2167" s="79" t="str">
        <f>IF(Ninth!B170="", "",Ninth!B170)</f>
        <v/>
      </c>
      <c r="C2167" s="66" t="str">
        <f>IF(Ninth!C170="", "",Ninth!C170)</f>
        <v/>
      </c>
      <c r="D2167" s="66" t="str">
        <f>IF(Ninth!D170="", "",Ninth!D170)</f>
        <v/>
      </c>
      <c r="E2167" s="66" t="str">
        <f>IF(Ninth!E170="", "",Ninth!E170)</f>
        <v/>
      </c>
      <c r="F2167" s="66" t="str">
        <f>IF(Ninth!F170="", "",Ninth!F170)</f>
        <v/>
      </c>
      <c r="G2167" s="66" t="str">
        <f>IF(Ninth!G170="", "",Ninth!G170)</f>
        <v/>
      </c>
      <c r="H2167" s="66" t="str">
        <f>IF(Ninth!H170="", "",Ninth!H170)</f>
        <v/>
      </c>
      <c r="I2167" s="66" t="str">
        <f>IF(Ninth!I170="", "",Ninth!I170)</f>
        <v/>
      </c>
      <c r="J2167" s="66" t="str">
        <f>IF(Ninth!J170="", "",Ninth!J170)</f>
        <v/>
      </c>
      <c r="K2167" s="86" t="str">
        <f>IF(Ninth!K170="", "",Ninth!K170)</f>
        <v/>
      </c>
      <c r="M2167" s="67" t="str">
        <f t="shared" si="101"/>
        <v/>
      </c>
      <c r="N2167" s="76" t="str">
        <f t="shared" si="102"/>
        <v/>
      </c>
      <c r="O2167" s="33">
        <f t="shared" si="100"/>
        <v>0</v>
      </c>
    </row>
    <row r="2168" spans="1:15" x14ac:dyDescent="0.25">
      <c r="A2168" s="64" t="s">
        <v>182</v>
      </c>
      <c r="B2168" s="79" t="str">
        <f>IF(Ninth!B171="", "",Ninth!B171)</f>
        <v/>
      </c>
      <c r="C2168" s="66" t="str">
        <f>IF(Ninth!C171="", "",Ninth!C171)</f>
        <v/>
      </c>
      <c r="D2168" s="66" t="str">
        <f>IF(Ninth!D171="", "",Ninth!D171)</f>
        <v/>
      </c>
      <c r="E2168" s="66" t="str">
        <f>IF(Ninth!E171="", "",Ninth!E171)</f>
        <v/>
      </c>
      <c r="F2168" s="66" t="str">
        <f>IF(Ninth!F171="", "",Ninth!F171)</f>
        <v/>
      </c>
      <c r="G2168" s="66" t="str">
        <f>IF(Ninth!G171="", "",Ninth!G171)</f>
        <v/>
      </c>
      <c r="H2168" s="66" t="str">
        <f>IF(Ninth!H171="", "",Ninth!H171)</f>
        <v/>
      </c>
      <c r="I2168" s="66" t="str">
        <f>IF(Ninth!I171="", "",Ninth!I171)</f>
        <v/>
      </c>
      <c r="J2168" s="66" t="str">
        <f>IF(Ninth!J171="", "",Ninth!J171)</f>
        <v/>
      </c>
      <c r="K2168" s="86" t="str">
        <f>IF(Ninth!K171="", "",Ninth!K171)</f>
        <v/>
      </c>
      <c r="M2168" s="67" t="str">
        <f t="shared" si="101"/>
        <v/>
      </c>
      <c r="N2168" s="76" t="str">
        <f t="shared" si="102"/>
        <v/>
      </c>
      <c r="O2168" s="33">
        <f t="shared" si="100"/>
        <v>0</v>
      </c>
    </row>
    <row r="2169" spans="1:15" x14ac:dyDescent="0.25">
      <c r="A2169" s="64" t="s">
        <v>182</v>
      </c>
      <c r="B2169" s="79" t="str">
        <f>IF(Ninth!B172="", "",Ninth!B172)</f>
        <v/>
      </c>
      <c r="C2169" s="66" t="str">
        <f>IF(Ninth!C172="", "",Ninth!C172)</f>
        <v/>
      </c>
      <c r="D2169" s="66" t="str">
        <f>IF(Ninth!D172="", "",Ninth!D172)</f>
        <v/>
      </c>
      <c r="E2169" s="66" t="str">
        <f>IF(Ninth!E172="", "",Ninth!E172)</f>
        <v/>
      </c>
      <c r="F2169" s="66" t="str">
        <f>IF(Ninth!F172="", "",Ninth!F172)</f>
        <v/>
      </c>
      <c r="G2169" s="66" t="str">
        <f>IF(Ninth!G172="", "",Ninth!G172)</f>
        <v/>
      </c>
      <c r="H2169" s="66" t="str">
        <f>IF(Ninth!H172="", "",Ninth!H172)</f>
        <v/>
      </c>
      <c r="I2169" s="66" t="str">
        <f>IF(Ninth!I172="", "",Ninth!I172)</f>
        <v/>
      </c>
      <c r="J2169" s="66" t="str">
        <f>IF(Ninth!J172="", "",Ninth!J172)</f>
        <v/>
      </c>
      <c r="K2169" s="86" t="str">
        <f>IF(Ninth!K172="", "",Ninth!K172)</f>
        <v/>
      </c>
      <c r="M2169" s="67" t="str">
        <f t="shared" si="101"/>
        <v/>
      </c>
      <c r="N2169" s="76" t="str">
        <f t="shared" si="102"/>
        <v/>
      </c>
      <c r="O2169" s="33">
        <f t="shared" si="100"/>
        <v>0</v>
      </c>
    </row>
    <row r="2170" spans="1:15" x14ac:dyDescent="0.25">
      <c r="A2170" s="64" t="s">
        <v>182</v>
      </c>
      <c r="B2170" s="79" t="str">
        <f>IF(Ninth!B173="", "",Ninth!B173)</f>
        <v/>
      </c>
      <c r="C2170" s="66" t="str">
        <f>IF(Ninth!C173="", "",Ninth!C173)</f>
        <v/>
      </c>
      <c r="D2170" s="66" t="str">
        <f>IF(Ninth!D173="", "",Ninth!D173)</f>
        <v/>
      </c>
      <c r="E2170" s="66" t="str">
        <f>IF(Ninth!E173="", "",Ninth!E173)</f>
        <v/>
      </c>
      <c r="F2170" s="66" t="str">
        <f>IF(Ninth!F173="", "",Ninth!F173)</f>
        <v/>
      </c>
      <c r="G2170" s="66" t="str">
        <f>IF(Ninth!G173="", "",Ninth!G173)</f>
        <v/>
      </c>
      <c r="H2170" s="66" t="str">
        <f>IF(Ninth!H173="", "",Ninth!H173)</f>
        <v/>
      </c>
      <c r="I2170" s="66" t="str">
        <f>IF(Ninth!I173="", "",Ninth!I173)</f>
        <v/>
      </c>
      <c r="J2170" s="66" t="str">
        <f>IF(Ninth!J173="", "",Ninth!J173)</f>
        <v/>
      </c>
      <c r="K2170" s="86" t="str">
        <f>IF(Ninth!K173="", "",Ninth!K173)</f>
        <v/>
      </c>
      <c r="M2170" s="67" t="str">
        <f t="shared" si="101"/>
        <v/>
      </c>
      <c r="N2170" s="76" t="str">
        <f t="shared" si="102"/>
        <v/>
      </c>
      <c r="O2170" s="33">
        <f t="shared" si="100"/>
        <v>0</v>
      </c>
    </row>
    <row r="2171" spans="1:15" x14ac:dyDescent="0.25">
      <c r="A2171" s="64" t="s">
        <v>182</v>
      </c>
      <c r="B2171" s="79" t="str">
        <f>IF(Ninth!B174="", "",Ninth!B174)</f>
        <v/>
      </c>
      <c r="C2171" s="66" t="str">
        <f>IF(Ninth!C174="", "",Ninth!C174)</f>
        <v/>
      </c>
      <c r="D2171" s="66" t="str">
        <f>IF(Ninth!D174="", "",Ninth!D174)</f>
        <v/>
      </c>
      <c r="E2171" s="66" t="str">
        <f>IF(Ninth!E174="", "",Ninth!E174)</f>
        <v/>
      </c>
      <c r="F2171" s="66" t="str">
        <f>IF(Ninth!F174="", "",Ninth!F174)</f>
        <v/>
      </c>
      <c r="G2171" s="66" t="str">
        <f>IF(Ninth!G174="", "",Ninth!G174)</f>
        <v/>
      </c>
      <c r="H2171" s="66" t="str">
        <f>IF(Ninth!H174="", "",Ninth!H174)</f>
        <v/>
      </c>
      <c r="I2171" s="66" t="str">
        <f>IF(Ninth!I174="", "",Ninth!I174)</f>
        <v/>
      </c>
      <c r="J2171" s="66" t="str">
        <f>IF(Ninth!J174="", "",Ninth!J174)</f>
        <v/>
      </c>
      <c r="K2171" s="86" t="str">
        <f>IF(Ninth!K174="", "",Ninth!K174)</f>
        <v/>
      </c>
      <c r="M2171" s="67" t="str">
        <f t="shared" si="101"/>
        <v/>
      </c>
      <c r="N2171" s="76" t="str">
        <f t="shared" si="102"/>
        <v/>
      </c>
      <c r="O2171" s="33">
        <f t="shared" si="100"/>
        <v>0</v>
      </c>
    </row>
    <row r="2172" spans="1:15" x14ac:dyDescent="0.25">
      <c r="A2172" s="64" t="s">
        <v>182</v>
      </c>
      <c r="B2172" s="79" t="str">
        <f>IF(Ninth!B175="", "",Ninth!B175)</f>
        <v/>
      </c>
      <c r="C2172" s="66" t="str">
        <f>IF(Ninth!C175="", "",Ninth!C175)</f>
        <v/>
      </c>
      <c r="D2172" s="66" t="str">
        <f>IF(Ninth!D175="", "",Ninth!D175)</f>
        <v/>
      </c>
      <c r="E2172" s="66" t="str">
        <f>IF(Ninth!E175="", "",Ninth!E175)</f>
        <v/>
      </c>
      <c r="F2172" s="66" t="str">
        <f>IF(Ninth!F175="", "",Ninth!F175)</f>
        <v/>
      </c>
      <c r="G2172" s="66" t="str">
        <f>IF(Ninth!G175="", "",Ninth!G175)</f>
        <v/>
      </c>
      <c r="H2172" s="66" t="str">
        <f>IF(Ninth!H175="", "",Ninth!H175)</f>
        <v/>
      </c>
      <c r="I2172" s="66" t="str">
        <f>IF(Ninth!I175="", "",Ninth!I175)</f>
        <v/>
      </c>
      <c r="J2172" s="66" t="str">
        <f>IF(Ninth!J175="", "",Ninth!J175)</f>
        <v/>
      </c>
      <c r="K2172" s="86" t="str">
        <f>IF(Ninth!K175="", "",Ninth!K175)</f>
        <v/>
      </c>
      <c r="M2172" s="67" t="str">
        <f t="shared" si="101"/>
        <v/>
      </c>
      <c r="N2172" s="76" t="str">
        <f t="shared" si="102"/>
        <v/>
      </c>
      <c r="O2172" s="33">
        <f t="shared" si="100"/>
        <v>0</v>
      </c>
    </row>
    <row r="2173" spans="1:15" x14ac:dyDescent="0.25">
      <c r="A2173" s="64" t="s">
        <v>182</v>
      </c>
      <c r="B2173" s="79" t="str">
        <f>IF(Ninth!B176="", "",Ninth!B176)</f>
        <v/>
      </c>
      <c r="C2173" s="66" t="str">
        <f>IF(Ninth!C176="", "",Ninth!C176)</f>
        <v/>
      </c>
      <c r="D2173" s="66" t="str">
        <f>IF(Ninth!D176="", "",Ninth!D176)</f>
        <v/>
      </c>
      <c r="E2173" s="66" t="str">
        <f>IF(Ninth!E176="", "",Ninth!E176)</f>
        <v/>
      </c>
      <c r="F2173" s="66" t="str">
        <f>IF(Ninth!F176="", "",Ninth!F176)</f>
        <v/>
      </c>
      <c r="G2173" s="66" t="str">
        <f>IF(Ninth!G176="", "",Ninth!G176)</f>
        <v/>
      </c>
      <c r="H2173" s="66" t="str">
        <f>IF(Ninth!H176="", "",Ninth!H176)</f>
        <v/>
      </c>
      <c r="I2173" s="66" t="str">
        <f>IF(Ninth!I176="", "",Ninth!I176)</f>
        <v/>
      </c>
      <c r="J2173" s="66" t="str">
        <f>IF(Ninth!J176="", "",Ninth!J176)</f>
        <v/>
      </c>
      <c r="K2173" s="86" t="str">
        <f>IF(Ninth!K176="", "",Ninth!K176)</f>
        <v/>
      </c>
      <c r="M2173" s="67" t="str">
        <f t="shared" si="101"/>
        <v/>
      </c>
      <c r="N2173" s="76" t="str">
        <f t="shared" si="102"/>
        <v/>
      </c>
      <c r="O2173" s="33">
        <f t="shared" si="100"/>
        <v>0</v>
      </c>
    </row>
    <row r="2174" spans="1:15" x14ac:dyDescent="0.25">
      <c r="A2174" s="64" t="s">
        <v>182</v>
      </c>
      <c r="B2174" s="79" t="str">
        <f>IF(Ninth!B177="", "",Ninth!B177)</f>
        <v/>
      </c>
      <c r="C2174" s="66" t="str">
        <f>IF(Ninth!C177="", "",Ninth!C177)</f>
        <v/>
      </c>
      <c r="D2174" s="66" t="str">
        <f>IF(Ninth!D177="", "",Ninth!D177)</f>
        <v/>
      </c>
      <c r="E2174" s="66" t="str">
        <f>IF(Ninth!E177="", "",Ninth!E177)</f>
        <v/>
      </c>
      <c r="F2174" s="66" t="str">
        <f>IF(Ninth!F177="", "",Ninth!F177)</f>
        <v/>
      </c>
      <c r="G2174" s="66" t="str">
        <f>IF(Ninth!G177="", "",Ninth!G177)</f>
        <v/>
      </c>
      <c r="H2174" s="66" t="str">
        <f>IF(Ninth!H177="", "",Ninth!H177)</f>
        <v/>
      </c>
      <c r="I2174" s="66" t="str">
        <f>IF(Ninth!I177="", "",Ninth!I177)</f>
        <v/>
      </c>
      <c r="J2174" s="66" t="str">
        <f>IF(Ninth!J177="", "",Ninth!J177)</f>
        <v/>
      </c>
      <c r="K2174" s="86" t="str">
        <f>IF(Ninth!K177="", "",Ninth!K177)</f>
        <v/>
      </c>
      <c r="M2174" s="67" t="str">
        <f t="shared" si="101"/>
        <v/>
      </c>
      <c r="N2174" s="76" t="str">
        <f t="shared" si="102"/>
        <v/>
      </c>
      <c r="O2174" s="33">
        <f t="shared" si="100"/>
        <v>0</v>
      </c>
    </row>
    <row r="2175" spans="1:15" x14ac:dyDescent="0.25">
      <c r="A2175" s="64" t="s">
        <v>182</v>
      </c>
      <c r="B2175" s="79" t="str">
        <f>IF(Ninth!B178="", "",Ninth!B178)</f>
        <v/>
      </c>
      <c r="C2175" s="66" t="str">
        <f>IF(Ninth!C178="", "",Ninth!C178)</f>
        <v/>
      </c>
      <c r="D2175" s="66" t="str">
        <f>IF(Ninth!D178="", "",Ninth!D178)</f>
        <v/>
      </c>
      <c r="E2175" s="66" t="str">
        <f>IF(Ninth!E178="", "",Ninth!E178)</f>
        <v/>
      </c>
      <c r="F2175" s="66" t="str">
        <f>IF(Ninth!F178="", "",Ninth!F178)</f>
        <v/>
      </c>
      <c r="G2175" s="66" t="str">
        <f>IF(Ninth!G178="", "",Ninth!G178)</f>
        <v/>
      </c>
      <c r="H2175" s="66" t="str">
        <f>IF(Ninth!H178="", "",Ninth!H178)</f>
        <v/>
      </c>
      <c r="I2175" s="66" t="str">
        <f>IF(Ninth!I178="", "",Ninth!I178)</f>
        <v/>
      </c>
      <c r="J2175" s="66" t="str">
        <f>IF(Ninth!J178="", "",Ninth!J178)</f>
        <v/>
      </c>
      <c r="K2175" s="86" t="str">
        <f>IF(Ninth!K178="", "",Ninth!K178)</f>
        <v/>
      </c>
      <c r="M2175" s="67" t="str">
        <f t="shared" si="101"/>
        <v/>
      </c>
      <c r="N2175" s="76" t="str">
        <f t="shared" si="102"/>
        <v/>
      </c>
      <c r="O2175" s="33">
        <f t="shared" si="100"/>
        <v>0</v>
      </c>
    </row>
    <row r="2176" spans="1:15" x14ac:dyDescent="0.25">
      <c r="A2176" s="64" t="s">
        <v>182</v>
      </c>
      <c r="B2176" s="79" t="str">
        <f>IF(Ninth!B179="", "",Ninth!B179)</f>
        <v/>
      </c>
      <c r="C2176" s="66" t="str">
        <f>IF(Ninth!C179="", "",Ninth!C179)</f>
        <v/>
      </c>
      <c r="D2176" s="66" t="str">
        <f>IF(Ninth!D179="", "",Ninth!D179)</f>
        <v/>
      </c>
      <c r="E2176" s="66" t="str">
        <f>IF(Ninth!E179="", "",Ninth!E179)</f>
        <v/>
      </c>
      <c r="F2176" s="66" t="str">
        <f>IF(Ninth!F179="", "",Ninth!F179)</f>
        <v/>
      </c>
      <c r="G2176" s="66" t="str">
        <f>IF(Ninth!G179="", "",Ninth!G179)</f>
        <v/>
      </c>
      <c r="H2176" s="66" t="str">
        <f>IF(Ninth!H179="", "",Ninth!H179)</f>
        <v/>
      </c>
      <c r="I2176" s="66" t="str">
        <f>IF(Ninth!I179="", "",Ninth!I179)</f>
        <v/>
      </c>
      <c r="J2176" s="66" t="str">
        <f>IF(Ninth!J179="", "",Ninth!J179)</f>
        <v/>
      </c>
      <c r="K2176" s="86" t="str">
        <f>IF(Ninth!K179="", "",Ninth!K179)</f>
        <v/>
      </c>
      <c r="M2176" s="67" t="str">
        <f t="shared" si="101"/>
        <v/>
      </c>
      <c r="N2176" s="76" t="str">
        <f t="shared" si="102"/>
        <v/>
      </c>
      <c r="O2176" s="33">
        <f t="shared" si="100"/>
        <v>0</v>
      </c>
    </row>
    <row r="2177" spans="1:15" x14ac:dyDescent="0.25">
      <c r="A2177" s="64" t="s">
        <v>182</v>
      </c>
      <c r="B2177" s="79" t="str">
        <f>IF(Ninth!B180="", "",Ninth!B180)</f>
        <v/>
      </c>
      <c r="C2177" s="66" t="str">
        <f>IF(Ninth!C180="", "",Ninth!C180)</f>
        <v/>
      </c>
      <c r="D2177" s="66" t="str">
        <f>IF(Ninth!D180="", "",Ninth!D180)</f>
        <v/>
      </c>
      <c r="E2177" s="66" t="str">
        <f>IF(Ninth!E180="", "",Ninth!E180)</f>
        <v/>
      </c>
      <c r="F2177" s="66" t="str">
        <f>IF(Ninth!F180="", "",Ninth!F180)</f>
        <v/>
      </c>
      <c r="G2177" s="66" t="str">
        <f>IF(Ninth!G180="", "",Ninth!G180)</f>
        <v/>
      </c>
      <c r="H2177" s="66" t="str">
        <f>IF(Ninth!H180="", "",Ninth!H180)</f>
        <v/>
      </c>
      <c r="I2177" s="66" t="str">
        <f>IF(Ninth!I180="", "",Ninth!I180)</f>
        <v/>
      </c>
      <c r="J2177" s="66" t="str">
        <f>IF(Ninth!J180="", "",Ninth!J180)</f>
        <v/>
      </c>
      <c r="K2177" s="86" t="str">
        <f>IF(Ninth!K180="", "",Ninth!K180)</f>
        <v/>
      </c>
      <c r="M2177" s="67" t="str">
        <f t="shared" si="101"/>
        <v/>
      </c>
      <c r="N2177" s="76" t="str">
        <f t="shared" si="102"/>
        <v/>
      </c>
      <c r="O2177" s="33">
        <f t="shared" si="100"/>
        <v>0</v>
      </c>
    </row>
    <row r="2178" spans="1:15" x14ac:dyDescent="0.25">
      <c r="A2178" s="64" t="s">
        <v>182</v>
      </c>
      <c r="B2178" s="79" t="str">
        <f>IF(Ninth!B181="", "",Ninth!B181)</f>
        <v/>
      </c>
      <c r="C2178" s="66" t="str">
        <f>IF(Ninth!C181="", "",Ninth!C181)</f>
        <v/>
      </c>
      <c r="D2178" s="66" t="str">
        <f>IF(Ninth!D181="", "",Ninth!D181)</f>
        <v/>
      </c>
      <c r="E2178" s="66" t="str">
        <f>IF(Ninth!E181="", "",Ninth!E181)</f>
        <v/>
      </c>
      <c r="F2178" s="66" t="str">
        <f>IF(Ninth!F181="", "",Ninth!F181)</f>
        <v/>
      </c>
      <c r="G2178" s="66" t="str">
        <f>IF(Ninth!G181="", "",Ninth!G181)</f>
        <v/>
      </c>
      <c r="H2178" s="66" t="str">
        <f>IF(Ninth!H181="", "",Ninth!H181)</f>
        <v/>
      </c>
      <c r="I2178" s="66" t="str">
        <f>IF(Ninth!I181="", "",Ninth!I181)</f>
        <v/>
      </c>
      <c r="J2178" s="66" t="str">
        <f>IF(Ninth!J181="", "",Ninth!J181)</f>
        <v/>
      </c>
      <c r="K2178" s="86" t="str">
        <f>IF(Ninth!K181="", "",Ninth!K181)</f>
        <v/>
      </c>
      <c r="M2178" s="67" t="str">
        <f t="shared" si="101"/>
        <v/>
      </c>
      <c r="N2178" s="76" t="str">
        <f t="shared" si="102"/>
        <v/>
      </c>
      <c r="O2178" s="33">
        <f t="shared" ref="O2178:O2241" si="103">SUM(M2178:N2178)</f>
        <v>0</v>
      </c>
    </row>
    <row r="2179" spans="1:15" x14ac:dyDescent="0.25">
      <c r="A2179" s="64" t="s">
        <v>182</v>
      </c>
      <c r="B2179" s="79" t="str">
        <f>IF(Ninth!B182="", "",Ninth!B182)</f>
        <v/>
      </c>
      <c r="C2179" s="66" t="str">
        <f>IF(Ninth!C182="", "",Ninth!C182)</f>
        <v/>
      </c>
      <c r="D2179" s="66" t="str">
        <f>IF(Ninth!D182="", "",Ninth!D182)</f>
        <v/>
      </c>
      <c r="E2179" s="66" t="str">
        <f>IF(Ninth!E182="", "",Ninth!E182)</f>
        <v/>
      </c>
      <c r="F2179" s="66" t="str">
        <f>IF(Ninth!F182="", "",Ninth!F182)</f>
        <v/>
      </c>
      <c r="G2179" s="66" t="str">
        <f>IF(Ninth!G182="", "",Ninth!G182)</f>
        <v/>
      </c>
      <c r="H2179" s="66" t="str">
        <f>IF(Ninth!H182="", "",Ninth!H182)</f>
        <v/>
      </c>
      <c r="I2179" s="66" t="str">
        <f>IF(Ninth!I182="", "",Ninth!I182)</f>
        <v/>
      </c>
      <c r="J2179" s="66" t="str">
        <f>IF(Ninth!J182="", "",Ninth!J182)</f>
        <v/>
      </c>
      <c r="K2179" s="86" t="str">
        <f>IF(Ninth!K182="", "",Ninth!K182)</f>
        <v/>
      </c>
      <c r="M2179" s="67" t="str">
        <f t="shared" ref="M2179:M2242" si="104">IF(C2179="PwC",(7-COUNTIF(B2179:H2179,"")),"")</f>
        <v/>
      </c>
      <c r="N2179" s="76" t="str">
        <f t="shared" ref="N2179:N2242" si="105">IF(C2179="Carer",(7-COUNTIF(B2179:H2179,"")),"")</f>
        <v/>
      </c>
      <c r="O2179" s="33">
        <f t="shared" si="103"/>
        <v>0</v>
      </c>
    </row>
    <row r="2180" spans="1:15" x14ac:dyDescent="0.25">
      <c r="A2180" s="64" t="s">
        <v>182</v>
      </c>
      <c r="B2180" s="79" t="str">
        <f>IF(Ninth!B183="", "",Ninth!B183)</f>
        <v/>
      </c>
      <c r="C2180" s="66" t="str">
        <f>IF(Ninth!C183="", "",Ninth!C183)</f>
        <v/>
      </c>
      <c r="D2180" s="66" t="str">
        <f>IF(Ninth!D183="", "",Ninth!D183)</f>
        <v/>
      </c>
      <c r="E2180" s="66" t="str">
        <f>IF(Ninth!E183="", "",Ninth!E183)</f>
        <v/>
      </c>
      <c r="F2180" s="66" t="str">
        <f>IF(Ninth!F183="", "",Ninth!F183)</f>
        <v/>
      </c>
      <c r="G2180" s="66" t="str">
        <f>IF(Ninth!G183="", "",Ninth!G183)</f>
        <v/>
      </c>
      <c r="H2180" s="66" t="str">
        <f>IF(Ninth!H183="", "",Ninth!H183)</f>
        <v/>
      </c>
      <c r="I2180" s="66" t="str">
        <f>IF(Ninth!I183="", "",Ninth!I183)</f>
        <v/>
      </c>
      <c r="J2180" s="66" t="str">
        <f>IF(Ninth!J183="", "",Ninth!J183)</f>
        <v/>
      </c>
      <c r="K2180" s="86" t="str">
        <f>IF(Ninth!K183="", "",Ninth!K183)</f>
        <v/>
      </c>
      <c r="M2180" s="67" t="str">
        <f t="shared" si="104"/>
        <v/>
      </c>
      <c r="N2180" s="76" t="str">
        <f t="shared" si="105"/>
        <v/>
      </c>
      <c r="O2180" s="33">
        <f t="shared" si="103"/>
        <v>0</v>
      </c>
    </row>
    <row r="2181" spans="1:15" x14ac:dyDescent="0.25">
      <c r="A2181" s="64" t="s">
        <v>182</v>
      </c>
      <c r="B2181" s="79" t="str">
        <f>IF(Ninth!B184="", "",Ninth!B184)</f>
        <v/>
      </c>
      <c r="C2181" s="66" t="str">
        <f>IF(Ninth!C184="", "",Ninth!C184)</f>
        <v/>
      </c>
      <c r="D2181" s="66" t="str">
        <f>IF(Ninth!D184="", "",Ninth!D184)</f>
        <v/>
      </c>
      <c r="E2181" s="66" t="str">
        <f>IF(Ninth!E184="", "",Ninth!E184)</f>
        <v/>
      </c>
      <c r="F2181" s="66" t="str">
        <f>IF(Ninth!F184="", "",Ninth!F184)</f>
        <v/>
      </c>
      <c r="G2181" s="66" t="str">
        <f>IF(Ninth!G184="", "",Ninth!G184)</f>
        <v/>
      </c>
      <c r="H2181" s="66" t="str">
        <f>IF(Ninth!H184="", "",Ninth!H184)</f>
        <v/>
      </c>
      <c r="I2181" s="66" t="str">
        <f>IF(Ninth!I184="", "",Ninth!I184)</f>
        <v/>
      </c>
      <c r="J2181" s="66" t="str">
        <f>IF(Ninth!J184="", "",Ninth!J184)</f>
        <v/>
      </c>
      <c r="K2181" s="86" t="str">
        <f>IF(Ninth!K184="", "",Ninth!K184)</f>
        <v/>
      </c>
      <c r="M2181" s="67" t="str">
        <f t="shared" si="104"/>
        <v/>
      </c>
      <c r="N2181" s="76" t="str">
        <f t="shared" si="105"/>
        <v/>
      </c>
      <c r="O2181" s="33">
        <f t="shared" si="103"/>
        <v>0</v>
      </c>
    </row>
    <row r="2182" spans="1:15" x14ac:dyDescent="0.25">
      <c r="A2182" s="64" t="s">
        <v>182</v>
      </c>
      <c r="B2182" s="79" t="str">
        <f>IF(Ninth!B185="", "",Ninth!B185)</f>
        <v/>
      </c>
      <c r="C2182" s="66" t="str">
        <f>IF(Ninth!C185="", "",Ninth!C185)</f>
        <v/>
      </c>
      <c r="D2182" s="66" t="str">
        <f>IF(Ninth!D185="", "",Ninth!D185)</f>
        <v/>
      </c>
      <c r="E2182" s="66" t="str">
        <f>IF(Ninth!E185="", "",Ninth!E185)</f>
        <v/>
      </c>
      <c r="F2182" s="66" t="str">
        <f>IF(Ninth!F185="", "",Ninth!F185)</f>
        <v/>
      </c>
      <c r="G2182" s="66" t="str">
        <f>IF(Ninth!G185="", "",Ninth!G185)</f>
        <v/>
      </c>
      <c r="H2182" s="66" t="str">
        <f>IF(Ninth!H185="", "",Ninth!H185)</f>
        <v/>
      </c>
      <c r="I2182" s="66" t="str">
        <f>IF(Ninth!I185="", "",Ninth!I185)</f>
        <v/>
      </c>
      <c r="J2182" s="66" t="str">
        <f>IF(Ninth!J185="", "",Ninth!J185)</f>
        <v/>
      </c>
      <c r="K2182" s="86" t="str">
        <f>IF(Ninth!K185="", "",Ninth!K185)</f>
        <v/>
      </c>
      <c r="M2182" s="67" t="str">
        <f t="shared" si="104"/>
        <v/>
      </c>
      <c r="N2182" s="76" t="str">
        <f t="shared" si="105"/>
        <v/>
      </c>
      <c r="O2182" s="33">
        <f t="shared" si="103"/>
        <v>0</v>
      </c>
    </row>
    <row r="2183" spans="1:15" x14ac:dyDescent="0.25">
      <c r="A2183" s="64" t="s">
        <v>182</v>
      </c>
      <c r="B2183" s="79" t="str">
        <f>IF(Ninth!B186="", "",Ninth!B186)</f>
        <v/>
      </c>
      <c r="C2183" s="66" t="str">
        <f>IF(Ninth!C186="", "",Ninth!C186)</f>
        <v/>
      </c>
      <c r="D2183" s="66" t="str">
        <f>IF(Ninth!D186="", "",Ninth!D186)</f>
        <v/>
      </c>
      <c r="E2183" s="66" t="str">
        <f>IF(Ninth!E186="", "",Ninth!E186)</f>
        <v/>
      </c>
      <c r="F2183" s="66" t="str">
        <f>IF(Ninth!F186="", "",Ninth!F186)</f>
        <v/>
      </c>
      <c r="G2183" s="66" t="str">
        <f>IF(Ninth!G186="", "",Ninth!G186)</f>
        <v/>
      </c>
      <c r="H2183" s="66" t="str">
        <f>IF(Ninth!H186="", "",Ninth!H186)</f>
        <v/>
      </c>
      <c r="I2183" s="66" t="str">
        <f>IF(Ninth!I186="", "",Ninth!I186)</f>
        <v/>
      </c>
      <c r="J2183" s="66" t="str">
        <f>IF(Ninth!J186="", "",Ninth!J186)</f>
        <v/>
      </c>
      <c r="K2183" s="86" t="str">
        <f>IF(Ninth!K186="", "",Ninth!K186)</f>
        <v/>
      </c>
      <c r="M2183" s="67" t="str">
        <f t="shared" si="104"/>
        <v/>
      </c>
      <c r="N2183" s="76" t="str">
        <f t="shared" si="105"/>
        <v/>
      </c>
      <c r="O2183" s="33">
        <f t="shared" si="103"/>
        <v>0</v>
      </c>
    </row>
    <row r="2184" spans="1:15" x14ac:dyDescent="0.25">
      <c r="A2184" s="64" t="s">
        <v>182</v>
      </c>
      <c r="B2184" s="79" t="str">
        <f>IF(Ninth!B187="", "",Ninth!B187)</f>
        <v/>
      </c>
      <c r="C2184" s="66" t="str">
        <f>IF(Ninth!C187="", "",Ninth!C187)</f>
        <v/>
      </c>
      <c r="D2184" s="66" t="str">
        <f>IF(Ninth!D187="", "",Ninth!D187)</f>
        <v/>
      </c>
      <c r="E2184" s="66" t="str">
        <f>IF(Ninth!E187="", "",Ninth!E187)</f>
        <v/>
      </c>
      <c r="F2184" s="66" t="str">
        <f>IF(Ninth!F187="", "",Ninth!F187)</f>
        <v/>
      </c>
      <c r="G2184" s="66" t="str">
        <f>IF(Ninth!G187="", "",Ninth!G187)</f>
        <v/>
      </c>
      <c r="H2184" s="66" t="str">
        <f>IF(Ninth!H187="", "",Ninth!H187)</f>
        <v/>
      </c>
      <c r="I2184" s="66" t="str">
        <f>IF(Ninth!I187="", "",Ninth!I187)</f>
        <v/>
      </c>
      <c r="J2184" s="66" t="str">
        <f>IF(Ninth!J187="", "",Ninth!J187)</f>
        <v/>
      </c>
      <c r="K2184" s="86" t="str">
        <f>IF(Ninth!K187="", "",Ninth!K187)</f>
        <v/>
      </c>
      <c r="M2184" s="67" t="str">
        <f t="shared" si="104"/>
        <v/>
      </c>
      <c r="N2184" s="76" t="str">
        <f t="shared" si="105"/>
        <v/>
      </c>
      <c r="O2184" s="33">
        <f t="shared" si="103"/>
        <v>0</v>
      </c>
    </row>
    <row r="2185" spans="1:15" x14ac:dyDescent="0.25">
      <c r="A2185" s="64" t="s">
        <v>182</v>
      </c>
      <c r="B2185" s="79" t="str">
        <f>IF(Ninth!B188="", "",Ninth!B188)</f>
        <v/>
      </c>
      <c r="C2185" s="66" t="str">
        <f>IF(Ninth!C188="", "",Ninth!C188)</f>
        <v/>
      </c>
      <c r="D2185" s="66" t="str">
        <f>IF(Ninth!D188="", "",Ninth!D188)</f>
        <v/>
      </c>
      <c r="E2185" s="66" t="str">
        <f>IF(Ninth!E188="", "",Ninth!E188)</f>
        <v/>
      </c>
      <c r="F2185" s="66" t="str">
        <f>IF(Ninth!F188="", "",Ninth!F188)</f>
        <v/>
      </c>
      <c r="G2185" s="66" t="str">
        <f>IF(Ninth!G188="", "",Ninth!G188)</f>
        <v/>
      </c>
      <c r="H2185" s="66" t="str">
        <f>IF(Ninth!H188="", "",Ninth!H188)</f>
        <v/>
      </c>
      <c r="I2185" s="66" t="str">
        <f>IF(Ninth!I188="", "",Ninth!I188)</f>
        <v/>
      </c>
      <c r="J2185" s="66" t="str">
        <f>IF(Ninth!J188="", "",Ninth!J188)</f>
        <v/>
      </c>
      <c r="K2185" s="86" t="str">
        <f>IF(Ninth!K188="", "",Ninth!K188)</f>
        <v/>
      </c>
      <c r="M2185" s="67" t="str">
        <f t="shared" si="104"/>
        <v/>
      </c>
      <c r="N2185" s="76" t="str">
        <f t="shared" si="105"/>
        <v/>
      </c>
      <c r="O2185" s="33">
        <f t="shared" si="103"/>
        <v>0</v>
      </c>
    </row>
    <row r="2186" spans="1:15" x14ac:dyDescent="0.25">
      <c r="A2186" s="64" t="s">
        <v>182</v>
      </c>
      <c r="B2186" s="79" t="str">
        <f>IF(Ninth!B189="", "",Ninth!B189)</f>
        <v/>
      </c>
      <c r="C2186" s="66" t="str">
        <f>IF(Ninth!C189="", "",Ninth!C189)</f>
        <v/>
      </c>
      <c r="D2186" s="66" t="str">
        <f>IF(Ninth!D189="", "",Ninth!D189)</f>
        <v/>
      </c>
      <c r="E2186" s="66" t="str">
        <f>IF(Ninth!E189="", "",Ninth!E189)</f>
        <v/>
      </c>
      <c r="F2186" s="66" t="str">
        <f>IF(Ninth!F189="", "",Ninth!F189)</f>
        <v/>
      </c>
      <c r="G2186" s="66" t="str">
        <f>IF(Ninth!G189="", "",Ninth!G189)</f>
        <v/>
      </c>
      <c r="H2186" s="66" t="str">
        <f>IF(Ninth!H189="", "",Ninth!H189)</f>
        <v/>
      </c>
      <c r="I2186" s="66" t="str">
        <f>IF(Ninth!I189="", "",Ninth!I189)</f>
        <v/>
      </c>
      <c r="J2186" s="66" t="str">
        <f>IF(Ninth!J189="", "",Ninth!J189)</f>
        <v/>
      </c>
      <c r="K2186" s="86" t="str">
        <f>IF(Ninth!K189="", "",Ninth!K189)</f>
        <v/>
      </c>
      <c r="M2186" s="67" t="str">
        <f t="shared" si="104"/>
        <v/>
      </c>
      <c r="N2186" s="76" t="str">
        <f t="shared" si="105"/>
        <v/>
      </c>
      <c r="O2186" s="33">
        <f t="shared" si="103"/>
        <v>0</v>
      </c>
    </row>
    <row r="2187" spans="1:15" x14ac:dyDescent="0.25">
      <c r="A2187" s="64" t="s">
        <v>182</v>
      </c>
      <c r="B2187" s="79" t="str">
        <f>IF(Ninth!B190="", "",Ninth!B190)</f>
        <v/>
      </c>
      <c r="C2187" s="66" t="str">
        <f>IF(Ninth!C190="", "",Ninth!C190)</f>
        <v/>
      </c>
      <c r="D2187" s="66" t="str">
        <f>IF(Ninth!D190="", "",Ninth!D190)</f>
        <v/>
      </c>
      <c r="E2187" s="66" t="str">
        <f>IF(Ninth!E190="", "",Ninth!E190)</f>
        <v/>
      </c>
      <c r="F2187" s="66" t="str">
        <f>IF(Ninth!F190="", "",Ninth!F190)</f>
        <v/>
      </c>
      <c r="G2187" s="66" t="str">
        <f>IF(Ninth!G190="", "",Ninth!G190)</f>
        <v/>
      </c>
      <c r="H2187" s="66" t="str">
        <f>IF(Ninth!H190="", "",Ninth!H190)</f>
        <v/>
      </c>
      <c r="I2187" s="66" t="str">
        <f>IF(Ninth!I190="", "",Ninth!I190)</f>
        <v/>
      </c>
      <c r="J2187" s="66" t="str">
        <f>IF(Ninth!J190="", "",Ninth!J190)</f>
        <v/>
      </c>
      <c r="K2187" s="86" t="str">
        <f>IF(Ninth!K190="", "",Ninth!K190)</f>
        <v/>
      </c>
      <c r="M2187" s="67" t="str">
        <f t="shared" si="104"/>
        <v/>
      </c>
      <c r="N2187" s="76" t="str">
        <f t="shared" si="105"/>
        <v/>
      </c>
      <c r="O2187" s="33">
        <f t="shared" si="103"/>
        <v>0</v>
      </c>
    </row>
    <row r="2188" spans="1:15" x14ac:dyDescent="0.25">
      <c r="A2188" s="64" t="s">
        <v>182</v>
      </c>
      <c r="B2188" s="79" t="str">
        <f>IF(Ninth!B191="", "",Ninth!B191)</f>
        <v/>
      </c>
      <c r="C2188" s="66" t="str">
        <f>IF(Ninth!C191="", "",Ninth!C191)</f>
        <v/>
      </c>
      <c r="D2188" s="66" t="str">
        <f>IF(Ninth!D191="", "",Ninth!D191)</f>
        <v/>
      </c>
      <c r="E2188" s="66" t="str">
        <f>IF(Ninth!E191="", "",Ninth!E191)</f>
        <v/>
      </c>
      <c r="F2188" s="66" t="str">
        <f>IF(Ninth!F191="", "",Ninth!F191)</f>
        <v/>
      </c>
      <c r="G2188" s="66" t="str">
        <f>IF(Ninth!G191="", "",Ninth!G191)</f>
        <v/>
      </c>
      <c r="H2188" s="66" t="str">
        <f>IF(Ninth!H191="", "",Ninth!H191)</f>
        <v/>
      </c>
      <c r="I2188" s="66" t="str">
        <f>IF(Ninth!I191="", "",Ninth!I191)</f>
        <v/>
      </c>
      <c r="J2188" s="66" t="str">
        <f>IF(Ninth!J191="", "",Ninth!J191)</f>
        <v/>
      </c>
      <c r="K2188" s="86" t="str">
        <f>IF(Ninth!K191="", "",Ninth!K191)</f>
        <v/>
      </c>
      <c r="M2188" s="67" t="str">
        <f t="shared" si="104"/>
        <v/>
      </c>
      <c r="N2188" s="76" t="str">
        <f t="shared" si="105"/>
        <v/>
      </c>
      <c r="O2188" s="33">
        <f t="shared" si="103"/>
        <v>0</v>
      </c>
    </row>
    <row r="2189" spans="1:15" x14ac:dyDescent="0.25">
      <c r="A2189" s="64" t="s">
        <v>182</v>
      </c>
      <c r="B2189" s="79" t="str">
        <f>IF(Ninth!B192="", "",Ninth!B192)</f>
        <v/>
      </c>
      <c r="C2189" s="66" t="str">
        <f>IF(Ninth!C192="", "",Ninth!C192)</f>
        <v/>
      </c>
      <c r="D2189" s="66" t="str">
        <f>IF(Ninth!D192="", "",Ninth!D192)</f>
        <v/>
      </c>
      <c r="E2189" s="66" t="str">
        <f>IF(Ninth!E192="", "",Ninth!E192)</f>
        <v/>
      </c>
      <c r="F2189" s="66" t="str">
        <f>IF(Ninth!F192="", "",Ninth!F192)</f>
        <v/>
      </c>
      <c r="G2189" s="66" t="str">
        <f>IF(Ninth!G192="", "",Ninth!G192)</f>
        <v/>
      </c>
      <c r="H2189" s="66" t="str">
        <f>IF(Ninth!H192="", "",Ninth!H192)</f>
        <v/>
      </c>
      <c r="I2189" s="66" t="str">
        <f>IF(Ninth!I192="", "",Ninth!I192)</f>
        <v/>
      </c>
      <c r="J2189" s="66" t="str">
        <f>IF(Ninth!J192="", "",Ninth!J192)</f>
        <v/>
      </c>
      <c r="K2189" s="86" t="str">
        <f>IF(Ninth!K192="", "",Ninth!K192)</f>
        <v/>
      </c>
      <c r="M2189" s="67" t="str">
        <f t="shared" si="104"/>
        <v/>
      </c>
      <c r="N2189" s="76" t="str">
        <f t="shared" si="105"/>
        <v/>
      </c>
      <c r="O2189" s="33">
        <f t="shared" si="103"/>
        <v>0</v>
      </c>
    </row>
    <row r="2190" spans="1:15" x14ac:dyDescent="0.25">
      <c r="A2190" s="64" t="s">
        <v>182</v>
      </c>
      <c r="B2190" s="79" t="str">
        <f>IF(Ninth!B193="", "",Ninth!B193)</f>
        <v/>
      </c>
      <c r="C2190" s="66" t="str">
        <f>IF(Ninth!C193="", "",Ninth!C193)</f>
        <v/>
      </c>
      <c r="D2190" s="66" t="str">
        <f>IF(Ninth!D193="", "",Ninth!D193)</f>
        <v/>
      </c>
      <c r="E2190" s="66" t="str">
        <f>IF(Ninth!E193="", "",Ninth!E193)</f>
        <v/>
      </c>
      <c r="F2190" s="66" t="str">
        <f>IF(Ninth!F193="", "",Ninth!F193)</f>
        <v/>
      </c>
      <c r="G2190" s="66" t="str">
        <f>IF(Ninth!G193="", "",Ninth!G193)</f>
        <v/>
      </c>
      <c r="H2190" s="66" t="str">
        <f>IF(Ninth!H193="", "",Ninth!H193)</f>
        <v/>
      </c>
      <c r="I2190" s="66" t="str">
        <f>IF(Ninth!I193="", "",Ninth!I193)</f>
        <v/>
      </c>
      <c r="J2190" s="66" t="str">
        <f>IF(Ninth!J193="", "",Ninth!J193)</f>
        <v/>
      </c>
      <c r="K2190" s="86" t="str">
        <f>IF(Ninth!K193="", "",Ninth!K193)</f>
        <v/>
      </c>
      <c r="M2190" s="67" t="str">
        <f t="shared" si="104"/>
        <v/>
      </c>
      <c r="N2190" s="76" t="str">
        <f t="shared" si="105"/>
        <v/>
      </c>
      <c r="O2190" s="33">
        <f t="shared" si="103"/>
        <v>0</v>
      </c>
    </row>
    <row r="2191" spans="1:15" x14ac:dyDescent="0.25">
      <c r="A2191" s="64" t="s">
        <v>182</v>
      </c>
      <c r="B2191" s="79" t="str">
        <f>IF(Ninth!B194="", "",Ninth!B194)</f>
        <v/>
      </c>
      <c r="C2191" s="66" t="str">
        <f>IF(Ninth!C194="", "",Ninth!C194)</f>
        <v/>
      </c>
      <c r="D2191" s="66" t="str">
        <f>IF(Ninth!D194="", "",Ninth!D194)</f>
        <v/>
      </c>
      <c r="E2191" s="66" t="str">
        <f>IF(Ninth!E194="", "",Ninth!E194)</f>
        <v/>
      </c>
      <c r="F2191" s="66" t="str">
        <f>IF(Ninth!F194="", "",Ninth!F194)</f>
        <v/>
      </c>
      <c r="G2191" s="66" t="str">
        <f>IF(Ninth!G194="", "",Ninth!G194)</f>
        <v/>
      </c>
      <c r="H2191" s="66" t="str">
        <f>IF(Ninth!H194="", "",Ninth!H194)</f>
        <v/>
      </c>
      <c r="I2191" s="66" t="str">
        <f>IF(Ninth!I194="", "",Ninth!I194)</f>
        <v/>
      </c>
      <c r="J2191" s="66" t="str">
        <f>IF(Ninth!J194="", "",Ninth!J194)</f>
        <v/>
      </c>
      <c r="K2191" s="86" t="str">
        <f>IF(Ninth!K194="", "",Ninth!K194)</f>
        <v/>
      </c>
      <c r="M2191" s="67" t="str">
        <f t="shared" si="104"/>
        <v/>
      </c>
      <c r="N2191" s="76" t="str">
        <f t="shared" si="105"/>
        <v/>
      </c>
      <c r="O2191" s="33">
        <f t="shared" si="103"/>
        <v>0</v>
      </c>
    </row>
    <row r="2192" spans="1:15" x14ac:dyDescent="0.25">
      <c r="A2192" s="64" t="s">
        <v>182</v>
      </c>
      <c r="B2192" s="79" t="str">
        <f>IF(Ninth!B195="", "",Ninth!B195)</f>
        <v/>
      </c>
      <c r="C2192" s="66" t="str">
        <f>IF(Ninth!C195="", "",Ninth!C195)</f>
        <v/>
      </c>
      <c r="D2192" s="66" t="str">
        <f>IF(Ninth!D195="", "",Ninth!D195)</f>
        <v/>
      </c>
      <c r="E2192" s="66" t="str">
        <f>IF(Ninth!E195="", "",Ninth!E195)</f>
        <v/>
      </c>
      <c r="F2192" s="66" t="str">
        <f>IF(Ninth!F195="", "",Ninth!F195)</f>
        <v/>
      </c>
      <c r="G2192" s="66" t="str">
        <f>IF(Ninth!G195="", "",Ninth!G195)</f>
        <v/>
      </c>
      <c r="H2192" s="66" t="str">
        <f>IF(Ninth!H195="", "",Ninth!H195)</f>
        <v/>
      </c>
      <c r="I2192" s="66" t="str">
        <f>IF(Ninth!I195="", "",Ninth!I195)</f>
        <v/>
      </c>
      <c r="J2192" s="66" t="str">
        <f>IF(Ninth!J195="", "",Ninth!J195)</f>
        <v/>
      </c>
      <c r="K2192" s="86" t="str">
        <f>IF(Ninth!K195="", "",Ninth!K195)</f>
        <v/>
      </c>
      <c r="M2192" s="67" t="str">
        <f t="shared" si="104"/>
        <v/>
      </c>
      <c r="N2192" s="76" t="str">
        <f t="shared" si="105"/>
        <v/>
      </c>
      <c r="O2192" s="33">
        <f t="shared" si="103"/>
        <v>0</v>
      </c>
    </row>
    <row r="2193" spans="1:15" x14ac:dyDescent="0.25">
      <c r="A2193" s="64" t="s">
        <v>182</v>
      </c>
      <c r="B2193" s="79" t="str">
        <f>IF(Ninth!B196="", "",Ninth!B196)</f>
        <v/>
      </c>
      <c r="C2193" s="66" t="str">
        <f>IF(Ninth!C196="", "",Ninth!C196)</f>
        <v/>
      </c>
      <c r="D2193" s="66" t="str">
        <f>IF(Ninth!D196="", "",Ninth!D196)</f>
        <v/>
      </c>
      <c r="E2193" s="66" t="str">
        <f>IF(Ninth!E196="", "",Ninth!E196)</f>
        <v/>
      </c>
      <c r="F2193" s="66" t="str">
        <f>IF(Ninth!F196="", "",Ninth!F196)</f>
        <v/>
      </c>
      <c r="G2193" s="66" t="str">
        <f>IF(Ninth!G196="", "",Ninth!G196)</f>
        <v/>
      </c>
      <c r="H2193" s="66" t="str">
        <f>IF(Ninth!H196="", "",Ninth!H196)</f>
        <v/>
      </c>
      <c r="I2193" s="66" t="str">
        <f>IF(Ninth!I196="", "",Ninth!I196)</f>
        <v/>
      </c>
      <c r="J2193" s="66" t="str">
        <f>IF(Ninth!J196="", "",Ninth!J196)</f>
        <v/>
      </c>
      <c r="K2193" s="86" t="str">
        <f>IF(Ninth!K196="", "",Ninth!K196)</f>
        <v/>
      </c>
      <c r="M2193" s="67" t="str">
        <f t="shared" si="104"/>
        <v/>
      </c>
      <c r="N2193" s="76" t="str">
        <f t="shared" si="105"/>
        <v/>
      </c>
      <c r="O2193" s="33">
        <f t="shared" si="103"/>
        <v>0</v>
      </c>
    </row>
    <row r="2194" spans="1:15" x14ac:dyDescent="0.25">
      <c r="A2194" s="64" t="s">
        <v>182</v>
      </c>
      <c r="B2194" s="79" t="str">
        <f>IF(Ninth!B197="", "",Ninth!B197)</f>
        <v/>
      </c>
      <c r="C2194" s="66" t="str">
        <f>IF(Ninth!C197="", "",Ninth!C197)</f>
        <v/>
      </c>
      <c r="D2194" s="66" t="str">
        <f>IF(Ninth!D197="", "",Ninth!D197)</f>
        <v/>
      </c>
      <c r="E2194" s="66" t="str">
        <f>IF(Ninth!E197="", "",Ninth!E197)</f>
        <v/>
      </c>
      <c r="F2194" s="66" t="str">
        <f>IF(Ninth!F197="", "",Ninth!F197)</f>
        <v/>
      </c>
      <c r="G2194" s="66" t="str">
        <f>IF(Ninth!G197="", "",Ninth!G197)</f>
        <v/>
      </c>
      <c r="H2194" s="66" t="str">
        <f>IF(Ninth!H197="", "",Ninth!H197)</f>
        <v/>
      </c>
      <c r="I2194" s="66" t="str">
        <f>IF(Ninth!I197="", "",Ninth!I197)</f>
        <v/>
      </c>
      <c r="J2194" s="66" t="str">
        <f>IF(Ninth!J197="", "",Ninth!J197)</f>
        <v/>
      </c>
      <c r="K2194" s="86" t="str">
        <f>IF(Ninth!K197="", "",Ninth!K197)</f>
        <v/>
      </c>
      <c r="M2194" s="67" t="str">
        <f t="shared" si="104"/>
        <v/>
      </c>
      <c r="N2194" s="76" t="str">
        <f t="shared" si="105"/>
        <v/>
      </c>
      <c r="O2194" s="33">
        <f t="shared" si="103"/>
        <v>0</v>
      </c>
    </row>
    <row r="2195" spans="1:15" x14ac:dyDescent="0.25">
      <c r="A2195" s="64" t="s">
        <v>182</v>
      </c>
      <c r="B2195" s="79" t="str">
        <f>IF(Ninth!B198="", "",Ninth!B198)</f>
        <v/>
      </c>
      <c r="C2195" s="66" t="str">
        <f>IF(Ninth!C198="", "",Ninth!C198)</f>
        <v/>
      </c>
      <c r="D2195" s="66" t="str">
        <f>IF(Ninth!D198="", "",Ninth!D198)</f>
        <v/>
      </c>
      <c r="E2195" s="66" t="str">
        <f>IF(Ninth!E198="", "",Ninth!E198)</f>
        <v/>
      </c>
      <c r="F2195" s="66" t="str">
        <f>IF(Ninth!F198="", "",Ninth!F198)</f>
        <v/>
      </c>
      <c r="G2195" s="66" t="str">
        <f>IF(Ninth!G198="", "",Ninth!G198)</f>
        <v/>
      </c>
      <c r="H2195" s="66" t="str">
        <f>IF(Ninth!H198="", "",Ninth!H198)</f>
        <v/>
      </c>
      <c r="I2195" s="66" t="str">
        <f>IF(Ninth!I198="", "",Ninth!I198)</f>
        <v/>
      </c>
      <c r="J2195" s="66" t="str">
        <f>IF(Ninth!J198="", "",Ninth!J198)</f>
        <v/>
      </c>
      <c r="K2195" s="86" t="str">
        <f>IF(Ninth!K198="", "",Ninth!K198)</f>
        <v/>
      </c>
      <c r="M2195" s="67" t="str">
        <f t="shared" si="104"/>
        <v/>
      </c>
      <c r="N2195" s="76" t="str">
        <f t="shared" si="105"/>
        <v/>
      </c>
      <c r="O2195" s="33">
        <f t="shared" si="103"/>
        <v>0</v>
      </c>
    </row>
    <row r="2196" spans="1:15" x14ac:dyDescent="0.25">
      <c r="A2196" s="64" t="s">
        <v>182</v>
      </c>
      <c r="B2196" s="79" t="str">
        <f>IF(Ninth!B199="", "",Ninth!B199)</f>
        <v/>
      </c>
      <c r="C2196" s="66" t="str">
        <f>IF(Ninth!C199="", "",Ninth!C199)</f>
        <v/>
      </c>
      <c r="D2196" s="66" t="str">
        <f>IF(Ninth!D199="", "",Ninth!D199)</f>
        <v/>
      </c>
      <c r="E2196" s="66" t="str">
        <f>IF(Ninth!E199="", "",Ninth!E199)</f>
        <v/>
      </c>
      <c r="F2196" s="66" t="str">
        <f>IF(Ninth!F199="", "",Ninth!F199)</f>
        <v/>
      </c>
      <c r="G2196" s="66" t="str">
        <f>IF(Ninth!G199="", "",Ninth!G199)</f>
        <v/>
      </c>
      <c r="H2196" s="66" t="str">
        <f>IF(Ninth!H199="", "",Ninth!H199)</f>
        <v/>
      </c>
      <c r="I2196" s="66" t="str">
        <f>IF(Ninth!I199="", "",Ninth!I199)</f>
        <v/>
      </c>
      <c r="J2196" s="66" t="str">
        <f>IF(Ninth!J199="", "",Ninth!J199)</f>
        <v/>
      </c>
      <c r="K2196" s="86" t="str">
        <f>IF(Ninth!K199="", "",Ninth!K199)</f>
        <v/>
      </c>
      <c r="M2196" s="67" t="str">
        <f t="shared" si="104"/>
        <v/>
      </c>
      <c r="N2196" s="76" t="str">
        <f t="shared" si="105"/>
        <v/>
      </c>
      <c r="O2196" s="33">
        <f t="shared" si="103"/>
        <v>0</v>
      </c>
    </row>
    <row r="2197" spans="1:15" x14ac:dyDescent="0.25">
      <c r="A2197" s="64" t="s">
        <v>182</v>
      </c>
      <c r="B2197" s="79" t="str">
        <f>IF(Ninth!B200="", "",Ninth!B200)</f>
        <v/>
      </c>
      <c r="C2197" s="66" t="str">
        <f>IF(Ninth!C200="", "",Ninth!C200)</f>
        <v/>
      </c>
      <c r="D2197" s="66" t="str">
        <f>IF(Ninth!D200="", "",Ninth!D200)</f>
        <v/>
      </c>
      <c r="E2197" s="66" t="str">
        <f>IF(Ninth!E200="", "",Ninth!E200)</f>
        <v/>
      </c>
      <c r="F2197" s="66" t="str">
        <f>IF(Ninth!F200="", "",Ninth!F200)</f>
        <v/>
      </c>
      <c r="G2197" s="66" t="str">
        <f>IF(Ninth!G200="", "",Ninth!G200)</f>
        <v/>
      </c>
      <c r="H2197" s="66" t="str">
        <f>IF(Ninth!H200="", "",Ninth!H200)</f>
        <v/>
      </c>
      <c r="I2197" s="66" t="str">
        <f>IF(Ninth!I200="", "",Ninth!I200)</f>
        <v/>
      </c>
      <c r="J2197" s="66" t="str">
        <f>IF(Ninth!J200="", "",Ninth!J200)</f>
        <v/>
      </c>
      <c r="K2197" s="86" t="str">
        <f>IF(Ninth!K200="", "",Ninth!K200)</f>
        <v/>
      </c>
      <c r="M2197" s="67" t="str">
        <f t="shared" si="104"/>
        <v/>
      </c>
      <c r="N2197" s="76" t="str">
        <f t="shared" si="105"/>
        <v/>
      </c>
      <c r="O2197" s="33">
        <f t="shared" si="103"/>
        <v>0</v>
      </c>
    </row>
    <row r="2198" spans="1:15" x14ac:dyDescent="0.25">
      <c r="A2198" s="64" t="s">
        <v>182</v>
      </c>
      <c r="B2198" s="79" t="str">
        <f>IF(Ninth!B201="", "",Ninth!B201)</f>
        <v/>
      </c>
      <c r="C2198" s="66" t="str">
        <f>IF(Ninth!C201="", "",Ninth!C201)</f>
        <v/>
      </c>
      <c r="D2198" s="66" t="str">
        <f>IF(Ninth!D201="", "",Ninth!D201)</f>
        <v/>
      </c>
      <c r="E2198" s="66" t="str">
        <f>IF(Ninth!E201="", "",Ninth!E201)</f>
        <v/>
      </c>
      <c r="F2198" s="66" t="str">
        <f>IF(Ninth!F201="", "",Ninth!F201)</f>
        <v/>
      </c>
      <c r="G2198" s="66" t="str">
        <f>IF(Ninth!G201="", "",Ninth!G201)</f>
        <v/>
      </c>
      <c r="H2198" s="66" t="str">
        <f>IF(Ninth!H201="", "",Ninth!H201)</f>
        <v/>
      </c>
      <c r="I2198" s="66" t="str">
        <f>IF(Ninth!I201="", "",Ninth!I201)</f>
        <v/>
      </c>
      <c r="J2198" s="66" t="str">
        <f>IF(Ninth!J201="", "",Ninth!J201)</f>
        <v/>
      </c>
      <c r="K2198" s="86" t="str">
        <f>IF(Ninth!K201="", "",Ninth!K201)</f>
        <v/>
      </c>
      <c r="M2198" s="67" t="str">
        <f t="shared" si="104"/>
        <v/>
      </c>
      <c r="N2198" s="76" t="str">
        <f t="shared" si="105"/>
        <v/>
      </c>
      <c r="O2198" s="33">
        <f t="shared" si="103"/>
        <v>0</v>
      </c>
    </row>
    <row r="2199" spans="1:15" x14ac:dyDescent="0.25">
      <c r="A2199" s="64" t="s">
        <v>182</v>
      </c>
      <c r="B2199" s="79" t="str">
        <f>IF(Ninth!B202="", "",Ninth!B202)</f>
        <v/>
      </c>
      <c r="C2199" s="66" t="str">
        <f>IF(Ninth!C202="", "",Ninth!C202)</f>
        <v/>
      </c>
      <c r="D2199" s="66" t="str">
        <f>IF(Ninth!D202="", "",Ninth!D202)</f>
        <v/>
      </c>
      <c r="E2199" s="66" t="str">
        <f>IF(Ninth!E202="", "",Ninth!E202)</f>
        <v/>
      </c>
      <c r="F2199" s="66" t="str">
        <f>IF(Ninth!F202="", "",Ninth!F202)</f>
        <v/>
      </c>
      <c r="G2199" s="66" t="str">
        <f>IF(Ninth!G202="", "",Ninth!G202)</f>
        <v/>
      </c>
      <c r="H2199" s="66" t="str">
        <f>IF(Ninth!H202="", "",Ninth!H202)</f>
        <v/>
      </c>
      <c r="I2199" s="66" t="str">
        <f>IF(Ninth!I202="", "",Ninth!I202)</f>
        <v/>
      </c>
      <c r="J2199" s="66" t="str">
        <f>IF(Ninth!J202="", "",Ninth!J202)</f>
        <v/>
      </c>
      <c r="K2199" s="86" t="str">
        <f>IF(Ninth!K202="", "",Ninth!K202)</f>
        <v/>
      </c>
      <c r="M2199" s="67" t="str">
        <f t="shared" si="104"/>
        <v/>
      </c>
      <c r="N2199" s="76" t="str">
        <f t="shared" si="105"/>
        <v/>
      </c>
      <c r="O2199" s="33">
        <f t="shared" si="103"/>
        <v>0</v>
      </c>
    </row>
    <row r="2200" spans="1:15" x14ac:dyDescent="0.25">
      <c r="A2200" s="64" t="s">
        <v>182</v>
      </c>
      <c r="B2200" s="79" t="str">
        <f>IF(Ninth!B203="", "",Ninth!B203)</f>
        <v/>
      </c>
      <c r="C2200" s="66" t="str">
        <f>IF(Ninth!C203="", "",Ninth!C203)</f>
        <v/>
      </c>
      <c r="D2200" s="66" t="str">
        <f>IF(Ninth!D203="", "",Ninth!D203)</f>
        <v/>
      </c>
      <c r="E2200" s="66" t="str">
        <f>IF(Ninth!E203="", "",Ninth!E203)</f>
        <v/>
      </c>
      <c r="F2200" s="66" t="str">
        <f>IF(Ninth!F203="", "",Ninth!F203)</f>
        <v/>
      </c>
      <c r="G2200" s="66" t="str">
        <f>IF(Ninth!G203="", "",Ninth!G203)</f>
        <v/>
      </c>
      <c r="H2200" s="66" t="str">
        <f>IF(Ninth!H203="", "",Ninth!H203)</f>
        <v/>
      </c>
      <c r="I2200" s="66" t="str">
        <f>IF(Ninth!I203="", "",Ninth!I203)</f>
        <v/>
      </c>
      <c r="J2200" s="66" t="str">
        <f>IF(Ninth!J203="", "",Ninth!J203)</f>
        <v/>
      </c>
      <c r="K2200" s="86" t="str">
        <f>IF(Ninth!K203="", "",Ninth!K203)</f>
        <v/>
      </c>
      <c r="M2200" s="67" t="str">
        <f t="shared" si="104"/>
        <v/>
      </c>
      <c r="N2200" s="76" t="str">
        <f t="shared" si="105"/>
        <v/>
      </c>
      <c r="O2200" s="33">
        <f t="shared" si="103"/>
        <v>0</v>
      </c>
    </row>
    <row r="2201" spans="1:15" x14ac:dyDescent="0.25">
      <c r="A2201" s="64" t="s">
        <v>182</v>
      </c>
      <c r="B2201" s="79" t="str">
        <f>IF(Ninth!B204="", "",Ninth!B204)</f>
        <v/>
      </c>
      <c r="C2201" s="66" t="str">
        <f>IF(Ninth!C204="", "",Ninth!C204)</f>
        <v/>
      </c>
      <c r="D2201" s="66" t="str">
        <f>IF(Ninth!D204="", "",Ninth!D204)</f>
        <v/>
      </c>
      <c r="E2201" s="66" t="str">
        <f>IF(Ninth!E204="", "",Ninth!E204)</f>
        <v/>
      </c>
      <c r="F2201" s="66" t="str">
        <f>IF(Ninth!F204="", "",Ninth!F204)</f>
        <v/>
      </c>
      <c r="G2201" s="66" t="str">
        <f>IF(Ninth!G204="", "",Ninth!G204)</f>
        <v/>
      </c>
      <c r="H2201" s="66" t="str">
        <f>IF(Ninth!H204="", "",Ninth!H204)</f>
        <v/>
      </c>
      <c r="I2201" s="66" t="str">
        <f>IF(Ninth!I204="", "",Ninth!I204)</f>
        <v/>
      </c>
      <c r="J2201" s="66" t="str">
        <f>IF(Ninth!J204="", "",Ninth!J204)</f>
        <v/>
      </c>
      <c r="K2201" s="86" t="str">
        <f>IF(Ninth!K204="", "",Ninth!K204)</f>
        <v/>
      </c>
      <c r="M2201" s="67" t="str">
        <f t="shared" si="104"/>
        <v/>
      </c>
      <c r="N2201" s="76" t="str">
        <f t="shared" si="105"/>
        <v/>
      </c>
      <c r="O2201" s="33">
        <f t="shared" si="103"/>
        <v>0</v>
      </c>
    </row>
    <row r="2202" spans="1:15" x14ac:dyDescent="0.25">
      <c r="A2202" s="64" t="s">
        <v>182</v>
      </c>
      <c r="B2202" s="79" t="str">
        <f>IF(Ninth!B205="", "",Ninth!B205)</f>
        <v/>
      </c>
      <c r="C2202" s="66" t="str">
        <f>IF(Ninth!C205="", "",Ninth!C205)</f>
        <v/>
      </c>
      <c r="D2202" s="66" t="str">
        <f>IF(Ninth!D205="", "",Ninth!D205)</f>
        <v/>
      </c>
      <c r="E2202" s="66" t="str">
        <f>IF(Ninth!E205="", "",Ninth!E205)</f>
        <v/>
      </c>
      <c r="F2202" s="66" t="str">
        <f>IF(Ninth!F205="", "",Ninth!F205)</f>
        <v/>
      </c>
      <c r="G2202" s="66" t="str">
        <f>IF(Ninth!G205="", "",Ninth!G205)</f>
        <v/>
      </c>
      <c r="H2202" s="66" t="str">
        <f>IF(Ninth!H205="", "",Ninth!H205)</f>
        <v/>
      </c>
      <c r="I2202" s="66" t="str">
        <f>IF(Ninth!I205="", "",Ninth!I205)</f>
        <v/>
      </c>
      <c r="J2202" s="66" t="str">
        <f>IF(Ninth!J205="", "",Ninth!J205)</f>
        <v/>
      </c>
      <c r="K2202" s="86" t="str">
        <f>IF(Ninth!K205="", "",Ninth!K205)</f>
        <v/>
      </c>
      <c r="M2202" s="67" t="str">
        <f t="shared" si="104"/>
        <v/>
      </c>
      <c r="N2202" s="76" t="str">
        <f t="shared" si="105"/>
        <v/>
      </c>
      <c r="O2202" s="33">
        <f t="shared" si="103"/>
        <v>0</v>
      </c>
    </row>
    <row r="2203" spans="1:15" x14ac:dyDescent="0.25">
      <c r="A2203" s="64" t="s">
        <v>182</v>
      </c>
      <c r="B2203" s="79" t="str">
        <f>IF(Ninth!B206="", "",Ninth!B206)</f>
        <v/>
      </c>
      <c r="C2203" s="66" t="str">
        <f>IF(Ninth!C206="", "",Ninth!C206)</f>
        <v/>
      </c>
      <c r="D2203" s="66" t="str">
        <f>IF(Ninth!D206="", "",Ninth!D206)</f>
        <v/>
      </c>
      <c r="E2203" s="66" t="str">
        <f>IF(Ninth!E206="", "",Ninth!E206)</f>
        <v/>
      </c>
      <c r="F2203" s="66" t="str">
        <f>IF(Ninth!F206="", "",Ninth!F206)</f>
        <v/>
      </c>
      <c r="G2203" s="66" t="str">
        <f>IF(Ninth!G206="", "",Ninth!G206)</f>
        <v/>
      </c>
      <c r="H2203" s="66" t="str">
        <f>IF(Ninth!H206="", "",Ninth!H206)</f>
        <v/>
      </c>
      <c r="I2203" s="66" t="str">
        <f>IF(Ninth!I206="", "",Ninth!I206)</f>
        <v/>
      </c>
      <c r="J2203" s="66" t="str">
        <f>IF(Ninth!J206="", "",Ninth!J206)</f>
        <v/>
      </c>
      <c r="K2203" s="86" t="str">
        <f>IF(Ninth!K206="", "",Ninth!K206)</f>
        <v/>
      </c>
      <c r="M2203" s="67" t="str">
        <f t="shared" si="104"/>
        <v/>
      </c>
      <c r="N2203" s="76" t="str">
        <f t="shared" si="105"/>
        <v/>
      </c>
      <c r="O2203" s="33">
        <f t="shared" si="103"/>
        <v>0</v>
      </c>
    </row>
    <row r="2204" spans="1:15" x14ac:dyDescent="0.25">
      <c r="A2204" s="64" t="s">
        <v>182</v>
      </c>
      <c r="B2204" s="79" t="str">
        <f>IF(Ninth!B207="", "",Ninth!B207)</f>
        <v/>
      </c>
      <c r="C2204" s="66" t="str">
        <f>IF(Ninth!C207="", "",Ninth!C207)</f>
        <v/>
      </c>
      <c r="D2204" s="66" t="str">
        <f>IF(Ninth!D207="", "",Ninth!D207)</f>
        <v/>
      </c>
      <c r="E2204" s="66" t="str">
        <f>IF(Ninth!E207="", "",Ninth!E207)</f>
        <v/>
      </c>
      <c r="F2204" s="66" t="str">
        <f>IF(Ninth!F207="", "",Ninth!F207)</f>
        <v/>
      </c>
      <c r="G2204" s="66" t="str">
        <f>IF(Ninth!G207="", "",Ninth!G207)</f>
        <v/>
      </c>
      <c r="H2204" s="66" t="str">
        <f>IF(Ninth!H207="", "",Ninth!H207)</f>
        <v/>
      </c>
      <c r="I2204" s="66" t="str">
        <f>IF(Ninth!I207="", "",Ninth!I207)</f>
        <v/>
      </c>
      <c r="J2204" s="66" t="str">
        <f>IF(Ninth!J207="", "",Ninth!J207)</f>
        <v/>
      </c>
      <c r="K2204" s="86" t="str">
        <f>IF(Ninth!K207="", "",Ninth!K207)</f>
        <v/>
      </c>
      <c r="M2204" s="67" t="str">
        <f t="shared" si="104"/>
        <v/>
      </c>
      <c r="N2204" s="76" t="str">
        <f t="shared" si="105"/>
        <v/>
      </c>
      <c r="O2204" s="33">
        <f t="shared" si="103"/>
        <v>0</v>
      </c>
    </row>
    <row r="2205" spans="1:15" x14ac:dyDescent="0.25">
      <c r="A2205" s="64" t="s">
        <v>182</v>
      </c>
      <c r="B2205" s="79" t="str">
        <f>IF(Ninth!B208="", "",Ninth!B208)</f>
        <v/>
      </c>
      <c r="C2205" s="66" t="str">
        <f>IF(Ninth!C208="", "",Ninth!C208)</f>
        <v/>
      </c>
      <c r="D2205" s="66" t="str">
        <f>IF(Ninth!D208="", "",Ninth!D208)</f>
        <v/>
      </c>
      <c r="E2205" s="66" t="str">
        <f>IF(Ninth!E208="", "",Ninth!E208)</f>
        <v/>
      </c>
      <c r="F2205" s="66" t="str">
        <f>IF(Ninth!F208="", "",Ninth!F208)</f>
        <v/>
      </c>
      <c r="G2205" s="66" t="str">
        <f>IF(Ninth!G208="", "",Ninth!G208)</f>
        <v/>
      </c>
      <c r="H2205" s="66" t="str">
        <f>IF(Ninth!H208="", "",Ninth!H208)</f>
        <v/>
      </c>
      <c r="I2205" s="66" t="str">
        <f>IF(Ninth!I208="", "",Ninth!I208)</f>
        <v/>
      </c>
      <c r="J2205" s="66" t="str">
        <f>IF(Ninth!J208="", "",Ninth!J208)</f>
        <v/>
      </c>
      <c r="K2205" s="86" t="str">
        <f>IF(Ninth!K208="", "",Ninth!K208)</f>
        <v/>
      </c>
      <c r="M2205" s="67" t="str">
        <f t="shared" si="104"/>
        <v/>
      </c>
      <c r="N2205" s="76" t="str">
        <f t="shared" si="105"/>
        <v/>
      </c>
      <c r="O2205" s="33">
        <f t="shared" si="103"/>
        <v>0</v>
      </c>
    </row>
    <row r="2206" spans="1:15" x14ac:dyDescent="0.25">
      <c r="A2206" s="64" t="s">
        <v>182</v>
      </c>
      <c r="B2206" s="79" t="str">
        <f>IF(Ninth!B209="", "",Ninth!B209)</f>
        <v/>
      </c>
      <c r="C2206" s="66" t="str">
        <f>IF(Ninth!C209="", "",Ninth!C209)</f>
        <v/>
      </c>
      <c r="D2206" s="66" t="str">
        <f>IF(Ninth!D209="", "",Ninth!D209)</f>
        <v/>
      </c>
      <c r="E2206" s="66" t="str">
        <f>IF(Ninth!E209="", "",Ninth!E209)</f>
        <v/>
      </c>
      <c r="F2206" s="66" t="str">
        <f>IF(Ninth!F209="", "",Ninth!F209)</f>
        <v/>
      </c>
      <c r="G2206" s="66" t="str">
        <f>IF(Ninth!G209="", "",Ninth!G209)</f>
        <v/>
      </c>
      <c r="H2206" s="66" t="str">
        <f>IF(Ninth!H209="", "",Ninth!H209)</f>
        <v/>
      </c>
      <c r="I2206" s="66" t="str">
        <f>IF(Ninth!I209="", "",Ninth!I209)</f>
        <v/>
      </c>
      <c r="J2206" s="66" t="str">
        <f>IF(Ninth!J209="", "",Ninth!J209)</f>
        <v/>
      </c>
      <c r="K2206" s="86" t="str">
        <f>IF(Ninth!K209="", "",Ninth!K209)</f>
        <v/>
      </c>
      <c r="M2206" s="67" t="str">
        <f t="shared" si="104"/>
        <v/>
      </c>
      <c r="N2206" s="76" t="str">
        <f t="shared" si="105"/>
        <v/>
      </c>
      <c r="O2206" s="33">
        <f t="shared" si="103"/>
        <v>0</v>
      </c>
    </row>
    <row r="2207" spans="1:15" x14ac:dyDescent="0.25">
      <c r="A2207" s="64" t="s">
        <v>182</v>
      </c>
      <c r="B2207" s="79" t="str">
        <f>IF(Ninth!B210="", "",Ninth!B210)</f>
        <v/>
      </c>
      <c r="C2207" s="66" t="str">
        <f>IF(Ninth!C210="", "",Ninth!C210)</f>
        <v/>
      </c>
      <c r="D2207" s="66" t="str">
        <f>IF(Ninth!D210="", "",Ninth!D210)</f>
        <v/>
      </c>
      <c r="E2207" s="66" t="str">
        <f>IF(Ninth!E210="", "",Ninth!E210)</f>
        <v/>
      </c>
      <c r="F2207" s="66" t="str">
        <f>IF(Ninth!F210="", "",Ninth!F210)</f>
        <v/>
      </c>
      <c r="G2207" s="66" t="str">
        <f>IF(Ninth!G210="", "",Ninth!G210)</f>
        <v/>
      </c>
      <c r="H2207" s="66" t="str">
        <f>IF(Ninth!H210="", "",Ninth!H210)</f>
        <v/>
      </c>
      <c r="I2207" s="66" t="str">
        <f>IF(Ninth!I210="", "",Ninth!I210)</f>
        <v/>
      </c>
      <c r="J2207" s="66" t="str">
        <f>IF(Ninth!J210="", "",Ninth!J210)</f>
        <v/>
      </c>
      <c r="K2207" s="86" t="str">
        <f>IF(Ninth!K210="", "",Ninth!K210)</f>
        <v/>
      </c>
      <c r="M2207" s="67" t="str">
        <f t="shared" si="104"/>
        <v/>
      </c>
      <c r="N2207" s="76" t="str">
        <f t="shared" si="105"/>
        <v/>
      </c>
      <c r="O2207" s="33">
        <f t="shared" si="103"/>
        <v>0</v>
      </c>
    </row>
    <row r="2208" spans="1:15" x14ac:dyDescent="0.25">
      <c r="A2208" s="64" t="s">
        <v>182</v>
      </c>
      <c r="B2208" s="79" t="str">
        <f>IF(Ninth!B211="", "",Ninth!B211)</f>
        <v/>
      </c>
      <c r="C2208" s="66" t="str">
        <f>IF(Ninth!C211="", "",Ninth!C211)</f>
        <v/>
      </c>
      <c r="D2208" s="66" t="str">
        <f>IF(Ninth!D211="", "",Ninth!D211)</f>
        <v/>
      </c>
      <c r="E2208" s="66" t="str">
        <f>IF(Ninth!E211="", "",Ninth!E211)</f>
        <v/>
      </c>
      <c r="F2208" s="66" t="str">
        <f>IF(Ninth!F211="", "",Ninth!F211)</f>
        <v/>
      </c>
      <c r="G2208" s="66" t="str">
        <f>IF(Ninth!G211="", "",Ninth!G211)</f>
        <v/>
      </c>
      <c r="H2208" s="66" t="str">
        <f>IF(Ninth!H211="", "",Ninth!H211)</f>
        <v/>
      </c>
      <c r="I2208" s="66" t="str">
        <f>IF(Ninth!I211="", "",Ninth!I211)</f>
        <v/>
      </c>
      <c r="J2208" s="66" t="str">
        <f>IF(Ninth!J211="", "",Ninth!J211)</f>
        <v/>
      </c>
      <c r="K2208" s="86" t="str">
        <f>IF(Ninth!K211="", "",Ninth!K211)</f>
        <v/>
      </c>
      <c r="M2208" s="67" t="str">
        <f t="shared" si="104"/>
        <v/>
      </c>
      <c r="N2208" s="76" t="str">
        <f t="shared" si="105"/>
        <v/>
      </c>
      <c r="O2208" s="33">
        <f t="shared" si="103"/>
        <v>0</v>
      </c>
    </row>
    <row r="2209" spans="1:15" x14ac:dyDescent="0.25">
      <c r="A2209" s="64" t="s">
        <v>182</v>
      </c>
      <c r="B2209" s="79" t="str">
        <f>IF(Ninth!B212="", "",Ninth!B212)</f>
        <v/>
      </c>
      <c r="C2209" s="66" t="str">
        <f>IF(Ninth!C212="", "",Ninth!C212)</f>
        <v/>
      </c>
      <c r="D2209" s="66" t="str">
        <f>IF(Ninth!D212="", "",Ninth!D212)</f>
        <v/>
      </c>
      <c r="E2209" s="66" t="str">
        <f>IF(Ninth!E212="", "",Ninth!E212)</f>
        <v/>
      </c>
      <c r="F2209" s="66" t="str">
        <f>IF(Ninth!F212="", "",Ninth!F212)</f>
        <v/>
      </c>
      <c r="G2209" s="66" t="str">
        <f>IF(Ninth!G212="", "",Ninth!G212)</f>
        <v/>
      </c>
      <c r="H2209" s="66" t="str">
        <f>IF(Ninth!H212="", "",Ninth!H212)</f>
        <v/>
      </c>
      <c r="I2209" s="66" t="str">
        <f>IF(Ninth!I212="", "",Ninth!I212)</f>
        <v/>
      </c>
      <c r="J2209" s="66" t="str">
        <f>IF(Ninth!J212="", "",Ninth!J212)</f>
        <v/>
      </c>
      <c r="K2209" s="86" t="str">
        <f>IF(Ninth!K212="", "",Ninth!K212)</f>
        <v/>
      </c>
      <c r="M2209" s="67" t="str">
        <f t="shared" si="104"/>
        <v/>
      </c>
      <c r="N2209" s="76" t="str">
        <f t="shared" si="105"/>
        <v/>
      </c>
      <c r="O2209" s="33">
        <f t="shared" si="103"/>
        <v>0</v>
      </c>
    </row>
    <row r="2210" spans="1:15" x14ac:dyDescent="0.25">
      <c r="A2210" s="64" t="s">
        <v>182</v>
      </c>
      <c r="B2210" s="79" t="str">
        <f>IF(Ninth!B213="", "",Ninth!B213)</f>
        <v/>
      </c>
      <c r="C2210" s="66" t="str">
        <f>IF(Ninth!C213="", "",Ninth!C213)</f>
        <v/>
      </c>
      <c r="D2210" s="66" t="str">
        <f>IF(Ninth!D213="", "",Ninth!D213)</f>
        <v/>
      </c>
      <c r="E2210" s="66" t="str">
        <f>IF(Ninth!E213="", "",Ninth!E213)</f>
        <v/>
      </c>
      <c r="F2210" s="66" t="str">
        <f>IF(Ninth!F213="", "",Ninth!F213)</f>
        <v/>
      </c>
      <c r="G2210" s="66" t="str">
        <f>IF(Ninth!G213="", "",Ninth!G213)</f>
        <v/>
      </c>
      <c r="H2210" s="66" t="str">
        <f>IF(Ninth!H213="", "",Ninth!H213)</f>
        <v/>
      </c>
      <c r="I2210" s="66" t="str">
        <f>IF(Ninth!I213="", "",Ninth!I213)</f>
        <v/>
      </c>
      <c r="J2210" s="66" t="str">
        <f>IF(Ninth!J213="", "",Ninth!J213)</f>
        <v/>
      </c>
      <c r="K2210" s="86" t="str">
        <f>IF(Ninth!K213="", "",Ninth!K213)</f>
        <v/>
      </c>
      <c r="M2210" s="67" t="str">
        <f t="shared" si="104"/>
        <v/>
      </c>
      <c r="N2210" s="76" t="str">
        <f t="shared" si="105"/>
        <v/>
      </c>
      <c r="O2210" s="33">
        <f t="shared" si="103"/>
        <v>0</v>
      </c>
    </row>
    <row r="2211" spans="1:15" x14ac:dyDescent="0.25">
      <c r="A2211" s="64" t="s">
        <v>182</v>
      </c>
      <c r="B2211" s="79" t="str">
        <f>IF(Ninth!B214="", "",Ninth!B214)</f>
        <v/>
      </c>
      <c r="C2211" s="66" t="str">
        <f>IF(Ninth!C214="", "",Ninth!C214)</f>
        <v/>
      </c>
      <c r="D2211" s="66" t="str">
        <f>IF(Ninth!D214="", "",Ninth!D214)</f>
        <v/>
      </c>
      <c r="E2211" s="66" t="str">
        <f>IF(Ninth!E214="", "",Ninth!E214)</f>
        <v/>
      </c>
      <c r="F2211" s="66" t="str">
        <f>IF(Ninth!F214="", "",Ninth!F214)</f>
        <v/>
      </c>
      <c r="G2211" s="66" t="str">
        <f>IF(Ninth!G214="", "",Ninth!G214)</f>
        <v/>
      </c>
      <c r="H2211" s="66" t="str">
        <f>IF(Ninth!H214="", "",Ninth!H214)</f>
        <v/>
      </c>
      <c r="I2211" s="66" t="str">
        <f>IF(Ninth!I214="", "",Ninth!I214)</f>
        <v/>
      </c>
      <c r="J2211" s="66" t="str">
        <f>IF(Ninth!J214="", "",Ninth!J214)</f>
        <v/>
      </c>
      <c r="K2211" s="86" t="str">
        <f>IF(Ninth!K214="", "",Ninth!K214)</f>
        <v/>
      </c>
      <c r="M2211" s="67" t="str">
        <f t="shared" si="104"/>
        <v/>
      </c>
      <c r="N2211" s="76" t="str">
        <f t="shared" si="105"/>
        <v/>
      </c>
      <c r="O2211" s="33">
        <f t="shared" si="103"/>
        <v>0</v>
      </c>
    </row>
    <row r="2212" spans="1:15" x14ac:dyDescent="0.25">
      <c r="A2212" s="64" t="s">
        <v>182</v>
      </c>
      <c r="B2212" s="79" t="str">
        <f>IF(Ninth!B215="", "",Ninth!B215)</f>
        <v/>
      </c>
      <c r="C2212" s="66" t="str">
        <f>IF(Ninth!C215="", "",Ninth!C215)</f>
        <v/>
      </c>
      <c r="D2212" s="66" t="str">
        <f>IF(Ninth!D215="", "",Ninth!D215)</f>
        <v/>
      </c>
      <c r="E2212" s="66" t="str">
        <f>IF(Ninth!E215="", "",Ninth!E215)</f>
        <v/>
      </c>
      <c r="F2212" s="66" t="str">
        <f>IF(Ninth!F215="", "",Ninth!F215)</f>
        <v/>
      </c>
      <c r="G2212" s="66" t="str">
        <f>IF(Ninth!G215="", "",Ninth!G215)</f>
        <v/>
      </c>
      <c r="H2212" s="66" t="str">
        <f>IF(Ninth!H215="", "",Ninth!H215)</f>
        <v/>
      </c>
      <c r="I2212" s="66" t="str">
        <f>IF(Ninth!I215="", "",Ninth!I215)</f>
        <v/>
      </c>
      <c r="J2212" s="66" t="str">
        <f>IF(Ninth!J215="", "",Ninth!J215)</f>
        <v/>
      </c>
      <c r="K2212" s="86" t="str">
        <f>IF(Ninth!K215="", "",Ninth!K215)</f>
        <v/>
      </c>
      <c r="M2212" s="67" t="str">
        <f t="shared" si="104"/>
        <v/>
      </c>
      <c r="N2212" s="76" t="str">
        <f t="shared" si="105"/>
        <v/>
      </c>
      <c r="O2212" s="33">
        <f t="shared" si="103"/>
        <v>0</v>
      </c>
    </row>
    <row r="2213" spans="1:15" x14ac:dyDescent="0.25">
      <c r="A2213" s="64" t="s">
        <v>182</v>
      </c>
      <c r="B2213" s="79" t="str">
        <f>IF(Ninth!B216="", "",Ninth!B216)</f>
        <v/>
      </c>
      <c r="C2213" s="66" t="str">
        <f>IF(Ninth!C216="", "",Ninth!C216)</f>
        <v/>
      </c>
      <c r="D2213" s="66" t="str">
        <f>IF(Ninth!D216="", "",Ninth!D216)</f>
        <v/>
      </c>
      <c r="E2213" s="66" t="str">
        <f>IF(Ninth!E216="", "",Ninth!E216)</f>
        <v/>
      </c>
      <c r="F2213" s="66" t="str">
        <f>IF(Ninth!F216="", "",Ninth!F216)</f>
        <v/>
      </c>
      <c r="G2213" s="66" t="str">
        <f>IF(Ninth!G216="", "",Ninth!G216)</f>
        <v/>
      </c>
      <c r="H2213" s="66" t="str">
        <f>IF(Ninth!H216="", "",Ninth!H216)</f>
        <v/>
      </c>
      <c r="I2213" s="66" t="str">
        <f>IF(Ninth!I216="", "",Ninth!I216)</f>
        <v/>
      </c>
      <c r="J2213" s="66" t="str">
        <f>IF(Ninth!J216="", "",Ninth!J216)</f>
        <v/>
      </c>
      <c r="K2213" s="86" t="str">
        <f>IF(Ninth!K216="", "",Ninth!K216)</f>
        <v/>
      </c>
      <c r="M2213" s="67" t="str">
        <f t="shared" si="104"/>
        <v/>
      </c>
      <c r="N2213" s="76" t="str">
        <f t="shared" si="105"/>
        <v/>
      </c>
      <c r="O2213" s="33">
        <f t="shared" si="103"/>
        <v>0</v>
      </c>
    </row>
    <row r="2214" spans="1:15" x14ac:dyDescent="0.25">
      <c r="A2214" s="64" t="s">
        <v>182</v>
      </c>
      <c r="B2214" s="79" t="str">
        <f>IF(Ninth!B217="", "",Ninth!B217)</f>
        <v/>
      </c>
      <c r="C2214" s="66" t="str">
        <f>IF(Ninth!C217="", "",Ninth!C217)</f>
        <v/>
      </c>
      <c r="D2214" s="66" t="str">
        <f>IF(Ninth!D217="", "",Ninth!D217)</f>
        <v/>
      </c>
      <c r="E2214" s="66" t="str">
        <f>IF(Ninth!E217="", "",Ninth!E217)</f>
        <v/>
      </c>
      <c r="F2214" s="66" t="str">
        <f>IF(Ninth!F217="", "",Ninth!F217)</f>
        <v/>
      </c>
      <c r="G2214" s="66" t="str">
        <f>IF(Ninth!G217="", "",Ninth!G217)</f>
        <v/>
      </c>
      <c r="H2214" s="66" t="str">
        <f>IF(Ninth!H217="", "",Ninth!H217)</f>
        <v/>
      </c>
      <c r="I2214" s="66" t="str">
        <f>IF(Ninth!I217="", "",Ninth!I217)</f>
        <v/>
      </c>
      <c r="J2214" s="66" t="str">
        <f>IF(Ninth!J217="", "",Ninth!J217)</f>
        <v/>
      </c>
      <c r="K2214" s="86" t="str">
        <f>IF(Ninth!K217="", "",Ninth!K217)</f>
        <v/>
      </c>
      <c r="M2214" s="67" t="str">
        <f t="shared" si="104"/>
        <v/>
      </c>
      <c r="N2214" s="76" t="str">
        <f t="shared" si="105"/>
        <v/>
      </c>
      <c r="O2214" s="33">
        <f t="shared" si="103"/>
        <v>0</v>
      </c>
    </row>
    <row r="2215" spans="1:15" x14ac:dyDescent="0.25">
      <c r="A2215" s="64" t="s">
        <v>182</v>
      </c>
      <c r="B2215" s="79" t="str">
        <f>IF(Ninth!B218="", "",Ninth!B218)</f>
        <v/>
      </c>
      <c r="C2215" s="66" t="str">
        <f>IF(Ninth!C218="", "",Ninth!C218)</f>
        <v/>
      </c>
      <c r="D2215" s="66" t="str">
        <f>IF(Ninth!D218="", "",Ninth!D218)</f>
        <v/>
      </c>
      <c r="E2215" s="66" t="str">
        <f>IF(Ninth!E218="", "",Ninth!E218)</f>
        <v/>
      </c>
      <c r="F2215" s="66" t="str">
        <f>IF(Ninth!F218="", "",Ninth!F218)</f>
        <v/>
      </c>
      <c r="G2215" s="66" t="str">
        <f>IF(Ninth!G218="", "",Ninth!G218)</f>
        <v/>
      </c>
      <c r="H2215" s="66" t="str">
        <f>IF(Ninth!H218="", "",Ninth!H218)</f>
        <v/>
      </c>
      <c r="I2215" s="66" t="str">
        <f>IF(Ninth!I218="", "",Ninth!I218)</f>
        <v/>
      </c>
      <c r="J2215" s="66" t="str">
        <f>IF(Ninth!J218="", "",Ninth!J218)</f>
        <v/>
      </c>
      <c r="K2215" s="86" t="str">
        <f>IF(Ninth!K218="", "",Ninth!K218)</f>
        <v/>
      </c>
      <c r="M2215" s="67" t="str">
        <f t="shared" si="104"/>
        <v/>
      </c>
      <c r="N2215" s="76" t="str">
        <f t="shared" si="105"/>
        <v/>
      </c>
      <c r="O2215" s="33">
        <f t="shared" si="103"/>
        <v>0</v>
      </c>
    </row>
    <row r="2216" spans="1:15" x14ac:dyDescent="0.25">
      <c r="A2216" s="64" t="s">
        <v>182</v>
      </c>
      <c r="B2216" s="79" t="str">
        <f>IF(Ninth!B219="", "",Ninth!B219)</f>
        <v/>
      </c>
      <c r="C2216" s="66" t="str">
        <f>IF(Ninth!C219="", "",Ninth!C219)</f>
        <v/>
      </c>
      <c r="D2216" s="66" t="str">
        <f>IF(Ninth!D219="", "",Ninth!D219)</f>
        <v/>
      </c>
      <c r="E2216" s="66" t="str">
        <f>IF(Ninth!E219="", "",Ninth!E219)</f>
        <v/>
      </c>
      <c r="F2216" s="66" t="str">
        <f>IF(Ninth!F219="", "",Ninth!F219)</f>
        <v/>
      </c>
      <c r="G2216" s="66" t="str">
        <f>IF(Ninth!G219="", "",Ninth!G219)</f>
        <v/>
      </c>
      <c r="H2216" s="66" t="str">
        <f>IF(Ninth!H219="", "",Ninth!H219)</f>
        <v/>
      </c>
      <c r="I2216" s="66" t="str">
        <f>IF(Ninth!I219="", "",Ninth!I219)</f>
        <v/>
      </c>
      <c r="J2216" s="66" t="str">
        <f>IF(Ninth!J219="", "",Ninth!J219)</f>
        <v/>
      </c>
      <c r="K2216" s="86" t="str">
        <f>IF(Ninth!K219="", "",Ninth!K219)</f>
        <v/>
      </c>
      <c r="M2216" s="67" t="str">
        <f t="shared" si="104"/>
        <v/>
      </c>
      <c r="N2216" s="76" t="str">
        <f t="shared" si="105"/>
        <v/>
      </c>
      <c r="O2216" s="33">
        <f t="shared" si="103"/>
        <v>0</v>
      </c>
    </row>
    <row r="2217" spans="1:15" x14ac:dyDescent="0.25">
      <c r="A2217" s="64" t="s">
        <v>182</v>
      </c>
      <c r="B2217" s="79" t="str">
        <f>IF(Ninth!B220="", "",Ninth!B220)</f>
        <v/>
      </c>
      <c r="C2217" s="66" t="str">
        <f>IF(Ninth!C220="", "",Ninth!C220)</f>
        <v/>
      </c>
      <c r="D2217" s="66" t="str">
        <f>IF(Ninth!D220="", "",Ninth!D220)</f>
        <v/>
      </c>
      <c r="E2217" s="66" t="str">
        <f>IF(Ninth!E220="", "",Ninth!E220)</f>
        <v/>
      </c>
      <c r="F2217" s="66" t="str">
        <f>IF(Ninth!F220="", "",Ninth!F220)</f>
        <v/>
      </c>
      <c r="G2217" s="66" t="str">
        <f>IF(Ninth!G220="", "",Ninth!G220)</f>
        <v/>
      </c>
      <c r="H2217" s="66" t="str">
        <f>IF(Ninth!H220="", "",Ninth!H220)</f>
        <v/>
      </c>
      <c r="I2217" s="66" t="str">
        <f>IF(Ninth!I220="", "",Ninth!I220)</f>
        <v/>
      </c>
      <c r="J2217" s="66" t="str">
        <f>IF(Ninth!J220="", "",Ninth!J220)</f>
        <v/>
      </c>
      <c r="K2217" s="86" t="str">
        <f>IF(Ninth!K220="", "",Ninth!K220)</f>
        <v/>
      </c>
      <c r="M2217" s="67" t="str">
        <f t="shared" si="104"/>
        <v/>
      </c>
      <c r="N2217" s="76" t="str">
        <f t="shared" si="105"/>
        <v/>
      </c>
      <c r="O2217" s="33">
        <f t="shared" si="103"/>
        <v>0</v>
      </c>
    </row>
    <row r="2218" spans="1:15" x14ac:dyDescent="0.25">
      <c r="A2218" s="64" t="s">
        <v>182</v>
      </c>
      <c r="B2218" s="79" t="str">
        <f>IF(Ninth!B221="", "",Ninth!B221)</f>
        <v/>
      </c>
      <c r="C2218" s="66" t="str">
        <f>IF(Ninth!C221="", "",Ninth!C221)</f>
        <v/>
      </c>
      <c r="D2218" s="66" t="str">
        <f>IF(Ninth!D221="", "",Ninth!D221)</f>
        <v/>
      </c>
      <c r="E2218" s="66" t="str">
        <f>IF(Ninth!E221="", "",Ninth!E221)</f>
        <v/>
      </c>
      <c r="F2218" s="66" t="str">
        <f>IF(Ninth!F221="", "",Ninth!F221)</f>
        <v/>
      </c>
      <c r="G2218" s="66" t="str">
        <f>IF(Ninth!G221="", "",Ninth!G221)</f>
        <v/>
      </c>
      <c r="H2218" s="66" t="str">
        <f>IF(Ninth!H221="", "",Ninth!H221)</f>
        <v/>
      </c>
      <c r="I2218" s="66" t="str">
        <f>IF(Ninth!I221="", "",Ninth!I221)</f>
        <v/>
      </c>
      <c r="J2218" s="66" t="str">
        <f>IF(Ninth!J221="", "",Ninth!J221)</f>
        <v/>
      </c>
      <c r="K2218" s="86" t="str">
        <f>IF(Ninth!K221="", "",Ninth!K221)</f>
        <v/>
      </c>
      <c r="M2218" s="67" t="str">
        <f t="shared" si="104"/>
        <v/>
      </c>
      <c r="N2218" s="76" t="str">
        <f t="shared" si="105"/>
        <v/>
      </c>
      <c r="O2218" s="33">
        <f t="shared" si="103"/>
        <v>0</v>
      </c>
    </row>
    <row r="2219" spans="1:15" x14ac:dyDescent="0.25">
      <c r="A2219" s="64" t="s">
        <v>182</v>
      </c>
      <c r="B2219" s="79" t="str">
        <f>IF(Ninth!B222="", "",Ninth!B222)</f>
        <v/>
      </c>
      <c r="C2219" s="66" t="str">
        <f>IF(Ninth!C222="", "",Ninth!C222)</f>
        <v/>
      </c>
      <c r="D2219" s="66" t="str">
        <f>IF(Ninth!D222="", "",Ninth!D222)</f>
        <v/>
      </c>
      <c r="E2219" s="66" t="str">
        <f>IF(Ninth!E222="", "",Ninth!E222)</f>
        <v/>
      </c>
      <c r="F2219" s="66" t="str">
        <f>IF(Ninth!F222="", "",Ninth!F222)</f>
        <v/>
      </c>
      <c r="G2219" s="66" t="str">
        <f>IF(Ninth!G222="", "",Ninth!G222)</f>
        <v/>
      </c>
      <c r="H2219" s="66" t="str">
        <f>IF(Ninth!H222="", "",Ninth!H222)</f>
        <v/>
      </c>
      <c r="I2219" s="66" t="str">
        <f>IF(Ninth!I222="", "",Ninth!I222)</f>
        <v/>
      </c>
      <c r="J2219" s="66" t="str">
        <f>IF(Ninth!J222="", "",Ninth!J222)</f>
        <v/>
      </c>
      <c r="K2219" s="86" t="str">
        <f>IF(Ninth!K222="", "",Ninth!K222)</f>
        <v/>
      </c>
      <c r="M2219" s="67" t="str">
        <f t="shared" si="104"/>
        <v/>
      </c>
      <c r="N2219" s="76" t="str">
        <f t="shared" si="105"/>
        <v/>
      </c>
      <c r="O2219" s="33">
        <f t="shared" si="103"/>
        <v>0</v>
      </c>
    </row>
    <row r="2220" spans="1:15" x14ac:dyDescent="0.25">
      <c r="A2220" s="64" t="s">
        <v>182</v>
      </c>
      <c r="B2220" s="79" t="str">
        <f>IF(Ninth!B223="", "",Ninth!B223)</f>
        <v/>
      </c>
      <c r="C2220" s="66" t="str">
        <f>IF(Ninth!C223="", "",Ninth!C223)</f>
        <v/>
      </c>
      <c r="D2220" s="66" t="str">
        <f>IF(Ninth!D223="", "",Ninth!D223)</f>
        <v/>
      </c>
      <c r="E2220" s="66" t="str">
        <f>IF(Ninth!E223="", "",Ninth!E223)</f>
        <v/>
      </c>
      <c r="F2220" s="66" t="str">
        <f>IF(Ninth!F223="", "",Ninth!F223)</f>
        <v/>
      </c>
      <c r="G2220" s="66" t="str">
        <f>IF(Ninth!G223="", "",Ninth!G223)</f>
        <v/>
      </c>
      <c r="H2220" s="66" t="str">
        <f>IF(Ninth!H223="", "",Ninth!H223)</f>
        <v/>
      </c>
      <c r="I2220" s="66" t="str">
        <f>IF(Ninth!I223="", "",Ninth!I223)</f>
        <v/>
      </c>
      <c r="J2220" s="66" t="str">
        <f>IF(Ninth!J223="", "",Ninth!J223)</f>
        <v/>
      </c>
      <c r="K2220" s="86" t="str">
        <f>IF(Ninth!K223="", "",Ninth!K223)</f>
        <v/>
      </c>
      <c r="M2220" s="67" t="str">
        <f t="shared" si="104"/>
        <v/>
      </c>
      <c r="N2220" s="76" t="str">
        <f t="shared" si="105"/>
        <v/>
      </c>
      <c r="O2220" s="33">
        <f t="shared" si="103"/>
        <v>0</v>
      </c>
    </row>
    <row r="2221" spans="1:15" x14ac:dyDescent="0.25">
      <c r="A2221" s="64" t="s">
        <v>182</v>
      </c>
      <c r="B2221" s="79" t="str">
        <f>IF(Ninth!B224="", "",Ninth!B224)</f>
        <v/>
      </c>
      <c r="C2221" s="66" t="str">
        <f>IF(Ninth!C224="", "",Ninth!C224)</f>
        <v/>
      </c>
      <c r="D2221" s="66" t="str">
        <f>IF(Ninth!D224="", "",Ninth!D224)</f>
        <v/>
      </c>
      <c r="E2221" s="66" t="str">
        <f>IF(Ninth!E224="", "",Ninth!E224)</f>
        <v/>
      </c>
      <c r="F2221" s="66" t="str">
        <f>IF(Ninth!F224="", "",Ninth!F224)</f>
        <v/>
      </c>
      <c r="G2221" s="66" t="str">
        <f>IF(Ninth!G224="", "",Ninth!G224)</f>
        <v/>
      </c>
      <c r="H2221" s="66" t="str">
        <f>IF(Ninth!H224="", "",Ninth!H224)</f>
        <v/>
      </c>
      <c r="I2221" s="66" t="str">
        <f>IF(Ninth!I224="", "",Ninth!I224)</f>
        <v/>
      </c>
      <c r="J2221" s="66" t="str">
        <f>IF(Ninth!J224="", "",Ninth!J224)</f>
        <v/>
      </c>
      <c r="K2221" s="86" t="str">
        <f>IF(Ninth!K224="", "",Ninth!K224)</f>
        <v/>
      </c>
      <c r="M2221" s="67" t="str">
        <f t="shared" si="104"/>
        <v/>
      </c>
      <c r="N2221" s="76" t="str">
        <f t="shared" si="105"/>
        <v/>
      </c>
      <c r="O2221" s="33">
        <f t="shared" si="103"/>
        <v>0</v>
      </c>
    </row>
    <row r="2222" spans="1:15" x14ac:dyDescent="0.25">
      <c r="A2222" s="64" t="s">
        <v>182</v>
      </c>
      <c r="B2222" s="79" t="str">
        <f>IF(Ninth!B225="", "",Ninth!B225)</f>
        <v/>
      </c>
      <c r="C2222" s="66" t="str">
        <f>IF(Ninth!C225="", "",Ninth!C225)</f>
        <v/>
      </c>
      <c r="D2222" s="66" t="str">
        <f>IF(Ninth!D225="", "",Ninth!D225)</f>
        <v/>
      </c>
      <c r="E2222" s="66" t="str">
        <f>IF(Ninth!E225="", "",Ninth!E225)</f>
        <v/>
      </c>
      <c r="F2222" s="66" t="str">
        <f>IF(Ninth!F225="", "",Ninth!F225)</f>
        <v/>
      </c>
      <c r="G2222" s="66" t="str">
        <f>IF(Ninth!G225="", "",Ninth!G225)</f>
        <v/>
      </c>
      <c r="H2222" s="66" t="str">
        <f>IF(Ninth!H225="", "",Ninth!H225)</f>
        <v/>
      </c>
      <c r="I2222" s="66" t="str">
        <f>IF(Ninth!I225="", "",Ninth!I225)</f>
        <v/>
      </c>
      <c r="J2222" s="66" t="str">
        <f>IF(Ninth!J225="", "",Ninth!J225)</f>
        <v/>
      </c>
      <c r="K2222" s="86" t="str">
        <f>IF(Ninth!K225="", "",Ninth!K225)</f>
        <v/>
      </c>
      <c r="M2222" s="67" t="str">
        <f t="shared" si="104"/>
        <v/>
      </c>
      <c r="N2222" s="76" t="str">
        <f t="shared" si="105"/>
        <v/>
      </c>
      <c r="O2222" s="33">
        <f t="shared" si="103"/>
        <v>0</v>
      </c>
    </row>
    <row r="2223" spans="1:15" x14ac:dyDescent="0.25">
      <c r="A2223" s="64" t="s">
        <v>182</v>
      </c>
      <c r="B2223" s="79" t="str">
        <f>IF(Ninth!B226="", "",Ninth!B226)</f>
        <v/>
      </c>
      <c r="C2223" s="66" t="str">
        <f>IF(Ninth!C226="", "",Ninth!C226)</f>
        <v/>
      </c>
      <c r="D2223" s="66" t="str">
        <f>IF(Ninth!D226="", "",Ninth!D226)</f>
        <v/>
      </c>
      <c r="E2223" s="66" t="str">
        <f>IF(Ninth!E226="", "",Ninth!E226)</f>
        <v/>
      </c>
      <c r="F2223" s="66" t="str">
        <f>IF(Ninth!F226="", "",Ninth!F226)</f>
        <v/>
      </c>
      <c r="G2223" s="66" t="str">
        <f>IF(Ninth!G226="", "",Ninth!G226)</f>
        <v/>
      </c>
      <c r="H2223" s="66" t="str">
        <f>IF(Ninth!H226="", "",Ninth!H226)</f>
        <v/>
      </c>
      <c r="I2223" s="66" t="str">
        <f>IF(Ninth!I226="", "",Ninth!I226)</f>
        <v/>
      </c>
      <c r="J2223" s="66" t="str">
        <f>IF(Ninth!J226="", "",Ninth!J226)</f>
        <v/>
      </c>
      <c r="K2223" s="86" t="str">
        <f>IF(Ninth!K226="", "",Ninth!K226)</f>
        <v/>
      </c>
      <c r="M2223" s="67" t="str">
        <f t="shared" si="104"/>
        <v/>
      </c>
      <c r="N2223" s="76" t="str">
        <f t="shared" si="105"/>
        <v/>
      </c>
      <c r="O2223" s="33">
        <f t="shared" si="103"/>
        <v>0</v>
      </c>
    </row>
    <row r="2224" spans="1:15" x14ac:dyDescent="0.25">
      <c r="A2224" s="64" t="s">
        <v>182</v>
      </c>
      <c r="B2224" s="79" t="str">
        <f>IF(Ninth!B227="", "",Ninth!B227)</f>
        <v/>
      </c>
      <c r="C2224" s="66" t="str">
        <f>IF(Ninth!C227="", "",Ninth!C227)</f>
        <v/>
      </c>
      <c r="D2224" s="66" t="str">
        <f>IF(Ninth!D227="", "",Ninth!D227)</f>
        <v/>
      </c>
      <c r="E2224" s="66" t="str">
        <f>IF(Ninth!E227="", "",Ninth!E227)</f>
        <v/>
      </c>
      <c r="F2224" s="66" t="str">
        <f>IF(Ninth!F227="", "",Ninth!F227)</f>
        <v/>
      </c>
      <c r="G2224" s="66" t="str">
        <f>IF(Ninth!G227="", "",Ninth!G227)</f>
        <v/>
      </c>
      <c r="H2224" s="66" t="str">
        <f>IF(Ninth!H227="", "",Ninth!H227)</f>
        <v/>
      </c>
      <c r="I2224" s="66" t="str">
        <f>IF(Ninth!I227="", "",Ninth!I227)</f>
        <v/>
      </c>
      <c r="J2224" s="66" t="str">
        <f>IF(Ninth!J227="", "",Ninth!J227)</f>
        <v/>
      </c>
      <c r="K2224" s="86" t="str">
        <f>IF(Ninth!K227="", "",Ninth!K227)</f>
        <v/>
      </c>
      <c r="M2224" s="67" t="str">
        <f t="shared" si="104"/>
        <v/>
      </c>
      <c r="N2224" s="76" t="str">
        <f t="shared" si="105"/>
        <v/>
      </c>
      <c r="O2224" s="33">
        <f t="shared" si="103"/>
        <v>0</v>
      </c>
    </row>
    <row r="2225" spans="1:15" x14ac:dyDescent="0.25">
      <c r="A2225" s="64" t="s">
        <v>182</v>
      </c>
      <c r="B2225" s="79" t="str">
        <f>IF(Ninth!B228="", "",Ninth!B228)</f>
        <v/>
      </c>
      <c r="C2225" s="66" t="str">
        <f>IF(Ninth!C228="", "",Ninth!C228)</f>
        <v/>
      </c>
      <c r="D2225" s="66" t="str">
        <f>IF(Ninth!D228="", "",Ninth!D228)</f>
        <v/>
      </c>
      <c r="E2225" s="66" t="str">
        <f>IF(Ninth!E228="", "",Ninth!E228)</f>
        <v/>
      </c>
      <c r="F2225" s="66" t="str">
        <f>IF(Ninth!F228="", "",Ninth!F228)</f>
        <v/>
      </c>
      <c r="G2225" s="66" t="str">
        <f>IF(Ninth!G228="", "",Ninth!G228)</f>
        <v/>
      </c>
      <c r="H2225" s="66" t="str">
        <f>IF(Ninth!H228="", "",Ninth!H228)</f>
        <v/>
      </c>
      <c r="I2225" s="66" t="str">
        <f>IF(Ninth!I228="", "",Ninth!I228)</f>
        <v/>
      </c>
      <c r="J2225" s="66" t="str">
        <f>IF(Ninth!J228="", "",Ninth!J228)</f>
        <v/>
      </c>
      <c r="K2225" s="86" t="str">
        <f>IF(Ninth!K228="", "",Ninth!K228)</f>
        <v/>
      </c>
      <c r="M2225" s="67" t="str">
        <f t="shared" si="104"/>
        <v/>
      </c>
      <c r="N2225" s="76" t="str">
        <f t="shared" si="105"/>
        <v/>
      </c>
      <c r="O2225" s="33">
        <f t="shared" si="103"/>
        <v>0</v>
      </c>
    </row>
    <row r="2226" spans="1:15" x14ac:dyDescent="0.25">
      <c r="A2226" s="64" t="s">
        <v>182</v>
      </c>
      <c r="B2226" s="79" t="str">
        <f>IF(Ninth!B229="", "",Ninth!B229)</f>
        <v/>
      </c>
      <c r="C2226" s="66" t="str">
        <f>IF(Ninth!C229="", "",Ninth!C229)</f>
        <v/>
      </c>
      <c r="D2226" s="66" t="str">
        <f>IF(Ninth!D229="", "",Ninth!D229)</f>
        <v/>
      </c>
      <c r="E2226" s="66" t="str">
        <f>IF(Ninth!E229="", "",Ninth!E229)</f>
        <v/>
      </c>
      <c r="F2226" s="66" t="str">
        <f>IF(Ninth!F229="", "",Ninth!F229)</f>
        <v/>
      </c>
      <c r="G2226" s="66" t="str">
        <f>IF(Ninth!G229="", "",Ninth!G229)</f>
        <v/>
      </c>
      <c r="H2226" s="66" t="str">
        <f>IF(Ninth!H229="", "",Ninth!H229)</f>
        <v/>
      </c>
      <c r="I2226" s="66" t="str">
        <f>IF(Ninth!I229="", "",Ninth!I229)</f>
        <v/>
      </c>
      <c r="J2226" s="66" t="str">
        <f>IF(Ninth!J229="", "",Ninth!J229)</f>
        <v/>
      </c>
      <c r="K2226" s="86" t="str">
        <f>IF(Ninth!K229="", "",Ninth!K229)</f>
        <v/>
      </c>
      <c r="M2226" s="67" t="str">
        <f t="shared" si="104"/>
        <v/>
      </c>
      <c r="N2226" s="76" t="str">
        <f t="shared" si="105"/>
        <v/>
      </c>
      <c r="O2226" s="33">
        <f t="shared" si="103"/>
        <v>0</v>
      </c>
    </row>
    <row r="2227" spans="1:15" x14ac:dyDescent="0.25">
      <c r="A2227" s="64" t="s">
        <v>182</v>
      </c>
      <c r="B2227" s="79" t="str">
        <f>IF(Ninth!B230="", "",Ninth!B230)</f>
        <v/>
      </c>
      <c r="C2227" s="66" t="str">
        <f>IF(Ninth!C230="", "",Ninth!C230)</f>
        <v/>
      </c>
      <c r="D2227" s="66" t="str">
        <f>IF(Ninth!D230="", "",Ninth!D230)</f>
        <v/>
      </c>
      <c r="E2227" s="66" t="str">
        <f>IF(Ninth!E230="", "",Ninth!E230)</f>
        <v/>
      </c>
      <c r="F2227" s="66" t="str">
        <f>IF(Ninth!F230="", "",Ninth!F230)</f>
        <v/>
      </c>
      <c r="G2227" s="66" t="str">
        <f>IF(Ninth!G230="", "",Ninth!G230)</f>
        <v/>
      </c>
      <c r="H2227" s="66" t="str">
        <f>IF(Ninth!H230="", "",Ninth!H230)</f>
        <v/>
      </c>
      <c r="I2227" s="66" t="str">
        <f>IF(Ninth!I230="", "",Ninth!I230)</f>
        <v/>
      </c>
      <c r="J2227" s="66" t="str">
        <f>IF(Ninth!J230="", "",Ninth!J230)</f>
        <v/>
      </c>
      <c r="K2227" s="86" t="str">
        <f>IF(Ninth!K230="", "",Ninth!K230)</f>
        <v/>
      </c>
      <c r="M2227" s="67" t="str">
        <f t="shared" si="104"/>
        <v/>
      </c>
      <c r="N2227" s="76" t="str">
        <f t="shared" si="105"/>
        <v/>
      </c>
      <c r="O2227" s="33">
        <f t="shared" si="103"/>
        <v>0</v>
      </c>
    </row>
    <row r="2228" spans="1:15" x14ac:dyDescent="0.25">
      <c r="A2228" s="64" t="s">
        <v>182</v>
      </c>
      <c r="B2228" s="79" t="str">
        <f>IF(Ninth!B231="", "",Ninth!B231)</f>
        <v/>
      </c>
      <c r="C2228" s="66" t="str">
        <f>IF(Ninth!C231="", "",Ninth!C231)</f>
        <v/>
      </c>
      <c r="D2228" s="66" t="str">
        <f>IF(Ninth!D231="", "",Ninth!D231)</f>
        <v/>
      </c>
      <c r="E2228" s="66" t="str">
        <f>IF(Ninth!E231="", "",Ninth!E231)</f>
        <v/>
      </c>
      <c r="F2228" s="66" t="str">
        <f>IF(Ninth!F231="", "",Ninth!F231)</f>
        <v/>
      </c>
      <c r="G2228" s="66" t="str">
        <f>IF(Ninth!G231="", "",Ninth!G231)</f>
        <v/>
      </c>
      <c r="H2228" s="66" t="str">
        <f>IF(Ninth!H231="", "",Ninth!H231)</f>
        <v/>
      </c>
      <c r="I2228" s="66" t="str">
        <f>IF(Ninth!I231="", "",Ninth!I231)</f>
        <v/>
      </c>
      <c r="J2228" s="66" t="str">
        <f>IF(Ninth!J231="", "",Ninth!J231)</f>
        <v/>
      </c>
      <c r="K2228" s="86" t="str">
        <f>IF(Ninth!K231="", "",Ninth!K231)</f>
        <v/>
      </c>
      <c r="M2228" s="67" t="str">
        <f t="shared" si="104"/>
        <v/>
      </c>
      <c r="N2228" s="76" t="str">
        <f t="shared" si="105"/>
        <v/>
      </c>
      <c r="O2228" s="33">
        <f t="shared" si="103"/>
        <v>0</v>
      </c>
    </row>
    <row r="2229" spans="1:15" x14ac:dyDescent="0.25">
      <c r="A2229" s="64" t="s">
        <v>182</v>
      </c>
      <c r="B2229" s="79" t="str">
        <f>IF(Ninth!B232="", "",Ninth!B232)</f>
        <v/>
      </c>
      <c r="C2229" s="66" t="str">
        <f>IF(Ninth!C232="", "",Ninth!C232)</f>
        <v/>
      </c>
      <c r="D2229" s="66" t="str">
        <f>IF(Ninth!D232="", "",Ninth!D232)</f>
        <v/>
      </c>
      <c r="E2229" s="66" t="str">
        <f>IF(Ninth!E232="", "",Ninth!E232)</f>
        <v/>
      </c>
      <c r="F2229" s="66" t="str">
        <f>IF(Ninth!F232="", "",Ninth!F232)</f>
        <v/>
      </c>
      <c r="G2229" s="66" t="str">
        <f>IF(Ninth!G232="", "",Ninth!G232)</f>
        <v/>
      </c>
      <c r="H2229" s="66" t="str">
        <f>IF(Ninth!H232="", "",Ninth!H232)</f>
        <v/>
      </c>
      <c r="I2229" s="66" t="str">
        <f>IF(Ninth!I232="", "",Ninth!I232)</f>
        <v/>
      </c>
      <c r="J2229" s="66" t="str">
        <f>IF(Ninth!J232="", "",Ninth!J232)</f>
        <v/>
      </c>
      <c r="K2229" s="86" t="str">
        <f>IF(Ninth!K232="", "",Ninth!K232)</f>
        <v/>
      </c>
      <c r="M2229" s="67" t="str">
        <f t="shared" si="104"/>
        <v/>
      </c>
      <c r="N2229" s="76" t="str">
        <f t="shared" si="105"/>
        <v/>
      </c>
      <c r="O2229" s="33">
        <f t="shared" si="103"/>
        <v>0</v>
      </c>
    </row>
    <row r="2230" spans="1:15" x14ac:dyDescent="0.25">
      <c r="A2230" s="64" t="s">
        <v>182</v>
      </c>
      <c r="B2230" s="79" t="str">
        <f>IF(Ninth!B233="", "",Ninth!B233)</f>
        <v/>
      </c>
      <c r="C2230" s="66" t="str">
        <f>IF(Ninth!C233="", "",Ninth!C233)</f>
        <v/>
      </c>
      <c r="D2230" s="66" t="str">
        <f>IF(Ninth!D233="", "",Ninth!D233)</f>
        <v/>
      </c>
      <c r="E2230" s="66" t="str">
        <f>IF(Ninth!E233="", "",Ninth!E233)</f>
        <v/>
      </c>
      <c r="F2230" s="66" t="str">
        <f>IF(Ninth!F233="", "",Ninth!F233)</f>
        <v/>
      </c>
      <c r="G2230" s="66" t="str">
        <f>IF(Ninth!G233="", "",Ninth!G233)</f>
        <v/>
      </c>
      <c r="H2230" s="66" t="str">
        <f>IF(Ninth!H233="", "",Ninth!H233)</f>
        <v/>
      </c>
      <c r="I2230" s="66" t="str">
        <f>IF(Ninth!I233="", "",Ninth!I233)</f>
        <v/>
      </c>
      <c r="J2230" s="66" t="str">
        <f>IF(Ninth!J233="", "",Ninth!J233)</f>
        <v/>
      </c>
      <c r="K2230" s="86" t="str">
        <f>IF(Ninth!K233="", "",Ninth!K233)</f>
        <v/>
      </c>
      <c r="M2230" s="67" t="str">
        <f t="shared" si="104"/>
        <v/>
      </c>
      <c r="N2230" s="76" t="str">
        <f t="shared" si="105"/>
        <v/>
      </c>
      <c r="O2230" s="33">
        <f t="shared" si="103"/>
        <v>0</v>
      </c>
    </row>
    <row r="2231" spans="1:15" x14ac:dyDescent="0.25">
      <c r="A2231" s="64" t="s">
        <v>182</v>
      </c>
      <c r="B2231" s="79" t="str">
        <f>IF(Ninth!B234="", "",Ninth!B234)</f>
        <v/>
      </c>
      <c r="C2231" s="66" t="str">
        <f>IF(Ninth!C234="", "",Ninth!C234)</f>
        <v/>
      </c>
      <c r="D2231" s="66" t="str">
        <f>IF(Ninth!D234="", "",Ninth!D234)</f>
        <v/>
      </c>
      <c r="E2231" s="66" t="str">
        <f>IF(Ninth!E234="", "",Ninth!E234)</f>
        <v/>
      </c>
      <c r="F2231" s="66" t="str">
        <f>IF(Ninth!F234="", "",Ninth!F234)</f>
        <v/>
      </c>
      <c r="G2231" s="66" t="str">
        <f>IF(Ninth!G234="", "",Ninth!G234)</f>
        <v/>
      </c>
      <c r="H2231" s="66" t="str">
        <f>IF(Ninth!H234="", "",Ninth!H234)</f>
        <v/>
      </c>
      <c r="I2231" s="66" t="str">
        <f>IF(Ninth!I234="", "",Ninth!I234)</f>
        <v/>
      </c>
      <c r="J2231" s="66" t="str">
        <f>IF(Ninth!J234="", "",Ninth!J234)</f>
        <v/>
      </c>
      <c r="K2231" s="86" t="str">
        <f>IF(Ninth!K234="", "",Ninth!K234)</f>
        <v/>
      </c>
      <c r="M2231" s="67" t="str">
        <f t="shared" si="104"/>
        <v/>
      </c>
      <c r="N2231" s="76" t="str">
        <f t="shared" si="105"/>
        <v/>
      </c>
      <c r="O2231" s="33">
        <f t="shared" si="103"/>
        <v>0</v>
      </c>
    </row>
    <row r="2232" spans="1:15" x14ac:dyDescent="0.25">
      <c r="A2232" s="64" t="s">
        <v>182</v>
      </c>
      <c r="B2232" s="79" t="str">
        <f>IF(Ninth!B235="", "",Ninth!B235)</f>
        <v/>
      </c>
      <c r="C2232" s="66" t="str">
        <f>IF(Ninth!C235="", "",Ninth!C235)</f>
        <v/>
      </c>
      <c r="D2232" s="66" t="str">
        <f>IF(Ninth!D235="", "",Ninth!D235)</f>
        <v/>
      </c>
      <c r="E2232" s="66" t="str">
        <f>IF(Ninth!E235="", "",Ninth!E235)</f>
        <v/>
      </c>
      <c r="F2232" s="66" t="str">
        <f>IF(Ninth!F235="", "",Ninth!F235)</f>
        <v/>
      </c>
      <c r="G2232" s="66" t="str">
        <f>IF(Ninth!G235="", "",Ninth!G235)</f>
        <v/>
      </c>
      <c r="H2232" s="66" t="str">
        <f>IF(Ninth!H235="", "",Ninth!H235)</f>
        <v/>
      </c>
      <c r="I2232" s="66" t="str">
        <f>IF(Ninth!I235="", "",Ninth!I235)</f>
        <v/>
      </c>
      <c r="J2232" s="66" t="str">
        <f>IF(Ninth!J235="", "",Ninth!J235)</f>
        <v/>
      </c>
      <c r="K2232" s="86" t="str">
        <f>IF(Ninth!K235="", "",Ninth!K235)</f>
        <v/>
      </c>
      <c r="M2232" s="67" t="str">
        <f t="shared" si="104"/>
        <v/>
      </c>
      <c r="N2232" s="76" t="str">
        <f t="shared" si="105"/>
        <v/>
      </c>
      <c r="O2232" s="33">
        <f t="shared" si="103"/>
        <v>0</v>
      </c>
    </row>
    <row r="2233" spans="1:15" x14ac:dyDescent="0.25">
      <c r="A2233" s="64" t="s">
        <v>182</v>
      </c>
      <c r="B2233" s="79" t="str">
        <f>IF(Ninth!B236="", "",Ninth!B236)</f>
        <v/>
      </c>
      <c r="C2233" s="66" t="str">
        <f>IF(Ninth!C236="", "",Ninth!C236)</f>
        <v/>
      </c>
      <c r="D2233" s="66" t="str">
        <f>IF(Ninth!D236="", "",Ninth!D236)</f>
        <v/>
      </c>
      <c r="E2233" s="66" t="str">
        <f>IF(Ninth!E236="", "",Ninth!E236)</f>
        <v/>
      </c>
      <c r="F2233" s="66" t="str">
        <f>IF(Ninth!F236="", "",Ninth!F236)</f>
        <v/>
      </c>
      <c r="G2233" s="66" t="str">
        <f>IF(Ninth!G236="", "",Ninth!G236)</f>
        <v/>
      </c>
      <c r="H2233" s="66" t="str">
        <f>IF(Ninth!H236="", "",Ninth!H236)</f>
        <v/>
      </c>
      <c r="I2233" s="66" t="str">
        <f>IF(Ninth!I236="", "",Ninth!I236)</f>
        <v/>
      </c>
      <c r="J2233" s="66" t="str">
        <f>IF(Ninth!J236="", "",Ninth!J236)</f>
        <v/>
      </c>
      <c r="K2233" s="86" t="str">
        <f>IF(Ninth!K236="", "",Ninth!K236)</f>
        <v/>
      </c>
      <c r="M2233" s="67" t="str">
        <f t="shared" si="104"/>
        <v/>
      </c>
      <c r="N2233" s="76" t="str">
        <f t="shared" si="105"/>
        <v/>
      </c>
      <c r="O2233" s="33">
        <f t="shared" si="103"/>
        <v>0</v>
      </c>
    </row>
    <row r="2234" spans="1:15" x14ac:dyDescent="0.25">
      <c r="A2234" s="64" t="s">
        <v>182</v>
      </c>
      <c r="B2234" s="79" t="str">
        <f>IF(Ninth!B237="", "",Ninth!B237)</f>
        <v/>
      </c>
      <c r="C2234" s="66" t="str">
        <f>IF(Ninth!C237="", "",Ninth!C237)</f>
        <v/>
      </c>
      <c r="D2234" s="66" t="str">
        <f>IF(Ninth!D237="", "",Ninth!D237)</f>
        <v/>
      </c>
      <c r="E2234" s="66" t="str">
        <f>IF(Ninth!E237="", "",Ninth!E237)</f>
        <v/>
      </c>
      <c r="F2234" s="66" t="str">
        <f>IF(Ninth!F237="", "",Ninth!F237)</f>
        <v/>
      </c>
      <c r="G2234" s="66" t="str">
        <f>IF(Ninth!G237="", "",Ninth!G237)</f>
        <v/>
      </c>
      <c r="H2234" s="66" t="str">
        <f>IF(Ninth!H237="", "",Ninth!H237)</f>
        <v/>
      </c>
      <c r="I2234" s="66" t="str">
        <f>IF(Ninth!I237="", "",Ninth!I237)</f>
        <v/>
      </c>
      <c r="J2234" s="66" t="str">
        <f>IF(Ninth!J237="", "",Ninth!J237)</f>
        <v/>
      </c>
      <c r="K2234" s="86" t="str">
        <f>IF(Ninth!K237="", "",Ninth!K237)</f>
        <v/>
      </c>
      <c r="M2234" s="67" t="str">
        <f t="shared" si="104"/>
        <v/>
      </c>
      <c r="N2234" s="76" t="str">
        <f t="shared" si="105"/>
        <v/>
      </c>
      <c r="O2234" s="33">
        <f t="shared" si="103"/>
        <v>0</v>
      </c>
    </row>
    <row r="2235" spans="1:15" x14ac:dyDescent="0.25">
      <c r="A2235" s="64" t="s">
        <v>182</v>
      </c>
      <c r="B2235" s="79" t="str">
        <f>IF(Ninth!B238="", "",Ninth!B238)</f>
        <v/>
      </c>
      <c r="C2235" s="66" t="str">
        <f>IF(Ninth!C238="", "",Ninth!C238)</f>
        <v/>
      </c>
      <c r="D2235" s="66" t="str">
        <f>IF(Ninth!D238="", "",Ninth!D238)</f>
        <v/>
      </c>
      <c r="E2235" s="66" t="str">
        <f>IF(Ninth!E238="", "",Ninth!E238)</f>
        <v/>
      </c>
      <c r="F2235" s="66" t="str">
        <f>IF(Ninth!F238="", "",Ninth!F238)</f>
        <v/>
      </c>
      <c r="G2235" s="66" t="str">
        <f>IF(Ninth!G238="", "",Ninth!G238)</f>
        <v/>
      </c>
      <c r="H2235" s="66" t="str">
        <f>IF(Ninth!H238="", "",Ninth!H238)</f>
        <v/>
      </c>
      <c r="I2235" s="66" t="str">
        <f>IF(Ninth!I238="", "",Ninth!I238)</f>
        <v/>
      </c>
      <c r="J2235" s="66" t="str">
        <f>IF(Ninth!J238="", "",Ninth!J238)</f>
        <v/>
      </c>
      <c r="K2235" s="86" t="str">
        <f>IF(Ninth!K238="", "",Ninth!K238)</f>
        <v/>
      </c>
      <c r="M2235" s="67" t="str">
        <f t="shared" si="104"/>
        <v/>
      </c>
      <c r="N2235" s="76" t="str">
        <f t="shared" si="105"/>
        <v/>
      </c>
      <c r="O2235" s="33">
        <f t="shared" si="103"/>
        <v>0</v>
      </c>
    </row>
    <row r="2236" spans="1:15" x14ac:dyDescent="0.25">
      <c r="A2236" s="64" t="s">
        <v>182</v>
      </c>
      <c r="B2236" s="79" t="str">
        <f>IF(Ninth!B239="", "",Ninth!B239)</f>
        <v/>
      </c>
      <c r="C2236" s="66" t="str">
        <f>IF(Ninth!C239="", "",Ninth!C239)</f>
        <v/>
      </c>
      <c r="D2236" s="66" t="str">
        <f>IF(Ninth!D239="", "",Ninth!D239)</f>
        <v/>
      </c>
      <c r="E2236" s="66" t="str">
        <f>IF(Ninth!E239="", "",Ninth!E239)</f>
        <v/>
      </c>
      <c r="F2236" s="66" t="str">
        <f>IF(Ninth!F239="", "",Ninth!F239)</f>
        <v/>
      </c>
      <c r="G2236" s="66" t="str">
        <f>IF(Ninth!G239="", "",Ninth!G239)</f>
        <v/>
      </c>
      <c r="H2236" s="66" t="str">
        <f>IF(Ninth!H239="", "",Ninth!H239)</f>
        <v/>
      </c>
      <c r="I2236" s="66" t="str">
        <f>IF(Ninth!I239="", "",Ninth!I239)</f>
        <v/>
      </c>
      <c r="J2236" s="66" t="str">
        <f>IF(Ninth!J239="", "",Ninth!J239)</f>
        <v/>
      </c>
      <c r="K2236" s="86" t="str">
        <f>IF(Ninth!K239="", "",Ninth!K239)</f>
        <v/>
      </c>
      <c r="M2236" s="67" t="str">
        <f t="shared" si="104"/>
        <v/>
      </c>
      <c r="N2236" s="76" t="str">
        <f t="shared" si="105"/>
        <v/>
      </c>
      <c r="O2236" s="33">
        <f t="shared" si="103"/>
        <v>0</v>
      </c>
    </row>
    <row r="2237" spans="1:15" x14ac:dyDescent="0.25">
      <c r="A2237" s="64" t="s">
        <v>182</v>
      </c>
      <c r="B2237" s="79" t="str">
        <f>IF(Ninth!B240="", "",Ninth!B240)</f>
        <v/>
      </c>
      <c r="C2237" s="66" t="str">
        <f>IF(Ninth!C240="", "",Ninth!C240)</f>
        <v/>
      </c>
      <c r="D2237" s="66" t="str">
        <f>IF(Ninth!D240="", "",Ninth!D240)</f>
        <v/>
      </c>
      <c r="E2237" s="66" t="str">
        <f>IF(Ninth!E240="", "",Ninth!E240)</f>
        <v/>
      </c>
      <c r="F2237" s="66" t="str">
        <f>IF(Ninth!F240="", "",Ninth!F240)</f>
        <v/>
      </c>
      <c r="G2237" s="66" t="str">
        <f>IF(Ninth!G240="", "",Ninth!G240)</f>
        <v/>
      </c>
      <c r="H2237" s="66" t="str">
        <f>IF(Ninth!H240="", "",Ninth!H240)</f>
        <v/>
      </c>
      <c r="I2237" s="66" t="str">
        <f>IF(Ninth!I240="", "",Ninth!I240)</f>
        <v/>
      </c>
      <c r="J2237" s="66" t="str">
        <f>IF(Ninth!J240="", "",Ninth!J240)</f>
        <v/>
      </c>
      <c r="K2237" s="86" t="str">
        <f>IF(Ninth!K240="", "",Ninth!K240)</f>
        <v/>
      </c>
      <c r="M2237" s="67" t="str">
        <f t="shared" si="104"/>
        <v/>
      </c>
      <c r="N2237" s="76" t="str">
        <f t="shared" si="105"/>
        <v/>
      </c>
      <c r="O2237" s="33">
        <f t="shared" si="103"/>
        <v>0</v>
      </c>
    </row>
    <row r="2238" spans="1:15" x14ac:dyDescent="0.25">
      <c r="A2238" s="64" t="s">
        <v>182</v>
      </c>
      <c r="B2238" s="79" t="str">
        <f>IF(Ninth!B241="", "",Ninth!B241)</f>
        <v/>
      </c>
      <c r="C2238" s="66" t="str">
        <f>IF(Ninth!C241="", "",Ninth!C241)</f>
        <v/>
      </c>
      <c r="D2238" s="66" t="str">
        <f>IF(Ninth!D241="", "",Ninth!D241)</f>
        <v/>
      </c>
      <c r="E2238" s="66" t="str">
        <f>IF(Ninth!E241="", "",Ninth!E241)</f>
        <v/>
      </c>
      <c r="F2238" s="66" t="str">
        <f>IF(Ninth!F241="", "",Ninth!F241)</f>
        <v/>
      </c>
      <c r="G2238" s="66" t="str">
        <f>IF(Ninth!G241="", "",Ninth!G241)</f>
        <v/>
      </c>
      <c r="H2238" s="66" t="str">
        <f>IF(Ninth!H241="", "",Ninth!H241)</f>
        <v/>
      </c>
      <c r="I2238" s="66" t="str">
        <f>IF(Ninth!I241="", "",Ninth!I241)</f>
        <v/>
      </c>
      <c r="J2238" s="66" t="str">
        <f>IF(Ninth!J241="", "",Ninth!J241)</f>
        <v/>
      </c>
      <c r="K2238" s="86" t="str">
        <f>IF(Ninth!K241="", "",Ninth!K241)</f>
        <v/>
      </c>
      <c r="M2238" s="67" t="str">
        <f t="shared" si="104"/>
        <v/>
      </c>
      <c r="N2238" s="76" t="str">
        <f t="shared" si="105"/>
        <v/>
      </c>
      <c r="O2238" s="33">
        <f t="shared" si="103"/>
        <v>0</v>
      </c>
    </row>
    <row r="2239" spans="1:15" x14ac:dyDescent="0.25">
      <c r="A2239" s="64" t="s">
        <v>182</v>
      </c>
      <c r="B2239" s="79" t="str">
        <f>IF(Ninth!B242="", "",Ninth!B242)</f>
        <v/>
      </c>
      <c r="C2239" s="66" t="str">
        <f>IF(Ninth!C242="", "",Ninth!C242)</f>
        <v/>
      </c>
      <c r="D2239" s="66" t="str">
        <f>IF(Ninth!D242="", "",Ninth!D242)</f>
        <v/>
      </c>
      <c r="E2239" s="66" t="str">
        <f>IF(Ninth!E242="", "",Ninth!E242)</f>
        <v/>
      </c>
      <c r="F2239" s="66" t="str">
        <f>IF(Ninth!F242="", "",Ninth!F242)</f>
        <v/>
      </c>
      <c r="G2239" s="66" t="str">
        <f>IF(Ninth!G242="", "",Ninth!G242)</f>
        <v/>
      </c>
      <c r="H2239" s="66" t="str">
        <f>IF(Ninth!H242="", "",Ninth!H242)</f>
        <v/>
      </c>
      <c r="I2239" s="66" t="str">
        <f>IF(Ninth!I242="", "",Ninth!I242)</f>
        <v/>
      </c>
      <c r="J2239" s="66" t="str">
        <f>IF(Ninth!J242="", "",Ninth!J242)</f>
        <v/>
      </c>
      <c r="K2239" s="86" t="str">
        <f>IF(Ninth!K242="", "",Ninth!K242)</f>
        <v/>
      </c>
      <c r="M2239" s="67" t="str">
        <f t="shared" si="104"/>
        <v/>
      </c>
      <c r="N2239" s="76" t="str">
        <f t="shared" si="105"/>
        <v/>
      </c>
      <c r="O2239" s="33">
        <f t="shared" si="103"/>
        <v>0</v>
      </c>
    </row>
    <row r="2240" spans="1:15" x14ac:dyDescent="0.25">
      <c r="A2240" s="64" t="s">
        <v>182</v>
      </c>
      <c r="B2240" s="79" t="str">
        <f>IF(Ninth!B243="", "",Ninth!B243)</f>
        <v/>
      </c>
      <c r="C2240" s="66" t="str">
        <f>IF(Ninth!C243="", "",Ninth!C243)</f>
        <v/>
      </c>
      <c r="D2240" s="66" t="str">
        <f>IF(Ninth!D243="", "",Ninth!D243)</f>
        <v/>
      </c>
      <c r="E2240" s="66" t="str">
        <f>IF(Ninth!E243="", "",Ninth!E243)</f>
        <v/>
      </c>
      <c r="F2240" s="66" t="str">
        <f>IF(Ninth!F243="", "",Ninth!F243)</f>
        <v/>
      </c>
      <c r="G2240" s="66" t="str">
        <f>IF(Ninth!G243="", "",Ninth!G243)</f>
        <v/>
      </c>
      <c r="H2240" s="66" t="str">
        <f>IF(Ninth!H243="", "",Ninth!H243)</f>
        <v/>
      </c>
      <c r="I2240" s="66" t="str">
        <f>IF(Ninth!I243="", "",Ninth!I243)</f>
        <v/>
      </c>
      <c r="J2240" s="66" t="str">
        <f>IF(Ninth!J243="", "",Ninth!J243)</f>
        <v/>
      </c>
      <c r="K2240" s="86" t="str">
        <f>IF(Ninth!K243="", "",Ninth!K243)</f>
        <v/>
      </c>
      <c r="M2240" s="67" t="str">
        <f t="shared" si="104"/>
        <v/>
      </c>
      <c r="N2240" s="76" t="str">
        <f t="shared" si="105"/>
        <v/>
      </c>
      <c r="O2240" s="33">
        <f t="shared" si="103"/>
        <v>0</v>
      </c>
    </row>
    <row r="2241" spans="1:15" x14ac:dyDescent="0.25">
      <c r="A2241" s="64" t="s">
        <v>182</v>
      </c>
      <c r="B2241" s="79" t="str">
        <f>IF(Ninth!B244="", "",Ninth!B244)</f>
        <v/>
      </c>
      <c r="C2241" s="66" t="str">
        <f>IF(Ninth!C244="", "",Ninth!C244)</f>
        <v/>
      </c>
      <c r="D2241" s="66" t="str">
        <f>IF(Ninth!D244="", "",Ninth!D244)</f>
        <v/>
      </c>
      <c r="E2241" s="66" t="str">
        <f>IF(Ninth!E244="", "",Ninth!E244)</f>
        <v/>
      </c>
      <c r="F2241" s="66" t="str">
        <f>IF(Ninth!F244="", "",Ninth!F244)</f>
        <v/>
      </c>
      <c r="G2241" s="66" t="str">
        <f>IF(Ninth!G244="", "",Ninth!G244)</f>
        <v/>
      </c>
      <c r="H2241" s="66" t="str">
        <f>IF(Ninth!H244="", "",Ninth!H244)</f>
        <v/>
      </c>
      <c r="I2241" s="66" t="str">
        <f>IF(Ninth!I244="", "",Ninth!I244)</f>
        <v/>
      </c>
      <c r="J2241" s="66" t="str">
        <f>IF(Ninth!J244="", "",Ninth!J244)</f>
        <v/>
      </c>
      <c r="K2241" s="86" t="str">
        <f>IF(Ninth!K244="", "",Ninth!K244)</f>
        <v/>
      </c>
      <c r="M2241" s="67" t="str">
        <f t="shared" si="104"/>
        <v/>
      </c>
      <c r="N2241" s="76" t="str">
        <f t="shared" si="105"/>
        <v/>
      </c>
      <c r="O2241" s="33">
        <f t="shared" si="103"/>
        <v>0</v>
      </c>
    </row>
    <row r="2242" spans="1:15" x14ac:dyDescent="0.25">
      <c r="A2242" s="64" t="s">
        <v>182</v>
      </c>
      <c r="B2242" s="79" t="str">
        <f>IF(Ninth!B245="", "",Ninth!B245)</f>
        <v/>
      </c>
      <c r="C2242" s="66" t="str">
        <f>IF(Ninth!C245="", "",Ninth!C245)</f>
        <v/>
      </c>
      <c r="D2242" s="66" t="str">
        <f>IF(Ninth!D245="", "",Ninth!D245)</f>
        <v/>
      </c>
      <c r="E2242" s="66" t="str">
        <f>IF(Ninth!E245="", "",Ninth!E245)</f>
        <v/>
      </c>
      <c r="F2242" s="66" t="str">
        <f>IF(Ninth!F245="", "",Ninth!F245)</f>
        <v/>
      </c>
      <c r="G2242" s="66" t="str">
        <f>IF(Ninth!G245="", "",Ninth!G245)</f>
        <v/>
      </c>
      <c r="H2242" s="66" t="str">
        <f>IF(Ninth!H245="", "",Ninth!H245)</f>
        <v/>
      </c>
      <c r="I2242" s="66" t="str">
        <f>IF(Ninth!I245="", "",Ninth!I245)</f>
        <v/>
      </c>
      <c r="J2242" s="66" t="str">
        <f>IF(Ninth!J245="", "",Ninth!J245)</f>
        <v/>
      </c>
      <c r="K2242" s="86" t="str">
        <f>IF(Ninth!K245="", "",Ninth!K245)</f>
        <v/>
      </c>
      <c r="M2242" s="67" t="str">
        <f t="shared" si="104"/>
        <v/>
      </c>
      <c r="N2242" s="76" t="str">
        <f t="shared" si="105"/>
        <v/>
      </c>
      <c r="O2242" s="33">
        <f t="shared" ref="O2242:O2305" si="106">SUM(M2242:N2242)</f>
        <v>0</v>
      </c>
    </row>
    <row r="2243" spans="1:15" x14ac:dyDescent="0.25">
      <c r="A2243" s="64" t="s">
        <v>182</v>
      </c>
      <c r="B2243" s="79" t="str">
        <f>IF(Ninth!B246="", "",Ninth!B246)</f>
        <v/>
      </c>
      <c r="C2243" s="66" t="str">
        <f>IF(Ninth!C246="", "",Ninth!C246)</f>
        <v/>
      </c>
      <c r="D2243" s="66" t="str">
        <f>IF(Ninth!D246="", "",Ninth!D246)</f>
        <v/>
      </c>
      <c r="E2243" s="66" t="str">
        <f>IF(Ninth!E246="", "",Ninth!E246)</f>
        <v/>
      </c>
      <c r="F2243" s="66" t="str">
        <f>IF(Ninth!F246="", "",Ninth!F246)</f>
        <v/>
      </c>
      <c r="G2243" s="66" t="str">
        <f>IF(Ninth!G246="", "",Ninth!G246)</f>
        <v/>
      </c>
      <c r="H2243" s="66" t="str">
        <f>IF(Ninth!H246="", "",Ninth!H246)</f>
        <v/>
      </c>
      <c r="I2243" s="66" t="str">
        <f>IF(Ninth!I246="", "",Ninth!I246)</f>
        <v/>
      </c>
      <c r="J2243" s="66" t="str">
        <f>IF(Ninth!J246="", "",Ninth!J246)</f>
        <v/>
      </c>
      <c r="K2243" s="86" t="str">
        <f>IF(Ninth!K246="", "",Ninth!K246)</f>
        <v/>
      </c>
      <c r="M2243" s="67" t="str">
        <f t="shared" ref="M2243:M2306" si="107">IF(C2243="PwC",(7-COUNTIF(B2243:H2243,"")),"")</f>
        <v/>
      </c>
      <c r="N2243" s="76" t="str">
        <f t="shared" ref="N2243:N2306" si="108">IF(C2243="Carer",(7-COUNTIF(B2243:H2243,"")),"")</f>
        <v/>
      </c>
      <c r="O2243" s="33">
        <f t="shared" si="106"/>
        <v>0</v>
      </c>
    </row>
    <row r="2244" spans="1:15" x14ac:dyDescent="0.25">
      <c r="A2244" s="64" t="s">
        <v>182</v>
      </c>
      <c r="B2244" s="79" t="str">
        <f>IF(Ninth!B247="", "",Ninth!B247)</f>
        <v/>
      </c>
      <c r="C2244" s="66" t="str">
        <f>IF(Ninth!C247="", "",Ninth!C247)</f>
        <v/>
      </c>
      <c r="D2244" s="66" t="str">
        <f>IF(Ninth!D247="", "",Ninth!D247)</f>
        <v/>
      </c>
      <c r="E2244" s="66" t="str">
        <f>IF(Ninth!E247="", "",Ninth!E247)</f>
        <v/>
      </c>
      <c r="F2244" s="66" t="str">
        <f>IF(Ninth!F247="", "",Ninth!F247)</f>
        <v/>
      </c>
      <c r="G2244" s="66" t="str">
        <f>IF(Ninth!G247="", "",Ninth!G247)</f>
        <v/>
      </c>
      <c r="H2244" s="66" t="str">
        <f>IF(Ninth!H247="", "",Ninth!H247)</f>
        <v/>
      </c>
      <c r="I2244" s="66" t="str">
        <f>IF(Ninth!I247="", "",Ninth!I247)</f>
        <v/>
      </c>
      <c r="J2244" s="66" t="str">
        <f>IF(Ninth!J247="", "",Ninth!J247)</f>
        <v/>
      </c>
      <c r="K2244" s="86" t="str">
        <f>IF(Ninth!K247="", "",Ninth!K247)</f>
        <v/>
      </c>
      <c r="M2244" s="67" t="str">
        <f t="shared" si="107"/>
        <v/>
      </c>
      <c r="N2244" s="76" t="str">
        <f t="shared" si="108"/>
        <v/>
      </c>
      <c r="O2244" s="33">
        <f t="shared" si="106"/>
        <v>0</v>
      </c>
    </row>
    <row r="2245" spans="1:15" x14ac:dyDescent="0.25">
      <c r="A2245" s="64" t="s">
        <v>182</v>
      </c>
      <c r="B2245" s="79" t="str">
        <f>IF(Ninth!B248="", "",Ninth!B248)</f>
        <v/>
      </c>
      <c r="C2245" s="66" t="str">
        <f>IF(Ninth!C248="", "",Ninth!C248)</f>
        <v/>
      </c>
      <c r="D2245" s="66" t="str">
        <f>IF(Ninth!D248="", "",Ninth!D248)</f>
        <v/>
      </c>
      <c r="E2245" s="66" t="str">
        <f>IF(Ninth!E248="", "",Ninth!E248)</f>
        <v/>
      </c>
      <c r="F2245" s="66" t="str">
        <f>IF(Ninth!F248="", "",Ninth!F248)</f>
        <v/>
      </c>
      <c r="G2245" s="66" t="str">
        <f>IF(Ninth!G248="", "",Ninth!G248)</f>
        <v/>
      </c>
      <c r="H2245" s="66" t="str">
        <f>IF(Ninth!H248="", "",Ninth!H248)</f>
        <v/>
      </c>
      <c r="I2245" s="66" t="str">
        <f>IF(Ninth!I248="", "",Ninth!I248)</f>
        <v/>
      </c>
      <c r="J2245" s="66" t="str">
        <f>IF(Ninth!J248="", "",Ninth!J248)</f>
        <v/>
      </c>
      <c r="K2245" s="86" t="str">
        <f>IF(Ninth!K248="", "",Ninth!K248)</f>
        <v/>
      </c>
      <c r="M2245" s="67" t="str">
        <f t="shared" si="107"/>
        <v/>
      </c>
      <c r="N2245" s="76" t="str">
        <f t="shared" si="108"/>
        <v/>
      </c>
      <c r="O2245" s="33">
        <f t="shared" si="106"/>
        <v>0</v>
      </c>
    </row>
    <row r="2246" spans="1:15" x14ac:dyDescent="0.25">
      <c r="A2246" s="64" t="s">
        <v>182</v>
      </c>
      <c r="B2246" s="79" t="str">
        <f>IF(Ninth!B249="", "",Ninth!B249)</f>
        <v/>
      </c>
      <c r="C2246" s="66" t="str">
        <f>IF(Ninth!C249="", "",Ninth!C249)</f>
        <v/>
      </c>
      <c r="D2246" s="66" t="str">
        <f>IF(Ninth!D249="", "",Ninth!D249)</f>
        <v/>
      </c>
      <c r="E2246" s="66" t="str">
        <f>IF(Ninth!E249="", "",Ninth!E249)</f>
        <v/>
      </c>
      <c r="F2246" s="66" t="str">
        <f>IF(Ninth!F249="", "",Ninth!F249)</f>
        <v/>
      </c>
      <c r="G2246" s="66" t="str">
        <f>IF(Ninth!G249="", "",Ninth!G249)</f>
        <v/>
      </c>
      <c r="H2246" s="66" t="str">
        <f>IF(Ninth!H249="", "",Ninth!H249)</f>
        <v/>
      </c>
      <c r="I2246" s="66" t="str">
        <f>IF(Ninth!I249="", "",Ninth!I249)</f>
        <v/>
      </c>
      <c r="J2246" s="66" t="str">
        <f>IF(Ninth!J249="", "",Ninth!J249)</f>
        <v/>
      </c>
      <c r="K2246" s="86" t="str">
        <f>IF(Ninth!K249="", "",Ninth!K249)</f>
        <v/>
      </c>
      <c r="M2246" s="67" t="str">
        <f t="shared" si="107"/>
        <v/>
      </c>
      <c r="N2246" s="76" t="str">
        <f t="shared" si="108"/>
        <v/>
      </c>
      <c r="O2246" s="33">
        <f t="shared" si="106"/>
        <v>0</v>
      </c>
    </row>
    <row r="2247" spans="1:15" x14ac:dyDescent="0.25">
      <c r="A2247" s="64" t="s">
        <v>182</v>
      </c>
      <c r="B2247" s="79" t="str">
        <f>IF(Ninth!B250="", "",Ninth!B250)</f>
        <v/>
      </c>
      <c r="C2247" s="66" t="str">
        <f>IF(Ninth!C250="", "",Ninth!C250)</f>
        <v/>
      </c>
      <c r="D2247" s="66" t="str">
        <f>IF(Ninth!D250="", "",Ninth!D250)</f>
        <v/>
      </c>
      <c r="E2247" s="66" t="str">
        <f>IF(Ninth!E250="", "",Ninth!E250)</f>
        <v/>
      </c>
      <c r="F2247" s="66" t="str">
        <f>IF(Ninth!F250="", "",Ninth!F250)</f>
        <v/>
      </c>
      <c r="G2247" s="66" t="str">
        <f>IF(Ninth!G250="", "",Ninth!G250)</f>
        <v/>
      </c>
      <c r="H2247" s="66" t="str">
        <f>IF(Ninth!H250="", "",Ninth!H250)</f>
        <v/>
      </c>
      <c r="I2247" s="66" t="str">
        <f>IF(Ninth!I250="", "",Ninth!I250)</f>
        <v/>
      </c>
      <c r="J2247" s="66" t="str">
        <f>IF(Ninth!J250="", "",Ninth!J250)</f>
        <v/>
      </c>
      <c r="K2247" s="86" t="str">
        <f>IF(Ninth!K250="", "",Ninth!K250)</f>
        <v/>
      </c>
      <c r="M2247" s="67" t="str">
        <f t="shared" si="107"/>
        <v/>
      </c>
      <c r="N2247" s="76" t="str">
        <f t="shared" si="108"/>
        <v/>
      </c>
      <c r="O2247" s="33">
        <f t="shared" si="106"/>
        <v>0</v>
      </c>
    </row>
    <row r="2248" spans="1:15" x14ac:dyDescent="0.25">
      <c r="A2248" s="64" t="s">
        <v>182</v>
      </c>
      <c r="B2248" s="79" t="str">
        <f>IF(Ninth!B251="", "",Ninth!B251)</f>
        <v/>
      </c>
      <c r="C2248" s="66" t="str">
        <f>IF(Ninth!C251="", "",Ninth!C251)</f>
        <v/>
      </c>
      <c r="D2248" s="66" t="str">
        <f>IF(Ninth!D251="", "",Ninth!D251)</f>
        <v/>
      </c>
      <c r="E2248" s="66" t="str">
        <f>IF(Ninth!E251="", "",Ninth!E251)</f>
        <v/>
      </c>
      <c r="F2248" s="66" t="str">
        <f>IF(Ninth!F251="", "",Ninth!F251)</f>
        <v/>
      </c>
      <c r="G2248" s="66" t="str">
        <f>IF(Ninth!G251="", "",Ninth!G251)</f>
        <v/>
      </c>
      <c r="H2248" s="66" t="str">
        <f>IF(Ninth!H251="", "",Ninth!H251)</f>
        <v/>
      </c>
      <c r="I2248" s="66" t="str">
        <f>IF(Ninth!I251="", "",Ninth!I251)</f>
        <v/>
      </c>
      <c r="J2248" s="66" t="str">
        <f>IF(Ninth!J251="", "",Ninth!J251)</f>
        <v/>
      </c>
      <c r="K2248" s="86" t="str">
        <f>IF(Ninth!K251="", "",Ninth!K251)</f>
        <v/>
      </c>
      <c r="M2248" s="67" t="str">
        <f t="shared" si="107"/>
        <v/>
      </c>
      <c r="N2248" s="76" t="str">
        <f t="shared" si="108"/>
        <v/>
      </c>
      <c r="O2248" s="33">
        <f t="shared" si="106"/>
        <v>0</v>
      </c>
    </row>
    <row r="2249" spans="1:15" x14ac:dyDescent="0.25">
      <c r="A2249" s="64" t="s">
        <v>182</v>
      </c>
      <c r="B2249" s="79" t="str">
        <f>IF(Ninth!B252="", "",Ninth!B252)</f>
        <v/>
      </c>
      <c r="C2249" s="66" t="str">
        <f>IF(Ninth!C252="", "",Ninth!C252)</f>
        <v/>
      </c>
      <c r="D2249" s="66" t="str">
        <f>IF(Ninth!D252="", "",Ninth!D252)</f>
        <v/>
      </c>
      <c r="E2249" s="66" t="str">
        <f>IF(Ninth!E252="", "",Ninth!E252)</f>
        <v/>
      </c>
      <c r="F2249" s="66" t="str">
        <f>IF(Ninth!F252="", "",Ninth!F252)</f>
        <v/>
      </c>
      <c r="G2249" s="66" t="str">
        <f>IF(Ninth!G252="", "",Ninth!G252)</f>
        <v/>
      </c>
      <c r="H2249" s="66" t="str">
        <f>IF(Ninth!H252="", "",Ninth!H252)</f>
        <v/>
      </c>
      <c r="I2249" s="66" t="str">
        <f>IF(Ninth!I252="", "",Ninth!I252)</f>
        <v/>
      </c>
      <c r="J2249" s="66" t="str">
        <f>IF(Ninth!J252="", "",Ninth!J252)</f>
        <v/>
      </c>
      <c r="K2249" s="86" t="str">
        <f>IF(Ninth!K252="", "",Ninth!K252)</f>
        <v/>
      </c>
      <c r="M2249" s="67" t="str">
        <f t="shared" si="107"/>
        <v/>
      </c>
      <c r="N2249" s="76" t="str">
        <f t="shared" si="108"/>
        <v/>
      </c>
      <c r="O2249" s="33">
        <f t="shared" si="106"/>
        <v>0</v>
      </c>
    </row>
    <row r="2250" spans="1:15" x14ac:dyDescent="0.25">
      <c r="A2250" s="64" t="s">
        <v>182</v>
      </c>
      <c r="B2250" s="79" t="str">
        <f>IF(Ninth!B253="", "",Ninth!B253)</f>
        <v/>
      </c>
      <c r="C2250" s="66" t="str">
        <f>IF(Ninth!C253="", "",Ninth!C253)</f>
        <v/>
      </c>
      <c r="D2250" s="66" t="str">
        <f>IF(Ninth!D253="", "",Ninth!D253)</f>
        <v/>
      </c>
      <c r="E2250" s="66" t="str">
        <f>IF(Ninth!E253="", "",Ninth!E253)</f>
        <v/>
      </c>
      <c r="F2250" s="66" t="str">
        <f>IF(Ninth!F253="", "",Ninth!F253)</f>
        <v/>
      </c>
      <c r="G2250" s="66" t="str">
        <f>IF(Ninth!G253="", "",Ninth!G253)</f>
        <v/>
      </c>
      <c r="H2250" s="66" t="str">
        <f>IF(Ninth!H253="", "",Ninth!H253)</f>
        <v/>
      </c>
      <c r="I2250" s="66" t="str">
        <f>IF(Ninth!I253="", "",Ninth!I253)</f>
        <v/>
      </c>
      <c r="J2250" s="66" t="str">
        <f>IF(Ninth!J253="", "",Ninth!J253)</f>
        <v/>
      </c>
      <c r="K2250" s="86" t="str">
        <f>IF(Ninth!K253="", "",Ninth!K253)</f>
        <v/>
      </c>
      <c r="M2250" s="67" t="str">
        <f t="shared" si="107"/>
        <v/>
      </c>
      <c r="N2250" s="76" t="str">
        <f t="shared" si="108"/>
        <v/>
      </c>
      <c r="O2250" s="33">
        <f t="shared" si="106"/>
        <v>0</v>
      </c>
    </row>
    <row r="2251" spans="1:15" ht="15.75" thickBot="1" x14ac:dyDescent="0.3">
      <c r="A2251" s="68" t="s">
        <v>182</v>
      </c>
      <c r="B2251" s="80" t="str">
        <f>IF(Ninth!B254="", "",Ninth!B254)</f>
        <v/>
      </c>
      <c r="C2251" s="70" t="str">
        <f>IF(Ninth!C254="", "",Ninth!C254)</f>
        <v/>
      </c>
      <c r="D2251" s="70" t="str">
        <f>IF(Ninth!D254="", "",Ninth!D254)</f>
        <v/>
      </c>
      <c r="E2251" s="70" t="str">
        <f>IF(Ninth!E254="", "",Ninth!E254)</f>
        <v/>
      </c>
      <c r="F2251" s="70" t="str">
        <f>IF(Ninth!F254="", "",Ninth!F254)</f>
        <v/>
      </c>
      <c r="G2251" s="70" t="str">
        <f>IF(Ninth!G254="", "",Ninth!G254)</f>
        <v/>
      </c>
      <c r="H2251" s="70" t="str">
        <f>IF(Ninth!H254="", "",Ninth!H254)</f>
        <v/>
      </c>
      <c r="I2251" s="70" t="str">
        <f>IF(Ninth!I254="", "",Ninth!I254)</f>
        <v/>
      </c>
      <c r="J2251" s="70" t="str">
        <f>IF(Ninth!J254="", "",Ninth!J254)</f>
        <v/>
      </c>
      <c r="K2251" s="90" t="str">
        <f>IF(Ninth!K254="", "",Ninth!K254)</f>
        <v/>
      </c>
      <c r="L2251" s="91"/>
      <c r="M2251" s="71" t="str">
        <f t="shared" si="107"/>
        <v/>
      </c>
      <c r="N2251" s="77" t="str">
        <f t="shared" si="108"/>
        <v/>
      </c>
      <c r="O2251" s="33">
        <f t="shared" si="106"/>
        <v>0</v>
      </c>
    </row>
    <row r="2252" spans="1:15" x14ac:dyDescent="0.25">
      <c r="A2252" s="64" t="s">
        <v>183</v>
      </c>
      <c r="B2252" s="79" t="str">
        <f>IF(Tenth!B5="", "",Tenth!B5)</f>
        <v/>
      </c>
      <c r="C2252" s="66" t="str">
        <f>IF(Tenth!C5="", "",Tenth!C5)</f>
        <v/>
      </c>
      <c r="D2252" s="66" t="str">
        <f>IF(Tenth!D5="", "",Tenth!D5)</f>
        <v/>
      </c>
      <c r="E2252" s="66" t="str">
        <f>IF(Tenth!E5="", "",Tenth!E5)</f>
        <v/>
      </c>
      <c r="F2252" s="66" t="str">
        <f>IF(Tenth!F5="", "",Tenth!F5)</f>
        <v/>
      </c>
      <c r="G2252" s="66" t="str">
        <f>IF(Tenth!G5="", "",Tenth!G5)</f>
        <v/>
      </c>
      <c r="H2252" s="66" t="str">
        <f>IF(Tenth!H5="", "",Tenth!H5)</f>
        <v/>
      </c>
      <c r="I2252" s="66" t="str">
        <f>IF(Tenth!I5="", "",Tenth!I5)</f>
        <v/>
      </c>
      <c r="J2252" s="66" t="str">
        <f>IF(Tenth!J5="", "",Tenth!J5)</f>
        <v/>
      </c>
      <c r="K2252" s="86" t="str">
        <f>IF(Tenth!K5="", "",Tenth!K5)</f>
        <v/>
      </c>
      <c r="M2252" s="67" t="str">
        <f t="shared" si="107"/>
        <v/>
      </c>
      <c r="N2252" s="76" t="str">
        <f t="shared" si="108"/>
        <v/>
      </c>
      <c r="O2252" s="33">
        <f t="shared" si="106"/>
        <v>0</v>
      </c>
    </row>
    <row r="2253" spans="1:15" x14ac:dyDescent="0.25">
      <c r="A2253" s="64" t="s">
        <v>183</v>
      </c>
      <c r="B2253" s="79" t="str">
        <f>IF(Tenth!B6="", "",Tenth!B6)</f>
        <v/>
      </c>
      <c r="C2253" s="66" t="str">
        <f>IF(Tenth!C6="", "",Tenth!C6)</f>
        <v/>
      </c>
      <c r="D2253" s="66" t="str">
        <f>IF(Tenth!D6="", "",Tenth!D6)</f>
        <v/>
      </c>
      <c r="E2253" s="66" t="str">
        <f>IF(Tenth!E6="", "",Tenth!E6)</f>
        <v/>
      </c>
      <c r="F2253" s="66" t="str">
        <f>IF(Tenth!F6="", "",Tenth!F6)</f>
        <v/>
      </c>
      <c r="G2253" s="66" t="str">
        <f>IF(Tenth!G6="", "",Tenth!G6)</f>
        <v/>
      </c>
      <c r="H2253" s="66" t="str">
        <f>IF(Tenth!H6="", "",Tenth!H6)</f>
        <v/>
      </c>
      <c r="I2253" s="66" t="str">
        <f>IF(Tenth!I6="", "",Tenth!I6)</f>
        <v/>
      </c>
      <c r="J2253" s="66" t="str">
        <f>IF(Tenth!J6="", "",Tenth!J6)</f>
        <v/>
      </c>
      <c r="K2253" s="86" t="str">
        <f>IF(Tenth!K6="", "",Tenth!K6)</f>
        <v/>
      </c>
      <c r="M2253" s="67" t="str">
        <f t="shared" si="107"/>
        <v/>
      </c>
      <c r="N2253" s="76" t="str">
        <f t="shared" si="108"/>
        <v/>
      </c>
      <c r="O2253" s="33">
        <f t="shared" si="106"/>
        <v>0</v>
      </c>
    </row>
    <row r="2254" spans="1:15" x14ac:dyDescent="0.25">
      <c r="A2254" s="64" t="s">
        <v>183</v>
      </c>
      <c r="B2254" s="79" t="str">
        <f>IF(Tenth!B7="", "",Tenth!B7)</f>
        <v/>
      </c>
      <c r="C2254" s="66" t="str">
        <f>IF(Tenth!C7="", "",Tenth!C7)</f>
        <v/>
      </c>
      <c r="D2254" s="66" t="str">
        <f>IF(Tenth!D7="", "",Tenth!D7)</f>
        <v/>
      </c>
      <c r="E2254" s="66" t="str">
        <f>IF(Tenth!E7="", "",Tenth!E7)</f>
        <v/>
      </c>
      <c r="F2254" s="66" t="str">
        <f>IF(Tenth!F7="", "",Tenth!F7)</f>
        <v/>
      </c>
      <c r="G2254" s="66" t="str">
        <f>IF(Tenth!G7="", "",Tenth!G7)</f>
        <v/>
      </c>
      <c r="H2254" s="66" t="str">
        <f>IF(Tenth!H7="", "",Tenth!H7)</f>
        <v/>
      </c>
      <c r="I2254" s="66" t="str">
        <f>IF(Tenth!I7="", "",Tenth!I7)</f>
        <v/>
      </c>
      <c r="J2254" s="66" t="str">
        <f>IF(Tenth!J7="", "",Tenth!J7)</f>
        <v/>
      </c>
      <c r="K2254" s="86" t="str">
        <f>IF(Tenth!K7="", "",Tenth!K7)</f>
        <v/>
      </c>
      <c r="M2254" s="67" t="str">
        <f t="shared" si="107"/>
        <v/>
      </c>
      <c r="N2254" s="76" t="str">
        <f t="shared" si="108"/>
        <v/>
      </c>
      <c r="O2254" s="33">
        <f t="shared" si="106"/>
        <v>0</v>
      </c>
    </row>
    <row r="2255" spans="1:15" x14ac:dyDescent="0.25">
      <c r="A2255" s="64" t="s">
        <v>183</v>
      </c>
      <c r="B2255" s="79" t="str">
        <f>IF(Tenth!B8="", "",Tenth!B8)</f>
        <v/>
      </c>
      <c r="C2255" s="66" t="str">
        <f>IF(Tenth!C8="", "",Tenth!C8)</f>
        <v/>
      </c>
      <c r="D2255" s="66" t="str">
        <f>IF(Tenth!D8="", "",Tenth!D8)</f>
        <v/>
      </c>
      <c r="E2255" s="66" t="str">
        <f>IF(Tenth!E8="", "",Tenth!E8)</f>
        <v/>
      </c>
      <c r="F2255" s="66" t="str">
        <f>IF(Tenth!F8="", "",Tenth!F8)</f>
        <v/>
      </c>
      <c r="G2255" s="66" t="str">
        <f>IF(Tenth!G8="", "",Tenth!G8)</f>
        <v/>
      </c>
      <c r="H2255" s="66" t="str">
        <f>IF(Tenth!H8="", "",Tenth!H8)</f>
        <v/>
      </c>
      <c r="I2255" s="66" t="str">
        <f>IF(Tenth!I8="", "",Tenth!I8)</f>
        <v/>
      </c>
      <c r="J2255" s="66" t="str">
        <f>IF(Tenth!J8="", "",Tenth!J8)</f>
        <v/>
      </c>
      <c r="K2255" s="86" t="str">
        <f>IF(Tenth!K8="", "",Tenth!K8)</f>
        <v/>
      </c>
      <c r="M2255" s="67" t="str">
        <f t="shared" si="107"/>
        <v/>
      </c>
      <c r="N2255" s="76" t="str">
        <f t="shared" si="108"/>
        <v/>
      </c>
      <c r="O2255" s="33">
        <f t="shared" si="106"/>
        <v>0</v>
      </c>
    </row>
    <row r="2256" spans="1:15" x14ac:dyDescent="0.25">
      <c r="A2256" s="64" t="s">
        <v>183</v>
      </c>
      <c r="B2256" s="79" t="str">
        <f>IF(Tenth!B9="", "",Tenth!B9)</f>
        <v/>
      </c>
      <c r="C2256" s="66" t="str">
        <f>IF(Tenth!C9="", "",Tenth!C9)</f>
        <v/>
      </c>
      <c r="D2256" s="66" t="str">
        <f>IF(Tenth!D9="", "",Tenth!D9)</f>
        <v/>
      </c>
      <c r="E2256" s="66" t="str">
        <f>IF(Tenth!E9="", "",Tenth!E9)</f>
        <v/>
      </c>
      <c r="F2256" s="66" t="str">
        <f>IF(Tenth!F9="", "",Tenth!F9)</f>
        <v/>
      </c>
      <c r="G2256" s="66" t="str">
        <f>IF(Tenth!G9="", "",Tenth!G9)</f>
        <v/>
      </c>
      <c r="H2256" s="66" t="str">
        <f>IF(Tenth!H9="", "",Tenth!H9)</f>
        <v/>
      </c>
      <c r="I2256" s="66" t="str">
        <f>IF(Tenth!I9="", "",Tenth!I9)</f>
        <v/>
      </c>
      <c r="J2256" s="66" t="str">
        <f>IF(Tenth!J9="", "",Tenth!J9)</f>
        <v/>
      </c>
      <c r="K2256" s="86" t="str">
        <f>IF(Tenth!K9="", "",Tenth!K9)</f>
        <v/>
      </c>
      <c r="M2256" s="67" t="str">
        <f t="shared" si="107"/>
        <v/>
      </c>
      <c r="N2256" s="76" t="str">
        <f t="shared" si="108"/>
        <v/>
      </c>
      <c r="O2256" s="33">
        <f t="shared" si="106"/>
        <v>0</v>
      </c>
    </row>
    <row r="2257" spans="1:15" x14ac:dyDescent="0.25">
      <c r="A2257" s="64" t="s">
        <v>183</v>
      </c>
      <c r="B2257" s="79" t="str">
        <f>IF(Tenth!B10="", "",Tenth!B10)</f>
        <v/>
      </c>
      <c r="C2257" s="66" t="str">
        <f>IF(Tenth!C10="", "",Tenth!C10)</f>
        <v/>
      </c>
      <c r="D2257" s="66" t="str">
        <f>IF(Tenth!D10="", "",Tenth!D10)</f>
        <v/>
      </c>
      <c r="E2257" s="66" t="str">
        <f>IF(Tenth!E10="", "",Tenth!E10)</f>
        <v/>
      </c>
      <c r="F2257" s="66" t="str">
        <f>IF(Tenth!F10="", "",Tenth!F10)</f>
        <v/>
      </c>
      <c r="G2257" s="66" t="str">
        <f>IF(Tenth!G10="", "",Tenth!G10)</f>
        <v/>
      </c>
      <c r="H2257" s="66" t="str">
        <f>IF(Tenth!H10="", "",Tenth!H10)</f>
        <v/>
      </c>
      <c r="I2257" s="66" t="str">
        <f>IF(Tenth!I10="", "",Tenth!I10)</f>
        <v/>
      </c>
      <c r="J2257" s="66" t="str">
        <f>IF(Tenth!J10="", "",Tenth!J10)</f>
        <v/>
      </c>
      <c r="K2257" s="86" t="str">
        <f>IF(Tenth!K10="", "",Tenth!K10)</f>
        <v/>
      </c>
      <c r="M2257" s="67" t="str">
        <f t="shared" si="107"/>
        <v/>
      </c>
      <c r="N2257" s="76" t="str">
        <f t="shared" si="108"/>
        <v/>
      </c>
      <c r="O2257" s="33">
        <f t="shared" si="106"/>
        <v>0</v>
      </c>
    </row>
    <row r="2258" spans="1:15" x14ac:dyDescent="0.25">
      <c r="A2258" s="64" t="s">
        <v>183</v>
      </c>
      <c r="B2258" s="79" t="str">
        <f>IF(Tenth!B11="", "",Tenth!B11)</f>
        <v/>
      </c>
      <c r="C2258" s="66" t="str">
        <f>IF(Tenth!C11="", "",Tenth!C11)</f>
        <v/>
      </c>
      <c r="D2258" s="66" t="str">
        <f>IF(Tenth!D11="", "",Tenth!D11)</f>
        <v/>
      </c>
      <c r="E2258" s="66" t="str">
        <f>IF(Tenth!E11="", "",Tenth!E11)</f>
        <v/>
      </c>
      <c r="F2258" s="66" t="str">
        <f>IF(Tenth!F11="", "",Tenth!F11)</f>
        <v/>
      </c>
      <c r="G2258" s="66" t="str">
        <f>IF(Tenth!G11="", "",Tenth!G11)</f>
        <v/>
      </c>
      <c r="H2258" s="66" t="str">
        <f>IF(Tenth!H11="", "",Tenth!H11)</f>
        <v/>
      </c>
      <c r="I2258" s="66" t="str">
        <f>IF(Tenth!I11="", "",Tenth!I11)</f>
        <v/>
      </c>
      <c r="J2258" s="66" t="str">
        <f>IF(Tenth!J11="", "",Tenth!J11)</f>
        <v/>
      </c>
      <c r="K2258" s="86" t="str">
        <f>IF(Tenth!K11="", "",Tenth!K11)</f>
        <v/>
      </c>
      <c r="M2258" s="67" t="str">
        <f t="shared" si="107"/>
        <v/>
      </c>
      <c r="N2258" s="76" t="str">
        <f t="shared" si="108"/>
        <v/>
      </c>
      <c r="O2258" s="33">
        <f t="shared" si="106"/>
        <v>0</v>
      </c>
    </row>
    <row r="2259" spans="1:15" x14ac:dyDescent="0.25">
      <c r="A2259" s="64" t="s">
        <v>183</v>
      </c>
      <c r="B2259" s="79" t="str">
        <f>IF(Tenth!B12="", "",Tenth!B12)</f>
        <v/>
      </c>
      <c r="C2259" s="66" t="str">
        <f>IF(Tenth!C12="", "",Tenth!C12)</f>
        <v/>
      </c>
      <c r="D2259" s="66" t="str">
        <f>IF(Tenth!D12="", "",Tenth!D12)</f>
        <v/>
      </c>
      <c r="E2259" s="66" t="str">
        <f>IF(Tenth!E12="", "",Tenth!E12)</f>
        <v/>
      </c>
      <c r="F2259" s="66" t="str">
        <f>IF(Tenth!F12="", "",Tenth!F12)</f>
        <v/>
      </c>
      <c r="G2259" s="66" t="str">
        <f>IF(Tenth!G12="", "",Tenth!G12)</f>
        <v/>
      </c>
      <c r="H2259" s="66" t="str">
        <f>IF(Tenth!H12="", "",Tenth!H12)</f>
        <v/>
      </c>
      <c r="I2259" s="66" t="str">
        <f>IF(Tenth!I12="", "",Tenth!I12)</f>
        <v/>
      </c>
      <c r="J2259" s="66" t="str">
        <f>IF(Tenth!J12="", "",Tenth!J12)</f>
        <v/>
      </c>
      <c r="K2259" s="86" t="str">
        <f>IF(Tenth!K12="", "",Tenth!K12)</f>
        <v/>
      </c>
      <c r="M2259" s="67" t="str">
        <f t="shared" si="107"/>
        <v/>
      </c>
      <c r="N2259" s="76" t="str">
        <f t="shared" si="108"/>
        <v/>
      </c>
      <c r="O2259" s="33">
        <f t="shared" si="106"/>
        <v>0</v>
      </c>
    </row>
    <row r="2260" spans="1:15" x14ac:dyDescent="0.25">
      <c r="A2260" s="64" t="s">
        <v>183</v>
      </c>
      <c r="B2260" s="79" t="str">
        <f>IF(Tenth!B13="", "",Tenth!B13)</f>
        <v/>
      </c>
      <c r="C2260" s="66" t="str">
        <f>IF(Tenth!C13="", "",Tenth!C13)</f>
        <v/>
      </c>
      <c r="D2260" s="66" t="str">
        <f>IF(Tenth!D13="", "",Tenth!D13)</f>
        <v/>
      </c>
      <c r="E2260" s="66" t="str">
        <f>IF(Tenth!E13="", "",Tenth!E13)</f>
        <v/>
      </c>
      <c r="F2260" s="66" t="str">
        <f>IF(Tenth!F13="", "",Tenth!F13)</f>
        <v/>
      </c>
      <c r="G2260" s="66" t="str">
        <f>IF(Tenth!G13="", "",Tenth!G13)</f>
        <v/>
      </c>
      <c r="H2260" s="66" t="str">
        <f>IF(Tenth!H13="", "",Tenth!H13)</f>
        <v/>
      </c>
      <c r="I2260" s="66" t="str">
        <f>IF(Tenth!I13="", "",Tenth!I13)</f>
        <v/>
      </c>
      <c r="J2260" s="66" t="str">
        <f>IF(Tenth!J13="", "",Tenth!J13)</f>
        <v/>
      </c>
      <c r="K2260" s="86" t="str">
        <f>IF(Tenth!K13="", "",Tenth!K13)</f>
        <v/>
      </c>
      <c r="M2260" s="67" t="str">
        <f t="shared" si="107"/>
        <v/>
      </c>
      <c r="N2260" s="76" t="str">
        <f t="shared" si="108"/>
        <v/>
      </c>
      <c r="O2260" s="33">
        <f t="shared" si="106"/>
        <v>0</v>
      </c>
    </row>
    <row r="2261" spans="1:15" x14ac:dyDescent="0.25">
      <c r="A2261" s="64" t="s">
        <v>183</v>
      </c>
      <c r="B2261" s="79" t="str">
        <f>IF(Tenth!B14="", "",Tenth!B14)</f>
        <v/>
      </c>
      <c r="C2261" s="66" t="str">
        <f>IF(Tenth!C14="", "",Tenth!C14)</f>
        <v/>
      </c>
      <c r="D2261" s="66" t="str">
        <f>IF(Tenth!D14="", "",Tenth!D14)</f>
        <v/>
      </c>
      <c r="E2261" s="66" t="str">
        <f>IF(Tenth!E14="", "",Tenth!E14)</f>
        <v/>
      </c>
      <c r="F2261" s="66" t="str">
        <f>IF(Tenth!F14="", "",Tenth!F14)</f>
        <v/>
      </c>
      <c r="G2261" s="66" t="str">
        <f>IF(Tenth!G14="", "",Tenth!G14)</f>
        <v/>
      </c>
      <c r="H2261" s="66" t="str">
        <f>IF(Tenth!H14="", "",Tenth!H14)</f>
        <v/>
      </c>
      <c r="I2261" s="66" t="str">
        <f>IF(Tenth!I14="", "",Tenth!I14)</f>
        <v/>
      </c>
      <c r="J2261" s="66" t="str">
        <f>IF(Tenth!J14="", "",Tenth!J14)</f>
        <v/>
      </c>
      <c r="K2261" s="86" t="str">
        <f>IF(Tenth!K14="", "",Tenth!K14)</f>
        <v/>
      </c>
      <c r="M2261" s="67" t="str">
        <f t="shared" si="107"/>
        <v/>
      </c>
      <c r="N2261" s="76" t="str">
        <f t="shared" si="108"/>
        <v/>
      </c>
      <c r="O2261" s="33">
        <f t="shared" si="106"/>
        <v>0</v>
      </c>
    </row>
    <row r="2262" spans="1:15" x14ac:dyDescent="0.25">
      <c r="A2262" s="64" t="s">
        <v>183</v>
      </c>
      <c r="B2262" s="79" t="str">
        <f>IF(Tenth!B15="", "",Tenth!B15)</f>
        <v/>
      </c>
      <c r="C2262" s="66" t="str">
        <f>IF(Tenth!C15="", "",Tenth!C15)</f>
        <v/>
      </c>
      <c r="D2262" s="66" t="str">
        <f>IF(Tenth!D15="", "",Tenth!D15)</f>
        <v/>
      </c>
      <c r="E2262" s="66" t="str">
        <f>IF(Tenth!E15="", "",Tenth!E15)</f>
        <v/>
      </c>
      <c r="F2262" s="66" t="str">
        <f>IF(Tenth!F15="", "",Tenth!F15)</f>
        <v/>
      </c>
      <c r="G2262" s="66" t="str">
        <f>IF(Tenth!G15="", "",Tenth!G15)</f>
        <v/>
      </c>
      <c r="H2262" s="66" t="str">
        <f>IF(Tenth!H15="", "",Tenth!H15)</f>
        <v/>
      </c>
      <c r="I2262" s="66" t="str">
        <f>IF(Tenth!I15="", "",Tenth!I15)</f>
        <v/>
      </c>
      <c r="J2262" s="66" t="str">
        <f>IF(Tenth!J15="", "",Tenth!J15)</f>
        <v/>
      </c>
      <c r="K2262" s="86" t="str">
        <f>IF(Tenth!K15="", "",Tenth!K15)</f>
        <v/>
      </c>
      <c r="M2262" s="67" t="str">
        <f t="shared" si="107"/>
        <v/>
      </c>
      <c r="N2262" s="76" t="str">
        <f t="shared" si="108"/>
        <v/>
      </c>
      <c r="O2262" s="33">
        <f t="shared" si="106"/>
        <v>0</v>
      </c>
    </row>
    <row r="2263" spans="1:15" x14ac:dyDescent="0.25">
      <c r="A2263" s="64" t="s">
        <v>183</v>
      </c>
      <c r="B2263" s="79" t="str">
        <f>IF(Tenth!B16="", "",Tenth!B16)</f>
        <v/>
      </c>
      <c r="C2263" s="66" t="str">
        <f>IF(Tenth!C16="", "",Tenth!C16)</f>
        <v/>
      </c>
      <c r="D2263" s="66" t="str">
        <f>IF(Tenth!D16="", "",Tenth!D16)</f>
        <v/>
      </c>
      <c r="E2263" s="66" t="str">
        <f>IF(Tenth!E16="", "",Tenth!E16)</f>
        <v/>
      </c>
      <c r="F2263" s="66" t="str">
        <f>IF(Tenth!F16="", "",Tenth!F16)</f>
        <v/>
      </c>
      <c r="G2263" s="66" t="str">
        <f>IF(Tenth!G16="", "",Tenth!G16)</f>
        <v/>
      </c>
      <c r="H2263" s="66" t="str">
        <f>IF(Tenth!H16="", "",Tenth!H16)</f>
        <v/>
      </c>
      <c r="I2263" s="66" t="str">
        <f>IF(Tenth!I16="", "",Tenth!I16)</f>
        <v/>
      </c>
      <c r="J2263" s="66" t="str">
        <f>IF(Tenth!J16="", "",Tenth!J16)</f>
        <v/>
      </c>
      <c r="K2263" s="86" t="str">
        <f>IF(Tenth!K16="", "",Tenth!K16)</f>
        <v/>
      </c>
      <c r="M2263" s="67" t="str">
        <f t="shared" si="107"/>
        <v/>
      </c>
      <c r="N2263" s="76" t="str">
        <f t="shared" si="108"/>
        <v/>
      </c>
      <c r="O2263" s="33">
        <f t="shared" si="106"/>
        <v>0</v>
      </c>
    </row>
    <row r="2264" spans="1:15" x14ac:dyDescent="0.25">
      <c r="A2264" s="64" t="s">
        <v>183</v>
      </c>
      <c r="B2264" s="79" t="str">
        <f>IF(Tenth!B17="", "",Tenth!B17)</f>
        <v/>
      </c>
      <c r="C2264" s="66" t="str">
        <f>IF(Tenth!C17="", "",Tenth!C17)</f>
        <v/>
      </c>
      <c r="D2264" s="66" t="str">
        <f>IF(Tenth!D17="", "",Tenth!D17)</f>
        <v/>
      </c>
      <c r="E2264" s="66" t="str">
        <f>IF(Tenth!E17="", "",Tenth!E17)</f>
        <v/>
      </c>
      <c r="F2264" s="66" t="str">
        <f>IF(Tenth!F17="", "",Tenth!F17)</f>
        <v/>
      </c>
      <c r="G2264" s="66" t="str">
        <f>IF(Tenth!G17="", "",Tenth!G17)</f>
        <v/>
      </c>
      <c r="H2264" s="66" t="str">
        <f>IF(Tenth!H17="", "",Tenth!H17)</f>
        <v/>
      </c>
      <c r="I2264" s="66" t="str">
        <f>IF(Tenth!I17="", "",Tenth!I17)</f>
        <v/>
      </c>
      <c r="J2264" s="66" t="str">
        <f>IF(Tenth!J17="", "",Tenth!J17)</f>
        <v/>
      </c>
      <c r="K2264" s="86" t="str">
        <f>IF(Tenth!K17="", "",Tenth!K17)</f>
        <v/>
      </c>
      <c r="M2264" s="67" t="str">
        <f t="shared" si="107"/>
        <v/>
      </c>
      <c r="N2264" s="76" t="str">
        <f t="shared" si="108"/>
        <v/>
      </c>
      <c r="O2264" s="33">
        <f t="shared" si="106"/>
        <v>0</v>
      </c>
    </row>
    <row r="2265" spans="1:15" x14ac:dyDescent="0.25">
      <c r="A2265" s="64" t="s">
        <v>183</v>
      </c>
      <c r="B2265" s="79" t="str">
        <f>IF(Tenth!B18="", "",Tenth!B18)</f>
        <v/>
      </c>
      <c r="C2265" s="66" t="str">
        <f>IF(Tenth!C18="", "",Tenth!C18)</f>
        <v/>
      </c>
      <c r="D2265" s="66" t="str">
        <f>IF(Tenth!D18="", "",Tenth!D18)</f>
        <v/>
      </c>
      <c r="E2265" s="66" t="str">
        <f>IF(Tenth!E18="", "",Tenth!E18)</f>
        <v/>
      </c>
      <c r="F2265" s="66" t="str">
        <f>IF(Tenth!F18="", "",Tenth!F18)</f>
        <v/>
      </c>
      <c r="G2265" s="66" t="str">
        <f>IF(Tenth!G18="", "",Tenth!G18)</f>
        <v/>
      </c>
      <c r="H2265" s="66" t="str">
        <f>IF(Tenth!H18="", "",Tenth!H18)</f>
        <v/>
      </c>
      <c r="I2265" s="66" t="str">
        <f>IF(Tenth!I18="", "",Tenth!I18)</f>
        <v/>
      </c>
      <c r="J2265" s="66" t="str">
        <f>IF(Tenth!J18="", "",Tenth!J18)</f>
        <v/>
      </c>
      <c r="K2265" s="86" t="str">
        <f>IF(Tenth!K18="", "",Tenth!K18)</f>
        <v/>
      </c>
      <c r="M2265" s="67" t="str">
        <f t="shared" si="107"/>
        <v/>
      </c>
      <c r="N2265" s="76" t="str">
        <f t="shared" si="108"/>
        <v/>
      </c>
      <c r="O2265" s="33">
        <f t="shared" si="106"/>
        <v>0</v>
      </c>
    </row>
    <row r="2266" spans="1:15" x14ac:dyDescent="0.25">
      <c r="A2266" s="64" t="s">
        <v>183</v>
      </c>
      <c r="B2266" s="79" t="str">
        <f>IF(Tenth!B19="", "",Tenth!B19)</f>
        <v/>
      </c>
      <c r="C2266" s="66" t="str">
        <f>IF(Tenth!C19="", "",Tenth!C19)</f>
        <v/>
      </c>
      <c r="D2266" s="66" t="str">
        <f>IF(Tenth!D19="", "",Tenth!D19)</f>
        <v/>
      </c>
      <c r="E2266" s="66" t="str">
        <f>IF(Tenth!E19="", "",Tenth!E19)</f>
        <v/>
      </c>
      <c r="F2266" s="66" t="str">
        <f>IF(Tenth!F19="", "",Tenth!F19)</f>
        <v/>
      </c>
      <c r="G2266" s="66" t="str">
        <f>IF(Tenth!G19="", "",Tenth!G19)</f>
        <v/>
      </c>
      <c r="H2266" s="66" t="str">
        <f>IF(Tenth!H19="", "",Tenth!H19)</f>
        <v/>
      </c>
      <c r="I2266" s="66" t="str">
        <f>IF(Tenth!I19="", "",Tenth!I19)</f>
        <v/>
      </c>
      <c r="J2266" s="66" t="str">
        <f>IF(Tenth!J19="", "",Tenth!J19)</f>
        <v/>
      </c>
      <c r="K2266" s="86" t="str">
        <f>IF(Tenth!K19="", "",Tenth!K19)</f>
        <v/>
      </c>
      <c r="M2266" s="67" t="str">
        <f t="shared" si="107"/>
        <v/>
      </c>
      <c r="N2266" s="76" t="str">
        <f t="shared" si="108"/>
        <v/>
      </c>
      <c r="O2266" s="33">
        <f t="shared" si="106"/>
        <v>0</v>
      </c>
    </row>
    <row r="2267" spans="1:15" x14ac:dyDescent="0.25">
      <c r="A2267" s="64" t="s">
        <v>183</v>
      </c>
      <c r="B2267" s="79" t="str">
        <f>IF(Tenth!B20="", "",Tenth!B20)</f>
        <v/>
      </c>
      <c r="C2267" s="66" t="str">
        <f>IF(Tenth!C20="", "",Tenth!C20)</f>
        <v/>
      </c>
      <c r="D2267" s="66" t="str">
        <f>IF(Tenth!D20="", "",Tenth!D20)</f>
        <v/>
      </c>
      <c r="E2267" s="66" t="str">
        <f>IF(Tenth!E20="", "",Tenth!E20)</f>
        <v/>
      </c>
      <c r="F2267" s="66" t="str">
        <f>IF(Tenth!F20="", "",Tenth!F20)</f>
        <v/>
      </c>
      <c r="G2267" s="66" t="str">
        <f>IF(Tenth!G20="", "",Tenth!G20)</f>
        <v/>
      </c>
      <c r="H2267" s="66" t="str">
        <f>IF(Tenth!H20="", "",Tenth!H20)</f>
        <v/>
      </c>
      <c r="I2267" s="66" t="str">
        <f>IF(Tenth!I20="", "",Tenth!I20)</f>
        <v/>
      </c>
      <c r="J2267" s="66" t="str">
        <f>IF(Tenth!J20="", "",Tenth!J20)</f>
        <v/>
      </c>
      <c r="K2267" s="86" t="str">
        <f>IF(Tenth!K20="", "",Tenth!K20)</f>
        <v/>
      </c>
      <c r="M2267" s="67" t="str">
        <f t="shared" si="107"/>
        <v/>
      </c>
      <c r="N2267" s="76" t="str">
        <f t="shared" si="108"/>
        <v/>
      </c>
      <c r="O2267" s="33">
        <f t="shared" si="106"/>
        <v>0</v>
      </c>
    </row>
    <row r="2268" spans="1:15" x14ac:dyDescent="0.25">
      <c r="A2268" s="64" t="s">
        <v>183</v>
      </c>
      <c r="B2268" s="79" t="str">
        <f>IF(Tenth!B21="", "",Tenth!B21)</f>
        <v/>
      </c>
      <c r="C2268" s="66" t="str">
        <f>IF(Tenth!C21="", "",Tenth!C21)</f>
        <v/>
      </c>
      <c r="D2268" s="66" t="str">
        <f>IF(Tenth!D21="", "",Tenth!D21)</f>
        <v/>
      </c>
      <c r="E2268" s="66" t="str">
        <f>IF(Tenth!E21="", "",Tenth!E21)</f>
        <v/>
      </c>
      <c r="F2268" s="66" t="str">
        <f>IF(Tenth!F21="", "",Tenth!F21)</f>
        <v/>
      </c>
      <c r="G2268" s="66" t="str">
        <f>IF(Tenth!G21="", "",Tenth!G21)</f>
        <v/>
      </c>
      <c r="H2268" s="66" t="str">
        <f>IF(Tenth!H21="", "",Tenth!H21)</f>
        <v/>
      </c>
      <c r="I2268" s="66" t="str">
        <f>IF(Tenth!I21="", "",Tenth!I21)</f>
        <v/>
      </c>
      <c r="J2268" s="66" t="str">
        <f>IF(Tenth!J21="", "",Tenth!J21)</f>
        <v/>
      </c>
      <c r="K2268" s="86" t="str">
        <f>IF(Tenth!K21="", "",Tenth!K21)</f>
        <v/>
      </c>
      <c r="M2268" s="67" t="str">
        <f t="shared" si="107"/>
        <v/>
      </c>
      <c r="N2268" s="76" t="str">
        <f t="shared" si="108"/>
        <v/>
      </c>
      <c r="O2268" s="33">
        <f t="shared" si="106"/>
        <v>0</v>
      </c>
    </row>
    <row r="2269" spans="1:15" x14ac:dyDescent="0.25">
      <c r="A2269" s="64" t="s">
        <v>183</v>
      </c>
      <c r="B2269" s="79" t="str">
        <f>IF(Tenth!B22="", "",Tenth!B22)</f>
        <v/>
      </c>
      <c r="C2269" s="66" t="str">
        <f>IF(Tenth!C22="", "",Tenth!C22)</f>
        <v/>
      </c>
      <c r="D2269" s="66" t="str">
        <f>IF(Tenth!D22="", "",Tenth!D22)</f>
        <v/>
      </c>
      <c r="E2269" s="66" t="str">
        <f>IF(Tenth!E22="", "",Tenth!E22)</f>
        <v/>
      </c>
      <c r="F2269" s="66" t="str">
        <f>IF(Tenth!F22="", "",Tenth!F22)</f>
        <v/>
      </c>
      <c r="G2269" s="66" t="str">
        <f>IF(Tenth!G22="", "",Tenth!G22)</f>
        <v/>
      </c>
      <c r="H2269" s="66" t="str">
        <f>IF(Tenth!H22="", "",Tenth!H22)</f>
        <v/>
      </c>
      <c r="I2269" s="66" t="str">
        <f>IF(Tenth!I22="", "",Tenth!I22)</f>
        <v/>
      </c>
      <c r="J2269" s="66" t="str">
        <f>IF(Tenth!J22="", "",Tenth!J22)</f>
        <v/>
      </c>
      <c r="K2269" s="86" t="str">
        <f>IF(Tenth!K22="", "",Tenth!K22)</f>
        <v/>
      </c>
      <c r="M2269" s="67" t="str">
        <f t="shared" si="107"/>
        <v/>
      </c>
      <c r="N2269" s="76" t="str">
        <f t="shared" si="108"/>
        <v/>
      </c>
      <c r="O2269" s="33">
        <f t="shared" si="106"/>
        <v>0</v>
      </c>
    </row>
    <row r="2270" spans="1:15" x14ac:dyDescent="0.25">
      <c r="A2270" s="64" t="s">
        <v>183</v>
      </c>
      <c r="B2270" s="79" t="str">
        <f>IF(Tenth!B23="", "",Tenth!B23)</f>
        <v/>
      </c>
      <c r="C2270" s="66" t="str">
        <f>IF(Tenth!C23="", "",Tenth!C23)</f>
        <v/>
      </c>
      <c r="D2270" s="66" t="str">
        <f>IF(Tenth!D23="", "",Tenth!D23)</f>
        <v/>
      </c>
      <c r="E2270" s="66" t="str">
        <f>IF(Tenth!E23="", "",Tenth!E23)</f>
        <v/>
      </c>
      <c r="F2270" s="66" t="str">
        <f>IF(Tenth!F23="", "",Tenth!F23)</f>
        <v/>
      </c>
      <c r="G2270" s="66" t="str">
        <f>IF(Tenth!G23="", "",Tenth!G23)</f>
        <v/>
      </c>
      <c r="H2270" s="66" t="str">
        <f>IF(Tenth!H23="", "",Tenth!H23)</f>
        <v/>
      </c>
      <c r="I2270" s="66" t="str">
        <f>IF(Tenth!I23="", "",Tenth!I23)</f>
        <v/>
      </c>
      <c r="J2270" s="66" t="str">
        <f>IF(Tenth!J23="", "",Tenth!J23)</f>
        <v/>
      </c>
      <c r="K2270" s="86" t="str">
        <f>IF(Tenth!K23="", "",Tenth!K23)</f>
        <v/>
      </c>
      <c r="M2270" s="67" t="str">
        <f t="shared" si="107"/>
        <v/>
      </c>
      <c r="N2270" s="76" t="str">
        <f t="shared" si="108"/>
        <v/>
      </c>
      <c r="O2270" s="33">
        <f t="shared" si="106"/>
        <v>0</v>
      </c>
    </row>
    <row r="2271" spans="1:15" x14ac:dyDescent="0.25">
      <c r="A2271" s="64" t="s">
        <v>183</v>
      </c>
      <c r="B2271" s="79" t="str">
        <f>IF(Tenth!B24="", "",Tenth!B24)</f>
        <v/>
      </c>
      <c r="C2271" s="66" t="str">
        <f>IF(Tenth!C24="", "",Tenth!C24)</f>
        <v/>
      </c>
      <c r="D2271" s="66" t="str">
        <f>IF(Tenth!D24="", "",Tenth!D24)</f>
        <v/>
      </c>
      <c r="E2271" s="66" t="str">
        <f>IF(Tenth!E24="", "",Tenth!E24)</f>
        <v/>
      </c>
      <c r="F2271" s="66" t="str">
        <f>IF(Tenth!F24="", "",Tenth!F24)</f>
        <v/>
      </c>
      <c r="G2271" s="66" t="str">
        <f>IF(Tenth!G24="", "",Tenth!G24)</f>
        <v/>
      </c>
      <c r="H2271" s="66" t="str">
        <f>IF(Tenth!H24="", "",Tenth!H24)</f>
        <v/>
      </c>
      <c r="I2271" s="66" t="str">
        <f>IF(Tenth!I24="", "",Tenth!I24)</f>
        <v/>
      </c>
      <c r="J2271" s="66" t="str">
        <f>IF(Tenth!J24="", "",Tenth!J24)</f>
        <v/>
      </c>
      <c r="K2271" s="86" t="str">
        <f>IF(Tenth!K24="", "",Tenth!K24)</f>
        <v/>
      </c>
      <c r="M2271" s="67" t="str">
        <f t="shared" si="107"/>
        <v/>
      </c>
      <c r="N2271" s="76" t="str">
        <f t="shared" si="108"/>
        <v/>
      </c>
      <c r="O2271" s="33">
        <f t="shared" si="106"/>
        <v>0</v>
      </c>
    </row>
    <row r="2272" spans="1:15" x14ac:dyDescent="0.25">
      <c r="A2272" s="64" t="s">
        <v>183</v>
      </c>
      <c r="B2272" s="79" t="str">
        <f>IF(Tenth!B25="", "",Tenth!B25)</f>
        <v/>
      </c>
      <c r="C2272" s="66" t="str">
        <f>IF(Tenth!C25="", "",Tenth!C25)</f>
        <v/>
      </c>
      <c r="D2272" s="66" t="str">
        <f>IF(Tenth!D25="", "",Tenth!D25)</f>
        <v/>
      </c>
      <c r="E2272" s="66" t="str">
        <f>IF(Tenth!E25="", "",Tenth!E25)</f>
        <v/>
      </c>
      <c r="F2272" s="66" t="str">
        <f>IF(Tenth!F25="", "",Tenth!F25)</f>
        <v/>
      </c>
      <c r="G2272" s="66" t="str">
        <f>IF(Tenth!G25="", "",Tenth!G25)</f>
        <v/>
      </c>
      <c r="H2272" s="66" t="str">
        <f>IF(Tenth!H25="", "",Tenth!H25)</f>
        <v/>
      </c>
      <c r="I2272" s="66" t="str">
        <f>IF(Tenth!I25="", "",Tenth!I25)</f>
        <v/>
      </c>
      <c r="J2272" s="66" t="str">
        <f>IF(Tenth!J25="", "",Tenth!J25)</f>
        <v/>
      </c>
      <c r="K2272" s="86" t="str">
        <f>IF(Tenth!K25="", "",Tenth!K25)</f>
        <v/>
      </c>
      <c r="M2272" s="67" t="str">
        <f t="shared" si="107"/>
        <v/>
      </c>
      <c r="N2272" s="76" t="str">
        <f t="shared" si="108"/>
        <v/>
      </c>
      <c r="O2272" s="33">
        <f t="shared" si="106"/>
        <v>0</v>
      </c>
    </row>
    <row r="2273" spans="1:15" x14ac:dyDescent="0.25">
      <c r="A2273" s="64" t="s">
        <v>183</v>
      </c>
      <c r="B2273" s="79" t="str">
        <f>IF(Tenth!B26="", "",Tenth!B26)</f>
        <v/>
      </c>
      <c r="C2273" s="66" t="str">
        <f>IF(Tenth!C26="", "",Tenth!C26)</f>
        <v/>
      </c>
      <c r="D2273" s="66" t="str">
        <f>IF(Tenth!D26="", "",Tenth!D26)</f>
        <v/>
      </c>
      <c r="E2273" s="66" t="str">
        <f>IF(Tenth!E26="", "",Tenth!E26)</f>
        <v/>
      </c>
      <c r="F2273" s="66" t="str">
        <f>IF(Tenth!F26="", "",Tenth!F26)</f>
        <v/>
      </c>
      <c r="G2273" s="66" t="str">
        <f>IF(Tenth!G26="", "",Tenth!G26)</f>
        <v/>
      </c>
      <c r="H2273" s="66" t="str">
        <f>IF(Tenth!H26="", "",Tenth!H26)</f>
        <v/>
      </c>
      <c r="I2273" s="66" t="str">
        <f>IF(Tenth!I26="", "",Tenth!I26)</f>
        <v/>
      </c>
      <c r="J2273" s="66" t="str">
        <f>IF(Tenth!J26="", "",Tenth!J26)</f>
        <v/>
      </c>
      <c r="K2273" s="86" t="str">
        <f>IF(Tenth!K26="", "",Tenth!K26)</f>
        <v/>
      </c>
      <c r="M2273" s="67" t="str">
        <f t="shared" si="107"/>
        <v/>
      </c>
      <c r="N2273" s="76" t="str">
        <f t="shared" si="108"/>
        <v/>
      </c>
      <c r="O2273" s="33">
        <f t="shared" si="106"/>
        <v>0</v>
      </c>
    </row>
    <row r="2274" spans="1:15" x14ac:dyDescent="0.25">
      <c r="A2274" s="64" t="s">
        <v>183</v>
      </c>
      <c r="B2274" s="79" t="str">
        <f>IF(Tenth!B27="", "",Tenth!B27)</f>
        <v/>
      </c>
      <c r="C2274" s="66" t="str">
        <f>IF(Tenth!C27="", "",Tenth!C27)</f>
        <v/>
      </c>
      <c r="D2274" s="66" t="str">
        <f>IF(Tenth!D27="", "",Tenth!D27)</f>
        <v/>
      </c>
      <c r="E2274" s="66" t="str">
        <f>IF(Tenth!E27="", "",Tenth!E27)</f>
        <v/>
      </c>
      <c r="F2274" s="66" t="str">
        <f>IF(Tenth!F27="", "",Tenth!F27)</f>
        <v/>
      </c>
      <c r="G2274" s="66" t="str">
        <f>IF(Tenth!G27="", "",Tenth!G27)</f>
        <v/>
      </c>
      <c r="H2274" s="66" t="str">
        <f>IF(Tenth!H27="", "",Tenth!H27)</f>
        <v/>
      </c>
      <c r="I2274" s="66" t="str">
        <f>IF(Tenth!I27="", "",Tenth!I27)</f>
        <v/>
      </c>
      <c r="J2274" s="66" t="str">
        <f>IF(Tenth!J27="", "",Tenth!J27)</f>
        <v/>
      </c>
      <c r="K2274" s="86" t="str">
        <f>IF(Tenth!K27="", "",Tenth!K27)</f>
        <v/>
      </c>
      <c r="M2274" s="67" t="str">
        <f t="shared" si="107"/>
        <v/>
      </c>
      <c r="N2274" s="76" t="str">
        <f t="shared" si="108"/>
        <v/>
      </c>
      <c r="O2274" s="33">
        <f t="shared" si="106"/>
        <v>0</v>
      </c>
    </row>
    <row r="2275" spans="1:15" x14ac:dyDescent="0.25">
      <c r="A2275" s="64" t="s">
        <v>183</v>
      </c>
      <c r="B2275" s="79" t="str">
        <f>IF(Tenth!B28="", "",Tenth!B28)</f>
        <v/>
      </c>
      <c r="C2275" s="66" t="str">
        <f>IF(Tenth!C28="", "",Tenth!C28)</f>
        <v/>
      </c>
      <c r="D2275" s="66" t="str">
        <f>IF(Tenth!D28="", "",Tenth!D28)</f>
        <v/>
      </c>
      <c r="E2275" s="66" t="str">
        <f>IF(Tenth!E28="", "",Tenth!E28)</f>
        <v/>
      </c>
      <c r="F2275" s="66" t="str">
        <f>IF(Tenth!F28="", "",Tenth!F28)</f>
        <v/>
      </c>
      <c r="G2275" s="66" t="str">
        <f>IF(Tenth!G28="", "",Tenth!G28)</f>
        <v/>
      </c>
      <c r="H2275" s="66" t="str">
        <f>IF(Tenth!H28="", "",Tenth!H28)</f>
        <v/>
      </c>
      <c r="I2275" s="66" t="str">
        <f>IF(Tenth!I28="", "",Tenth!I28)</f>
        <v/>
      </c>
      <c r="J2275" s="66" t="str">
        <f>IF(Tenth!J28="", "",Tenth!J28)</f>
        <v/>
      </c>
      <c r="K2275" s="86" t="str">
        <f>IF(Tenth!K28="", "",Tenth!K28)</f>
        <v/>
      </c>
      <c r="M2275" s="67" t="str">
        <f t="shared" si="107"/>
        <v/>
      </c>
      <c r="N2275" s="76" t="str">
        <f t="shared" si="108"/>
        <v/>
      </c>
      <c r="O2275" s="33">
        <f t="shared" si="106"/>
        <v>0</v>
      </c>
    </row>
    <row r="2276" spans="1:15" x14ac:dyDescent="0.25">
      <c r="A2276" s="64" t="s">
        <v>183</v>
      </c>
      <c r="B2276" s="79" t="str">
        <f>IF(Tenth!B29="", "",Tenth!B29)</f>
        <v/>
      </c>
      <c r="C2276" s="66" t="str">
        <f>IF(Tenth!C29="", "",Tenth!C29)</f>
        <v/>
      </c>
      <c r="D2276" s="66" t="str">
        <f>IF(Tenth!D29="", "",Tenth!D29)</f>
        <v/>
      </c>
      <c r="E2276" s="66" t="str">
        <f>IF(Tenth!E29="", "",Tenth!E29)</f>
        <v/>
      </c>
      <c r="F2276" s="66" t="str">
        <f>IF(Tenth!F29="", "",Tenth!F29)</f>
        <v/>
      </c>
      <c r="G2276" s="66" t="str">
        <f>IF(Tenth!G29="", "",Tenth!G29)</f>
        <v/>
      </c>
      <c r="H2276" s="66" t="str">
        <f>IF(Tenth!H29="", "",Tenth!H29)</f>
        <v/>
      </c>
      <c r="I2276" s="66" t="str">
        <f>IF(Tenth!I29="", "",Tenth!I29)</f>
        <v/>
      </c>
      <c r="J2276" s="66" t="str">
        <f>IF(Tenth!J29="", "",Tenth!J29)</f>
        <v/>
      </c>
      <c r="K2276" s="86" t="str">
        <f>IF(Tenth!K29="", "",Tenth!K29)</f>
        <v/>
      </c>
      <c r="M2276" s="67" t="str">
        <f t="shared" si="107"/>
        <v/>
      </c>
      <c r="N2276" s="76" t="str">
        <f t="shared" si="108"/>
        <v/>
      </c>
      <c r="O2276" s="33">
        <f t="shared" si="106"/>
        <v>0</v>
      </c>
    </row>
    <row r="2277" spans="1:15" x14ac:dyDescent="0.25">
      <c r="A2277" s="64" t="s">
        <v>183</v>
      </c>
      <c r="B2277" s="79" t="str">
        <f>IF(Tenth!B30="", "",Tenth!B30)</f>
        <v/>
      </c>
      <c r="C2277" s="66" t="str">
        <f>IF(Tenth!C30="", "",Tenth!C30)</f>
        <v/>
      </c>
      <c r="D2277" s="66" t="str">
        <f>IF(Tenth!D30="", "",Tenth!D30)</f>
        <v/>
      </c>
      <c r="E2277" s="66" t="str">
        <f>IF(Tenth!E30="", "",Tenth!E30)</f>
        <v/>
      </c>
      <c r="F2277" s="66" t="str">
        <f>IF(Tenth!F30="", "",Tenth!F30)</f>
        <v/>
      </c>
      <c r="G2277" s="66" t="str">
        <f>IF(Tenth!G30="", "",Tenth!G30)</f>
        <v/>
      </c>
      <c r="H2277" s="66" t="str">
        <f>IF(Tenth!H30="", "",Tenth!H30)</f>
        <v/>
      </c>
      <c r="I2277" s="66" t="str">
        <f>IF(Tenth!I30="", "",Tenth!I30)</f>
        <v/>
      </c>
      <c r="J2277" s="66" t="str">
        <f>IF(Tenth!J30="", "",Tenth!J30)</f>
        <v/>
      </c>
      <c r="K2277" s="86" t="str">
        <f>IF(Tenth!K30="", "",Tenth!K30)</f>
        <v/>
      </c>
      <c r="M2277" s="67" t="str">
        <f t="shared" si="107"/>
        <v/>
      </c>
      <c r="N2277" s="76" t="str">
        <f t="shared" si="108"/>
        <v/>
      </c>
      <c r="O2277" s="33">
        <f t="shared" si="106"/>
        <v>0</v>
      </c>
    </row>
    <row r="2278" spans="1:15" x14ac:dyDescent="0.25">
      <c r="A2278" s="64" t="s">
        <v>183</v>
      </c>
      <c r="B2278" s="79" t="str">
        <f>IF(Tenth!B31="", "",Tenth!B31)</f>
        <v/>
      </c>
      <c r="C2278" s="66" t="str">
        <f>IF(Tenth!C31="", "",Tenth!C31)</f>
        <v/>
      </c>
      <c r="D2278" s="66" t="str">
        <f>IF(Tenth!D31="", "",Tenth!D31)</f>
        <v/>
      </c>
      <c r="E2278" s="66" t="str">
        <f>IF(Tenth!E31="", "",Tenth!E31)</f>
        <v/>
      </c>
      <c r="F2278" s="66" t="str">
        <f>IF(Tenth!F31="", "",Tenth!F31)</f>
        <v/>
      </c>
      <c r="G2278" s="66" t="str">
        <f>IF(Tenth!G31="", "",Tenth!G31)</f>
        <v/>
      </c>
      <c r="H2278" s="66" t="str">
        <f>IF(Tenth!H31="", "",Tenth!H31)</f>
        <v/>
      </c>
      <c r="I2278" s="66" t="str">
        <f>IF(Tenth!I31="", "",Tenth!I31)</f>
        <v/>
      </c>
      <c r="J2278" s="66" t="str">
        <f>IF(Tenth!J31="", "",Tenth!J31)</f>
        <v/>
      </c>
      <c r="K2278" s="86" t="str">
        <f>IF(Tenth!K31="", "",Tenth!K31)</f>
        <v/>
      </c>
      <c r="M2278" s="67" t="str">
        <f t="shared" si="107"/>
        <v/>
      </c>
      <c r="N2278" s="76" t="str">
        <f t="shared" si="108"/>
        <v/>
      </c>
      <c r="O2278" s="33">
        <f t="shared" si="106"/>
        <v>0</v>
      </c>
    </row>
    <row r="2279" spans="1:15" x14ac:dyDescent="0.25">
      <c r="A2279" s="64" t="s">
        <v>183</v>
      </c>
      <c r="B2279" s="79" t="str">
        <f>IF(Tenth!B32="", "",Tenth!B32)</f>
        <v/>
      </c>
      <c r="C2279" s="66" t="str">
        <f>IF(Tenth!C32="", "",Tenth!C32)</f>
        <v/>
      </c>
      <c r="D2279" s="66" t="str">
        <f>IF(Tenth!D32="", "",Tenth!D32)</f>
        <v/>
      </c>
      <c r="E2279" s="66" t="str">
        <f>IF(Tenth!E32="", "",Tenth!E32)</f>
        <v/>
      </c>
      <c r="F2279" s="66" t="str">
        <f>IF(Tenth!F32="", "",Tenth!F32)</f>
        <v/>
      </c>
      <c r="G2279" s="66" t="str">
        <f>IF(Tenth!G32="", "",Tenth!G32)</f>
        <v/>
      </c>
      <c r="H2279" s="66" t="str">
        <f>IF(Tenth!H32="", "",Tenth!H32)</f>
        <v/>
      </c>
      <c r="I2279" s="66" t="str">
        <f>IF(Tenth!I32="", "",Tenth!I32)</f>
        <v/>
      </c>
      <c r="J2279" s="66" t="str">
        <f>IF(Tenth!J32="", "",Tenth!J32)</f>
        <v/>
      </c>
      <c r="K2279" s="86" t="str">
        <f>IF(Tenth!K32="", "",Tenth!K32)</f>
        <v/>
      </c>
      <c r="M2279" s="67" t="str">
        <f t="shared" si="107"/>
        <v/>
      </c>
      <c r="N2279" s="76" t="str">
        <f t="shared" si="108"/>
        <v/>
      </c>
      <c r="O2279" s="33">
        <f t="shared" si="106"/>
        <v>0</v>
      </c>
    </row>
    <row r="2280" spans="1:15" x14ac:dyDescent="0.25">
      <c r="A2280" s="64" t="s">
        <v>183</v>
      </c>
      <c r="B2280" s="79" t="str">
        <f>IF(Tenth!B33="", "",Tenth!B33)</f>
        <v/>
      </c>
      <c r="C2280" s="66" t="str">
        <f>IF(Tenth!C33="", "",Tenth!C33)</f>
        <v/>
      </c>
      <c r="D2280" s="66" t="str">
        <f>IF(Tenth!D33="", "",Tenth!D33)</f>
        <v/>
      </c>
      <c r="E2280" s="66" t="str">
        <f>IF(Tenth!E33="", "",Tenth!E33)</f>
        <v/>
      </c>
      <c r="F2280" s="66" t="str">
        <f>IF(Tenth!F33="", "",Tenth!F33)</f>
        <v/>
      </c>
      <c r="G2280" s="66" t="str">
        <f>IF(Tenth!G33="", "",Tenth!G33)</f>
        <v/>
      </c>
      <c r="H2280" s="66" t="str">
        <f>IF(Tenth!H33="", "",Tenth!H33)</f>
        <v/>
      </c>
      <c r="I2280" s="66" t="str">
        <f>IF(Tenth!I33="", "",Tenth!I33)</f>
        <v/>
      </c>
      <c r="J2280" s="66" t="str">
        <f>IF(Tenth!J33="", "",Tenth!J33)</f>
        <v/>
      </c>
      <c r="K2280" s="86" t="str">
        <f>IF(Tenth!K33="", "",Tenth!K33)</f>
        <v/>
      </c>
      <c r="M2280" s="67" t="str">
        <f t="shared" si="107"/>
        <v/>
      </c>
      <c r="N2280" s="76" t="str">
        <f t="shared" si="108"/>
        <v/>
      </c>
      <c r="O2280" s="33">
        <f t="shared" si="106"/>
        <v>0</v>
      </c>
    </row>
    <row r="2281" spans="1:15" x14ac:dyDescent="0.25">
      <c r="A2281" s="64" t="s">
        <v>183</v>
      </c>
      <c r="B2281" s="79" t="str">
        <f>IF(Tenth!B34="", "",Tenth!B34)</f>
        <v/>
      </c>
      <c r="C2281" s="66" t="str">
        <f>IF(Tenth!C34="", "",Tenth!C34)</f>
        <v/>
      </c>
      <c r="D2281" s="66" t="str">
        <f>IF(Tenth!D34="", "",Tenth!D34)</f>
        <v/>
      </c>
      <c r="E2281" s="66" t="str">
        <f>IF(Tenth!E34="", "",Tenth!E34)</f>
        <v/>
      </c>
      <c r="F2281" s="66" t="str">
        <f>IF(Tenth!F34="", "",Tenth!F34)</f>
        <v/>
      </c>
      <c r="G2281" s="66" t="str">
        <f>IF(Tenth!G34="", "",Tenth!G34)</f>
        <v/>
      </c>
      <c r="H2281" s="66" t="str">
        <f>IF(Tenth!H34="", "",Tenth!H34)</f>
        <v/>
      </c>
      <c r="I2281" s="66" t="str">
        <f>IF(Tenth!I34="", "",Tenth!I34)</f>
        <v/>
      </c>
      <c r="J2281" s="66" t="str">
        <f>IF(Tenth!J34="", "",Tenth!J34)</f>
        <v/>
      </c>
      <c r="K2281" s="86" t="str">
        <f>IF(Tenth!K34="", "",Tenth!K34)</f>
        <v/>
      </c>
      <c r="M2281" s="67" t="str">
        <f t="shared" si="107"/>
        <v/>
      </c>
      <c r="N2281" s="76" t="str">
        <f t="shared" si="108"/>
        <v/>
      </c>
      <c r="O2281" s="33">
        <f t="shared" si="106"/>
        <v>0</v>
      </c>
    </row>
    <row r="2282" spans="1:15" x14ac:dyDescent="0.25">
      <c r="A2282" s="64" t="s">
        <v>183</v>
      </c>
      <c r="B2282" s="79" t="str">
        <f>IF(Tenth!B35="", "",Tenth!B35)</f>
        <v/>
      </c>
      <c r="C2282" s="66" t="str">
        <f>IF(Tenth!C35="", "",Tenth!C35)</f>
        <v/>
      </c>
      <c r="D2282" s="66" t="str">
        <f>IF(Tenth!D35="", "",Tenth!D35)</f>
        <v/>
      </c>
      <c r="E2282" s="66" t="str">
        <f>IF(Tenth!E35="", "",Tenth!E35)</f>
        <v/>
      </c>
      <c r="F2282" s="66" t="str">
        <f>IF(Tenth!F35="", "",Tenth!F35)</f>
        <v/>
      </c>
      <c r="G2282" s="66" t="str">
        <f>IF(Tenth!G35="", "",Tenth!G35)</f>
        <v/>
      </c>
      <c r="H2282" s="66" t="str">
        <f>IF(Tenth!H35="", "",Tenth!H35)</f>
        <v/>
      </c>
      <c r="I2282" s="66" t="str">
        <f>IF(Tenth!I35="", "",Tenth!I35)</f>
        <v/>
      </c>
      <c r="J2282" s="66" t="str">
        <f>IF(Tenth!J35="", "",Tenth!J35)</f>
        <v/>
      </c>
      <c r="K2282" s="86" t="str">
        <f>IF(Tenth!K35="", "",Tenth!K35)</f>
        <v/>
      </c>
      <c r="M2282" s="67" t="str">
        <f t="shared" si="107"/>
        <v/>
      </c>
      <c r="N2282" s="76" t="str">
        <f t="shared" si="108"/>
        <v/>
      </c>
      <c r="O2282" s="33">
        <f t="shared" si="106"/>
        <v>0</v>
      </c>
    </row>
    <row r="2283" spans="1:15" x14ac:dyDescent="0.25">
      <c r="A2283" s="64" t="s">
        <v>183</v>
      </c>
      <c r="B2283" s="79" t="str">
        <f>IF(Tenth!B36="", "",Tenth!B36)</f>
        <v/>
      </c>
      <c r="C2283" s="66" t="str">
        <f>IF(Tenth!C36="", "",Tenth!C36)</f>
        <v/>
      </c>
      <c r="D2283" s="66" t="str">
        <f>IF(Tenth!D36="", "",Tenth!D36)</f>
        <v/>
      </c>
      <c r="E2283" s="66" t="str">
        <f>IF(Tenth!E36="", "",Tenth!E36)</f>
        <v/>
      </c>
      <c r="F2283" s="66" t="str">
        <f>IF(Tenth!F36="", "",Tenth!F36)</f>
        <v/>
      </c>
      <c r="G2283" s="66" t="str">
        <f>IF(Tenth!G36="", "",Tenth!G36)</f>
        <v/>
      </c>
      <c r="H2283" s="66" t="str">
        <f>IF(Tenth!H36="", "",Tenth!H36)</f>
        <v/>
      </c>
      <c r="I2283" s="66" t="str">
        <f>IF(Tenth!I36="", "",Tenth!I36)</f>
        <v/>
      </c>
      <c r="J2283" s="66" t="str">
        <f>IF(Tenth!J36="", "",Tenth!J36)</f>
        <v/>
      </c>
      <c r="K2283" s="86" t="str">
        <f>IF(Tenth!K36="", "",Tenth!K36)</f>
        <v/>
      </c>
      <c r="M2283" s="67" t="str">
        <f t="shared" si="107"/>
        <v/>
      </c>
      <c r="N2283" s="76" t="str">
        <f t="shared" si="108"/>
        <v/>
      </c>
      <c r="O2283" s="33">
        <f t="shared" si="106"/>
        <v>0</v>
      </c>
    </row>
    <row r="2284" spans="1:15" x14ac:dyDescent="0.25">
      <c r="A2284" s="64" t="s">
        <v>183</v>
      </c>
      <c r="B2284" s="79" t="str">
        <f>IF(Tenth!B37="", "",Tenth!B37)</f>
        <v/>
      </c>
      <c r="C2284" s="66" t="str">
        <f>IF(Tenth!C37="", "",Tenth!C37)</f>
        <v/>
      </c>
      <c r="D2284" s="66" t="str">
        <f>IF(Tenth!D37="", "",Tenth!D37)</f>
        <v/>
      </c>
      <c r="E2284" s="66" t="str">
        <f>IF(Tenth!E37="", "",Tenth!E37)</f>
        <v/>
      </c>
      <c r="F2284" s="66" t="str">
        <f>IF(Tenth!F37="", "",Tenth!F37)</f>
        <v/>
      </c>
      <c r="G2284" s="66" t="str">
        <f>IF(Tenth!G37="", "",Tenth!G37)</f>
        <v/>
      </c>
      <c r="H2284" s="66" t="str">
        <f>IF(Tenth!H37="", "",Tenth!H37)</f>
        <v/>
      </c>
      <c r="I2284" s="66" t="str">
        <f>IF(Tenth!I37="", "",Tenth!I37)</f>
        <v/>
      </c>
      <c r="J2284" s="66" t="str">
        <f>IF(Tenth!J37="", "",Tenth!J37)</f>
        <v/>
      </c>
      <c r="K2284" s="86" t="str">
        <f>IF(Tenth!K37="", "",Tenth!K37)</f>
        <v/>
      </c>
      <c r="M2284" s="67" t="str">
        <f t="shared" si="107"/>
        <v/>
      </c>
      <c r="N2284" s="76" t="str">
        <f t="shared" si="108"/>
        <v/>
      </c>
      <c r="O2284" s="33">
        <f t="shared" si="106"/>
        <v>0</v>
      </c>
    </row>
    <row r="2285" spans="1:15" x14ac:dyDescent="0.25">
      <c r="A2285" s="64" t="s">
        <v>183</v>
      </c>
      <c r="B2285" s="79" t="str">
        <f>IF(Tenth!B38="", "",Tenth!B38)</f>
        <v/>
      </c>
      <c r="C2285" s="66" t="str">
        <f>IF(Tenth!C38="", "",Tenth!C38)</f>
        <v/>
      </c>
      <c r="D2285" s="66" t="str">
        <f>IF(Tenth!D38="", "",Tenth!D38)</f>
        <v/>
      </c>
      <c r="E2285" s="66" t="str">
        <f>IF(Tenth!E38="", "",Tenth!E38)</f>
        <v/>
      </c>
      <c r="F2285" s="66" t="str">
        <f>IF(Tenth!F38="", "",Tenth!F38)</f>
        <v/>
      </c>
      <c r="G2285" s="66" t="str">
        <f>IF(Tenth!G38="", "",Tenth!G38)</f>
        <v/>
      </c>
      <c r="H2285" s="66" t="str">
        <f>IF(Tenth!H38="", "",Tenth!H38)</f>
        <v/>
      </c>
      <c r="I2285" s="66" t="str">
        <f>IF(Tenth!I38="", "",Tenth!I38)</f>
        <v/>
      </c>
      <c r="J2285" s="66" t="str">
        <f>IF(Tenth!J38="", "",Tenth!J38)</f>
        <v/>
      </c>
      <c r="K2285" s="86" t="str">
        <f>IF(Tenth!K38="", "",Tenth!K38)</f>
        <v/>
      </c>
      <c r="M2285" s="67" t="str">
        <f t="shared" si="107"/>
        <v/>
      </c>
      <c r="N2285" s="76" t="str">
        <f t="shared" si="108"/>
        <v/>
      </c>
      <c r="O2285" s="33">
        <f t="shared" si="106"/>
        <v>0</v>
      </c>
    </row>
    <row r="2286" spans="1:15" x14ac:dyDescent="0.25">
      <c r="A2286" s="64" t="s">
        <v>183</v>
      </c>
      <c r="B2286" s="79" t="str">
        <f>IF(Tenth!B39="", "",Tenth!B39)</f>
        <v/>
      </c>
      <c r="C2286" s="66" t="str">
        <f>IF(Tenth!C39="", "",Tenth!C39)</f>
        <v/>
      </c>
      <c r="D2286" s="66" t="str">
        <f>IF(Tenth!D39="", "",Tenth!D39)</f>
        <v/>
      </c>
      <c r="E2286" s="66" t="str">
        <f>IF(Tenth!E39="", "",Tenth!E39)</f>
        <v/>
      </c>
      <c r="F2286" s="66" t="str">
        <f>IF(Tenth!F39="", "",Tenth!F39)</f>
        <v/>
      </c>
      <c r="G2286" s="66" t="str">
        <f>IF(Tenth!G39="", "",Tenth!G39)</f>
        <v/>
      </c>
      <c r="H2286" s="66" t="str">
        <f>IF(Tenth!H39="", "",Tenth!H39)</f>
        <v/>
      </c>
      <c r="I2286" s="66" t="str">
        <f>IF(Tenth!I39="", "",Tenth!I39)</f>
        <v/>
      </c>
      <c r="J2286" s="66" t="str">
        <f>IF(Tenth!J39="", "",Tenth!J39)</f>
        <v/>
      </c>
      <c r="K2286" s="86" t="str">
        <f>IF(Tenth!K39="", "",Tenth!K39)</f>
        <v/>
      </c>
      <c r="M2286" s="67" t="str">
        <f t="shared" si="107"/>
        <v/>
      </c>
      <c r="N2286" s="76" t="str">
        <f t="shared" si="108"/>
        <v/>
      </c>
      <c r="O2286" s="33">
        <f t="shared" si="106"/>
        <v>0</v>
      </c>
    </row>
    <row r="2287" spans="1:15" x14ac:dyDescent="0.25">
      <c r="A2287" s="64" t="s">
        <v>183</v>
      </c>
      <c r="B2287" s="79" t="str">
        <f>IF(Tenth!B40="", "",Tenth!B40)</f>
        <v/>
      </c>
      <c r="C2287" s="66" t="str">
        <f>IF(Tenth!C40="", "",Tenth!C40)</f>
        <v/>
      </c>
      <c r="D2287" s="66" t="str">
        <f>IF(Tenth!D40="", "",Tenth!D40)</f>
        <v/>
      </c>
      <c r="E2287" s="66" t="str">
        <f>IF(Tenth!E40="", "",Tenth!E40)</f>
        <v/>
      </c>
      <c r="F2287" s="66" t="str">
        <f>IF(Tenth!F40="", "",Tenth!F40)</f>
        <v/>
      </c>
      <c r="G2287" s="66" t="str">
        <f>IF(Tenth!G40="", "",Tenth!G40)</f>
        <v/>
      </c>
      <c r="H2287" s="66" t="str">
        <f>IF(Tenth!H40="", "",Tenth!H40)</f>
        <v/>
      </c>
      <c r="I2287" s="66" t="str">
        <f>IF(Tenth!I40="", "",Tenth!I40)</f>
        <v/>
      </c>
      <c r="J2287" s="66" t="str">
        <f>IF(Tenth!J40="", "",Tenth!J40)</f>
        <v/>
      </c>
      <c r="K2287" s="86" t="str">
        <f>IF(Tenth!K40="", "",Tenth!K40)</f>
        <v/>
      </c>
      <c r="M2287" s="67" t="str">
        <f t="shared" si="107"/>
        <v/>
      </c>
      <c r="N2287" s="76" t="str">
        <f t="shared" si="108"/>
        <v/>
      </c>
      <c r="O2287" s="33">
        <f t="shared" si="106"/>
        <v>0</v>
      </c>
    </row>
    <row r="2288" spans="1:15" x14ac:dyDescent="0.25">
      <c r="A2288" s="64" t="s">
        <v>183</v>
      </c>
      <c r="B2288" s="79" t="str">
        <f>IF(Tenth!B41="", "",Tenth!B41)</f>
        <v/>
      </c>
      <c r="C2288" s="66" t="str">
        <f>IF(Tenth!C41="", "",Tenth!C41)</f>
        <v/>
      </c>
      <c r="D2288" s="66" t="str">
        <f>IF(Tenth!D41="", "",Tenth!D41)</f>
        <v/>
      </c>
      <c r="E2288" s="66" t="str">
        <f>IF(Tenth!E41="", "",Tenth!E41)</f>
        <v/>
      </c>
      <c r="F2288" s="66" t="str">
        <f>IF(Tenth!F41="", "",Tenth!F41)</f>
        <v/>
      </c>
      <c r="G2288" s="66" t="str">
        <f>IF(Tenth!G41="", "",Tenth!G41)</f>
        <v/>
      </c>
      <c r="H2288" s="66" t="str">
        <f>IF(Tenth!H41="", "",Tenth!H41)</f>
        <v/>
      </c>
      <c r="I2288" s="66" t="str">
        <f>IF(Tenth!I41="", "",Tenth!I41)</f>
        <v/>
      </c>
      <c r="J2288" s="66" t="str">
        <f>IF(Tenth!J41="", "",Tenth!J41)</f>
        <v/>
      </c>
      <c r="K2288" s="86" t="str">
        <f>IF(Tenth!K41="", "",Tenth!K41)</f>
        <v/>
      </c>
      <c r="M2288" s="67" t="str">
        <f t="shared" si="107"/>
        <v/>
      </c>
      <c r="N2288" s="76" t="str">
        <f t="shared" si="108"/>
        <v/>
      </c>
      <c r="O2288" s="33">
        <f t="shared" si="106"/>
        <v>0</v>
      </c>
    </row>
    <row r="2289" spans="1:15" x14ac:dyDescent="0.25">
      <c r="A2289" s="64" t="s">
        <v>183</v>
      </c>
      <c r="B2289" s="79" t="str">
        <f>IF(Tenth!B42="", "",Tenth!B42)</f>
        <v/>
      </c>
      <c r="C2289" s="66" t="str">
        <f>IF(Tenth!C42="", "",Tenth!C42)</f>
        <v/>
      </c>
      <c r="D2289" s="66" t="str">
        <f>IF(Tenth!D42="", "",Tenth!D42)</f>
        <v/>
      </c>
      <c r="E2289" s="66" t="str">
        <f>IF(Tenth!E42="", "",Tenth!E42)</f>
        <v/>
      </c>
      <c r="F2289" s="66" t="str">
        <f>IF(Tenth!F42="", "",Tenth!F42)</f>
        <v/>
      </c>
      <c r="G2289" s="66" t="str">
        <f>IF(Tenth!G42="", "",Tenth!G42)</f>
        <v/>
      </c>
      <c r="H2289" s="66" t="str">
        <f>IF(Tenth!H42="", "",Tenth!H42)</f>
        <v/>
      </c>
      <c r="I2289" s="66" t="str">
        <f>IF(Tenth!I42="", "",Tenth!I42)</f>
        <v/>
      </c>
      <c r="J2289" s="66" t="str">
        <f>IF(Tenth!J42="", "",Tenth!J42)</f>
        <v/>
      </c>
      <c r="K2289" s="86" t="str">
        <f>IF(Tenth!K42="", "",Tenth!K42)</f>
        <v/>
      </c>
      <c r="M2289" s="67" t="str">
        <f t="shared" si="107"/>
        <v/>
      </c>
      <c r="N2289" s="76" t="str">
        <f t="shared" si="108"/>
        <v/>
      </c>
      <c r="O2289" s="33">
        <f t="shared" si="106"/>
        <v>0</v>
      </c>
    </row>
    <row r="2290" spans="1:15" x14ac:dyDescent="0.25">
      <c r="A2290" s="64" t="s">
        <v>183</v>
      </c>
      <c r="B2290" s="79" t="str">
        <f>IF(Tenth!B43="", "",Tenth!B43)</f>
        <v/>
      </c>
      <c r="C2290" s="66" t="str">
        <f>IF(Tenth!C43="", "",Tenth!C43)</f>
        <v/>
      </c>
      <c r="D2290" s="66" t="str">
        <f>IF(Tenth!D43="", "",Tenth!D43)</f>
        <v/>
      </c>
      <c r="E2290" s="66" t="str">
        <f>IF(Tenth!E43="", "",Tenth!E43)</f>
        <v/>
      </c>
      <c r="F2290" s="66" t="str">
        <f>IF(Tenth!F43="", "",Tenth!F43)</f>
        <v/>
      </c>
      <c r="G2290" s="66" t="str">
        <f>IF(Tenth!G43="", "",Tenth!G43)</f>
        <v/>
      </c>
      <c r="H2290" s="66" t="str">
        <f>IF(Tenth!H43="", "",Tenth!H43)</f>
        <v/>
      </c>
      <c r="I2290" s="66" t="str">
        <f>IF(Tenth!I43="", "",Tenth!I43)</f>
        <v/>
      </c>
      <c r="J2290" s="66" t="str">
        <f>IF(Tenth!J43="", "",Tenth!J43)</f>
        <v/>
      </c>
      <c r="K2290" s="86" t="str">
        <f>IF(Tenth!K43="", "",Tenth!K43)</f>
        <v/>
      </c>
      <c r="M2290" s="67" t="str">
        <f t="shared" si="107"/>
        <v/>
      </c>
      <c r="N2290" s="76" t="str">
        <f t="shared" si="108"/>
        <v/>
      </c>
      <c r="O2290" s="33">
        <f t="shared" si="106"/>
        <v>0</v>
      </c>
    </row>
    <row r="2291" spans="1:15" x14ac:dyDescent="0.25">
      <c r="A2291" s="64" t="s">
        <v>183</v>
      </c>
      <c r="B2291" s="79" t="str">
        <f>IF(Tenth!B44="", "",Tenth!B44)</f>
        <v/>
      </c>
      <c r="C2291" s="66" t="str">
        <f>IF(Tenth!C44="", "",Tenth!C44)</f>
        <v/>
      </c>
      <c r="D2291" s="66" t="str">
        <f>IF(Tenth!D44="", "",Tenth!D44)</f>
        <v/>
      </c>
      <c r="E2291" s="66" t="str">
        <f>IF(Tenth!E44="", "",Tenth!E44)</f>
        <v/>
      </c>
      <c r="F2291" s="66" t="str">
        <f>IF(Tenth!F44="", "",Tenth!F44)</f>
        <v/>
      </c>
      <c r="G2291" s="66" t="str">
        <f>IF(Tenth!G44="", "",Tenth!G44)</f>
        <v/>
      </c>
      <c r="H2291" s="66" t="str">
        <f>IF(Tenth!H44="", "",Tenth!H44)</f>
        <v/>
      </c>
      <c r="I2291" s="66" t="str">
        <f>IF(Tenth!I44="", "",Tenth!I44)</f>
        <v/>
      </c>
      <c r="J2291" s="66" t="str">
        <f>IF(Tenth!J44="", "",Tenth!J44)</f>
        <v/>
      </c>
      <c r="K2291" s="86" t="str">
        <f>IF(Tenth!K44="", "",Tenth!K44)</f>
        <v/>
      </c>
      <c r="M2291" s="67" t="str">
        <f t="shared" si="107"/>
        <v/>
      </c>
      <c r="N2291" s="76" t="str">
        <f t="shared" si="108"/>
        <v/>
      </c>
      <c r="O2291" s="33">
        <f t="shared" si="106"/>
        <v>0</v>
      </c>
    </row>
    <row r="2292" spans="1:15" x14ac:dyDescent="0.25">
      <c r="A2292" s="64" t="s">
        <v>183</v>
      </c>
      <c r="B2292" s="79" t="str">
        <f>IF(Tenth!B45="", "",Tenth!B45)</f>
        <v/>
      </c>
      <c r="C2292" s="66" t="str">
        <f>IF(Tenth!C45="", "",Tenth!C45)</f>
        <v/>
      </c>
      <c r="D2292" s="66" t="str">
        <f>IF(Tenth!D45="", "",Tenth!D45)</f>
        <v/>
      </c>
      <c r="E2292" s="66" t="str">
        <f>IF(Tenth!E45="", "",Tenth!E45)</f>
        <v/>
      </c>
      <c r="F2292" s="66" t="str">
        <f>IF(Tenth!F45="", "",Tenth!F45)</f>
        <v/>
      </c>
      <c r="G2292" s="66" t="str">
        <f>IF(Tenth!G45="", "",Tenth!G45)</f>
        <v/>
      </c>
      <c r="H2292" s="66" t="str">
        <f>IF(Tenth!H45="", "",Tenth!H45)</f>
        <v/>
      </c>
      <c r="I2292" s="66" t="str">
        <f>IF(Tenth!I45="", "",Tenth!I45)</f>
        <v/>
      </c>
      <c r="J2292" s="66" t="str">
        <f>IF(Tenth!J45="", "",Tenth!J45)</f>
        <v/>
      </c>
      <c r="K2292" s="86" t="str">
        <f>IF(Tenth!K45="", "",Tenth!K45)</f>
        <v/>
      </c>
      <c r="M2292" s="67" t="str">
        <f t="shared" si="107"/>
        <v/>
      </c>
      <c r="N2292" s="76" t="str">
        <f t="shared" si="108"/>
        <v/>
      </c>
      <c r="O2292" s="33">
        <f t="shared" si="106"/>
        <v>0</v>
      </c>
    </row>
    <row r="2293" spans="1:15" x14ac:dyDescent="0.25">
      <c r="A2293" s="64" t="s">
        <v>183</v>
      </c>
      <c r="B2293" s="79" t="str">
        <f>IF(Tenth!B46="", "",Tenth!B46)</f>
        <v/>
      </c>
      <c r="C2293" s="66" t="str">
        <f>IF(Tenth!C46="", "",Tenth!C46)</f>
        <v/>
      </c>
      <c r="D2293" s="66" t="str">
        <f>IF(Tenth!D46="", "",Tenth!D46)</f>
        <v/>
      </c>
      <c r="E2293" s="66" t="str">
        <f>IF(Tenth!E46="", "",Tenth!E46)</f>
        <v/>
      </c>
      <c r="F2293" s="66" t="str">
        <f>IF(Tenth!F46="", "",Tenth!F46)</f>
        <v/>
      </c>
      <c r="G2293" s="66" t="str">
        <f>IF(Tenth!G46="", "",Tenth!G46)</f>
        <v/>
      </c>
      <c r="H2293" s="66" t="str">
        <f>IF(Tenth!H46="", "",Tenth!H46)</f>
        <v/>
      </c>
      <c r="I2293" s="66" t="str">
        <f>IF(Tenth!I46="", "",Tenth!I46)</f>
        <v/>
      </c>
      <c r="J2293" s="66" t="str">
        <f>IF(Tenth!J46="", "",Tenth!J46)</f>
        <v/>
      </c>
      <c r="K2293" s="86" t="str">
        <f>IF(Tenth!K46="", "",Tenth!K46)</f>
        <v/>
      </c>
      <c r="M2293" s="67" t="str">
        <f t="shared" si="107"/>
        <v/>
      </c>
      <c r="N2293" s="76" t="str">
        <f t="shared" si="108"/>
        <v/>
      </c>
      <c r="O2293" s="33">
        <f t="shared" si="106"/>
        <v>0</v>
      </c>
    </row>
    <row r="2294" spans="1:15" x14ac:dyDescent="0.25">
      <c r="A2294" s="64" t="s">
        <v>183</v>
      </c>
      <c r="B2294" s="79" t="str">
        <f>IF(Tenth!B47="", "",Tenth!B47)</f>
        <v/>
      </c>
      <c r="C2294" s="66" t="str">
        <f>IF(Tenth!C47="", "",Tenth!C47)</f>
        <v/>
      </c>
      <c r="D2294" s="66" t="str">
        <f>IF(Tenth!D47="", "",Tenth!D47)</f>
        <v/>
      </c>
      <c r="E2294" s="66" t="str">
        <f>IF(Tenth!E47="", "",Tenth!E47)</f>
        <v/>
      </c>
      <c r="F2294" s="66" t="str">
        <f>IF(Tenth!F47="", "",Tenth!F47)</f>
        <v/>
      </c>
      <c r="G2294" s="66" t="str">
        <f>IF(Tenth!G47="", "",Tenth!G47)</f>
        <v/>
      </c>
      <c r="H2294" s="66" t="str">
        <f>IF(Tenth!H47="", "",Tenth!H47)</f>
        <v/>
      </c>
      <c r="I2294" s="66" t="str">
        <f>IF(Tenth!I47="", "",Tenth!I47)</f>
        <v/>
      </c>
      <c r="J2294" s="66" t="str">
        <f>IF(Tenth!J47="", "",Tenth!J47)</f>
        <v/>
      </c>
      <c r="K2294" s="86" t="str">
        <f>IF(Tenth!K47="", "",Tenth!K47)</f>
        <v/>
      </c>
      <c r="M2294" s="67" t="str">
        <f t="shared" si="107"/>
        <v/>
      </c>
      <c r="N2294" s="76" t="str">
        <f t="shared" si="108"/>
        <v/>
      </c>
      <c r="O2294" s="33">
        <f t="shared" si="106"/>
        <v>0</v>
      </c>
    </row>
    <row r="2295" spans="1:15" x14ac:dyDescent="0.25">
      <c r="A2295" s="64" t="s">
        <v>183</v>
      </c>
      <c r="B2295" s="79" t="str">
        <f>IF(Tenth!B48="", "",Tenth!B48)</f>
        <v/>
      </c>
      <c r="C2295" s="66" t="str">
        <f>IF(Tenth!C48="", "",Tenth!C48)</f>
        <v/>
      </c>
      <c r="D2295" s="66" t="str">
        <f>IF(Tenth!D48="", "",Tenth!D48)</f>
        <v/>
      </c>
      <c r="E2295" s="66" t="str">
        <f>IF(Tenth!E48="", "",Tenth!E48)</f>
        <v/>
      </c>
      <c r="F2295" s="66" t="str">
        <f>IF(Tenth!F48="", "",Tenth!F48)</f>
        <v/>
      </c>
      <c r="G2295" s="66" t="str">
        <f>IF(Tenth!G48="", "",Tenth!G48)</f>
        <v/>
      </c>
      <c r="H2295" s="66" t="str">
        <f>IF(Tenth!H48="", "",Tenth!H48)</f>
        <v/>
      </c>
      <c r="I2295" s="66" t="str">
        <f>IF(Tenth!I48="", "",Tenth!I48)</f>
        <v/>
      </c>
      <c r="J2295" s="66" t="str">
        <f>IF(Tenth!J48="", "",Tenth!J48)</f>
        <v/>
      </c>
      <c r="K2295" s="86" t="str">
        <f>IF(Tenth!K48="", "",Tenth!K48)</f>
        <v/>
      </c>
      <c r="M2295" s="67" t="str">
        <f t="shared" si="107"/>
        <v/>
      </c>
      <c r="N2295" s="76" t="str">
        <f t="shared" si="108"/>
        <v/>
      </c>
      <c r="O2295" s="33">
        <f t="shared" si="106"/>
        <v>0</v>
      </c>
    </row>
    <row r="2296" spans="1:15" x14ac:dyDescent="0.25">
      <c r="A2296" s="64" t="s">
        <v>183</v>
      </c>
      <c r="B2296" s="79" t="str">
        <f>IF(Tenth!B49="", "",Tenth!B49)</f>
        <v/>
      </c>
      <c r="C2296" s="66" t="str">
        <f>IF(Tenth!C49="", "",Tenth!C49)</f>
        <v/>
      </c>
      <c r="D2296" s="66" t="str">
        <f>IF(Tenth!D49="", "",Tenth!D49)</f>
        <v/>
      </c>
      <c r="E2296" s="66" t="str">
        <f>IF(Tenth!E49="", "",Tenth!E49)</f>
        <v/>
      </c>
      <c r="F2296" s="66" t="str">
        <f>IF(Tenth!F49="", "",Tenth!F49)</f>
        <v/>
      </c>
      <c r="G2296" s="66" t="str">
        <f>IF(Tenth!G49="", "",Tenth!G49)</f>
        <v/>
      </c>
      <c r="H2296" s="66" t="str">
        <f>IF(Tenth!H49="", "",Tenth!H49)</f>
        <v/>
      </c>
      <c r="I2296" s="66" t="str">
        <f>IF(Tenth!I49="", "",Tenth!I49)</f>
        <v/>
      </c>
      <c r="J2296" s="66" t="str">
        <f>IF(Tenth!J49="", "",Tenth!J49)</f>
        <v/>
      </c>
      <c r="K2296" s="86" t="str">
        <f>IF(Tenth!K49="", "",Tenth!K49)</f>
        <v/>
      </c>
      <c r="M2296" s="67" t="str">
        <f t="shared" si="107"/>
        <v/>
      </c>
      <c r="N2296" s="76" t="str">
        <f t="shared" si="108"/>
        <v/>
      </c>
      <c r="O2296" s="33">
        <f t="shared" si="106"/>
        <v>0</v>
      </c>
    </row>
    <row r="2297" spans="1:15" x14ac:dyDescent="0.25">
      <c r="A2297" s="64" t="s">
        <v>183</v>
      </c>
      <c r="B2297" s="79" t="str">
        <f>IF(Tenth!B50="", "",Tenth!B50)</f>
        <v/>
      </c>
      <c r="C2297" s="66" t="str">
        <f>IF(Tenth!C50="", "",Tenth!C50)</f>
        <v/>
      </c>
      <c r="D2297" s="66" t="str">
        <f>IF(Tenth!D50="", "",Tenth!D50)</f>
        <v/>
      </c>
      <c r="E2297" s="66" t="str">
        <f>IF(Tenth!E50="", "",Tenth!E50)</f>
        <v/>
      </c>
      <c r="F2297" s="66" t="str">
        <f>IF(Tenth!F50="", "",Tenth!F50)</f>
        <v/>
      </c>
      <c r="G2297" s="66" t="str">
        <f>IF(Tenth!G50="", "",Tenth!G50)</f>
        <v/>
      </c>
      <c r="H2297" s="66" t="str">
        <f>IF(Tenth!H50="", "",Tenth!H50)</f>
        <v/>
      </c>
      <c r="I2297" s="66" t="str">
        <f>IF(Tenth!I50="", "",Tenth!I50)</f>
        <v/>
      </c>
      <c r="J2297" s="66" t="str">
        <f>IF(Tenth!J50="", "",Tenth!J50)</f>
        <v/>
      </c>
      <c r="K2297" s="86" t="str">
        <f>IF(Tenth!K50="", "",Tenth!K50)</f>
        <v/>
      </c>
      <c r="M2297" s="67" t="str">
        <f t="shared" si="107"/>
        <v/>
      </c>
      <c r="N2297" s="76" t="str">
        <f t="shared" si="108"/>
        <v/>
      </c>
      <c r="O2297" s="33">
        <f t="shared" si="106"/>
        <v>0</v>
      </c>
    </row>
    <row r="2298" spans="1:15" x14ac:dyDescent="0.25">
      <c r="A2298" s="64" t="s">
        <v>183</v>
      </c>
      <c r="B2298" s="79" t="str">
        <f>IF(Tenth!B51="", "",Tenth!B51)</f>
        <v/>
      </c>
      <c r="C2298" s="66" t="str">
        <f>IF(Tenth!C51="", "",Tenth!C51)</f>
        <v/>
      </c>
      <c r="D2298" s="66" t="str">
        <f>IF(Tenth!D51="", "",Tenth!D51)</f>
        <v/>
      </c>
      <c r="E2298" s="66" t="str">
        <f>IF(Tenth!E51="", "",Tenth!E51)</f>
        <v/>
      </c>
      <c r="F2298" s="66" t="str">
        <f>IF(Tenth!F51="", "",Tenth!F51)</f>
        <v/>
      </c>
      <c r="G2298" s="66" t="str">
        <f>IF(Tenth!G51="", "",Tenth!G51)</f>
        <v/>
      </c>
      <c r="H2298" s="66" t="str">
        <f>IF(Tenth!H51="", "",Tenth!H51)</f>
        <v/>
      </c>
      <c r="I2298" s="66" t="str">
        <f>IF(Tenth!I51="", "",Tenth!I51)</f>
        <v/>
      </c>
      <c r="J2298" s="66" t="str">
        <f>IF(Tenth!J51="", "",Tenth!J51)</f>
        <v/>
      </c>
      <c r="K2298" s="86" t="str">
        <f>IF(Tenth!K51="", "",Tenth!K51)</f>
        <v/>
      </c>
      <c r="M2298" s="67" t="str">
        <f t="shared" si="107"/>
        <v/>
      </c>
      <c r="N2298" s="76" t="str">
        <f t="shared" si="108"/>
        <v/>
      </c>
      <c r="O2298" s="33">
        <f t="shared" si="106"/>
        <v>0</v>
      </c>
    </row>
    <row r="2299" spans="1:15" x14ac:dyDescent="0.25">
      <c r="A2299" s="64" t="s">
        <v>183</v>
      </c>
      <c r="B2299" s="79" t="str">
        <f>IF(Tenth!B52="", "",Tenth!B52)</f>
        <v/>
      </c>
      <c r="C2299" s="66" t="str">
        <f>IF(Tenth!C52="", "",Tenth!C52)</f>
        <v/>
      </c>
      <c r="D2299" s="66" t="str">
        <f>IF(Tenth!D52="", "",Tenth!D52)</f>
        <v/>
      </c>
      <c r="E2299" s="66" t="str">
        <f>IF(Tenth!E52="", "",Tenth!E52)</f>
        <v/>
      </c>
      <c r="F2299" s="66" t="str">
        <f>IF(Tenth!F52="", "",Tenth!F52)</f>
        <v/>
      </c>
      <c r="G2299" s="66" t="str">
        <f>IF(Tenth!G52="", "",Tenth!G52)</f>
        <v/>
      </c>
      <c r="H2299" s="66" t="str">
        <f>IF(Tenth!H52="", "",Tenth!H52)</f>
        <v/>
      </c>
      <c r="I2299" s="66" t="str">
        <f>IF(Tenth!I52="", "",Tenth!I52)</f>
        <v/>
      </c>
      <c r="J2299" s="66" t="str">
        <f>IF(Tenth!J52="", "",Tenth!J52)</f>
        <v/>
      </c>
      <c r="K2299" s="86" t="str">
        <f>IF(Tenth!K52="", "",Tenth!K52)</f>
        <v/>
      </c>
      <c r="M2299" s="67" t="str">
        <f t="shared" si="107"/>
        <v/>
      </c>
      <c r="N2299" s="76" t="str">
        <f t="shared" si="108"/>
        <v/>
      </c>
      <c r="O2299" s="33">
        <f t="shared" si="106"/>
        <v>0</v>
      </c>
    </row>
    <row r="2300" spans="1:15" x14ac:dyDescent="0.25">
      <c r="A2300" s="64" t="s">
        <v>183</v>
      </c>
      <c r="B2300" s="79" t="str">
        <f>IF(Tenth!B53="", "",Tenth!B53)</f>
        <v/>
      </c>
      <c r="C2300" s="66" t="str">
        <f>IF(Tenth!C53="", "",Tenth!C53)</f>
        <v/>
      </c>
      <c r="D2300" s="66" t="str">
        <f>IF(Tenth!D53="", "",Tenth!D53)</f>
        <v/>
      </c>
      <c r="E2300" s="66" t="str">
        <f>IF(Tenth!E53="", "",Tenth!E53)</f>
        <v/>
      </c>
      <c r="F2300" s="66" t="str">
        <f>IF(Tenth!F53="", "",Tenth!F53)</f>
        <v/>
      </c>
      <c r="G2300" s="66" t="str">
        <f>IF(Tenth!G53="", "",Tenth!G53)</f>
        <v/>
      </c>
      <c r="H2300" s="66" t="str">
        <f>IF(Tenth!H53="", "",Tenth!H53)</f>
        <v/>
      </c>
      <c r="I2300" s="66" t="str">
        <f>IF(Tenth!I53="", "",Tenth!I53)</f>
        <v/>
      </c>
      <c r="J2300" s="66" t="str">
        <f>IF(Tenth!J53="", "",Tenth!J53)</f>
        <v/>
      </c>
      <c r="K2300" s="86" t="str">
        <f>IF(Tenth!K53="", "",Tenth!K53)</f>
        <v/>
      </c>
      <c r="M2300" s="67" t="str">
        <f t="shared" si="107"/>
        <v/>
      </c>
      <c r="N2300" s="76" t="str">
        <f t="shared" si="108"/>
        <v/>
      </c>
      <c r="O2300" s="33">
        <f t="shared" si="106"/>
        <v>0</v>
      </c>
    </row>
    <row r="2301" spans="1:15" x14ac:dyDescent="0.25">
      <c r="A2301" s="64" t="s">
        <v>183</v>
      </c>
      <c r="B2301" s="79" t="str">
        <f>IF(Tenth!B54="", "",Tenth!B54)</f>
        <v/>
      </c>
      <c r="C2301" s="66" t="str">
        <f>IF(Tenth!C54="", "",Tenth!C54)</f>
        <v/>
      </c>
      <c r="D2301" s="66" t="str">
        <f>IF(Tenth!D54="", "",Tenth!D54)</f>
        <v/>
      </c>
      <c r="E2301" s="66" t="str">
        <f>IF(Tenth!E54="", "",Tenth!E54)</f>
        <v/>
      </c>
      <c r="F2301" s="66" t="str">
        <f>IF(Tenth!F54="", "",Tenth!F54)</f>
        <v/>
      </c>
      <c r="G2301" s="66" t="str">
        <f>IF(Tenth!G54="", "",Tenth!G54)</f>
        <v/>
      </c>
      <c r="H2301" s="66" t="str">
        <f>IF(Tenth!H54="", "",Tenth!H54)</f>
        <v/>
      </c>
      <c r="I2301" s="66" t="str">
        <f>IF(Tenth!I54="", "",Tenth!I54)</f>
        <v/>
      </c>
      <c r="J2301" s="66" t="str">
        <f>IF(Tenth!J54="", "",Tenth!J54)</f>
        <v/>
      </c>
      <c r="K2301" s="86" t="str">
        <f>IF(Tenth!K54="", "",Tenth!K54)</f>
        <v/>
      </c>
      <c r="M2301" s="67" t="str">
        <f t="shared" si="107"/>
        <v/>
      </c>
      <c r="N2301" s="76" t="str">
        <f t="shared" si="108"/>
        <v/>
      </c>
      <c r="O2301" s="33">
        <f t="shared" si="106"/>
        <v>0</v>
      </c>
    </row>
    <row r="2302" spans="1:15" x14ac:dyDescent="0.25">
      <c r="A2302" s="64" t="s">
        <v>183</v>
      </c>
      <c r="B2302" s="79" t="str">
        <f>IF(Tenth!B55="", "",Tenth!B55)</f>
        <v/>
      </c>
      <c r="C2302" s="66" t="str">
        <f>IF(Tenth!C55="", "",Tenth!C55)</f>
        <v/>
      </c>
      <c r="D2302" s="66" t="str">
        <f>IF(Tenth!D55="", "",Tenth!D55)</f>
        <v/>
      </c>
      <c r="E2302" s="66" t="str">
        <f>IF(Tenth!E55="", "",Tenth!E55)</f>
        <v/>
      </c>
      <c r="F2302" s="66" t="str">
        <f>IF(Tenth!F55="", "",Tenth!F55)</f>
        <v/>
      </c>
      <c r="G2302" s="66" t="str">
        <f>IF(Tenth!G55="", "",Tenth!G55)</f>
        <v/>
      </c>
      <c r="H2302" s="66" t="str">
        <f>IF(Tenth!H55="", "",Tenth!H55)</f>
        <v/>
      </c>
      <c r="I2302" s="66" t="str">
        <f>IF(Tenth!I55="", "",Tenth!I55)</f>
        <v/>
      </c>
      <c r="J2302" s="66" t="str">
        <f>IF(Tenth!J55="", "",Tenth!J55)</f>
        <v/>
      </c>
      <c r="K2302" s="86" t="str">
        <f>IF(Tenth!K55="", "",Tenth!K55)</f>
        <v/>
      </c>
      <c r="M2302" s="67" t="str">
        <f t="shared" si="107"/>
        <v/>
      </c>
      <c r="N2302" s="76" t="str">
        <f t="shared" si="108"/>
        <v/>
      </c>
      <c r="O2302" s="33">
        <f t="shared" si="106"/>
        <v>0</v>
      </c>
    </row>
    <row r="2303" spans="1:15" x14ac:dyDescent="0.25">
      <c r="A2303" s="64" t="s">
        <v>183</v>
      </c>
      <c r="B2303" s="79" t="str">
        <f>IF(Tenth!B56="", "",Tenth!B56)</f>
        <v/>
      </c>
      <c r="C2303" s="66" t="str">
        <f>IF(Tenth!C56="", "",Tenth!C56)</f>
        <v/>
      </c>
      <c r="D2303" s="66" t="str">
        <f>IF(Tenth!D56="", "",Tenth!D56)</f>
        <v/>
      </c>
      <c r="E2303" s="66" t="str">
        <f>IF(Tenth!E56="", "",Tenth!E56)</f>
        <v/>
      </c>
      <c r="F2303" s="66" t="str">
        <f>IF(Tenth!F56="", "",Tenth!F56)</f>
        <v/>
      </c>
      <c r="G2303" s="66" t="str">
        <f>IF(Tenth!G56="", "",Tenth!G56)</f>
        <v/>
      </c>
      <c r="H2303" s="66" t="str">
        <f>IF(Tenth!H56="", "",Tenth!H56)</f>
        <v/>
      </c>
      <c r="I2303" s="66" t="str">
        <f>IF(Tenth!I56="", "",Tenth!I56)</f>
        <v/>
      </c>
      <c r="J2303" s="66" t="str">
        <f>IF(Tenth!J56="", "",Tenth!J56)</f>
        <v/>
      </c>
      <c r="K2303" s="86" t="str">
        <f>IF(Tenth!K56="", "",Tenth!K56)</f>
        <v/>
      </c>
      <c r="M2303" s="67" t="str">
        <f t="shared" si="107"/>
        <v/>
      </c>
      <c r="N2303" s="76" t="str">
        <f t="shared" si="108"/>
        <v/>
      </c>
      <c r="O2303" s="33">
        <f t="shared" si="106"/>
        <v>0</v>
      </c>
    </row>
    <row r="2304" spans="1:15" x14ac:dyDescent="0.25">
      <c r="A2304" s="64" t="s">
        <v>183</v>
      </c>
      <c r="B2304" s="79" t="str">
        <f>IF(Tenth!B57="", "",Tenth!B57)</f>
        <v/>
      </c>
      <c r="C2304" s="66" t="str">
        <f>IF(Tenth!C57="", "",Tenth!C57)</f>
        <v/>
      </c>
      <c r="D2304" s="66" t="str">
        <f>IF(Tenth!D57="", "",Tenth!D57)</f>
        <v/>
      </c>
      <c r="E2304" s="66" t="str">
        <f>IF(Tenth!E57="", "",Tenth!E57)</f>
        <v/>
      </c>
      <c r="F2304" s="66" t="str">
        <f>IF(Tenth!F57="", "",Tenth!F57)</f>
        <v/>
      </c>
      <c r="G2304" s="66" t="str">
        <f>IF(Tenth!G57="", "",Tenth!G57)</f>
        <v/>
      </c>
      <c r="H2304" s="66" t="str">
        <f>IF(Tenth!H57="", "",Tenth!H57)</f>
        <v/>
      </c>
      <c r="I2304" s="66" t="str">
        <f>IF(Tenth!I57="", "",Tenth!I57)</f>
        <v/>
      </c>
      <c r="J2304" s="66" t="str">
        <f>IF(Tenth!J57="", "",Tenth!J57)</f>
        <v/>
      </c>
      <c r="K2304" s="86" t="str">
        <f>IF(Tenth!K57="", "",Tenth!K57)</f>
        <v/>
      </c>
      <c r="M2304" s="67" t="str">
        <f t="shared" si="107"/>
        <v/>
      </c>
      <c r="N2304" s="76" t="str">
        <f t="shared" si="108"/>
        <v/>
      </c>
      <c r="O2304" s="33">
        <f t="shared" si="106"/>
        <v>0</v>
      </c>
    </row>
    <row r="2305" spans="1:15" x14ac:dyDescent="0.25">
      <c r="A2305" s="64" t="s">
        <v>183</v>
      </c>
      <c r="B2305" s="79" t="str">
        <f>IF(Tenth!B58="", "",Tenth!B58)</f>
        <v/>
      </c>
      <c r="C2305" s="66" t="str">
        <f>IF(Tenth!C58="", "",Tenth!C58)</f>
        <v/>
      </c>
      <c r="D2305" s="66" t="str">
        <f>IF(Tenth!D58="", "",Tenth!D58)</f>
        <v/>
      </c>
      <c r="E2305" s="66" t="str">
        <f>IF(Tenth!E58="", "",Tenth!E58)</f>
        <v/>
      </c>
      <c r="F2305" s="66" t="str">
        <f>IF(Tenth!F58="", "",Tenth!F58)</f>
        <v/>
      </c>
      <c r="G2305" s="66" t="str">
        <f>IF(Tenth!G58="", "",Tenth!G58)</f>
        <v/>
      </c>
      <c r="H2305" s="66" t="str">
        <f>IF(Tenth!H58="", "",Tenth!H58)</f>
        <v/>
      </c>
      <c r="I2305" s="66" t="str">
        <f>IF(Tenth!I58="", "",Tenth!I58)</f>
        <v/>
      </c>
      <c r="J2305" s="66" t="str">
        <f>IF(Tenth!J58="", "",Tenth!J58)</f>
        <v/>
      </c>
      <c r="K2305" s="86" t="str">
        <f>IF(Tenth!K58="", "",Tenth!K58)</f>
        <v/>
      </c>
      <c r="M2305" s="67" t="str">
        <f t="shared" si="107"/>
        <v/>
      </c>
      <c r="N2305" s="76" t="str">
        <f t="shared" si="108"/>
        <v/>
      </c>
      <c r="O2305" s="33">
        <f t="shared" si="106"/>
        <v>0</v>
      </c>
    </row>
    <row r="2306" spans="1:15" x14ac:dyDescent="0.25">
      <c r="A2306" s="64" t="s">
        <v>183</v>
      </c>
      <c r="B2306" s="79" t="str">
        <f>IF(Tenth!B59="", "",Tenth!B59)</f>
        <v/>
      </c>
      <c r="C2306" s="66" t="str">
        <f>IF(Tenth!C59="", "",Tenth!C59)</f>
        <v/>
      </c>
      <c r="D2306" s="66" t="str">
        <f>IF(Tenth!D59="", "",Tenth!D59)</f>
        <v/>
      </c>
      <c r="E2306" s="66" t="str">
        <f>IF(Tenth!E59="", "",Tenth!E59)</f>
        <v/>
      </c>
      <c r="F2306" s="66" t="str">
        <f>IF(Tenth!F59="", "",Tenth!F59)</f>
        <v/>
      </c>
      <c r="G2306" s="66" t="str">
        <f>IF(Tenth!G59="", "",Tenth!G59)</f>
        <v/>
      </c>
      <c r="H2306" s="66" t="str">
        <f>IF(Tenth!H59="", "",Tenth!H59)</f>
        <v/>
      </c>
      <c r="I2306" s="66" t="str">
        <f>IF(Tenth!I59="", "",Tenth!I59)</f>
        <v/>
      </c>
      <c r="J2306" s="66" t="str">
        <f>IF(Tenth!J59="", "",Tenth!J59)</f>
        <v/>
      </c>
      <c r="K2306" s="86" t="str">
        <f>IF(Tenth!K59="", "",Tenth!K59)</f>
        <v/>
      </c>
      <c r="M2306" s="67" t="str">
        <f t="shared" si="107"/>
        <v/>
      </c>
      <c r="N2306" s="76" t="str">
        <f t="shared" si="108"/>
        <v/>
      </c>
      <c r="O2306" s="33">
        <f t="shared" ref="O2306:O2369" si="109">SUM(M2306:N2306)</f>
        <v>0</v>
      </c>
    </row>
    <row r="2307" spans="1:15" x14ac:dyDescent="0.25">
      <c r="A2307" s="64" t="s">
        <v>183</v>
      </c>
      <c r="B2307" s="79" t="str">
        <f>IF(Tenth!B60="", "",Tenth!B60)</f>
        <v/>
      </c>
      <c r="C2307" s="66" t="str">
        <f>IF(Tenth!C60="", "",Tenth!C60)</f>
        <v/>
      </c>
      <c r="D2307" s="66" t="str">
        <f>IF(Tenth!D60="", "",Tenth!D60)</f>
        <v/>
      </c>
      <c r="E2307" s="66" t="str">
        <f>IF(Tenth!E60="", "",Tenth!E60)</f>
        <v/>
      </c>
      <c r="F2307" s="66" t="str">
        <f>IF(Tenth!F60="", "",Tenth!F60)</f>
        <v/>
      </c>
      <c r="G2307" s="66" t="str">
        <f>IF(Tenth!G60="", "",Tenth!G60)</f>
        <v/>
      </c>
      <c r="H2307" s="66" t="str">
        <f>IF(Tenth!H60="", "",Tenth!H60)</f>
        <v/>
      </c>
      <c r="I2307" s="66" t="str">
        <f>IF(Tenth!I60="", "",Tenth!I60)</f>
        <v/>
      </c>
      <c r="J2307" s="66" t="str">
        <f>IF(Tenth!J60="", "",Tenth!J60)</f>
        <v/>
      </c>
      <c r="K2307" s="86" t="str">
        <f>IF(Tenth!K60="", "",Tenth!K60)</f>
        <v/>
      </c>
      <c r="M2307" s="67" t="str">
        <f t="shared" ref="M2307:M2370" si="110">IF(C2307="PwC",(7-COUNTIF(B2307:H2307,"")),"")</f>
        <v/>
      </c>
      <c r="N2307" s="76" t="str">
        <f t="shared" ref="N2307:N2370" si="111">IF(C2307="Carer",(7-COUNTIF(B2307:H2307,"")),"")</f>
        <v/>
      </c>
      <c r="O2307" s="33">
        <f t="shared" si="109"/>
        <v>0</v>
      </c>
    </row>
    <row r="2308" spans="1:15" x14ac:dyDescent="0.25">
      <c r="A2308" s="64" t="s">
        <v>183</v>
      </c>
      <c r="B2308" s="79" t="str">
        <f>IF(Tenth!B61="", "",Tenth!B61)</f>
        <v/>
      </c>
      <c r="C2308" s="66" t="str">
        <f>IF(Tenth!C61="", "",Tenth!C61)</f>
        <v/>
      </c>
      <c r="D2308" s="66" t="str">
        <f>IF(Tenth!D61="", "",Tenth!D61)</f>
        <v/>
      </c>
      <c r="E2308" s="66" t="str">
        <f>IF(Tenth!E61="", "",Tenth!E61)</f>
        <v/>
      </c>
      <c r="F2308" s="66" t="str">
        <f>IF(Tenth!F61="", "",Tenth!F61)</f>
        <v/>
      </c>
      <c r="G2308" s="66" t="str">
        <f>IF(Tenth!G61="", "",Tenth!G61)</f>
        <v/>
      </c>
      <c r="H2308" s="66" t="str">
        <f>IF(Tenth!H61="", "",Tenth!H61)</f>
        <v/>
      </c>
      <c r="I2308" s="66" t="str">
        <f>IF(Tenth!I61="", "",Tenth!I61)</f>
        <v/>
      </c>
      <c r="J2308" s="66" t="str">
        <f>IF(Tenth!J61="", "",Tenth!J61)</f>
        <v/>
      </c>
      <c r="K2308" s="86" t="str">
        <f>IF(Tenth!K61="", "",Tenth!K61)</f>
        <v/>
      </c>
      <c r="M2308" s="67" t="str">
        <f t="shared" si="110"/>
        <v/>
      </c>
      <c r="N2308" s="76" t="str">
        <f t="shared" si="111"/>
        <v/>
      </c>
      <c r="O2308" s="33">
        <f t="shared" si="109"/>
        <v>0</v>
      </c>
    </row>
    <row r="2309" spans="1:15" x14ac:dyDescent="0.25">
      <c r="A2309" s="64" t="s">
        <v>183</v>
      </c>
      <c r="B2309" s="79" t="str">
        <f>IF(Tenth!B62="", "",Tenth!B62)</f>
        <v/>
      </c>
      <c r="C2309" s="66" t="str">
        <f>IF(Tenth!C62="", "",Tenth!C62)</f>
        <v/>
      </c>
      <c r="D2309" s="66" t="str">
        <f>IF(Tenth!D62="", "",Tenth!D62)</f>
        <v/>
      </c>
      <c r="E2309" s="66" t="str">
        <f>IF(Tenth!E62="", "",Tenth!E62)</f>
        <v/>
      </c>
      <c r="F2309" s="66" t="str">
        <f>IF(Tenth!F62="", "",Tenth!F62)</f>
        <v/>
      </c>
      <c r="G2309" s="66" t="str">
        <f>IF(Tenth!G62="", "",Tenth!G62)</f>
        <v/>
      </c>
      <c r="H2309" s="66" t="str">
        <f>IF(Tenth!H62="", "",Tenth!H62)</f>
        <v/>
      </c>
      <c r="I2309" s="66" t="str">
        <f>IF(Tenth!I62="", "",Tenth!I62)</f>
        <v/>
      </c>
      <c r="J2309" s="66" t="str">
        <f>IF(Tenth!J62="", "",Tenth!J62)</f>
        <v/>
      </c>
      <c r="K2309" s="86" t="str">
        <f>IF(Tenth!K62="", "",Tenth!K62)</f>
        <v/>
      </c>
      <c r="M2309" s="67" t="str">
        <f t="shared" si="110"/>
        <v/>
      </c>
      <c r="N2309" s="76" t="str">
        <f t="shared" si="111"/>
        <v/>
      </c>
      <c r="O2309" s="33">
        <f t="shared" si="109"/>
        <v>0</v>
      </c>
    </row>
    <row r="2310" spans="1:15" x14ac:dyDescent="0.25">
      <c r="A2310" s="64" t="s">
        <v>183</v>
      </c>
      <c r="B2310" s="79" t="str">
        <f>IF(Tenth!B63="", "",Tenth!B63)</f>
        <v/>
      </c>
      <c r="C2310" s="66" t="str">
        <f>IF(Tenth!C63="", "",Tenth!C63)</f>
        <v/>
      </c>
      <c r="D2310" s="66" t="str">
        <f>IF(Tenth!D63="", "",Tenth!D63)</f>
        <v/>
      </c>
      <c r="E2310" s="66" t="str">
        <f>IF(Tenth!E63="", "",Tenth!E63)</f>
        <v/>
      </c>
      <c r="F2310" s="66" t="str">
        <f>IF(Tenth!F63="", "",Tenth!F63)</f>
        <v/>
      </c>
      <c r="G2310" s="66" t="str">
        <f>IF(Tenth!G63="", "",Tenth!G63)</f>
        <v/>
      </c>
      <c r="H2310" s="66" t="str">
        <f>IF(Tenth!H63="", "",Tenth!H63)</f>
        <v/>
      </c>
      <c r="I2310" s="66" t="str">
        <f>IF(Tenth!I63="", "",Tenth!I63)</f>
        <v/>
      </c>
      <c r="J2310" s="66" t="str">
        <f>IF(Tenth!J63="", "",Tenth!J63)</f>
        <v/>
      </c>
      <c r="K2310" s="86" t="str">
        <f>IF(Tenth!K63="", "",Tenth!K63)</f>
        <v/>
      </c>
      <c r="M2310" s="67" t="str">
        <f t="shared" si="110"/>
        <v/>
      </c>
      <c r="N2310" s="76" t="str">
        <f t="shared" si="111"/>
        <v/>
      </c>
      <c r="O2310" s="33">
        <f t="shared" si="109"/>
        <v>0</v>
      </c>
    </row>
    <row r="2311" spans="1:15" x14ac:dyDescent="0.25">
      <c r="A2311" s="64" t="s">
        <v>183</v>
      </c>
      <c r="B2311" s="79" t="str">
        <f>IF(Tenth!B64="", "",Tenth!B64)</f>
        <v/>
      </c>
      <c r="C2311" s="66" t="str">
        <f>IF(Tenth!C64="", "",Tenth!C64)</f>
        <v/>
      </c>
      <c r="D2311" s="66" t="str">
        <f>IF(Tenth!D64="", "",Tenth!D64)</f>
        <v/>
      </c>
      <c r="E2311" s="66" t="str">
        <f>IF(Tenth!E64="", "",Tenth!E64)</f>
        <v/>
      </c>
      <c r="F2311" s="66" t="str">
        <f>IF(Tenth!F64="", "",Tenth!F64)</f>
        <v/>
      </c>
      <c r="G2311" s="66" t="str">
        <f>IF(Tenth!G64="", "",Tenth!G64)</f>
        <v/>
      </c>
      <c r="H2311" s="66" t="str">
        <f>IF(Tenth!H64="", "",Tenth!H64)</f>
        <v/>
      </c>
      <c r="I2311" s="66" t="str">
        <f>IF(Tenth!I64="", "",Tenth!I64)</f>
        <v/>
      </c>
      <c r="J2311" s="66" t="str">
        <f>IF(Tenth!J64="", "",Tenth!J64)</f>
        <v/>
      </c>
      <c r="K2311" s="86" t="str">
        <f>IF(Tenth!K64="", "",Tenth!K64)</f>
        <v/>
      </c>
      <c r="M2311" s="67" t="str">
        <f t="shared" si="110"/>
        <v/>
      </c>
      <c r="N2311" s="76" t="str">
        <f t="shared" si="111"/>
        <v/>
      </c>
      <c r="O2311" s="33">
        <f t="shared" si="109"/>
        <v>0</v>
      </c>
    </row>
    <row r="2312" spans="1:15" x14ac:dyDescent="0.25">
      <c r="A2312" s="64" t="s">
        <v>183</v>
      </c>
      <c r="B2312" s="79" t="str">
        <f>IF(Tenth!B65="", "",Tenth!B65)</f>
        <v/>
      </c>
      <c r="C2312" s="66" t="str">
        <f>IF(Tenth!C65="", "",Tenth!C65)</f>
        <v/>
      </c>
      <c r="D2312" s="66" t="str">
        <f>IF(Tenth!D65="", "",Tenth!D65)</f>
        <v/>
      </c>
      <c r="E2312" s="66" t="str">
        <f>IF(Tenth!E65="", "",Tenth!E65)</f>
        <v/>
      </c>
      <c r="F2312" s="66" t="str">
        <f>IF(Tenth!F65="", "",Tenth!F65)</f>
        <v/>
      </c>
      <c r="G2312" s="66" t="str">
        <f>IF(Tenth!G65="", "",Tenth!G65)</f>
        <v/>
      </c>
      <c r="H2312" s="66" t="str">
        <f>IF(Tenth!H65="", "",Tenth!H65)</f>
        <v/>
      </c>
      <c r="I2312" s="66" t="str">
        <f>IF(Tenth!I65="", "",Tenth!I65)</f>
        <v/>
      </c>
      <c r="J2312" s="66" t="str">
        <f>IF(Tenth!J65="", "",Tenth!J65)</f>
        <v/>
      </c>
      <c r="K2312" s="86" t="str">
        <f>IF(Tenth!K65="", "",Tenth!K65)</f>
        <v/>
      </c>
      <c r="M2312" s="67" t="str">
        <f t="shared" si="110"/>
        <v/>
      </c>
      <c r="N2312" s="76" t="str">
        <f t="shared" si="111"/>
        <v/>
      </c>
      <c r="O2312" s="33">
        <f t="shared" si="109"/>
        <v>0</v>
      </c>
    </row>
    <row r="2313" spans="1:15" x14ac:dyDescent="0.25">
      <c r="A2313" s="64" t="s">
        <v>183</v>
      </c>
      <c r="B2313" s="79" t="str">
        <f>IF(Tenth!B66="", "",Tenth!B66)</f>
        <v/>
      </c>
      <c r="C2313" s="66" t="str">
        <f>IF(Tenth!C66="", "",Tenth!C66)</f>
        <v/>
      </c>
      <c r="D2313" s="66" t="str">
        <f>IF(Tenth!D66="", "",Tenth!D66)</f>
        <v/>
      </c>
      <c r="E2313" s="66" t="str">
        <f>IF(Tenth!E66="", "",Tenth!E66)</f>
        <v/>
      </c>
      <c r="F2313" s="66" t="str">
        <f>IF(Tenth!F66="", "",Tenth!F66)</f>
        <v/>
      </c>
      <c r="G2313" s="66" t="str">
        <f>IF(Tenth!G66="", "",Tenth!G66)</f>
        <v/>
      </c>
      <c r="H2313" s="66" t="str">
        <f>IF(Tenth!H66="", "",Tenth!H66)</f>
        <v/>
      </c>
      <c r="I2313" s="66" t="str">
        <f>IF(Tenth!I66="", "",Tenth!I66)</f>
        <v/>
      </c>
      <c r="J2313" s="66" t="str">
        <f>IF(Tenth!J66="", "",Tenth!J66)</f>
        <v/>
      </c>
      <c r="K2313" s="86" t="str">
        <f>IF(Tenth!K66="", "",Tenth!K66)</f>
        <v/>
      </c>
      <c r="M2313" s="67" t="str">
        <f t="shared" si="110"/>
        <v/>
      </c>
      <c r="N2313" s="76" t="str">
        <f t="shared" si="111"/>
        <v/>
      </c>
      <c r="O2313" s="33">
        <f t="shared" si="109"/>
        <v>0</v>
      </c>
    </row>
    <row r="2314" spans="1:15" x14ac:dyDescent="0.25">
      <c r="A2314" s="64" t="s">
        <v>183</v>
      </c>
      <c r="B2314" s="79" t="str">
        <f>IF(Tenth!B67="", "",Tenth!B67)</f>
        <v/>
      </c>
      <c r="C2314" s="66" t="str">
        <f>IF(Tenth!C67="", "",Tenth!C67)</f>
        <v/>
      </c>
      <c r="D2314" s="66" t="str">
        <f>IF(Tenth!D67="", "",Tenth!D67)</f>
        <v/>
      </c>
      <c r="E2314" s="66" t="str">
        <f>IF(Tenth!E67="", "",Tenth!E67)</f>
        <v/>
      </c>
      <c r="F2314" s="66" t="str">
        <f>IF(Tenth!F67="", "",Tenth!F67)</f>
        <v/>
      </c>
      <c r="G2314" s="66" t="str">
        <f>IF(Tenth!G67="", "",Tenth!G67)</f>
        <v/>
      </c>
      <c r="H2314" s="66" t="str">
        <f>IF(Tenth!H67="", "",Tenth!H67)</f>
        <v/>
      </c>
      <c r="I2314" s="66" t="str">
        <f>IF(Tenth!I67="", "",Tenth!I67)</f>
        <v/>
      </c>
      <c r="J2314" s="66" t="str">
        <f>IF(Tenth!J67="", "",Tenth!J67)</f>
        <v/>
      </c>
      <c r="K2314" s="86" t="str">
        <f>IF(Tenth!K67="", "",Tenth!K67)</f>
        <v/>
      </c>
      <c r="M2314" s="67" t="str">
        <f t="shared" si="110"/>
        <v/>
      </c>
      <c r="N2314" s="76" t="str">
        <f t="shared" si="111"/>
        <v/>
      </c>
      <c r="O2314" s="33">
        <f t="shared" si="109"/>
        <v>0</v>
      </c>
    </row>
    <row r="2315" spans="1:15" x14ac:dyDescent="0.25">
      <c r="A2315" s="64" t="s">
        <v>183</v>
      </c>
      <c r="B2315" s="79" t="str">
        <f>IF(Tenth!B68="", "",Tenth!B68)</f>
        <v/>
      </c>
      <c r="C2315" s="66" t="str">
        <f>IF(Tenth!C68="", "",Tenth!C68)</f>
        <v/>
      </c>
      <c r="D2315" s="66" t="str">
        <f>IF(Tenth!D68="", "",Tenth!D68)</f>
        <v/>
      </c>
      <c r="E2315" s="66" t="str">
        <f>IF(Tenth!E68="", "",Tenth!E68)</f>
        <v/>
      </c>
      <c r="F2315" s="66" t="str">
        <f>IF(Tenth!F68="", "",Tenth!F68)</f>
        <v/>
      </c>
      <c r="G2315" s="66" t="str">
        <f>IF(Tenth!G68="", "",Tenth!G68)</f>
        <v/>
      </c>
      <c r="H2315" s="66" t="str">
        <f>IF(Tenth!H68="", "",Tenth!H68)</f>
        <v/>
      </c>
      <c r="I2315" s="66" t="str">
        <f>IF(Tenth!I68="", "",Tenth!I68)</f>
        <v/>
      </c>
      <c r="J2315" s="66" t="str">
        <f>IF(Tenth!J68="", "",Tenth!J68)</f>
        <v/>
      </c>
      <c r="K2315" s="86" t="str">
        <f>IF(Tenth!K68="", "",Tenth!K68)</f>
        <v/>
      </c>
      <c r="M2315" s="67" t="str">
        <f t="shared" si="110"/>
        <v/>
      </c>
      <c r="N2315" s="76" t="str">
        <f t="shared" si="111"/>
        <v/>
      </c>
      <c r="O2315" s="33">
        <f t="shared" si="109"/>
        <v>0</v>
      </c>
    </row>
    <row r="2316" spans="1:15" x14ac:dyDescent="0.25">
      <c r="A2316" s="64" t="s">
        <v>183</v>
      </c>
      <c r="B2316" s="79" t="str">
        <f>IF(Tenth!B69="", "",Tenth!B69)</f>
        <v/>
      </c>
      <c r="C2316" s="66" t="str">
        <f>IF(Tenth!C69="", "",Tenth!C69)</f>
        <v/>
      </c>
      <c r="D2316" s="66" t="str">
        <f>IF(Tenth!D69="", "",Tenth!D69)</f>
        <v/>
      </c>
      <c r="E2316" s="66" t="str">
        <f>IF(Tenth!E69="", "",Tenth!E69)</f>
        <v/>
      </c>
      <c r="F2316" s="66" t="str">
        <f>IF(Tenth!F69="", "",Tenth!F69)</f>
        <v/>
      </c>
      <c r="G2316" s="66" t="str">
        <f>IF(Tenth!G69="", "",Tenth!G69)</f>
        <v/>
      </c>
      <c r="H2316" s="66" t="str">
        <f>IF(Tenth!H69="", "",Tenth!H69)</f>
        <v/>
      </c>
      <c r="I2316" s="66" t="str">
        <f>IF(Tenth!I69="", "",Tenth!I69)</f>
        <v/>
      </c>
      <c r="J2316" s="66" t="str">
        <f>IF(Tenth!J69="", "",Tenth!J69)</f>
        <v/>
      </c>
      <c r="K2316" s="86" t="str">
        <f>IF(Tenth!K69="", "",Tenth!K69)</f>
        <v/>
      </c>
      <c r="M2316" s="67" t="str">
        <f t="shared" si="110"/>
        <v/>
      </c>
      <c r="N2316" s="76" t="str">
        <f t="shared" si="111"/>
        <v/>
      </c>
      <c r="O2316" s="33">
        <f t="shared" si="109"/>
        <v>0</v>
      </c>
    </row>
    <row r="2317" spans="1:15" x14ac:dyDescent="0.25">
      <c r="A2317" s="64" t="s">
        <v>183</v>
      </c>
      <c r="B2317" s="79" t="str">
        <f>IF(Tenth!B70="", "",Tenth!B70)</f>
        <v/>
      </c>
      <c r="C2317" s="66" t="str">
        <f>IF(Tenth!C70="", "",Tenth!C70)</f>
        <v/>
      </c>
      <c r="D2317" s="66" t="str">
        <f>IF(Tenth!D70="", "",Tenth!D70)</f>
        <v/>
      </c>
      <c r="E2317" s="66" t="str">
        <f>IF(Tenth!E70="", "",Tenth!E70)</f>
        <v/>
      </c>
      <c r="F2317" s="66" t="str">
        <f>IF(Tenth!F70="", "",Tenth!F70)</f>
        <v/>
      </c>
      <c r="G2317" s="66" t="str">
        <f>IF(Tenth!G70="", "",Tenth!G70)</f>
        <v/>
      </c>
      <c r="H2317" s="66" t="str">
        <f>IF(Tenth!H70="", "",Tenth!H70)</f>
        <v/>
      </c>
      <c r="I2317" s="66" t="str">
        <f>IF(Tenth!I70="", "",Tenth!I70)</f>
        <v/>
      </c>
      <c r="J2317" s="66" t="str">
        <f>IF(Tenth!J70="", "",Tenth!J70)</f>
        <v/>
      </c>
      <c r="K2317" s="86" t="str">
        <f>IF(Tenth!K70="", "",Tenth!K70)</f>
        <v/>
      </c>
      <c r="M2317" s="67" t="str">
        <f t="shared" si="110"/>
        <v/>
      </c>
      <c r="N2317" s="76" t="str">
        <f t="shared" si="111"/>
        <v/>
      </c>
      <c r="O2317" s="33">
        <f t="shared" si="109"/>
        <v>0</v>
      </c>
    </row>
    <row r="2318" spans="1:15" x14ac:dyDescent="0.25">
      <c r="A2318" s="64" t="s">
        <v>183</v>
      </c>
      <c r="B2318" s="79" t="str">
        <f>IF(Tenth!B71="", "",Tenth!B71)</f>
        <v/>
      </c>
      <c r="C2318" s="66" t="str">
        <f>IF(Tenth!C71="", "",Tenth!C71)</f>
        <v/>
      </c>
      <c r="D2318" s="66" t="str">
        <f>IF(Tenth!D71="", "",Tenth!D71)</f>
        <v/>
      </c>
      <c r="E2318" s="66" t="str">
        <f>IF(Tenth!E71="", "",Tenth!E71)</f>
        <v/>
      </c>
      <c r="F2318" s="66" t="str">
        <f>IF(Tenth!F71="", "",Tenth!F71)</f>
        <v/>
      </c>
      <c r="G2318" s="66" t="str">
        <f>IF(Tenth!G71="", "",Tenth!G71)</f>
        <v/>
      </c>
      <c r="H2318" s="66" t="str">
        <f>IF(Tenth!H71="", "",Tenth!H71)</f>
        <v/>
      </c>
      <c r="I2318" s="66" t="str">
        <f>IF(Tenth!I71="", "",Tenth!I71)</f>
        <v/>
      </c>
      <c r="J2318" s="66" t="str">
        <f>IF(Tenth!J71="", "",Tenth!J71)</f>
        <v/>
      </c>
      <c r="K2318" s="86" t="str">
        <f>IF(Tenth!K71="", "",Tenth!K71)</f>
        <v/>
      </c>
      <c r="M2318" s="67" t="str">
        <f t="shared" si="110"/>
        <v/>
      </c>
      <c r="N2318" s="76" t="str">
        <f t="shared" si="111"/>
        <v/>
      </c>
      <c r="O2318" s="33">
        <f t="shared" si="109"/>
        <v>0</v>
      </c>
    </row>
    <row r="2319" spans="1:15" x14ac:dyDescent="0.25">
      <c r="A2319" s="64" t="s">
        <v>183</v>
      </c>
      <c r="B2319" s="79" t="str">
        <f>IF(Tenth!B72="", "",Tenth!B72)</f>
        <v/>
      </c>
      <c r="C2319" s="66" t="str">
        <f>IF(Tenth!C72="", "",Tenth!C72)</f>
        <v/>
      </c>
      <c r="D2319" s="66" t="str">
        <f>IF(Tenth!D72="", "",Tenth!D72)</f>
        <v/>
      </c>
      <c r="E2319" s="66" t="str">
        <f>IF(Tenth!E72="", "",Tenth!E72)</f>
        <v/>
      </c>
      <c r="F2319" s="66" t="str">
        <f>IF(Tenth!F72="", "",Tenth!F72)</f>
        <v/>
      </c>
      <c r="G2319" s="66" t="str">
        <f>IF(Tenth!G72="", "",Tenth!G72)</f>
        <v/>
      </c>
      <c r="H2319" s="66" t="str">
        <f>IF(Tenth!H72="", "",Tenth!H72)</f>
        <v/>
      </c>
      <c r="I2319" s="66" t="str">
        <f>IF(Tenth!I72="", "",Tenth!I72)</f>
        <v/>
      </c>
      <c r="J2319" s="66" t="str">
        <f>IF(Tenth!J72="", "",Tenth!J72)</f>
        <v/>
      </c>
      <c r="K2319" s="86" t="str">
        <f>IF(Tenth!K72="", "",Tenth!K72)</f>
        <v/>
      </c>
      <c r="M2319" s="67" t="str">
        <f t="shared" si="110"/>
        <v/>
      </c>
      <c r="N2319" s="76" t="str">
        <f t="shared" si="111"/>
        <v/>
      </c>
      <c r="O2319" s="33">
        <f t="shared" si="109"/>
        <v>0</v>
      </c>
    </row>
    <row r="2320" spans="1:15" x14ac:dyDescent="0.25">
      <c r="A2320" s="64" t="s">
        <v>183</v>
      </c>
      <c r="B2320" s="79" t="str">
        <f>IF(Tenth!B73="", "",Tenth!B73)</f>
        <v/>
      </c>
      <c r="C2320" s="66" t="str">
        <f>IF(Tenth!C73="", "",Tenth!C73)</f>
        <v/>
      </c>
      <c r="D2320" s="66" t="str">
        <f>IF(Tenth!D73="", "",Tenth!D73)</f>
        <v/>
      </c>
      <c r="E2320" s="66" t="str">
        <f>IF(Tenth!E73="", "",Tenth!E73)</f>
        <v/>
      </c>
      <c r="F2320" s="66" t="str">
        <f>IF(Tenth!F73="", "",Tenth!F73)</f>
        <v/>
      </c>
      <c r="G2320" s="66" t="str">
        <f>IF(Tenth!G73="", "",Tenth!G73)</f>
        <v/>
      </c>
      <c r="H2320" s="66" t="str">
        <f>IF(Tenth!H73="", "",Tenth!H73)</f>
        <v/>
      </c>
      <c r="I2320" s="66" t="str">
        <f>IF(Tenth!I73="", "",Tenth!I73)</f>
        <v/>
      </c>
      <c r="J2320" s="66" t="str">
        <f>IF(Tenth!J73="", "",Tenth!J73)</f>
        <v/>
      </c>
      <c r="K2320" s="86" t="str">
        <f>IF(Tenth!K73="", "",Tenth!K73)</f>
        <v/>
      </c>
      <c r="M2320" s="67" t="str">
        <f t="shared" si="110"/>
        <v/>
      </c>
      <c r="N2320" s="76" t="str">
        <f t="shared" si="111"/>
        <v/>
      </c>
      <c r="O2320" s="33">
        <f t="shared" si="109"/>
        <v>0</v>
      </c>
    </row>
    <row r="2321" spans="1:15" x14ac:dyDescent="0.25">
      <c r="A2321" s="64" t="s">
        <v>183</v>
      </c>
      <c r="B2321" s="79" t="str">
        <f>IF(Tenth!B74="", "",Tenth!B74)</f>
        <v/>
      </c>
      <c r="C2321" s="66" t="str">
        <f>IF(Tenth!C74="", "",Tenth!C74)</f>
        <v/>
      </c>
      <c r="D2321" s="66" t="str">
        <f>IF(Tenth!D74="", "",Tenth!D74)</f>
        <v/>
      </c>
      <c r="E2321" s="66" t="str">
        <f>IF(Tenth!E74="", "",Tenth!E74)</f>
        <v/>
      </c>
      <c r="F2321" s="66" t="str">
        <f>IF(Tenth!F74="", "",Tenth!F74)</f>
        <v/>
      </c>
      <c r="G2321" s="66" t="str">
        <f>IF(Tenth!G74="", "",Tenth!G74)</f>
        <v/>
      </c>
      <c r="H2321" s="66" t="str">
        <f>IF(Tenth!H74="", "",Tenth!H74)</f>
        <v/>
      </c>
      <c r="I2321" s="66" t="str">
        <f>IF(Tenth!I74="", "",Tenth!I74)</f>
        <v/>
      </c>
      <c r="J2321" s="66" t="str">
        <f>IF(Tenth!J74="", "",Tenth!J74)</f>
        <v/>
      </c>
      <c r="K2321" s="86" t="str">
        <f>IF(Tenth!K74="", "",Tenth!K74)</f>
        <v/>
      </c>
      <c r="M2321" s="67" t="str">
        <f t="shared" si="110"/>
        <v/>
      </c>
      <c r="N2321" s="76" t="str">
        <f t="shared" si="111"/>
        <v/>
      </c>
      <c r="O2321" s="33">
        <f t="shared" si="109"/>
        <v>0</v>
      </c>
    </row>
    <row r="2322" spans="1:15" x14ac:dyDescent="0.25">
      <c r="A2322" s="64" t="s">
        <v>183</v>
      </c>
      <c r="B2322" s="79" t="str">
        <f>IF(Tenth!B75="", "",Tenth!B75)</f>
        <v/>
      </c>
      <c r="C2322" s="66" t="str">
        <f>IF(Tenth!C75="", "",Tenth!C75)</f>
        <v/>
      </c>
      <c r="D2322" s="66" t="str">
        <f>IF(Tenth!D75="", "",Tenth!D75)</f>
        <v/>
      </c>
      <c r="E2322" s="66" t="str">
        <f>IF(Tenth!E75="", "",Tenth!E75)</f>
        <v/>
      </c>
      <c r="F2322" s="66" t="str">
        <f>IF(Tenth!F75="", "",Tenth!F75)</f>
        <v/>
      </c>
      <c r="G2322" s="66" t="str">
        <f>IF(Tenth!G75="", "",Tenth!G75)</f>
        <v/>
      </c>
      <c r="H2322" s="66" t="str">
        <f>IF(Tenth!H75="", "",Tenth!H75)</f>
        <v/>
      </c>
      <c r="I2322" s="66" t="str">
        <f>IF(Tenth!I75="", "",Tenth!I75)</f>
        <v/>
      </c>
      <c r="J2322" s="66" t="str">
        <f>IF(Tenth!J75="", "",Tenth!J75)</f>
        <v/>
      </c>
      <c r="K2322" s="86" t="str">
        <f>IF(Tenth!K75="", "",Tenth!K75)</f>
        <v/>
      </c>
      <c r="M2322" s="67" t="str">
        <f t="shared" si="110"/>
        <v/>
      </c>
      <c r="N2322" s="76" t="str">
        <f t="shared" si="111"/>
        <v/>
      </c>
      <c r="O2322" s="33">
        <f t="shared" si="109"/>
        <v>0</v>
      </c>
    </row>
    <row r="2323" spans="1:15" x14ac:dyDescent="0.25">
      <c r="A2323" s="64" t="s">
        <v>183</v>
      </c>
      <c r="B2323" s="79" t="str">
        <f>IF(Tenth!B76="", "",Tenth!B76)</f>
        <v/>
      </c>
      <c r="C2323" s="66" t="str">
        <f>IF(Tenth!C76="", "",Tenth!C76)</f>
        <v/>
      </c>
      <c r="D2323" s="66" t="str">
        <f>IF(Tenth!D76="", "",Tenth!D76)</f>
        <v/>
      </c>
      <c r="E2323" s="66" t="str">
        <f>IF(Tenth!E76="", "",Tenth!E76)</f>
        <v/>
      </c>
      <c r="F2323" s="66" t="str">
        <f>IF(Tenth!F76="", "",Tenth!F76)</f>
        <v/>
      </c>
      <c r="G2323" s="66" t="str">
        <f>IF(Tenth!G76="", "",Tenth!G76)</f>
        <v/>
      </c>
      <c r="H2323" s="66" t="str">
        <f>IF(Tenth!H76="", "",Tenth!H76)</f>
        <v/>
      </c>
      <c r="I2323" s="66" t="str">
        <f>IF(Tenth!I76="", "",Tenth!I76)</f>
        <v/>
      </c>
      <c r="J2323" s="66" t="str">
        <f>IF(Tenth!J76="", "",Tenth!J76)</f>
        <v/>
      </c>
      <c r="K2323" s="86" t="str">
        <f>IF(Tenth!K76="", "",Tenth!K76)</f>
        <v/>
      </c>
      <c r="M2323" s="67" t="str">
        <f t="shared" si="110"/>
        <v/>
      </c>
      <c r="N2323" s="76" t="str">
        <f t="shared" si="111"/>
        <v/>
      </c>
      <c r="O2323" s="33">
        <f t="shared" si="109"/>
        <v>0</v>
      </c>
    </row>
    <row r="2324" spans="1:15" x14ac:dyDescent="0.25">
      <c r="A2324" s="64" t="s">
        <v>183</v>
      </c>
      <c r="B2324" s="79" t="str">
        <f>IF(Tenth!B77="", "",Tenth!B77)</f>
        <v/>
      </c>
      <c r="C2324" s="66" t="str">
        <f>IF(Tenth!C77="", "",Tenth!C77)</f>
        <v/>
      </c>
      <c r="D2324" s="66" t="str">
        <f>IF(Tenth!D77="", "",Tenth!D77)</f>
        <v/>
      </c>
      <c r="E2324" s="66" t="str">
        <f>IF(Tenth!E77="", "",Tenth!E77)</f>
        <v/>
      </c>
      <c r="F2324" s="66" t="str">
        <f>IF(Tenth!F77="", "",Tenth!F77)</f>
        <v/>
      </c>
      <c r="G2324" s="66" t="str">
        <f>IF(Tenth!G77="", "",Tenth!G77)</f>
        <v/>
      </c>
      <c r="H2324" s="66" t="str">
        <f>IF(Tenth!H77="", "",Tenth!H77)</f>
        <v/>
      </c>
      <c r="I2324" s="66" t="str">
        <f>IF(Tenth!I77="", "",Tenth!I77)</f>
        <v/>
      </c>
      <c r="J2324" s="66" t="str">
        <f>IF(Tenth!J77="", "",Tenth!J77)</f>
        <v/>
      </c>
      <c r="K2324" s="86" t="str">
        <f>IF(Tenth!K77="", "",Tenth!K77)</f>
        <v/>
      </c>
      <c r="M2324" s="67" t="str">
        <f t="shared" si="110"/>
        <v/>
      </c>
      <c r="N2324" s="76" t="str">
        <f t="shared" si="111"/>
        <v/>
      </c>
      <c r="O2324" s="33">
        <f t="shared" si="109"/>
        <v>0</v>
      </c>
    </row>
    <row r="2325" spans="1:15" x14ac:dyDescent="0.25">
      <c r="A2325" s="64" t="s">
        <v>183</v>
      </c>
      <c r="B2325" s="79" t="str">
        <f>IF(Tenth!B78="", "",Tenth!B78)</f>
        <v/>
      </c>
      <c r="C2325" s="66" t="str">
        <f>IF(Tenth!C78="", "",Tenth!C78)</f>
        <v/>
      </c>
      <c r="D2325" s="66" t="str">
        <f>IF(Tenth!D78="", "",Tenth!D78)</f>
        <v/>
      </c>
      <c r="E2325" s="66" t="str">
        <f>IF(Tenth!E78="", "",Tenth!E78)</f>
        <v/>
      </c>
      <c r="F2325" s="66" t="str">
        <f>IF(Tenth!F78="", "",Tenth!F78)</f>
        <v/>
      </c>
      <c r="G2325" s="66" t="str">
        <f>IF(Tenth!G78="", "",Tenth!G78)</f>
        <v/>
      </c>
      <c r="H2325" s="66" t="str">
        <f>IF(Tenth!H78="", "",Tenth!H78)</f>
        <v/>
      </c>
      <c r="I2325" s="66" t="str">
        <f>IF(Tenth!I78="", "",Tenth!I78)</f>
        <v/>
      </c>
      <c r="J2325" s="66" t="str">
        <f>IF(Tenth!J78="", "",Tenth!J78)</f>
        <v/>
      </c>
      <c r="K2325" s="86" t="str">
        <f>IF(Tenth!K78="", "",Tenth!K78)</f>
        <v/>
      </c>
      <c r="M2325" s="67" t="str">
        <f t="shared" si="110"/>
        <v/>
      </c>
      <c r="N2325" s="76" t="str">
        <f t="shared" si="111"/>
        <v/>
      </c>
      <c r="O2325" s="33">
        <f t="shared" si="109"/>
        <v>0</v>
      </c>
    </row>
    <row r="2326" spans="1:15" x14ac:dyDescent="0.25">
      <c r="A2326" s="64" t="s">
        <v>183</v>
      </c>
      <c r="B2326" s="79" t="str">
        <f>IF(Tenth!B79="", "",Tenth!B79)</f>
        <v/>
      </c>
      <c r="C2326" s="66" t="str">
        <f>IF(Tenth!C79="", "",Tenth!C79)</f>
        <v/>
      </c>
      <c r="D2326" s="66" t="str">
        <f>IF(Tenth!D79="", "",Tenth!D79)</f>
        <v/>
      </c>
      <c r="E2326" s="66" t="str">
        <f>IF(Tenth!E79="", "",Tenth!E79)</f>
        <v/>
      </c>
      <c r="F2326" s="66" t="str">
        <f>IF(Tenth!F79="", "",Tenth!F79)</f>
        <v/>
      </c>
      <c r="G2326" s="66" t="str">
        <f>IF(Tenth!G79="", "",Tenth!G79)</f>
        <v/>
      </c>
      <c r="H2326" s="66" t="str">
        <f>IF(Tenth!H79="", "",Tenth!H79)</f>
        <v/>
      </c>
      <c r="I2326" s="66" t="str">
        <f>IF(Tenth!I79="", "",Tenth!I79)</f>
        <v/>
      </c>
      <c r="J2326" s="66" t="str">
        <f>IF(Tenth!J79="", "",Tenth!J79)</f>
        <v/>
      </c>
      <c r="K2326" s="86" t="str">
        <f>IF(Tenth!K79="", "",Tenth!K79)</f>
        <v/>
      </c>
      <c r="M2326" s="67" t="str">
        <f t="shared" si="110"/>
        <v/>
      </c>
      <c r="N2326" s="76" t="str">
        <f t="shared" si="111"/>
        <v/>
      </c>
      <c r="O2326" s="33">
        <f t="shared" si="109"/>
        <v>0</v>
      </c>
    </row>
    <row r="2327" spans="1:15" x14ac:dyDescent="0.25">
      <c r="A2327" s="64" t="s">
        <v>183</v>
      </c>
      <c r="B2327" s="79" t="str">
        <f>IF(Tenth!B80="", "",Tenth!B80)</f>
        <v/>
      </c>
      <c r="C2327" s="66" t="str">
        <f>IF(Tenth!C80="", "",Tenth!C80)</f>
        <v/>
      </c>
      <c r="D2327" s="66" t="str">
        <f>IF(Tenth!D80="", "",Tenth!D80)</f>
        <v/>
      </c>
      <c r="E2327" s="66" t="str">
        <f>IF(Tenth!E80="", "",Tenth!E80)</f>
        <v/>
      </c>
      <c r="F2327" s="66" t="str">
        <f>IF(Tenth!F80="", "",Tenth!F80)</f>
        <v/>
      </c>
      <c r="G2327" s="66" t="str">
        <f>IF(Tenth!G80="", "",Tenth!G80)</f>
        <v/>
      </c>
      <c r="H2327" s="66" t="str">
        <f>IF(Tenth!H80="", "",Tenth!H80)</f>
        <v/>
      </c>
      <c r="I2327" s="66" t="str">
        <f>IF(Tenth!I80="", "",Tenth!I80)</f>
        <v/>
      </c>
      <c r="J2327" s="66" t="str">
        <f>IF(Tenth!J80="", "",Tenth!J80)</f>
        <v/>
      </c>
      <c r="K2327" s="86" t="str">
        <f>IF(Tenth!K80="", "",Tenth!K80)</f>
        <v/>
      </c>
      <c r="M2327" s="67" t="str">
        <f t="shared" si="110"/>
        <v/>
      </c>
      <c r="N2327" s="76" t="str">
        <f t="shared" si="111"/>
        <v/>
      </c>
      <c r="O2327" s="33">
        <f t="shared" si="109"/>
        <v>0</v>
      </c>
    </row>
    <row r="2328" spans="1:15" x14ac:dyDescent="0.25">
      <c r="A2328" s="64" t="s">
        <v>183</v>
      </c>
      <c r="B2328" s="79" t="str">
        <f>IF(Tenth!B81="", "",Tenth!B81)</f>
        <v/>
      </c>
      <c r="C2328" s="66" t="str">
        <f>IF(Tenth!C81="", "",Tenth!C81)</f>
        <v/>
      </c>
      <c r="D2328" s="66" t="str">
        <f>IF(Tenth!D81="", "",Tenth!D81)</f>
        <v/>
      </c>
      <c r="E2328" s="66" t="str">
        <f>IF(Tenth!E81="", "",Tenth!E81)</f>
        <v/>
      </c>
      <c r="F2328" s="66" t="str">
        <f>IF(Tenth!F81="", "",Tenth!F81)</f>
        <v/>
      </c>
      <c r="G2328" s="66" t="str">
        <f>IF(Tenth!G81="", "",Tenth!G81)</f>
        <v/>
      </c>
      <c r="H2328" s="66" t="str">
        <f>IF(Tenth!H81="", "",Tenth!H81)</f>
        <v/>
      </c>
      <c r="I2328" s="66" t="str">
        <f>IF(Tenth!I81="", "",Tenth!I81)</f>
        <v/>
      </c>
      <c r="J2328" s="66" t="str">
        <f>IF(Tenth!J81="", "",Tenth!J81)</f>
        <v/>
      </c>
      <c r="K2328" s="86" t="str">
        <f>IF(Tenth!K81="", "",Tenth!K81)</f>
        <v/>
      </c>
      <c r="M2328" s="67" t="str">
        <f t="shared" si="110"/>
        <v/>
      </c>
      <c r="N2328" s="76" t="str">
        <f t="shared" si="111"/>
        <v/>
      </c>
      <c r="O2328" s="33">
        <f t="shared" si="109"/>
        <v>0</v>
      </c>
    </row>
    <row r="2329" spans="1:15" x14ac:dyDescent="0.25">
      <c r="A2329" s="64" t="s">
        <v>183</v>
      </c>
      <c r="B2329" s="79" t="str">
        <f>IF(Tenth!B82="", "",Tenth!B82)</f>
        <v/>
      </c>
      <c r="C2329" s="66" t="str">
        <f>IF(Tenth!C82="", "",Tenth!C82)</f>
        <v/>
      </c>
      <c r="D2329" s="66" t="str">
        <f>IF(Tenth!D82="", "",Tenth!D82)</f>
        <v/>
      </c>
      <c r="E2329" s="66" t="str">
        <f>IF(Tenth!E82="", "",Tenth!E82)</f>
        <v/>
      </c>
      <c r="F2329" s="66" t="str">
        <f>IF(Tenth!F82="", "",Tenth!F82)</f>
        <v/>
      </c>
      <c r="G2329" s="66" t="str">
        <f>IF(Tenth!G82="", "",Tenth!G82)</f>
        <v/>
      </c>
      <c r="H2329" s="66" t="str">
        <f>IF(Tenth!H82="", "",Tenth!H82)</f>
        <v/>
      </c>
      <c r="I2329" s="66" t="str">
        <f>IF(Tenth!I82="", "",Tenth!I82)</f>
        <v/>
      </c>
      <c r="J2329" s="66" t="str">
        <f>IF(Tenth!J82="", "",Tenth!J82)</f>
        <v/>
      </c>
      <c r="K2329" s="86" t="str">
        <f>IF(Tenth!K82="", "",Tenth!K82)</f>
        <v/>
      </c>
      <c r="M2329" s="67" t="str">
        <f t="shared" si="110"/>
        <v/>
      </c>
      <c r="N2329" s="76" t="str">
        <f t="shared" si="111"/>
        <v/>
      </c>
      <c r="O2329" s="33">
        <f t="shared" si="109"/>
        <v>0</v>
      </c>
    </row>
    <row r="2330" spans="1:15" x14ac:dyDescent="0.25">
      <c r="A2330" s="64" t="s">
        <v>183</v>
      </c>
      <c r="B2330" s="79" t="str">
        <f>IF(Tenth!B83="", "",Tenth!B83)</f>
        <v/>
      </c>
      <c r="C2330" s="66" t="str">
        <f>IF(Tenth!C83="", "",Tenth!C83)</f>
        <v/>
      </c>
      <c r="D2330" s="66" t="str">
        <f>IF(Tenth!D83="", "",Tenth!D83)</f>
        <v/>
      </c>
      <c r="E2330" s="66" t="str">
        <f>IF(Tenth!E83="", "",Tenth!E83)</f>
        <v/>
      </c>
      <c r="F2330" s="66" t="str">
        <f>IF(Tenth!F83="", "",Tenth!F83)</f>
        <v/>
      </c>
      <c r="G2330" s="66" t="str">
        <f>IF(Tenth!G83="", "",Tenth!G83)</f>
        <v/>
      </c>
      <c r="H2330" s="66" t="str">
        <f>IF(Tenth!H83="", "",Tenth!H83)</f>
        <v/>
      </c>
      <c r="I2330" s="66" t="str">
        <f>IF(Tenth!I83="", "",Tenth!I83)</f>
        <v/>
      </c>
      <c r="J2330" s="66" t="str">
        <f>IF(Tenth!J83="", "",Tenth!J83)</f>
        <v/>
      </c>
      <c r="K2330" s="86" t="str">
        <f>IF(Tenth!K83="", "",Tenth!K83)</f>
        <v/>
      </c>
      <c r="M2330" s="67" t="str">
        <f t="shared" si="110"/>
        <v/>
      </c>
      <c r="N2330" s="76" t="str">
        <f t="shared" si="111"/>
        <v/>
      </c>
      <c r="O2330" s="33">
        <f t="shared" si="109"/>
        <v>0</v>
      </c>
    </row>
    <row r="2331" spans="1:15" x14ac:dyDescent="0.25">
      <c r="A2331" s="64" t="s">
        <v>183</v>
      </c>
      <c r="B2331" s="79" t="str">
        <f>IF(Tenth!B84="", "",Tenth!B84)</f>
        <v/>
      </c>
      <c r="C2331" s="66" t="str">
        <f>IF(Tenth!C84="", "",Tenth!C84)</f>
        <v/>
      </c>
      <c r="D2331" s="66" t="str">
        <f>IF(Tenth!D84="", "",Tenth!D84)</f>
        <v/>
      </c>
      <c r="E2331" s="66" t="str">
        <f>IF(Tenth!E84="", "",Tenth!E84)</f>
        <v/>
      </c>
      <c r="F2331" s="66" t="str">
        <f>IF(Tenth!F84="", "",Tenth!F84)</f>
        <v/>
      </c>
      <c r="G2331" s="66" t="str">
        <f>IF(Tenth!G84="", "",Tenth!G84)</f>
        <v/>
      </c>
      <c r="H2331" s="66" t="str">
        <f>IF(Tenth!H84="", "",Tenth!H84)</f>
        <v/>
      </c>
      <c r="I2331" s="66" t="str">
        <f>IF(Tenth!I84="", "",Tenth!I84)</f>
        <v/>
      </c>
      <c r="J2331" s="66" t="str">
        <f>IF(Tenth!J84="", "",Tenth!J84)</f>
        <v/>
      </c>
      <c r="K2331" s="86" t="str">
        <f>IF(Tenth!K84="", "",Tenth!K84)</f>
        <v/>
      </c>
      <c r="M2331" s="67" t="str">
        <f t="shared" si="110"/>
        <v/>
      </c>
      <c r="N2331" s="76" t="str">
        <f t="shared" si="111"/>
        <v/>
      </c>
      <c r="O2331" s="33">
        <f t="shared" si="109"/>
        <v>0</v>
      </c>
    </row>
    <row r="2332" spans="1:15" x14ac:dyDescent="0.25">
      <c r="A2332" s="64" t="s">
        <v>183</v>
      </c>
      <c r="B2332" s="79" t="str">
        <f>IF(Tenth!B85="", "",Tenth!B85)</f>
        <v/>
      </c>
      <c r="C2332" s="66" t="str">
        <f>IF(Tenth!C85="", "",Tenth!C85)</f>
        <v/>
      </c>
      <c r="D2332" s="66" t="str">
        <f>IF(Tenth!D85="", "",Tenth!D85)</f>
        <v/>
      </c>
      <c r="E2332" s="66" t="str">
        <f>IF(Tenth!E85="", "",Tenth!E85)</f>
        <v/>
      </c>
      <c r="F2332" s="66" t="str">
        <f>IF(Tenth!F85="", "",Tenth!F85)</f>
        <v/>
      </c>
      <c r="G2332" s="66" t="str">
        <f>IF(Tenth!G85="", "",Tenth!G85)</f>
        <v/>
      </c>
      <c r="H2332" s="66" t="str">
        <f>IF(Tenth!H85="", "",Tenth!H85)</f>
        <v/>
      </c>
      <c r="I2332" s="66" t="str">
        <f>IF(Tenth!I85="", "",Tenth!I85)</f>
        <v/>
      </c>
      <c r="J2332" s="66" t="str">
        <f>IF(Tenth!J85="", "",Tenth!J85)</f>
        <v/>
      </c>
      <c r="K2332" s="86" t="str">
        <f>IF(Tenth!K85="", "",Tenth!K85)</f>
        <v/>
      </c>
      <c r="M2332" s="67" t="str">
        <f t="shared" si="110"/>
        <v/>
      </c>
      <c r="N2332" s="76" t="str">
        <f t="shared" si="111"/>
        <v/>
      </c>
      <c r="O2332" s="33">
        <f t="shared" si="109"/>
        <v>0</v>
      </c>
    </row>
    <row r="2333" spans="1:15" x14ac:dyDescent="0.25">
      <c r="A2333" s="64" t="s">
        <v>183</v>
      </c>
      <c r="B2333" s="79" t="str">
        <f>IF(Tenth!B86="", "",Tenth!B86)</f>
        <v/>
      </c>
      <c r="C2333" s="66" t="str">
        <f>IF(Tenth!C86="", "",Tenth!C86)</f>
        <v/>
      </c>
      <c r="D2333" s="66" t="str">
        <f>IF(Tenth!D86="", "",Tenth!D86)</f>
        <v/>
      </c>
      <c r="E2333" s="66" t="str">
        <f>IF(Tenth!E86="", "",Tenth!E86)</f>
        <v/>
      </c>
      <c r="F2333" s="66" t="str">
        <f>IF(Tenth!F86="", "",Tenth!F86)</f>
        <v/>
      </c>
      <c r="G2333" s="66" t="str">
        <f>IF(Tenth!G86="", "",Tenth!G86)</f>
        <v/>
      </c>
      <c r="H2333" s="66" t="str">
        <f>IF(Tenth!H86="", "",Tenth!H86)</f>
        <v/>
      </c>
      <c r="I2333" s="66" t="str">
        <f>IF(Tenth!I86="", "",Tenth!I86)</f>
        <v/>
      </c>
      <c r="J2333" s="66" t="str">
        <f>IF(Tenth!J86="", "",Tenth!J86)</f>
        <v/>
      </c>
      <c r="K2333" s="86" t="str">
        <f>IF(Tenth!K86="", "",Tenth!K86)</f>
        <v/>
      </c>
      <c r="M2333" s="67" t="str">
        <f t="shared" si="110"/>
        <v/>
      </c>
      <c r="N2333" s="76" t="str">
        <f t="shared" si="111"/>
        <v/>
      </c>
      <c r="O2333" s="33">
        <f t="shared" si="109"/>
        <v>0</v>
      </c>
    </row>
    <row r="2334" spans="1:15" x14ac:dyDescent="0.25">
      <c r="A2334" s="64" t="s">
        <v>183</v>
      </c>
      <c r="B2334" s="79" t="str">
        <f>IF(Tenth!B87="", "",Tenth!B87)</f>
        <v/>
      </c>
      <c r="C2334" s="66" t="str">
        <f>IF(Tenth!C87="", "",Tenth!C87)</f>
        <v/>
      </c>
      <c r="D2334" s="66" t="str">
        <f>IF(Tenth!D87="", "",Tenth!D87)</f>
        <v/>
      </c>
      <c r="E2334" s="66" t="str">
        <f>IF(Tenth!E87="", "",Tenth!E87)</f>
        <v/>
      </c>
      <c r="F2334" s="66" t="str">
        <f>IF(Tenth!F87="", "",Tenth!F87)</f>
        <v/>
      </c>
      <c r="G2334" s="66" t="str">
        <f>IF(Tenth!G87="", "",Tenth!G87)</f>
        <v/>
      </c>
      <c r="H2334" s="66" t="str">
        <f>IF(Tenth!H87="", "",Tenth!H87)</f>
        <v/>
      </c>
      <c r="I2334" s="66" t="str">
        <f>IF(Tenth!I87="", "",Tenth!I87)</f>
        <v/>
      </c>
      <c r="J2334" s="66" t="str">
        <f>IF(Tenth!J87="", "",Tenth!J87)</f>
        <v/>
      </c>
      <c r="K2334" s="86" t="str">
        <f>IF(Tenth!K87="", "",Tenth!K87)</f>
        <v/>
      </c>
      <c r="M2334" s="67" t="str">
        <f t="shared" si="110"/>
        <v/>
      </c>
      <c r="N2334" s="76" t="str">
        <f t="shared" si="111"/>
        <v/>
      </c>
      <c r="O2334" s="33">
        <f t="shared" si="109"/>
        <v>0</v>
      </c>
    </row>
    <row r="2335" spans="1:15" x14ac:dyDescent="0.25">
      <c r="A2335" s="64" t="s">
        <v>183</v>
      </c>
      <c r="B2335" s="79" t="str">
        <f>IF(Tenth!B88="", "",Tenth!B88)</f>
        <v/>
      </c>
      <c r="C2335" s="66" t="str">
        <f>IF(Tenth!C88="", "",Tenth!C88)</f>
        <v/>
      </c>
      <c r="D2335" s="66" t="str">
        <f>IF(Tenth!D88="", "",Tenth!D88)</f>
        <v/>
      </c>
      <c r="E2335" s="66" t="str">
        <f>IF(Tenth!E88="", "",Tenth!E88)</f>
        <v/>
      </c>
      <c r="F2335" s="66" t="str">
        <f>IF(Tenth!F88="", "",Tenth!F88)</f>
        <v/>
      </c>
      <c r="G2335" s="66" t="str">
        <f>IF(Tenth!G88="", "",Tenth!G88)</f>
        <v/>
      </c>
      <c r="H2335" s="66" t="str">
        <f>IF(Tenth!H88="", "",Tenth!H88)</f>
        <v/>
      </c>
      <c r="I2335" s="66" t="str">
        <f>IF(Tenth!I88="", "",Tenth!I88)</f>
        <v/>
      </c>
      <c r="J2335" s="66" t="str">
        <f>IF(Tenth!J88="", "",Tenth!J88)</f>
        <v/>
      </c>
      <c r="K2335" s="86" t="str">
        <f>IF(Tenth!K88="", "",Tenth!K88)</f>
        <v/>
      </c>
      <c r="M2335" s="67" t="str">
        <f t="shared" si="110"/>
        <v/>
      </c>
      <c r="N2335" s="76" t="str">
        <f t="shared" si="111"/>
        <v/>
      </c>
      <c r="O2335" s="33">
        <f t="shared" si="109"/>
        <v>0</v>
      </c>
    </row>
    <row r="2336" spans="1:15" x14ac:dyDescent="0.25">
      <c r="A2336" s="64" t="s">
        <v>183</v>
      </c>
      <c r="B2336" s="79" t="str">
        <f>IF(Tenth!B89="", "",Tenth!B89)</f>
        <v/>
      </c>
      <c r="C2336" s="66" t="str">
        <f>IF(Tenth!C89="", "",Tenth!C89)</f>
        <v/>
      </c>
      <c r="D2336" s="66" t="str">
        <f>IF(Tenth!D89="", "",Tenth!D89)</f>
        <v/>
      </c>
      <c r="E2336" s="66" t="str">
        <f>IF(Tenth!E89="", "",Tenth!E89)</f>
        <v/>
      </c>
      <c r="F2336" s="66" t="str">
        <f>IF(Tenth!F89="", "",Tenth!F89)</f>
        <v/>
      </c>
      <c r="G2336" s="66" t="str">
        <f>IF(Tenth!G89="", "",Tenth!G89)</f>
        <v/>
      </c>
      <c r="H2336" s="66" t="str">
        <f>IF(Tenth!H89="", "",Tenth!H89)</f>
        <v/>
      </c>
      <c r="I2336" s="66" t="str">
        <f>IF(Tenth!I89="", "",Tenth!I89)</f>
        <v/>
      </c>
      <c r="J2336" s="66" t="str">
        <f>IF(Tenth!J89="", "",Tenth!J89)</f>
        <v/>
      </c>
      <c r="K2336" s="86" t="str">
        <f>IF(Tenth!K89="", "",Tenth!K89)</f>
        <v/>
      </c>
      <c r="M2336" s="67" t="str">
        <f t="shared" si="110"/>
        <v/>
      </c>
      <c r="N2336" s="76" t="str">
        <f t="shared" si="111"/>
        <v/>
      </c>
      <c r="O2336" s="33">
        <f t="shared" si="109"/>
        <v>0</v>
      </c>
    </row>
    <row r="2337" spans="1:15" x14ac:dyDescent="0.25">
      <c r="A2337" s="64" t="s">
        <v>183</v>
      </c>
      <c r="B2337" s="79" t="str">
        <f>IF(Tenth!B90="", "",Tenth!B90)</f>
        <v/>
      </c>
      <c r="C2337" s="66" t="str">
        <f>IF(Tenth!C90="", "",Tenth!C90)</f>
        <v/>
      </c>
      <c r="D2337" s="66" t="str">
        <f>IF(Tenth!D90="", "",Tenth!D90)</f>
        <v/>
      </c>
      <c r="E2337" s="66" t="str">
        <f>IF(Tenth!E90="", "",Tenth!E90)</f>
        <v/>
      </c>
      <c r="F2337" s="66" t="str">
        <f>IF(Tenth!F90="", "",Tenth!F90)</f>
        <v/>
      </c>
      <c r="G2337" s="66" t="str">
        <f>IF(Tenth!G90="", "",Tenth!G90)</f>
        <v/>
      </c>
      <c r="H2337" s="66" t="str">
        <f>IF(Tenth!H90="", "",Tenth!H90)</f>
        <v/>
      </c>
      <c r="I2337" s="66" t="str">
        <f>IF(Tenth!I90="", "",Tenth!I90)</f>
        <v/>
      </c>
      <c r="J2337" s="66" t="str">
        <f>IF(Tenth!J90="", "",Tenth!J90)</f>
        <v/>
      </c>
      <c r="K2337" s="86" t="str">
        <f>IF(Tenth!K90="", "",Tenth!K90)</f>
        <v/>
      </c>
      <c r="M2337" s="67" t="str">
        <f t="shared" si="110"/>
        <v/>
      </c>
      <c r="N2337" s="76" t="str">
        <f t="shared" si="111"/>
        <v/>
      </c>
      <c r="O2337" s="33">
        <f t="shared" si="109"/>
        <v>0</v>
      </c>
    </row>
    <row r="2338" spans="1:15" x14ac:dyDescent="0.25">
      <c r="A2338" s="64" t="s">
        <v>183</v>
      </c>
      <c r="B2338" s="79" t="str">
        <f>IF(Tenth!B91="", "",Tenth!B91)</f>
        <v/>
      </c>
      <c r="C2338" s="66" t="str">
        <f>IF(Tenth!C91="", "",Tenth!C91)</f>
        <v/>
      </c>
      <c r="D2338" s="66" t="str">
        <f>IF(Tenth!D91="", "",Tenth!D91)</f>
        <v/>
      </c>
      <c r="E2338" s="66" t="str">
        <f>IF(Tenth!E91="", "",Tenth!E91)</f>
        <v/>
      </c>
      <c r="F2338" s="66" t="str">
        <f>IF(Tenth!F91="", "",Tenth!F91)</f>
        <v/>
      </c>
      <c r="G2338" s="66" t="str">
        <f>IF(Tenth!G91="", "",Tenth!G91)</f>
        <v/>
      </c>
      <c r="H2338" s="66" t="str">
        <f>IF(Tenth!H91="", "",Tenth!H91)</f>
        <v/>
      </c>
      <c r="I2338" s="66" t="str">
        <f>IF(Tenth!I91="", "",Tenth!I91)</f>
        <v/>
      </c>
      <c r="J2338" s="66" t="str">
        <f>IF(Tenth!J91="", "",Tenth!J91)</f>
        <v/>
      </c>
      <c r="K2338" s="86" t="str">
        <f>IF(Tenth!K91="", "",Tenth!K91)</f>
        <v/>
      </c>
      <c r="M2338" s="67" t="str">
        <f t="shared" si="110"/>
        <v/>
      </c>
      <c r="N2338" s="76" t="str">
        <f t="shared" si="111"/>
        <v/>
      </c>
      <c r="O2338" s="33">
        <f t="shared" si="109"/>
        <v>0</v>
      </c>
    </row>
    <row r="2339" spans="1:15" x14ac:dyDescent="0.25">
      <c r="A2339" s="64" t="s">
        <v>183</v>
      </c>
      <c r="B2339" s="79" t="str">
        <f>IF(Tenth!B92="", "",Tenth!B92)</f>
        <v/>
      </c>
      <c r="C2339" s="66" t="str">
        <f>IF(Tenth!C92="", "",Tenth!C92)</f>
        <v/>
      </c>
      <c r="D2339" s="66" t="str">
        <f>IF(Tenth!D92="", "",Tenth!D92)</f>
        <v/>
      </c>
      <c r="E2339" s="66" t="str">
        <f>IF(Tenth!E92="", "",Tenth!E92)</f>
        <v/>
      </c>
      <c r="F2339" s="66" t="str">
        <f>IF(Tenth!F92="", "",Tenth!F92)</f>
        <v/>
      </c>
      <c r="G2339" s="66" t="str">
        <f>IF(Tenth!G92="", "",Tenth!G92)</f>
        <v/>
      </c>
      <c r="H2339" s="66" t="str">
        <f>IF(Tenth!H92="", "",Tenth!H92)</f>
        <v/>
      </c>
      <c r="I2339" s="66" t="str">
        <f>IF(Tenth!I92="", "",Tenth!I92)</f>
        <v/>
      </c>
      <c r="J2339" s="66" t="str">
        <f>IF(Tenth!J92="", "",Tenth!J92)</f>
        <v/>
      </c>
      <c r="K2339" s="86" t="str">
        <f>IF(Tenth!K92="", "",Tenth!K92)</f>
        <v/>
      </c>
      <c r="M2339" s="67" t="str">
        <f t="shared" si="110"/>
        <v/>
      </c>
      <c r="N2339" s="76" t="str">
        <f t="shared" si="111"/>
        <v/>
      </c>
      <c r="O2339" s="33">
        <f t="shared" si="109"/>
        <v>0</v>
      </c>
    </row>
    <row r="2340" spans="1:15" x14ac:dyDescent="0.25">
      <c r="A2340" s="64" t="s">
        <v>183</v>
      </c>
      <c r="B2340" s="79" t="str">
        <f>IF(Tenth!B93="", "",Tenth!B93)</f>
        <v/>
      </c>
      <c r="C2340" s="66" t="str">
        <f>IF(Tenth!C93="", "",Tenth!C93)</f>
        <v/>
      </c>
      <c r="D2340" s="66" t="str">
        <f>IF(Tenth!D93="", "",Tenth!D93)</f>
        <v/>
      </c>
      <c r="E2340" s="66" t="str">
        <f>IF(Tenth!E93="", "",Tenth!E93)</f>
        <v/>
      </c>
      <c r="F2340" s="66" t="str">
        <f>IF(Tenth!F93="", "",Tenth!F93)</f>
        <v/>
      </c>
      <c r="G2340" s="66" t="str">
        <f>IF(Tenth!G93="", "",Tenth!G93)</f>
        <v/>
      </c>
      <c r="H2340" s="66" t="str">
        <f>IF(Tenth!H93="", "",Tenth!H93)</f>
        <v/>
      </c>
      <c r="I2340" s="66" t="str">
        <f>IF(Tenth!I93="", "",Tenth!I93)</f>
        <v/>
      </c>
      <c r="J2340" s="66" t="str">
        <f>IF(Tenth!J93="", "",Tenth!J93)</f>
        <v/>
      </c>
      <c r="K2340" s="86" t="str">
        <f>IF(Tenth!K93="", "",Tenth!K93)</f>
        <v/>
      </c>
      <c r="M2340" s="67" t="str">
        <f t="shared" si="110"/>
        <v/>
      </c>
      <c r="N2340" s="76" t="str">
        <f t="shared" si="111"/>
        <v/>
      </c>
      <c r="O2340" s="33">
        <f t="shared" si="109"/>
        <v>0</v>
      </c>
    </row>
    <row r="2341" spans="1:15" x14ac:dyDescent="0.25">
      <c r="A2341" s="64" t="s">
        <v>183</v>
      </c>
      <c r="B2341" s="79" t="str">
        <f>IF(Tenth!B94="", "",Tenth!B94)</f>
        <v/>
      </c>
      <c r="C2341" s="66" t="str">
        <f>IF(Tenth!C94="", "",Tenth!C94)</f>
        <v/>
      </c>
      <c r="D2341" s="66" t="str">
        <f>IF(Tenth!D94="", "",Tenth!D94)</f>
        <v/>
      </c>
      <c r="E2341" s="66" t="str">
        <f>IF(Tenth!E94="", "",Tenth!E94)</f>
        <v/>
      </c>
      <c r="F2341" s="66" t="str">
        <f>IF(Tenth!F94="", "",Tenth!F94)</f>
        <v/>
      </c>
      <c r="G2341" s="66" t="str">
        <f>IF(Tenth!G94="", "",Tenth!G94)</f>
        <v/>
      </c>
      <c r="H2341" s="66" t="str">
        <f>IF(Tenth!H94="", "",Tenth!H94)</f>
        <v/>
      </c>
      <c r="I2341" s="66" t="str">
        <f>IF(Tenth!I94="", "",Tenth!I94)</f>
        <v/>
      </c>
      <c r="J2341" s="66" t="str">
        <f>IF(Tenth!J94="", "",Tenth!J94)</f>
        <v/>
      </c>
      <c r="K2341" s="86" t="str">
        <f>IF(Tenth!K94="", "",Tenth!K94)</f>
        <v/>
      </c>
      <c r="M2341" s="67" t="str">
        <f t="shared" si="110"/>
        <v/>
      </c>
      <c r="N2341" s="76" t="str">
        <f t="shared" si="111"/>
        <v/>
      </c>
      <c r="O2341" s="33">
        <f t="shared" si="109"/>
        <v>0</v>
      </c>
    </row>
    <row r="2342" spans="1:15" x14ac:dyDescent="0.25">
      <c r="A2342" s="64" t="s">
        <v>183</v>
      </c>
      <c r="B2342" s="79" t="str">
        <f>IF(Tenth!B95="", "",Tenth!B95)</f>
        <v/>
      </c>
      <c r="C2342" s="66" t="str">
        <f>IF(Tenth!C95="", "",Tenth!C95)</f>
        <v/>
      </c>
      <c r="D2342" s="66" t="str">
        <f>IF(Tenth!D95="", "",Tenth!D95)</f>
        <v/>
      </c>
      <c r="E2342" s="66" t="str">
        <f>IF(Tenth!E95="", "",Tenth!E95)</f>
        <v/>
      </c>
      <c r="F2342" s="66" t="str">
        <f>IF(Tenth!F95="", "",Tenth!F95)</f>
        <v/>
      </c>
      <c r="G2342" s="66" t="str">
        <f>IF(Tenth!G95="", "",Tenth!G95)</f>
        <v/>
      </c>
      <c r="H2342" s="66" t="str">
        <f>IF(Tenth!H95="", "",Tenth!H95)</f>
        <v/>
      </c>
      <c r="I2342" s="66" t="str">
        <f>IF(Tenth!I95="", "",Tenth!I95)</f>
        <v/>
      </c>
      <c r="J2342" s="66" t="str">
        <f>IF(Tenth!J95="", "",Tenth!J95)</f>
        <v/>
      </c>
      <c r="K2342" s="86" t="str">
        <f>IF(Tenth!K95="", "",Tenth!K95)</f>
        <v/>
      </c>
      <c r="M2342" s="67" t="str">
        <f t="shared" si="110"/>
        <v/>
      </c>
      <c r="N2342" s="76" t="str">
        <f t="shared" si="111"/>
        <v/>
      </c>
      <c r="O2342" s="33">
        <f t="shared" si="109"/>
        <v>0</v>
      </c>
    </row>
    <row r="2343" spans="1:15" x14ac:dyDescent="0.25">
      <c r="A2343" s="64" t="s">
        <v>183</v>
      </c>
      <c r="B2343" s="79" t="str">
        <f>IF(Tenth!B96="", "",Tenth!B96)</f>
        <v/>
      </c>
      <c r="C2343" s="66" t="str">
        <f>IF(Tenth!C96="", "",Tenth!C96)</f>
        <v/>
      </c>
      <c r="D2343" s="66" t="str">
        <f>IF(Tenth!D96="", "",Tenth!D96)</f>
        <v/>
      </c>
      <c r="E2343" s="66" t="str">
        <f>IF(Tenth!E96="", "",Tenth!E96)</f>
        <v/>
      </c>
      <c r="F2343" s="66" t="str">
        <f>IF(Tenth!F96="", "",Tenth!F96)</f>
        <v/>
      </c>
      <c r="G2343" s="66" t="str">
        <f>IF(Tenth!G96="", "",Tenth!G96)</f>
        <v/>
      </c>
      <c r="H2343" s="66" t="str">
        <f>IF(Tenth!H96="", "",Tenth!H96)</f>
        <v/>
      </c>
      <c r="I2343" s="66" t="str">
        <f>IF(Tenth!I96="", "",Tenth!I96)</f>
        <v/>
      </c>
      <c r="J2343" s="66" t="str">
        <f>IF(Tenth!J96="", "",Tenth!J96)</f>
        <v/>
      </c>
      <c r="K2343" s="86" t="str">
        <f>IF(Tenth!K96="", "",Tenth!K96)</f>
        <v/>
      </c>
      <c r="M2343" s="67" t="str">
        <f t="shared" si="110"/>
        <v/>
      </c>
      <c r="N2343" s="76" t="str">
        <f t="shared" si="111"/>
        <v/>
      </c>
      <c r="O2343" s="33">
        <f t="shared" si="109"/>
        <v>0</v>
      </c>
    </row>
    <row r="2344" spans="1:15" x14ac:dyDescent="0.25">
      <c r="A2344" s="64" t="s">
        <v>183</v>
      </c>
      <c r="B2344" s="79" t="str">
        <f>IF(Tenth!B97="", "",Tenth!B97)</f>
        <v/>
      </c>
      <c r="C2344" s="66" t="str">
        <f>IF(Tenth!C97="", "",Tenth!C97)</f>
        <v/>
      </c>
      <c r="D2344" s="66" t="str">
        <f>IF(Tenth!D97="", "",Tenth!D97)</f>
        <v/>
      </c>
      <c r="E2344" s="66" t="str">
        <f>IF(Tenth!E97="", "",Tenth!E97)</f>
        <v/>
      </c>
      <c r="F2344" s="66" t="str">
        <f>IF(Tenth!F97="", "",Tenth!F97)</f>
        <v/>
      </c>
      <c r="G2344" s="66" t="str">
        <f>IF(Tenth!G97="", "",Tenth!G97)</f>
        <v/>
      </c>
      <c r="H2344" s="66" t="str">
        <f>IF(Tenth!H97="", "",Tenth!H97)</f>
        <v/>
      </c>
      <c r="I2344" s="66" t="str">
        <f>IF(Tenth!I97="", "",Tenth!I97)</f>
        <v/>
      </c>
      <c r="J2344" s="66" t="str">
        <f>IF(Tenth!J97="", "",Tenth!J97)</f>
        <v/>
      </c>
      <c r="K2344" s="86" t="str">
        <f>IF(Tenth!K97="", "",Tenth!K97)</f>
        <v/>
      </c>
      <c r="M2344" s="67" t="str">
        <f t="shared" si="110"/>
        <v/>
      </c>
      <c r="N2344" s="76" t="str">
        <f t="shared" si="111"/>
        <v/>
      </c>
      <c r="O2344" s="33">
        <f t="shared" si="109"/>
        <v>0</v>
      </c>
    </row>
    <row r="2345" spans="1:15" x14ac:dyDescent="0.25">
      <c r="A2345" s="64" t="s">
        <v>183</v>
      </c>
      <c r="B2345" s="79" t="str">
        <f>IF(Tenth!B98="", "",Tenth!B98)</f>
        <v/>
      </c>
      <c r="C2345" s="66" t="str">
        <f>IF(Tenth!C98="", "",Tenth!C98)</f>
        <v/>
      </c>
      <c r="D2345" s="66" t="str">
        <f>IF(Tenth!D98="", "",Tenth!D98)</f>
        <v/>
      </c>
      <c r="E2345" s="66" t="str">
        <f>IF(Tenth!E98="", "",Tenth!E98)</f>
        <v/>
      </c>
      <c r="F2345" s="66" t="str">
        <f>IF(Tenth!F98="", "",Tenth!F98)</f>
        <v/>
      </c>
      <c r="G2345" s="66" t="str">
        <f>IF(Tenth!G98="", "",Tenth!G98)</f>
        <v/>
      </c>
      <c r="H2345" s="66" t="str">
        <f>IF(Tenth!H98="", "",Tenth!H98)</f>
        <v/>
      </c>
      <c r="I2345" s="66" t="str">
        <f>IF(Tenth!I98="", "",Tenth!I98)</f>
        <v/>
      </c>
      <c r="J2345" s="66" t="str">
        <f>IF(Tenth!J98="", "",Tenth!J98)</f>
        <v/>
      </c>
      <c r="K2345" s="86" t="str">
        <f>IF(Tenth!K98="", "",Tenth!K98)</f>
        <v/>
      </c>
      <c r="M2345" s="67" t="str">
        <f t="shared" si="110"/>
        <v/>
      </c>
      <c r="N2345" s="76" t="str">
        <f t="shared" si="111"/>
        <v/>
      </c>
      <c r="O2345" s="33">
        <f t="shared" si="109"/>
        <v>0</v>
      </c>
    </row>
    <row r="2346" spans="1:15" x14ac:dyDescent="0.25">
      <c r="A2346" s="64" t="s">
        <v>183</v>
      </c>
      <c r="B2346" s="79" t="str">
        <f>IF(Tenth!B99="", "",Tenth!B99)</f>
        <v/>
      </c>
      <c r="C2346" s="66" t="str">
        <f>IF(Tenth!C99="", "",Tenth!C99)</f>
        <v/>
      </c>
      <c r="D2346" s="66" t="str">
        <f>IF(Tenth!D99="", "",Tenth!D99)</f>
        <v/>
      </c>
      <c r="E2346" s="66" t="str">
        <f>IF(Tenth!E99="", "",Tenth!E99)</f>
        <v/>
      </c>
      <c r="F2346" s="66" t="str">
        <f>IF(Tenth!F99="", "",Tenth!F99)</f>
        <v/>
      </c>
      <c r="G2346" s="66" t="str">
        <f>IF(Tenth!G99="", "",Tenth!G99)</f>
        <v/>
      </c>
      <c r="H2346" s="66" t="str">
        <f>IF(Tenth!H99="", "",Tenth!H99)</f>
        <v/>
      </c>
      <c r="I2346" s="66" t="str">
        <f>IF(Tenth!I99="", "",Tenth!I99)</f>
        <v/>
      </c>
      <c r="J2346" s="66" t="str">
        <f>IF(Tenth!J99="", "",Tenth!J99)</f>
        <v/>
      </c>
      <c r="K2346" s="86" t="str">
        <f>IF(Tenth!K99="", "",Tenth!K99)</f>
        <v/>
      </c>
      <c r="M2346" s="67" t="str">
        <f t="shared" si="110"/>
        <v/>
      </c>
      <c r="N2346" s="76" t="str">
        <f t="shared" si="111"/>
        <v/>
      </c>
      <c r="O2346" s="33">
        <f t="shared" si="109"/>
        <v>0</v>
      </c>
    </row>
    <row r="2347" spans="1:15" x14ac:dyDescent="0.25">
      <c r="A2347" s="64" t="s">
        <v>183</v>
      </c>
      <c r="B2347" s="79" t="str">
        <f>IF(Tenth!B100="", "",Tenth!B100)</f>
        <v/>
      </c>
      <c r="C2347" s="66" t="str">
        <f>IF(Tenth!C100="", "",Tenth!C100)</f>
        <v/>
      </c>
      <c r="D2347" s="66" t="str">
        <f>IF(Tenth!D100="", "",Tenth!D100)</f>
        <v/>
      </c>
      <c r="E2347" s="66" t="str">
        <f>IF(Tenth!E100="", "",Tenth!E100)</f>
        <v/>
      </c>
      <c r="F2347" s="66" t="str">
        <f>IF(Tenth!F100="", "",Tenth!F100)</f>
        <v/>
      </c>
      <c r="G2347" s="66" t="str">
        <f>IF(Tenth!G100="", "",Tenth!G100)</f>
        <v/>
      </c>
      <c r="H2347" s="66" t="str">
        <f>IF(Tenth!H100="", "",Tenth!H100)</f>
        <v/>
      </c>
      <c r="I2347" s="66" t="str">
        <f>IF(Tenth!I100="", "",Tenth!I100)</f>
        <v/>
      </c>
      <c r="J2347" s="66" t="str">
        <f>IF(Tenth!J100="", "",Tenth!J100)</f>
        <v/>
      </c>
      <c r="K2347" s="86" t="str">
        <f>IF(Tenth!K100="", "",Tenth!K100)</f>
        <v/>
      </c>
      <c r="M2347" s="67" t="str">
        <f t="shared" si="110"/>
        <v/>
      </c>
      <c r="N2347" s="76" t="str">
        <f t="shared" si="111"/>
        <v/>
      </c>
      <c r="O2347" s="33">
        <f t="shared" si="109"/>
        <v>0</v>
      </c>
    </row>
    <row r="2348" spans="1:15" x14ac:dyDescent="0.25">
      <c r="A2348" s="64" t="s">
        <v>183</v>
      </c>
      <c r="B2348" s="79" t="str">
        <f>IF(Tenth!B101="", "",Tenth!B101)</f>
        <v/>
      </c>
      <c r="C2348" s="66" t="str">
        <f>IF(Tenth!C101="", "",Tenth!C101)</f>
        <v/>
      </c>
      <c r="D2348" s="66" t="str">
        <f>IF(Tenth!D101="", "",Tenth!D101)</f>
        <v/>
      </c>
      <c r="E2348" s="66" t="str">
        <f>IF(Tenth!E101="", "",Tenth!E101)</f>
        <v/>
      </c>
      <c r="F2348" s="66" t="str">
        <f>IF(Tenth!F101="", "",Tenth!F101)</f>
        <v/>
      </c>
      <c r="G2348" s="66" t="str">
        <f>IF(Tenth!G101="", "",Tenth!G101)</f>
        <v/>
      </c>
      <c r="H2348" s="66" t="str">
        <f>IF(Tenth!H101="", "",Tenth!H101)</f>
        <v/>
      </c>
      <c r="I2348" s="66" t="str">
        <f>IF(Tenth!I101="", "",Tenth!I101)</f>
        <v/>
      </c>
      <c r="J2348" s="66" t="str">
        <f>IF(Tenth!J101="", "",Tenth!J101)</f>
        <v/>
      </c>
      <c r="K2348" s="86" t="str">
        <f>IF(Tenth!K101="", "",Tenth!K101)</f>
        <v/>
      </c>
      <c r="M2348" s="67" t="str">
        <f t="shared" si="110"/>
        <v/>
      </c>
      <c r="N2348" s="76" t="str">
        <f t="shared" si="111"/>
        <v/>
      </c>
      <c r="O2348" s="33">
        <f t="shared" si="109"/>
        <v>0</v>
      </c>
    </row>
    <row r="2349" spans="1:15" x14ac:dyDescent="0.25">
      <c r="A2349" s="64" t="s">
        <v>183</v>
      </c>
      <c r="B2349" s="79" t="str">
        <f>IF(Tenth!B102="", "",Tenth!B102)</f>
        <v/>
      </c>
      <c r="C2349" s="66" t="str">
        <f>IF(Tenth!C102="", "",Tenth!C102)</f>
        <v/>
      </c>
      <c r="D2349" s="66" t="str">
        <f>IF(Tenth!D102="", "",Tenth!D102)</f>
        <v/>
      </c>
      <c r="E2349" s="66" t="str">
        <f>IF(Tenth!E102="", "",Tenth!E102)</f>
        <v/>
      </c>
      <c r="F2349" s="66" t="str">
        <f>IF(Tenth!F102="", "",Tenth!F102)</f>
        <v/>
      </c>
      <c r="G2349" s="66" t="str">
        <f>IF(Tenth!G102="", "",Tenth!G102)</f>
        <v/>
      </c>
      <c r="H2349" s="66" t="str">
        <f>IF(Tenth!H102="", "",Tenth!H102)</f>
        <v/>
      </c>
      <c r="I2349" s="66" t="str">
        <f>IF(Tenth!I102="", "",Tenth!I102)</f>
        <v/>
      </c>
      <c r="J2349" s="66" t="str">
        <f>IF(Tenth!J102="", "",Tenth!J102)</f>
        <v/>
      </c>
      <c r="K2349" s="86" t="str">
        <f>IF(Tenth!K102="", "",Tenth!K102)</f>
        <v/>
      </c>
      <c r="M2349" s="67" t="str">
        <f t="shared" si="110"/>
        <v/>
      </c>
      <c r="N2349" s="76" t="str">
        <f t="shared" si="111"/>
        <v/>
      </c>
      <c r="O2349" s="33">
        <f t="shared" si="109"/>
        <v>0</v>
      </c>
    </row>
    <row r="2350" spans="1:15" x14ac:dyDescent="0.25">
      <c r="A2350" s="64" t="s">
        <v>183</v>
      </c>
      <c r="B2350" s="79" t="str">
        <f>IF(Tenth!B103="", "",Tenth!B103)</f>
        <v/>
      </c>
      <c r="C2350" s="66" t="str">
        <f>IF(Tenth!C103="", "",Tenth!C103)</f>
        <v/>
      </c>
      <c r="D2350" s="66" t="str">
        <f>IF(Tenth!D103="", "",Tenth!D103)</f>
        <v/>
      </c>
      <c r="E2350" s="66" t="str">
        <f>IF(Tenth!E103="", "",Tenth!E103)</f>
        <v/>
      </c>
      <c r="F2350" s="66" t="str">
        <f>IF(Tenth!F103="", "",Tenth!F103)</f>
        <v/>
      </c>
      <c r="G2350" s="66" t="str">
        <f>IF(Tenth!G103="", "",Tenth!G103)</f>
        <v/>
      </c>
      <c r="H2350" s="66" t="str">
        <f>IF(Tenth!H103="", "",Tenth!H103)</f>
        <v/>
      </c>
      <c r="I2350" s="66" t="str">
        <f>IF(Tenth!I103="", "",Tenth!I103)</f>
        <v/>
      </c>
      <c r="J2350" s="66" t="str">
        <f>IF(Tenth!J103="", "",Tenth!J103)</f>
        <v/>
      </c>
      <c r="K2350" s="86" t="str">
        <f>IF(Tenth!K103="", "",Tenth!K103)</f>
        <v/>
      </c>
      <c r="M2350" s="67" t="str">
        <f t="shared" si="110"/>
        <v/>
      </c>
      <c r="N2350" s="76" t="str">
        <f t="shared" si="111"/>
        <v/>
      </c>
      <c r="O2350" s="33">
        <f t="shared" si="109"/>
        <v>0</v>
      </c>
    </row>
    <row r="2351" spans="1:15" x14ac:dyDescent="0.25">
      <c r="A2351" s="64" t="s">
        <v>183</v>
      </c>
      <c r="B2351" s="79" t="str">
        <f>IF(Tenth!B104="", "",Tenth!B104)</f>
        <v/>
      </c>
      <c r="C2351" s="66" t="str">
        <f>IF(Tenth!C104="", "",Tenth!C104)</f>
        <v/>
      </c>
      <c r="D2351" s="66" t="str">
        <f>IF(Tenth!D104="", "",Tenth!D104)</f>
        <v/>
      </c>
      <c r="E2351" s="66" t="str">
        <f>IF(Tenth!E104="", "",Tenth!E104)</f>
        <v/>
      </c>
      <c r="F2351" s="66" t="str">
        <f>IF(Tenth!F104="", "",Tenth!F104)</f>
        <v/>
      </c>
      <c r="G2351" s="66" t="str">
        <f>IF(Tenth!G104="", "",Tenth!G104)</f>
        <v/>
      </c>
      <c r="H2351" s="66" t="str">
        <f>IF(Tenth!H104="", "",Tenth!H104)</f>
        <v/>
      </c>
      <c r="I2351" s="66" t="str">
        <f>IF(Tenth!I104="", "",Tenth!I104)</f>
        <v/>
      </c>
      <c r="J2351" s="66" t="str">
        <f>IF(Tenth!J104="", "",Tenth!J104)</f>
        <v/>
      </c>
      <c r="K2351" s="86" t="str">
        <f>IF(Tenth!K104="", "",Tenth!K104)</f>
        <v/>
      </c>
      <c r="M2351" s="67" t="str">
        <f t="shared" si="110"/>
        <v/>
      </c>
      <c r="N2351" s="76" t="str">
        <f t="shared" si="111"/>
        <v/>
      </c>
      <c r="O2351" s="33">
        <f t="shared" si="109"/>
        <v>0</v>
      </c>
    </row>
    <row r="2352" spans="1:15" x14ac:dyDescent="0.25">
      <c r="A2352" s="64" t="s">
        <v>183</v>
      </c>
      <c r="B2352" s="79" t="str">
        <f>IF(Tenth!B105="", "",Tenth!B105)</f>
        <v/>
      </c>
      <c r="C2352" s="66" t="str">
        <f>IF(Tenth!C105="", "",Tenth!C105)</f>
        <v/>
      </c>
      <c r="D2352" s="66" t="str">
        <f>IF(Tenth!D105="", "",Tenth!D105)</f>
        <v/>
      </c>
      <c r="E2352" s="66" t="str">
        <f>IF(Tenth!E105="", "",Tenth!E105)</f>
        <v/>
      </c>
      <c r="F2352" s="66" t="str">
        <f>IF(Tenth!F105="", "",Tenth!F105)</f>
        <v/>
      </c>
      <c r="G2352" s="66" t="str">
        <f>IF(Tenth!G105="", "",Tenth!G105)</f>
        <v/>
      </c>
      <c r="H2352" s="66" t="str">
        <f>IF(Tenth!H105="", "",Tenth!H105)</f>
        <v/>
      </c>
      <c r="I2352" s="66" t="str">
        <f>IF(Tenth!I105="", "",Tenth!I105)</f>
        <v/>
      </c>
      <c r="J2352" s="66" t="str">
        <f>IF(Tenth!J105="", "",Tenth!J105)</f>
        <v/>
      </c>
      <c r="K2352" s="86" t="str">
        <f>IF(Tenth!K105="", "",Tenth!K105)</f>
        <v/>
      </c>
      <c r="M2352" s="67" t="str">
        <f t="shared" si="110"/>
        <v/>
      </c>
      <c r="N2352" s="76" t="str">
        <f t="shared" si="111"/>
        <v/>
      </c>
      <c r="O2352" s="33">
        <f t="shared" si="109"/>
        <v>0</v>
      </c>
    </row>
    <row r="2353" spans="1:15" x14ac:dyDescent="0.25">
      <c r="A2353" s="64" t="s">
        <v>183</v>
      </c>
      <c r="B2353" s="79" t="str">
        <f>IF(Tenth!B106="", "",Tenth!B106)</f>
        <v/>
      </c>
      <c r="C2353" s="66" t="str">
        <f>IF(Tenth!C106="", "",Tenth!C106)</f>
        <v/>
      </c>
      <c r="D2353" s="66" t="str">
        <f>IF(Tenth!D106="", "",Tenth!D106)</f>
        <v/>
      </c>
      <c r="E2353" s="66" t="str">
        <f>IF(Tenth!E106="", "",Tenth!E106)</f>
        <v/>
      </c>
      <c r="F2353" s="66" t="str">
        <f>IF(Tenth!F106="", "",Tenth!F106)</f>
        <v/>
      </c>
      <c r="G2353" s="66" t="str">
        <f>IF(Tenth!G106="", "",Tenth!G106)</f>
        <v/>
      </c>
      <c r="H2353" s="66" t="str">
        <f>IF(Tenth!H106="", "",Tenth!H106)</f>
        <v/>
      </c>
      <c r="I2353" s="66" t="str">
        <f>IF(Tenth!I106="", "",Tenth!I106)</f>
        <v/>
      </c>
      <c r="J2353" s="66" t="str">
        <f>IF(Tenth!J106="", "",Tenth!J106)</f>
        <v/>
      </c>
      <c r="K2353" s="86" t="str">
        <f>IF(Tenth!K106="", "",Tenth!K106)</f>
        <v/>
      </c>
      <c r="M2353" s="67" t="str">
        <f t="shared" si="110"/>
        <v/>
      </c>
      <c r="N2353" s="76" t="str">
        <f t="shared" si="111"/>
        <v/>
      </c>
      <c r="O2353" s="33">
        <f t="shared" si="109"/>
        <v>0</v>
      </c>
    </row>
    <row r="2354" spans="1:15" x14ac:dyDescent="0.25">
      <c r="A2354" s="64" t="s">
        <v>183</v>
      </c>
      <c r="B2354" s="79" t="str">
        <f>IF(Tenth!B107="", "",Tenth!B107)</f>
        <v/>
      </c>
      <c r="C2354" s="66" t="str">
        <f>IF(Tenth!C107="", "",Tenth!C107)</f>
        <v/>
      </c>
      <c r="D2354" s="66" t="str">
        <f>IF(Tenth!D107="", "",Tenth!D107)</f>
        <v/>
      </c>
      <c r="E2354" s="66" t="str">
        <f>IF(Tenth!E107="", "",Tenth!E107)</f>
        <v/>
      </c>
      <c r="F2354" s="66" t="str">
        <f>IF(Tenth!F107="", "",Tenth!F107)</f>
        <v/>
      </c>
      <c r="G2354" s="66" t="str">
        <f>IF(Tenth!G107="", "",Tenth!G107)</f>
        <v/>
      </c>
      <c r="H2354" s="66" t="str">
        <f>IF(Tenth!H107="", "",Tenth!H107)</f>
        <v/>
      </c>
      <c r="I2354" s="66" t="str">
        <f>IF(Tenth!I107="", "",Tenth!I107)</f>
        <v/>
      </c>
      <c r="J2354" s="66" t="str">
        <f>IF(Tenth!J107="", "",Tenth!J107)</f>
        <v/>
      </c>
      <c r="K2354" s="86" t="str">
        <f>IF(Tenth!K107="", "",Tenth!K107)</f>
        <v/>
      </c>
      <c r="M2354" s="67" t="str">
        <f t="shared" si="110"/>
        <v/>
      </c>
      <c r="N2354" s="76" t="str">
        <f t="shared" si="111"/>
        <v/>
      </c>
      <c r="O2354" s="33">
        <f t="shared" si="109"/>
        <v>0</v>
      </c>
    </row>
    <row r="2355" spans="1:15" x14ac:dyDescent="0.25">
      <c r="A2355" s="64" t="s">
        <v>183</v>
      </c>
      <c r="B2355" s="79" t="str">
        <f>IF(Tenth!B108="", "",Tenth!B108)</f>
        <v/>
      </c>
      <c r="C2355" s="66" t="str">
        <f>IF(Tenth!C108="", "",Tenth!C108)</f>
        <v/>
      </c>
      <c r="D2355" s="66" t="str">
        <f>IF(Tenth!D108="", "",Tenth!D108)</f>
        <v/>
      </c>
      <c r="E2355" s="66" t="str">
        <f>IF(Tenth!E108="", "",Tenth!E108)</f>
        <v/>
      </c>
      <c r="F2355" s="66" t="str">
        <f>IF(Tenth!F108="", "",Tenth!F108)</f>
        <v/>
      </c>
      <c r="G2355" s="66" t="str">
        <f>IF(Tenth!G108="", "",Tenth!G108)</f>
        <v/>
      </c>
      <c r="H2355" s="66" t="str">
        <f>IF(Tenth!H108="", "",Tenth!H108)</f>
        <v/>
      </c>
      <c r="I2355" s="66" t="str">
        <f>IF(Tenth!I108="", "",Tenth!I108)</f>
        <v/>
      </c>
      <c r="J2355" s="66" t="str">
        <f>IF(Tenth!J108="", "",Tenth!J108)</f>
        <v/>
      </c>
      <c r="K2355" s="86" t="str">
        <f>IF(Tenth!K108="", "",Tenth!K108)</f>
        <v/>
      </c>
      <c r="M2355" s="67" t="str">
        <f t="shared" si="110"/>
        <v/>
      </c>
      <c r="N2355" s="76" t="str">
        <f t="shared" si="111"/>
        <v/>
      </c>
      <c r="O2355" s="33">
        <f t="shared" si="109"/>
        <v>0</v>
      </c>
    </row>
    <row r="2356" spans="1:15" x14ac:dyDescent="0.25">
      <c r="A2356" s="64" t="s">
        <v>183</v>
      </c>
      <c r="B2356" s="79" t="str">
        <f>IF(Tenth!B109="", "",Tenth!B109)</f>
        <v/>
      </c>
      <c r="C2356" s="66" t="str">
        <f>IF(Tenth!C109="", "",Tenth!C109)</f>
        <v/>
      </c>
      <c r="D2356" s="66" t="str">
        <f>IF(Tenth!D109="", "",Tenth!D109)</f>
        <v/>
      </c>
      <c r="E2356" s="66" t="str">
        <f>IF(Tenth!E109="", "",Tenth!E109)</f>
        <v/>
      </c>
      <c r="F2356" s="66" t="str">
        <f>IF(Tenth!F109="", "",Tenth!F109)</f>
        <v/>
      </c>
      <c r="G2356" s="66" t="str">
        <f>IF(Tenth!G109="", "",Tenth!G109)</f>
        <v/>
      </c>
      <c r="H2356" s="66" t="str">
        <f>IF(Tenth!H109="", "",Tenth!H109)</f>
        <v/>
      </c>
      <c r="I2356" s="66" t="str">
        <f>IF(Tenth!I109="", "",Tenth!I109)</f>
        <v/>
      </c>
      <c r="J2356" s="66" t="str">
        <f>IF(Tenth!J109="", "",Tenth!J109)</f>
        <v/>
      </c>
      <c r="K2356" s="86" t="str">
        <f>IF(Tenth!K109="", "",Tenth!K109)</f>
        <v/>
      </c>
      <c r="M2356" s="67" t="str">
        <f t="shared" si="110"/>
        <v/>
      </c>
      <c r="N2356" s="76" t="str">
        <f t="shared" si="111"/>
        <v/>
      </c>
      <c r="O2356" s="33">
        <f t="shared" si="109"/>
        <v>0</v>
      </c>
    </row>
    <row r="2357" spans="1:15" x14ac:dyDescent="0.25">
      <c r="A2357" s="64" t="s">
        <v>183</v>
      </c>
      <c r="B2357" s="79" t="str">
        <f>IF(Tenth!B110="", "",Tenth!B110)</f>
        <v/>
      </c>
      <c r="C2357" s="66" t="str">
        <f>IF(Tenth!C110="", "",Tenth!C110)</f>
        <v/>
      </c>
      <c r="D2357" s="66" t="str">
        <f>IF(Tenth!D110="", "",Tenth!D110)</f>
        <v/>
      </c>
      <c r="E2357" s="66" t="str">
        <f>IF(Tenth!E110="", "",Tenth!E110)</f>
        <v/>
      </c>
      <c r="F2357" s="66" t="str">
        <f>IF(Tenth!F110="", "",Tenth!F110)</f>
        <v/>
      </c>
      <c r="G2357" s="66" t="str">
        <f>IF(Tenth!G110="", "",Tenth!G110)</f>
        <v/>
      </c>
      <c r="H2357" s="66" t="str">
        <f>IF(Tenth!H110="", "",Tenth!H110)</f>
        <v/>
      </c>
      <c r="I2357" s="66" t="str">
        <f>IF(Tenth!I110="", "",Tenth!I110)</f>
        <v/>
      </c>
      <c r="J2357" s="66" t="str">
        <f>IF(Tenth!J110="", "",Tenth!J110)</f>
        <v/>
      </c>
      <c r="K2357" s="86" t="str">
        <f>IF(Tenth!K110="", "",Tenth!K110)</f>
        <v/>
      </c>
      <c r="M2357" s="67" t="str">
        <f t="shared" si="110"/>
        <v/>
      </c>
      <c r="N2357" s="76" t="str">
        <f t="shared" si="111"/>
        <v/>
      </c>
      <c r="O2357" s="33">
        <f t="shared" si="109"/>
        <v>0</v>
      </c>
    </row>
    <row r="2358" spans="1:15" x14ac:dyDescent="0.25">
      <c r="A2358" s="64" t="s">
        <v>183</v>
      </c>
      <c r="B2358" s="79" t="str">
        <f>IF(Tenth!B111="", "",Tenth!B111)</f>
        <v/>
      </c>
      <c r="C2358" s="66" t="str">
        <f>IF(Tenth!C111="", "",Tenth!C111)</f>
        <v/>
      </c>
      <c r="D2358" s="66" t="str">
        <f>IF(Tenth!D111="", "",Tenth!D111)</f>
        <v/>
      </c>
      <c r="E2358" s="66" t="str">
        <f>IF(Tenth!E111="", "",Tenth!E111)</f>
        <v/>
      </c>
      <c r="F2358" s="66" t="str">
        <f>IF(Tenth!F111="", "",Tenth!F111)</f>
        <v/>
      </c>
      <c r="G2358" s="66" t="str">
        <f>IF(Tenth!G111="", "",Tenth!G111)</f>
        <v/>
      </c>
      <c r="H2358" s="66" t="str">
        <f>IF(Tenth!H111="", "",Tenth!H111)</f>
        <v/>
      </c>
      <c r="I2358" s="66" t="str">
        <f>IF(Tenth!I111="", "",Tenth!I111)</f>
        <v/>
      </c>
      <c r="J2358" s="66" t="str">
        <f>IF(Tenth!J111="", "",Tenth!J111)</f>
        <v/>
      </c>
      <c r="K2358" s="86" t="str">
        <f>IF(Tenth!K111="", "",Tenth!K111)</f>
        <v/>
      </c>
      <c r="M2358" s="67" t="str">
        <f t="shared" si="110"/>
        <v/>
      </c>
      <c r="N2358" s="76" t="str">
        <f t="shared" si="111"/>
        <v/>
      </c>
      <c r="O2358" s="33">
        <f t="shared" si="109"/>
        <v>0</v>
      </c>
    </row>
    <row r="2359" spans="1:15" x14ac:dyDescent="0.25">
      <c r="A2359" s="64" t="s">
        <v>183</v>
      </c>
      <c r="B2359" s="79" t="str">
        <f>IF(Tenth!B112="", "",Tenth!B112)</f>
        <v/>
      </c>
      <c r="C2359" s="66" t="str">
        <f>IF(Tenth!C112="", "",Tenth!C112)</f>
        <v/>
      </c>
      <c r="D2359" s="66" t="str">
        <f>IF(Tenth!D112="", "",Tenth!D112)</f>
        <v/>
      </c>
      <c r="E2359" s="66" t="str">
        <f>IF(Tenth!E112="", "",Tenth!E112)</f>
        <v/>
      </c>
      <c r="F2359" s="66" t="str">
        <f>IF(Tenth!F112="", "",Tenth!F112)</f>
        <v/>
      </c>
      <c r="G2359" s="66" t="str">
        <f>IF(Tenth!G112="", "",Tenth!G112)</f>
        <v/>
      </c>
      <c r="H2359" s="66" t="str">
        <f>IF(Tenth!H112="", "",Tenth!H112)</f>
        <v/>
      </c>
      <c r="I2359" s="66" t="str">
        <f>IF(Tenth!I112="", "",Tenth!I112)</f>
        <v/>
      </c>
      <c r="J2359" s="66" t="str">
        <f>IF(Tenth!J112="", "",Tenth!J112)</f>
        <v/>
      </c>
      <c r="K2359" s="86" t="str">
        <f>IF(Tenth!K112="", "",Tenth!K112)</f>
        <v/>
      </c>
      <c r="M2359" s="67" t="str">
        <f t="shared" si="110"/>
        <v/>
      </c>
      <c r="N2359" s="76" t="str">
        <f t="shared" si="111"/>
        <v/>
      </c>
      <c r="O2359" s="33">
        <f t="shared" si="109"/>
        <v>0</v>
      </c>
    </row>
    <row r="2360" spans="1:15" x14ac:dyDescent="0.25">
      <c r="A2360" s="64" t="s">
        <v>183</v>
      </c>
      <c r="B2360" s="79" t="str">
        <f>IF(Tenth!B113="", "",Tenth!B113)</f>
        <v/>
      </c>
      <c r="C2360" s="66" t="str">
        <f>IF(Tenth!C113="", "",Tenth!C113)</f>
        <v/>
      </c>
      <c r="D2360" s="66" t="str">
        <f>IF(Tenth!D113="", "",Tenth!D113)</f>
        <v/>
      </c>
      <c r="E2360" s="66" t="str">
        <f>IF(Tenth!E113="", "",Tenth!E113)</f>
        <v/>
      </c>
      <c r="F2360" s="66" t="str">
        <f>IF(Tenth!F113="", "",Tenth!F113)</f>
        <v/>
      </c>
      <c r="G2360" s="66" t="str">
        <f>IF(Tenth!G113="", "",Tenth!G113)</f>
        <v/>
      </c>
      <c r="H2360" s="66" t="str">
        <f>IF(Tenth!H113="", "",Tenth!H113)</f>
        <v/>
      </c>
      <c r="I2360" s="66" t="str">
        <f>IF(Tenth!I113="", "",Tenth!I113)</f>
        <v/>
      </c>
      <c r="J2360" s="66" t="str">
        <f>IF(Tenth!J113="", "",Tenth!J113)</f>
        <v/>
      </c>
      <c r="K2360" s="86" t="str">
        <f>IF(Tenth!K113="", "",Tenth!K113)</f>
        <v/>
      </c>
      <c r="M2360" s="67" t="str">
        <f t="shared" si="110"/>
        <v/>
      </c>
      <c r="N2360" s="76" t="str">
        <f t="shared" si="111"/>
        <v/>
      </c>
      <c r="O2360" s="33">
        <f t="shared" si="109"/>
        <v>0</v>
      </c>
    </row>
    <row r="2361" spans="1:15" x14ac:dyDescent="0.25">
      <c r="A2361" s="64" t="s">
        <v>183</v>
      </c>
      <c r="B2361" s="79" t="str">
        <f>IF(Tenth!B114="", "",Tenth!B114)</f>
        <v/>
      </c>
      <c r="C2361" s="66" t="str">
        <f>IF(Tenth!C114="", "",Tenth!C114)</f>
        <v/>
      </c>
      <c r="D2361" s="66" t="str">
        <f>IF(Tenth!D114="", "",Tenth!D114)</f>
        <v/>
      </c>
      <c r="E2361" s="66" t="str">
        <f>IF(Tenth!E114="", "",Tenth!E114)</f>
        <v/>
      </c>
      <c r="F2361" s="66" t="str">
        <f>IF(Tenth!F114="", "",Tenth!F114)</f>
        <v/>
      </c>
      <c r="G2361" s="66" t="str">
        <f>IF(Tenth!G114="", "",Tenth!G114)</f>
        <v/>
      </c>
      <c r="H2361" s="66" t="str">
        <f>IF(Tenth!H114="", "",Tenth!H114)</f>
        <v/>
      </c>
      <c r="I2361" s="66" t="str">
        <f>IF(Tenth!I114="", "",Tenth!I114)</f>
        <v/>
      </c>
      <c r="J2361" s="66" t="str">
        <f>IF(Tenth!J114="", "",Tenth!J114)</f>
        <v/>
      </c>
      <c r="K2361" s="86" t="str">
        <f>IF(Tenth!K114="", "",Tenth!K114)</f>
        <v/>
      </c>
      <c r="M2361" s="67" t="str">
        <f t="shared" si="110"/>
        <v/>
      </c>
      <c r="N2361" s="76" t="str">
        <f t="shared" si="111"/>
        <v/>
      </c>
      <c r="O2361" s="33">
        <f t="shared" si="109"/>
        <v>0</v>
      </c>
    </row>
    <row r="2362" spans="1:15" x14ac:dyDescent="0.25">
      <c r="A2362" s="64" t="s">
        <v>183</v>
      </c>
      <c r="B2362" s="79" t="str">
        <f>IF(Tenth!B115="", "",Tenth!B115)</f>
        <v/>
      </c>
      <c r="C2362" s="66" t="str">
        <f>IF(Tenth!C115="", "",Tenth!C115)</f>
        <v/>
      </c>
      <c r="D2362" s="66" t="str">
        <f>IF(Tenth!D115="", "",Tenth!D115)</f>
        <v/>
      </c>
      <c r="E2362" s="66" t="str">
        <f>IF(Tenth!E115="", "",Tenth!E115)</f>
        <v/>
      </c>
      <c r="F2362" s="66" t="str">
        <f>IF(Tenth!F115="", "",Tenth!F115)</f>
        <v/>
      </c>
      <c r="G2362" s="66" t="str">
        <f>IF(Tenth!G115="", "",Tenth!G115)</f>
        <v/>
      </c>
      <c r="H2362" s="66" t="str">
        <f>IF(Tenth!H115="", "",Tenth!H115)</f>
        <v/>
      </c>
      <c r="I2362" s="66" t="str">
        <f>IF(Tenth!I115="", "",Tenth!I115)</f>
        <v/>
      </c>
      <c r="J2362" s="66" t="str">
        <f>IF(Tenth!J115="", "",Tenth!J115)</f>
        <v/>
      </c>
      <c r="K2362" s="86" t="str">
        <f>IF(Tenth!K115="", "",Tenth!K115)</f>
        <v/>
      </c>
      <c r="M2362" s="67" t="str">
        <f t="shared" si="110"/>
        <v/>
      </c>
      <c r="N2362" s="76" t="str">
        <f t="shared" si="111"/>
        <v/>
      </c>
      <c r="O2362" s="33">
        <f t="shared" si="109"/>
        <v>0</v>
      </c>
    </row>
    <row r="2363" spans="1:15" x14ac:dyDescent="0.25">
      <c r="A2363" s="64" t="s">
        <v>183</v>
      </c>
      <c r="B2363" s="79" t="str">
        <f>IF(Tenth!B116="", "",Tenth!B116)</f>
        <v/>
      </c>
      <c r="C2363" s="66" t="str">
        <f>IF(Tenth!C116="", "",Tenth!C116)</f>
        <v/>
      </c>
      <c r="D2363" s="66" t="str">
        <f>IF(Tenth!D116="", "",Tenth!D116)</f>
        <v/>
      </c>
      <c r="E2363" s="66" t="str">
        <f>IF(Tenth!E116="", "",Tenth!E116)</f>
        <v/>
      </c>
      <c r="F2363" s="66" t="str">
        <f>IF(Tenth!F116="", "",Tenth!F116)</f>
        <v/>
      </c>
      <c r="G2363" s="66" t="str">
        <f>IF(Tenth!G116="", "",Tenth!G116)</f>
        <v/>
      </c>
      <c r="H2363" s="66" t="str">
        <f>IF(Tenth!H116="", "",Tenth!H116)</f>
        <v/>
      </c>
      <c r="I2363" s="66" t="str">
        <f>IF(Tenth!I116="", "",Tenth!I116)</f>
        <v/>
      </c>
      <c r="J2363" s="66" t="str">
        <f>IF(Tenth!J116="", "",Tenth!J116)</f>
        <v/>
      </c>
      <c r="K2363" s="86" t="str">
        <f>IF(Tenth!K116="", "",Tenth!K116)</f>
        <v/>
      </c>
      <c r="M2363" s="67" t="str">
        <f t="shared" si="110"/>
        <v/>
      </c>
      <c r="N2363" s="76" t="str">
        <f t="shared" si="111"/>
        <v/>
      </c>
      <c r="O2363" s="33">
        <f t="shared" si="109"/>
        <v>0</v>
      </c>
    </row>
    <row r="2364" spans="1:15" x14ac:dyDescent="0.25">
      <c r="A2364" s="64" t="s">
        <v>183</v>
      </c>
      <c r="B2364" s="79" t="str">
        <f>IF(Tenth!B117="", "",Tenth!B117)</f>
        <v/>
      </c>
      <c r="C2364" s="66" t="str">
        <f>IF(Tenth!C117="", "",Tenth!C117)</f>
        <v/>
      </c>
      <c r="D2364" s="66" t="str">
        <f>IF(Tenth!D117="", "",Tenth!D117)</f>
        <v/>
      </c>
      <c r="E2364" s="66" t="str">
        <f>IF(Tenth!E117="", "",Tenth!E117)</f>
        <v/>
      </c>
      <c r="F2364" s="66" t="str">
        <f>IF(Tenth!F117="", "",Tenth!F117)</f>
        <v/>
      </c>
      <c r="G2364" s="66" t="str">
        <f>IF(Tenth!G117="", "",Tenth!G117)</f>
        <v/>
      </c>
      <c r="H2364" s="66" t="str">
        <f>IF(Tenth!H117="", "",Tenth!H117)</f>
        <v/>
      </c>
      <c r="I2364" s="66" t="str">
        <f>IF(Tenth!I117="", "",Tenth!I117)</f>
        <v/>
      </c>
      <c r="J2364" s="66" t="str">
        <f>IF(Tenth!J117="", "",Tenth!J117)</f>
        <v/>
      </c>
      <c r="K2364" s="86" t="str">
        <f>IF(Tenth!K117="", "",Tenth!K117)</f>
        <v/>
      </c>
      <c r="M2364" s="67" t="str">
        <f t="shared" si="110"/>
        <v/>
      </c>
      <c r="N2364" s="76" t="str">
        <f t="shared" si="111"/>
        <v/>
      </c>
      <c r="O2364" s="33">
        <f t="shared" si="109"/>
        <v>0</v>
      </c>
    </row>
    <row r="2365" spans="1:15" x14ac:dyDescent="0.25">
      <c r="A2365" s="64" t="s">
        <v>183</v>
      </c>
      <c r="B2365" s="79" t="str">
        <f>IF(Tenth!B118="", "",Tenth!B118)</f>
        <v/>
      </c>
      <c r="C2365" s="66" t="str">
        <f>IF(Tenth!C118="", "",Tenth!C118)</f>
        <v/>
      </c>
      <c r="D2365" s="66" t="str">
        <f>IF(Tenth!D118="", "",Tenth!D118)</f>
        <v/>
      </c>
      <c r="E2365" s="66" t="str">
        <f>IF(Tenth!E118="", "",Tenth!E118)</f>
        <v/>
      </c>
      <c r="F2365" s="66" t="str">
        <f>IF(Tenth!F118="", "",Tenth!F118)</f>
        <v/>
      </c>
      <c r="G2365" s="66" t="str">
        <f>IF(Tenth!G118="", "",Tenth!G118)</f>
        <v/>
      </c>
      <c r="H2365" s="66" t="str">
        <f>IF(Tenth!H118="", "",Tenth!H118)</f>
        <v/>
      </c>
      <c r="I2365" s="66" t="str">
        <f>IF(Tenth!I118="", "",Tenth!I118)</f>
        <v/>
      </c>
      <c r="J2365" s="66" t="str">
        <f>IF(Tenth!J118="", "",Tenth!J118)</f>
        <v/>
      </c>
      <c r="K2365" s="86" t="str">
        <f>IF(Tenth!K118="", "",Tenth!K118)</f>
        <v/>
      </c>
      <c r="M2365" s="67" t="str">
        <f t="shared" si="110"/>
        <v/>
      </c>
      <c r="N2365" s="76" t="str">
        <f t="shared" si="111"/>
        <v/>
      </c>
      <c r="O2365" s="33">
        <f t="shared" si="109"/>
        <v>0</v>
      </c>
    </row>
    <row r="2366" spans="1:15" x14ac:dyDescent="0.25">
      <c r="A2366" s="64" t="s">
        <v>183</v>
      </c>
      <c r="B2366" s="79" t="str">
        <f>IF(Tenth!B119="", "",Tenth!B119)</f>
        <v/>
      </c>
      <c r="C2366" s="66" t="str">
        <f>IF(Tenth!C119="", "",Tenth!C119)</f>
        <v/>
      </c>
      <c r="D2366" s="66" t="str">
        <f>IF(Tenth!D119="", "",Tenth!D119)</f>
        <v/>
      </c>
      <c r="E2366" s="66" t="str">
        <f>IF(Tenth!E119="", "",Tenth!E119)</f>
        <v/>
      </c>
      <c r="F2366" s="66" t="str">
        <f>IF(Tenth!F119="", "",Tenth!F119)</f>
        <v/>
      </c>
      <c r="G2366" s="66" t="str">
        <f>IF(Tenth!G119="", "",Tenth!G119)</f>
        <v/>
      </c>
      <c r="H2366" s="66" t="str">
        <f>IF(Tenth!H119="", "",Tenth!H119)</f>
        <v/>
      </c>
      <c r="I2366" s="66" t="str">
        <f>IF(Tenth!I119="", "",Tenth!I119)</f>
        <v/>
      </c>
      <c r="J2366" s="66" t="str">
        <f>IF(Tenth!J119="", "",Tenth!J119)</f>
        <v/>
      </c>
      <c r="K2366" s="86" t="str">
        <f>IF(Tenth!K119="", "",Tenth!K119)</f>
        <v/>
      </c>
      <c r="M2366" s="67" t="str">
        <f t="shared" si="110"/>
        <v/>
      </c>
      <c r="N2366" s="76" t="str">
        <f t="shared" si="111"/>
        <v/>
      </c>
      <c r="O2366" s="33">
        <f t="shared" si="109"/>
        <v>0</v>
      </c>
    </row>
    <row r="2367" spans="1:15" x14ac:dyDescent="0.25">
      <c r="A2367" s="64" t="s">
        <v>183</v>
      </c>
      <c r="B2367" s="79" t="str">
        <f>IF(Tenth!B120="", "",Tenth!B120)</f>
        <v/>
      </c>
      <c r="C2367" s="66" t="str">
        <f>IF(Tenth!C120="", "",Tenth!C120)</f>
        <v/>
      </c>
      <c r="D2367" s="66" t="str">
        <f>IF(Tenth!D120="", "",Tenth!D120)</f>
        <v/>
      </c>
      <c r="E2367" s="66" t="str">
        <f>IF(Tenth!E120="", "",Tenth!E120)</f>
        <v/>
      </c>
      <c r="F2367" s="66" t="str">
        <f>IF(Tenth!F120="", "",Tenth!F120)</f>
        <v/>
      </c>
      <c r="G2367" s="66" t="str">
        <f>IF(Tenth!G120="", "",Tenth!G120)</f>
        <v/>
      </c>
      <c r="H2367" s="66" t="str">
        <f>IF(Tenth!H120="", "",Tenth!H120)</f>
        <v/>
      </c>
      <c r="I2367" s="66" t="str">
        <f>IF(Tenth!I120="", "",Tenth!I120)</f>
        <v/>
      </c>
      <c r="J2367" s="66" t="str">
        <f>IF(Tenth!J120="", "",Tenth!J120)</f>
        <v/>
      </c>
      <c r="K2367" s="86" t="str">
        <f>IF(Tenth!K120="", "",Tenth!K120)</f>
        <v/>
      </c>
      <c r="M2367" s="67" t="str">
        <f t="shared" si="110"/>
        <v/>
      </c>
      <c r="N2367" s="76" t="str">
        <f t="shared" si="111"/>
        <v/>
      </c>
      <c r="O2367" s="33">
        <f t="shared" si="109"/>
        <v>0</v>
      </c>
    </row>
    <row r="2368" spans="1:15" x14ac:dyDescent="0.25">
      <c r="A2368" s="64" t="s">
        <v>183</v>
      </c>
      <c r="B2368" s="79" t="str">
        <f>IF(Tenth!B121="", "",Tenth!B121)</f>
        <v/>
      </c>
      <c r="C2368" s="66" t="str">
        <f>IF(Tenth!C121="", "",Tenth!C121)</f>
        <v/>
      </c>
      <c r="D2368" s="66" t="str">
        <f>IF(Tenth!D121="", "",Tenth!D121)</f>
        <v/>
      </c>
      <c r="E2368" s="66" t="str">
        <f>IF(Tenth!E121="", "",Tenth!E121)</f>
        <v/>
      </c>
      <c r="F2368" s="66" t="str">
        <f>IF(Tenth!F121="", "",Tenth!F121)</f>
        <v/>
      </c>
      <c r="G2368" s="66" t="str">
        <f>IF(Tenth!G121="", "",Tenth!G121)</f>
        <v/>
      </c>
      <c r="H2368" s="66" t="str">
        <f>IF(Tenth!H121="", "",Tenth!H121)</f>
        <v/>
      </c>
      <c r="I2368" s="66" t="str">
        <f>IF(Tenth!I121="", "",Tenth!I121)</f>
        <v/>
      </c>
      <c r="J2368" s="66" t="str">
        <f>IF(Tenth!J121="", "",Tenth!J121)</f>
        <v/>
      </c>
      <c r="K2368" s="86" t="str">
        <f>IF(Tenth!K121="", "",Tenth!K121)</f>
        <v/>
      </c>
      <c r="M2368" s="67" t="str">
        <f t="shared" si="110"/>
        <v/>
      </c>
      <c r="N2368" s="76" t="str">
        <f t="shared" si="111"/>
        <v/>
      </c>
      <c r="O2368" s="33">
        <f t="shared" si="109"/>
        <v>0</v>
      </c>
    </row>
    <row r="2369" spans="1:15" x14ac:dyDescent="0.25">
      <c r="A2369" s="64" t="s">
        <v>183</v>
      </c>
      <c r="B2369" s="79" t="str">
        <f>IF(Tenth!B122="", "",Tenth!B122)</f>
        <v/>
      </c>
      <c r="C2369" s="66" t="str">
        <f>IF(Tenth!C122="", "",Tenth!C122)</f>
        <v/>
      </c>
      <c r="D2369" s="66" t="str">
        <f>IF(Tenth!D122="", "",Tenth!D122)</f>
        <v/>
      </c>
      <c r="E2369" s="66" t="str">
        <f>IF(Tenth!E122="", "",Tenth!E122)</f>
        <v/>
      </c>
      <c r="F2369" s="66" t="str">
        <f>IF(Tenth!F122="", "",Tenth!F122)</f>
        <v/>
      </c>
      <c r="G2369" s="66" t="str">
        <f>IF(Tenth!G122="", "",Tenth!G122)</f>
        <v/>
      </c>
      <c r="H2369" s="66" t="str">
        <f>IF(Tenth!H122="", "",Tenth!H122)</f>
        <v/>
      </c>
      <c r="I2369" s="66" t="str">
        <f>IF(Tenth!I122="", "",Tenth!I122)</f>
        <v/>
      </c>
      <c r="J2369" s="66" t="str">
        <f>IF(Tenth!J122="", "",Tenth!J122)</f>
        <v/>
      </c>
      <c r="K2369" s="86" t="str">
        <f>IF(Tenth!K122="", "",Tenth!K122)</f>
        <v/>
      </c>
      <c r="M2369" s="67" t="str">
        <f t="shared" si="110"/>
        <v/>
      </c>
      <c r="N2369" s="76" t="str">
        <f t="shared" si="111"/>
        <v/>
      </c>
      <c r="O2369" s="33">
        <f t="shared" si="109"/>
        <v>0</v>
      </c>
    </row>
    <row r="2370" spans="1:15" x14ac:dyDescent="0.25">
      <c r="A2370" s="64" t="s">
        <v>183</v>
      </c>
      <c r="B2370" s="79" t="str">
        <f>IF(Tenth!B123="", "",Tenth!B123)</f>
        <v/>
      </c>
      <c r="C2370" s="66" t="str">
        <f>IF(Tenth!C123="", "",Tenth!C123)</f>
        <v/>
      </c>
      <c r="D2370" s="66" t="str">
        <f>IF(Tenth!D123="", "",Tenth!D123)</f>
        <v/>
      </c>
      <c r="E2370" s="66" t="str">
        <f>IF(Tenth!E123="", "",Tenth!E123)</f>
        <v/>
      </c>
      <c r="F2370" s="66" t="str">
        <f>IF(Tenth!F123="", "",Tenth!F123)</f>
        <v/>
      </c>
      <c r="G2370" s="66" t="str">
        <f>IF(Tenth!G123="", "",Tenth!G123)</f>
        <v/>
      </c>
      <c r="H2370" s="66" t="str">
        <f>IF(Tenth!H123="", "",Tenth!H123)</f>
        <v/>
      </c>
      <c r="I2370" s="66" t="str">
        <f>IF(Tenth!I123="", "",Tenth!I123)</f>
        <v/>
      </c>
      <c r="J2370" s="66" t="str">
        <f>IF(Tenth!J123="", "",Tenth!J123)</f>
        <v/>
      </c>
      <c r="K2370" s="86" t="str">
        <f>IF(Tenth!K123="", "",Tenth!K123)</f>
        <v/>
      </c>
      <c r="M2370" s="67" t="str">
        <f t="shared" si="110"/>
        <v/>
      </c>
      <c r="N2370" s="76" t="str">
        <f t="shared" si="111"/>
        <v/>
      </c>
      <c r="O2370" s="33">
        <f t="shared" ref="O2370:O2433" si="112">SUM(M2370:N2370)</f>
        <v>0</v>
      </c>
    </row>
    <row r="2371" spans="1:15" x14ac:dyDescent="0.25">
      <c r="A2371" s="64" t="s">
        <v>183</v>
      </c>
      <c r="B2371" s="79" t="str">
        <f>IF(Tenth!B124="", "",Tenth!B124)</f>
        <v/>
      </c>
      <c r="C2371" s="66" t="str">
        <f>IF(Tenth!C124="", "",Tenth!C124)</f>
        <v/>
      </c>
      <c r="D2371" s="66" t="str">
        <f>IF(Tenth!D124="", "",Tenth!D124)</f>
        <v/>
      </c>
      <c r="E2371" s="66" t="str">
        <f>IF(Tenth!E124="", "",Tenth!E124)</f>
        <v/>
      </c>
      <c r="F2371" s="66" t="str">
        <f>IF(Tenth!F124="", "",Tenth!F124)</f>
        <v/>
      </c>
      <c r="G2371" s="66" t="str">
        <f>IF(Tenth!G124="", "",Tenth!G124)</f>
        <v/>
      </c>
      <c r="H2371" s="66" t="str">
        <f>IF(Tenth!H124="", "",Tenth!H124)</f>
        <v/>
      </c>
      <c r="I2371" s="66" t="str">
        <f>IF(Tenth!I124="", "",Tenth!I124)</f>
        <v/>
      </c>
      <c r="J2371" s="66" t="str">
        <f>IF(Tenth!J124="", "",Tenth!J124)</f>
        <v/>
      </c>
      <c r="K2371" s="86" t="str">
        <f>IF(Tenth!K124="", "",Tenth!K124)</f>
        <v/>
      </c>
      <c r="M2371" s="67" t="str">
        <f t="shared" ref="M2371:M2434" si="113">IF(C2371="PwC",(7-COUNTIF(B2371:H2371,"")),"")</f>
        <v/>
      </c>
      <c r="N2371" s="76" t="str">
        <f t="shared" ref="N2371:N2434" si="114">IF(C2371="Carer",(7-COUNTIF(B2371:H2371,"")),"")</f>
        <v/>
      </c>
      <c r="O2371" s="33">
        <f t="shared" si="112"/>
        <v>0</v>
      </c>
    </row>
    <row r="2372" spans="1:15" x14ac:dyDescent="0.25">
      <c r="A2372" s="64" t="s">
        <v>183</v>
      </c>
      <c r="B2372" s="79" t="str">
        <f>IF(Tenth!B125="", "",Tenth!B125)</f>
        <v/>
      </c>
      <c r="C2372" s="66" t="str">
        <f>IF(Tenth!C125="", "",Tenth!C125)</f>
        <v/>
      </c>
      <c r="D2372" s="66" t="str">
        <f>IF(Tenth!D125="", "",Tenth!D125)</f>
        <v/>
      </c>
      <c r="E2372" s="66" t="str">
        <f>IF(Tenth!E125="", "",Tenth!E125)</f>
        <v/>
      </c>
      <c r="F2372" s="66" t="str">
        <f>IF(Tenth!F125="", "",Tenth!F125)</f>
        <v/>
      </c>
      <c r="G2372" s="66" t="str">
        <f>IF(Tenth!G125="", "",Tenth!G125)</f>
        <v/>
      </c>
      <c r="H2372" s="66" t="str">
        <f>IF(Tenth!H125="", "",Tenth!H125)</f>
        <v/>
      </c>
      <c r="I2372" s="66" t="str">
        <f>IF(Tenth!I125="", "",Tenth!I125)</f>
        <v/>
      </c>
      <c r="J2372" s="66" t="str">
        <f>IF(Tenth!J125="", "",Tenth!J125)</f>
        <v/>
      </c>
      <c r="K2372" s="86" t="str">
        <f>IF(Tenth!K125="", "",Tenth!K125)</f>
        <v/>
      </c>
      <c r="M2372" s="67" t="str">
        <f t="shared" si="113"/>
        <v/>
      </c>
      <c r="N2372" s="76" t="str">
        <f t="shared" si="114"/>
        <v/>
      </c>
      <c r="O2372" s="33">
        <f t="shared" si="112"/>
        <v>0</v>
      </c>
    </row>
    <row r="2373" spans="1:15" x14ac:dyDescent="0.25">
      <c r="A2373" s="64" t="s">
        <v>183</v>
      </c>
      <c r="B2373" s="79" t="str">
        <f>IF(Tenth!B126="", "",Tenth!B126)</f>
        <v/>
      </c>
      <c r="C2373" s="66" t="str">
        <f>IF(Tenth!C126="", "",Tenth!C126)</f>
        <v/>
      </c>
      <c r="D2373" s="66" t="str">
        <f>IF(Tenth!D126="", "",Tenth!D126)</f>
        <v/>
      </c>
      <c r="E2373" s="66" t="str">
        <f>IF(Tenth!E126="", "",Tenth!E126)</f>
        <v/>
      </c>
      <c r="F2373" s="66" t="str">
        <f>IF(Tenth!F126="", "",Tenth!F126)</f>
        <v/>
      </c>
      <c r="G2373" s="66" t="str">
        <f>IF(Tenth!G126="", "",Tenth!G126)</f>
        <v/>
      </c>
      <c r="H2373" s="66" t="str">
        <f>IF(Tenth!H126="", "",Tenth!H126)</f>
        <v/>
      </c>
      <c r="I2373" s="66" t="str">
        <f>IF(Tenth!I126="", "",Tenth!I126)</f>
        <v/>
      </c>
      <c r="J2373" s="66" t="str">
        <f>IF(Tenth!J126="", "",Tenth!J126)</f>
        <v/>
      </c>
      <c r="K2373" s="86" t="str">
        <f>IF(Tenth!K126="", "",Tenth!K126)</f>
        <v/>
      </c>
      <c r="M2373" s="67" t="str">
        <f t="shared" si="113"/>
        <v/>
      </c>
      <c r="N2373" s="76" t="str">
        <f t="shared" si="114"/>
        <v/>
      </c>
      <c r="O2373" s="33">
        <f t="shared" si="112"/>
        <v>0</v>
      </c>
    </row>
    <row r="2374" spans="1:15" x14ac:dyDescent="0.25">
      <c r="A2374" s="64" t="s">
        <v>183</v>
      </c>
      <c r="B2374" s="79" t="str">
        <f>IF(Tenth!B127="", "",Tenth!B127)</f>
        <v/>
      </c>
      <c r="C2374" s="66" t="str">
        <f>IF(Tenth!C127="", "",Tenth!C127)</f>
        <v/>
      </c>
      <c r="D2374" s="66" t="str">
        <f>IF(Tenth!D127="", "",Tenth!D127)</f>
        <v/>
      </c>
      <c r="E2374" s="66" t="str">
        <f>IF(Tenth!E127="", "",Tenth!E127)</f>
        <v/>
      </c>
      <c r="F2374" s="66" t="str">
        <f>IF(Tenth!F127="", "",Tenth!F127)</f>
        <v/>
      </c>
      <c r="G2374" s="66" t="str">
        <f>IF(Tenth!G127="", "",Tenth!G127)</f>
        <v/>
      </c>
      <c r="H2374" s="66" t="str">
        <f>IF(Tenth!H127="", "",Tenth!H127)</f>
        <v/>
      </c>
      <c r="I2374" s="66" t="str">
        <f>IF(Tenth!I127="", "",Tenth!I127)</f>
        <v/>
      </c>
      <c r="J2374" s="66" t="str">
        <f>IF(Tenth!J127="", "",Tenth!J127)</f>
        <v/>
      </c>
      <c r="K2374" s="86" t="str">
        <f>IF(Tenth!K127="", "",Tenth!K127)</f>
        <v/>
      </c>
      <c r="M2374" s="67" t="str">
        <f t="shared" si="113"/>
        <v/>
      </c>
      <c r="N2374" s="76" t="str">
        <f t="shared" si="114"/>
        <v/>
      </c>
      <c r="O2374" s="33">
        <f t="shared" si="112"/>
        <v>0</v>
      </c>
    </row>
    <row r="2375" spans="1:15" x14ac:dyDescent="0.25">
      <c r="A2375" s="64" t="s">
        <v>183</v>
      </c>
      <c r="B2375" s="79" t="str">
        <f>IF(Tenth!B128="", "",Tenth!B128)</f>
        <v/>
      </c>
      <c r="C2375" s="66" t="str">
        <f>IF(Tenth!C128="", "",Tenth!C128)</f>
        <v/>
      </c>
      <c r="D2375" s="66" t="str">
        <f>IF(Tenth!D128="", "",Tenth!D128)</f>
        <v/>
      </c>
      <c r="E2375" s="66" t="str">
        <f>IF(Tenth!E128="", "",Tenth!E128)</f>
        <v/>
      </c>
      <c r="F2375" s="66" t="str">
        <f>IF(Tenth!F128="", "",Tenth!F128)</f>
        <v/>
      </c>
      <c r="G2375" s="66" t="str">
        <f>IF(Tenth!G128="", "",Tenth!G128)</f>
        <v/>
      </c>
      <c r="H2375" s="66" t="str">
        <f>IF(Tenth!H128="", "",Tenth!H128)</f>
        <v/>
      </c>
      <c r="I2375" s="66" t="str">
        <f>IF(Tenth!I128="", "",Tenth!I128)</f>
        <v/>
      </c>
      <c r="J2375" s="66" t="str">
        <f>IF(Tenth!J128="", "",Tenth!J128)</f>
        <v/>
      </c>
      <c r="K2375" s="86" t="str">
        <f>IF(Tenth!K128="", "",Tenth!K128)</f>
        <v/>
      </c>
      <c r="M2375" s="67" t="str">
        <f t="shared" si="113"/>
        <v/>
      </c>
      <c r="N2375" s="76" t="str">
        <f t="shared" si="114"/>
        <v/>
      </c>
      <c r="O2375" s="33">
        <f t="shared" si="112"/>
        <v>0</v>
      </c>
    </row>
    <row r="2376" spans="1:15" x14ac:dyDescent="0.25">
      <c r="A2376" s="64" t="s">
        <v>183</v>
      </c>
      <c r="B2376" s="79" t="str">
        <f>IF(Tenth!B129="", "",Tenth!B129)</f>
        <v/>
      </c>
      <c r="C2376" s="66" t="str">
        <f>IF(Tenth!C129="", "",Tenth!C129)</f>
        <v/>
      </c>
      <c r="D2376" s="66" t="str">
        <f>IF(Tenth!D129="", "",Tenth!D129)</f>
        <v/>
      </c>
      <c r="E2376" s="66" t="str">
        <f>IF(Tenth!E129="", "",Tenth!E129)</f>
        <v/>
      </c>
      <c r="F2376" s="66" t="str">
        <f>IF(Tenth!F129="", "",Tenth!F129)</f>
        <v/>
      </c>
      <c r="G2376" s="66" t="str">
        <f>IF(Tenth!G129="", "",Tenth!G129)</f>
        <v/>
      </c>
      <c r="H2376" s="66" t="str">
        <f>IF(Tenth!H129="", "",Tenth!H129)</f>
        <v/>
      </c>
      <c r="I2376" s="66" t="str">
        <f>IF(Tenth!I129="", "",Tenth!I129)</f>
        <v/>
      </c>
      <c r="J2376" s="66" t="str">
        <f>IF(Tenth!J129="", "",Tenth!J129)</f>
        <v/>
      </c>
      <c r="K2376" s="86" t="str">
        <f>IF(Tenth!K129="", "",Tenth!K129)</f>
        <v/>
      </c>
      <c r="M2376" s="67" t="str">
        <f t="shared" si="113"/>
        <v/>
      </c>
      <c r="N2376" s="76" t="str">
        <f t="shared" si="114"/>
        <v/>
      </c>
      <c r="O2376" s="33">
        <f t="shared" si="112"/>
        <v>0</v>
      </c>
    </row>
    <row r="2377" spans="1:15" x14ac:dyDescent="0.25">
      <c r="A2377" s="64" t="s">
        <v>183</v>
      </c>
      <c r="B2377" s="79" t="str">
        <f>IF(Tenth!B130="", "",Tenth!B130)</f>
        <v/>
      </c>
      <c r="C2377" s="66" t="str">
        <f>IF(Tenth!C130="", "",Tenth!C130)</f>
        <v/>
      </c>
      <c r="D2377" s="66" t="str">
        <f>IF(Tenth!D130="", "",Tenth!D130)</f>
        <v/>
      </c>
      <c r="E2377" s="66" t="str">
        <f>IF(Tenth!E130="", "",Tenth!E130)</f>
        <v/>
      </c>
      <c r="F2377" s="66" t="str">
        <f>IF(Tenth!F130="", "",Tenth!F130)</f>
        <v/>
      </c>
      <c r="G2377" s="66" t="str">
        <f>IF(Tenth!G130="", "",Tenth!G130)</f>
        <v/>
      </c>
      <c r="H2377" s="66" t="str">
        <f>IF(Tenth!H130="", "",Tenth!H130)</f>
        <v/>
      </c>
      <c r="I2377" s="66" t="str">
        <f>IF(Tenth!I130="", "",Tenth!I130)</f>
        <v/>
      </c>
      <c r="J2377" s="66" t="str">
        <f>IF(Tenth!J130="", "",Tenth!J130)</f>
        <v/>
      </c>
      <c r="K2377" s="86" t="str">
        <f>IF(Tenth!K130="", "",Tenth!K130)</f>
        <v/>
      </c>
      <c r="M2377" s="67" t="str">
        <f t="shared" si="113"/>
        <v/>
      </c>
      <c r="N2377" s="76" t="str">
        <f t="shared" si="114"/>
        <v/>
      </c>
      <c r="O2377" s="33">
        <f t="shared" si="112"/>
        <v>0</v>
      </c>
    </row>
    <row r="2378" spans="1:15" x14ac:dyDescent="0.25">
      <c r="A2378" s="64" t="s">
        <v>183</v>
      </c>
      <c r="B2378" s="79" t="str">
        <f>IF(Tenth!B131="", "",Tenth!B131)</f>
        <v/>
      </c>
      <c r="C2378" s="66" t="str">
        <f>IF(Tenth!C131="", "",Tenth!C131)</f>
        <v/>
      </c>
      <c r="D2378" s="66" t="str">
        <f>IF(Tenth!D131="", "",Tenth!D131)</f>
        <v/>
      </c>
      <c r="E2378" s="66" t="str">
        <f>IF(Tenth!E131="", "",Tenth!E131)</f>
        <v/>
      </c>
      <c r="F2378" s="66" t="str">
        <f>IF(Tenth!F131="", "",Tenth!F131)</f>
        <v/>
      </c>
      <c r="G2378" s="66" t="str">
        <f>IF(Tenth!G131="", "",Tenth!G131)</f>
        <v/>
      </c>
      <c r="H2378" s="66" t="str">
        <f>IF(Tenth!H131="", "",Tenth!H131)</f>
        <v/>
      </c>
      <c r="I2378" s="66" t="str">
        <f>IF(Tenth!I131="", "",Tenth!I131)</f>
        <v/>
      </c>
      <c r="J2378" s="66" t="str">
        <f>IF(Tenth!J131="", "",Tenth!J131)</f>
        <v/>
      </c>
      <c r="K2378" s="86" t="str">
        <f>IF(Tenth!K131="", "",Tenth!K131)</f>
        <v/>
      </c>
      <c r="M2378" s="67" t="str">
        <f t="shared" si="113"/>
        <v/>
      </c>
      <c r="N2378" s="76" t="str">
        <f t="shared" si="114"/>
        <v/>
      </c>
      <c r="O2378" s="33">
        <f t="shared" si="112"/>
        <v>0</v>
      </c>
    </row>
    <row r="2379" spans="1:15" x14ac:dyDescent="0.25">
      <c r="A2379" s="64" t="s">
        <v>183</v>
      </c>
      <c r="B2379" s="79" t="str">
        <f>IF(Tenth!B132="", "",Tenth!B132)</f>
        <v/>
      </c>
      <c r="C2379" s="66" t="str">
        <f>IF(Tenth!C132="", "",Tenth!C132)</f>
        <v/>
      </c>
      <c r="D2379" s="66" t="str">
        <f>IF(Tenth!D132="", "",Tenth!D132)</f>
        <v/>
      </c>
      <c r="E2379" s="66" t="str">
        <f>IF(Tenth!E132="", "",Tenth!E132)</f>
        <v/>
      </c>
      <c r="F2379" s="66" t="str">
        <f>IF(Tenth!F132="", "",Tenth!F132)</f>
        <v/>
      </c>
      <c r="G2379" s="66" t="str">
        <f>IF(Tenth!G132="", "",Tenth!G132)</f>
        <v/>
      </c>
      <c r="H2379" s="66" t="str">
        <f>IF(Tenth!H132="", "",Tenth!H132)</f>
        <v/>
      </c>
      <c r="I2379" s="66" t="str">
        <f>IF(Tenth!I132="", "",Tenth!I132)</f>
        <v/>
      </c>
      <c r="J2379" s="66" t="str">
        <f>IF(Tenth!J132="", "",Tenth!J132)</f>
        <v/>
      </c>
      <c r="K2379" s="86" t="str">
        <f>IF(Tenth!K132="", "",Tenth!K132)</f>
        <v/>
      </c>
      <c r="M2379" s="67" t="str">
        <f t="shared" si="113"/>
        <v/>
      </c>
      <c r="N2379" s="76" t="str">
        <f t="shared" si="114"/>
        <v/>
      </c>
      <c r="O2379" s="33">
        <f t="shared" si="112"/>
        <v>0</v>
      </c>
    </row>
    <row r="2380" spans="1:15" x14ac:dyDescent="0.25">
      <c r="A2380" s="64" t="s">
        <v>183</v>
      </c>
      <c r="B2380" s="79" t="str">
        <f>IF(Tenth!B133="", "",Tenth!B133)</f>
        <v/>
      </c>
      <c r="C2380" s="66" t="str">
        <f>IF(Tenth!C133="", "",Tenth!C133)</f>
        <v/>
      </c>
      <c r="D2380" s="66" t="str">
        <f>IF(Tenth!D133="", "",Tenth!D133)</f>
        <v/>
      </c>
      <c r="E2380" s="66" t="str">
        <f>IF(Tenth!E133="", "",Tenth!E133)</f>
        <v/>
      </c>
      <c r="F2380" s="66" t="str">
        <f>IF(Tenth!F133="", "",Tenth!F133)</f>
        <v/>
      </c>
      <c r="G2380" s="66" t="str">
        <f>IF(Tenth!G133="", "",Tenth!G133)</f>
        <v/>
      </c>
      <c r="H2380" s="66" t="str">
        <f>IF(Tenth!H133="", "",Tenth!H133)</f>
        <v/>
      </c>
      <c r="I2380" s="66" t="str">
        <f>IF(Tenth!I133="", "",Tenth!I133)</f>
        <v/>
      </c>
      <c r="J2380" s="66" t="str">
        <f>IF(Tenth!J133="", "",Tenth!J133)</f>
        <v/>
      </c>
      <c r="K2380" s="86" t="str">
        <f>IF(Tenth!K133="", "",Tenth!K133)</f>
        <v/>
      </c>
      <c r="M2380" s="67" t="str">
        <f t="shared" si="113"/>
        <v/>
      </c>
      <c r="N2380" s="76" t="str">
        <f t="shared" si="114"/>
        <v/>
      </c>
      <c r="O2380" s="33">
        <f t="shared" si="112"/>
        <v>0</v>
      </c>
    </row>
    <row r="2381" spans="1:15" x14ac:dyDescent="0.25">
      <c r="A2381" s="64" t="s">
        <v>183</v>
      </c>
      <c r="B2381" s="79" t="str">
        <f>IF(Tenth!B134="", "",Tenth!B134)</f>
        <v/>
      </c>
      <c r="C2381" s="66" t="str">
        <f>IF(Tenth!C134="", "",Tenth!C134)</f>
        <v/>
      </c>
      <c r="D2381" s="66" t="str">
        <f>IF(Tenth!D134="", "",Tenth!D134)</f>
        <v/>
      </c>
      <c r="E2381" s="66" t="str">
        <f>IF(Tenth!E134="", "",Tenth!E134)</f>
        <v/>
      </c>
      <c r="F2381" s="66" t="str">
        <f>IF(Tenth!F134="", "",Tenth!F134)</f>
        <v/>
      </c>
      <c r="G2381" s="66" t="str">
        <f>IF(Tenth!G134="", "",Tenth!G134)</f>
        <v/>
      </c>
      <c r="H2381" s="66" t="str">
        <f>IF(Tenth!H134="", "",Tenth!H134)</f>
        <v/>
      </c>
      <c r="I2381" s="66" t="str">
        <f>IF(Tenth!I134="", "",Tenth!I134)</f>
        <v/>
      </c>
      <c r="J2381" s="66" t="str">
        <f>IF(Tenth!J134="", "",Tenth!J134)</f>
        <v/>
      </c>
      <c r="K2381" s="86" t="str">
        <f>IF(Tenth!K134="", "",Tenth!K134)</f>
        <v/>
      </c>
      <c r="M2381" s="67" t="str">
        <f t="shared" si="113"/>
        <v/>
      </c>
      <c r="N2381" s="76" t="str">
        <f t="shared" si="114"/>
        <v/>
      </c>
      <c r="O2381" s="33">
        <f t="shared" si="112"/>
        <v>0</v>
      </c>
    </row>
    <row r="2382" spans="1:15" x14ac:dyDescent="0.25">
      <c r="A2382" s="64" t="s">
        <v>183</v>
      </c>
      <c r="B2382" s="79" t="str">
        <f>IF(Tenth!B135="", "",Tenth!B135)</f>
        <v/>
      </c>
      <c r="C2382" s="66" t="str">
        <f>IF(Tenth!C135="", "",Tenth!C135)</f>
        <v/>
      </c>
      <c r="D2382" s="66" t="str">
        <f>IF(Tenth!D135="", "",Tenth!D135)</f>
        <v/>
      </c>
      <c r="E2382" s="66" t="str">
        <f>IF(Tenth!E135="", "",Tenth!E135)</f>
        <v/>
      </c>
      <c r="F2382" s="66" t="str">
        <f>IF(Tenth!F135="", "",Tenth!F135)</f>
        <v/>
      </c>
      <c r="G2382" s="66" t="str">
        <f>IF(Tenth!G135="", "",Tenth!G135)</f>
        <v/>
      </c>
      <c r="H2382" s="66" t="str">
        <f>IF(Tenth!H135="", "",Tenth!H135)</f>
        <v/>
      </c>
      <c r="I2382" s="66" t="str">
        <f>IF(Tenth!I135="", "",Tenth!I135)</f>
        <v/>
      </c>
      <c r="J2382" s="66" t="str">
        <f>IF(Tenth!J135="", "",Tenth!J135)</f>
        <v/>
      </c>
      <c r="K2382" s="86" t="str">
        <f>IF(Tenth!K135="", "",Tenth!K135)</f>
        <v/>
      </c>
      <c r="M2382" s="67" t="str">
        <f t="shared" si="113"/>
        <v/>
      </c>
      <c r="N2382" s="76" t="str">
        <f t="shared" si="114"/>
        <v/>
      </c>
      <c r="O2382" s="33">
        <f t="shared" si="112"/>
        <v>0</v>
      </c>
    </row>
    <row r="2383" spans="1:15" x14ac:dyDescent="0.25">
      <c r="A2383" s="64" t="s">
        <v>183</v>
      </c>
      <c r="B2383" s="79" t="str">
        <f>IF(Tenth!B136="", "",Tenth!B136)</f>
        <v/>
      </c>
      <c r="C2383" s="66" t="str">
        <f>IF(Tenth!C136="", "",Tenth!C136)</f>
        <v/>
      </c>
      <c r="D2383" s="66" t="str">
        <f>IF(Tenth!D136="", "",Tenth!D136)</f>
        <v/>
      </c>
      <c r="E2383" s="66" t="str">
        <f>IF(Tenth!E136="", "",Tenth!E136)</f>
        <v/>
      </c>
      <c r="F2383" s="66" t="str">
        <f>IF(Tenth!F136="", "",Tenth!F136)</f>
        <v/>
      </c>
      <c r="G2383" s="66" t="str">
        <f>IF(Tenth!G136="", "",Tenth!G136)</f>
        <v/>
      </c>
      <c r="H2383" s="66" t="str">
        <f>IF(Tenth!H136="", "",Tenth!H136)</f>
        <v/>
      </c>
      <c r="I2383" s="66" t="str">
        <f>IF(Tenth!I136="", "",Tenth!I136)</f>
        <v/>
      </c>
      <c r="J2383" s="66" t="str">
        <f>IF(Tenth!J136="", "",Tenth!J136)</f>
        <v/>
      </c>
      <c r="K2383" s="86" t="str">
        <f>IF(Tenth!K136="", "",Tenth!K136)</f>
        <v/>
      </c>
      <c r="M2383" s="67" t="str">
        <f t="shared" si="113"/>
        <v/>
      </c>
      <c r="N2383" s="76" t="str">
        <f t="shared" si="114"/>
        <v/>
      </c>
      <c r="O2383" s="33">
        <f t="shared" si="112"/>
        <v>0</v>
      </c>
    </row>
    <row r="2384" spans="1:15" x14ac:dyDescent="0.25">
      <c r="A2384" s="64" t="s">
        <v>183</v>
      </c>
      <c r="B2384" s="79" t="str">
        <f>IF(Tenth!B137="", "",Tenth!B137)</f>
        <v/>
      </c>
      <c r="C2384" s="66" t="str">
        <f>IF(Tenth!C137="", "",Tenth!C137)</f>
        <v/>
      </c>
      <c r="D2384" s="66" t="str">
        <f>IF(Tenth!D137="", "",Tenth!D137)</f>
        <v/>
      </c>
      <c r="E2384" s="66" t="str">
        <f>IF(Tenth!E137="", "",Tenth!E137)</f>
        <v/>
      </c>
      <c r="F2384" s="66" t="str">
        <f>IF(Tenth!F137="", "",Tenth!F137)</f>
        <v/>
      </c>
      <c r="G2384" s="66" t="str">
        <f>IF(Tenth!G137="", "",Tenth!G137)</f>
        <v/>
      </c>
      <c r="H2384" s="66" t="str">
        <f>IF(Tenth!H137="", "",Tenth!H137)</f>
        <v/>
      </c>
      <c r="I2384" s="66" t="str">
        <f>IF(Tenth!I137="", "",Tenth!I137)</f>
        <v/>
      </c>
      <c r="J2384" s="66" t="str">
        <f>IF(Tenth!J137="", "",Tenth!J137)</f>
        <v/>
      </c>
      <c r="K2384" s="86" t="str">
        <f>IF(Tenth!K137="", "",Tenth!K137)</f>
        <v/>
      </c>
      <c r="M2384" s="67" t="str">
        <f t="shared" si="113"/>
        <v/>
      </c>
      <c r="N2384" s="76" t="str">
        <f t="shared" si="114"/>
        <v/>
      </c>
      <c r="O2384" s="33">
        <f t="shared" si="112"/>
        <v>0</v>
      </c>
    </row>
    <row r="2385" spans="1:15" x14ac:dyDescent="0.25">
      <c r="A2385" s="64" t="s">
        <v>183</v>
      </c>
      <c r="B2385" s="79" t="str">
        <f>IF(Tenth!B138="", "",Tenth!B138)</f>
        <v/>
      </c>
      <c r="C2385" s="66" t="str">
        <f>IF(Tenth!C138="", "",Tenth!C138)</f>
        <v/>
      </c>
      <c r="D2385" s="66" t="str">
        <f>IF(Tenth!D138="", "",Tenth!D138)</f>
        <v/>
      </c>
      <c r="E2385" s="66" t="str">
        <f>IF(Tenth!E138="", "",Tenth!E138)</f>
        <v/>
      </c>
      <c r="F2385" s="66" t="str">
        <f>IF(Tenth!F138="", "",Tenth!F138)</f>
        <v/>
      </c>
      <c r="G2385" s="66" t="str">
        <f>IF(Tenth!G138="", "",Tenth!G138)</f>
        <v/>
      </c>
      <c r="H2385" s="66" t="str">
        <f>IF(Tenth!H138="", "",Tenth!H138)</f>
        <v/>
      </c>
      <c r="I2385" s="66" t="str">
        <f>IF(Tenth!I138="", "",Tenth!I138)</f>
        <v/>
      </c>
      <c r="J2385" s="66" t="str">
        <f>IF(Tenth!J138="", "",Tenth!J138)</f>
        <v/>
      </c>
      <c r="K2385" s="86" t="str">
        <f>IF(Tenth!K138="", "",Tenth!K138)</f>
        <v/>
      </c>
      <c r="M2385" s="67" t="str">
        <f t="shared" si="113"/>
        <v/>
      </c>
      <c r="N2385" s="76" t="str">
        <f t="shared" si="114"/>
        <v/>
      </c>
      <c r="O2385" s="33">
        <f t="shared" si="112"/>
        <v>0</v>
      </c>
    </row>
    <row r="2386" spans="1:15" x14ac:dyDescent="0.25">
      <c r="A2386" s="64" t="s">
        <v>183</v>
      </c>
      <c r="B2386" s="79" t="str">
        <f>IF(Tenth!B139="", "",Tenth!B139)</f>
        <v/>
      </c>
      <c r="C2386" s="66" t="str">
        <f>IF(Tenth!C139="", "",Tenth!C139)</f>
        <v/>
      </c>
      <c r="D2386" s="66" t="str">
        <f>IF(Tenth!D139="", "",Tenth!D139)</f>
        <v/>
      </c>
      <c r="E2386" s="66" t="str">
        <f>IF(Tenth!E139="", "",Tenth!E139)</f>
        <v/>
      </c>
      <c r="F2386" s="66" t="str">
        <f>IF(Tenth!F139="", "",Tenth!F139)</f>
        <v/>
      </c>
      <c r="G2386" s="66" t="str">
        <f>IF(Tenth!G139="", "",Tenth!G139)</f>
        <v/>
      </c>
      <c r="H2386" s="66" t="str">
        <f>IF(Tenth!H139="", "",Tenth!H139)</f>
        <v/>
      </c>
      <c r="I2386" s="66" t="str">
        <f>IF(Tenth!I139="", "",Tenth!I139)</f>
        <v/>
      </c>
      <c r="J2386" s="66" t="str">
        <f>IF(Tenth!J139="", "",Tenth!J139)</f>
        <v/>
      </c>
      <c r="K2386" s="86" t="str">
        <f>IF(Tenth!K139="", "",Tenth!K139)</f>
        <v/>
      </c>
      <c r="M2386" s="67" t="str">
        <f t="shared" si="113"/>
        <v/>
      </c>
      <c r="N2386" s="76" t="str">
        <f t="shared" si="114"/>
        <v/>
      </c>
      <c r="O2386" s="33">
        <f t="shared" si="112"/>
        <v>0</v>
      </c>
    </row>
    <row r="2387" spans="1:15" x14ac:dyDescent="0.25">
      <c r="A2387" s="64" t="s">
        <v>183</v>
      </c>
      <c r="B2387" s="79" t="str">
        <f>IF(Tenth!B140="", "",Tenth!B140)</f>
        <v/>
      </c>
      <c r="C2387" s="66" t="str">
        <f>IF(Tenth!C140="", "",Tenth!C140)</f>
        <v/>
      </c>
      <c r="D2387" s="66" t="str">
        <f>IF(Tenth!D140="", "",Tenth!D140)</f>
        <v/>
      </c>
      <c r="E2387" s="66" t="str">
        <f>IF(Tenth!E140="", "",Tenth!E140)</f>
        <v/>
      </c>
      <c r="F2387" s="66" t="str">
        <f>IF(Tenth!F140="", "",Tenth!F140)</f>
        <v/>
      </c>
      <c r="G2387" s="66" t="str">
        <f>IF(Tenth!G140="", "",Tenth!G140)</f>
        <v/>
      </c>
      <c r="H2387" s="66" t="str">
        <f>IF(Tenth!H140="", "",Tenth!H140)</f>
        <v/>
      </c>
      <c r="I2387" s="66" t="str">
        <f>IF(Tenth!I140="", "",Tenth!I140)</f>
        <v/>
      </c>
      <c r="J2387" s="66" t="str">
        <f>IF(Tenth!J140="", "",Tenth!J140)</f>
        <v/>
      </c>
      <c r="K2387" s="86" t="str">
        <f>IF(Tenth!K140="", "",Tenth!K140)</f>
        <v/>
      </c>
      <c r="M2387" s="67" t="str">
        <f t="shared" si="113"/>
        <v/>
      </c>
      <c r="N2387" s="76" t="str">
        <f t="shared" si="114"/>
        <v/>
      </c>
      <c r="O2387" s="33">
        <f t="shared" si="112"/>
        <v>0</v>
      </c>
    </row>
    <row r="2388" spans="1:15" x14ac:dyDescent="0.25">
      <c r="A2388" s="64" t="s">
        <v>183</v>
      </c>
      <c r="B2388" s="79" t="str">
        <f>IF(Tenth!B141="", "",Tenth!B141)</f>
        <v/>
      </c>
      <c r="C2388" s="66" t="str">
        <f>IF(Tenth!C141="", "",Tenth!C141)</f>
        <v/>
      </c>
      <c r="D2388" s="66" t="str">
        <f>IF(Tenth!D141="", "",Tenth!D141)</f>
        <v/>
      </c>
      <c r="E2388" s="66" t="str">
        <f>IF(Tenth!E141="", "",Tenth!E141)</f>
        <v/>
      </c>
      <c r="F2388" s="66" t="str">
        <f>IF(Tenth!F141="", "",Tenth!F141)</f>
        <v/>
      </c>
      <c r="G2388" s="66" t="str">
        <f>IF(Tenth!G141="", "",Tenth!G141)</f>
        <v/>
      </c>
      <c r="H2388" s="66" t="str">
        <f>IF(Tenth!H141="", "",Tenth!H141)</f>
        <v/>
      </c>
      <c r="I2388" s="66" t="str">
        <f>IF(Tenth!I141="", "",Tenth!I141)</f>
        <v/>
      </c>
      <c r="J2388" s="66" t="str">
        <f>IF(Tenth!J141="", "",Tenth!J141)</f>
        <v/>
      </c>
      <c r="K2388" s="86" t="str">
        <f>IF(Tenth!K141="", "",Tenth!K141)</f>
        <v/>
      </c>
      <c r="M2388" s="67" t="str">
        <f t="shared" si="113"/>
        <v/>
      </c>
      <c r="N2388" s="76" t="str">
        <f t="shared" si="114"/>
        <v/>
      </c>
      <c r="O2388" s="33">
        <f t="shared" si="112"/>
        <v>0</v>
      </c>
    </row>
    <row r="2389" spans="1:15" x14ac:dyDescent="0.25">
      <c r="A2389" s="64" t="s">
        <v>183</v>
      </c>
      <c r="B2389" s="79" t="str">
        <f>IF(Tenth!B142="", "",Tenth!B142)</f>
        <v/>
      </c>
      <c r="C2389" s="66" t="str">
        <f>IF(Tenth!C142="", "",Tenth!C142)</f>
        <v/>
      </c>
      <c r="D2389" s="66" t="str">
        <f>IF(Tenth!D142="", "",Tenth!D142)</f>
        <v/>
      </c>
      <c r="E2389" s="66" t="str">
        <f>IF(Tenth!E142="", "",Tenth!E142)</f>
        <v/>
      </c>
      <c r="F2389" s="66" t="str">
        <f>IF(Tenth!F142="", "",Tenth!F142)</f>
        <v/>
      </c>
      <c r="G2389" s="66" t="str">
        <f>IF(Tenth!G142="", "",Tenth!G142)</f>
        <v/>
      </c>
      <c r="H2389" s="66" t="str">
        <f>IF(Tenth!H142="", "",Tenth!H142)</f>
        <v/>
      </c>
      <c r="I2389" s="66" t="str">
        <f>IF(Tenth!I142="", "",Tenth!I142)</f>
        <v/>
      </c>
      <c r="J2389" s="66" t="str">
        <f>IF(Tenth!J142="", "",Tenth!J142)</f>
        <v/>
      </c>
      <c r="K2389" s="86" t="str">
        <f>IF(Tenth!K142="", "",Tenth!K142)</f>
        <v/>
      </c>
      <c r="M2389" s="67" t="str">
        <f t="shared" si="113"/>
        <v/>
      </c>
      <c r="N2389" s="76" t="str">
        <f t="shared" si="114"/>
        <v/>
      </c>
      <c r="O2389" s="33">
        <f t="shared" si="112"/>
        <v>0</v>
      </c>
    </row>
    <row r="2390" spans="1:15" x14ac:dyDescent="0.25">
      <c r="A2390" s="64" t="s">
        <v>183</v>
      </c>
      <c r="B2390" s="79" t="str">
        <f>IF(Tenth!B143="", "",Tenth!B143)</f>
        <v/>
      </c>
      <c r="C2390" s="66" t="str">
        <f>IF(Tenth!C143="", "",Tenth!C143)</f>
        <v/>
      </c>
      <c r="D2390" s="66" t="str">
        <f>IF(Tenth!D143="", "",Tenth!D143)</f>
        <v/>
      </c>
      <c r="E2390" s="66" t="str">
        <f>IF(Tenth!E143="", "",Tenth!E143)</f>
        <v/>
      </c>
      <c r="F2390" s="66" t="str">
        <f>IF(Tenth!F143="", "",Tenth!F143)</f>
        <v/>
      </c>
      <c r="G2390" s="66" t="str">
        <f>IF(Tenth!G143="", "",Tenth!G143)</f>
        <v/>
      </c>
      <c r="H2390" s="66" t="str">
        <f>IF(Tenth!H143="", "",Tenth!H143)</f>
        <v/>
      </c>
      <c r="I2390" s="66" t="str">
        <f>IF(Tenth!I143="", "",Tenth!I143)</f>
        <v/>
      </c>
      <c r="J2390" s="66" t="str">
        <f>IF(Tenth!J143="", "",Tenth!J143)</f>
        <v/>
      </c>
      <c r="K2390" s="86" t="str">
        <f>IF(Tenth!K143="", "",Tenth!K143)</f>
        <v/>
      </c>
      <c r="M2390" s="67" t="str">
        <f t="shared" si="113"/>
        <v/>
      </c>
      <c r="N2390" s="76" t="str">
        <f t="shared" si="114"/>
        <v/>
      </c>
      <c r="O2390" s="33">
        <f t="shared" si="112"/>
        <v>0</v>
      </c>
    </row>
    <row r="2391" spans="1:15" x14ac:dyDescent="0.25">
      <c r="A2391" s="64" t="s">
        <v>183</v>
      </c>
      <c r="B2391" s="79" t="str">
        <f>IF(Tenth!B144="", "",Tenth!B144)</f>
        <v/>
      </c>
      <c r="C2391" s="66" t="str">
        <f>IF(Tenth!C144="", "",Tenth!C144)</f>
        <v/>
      </c>
      <c r="D2391" s="66" t="str">
        <f>IF(Tenth!D144="", "",Tenth!D144)</f>
        <v/>
      </c>
      <c r="E2391" s="66" t="str">
        <f>IF(Tenth!E144="", "",Tenth!E144)</f>
        <v/>
      </c>
      <c r="F2391" s="66" t="str">
        <f>IF(Tenth!F144="", "",Tenth!F144)</f>
        <v/>
      </c>
      <c r="G2391" s="66" t="str">
        <f>IF(Tenth!G144="", "",Tenth!G144)</f>
        <v/>
      </c>
      <c r="H2391" s="66" t="str">
        <f>IF(Tenth!H144="", "",Tenth!H144)</f>
        <v/>
      </c>
      <c r="I2391" s="66" t="str">
        <f>IF(Tenth!I144="", "",Tenth!I144)</f>
        <v/>
      </c>
      <c r="J2391" s="66" t="str">
        <f>IF(Tenth!J144="", "",Tenth!J144)</f>
        <v/>
      </c>
      <c r="K2391" s="86" t="str">
        <f>IF(Tenth!K144="", "",Tenth!K144)</f>
        <v/>
      </c>
      <c r="M2391" s="67" t="str">
        <f t="shared" si="113"/>
        <v/>
      </c>
      <c r="N2391" s="76" t="str">
        <f t="shared" si="114"/>
        <v/>
      </c>
      <c r="O2391" s="33">
        <f t="shared" si="112"/>
        <v>0</v>
      </c>
    </row>
    <row r="2392" spans="1:15" x14ac:dyDescent="0.25">
      <c r="A2392" s="64" t="s">
        <v>183</v>
      </c>
      <c r="B2392" s="79" t="str">
        <f>IF(Tenth!B145="", "",Tenth!B145)</f>
        <v/>
      </c>
      <c r="C2392" s="66" t="str">
        <f>IF(Tenth!C145="", "",Tenth!C145)</f>
        <v/>
      </c>
      <c r="D2392" s="66" t="str">
        <f>IF(Tenth!D145="", "",Tenth!D145)</f>
        <v/>
      </c>
      <c r="E2392" s="66" t="str">
        <f>IF(Tenth!E145="", "",Tenth!E145)</f>
        <v/>
      </c>
      <c r="F2392" s="66" t="str">
        <f>IF(Tenth!F145="", "",Tenth!F145)</f>
        <v/>
      </c>
      <c r="G2392" s="66" t="str">
        <f>IF(Tenth!G145="", "",Tenth!G145)</f>
        <v/>
      </c>
      <c r="H2392" s="66" t="str">
        <f>IF(Tenth!H145="", "",Tenth!H145)</f>
        <v/>
      </c>
      <c r="I2392" s="66" t="str">
        <f>IF(Tenth!I145="", "",Tenth!I145)</f>
        <v/>
      </c>
      <c r="J2392" s="66" t="str">
        <f>IF(Tenth!J145="", "",Tenth!J145)</f>
        <v/>
      </c>
      <c r="K2392" s="86" t="str">
        <f>IF(Tenth!K145="", "",Tenth!K145)</f>
        <v/>
      </c>
      <c r="M2392" s="67" t="str">
        <f t="shared" si="113"/>
        <v/>
      </c>
      <c r="N2392" s="76" t="str">
        <f t="shared" si="114"/>
        <v/>
      </c>
      <c r="O2392" s="33">
        <f t="shared" si="112"/>
        <v>0</v>
      </c>
    </row>
    <row r="2393" spans="1:15" x14ac:dyDescent="0.25">
      <c r="A2393" s="64" t="s">
        <v>183</v>
      </c>
      <c r="B2393" s="79" t="str">
        <f>IF(Tenth!B146="", "",Tenth!B146)</f>
        <v/>
      </c>
      <c r="C2393" s="66" t="str">
        <f>IF(Tenth!C146="", "",Tenth!C146)</f>
        <v/>
      </c>
      <c r="D2393" s="66" t="str">
        <f>IF(Tenth!D146="", "",Tenth!D146)</f>
        <v/>
      </c>
      <c r="E2393" s="66" t="str">
        <f>IF(Tenth!E146="", "",Tenth!E146)</f>
        <v/>
      </c>
      <c r="F2393" s="66" t="str">
        <f>IF(Tenth!F146="", "",Tenth!F146)</f>
        <v/>
      </c>
      <c r="G2393" s="66" t="str">
        <f>IF(Tenth!G146="", "",Tenth!G146)</f>
        <v/>
      </c>
      <c r="H2393" s="66" t="str">
        <f>IF(Tenth!H146="", "",Tenth!H146)</f>
        <v/>
      </c>
      <c r="I2393" s="66" t="str">
        <f>IF(Tenth!I146="", "",Tenth!I146)</f>
        <v/>
      </c>
      <c r="J2393" s="66" t="str">
        <f>IF(Tenth!J146="", "",Tenth!J146)</f>
        <v/>
      </c>
      <c r="K2393" s="86" t="str">
        <f>IF(Tenth!K146="", "",Tenth!K146)</f>
        <v/>
      </c>
      <c r="M2393" s="67" t="str">
        <f t="shared" si="113"/>
        <v/>
      </c>
      <c r="N2393" s="76" t="str">
        <f t="shared" si="114"/>
        <v/>
      </c>
      <c r="O2393" s="33">
        <f t="shared" si="112"/>
        <v>0</v>
      </c>
    </row>
    <row r="2394" spans="1:15" x14ac:dyDescent="0.25">
      <c r="A2394" s="64" t="s">
        <v>183</v>
      </c>
      <c r="B2394" s="79" t="str">
        <f>IF(Tenth!B147="", "",Tenth!B147)</f>
        <v/>
      </c>
      <c r="C2394" s="66" t="str">
        <f>IF(Tenth!C147="", "",Tenth!C147)</f>
        <v/>
      </c>
      <c r="D2394" s="66" t="str">
        <f>IF(Tenth!D147="", "",Tenth!D147)</f>
        <v/>
      </c>
      <c r="E2394" s="66" t="str">
        <f>IF(Tenth!E147="", "",Tenth!E147)</f>
        <v/>
      </c>
      <c r="F2394" s="66" t="str">
        <f>IF(Tenth!F147="", "",Tenth!F147)</f>
        <v/>
      </c>
      <c r="G2394" s="66" t="str">
        <f>IF(Tenth!G147="", "",Tenth!G147)</f>
        <v/>
      </c>
      <c r="H2394" s="66" t="str">
        <f>IF(Tenth!H147="", "",Tenth!H147)</f>
        <v/>
      </c>
      <c r="I2394" s="66" t="str">
        <f>IF(Tenth!I147="", "",Tenth!I147)</f>
        <v/>
      </c>
      <c r="J2394" s="66" t="str">
        <f>IF(Tenth!J147="", "",Tenth!J147)</f>
        <v/>
      </c>
      <c r="K2394" s="86" t="str">
        <f>IF(Tenth!K147="", "",Tenth!K147)</f>
        <v/>
      </c>
      <c r="M2394" s="67" t="str">
        <f t="shared" si="113"/>
        <v/>
      </c>
      <c r="N2394" s="76" t="str">
        <f t="shared" si="114"/>
        <v/>
      </c>
      <c r="O2394" s="33">
        <f t="shared" si="112"/>
        <v>0</v>
      </c>
    </row>
    <row r="2395" spans="1:15" x14ac:dyDescent="0.25">
      <c r="A2395" s="64" t="s">
        <v>183</v>
      </c>
      <c r="B2395" s="79" t="str">
        <f>IF(Tenth!B148="", "",Tenth!B148)</f>
        <v/>
      </c>
      <c r="C2395" s="66" t="str">
        <f>IF(Tenth!C148="", "",Tenth!C148)</f>
        <v/>
      </c>
      <c r="D2395" s="66" t="str">
        <f>IF(Tenth!D148="", "",Tenth!D148)</f>
        <v/>
      </c>
      <c r="E2395" s="66" t="str">
        <f>IF(Tenth!E148="", "",Tenth!E148)</f>
        <v/>
      </c>
      <c r="F2395" s="66" t="str">
        <f>IF(Tenth!F148="", "",Tenth!F148)</f>
        <v/>
      </c>
      <c r="G2395" s="66" t="str">
        <f>IF(Tenth!G148="", "",Tenth!G148)</f>
        <v/>
      </c>
      <c r="H2395" s="66" t="str">
        <f>IF(Tenth!H148="", "",Tenth!H148)</f>
        <v/>
      </c>
      <c r="I2395" s="66" t="str">
        <f>IF(Tenth!I148="", "",Tenth!I148)</f>
        <v/>
      </c>
      <c r="J2395" s="66" t="str">
        <f>IF(Tenth!J148="", "",Tenth!J148)</f>
        <v/>
      </c>
      <c r="K2395" s="86" t="str">
        <f>IF(Tenth!K148="", "",Tenth!K148)</f>
        <v/>
      </c>
      <c r="M2395" s="67" t="str">
        <f t="shared" si="113"/>
        <v/>
      </c>
      <c r="N2395" s="76" t="str">
        <f t="shared" si="114"/>
        <v/>
      </c>
      <c r="O2395" s="33">
        <f t="shared" si="112"/>
        <v>0</v>
      </c>
    </row>
    <row r="2396" spans="1:15" x14ac:dyDescent="0.25">
      <c r="A2396" s="64" t="s">
        <v>183</v>
      </c>
      <c r="B2396" s="79" t="str">
        <f>IF(Tenth!B149="", "",Tenth!B149)</f>
        <v/>
      </c>
      <c r="C2396" s="66" t="str">
        <f>IF(Tenth!C149="", "",Tenth!C149)</f>
        <v/>
      </c>
      <c r="D2396" s="66" t="str">
        <f>IF(Tenth!D149="", "",Tenth!D149)</f>
        <v/>
      </c>
      <c r="E2396" s="66" t="str">
        <f>IF(Tenth!E149="", "",Tenth!E149)</f>
        <v/>
      </c>
      <c r="F2396" s="66" t="str">
        <f>IF(Tenth!F149="", "",Tenth!F149)</f>
        <v/>
      </c>
      <c r="G2396" s="66" t="str">
        <f>IF(Tenth!G149="", "",Tenth!G149)</f>
        <v/>
      </c>
      <c r="H2396" s="66" t="str">
        <f>IF(Tenth!H149="", "",Tenth!H149)</f>
        <v/>
      </c>
      <c r="I2396" s="66" t="str">
        <f>IF(Tenth!I149="", "",Tenth!I149)</f>
        <v/>
      </c>
      <c r="J2396" s="66" t="str">
        <f>IF(Tenth!J149="", "",Tenth!J149)</f>
        <v/>
      </c>
      <c r="K2396" s="86" t="str">
        <f>IF(Tenth!K149="", "",Tenth!K149)</f>
        <v/>
      </c>
      <c r="M2396" s="67" t="str">
        <f t="shared" si="113"/>
        <v/>
      </c>
      <c r="N2396" s="76" t="str">
        <f t="shared" si="114"/>
        <v/>
      </c>
      <c r="O2396" s="33">
        <f t="shared" si="112"/>
        <v>0</v>
      </c>
    </row>
    <row r="2397" spans="1:15" x14ac:dyDescent="0.25">
      <c r="A2397" s="64" t="s">
        <v>183</v>
      </c>
      <c r="B2397" s="79" t="str">
        <f>IF(Tenth!B150="", "",Tenth!B150)</f>
        <v/>
      </c>
      <c r="C2397" s="66" t="str">
        <f>IF(Tenth!C150="", "",Tenth!C150)</f>
        <v/>
      </c>
      <c r="D2397" s="66" t="str">
        <f>IF(Tenth!D150="", "",Tenth!D150)</f>
        <v/>
      </c>
      <c r="E2397" s="66" t="str">
        <f>IF(Tenth!E150="", "",Tenth!E150)</f>
        <v/>
      </c>
      <c r="F2397" s="66" t="str">
        <f>IF(Tenth!F150="", "",Tenth!F150)</f>
        <v/>
      </c>
      <c r="G2397" s="66" t="str">
        <f>IF(Tenth!G150="", "",Tenth!G150)</f>
        <v/>
      </c>
      <c r="H2397" s="66" t="str">
        <f>IF(Tenth!H150="", "",Tenth!H150)</f>
        <v/>
      </c>
      <c r="I2397" s="66" t="str">
        <f>IF(Tenth!I150="", "",Tenth!I150)</f>
        <v/>
      </c>
      <c r="J2397" s="66" t="str">
        <f>IF(Tenth!J150="", "",Tenth!J150)</f>
        <v/>
      </c>
      <c r="K2397" s="86" t="str">
        <f>IF(Tenth!K150="", "",Tenth!K150)</f>
        <v/>
      </c>
      <c r="M2397" s="67" t="str">
        <f t="shared" si="113"/>
        <v/>
      </c>
      <c r="N2397" s="76" t="str">
        <f t="shared" si="114"/>
        <v/>
      </c>
      <c r="O2397" s="33">
        <f t="shared" si="112"/>
        <v>0</v>
      </c>
    </row>
    <row r="2398" spans="1:15" x14ac:dyDescent="0.25">
      <c r="A2398" s="64" t="s">
        <v>183</v>
      </c>
      <c r="B2398" s="79" t="str">
        <f>IF(Tenth!B151="", "",Tenth!B151)</f>
        <v/>
      </c>
      <c r="C2398" s="66" t="str">
        <f>IF(Tenth!C151="", "",Tenth!C151)</f>
        <v/>
      </c>
      <c r="D2398" s="66" t="str">
        <f>IF(Tenth!D151="", "",Tenth!D151)</f>
        <v/>
      </c>
      <c r="E2398" s="66" t="str">
        <f>IF(Tenth!E151="", "",Tenth!E151)</f>
        <v/>
      </c>
      <c r="F2398" s="66" t="str">
        <f>IF(Tenth!F151="", "",Tenth!F151)</f>
        <v/>
      </c>
      <c r="G2398" s="66" t="str">
        <f>IF(Tenth!G151="", "",Tenth!G151)</f>
        <v/>
      </c>
      <c r="H2398" s="66" t="str">
        <f>IF(Tenth!H151="", "",Tenth!H151)</f>
        <v/>
      </c>
      <c r="I2398" s="66" t="str">
        <f>IF(Tenth!I151="", "",Tenth!I151)</f>
        <v/>
      </c>
      <c r="J2398" s="66" t="str">
        <f>IF(Tenth!J151="", "",Tenth!J151)</f>
        <v/>
      </c>
      <c r="K2398" s="86" t="str">
        <f>IF(Tenth!K151="", "",Tenth!K151)</f>
        <v/>
      </c>
      <c r="M2398" s="67" t="str">
        <f t="shared" si="113"/>
        <v/>
      </c>
      <c r="N2398" s="76" t="str">
        <f t="shared" si="114"/>
        <v/>
      </c>
      <c r="O2398" s="33">
        <f t="shared" si="112"/>
        <v>0</v>
      </c>
    </row>
    <row r="2399" spans="1:15" x14ac:dyDescent="0.25">
      <c r="A2399" s="64" t="s">
        <v>183</v>
      </c>
      <c r="B2399" s="79" t="str">
        <f>IF(Tenth!B152="", "",Tenth!B152)</f>
        <v/>
      </c>
      <c r="C2399" s="66" t="str">
        <f>IF(Tenth!C152="", "",Tenth!C152)</f>
        <v/>
      </c>
      <c r="D2399" s="66" t="str">
        <f>IF(Tenth!D152="", "",Tenth!D152)</f>
        <v/>
      </c>
      <c r="E2399" s="66" t="str">
        <f>IF(Tenth!E152="", "",Tenth!E152)</f>
        <v/>
      </c>
      <c r="F2399" s="66" t="str">
        <f>IF(Tenth!F152="", "",Tenth!F152)</f>
        <v/>
      </c>
      <c r="G2399" s="66" t="str">
        <f>IF(Tenth!G152="", "",Tenth!G152)</f>
        <v/>
      </c>
      <c r="H2399" s="66" t="str">
        <f>IF(Tenth!H152="", "",Tenth!H152)</f>
        <v/>
      </c>
      <c r="I2399" s="66" t="str">
        <f>IF(Tenth!I152="", "",Tenth!I152)</f>
        <v/>
      </c>
      <c r="J2399" s="66" t="str">
        <f>IF(Tenth!J152="", "",Tenth!J152)</f>
        <v/>
      </c>
      <c r="K2399" s="86" t="str">
        <f>IF(Tenth!K152="", "",Tenth!K152)</f>
        <v/>
      </c>
      <c r="M2399" s="67" t="str">
        <f t="shared" si="113"/>
        <v/>
      </c>
      <c r="N2399" s="76" t="str">
        <f t="shared" si="114"/>
        <v/>
      </c>
      <c r="O2399" s="33">
        <f t="shared" si="112"/>
        <v>0</v>
      </c>
    </row>
    <row r="2400" spans="1:15" x14ac:dyDescent="0.25">
      <c r="A2400" s="64" t="s">
        <v>183</v>
      </c>
      <c r="B2400" s="79" t="str">
        <f>IF(Tenth!B153="", "",Tenth!B153)</f>
        <v/>
      </c>
      <c r="C2400" s="66" t="str">
        <f>IF(Tenth!C153="", "",Tenth!C153)</f>
        <v/>
      </c>
      <c r="D2400" s="66" t="str">
        <f>IF(Tenth!D153="", "",Tenth!D153)</f>
        <v/>
      </c>
      <c r="E2400" s="66" t="str">
        <f>IF(Tenth!E153="", "",Tenth!E153)</f>
        <v/>
      </c>
      <c r="F2400" s="66" t="str">
        <f>IF(Tenth!F153="", "",Tenth!F153)</f>
        <v/>
      </c>
      <c r="G2400" s="66" t="str">
        <f>IF(Tenth!G153="", "",Tenth!G153)</f>
        <v/>
      </c>
      <c r="H2400" s="66" t="str">
        <f>IF(Tenth!H153="", "",Tenth!H153)</f>
        <v/>
      </c>
      <c r="I2400" s="66" t="str">
        <f>IF(Tenth!I153="", "",Tenth!I153)</f>
        <v/>
      </c>
      <c r="J2400" s="66" t="str">
        <f>IF(Tenth!J153="", "",Tenth!J153)</f>
        <v/>
      </c>
      <c r="K2400" s="86" t="str">
        <f>IF(Tenth!K153="", "",Tenth!K153)</f>
        <v/>
      </c>
      <c r="M2400" s="67" t="str">
        <f t="shared" si="113"/>
        <v/>
      </c>
      <c r="N2400" s="76" t="str">
        <f t="shared" si="114"/>
        <v/>
      </c>
      <c r="O2400" s="33">
        <f t="shared" si="112"/>
        <v>0</v>
      </c>
    </row>
    <row r="2401" spans="1:15" x14ac:dyDescent="0.25">
      <c r="A2401" s="64" t="s">
        <v>183</v>
      </c>
      <c r="B2401" s="79" t="str">
        <f>IF(Tenth!B154="", "",Tenth!B154)</f>
        <v/>
      </c>
      <c r="C2401" s="66" t="str">
        <f>IF(Tenth!C154="", "",Tenth!C154)</f>
        <v/>
      </c>
      <c r="D2401" s="66" t="str">
        <f>IF(Tenth!D154="", "",Tenth!D154)</f>
        <v/>
      </c>
      <c r="E2401" s="66" t="str">
        <f>IF(Tenth!E154="", "",Tenth!E154)</f>
        <v/>
      </c>
      <c r="F2401" s="66" t="str">
        <f>IF(Tenth!F154="", "",Tenth!F154)</f>
        <v/>
      </c>
      <c r="G2401" s="66" t="str">
        <f>IF(Tenth!G154="", "",Tenth!G154)</f>
        <v/>
      </c>
      <c r="H2401" s="66" t="str">
        <f>IF(Tenth!H154="", "",Tenth!H154)</f>
        <v/>
      </c>
      <c r="I2401" s="66" t="str">
        <f>IF(Tenth!I154="", "",Tenth!I154)</f>
        <v/>
      </c>
      <c r="J2401" s="66" t="str">
        <f>IF(Tenth!J154="", "",Tenth!J154)</f>
        <v/>
      </c>
      <c r="K2401" s="86" t="str">
        <f>IF(Tenth!K154="", "",Tenth!K154)</f>
        <v/>
      </c>
      <c r="M2401" s="67" t="str">
        <f t="shared" si="113"/>
        <v/>
      </c>
      <c r="N2401" s="76" t="str">
        <f t="shared" si="114"/>
        <v/>
      </c>
      <c r="O2401" s="33">
        <f t="shared" si="112"/>
        <v>0</v>
      </c>
    </row>
    <row r="2402" spans="1:15" x14ac:dyDescent="0.25">
      <c r="A2402" s="64" t="s">
        <v>183</v>
      </c>
      <c r="B2402" s="79" t="str">
        <f>IF(Tenth!B155="", "",Tenth!B155)</f>
        <v/>
      </c>
      <c r="C2402" s="66" t="str">
        <f>IF(Tenth!C155="", "",Tenth!C155)</f>
        <v/>
      </c>
      <c r="D2402" s="66" t="str">
        <f>IF(Tenth!D155="", "",Tenth!D155)</f>
        <v/>
      </c>
      <c r="E2402" s="66" t="str">
        <f>IF(Tenth!E155="", "",Tenth!E155)</f>
        <v/>
      </c>
      <c r="F2402" s="66" t="str">
        <f>IF(Tenth!F155="", "",Tenth!F155)</f>
        <v/>
      </c>
      <c r="G2402" s="66" t="str">
        <f>IF(Tenth!G155="", "",Tenth!G155)</f>
        <v/>
      </c>
      <c r="H2402" s="66" t="str">
        <f>IF(Tenth!H155="", "",Tenth!H155)</f>
        <v/>
      </c>
      <c r="I2402" s="66" t="str">
        <f>IF(Tenth!I155="", "",Tenth!I155)</f>
        <v/>
      </c>
      <c r="J2402" s="66" t="str">
        <f>IF(Tenth!J155="", "",Tenth!J155)</f>
        <v/>
      </c>
      <c r="K2402" s="86" t="str">
        <f>IF(Tenth!K155="", "",Tenth!K155)</f>
        <v/>
      </c>
      <c r="M2402" s="67" t="str">
        <f t="shared" si="113"/>
        <v/>
      </c>
      <c r="N2402" s="76" t="str">
        <f t="shared" si="114"/>
        <v/>
      </c>
      <c r="O2402" s="33">
        <f t="shared" si="112"/>
        <v>0</v>
      </c>
    </row>
    <row r="2403" spans="1:15" x14ac:dyDescent="0.25">
      <c r="A2403" s="64" t="s">
        <v>183</v>
      </c>
      <c r="B2403" s="79" t="str">
        <f>IF(Tenth!B156="", "",Tenth!B156)</f>
        <v/>
      </c>
      <c r="C2403" s="66" t="str">
        <f>IF(Tenth!C156="", "",Tenth!C156)</f>
        <v/>
      </c>
      <c r="D2403" s="66" t="str">
        <f>IF(Tenth!D156="", "",Tenth!D156)</f>
        <v/>
      </c>
      <c r="E2403" s="66" t="str">
        <f>IF(Tenth!E156="", "",Tenth!E156)</f>
        <v/>
      </c>
      <c r="F2403" s="66" t="str">
        <f>IF(Tenth!F156="", "",Tenth!F156)</f>
        <v/>
      </c>
      <c r="G2403" s="66" t="str">
        <f>IF(Tenth!G156="", "",Tenth!G156)</f>
        <v/>
      </c>
      <c r="H2403" s="66" t="str">
        <f>IF(Tenth!H156="", "",Tenth!H156)</f>
        <v/>
      </c>
      <c r="I2403" s="66" t="str">
        <f>IF(Tenth!I156="", "",Tenth!I156)</f>
        <v/>
      </c>
      <c r="J2403" s="66" t="str">
        <f>IF(Tenth!J156="", "",Tenth!J156)</f>
        <v/>
      </c>
      <c r="K2403" s="86" t="str">
        <f>IF(Tenth!K156="", "",Tenth!K156)</f>
        <v/>
      </c>
      <c r="M2403" s="67" t="str">
        <f t="shared" si="113"/>
        <v/>
      </c>
      <c r="N2403" s="76" t="str">
        <f t="shared" si="114"/>
        <v/>
      </c>
      <c r="O2403" s="33">
        <f t="shared" si="112"/>
        <v>0</v>
      </c>
    </row>
    <row r="2404" spans="1:15" x14ac:dyDescent="0.25">
      <c r="A2404" s="64" t="s">
        <v>183</v>
      </c>
      <c r="B2404" s="79" t="str">
        <f>IF(Tenth!B157="", "",Tenth!B157)</f>
        <v/>
      </c>
      <c r="C2404" s="66" t="str">
        <f>IF(Tenth!C157="", "",Tenth!C157)</f>
        <v/>
      </c>
      <c r="D2404" s="66" t="str">
        <f>IF(Tenth!D157="", "",Tenth!D157)</f>
        <v/>
      </c>
      <c r="E2404" s="66" t="str">
        <f>IF(Tenth!E157="", "",Tenth!E157)</f>
        <v/>
      </c>
      <c r="F2404" s="66" t="str">
        <f>IF(Tenth!F157="", "",Tenth!F157)</f>
        <v/>
      </c>
      <c r="G2404" s="66" t="str">
        <f>IF(Tenth!G157="", "",Tenth!G157)</f>
        <v/>
      </c>
      <c r="H2404" s="66" t="str">
        <f>IF(Tenth!H157="", "",Tenth!H157)</f>
        <v/>
      </c>
      <c r="I2404" s="66" t="str">
        <f>IF(Tenth!I157="", "",Tenth!I157)</f>
        <v/>
      </c>
      <c r="J2404" s="66" t="str">
        <f>IF(Tenth!J157="", "",Tenth!J157)</f>
        <v/>
      </c>
      <c r="K2404" s="86" t="str">
        <f>IF(Tenth!K157="", "",Tenth!K157)</f>
        <v/>
      </c>
      <c r="M2404" s="67" t="str">
        <f t="shared" si="113"/>
        <v/>
      </c>
      <c r="N2404" s="76" t="str">
        <f t="shared" si="114"/>
        <v/>
      </c>
      <c r="O2404" s="33">
        <f t="shared" si="112"/>
        <v>0</v>
      </c>
    </row>
    <row r="2405" spans="1:15" x14ac:dyDescent="0.25">
      <c r="A2405" s="64" t="s">
        <v>183</v>
      </c>
      <c r="B2405" s="79" t="str">
        <f>IF(Tenth!B158="", "",Tenth!B158)</f>
        <v/>
      </c>
      <c r="C2405" s="66" t="str">
        <f>IF(Tenth!C158="", "",Tenth!C158)</f>
        <v/>
      </c>
      <c r="D2405" s="66" t="str">
        <f>IF(Tenth!D158="", "",Tenth!D158)</f>
        <v/>
      </c>
      <c r="E2405" s="66" t="str">
        <f>IF(Tenth!E158="", "",Tenth!E158)</f>
        <v/>
      </c>
      <c r="F2405" s="66" t="str">
        <f>IF(Tenth!F158="", "",Tenth!F158)</f>
        <v/>
      </c>
      <c r="G2405" s="66" t="str">
        <f>IF(Tenth!G158="", "",Tenth!G158)</f>
        <v/>
      </c>
      <c r="H2405" s="66" t="str">
        <f>IF(Tenth!H158="", "",Tenth!H158)</f>
        <v/>
      </c>
      <c r="I2405" s="66" t="str">
        <f>IF(Tenth!I158="", "",Tenth!I158)</f>
        <v/>
      </c>
      <c r="J2405" s="66" t="str">
        <f>IF(Tenth!J158="", "",Tenth!J158)</f>
        <v/>
      </c>
      <c r="K2405" s="86" t="str">
        <f>IF(Tenth!K158="", "",Tenth!K158)</f>
        <v/>
      </c>
      <c r="M2405" s="67" t="str">
        <f t="shared" si="113"/>
        <v/>
      </c>
      <c r="N2405" s="76" t="str">
        <f t="shared" si="114"/>
        <v/>
      </c>
      <c r="O2405" s="33">
        <f t="shared" si="112"/>
        <v>0</v>
      </c>
    </row>
    <row r="2406" spans="1:15" x14ac:dyDescent="0.25">
      <c r="A2406" s="64" t="s">
        <v>183</v>
      </c>
      <c r="B2406" s="79" t="str">
        <f>IF(Tenth!B159="", "",Tenth!B159)</f>
        <v/>
      </c>
      <c r="C2406" s="66" t="str">
        <f>IF(Tenth!C159="", "",Tenth!C159)</f>
        <v/>
      </c>
      <c r="D2406" s="66" t="str">
        <f>IF(Tenth!D159="", "",Tenth!D159)</f>
        <v/>
      </c>
      <c r="E2406" s="66" t="str">
        <f>IF(Tenth!E159="", "",Tenth!E159)</f>
        <v/>
      </c>
      <c r="F2406" s="66" t="str">
        <f>IF(Tenth!F159="", "",Tenth!F159)</f>
        <v/>
      </c>
      <c r="G2406" s="66" t="str">
        <f>IF(Tenth!G159="", "",Tenth!G159)</f>
        <v/>
      </c>
      <c r="H2406" s="66" t="str">
        <f>IF(Tenth!H159="", "",Tenth!H159)</f>
        <v/>
      </c>
      <c r="I2406" s="66" t="str">
        <f>IF(Tenth!I159="", "",Tenth!I159)</f>
        <v/>
      </c>
      <c r="J2406" s="66" t="str">
        <f>IF(Tenth!J159="", "",Tenth!J159)</f>
        <v/>
      </c>
      <c r="K2406" s="86" t="str">
        <f>IF(Tenth!K159="", "",Tenth!K159)</f>
        <v/>
      </c>
      <c r="M2406" s="67" t="str">
        <f t="shared" si="113"/>
        <v/>
      </c>
      <c r="N2406" s="76" t="str">
        <f t="shared" si="114"/>
        <v/>
      </c>
      <c r="O2406" s="33">
        <f t="shared" si="112"/>
        <v>0</v>
      </c>
    </row>
    <row r="2407" spans="1:15" x14ac:dyDescent="0.25">
      <c r="A2407" s="64" t="s">
        <v>183</v>
      </c>
      <c r="B2407" s="79" t="str">
        <f>IF(Tenth!B160="", "",Tenth!B160)</f>
        <v/>
      </c>
      <c r="C2407" s="66" t="str">
        <f>IF(Tenth!C160="", "",Tenth!C160)</f>
        <v/>
      </c>
      <c r="D2407" s="66" t="str">
        <f>IF(Tenth!D160="", "",Tenth!D160)</f>
        <v/>
      </c>
      <c r="E2407" s="66" t="str">
        <f>IF(Tenth!E160="", "",Tenth!E160)</f>
        <v/>
      </c>
      <c r="F2407" s="66" t="str">
        <f>IF(Tenth!F160="", "",Tenth!F160)</f>
        <v/>
      </c>
      <c r="G2407" s="66" t="str">
        <f>IF(Tenth!G160="", "",Tenth!G160)</f>
        <v/>
      </c>
      <c r="H2407" s="66" t="str">
        <f>IF(Tenth!H160="", "",Tenth!H160)</f>
        <v/>
      </c>
      <c r="I2407" s="66" t="str">
        <f>IF(Tenth!I160="", "",Tenth!I160)</f>
        <v/>
      </c>
      <c r="J2407" s="66" t="str">
        <f>IF(Tenth!J160="", "",Tenth!J160)</f>
        <v/>
      </c>
      <c r="K2407" s="86" t="str">
        <f>IF(Tenth!K160="", "",Tenth!K160)</f>
        <v/>
      </c>
      <c r="M2407" s="67" t="str">
        <f t="shared" si="113"/>
        <v/>
      </c>
      <c r="N2407" s="76" t="str">
        <f t="shared" si="114"/>
        <v/>
      </c>
      <c r="O2407" s="33">
        <f t="shared" si="112"/>
        <v>0</v>
      </c>
    </row>
    <row r="2408" spans="1:15" x14ac:dyDescent="0.25">
      <c r="A2408" s="64" t="s">
        <v>183</v>
      </c>
      <c r="B2408" s="79" t="str">
        <f>IF(Tenth!B161="", "",Tenth!B161)</f>
        <v/>
      </c>
      <c r="C2408" s="66" t="str">
        <f>IF(Tenth!C161="", "",Tenth!C161)</f>
        <v/>
      </c>
      <c r="D2408" s="66" t="str">
        <f>IF(Tenth!D161="", "",Tenth!D161)</f>
        <v/>
      </c>
      <c r="E2408" s="66" t="str">
        <f>IF(Tenth!E161="", "",Tenth!E161)</f>
        <v/>
      </c>
      <c r="F2408" s="66" t="str">
        <f>IF(Tenth!F161="", "",Tenth!F161)</f>
        <v/>
      </c>
      <c r="G2408" s="66" t="str">
        <f>IF(Tenth!G161="", "",Tenth!G161)</f>
        <v/>
      </c>
      <c r="H2408" s="66" t="str">
        <f>IF(Tenth!H161="", "",Tenth!H161)</f>
        <v/>
      </c>
      <c r="I2408" s="66" t="str">
        <f>IF(Tenth!I161="", "",Tenth!I161)</f>
        <v/>
      </c>
      <c r="J2408" s="66" t="str">
        <f>IF(Tenth!J161="", "",Tenth!J161)</f>
        <v/>
      </c>
      <c r="K2408" s="86" t="str">
        <f>IF(Tenth!K161="", "",Tenth!K161)</f>
        <v/>
      </c>
      <c r="M2408" s="67" t="str">
        <f t="shared" si="113"/>
        <v/>
      </c>
      <c r="N2408" s="76" t="str">
        <f t="shared" si="114"/>
        <v/>
      </c>
      <c r="O2408" s="33">
        <f t="shared" si="112"/>
        <v>0</v>
      </c>
    </row>
    <row r="2409" spans="1:15" x14ac:dyDescent="0.25">
      <c r="A2409" s="64" t="s">
        <v>183</v>
      </c>
      <c r="B2409" s="79" t="str">
        <f>IF(Tenth!B162="", "",Tenth!B162)</f>
        <v/>
      </c>
      <c r="C2409" s="66" t="str">
        <f>IF(Tenth!C162="", "",Tenth!C162)</f>
        <v/>
      </c>
      <c r="D2409" s="66" t="str">
        <f>IF(Tenth!D162="", "",Tenth!D162)</f>
        <v/>
      </c>
      <c r="E2409" s="66" t="str">
        <f>IF(Tenth!E162="", "",Tenth!E162)</f>
        <v/>
      </c>
      <c r="F2409" s="66" t="str">
        <f>IF(Tenth!F162="", "",Tenth!F162)</f>
        <v/>
      </c>
      <c r="G2409" s="66" t="str">
        <f>IF(Tenth!G162="", "",Tenth!G162)</f>
        <v/>
      </c>
      <c r="H2409" s="66" t="str">
        <f>IF(Tenth!H162="", "",Tenth!H162)</f>
        <v/>
      </c>
      <c r="I2409" s="66" t="str">
        <f>IF(Tenth!I162="", "",Tenth!I162)</f>
        <v/>
      </c>
      <c r="J2409" s="66" t="str">
        <f>IF(Tenth!J162="", "",Tenth!J162)</f>
        <v/>
      </c>
      <c r="K2409" s="86" t="str">
        <f>IF(Tenth!K162="", "",Tenth!K162)</f>
        <v/>
      </c>
      <c r="M2409" s="67" t="str">
        <f t="shared" si="113"/>
        <v/>
      </c>
      <c r="N2409" s="76" t="str">
        <f t="shared" si="114"/>
        <v/>
      </c>
      <c r="O2409" s="33">
        <f t="shared" si="112"/>
        <v>0</v>
      </c>
    </row>
    <row r="2410" spans="1:15" x14ac:dyDescent="0.25">
      <c r="A2410" s="64" t="s">
        <v>183</v>
      </c>
      <c r="B2410" s="79" t="str">
        <f>IF(Tenth!B163="", "",Tenth!B163)</f>
        <v/>
      </c>
      <c r="C2410" s="66" t="str">
        <f>IF(Tenth!C163="", "",Tenth!C163)</f>
        <v/>
      </c>
      <c r="D2410" s="66" t="str">
        <f>IF(Tenth!D163="", "",Tenth!D163)</f>
        <v/>
      </c>
      <c r="E2410" s="66" t="str">
        <f>IF(Tenth!E163="", "",Tenth!E163)</f>
        <v/>
      </c>
      <c r="F2410" s="66" t="str">
        <f>IF(Tenth!F163="", "",Tenth!F163)</f>
        <v/>
      </c>
      <c r="G2410" s="66" t="str">
        <f>IF(Tenth!G163="", "",Tenth!G163)</f>
        <v/>
      </c>
      <c r="H2410" s="66" t="str">
        <f>IF(Tenth!H163="", "",Tenth!H163)</f>
        <v/>
      </c>
      <c r="I2410" s="66" t="str">
        <f>IF(Tenth!I163="", "",Tenth!I163)</f>
        <v/>
      </c>
      <c r="J2410" s="66" t="str">
        <f>IF(Tenth!J163="", "",Tenth!J163)</f>
        <v/>
      </c>
      <c r="K2410" s="86" t="str">
        <f>IF(Tenth!K163="", "",Tenth!K163)</f>
        <v/>
      </c>
      <c r="M2410" s="67" t="str">
        <f t="shared" si="113"/>
        <v/>
      </c>
      <c r="N2410" s="76" t="str">
        <f t="shared" si="114"/>
        <v/>
      </c>
      <c r="O2410" s="33">
        <f t="shared" si="112"/>
        <v>0</v>
      </c>
    </row>
    <row r="2411" spans="1:15" x14ac:dyDescent="0.25">
      <c r="A2411" s="64" t="s">
        <v>183</v>
      </c>
      <c r="B2411" s="79" t="str">
        <f>IF(Tenth!B164="", "",Tenth!B164)</f>
        <v/>
      </c>
      <c r="C2411" s="66" t="str">
        <f>IF(Tenth!C164="", "",Tenth!C164)</f>
        <v/>
      </c>
      <c r="D2411" s="66" t="str">
        <f>IF(Tenth!D164="", "",Tenth!D164)</f>
        <v/>
      </c>
      <c r="E2411" s="66" t="str">
        <f>IF(Tenth!E164="", "",Tenth!E164)</f>
        <v/>
      </c>
      <c r="F2411" s="66" t="str">
        <f>IF(Tenth!F164="", "",Tenth!F164)</f>
        <v/>
      </c>
      <c r="G2411" s="66" t="str">
        <f>IF(Tenth!G164="", "",Tenth!G164)</f>
        <v/>
      </c>
      <c r="H2411" s="66" t="str">
        <f>IF(Tenth!H164="", "",Tenth!H164)</f>
        <v/>
      </c>
      <c r="I2411" s="66" t="str">
        <f>IF(Tenth!I164="", "",Tenth!I164)</f>
        <v/>
      </c>
      <c r="J2411" s="66" t="str">
        <f>IF(Tenth!J164="", "",Tenth!J164)</f>
        <v/>
      </c>
      <c r="K2411" s="86" t="str">
        <f>IF(Tenth!K164="", "",Tenth!K164)</f>
        <v/>
      </c>
      <c r="M2411" s="67" t="str">
        <f t="shared" si="113"/>
        <v/>
      </c>
      <c r="N2411" s="76" t="str">
        <f t="shared" si="114"/>
        <v/>
      </c>
      <c r="O2411" s="33">
        <f t="shared" si="112"/>
        <v>0</v>
      </c>
    </row>
    <row r="2412" spans="1:15" x14ac:dyDescent="0.25">
      <c r="A2412" s="64" t="s">
        <v>183</v>
      </c>
      <c r="B2412" s="79" t="str">
        <f>IF(Tenth!B165="", "",Tenth!B165)</f>
        <v/>
      </c>
      <c r="C2412" s="66" t="str">
        <f>IF(Tenth!C165="", "",Tenth!C165)</f>
        <v/>
      </c>
      <c r="D2412" s="66" t="str">
        <f>IF(Tenth!D165="", "",Tenth!D165)</f>
        <v/>
      </c>
      <c r="E2412" s="66" t="str">
        <f>IF(Tenth!E165="", "",Tenth!E165)</f>
        <v/>
      </c>
      <c r="F2412" s="66" t="str">
        <f>IF(Tenth!F165="", "",Tenth!F165)</f>
        <v/>
      </c>
      <c r="G2412" s="66" t="str">
        <f>IF(Tenth!G165="", "",Tenth!G165)</f>
        <v/>
      </c>
      <c r="H2412" s="66" t="str">
        <f>IF(Tenth!H165="", "",Tenth!H165)</f>
        <v/>
      </c>
      <c r="I2412" s="66" t="str">
        <f>IF(Tenth!I165="", "",Tenth!I165)</f>
        <v/>
      </c>
      <c r="J2412" s="66" t="str">
        <f>IF(Tenth!J165="", "",Tenth!J165)</f>
        <v/>
      </c>
      <c r="K2412" s="86" t="str">
        <f>IF(Tenth!K165="", "",Tenth!K165)</f>
        <v/>
      </c>
      <c r="M2412" s="67" t="str">
        <f t="shared" si="113"/>
        <v/>
      </c>
      <c r="N2412" s="76" t="str">
        <f t="shared" si="114"/>
        <v/>
      </c>
      <c r="O2412" s="33">
        <f t="shared" si="112"/>
        <v>0</v>
      </c>
    </row>
    <row r="2413" spans="1:15" x14ac:dyDescent="0.25">
      <c r="A2413" s="64" t="s">
        <v>183</v>
      </c>
      <c r="B2413" s="79" t="str">
        <f>IF(Tenth!B166="", "",Tenth!B166)</f>
        <v/>
      </c>
      <c r="C2413" s="66" t="str">
        <f>IF(Tenth!C166="", "",Tenth!C166)</f>
        <v/>
      </c>
      <c r="D2413" s="66" t="str">
        <f>IF(Tenth!D166="", "",Tenth!D166)</f>
        <v/>
      </c>
      <c r="E2413" s="66" t="str">
        <f>IF(Tenth!E166="", "",Tenth!E166)</f>
        <v/>
      </c>
      <c r="F2413" s="66" t="str">
        <f>IF(Tenth!F166="", "",Tenth!F166)</f>
        <v/>
      </c>
      <c r="G2413" s="66" t="str">
        <f>IF(Tenth!G166="", "",Tenth!G166)</f>
        <v/>
      </c>
      <c r="H2413" s="66" t="str">
        <f>IF(Tenth!H166="", "",Tenth!H166)</f>
        <v/>
      </c>
      <c r="I2413" s="66" t="str">
        <f>IF(Tenth!I166="", "",Tenth!I166)</f>
        <v/>
      </c>
      <c r="J2413" s="66" t="str">
        <f>IF(Tenth!J166="", "",Tenth!J166)</f>
        <v/>
      </c>
      <c r="K2413" s="86" t="str">
        <f>IF(Tenth!K166="", "",Tenth!K166)</f>
        <v/>
      </c>
      <c r="M2413" s="67" t="str">
        <f t="shared" si="113"/>
        <v/>
      </c>
      <c r="N2413" s="76" t="str">
        <f t="shared" si="114"/>
        <v/>
      </c>
      <c r="O2413" s="33">
        <f t="shared" si="112"/>
        <v>0</v>
      </c>
    </row>
    <row r="2414" spans="1:15" x14ac:dyDescent="0.25">
      <c r="A2414" s="64" t="s">
        <v>183</v>
      </c>
      <c r="B2414" s="79" t="str">
        <f>IF(Tenth!B167="", "",Tenth!B167)</f>
        <v/>
      </c>
      <c r="C2414" s="66" t="str">
        <f>IF(Tenth!C167="", "",Tenth!C167)</f>
        <v/>
      </c>
      <c r="D2414" s="66" t="str">
        <f>IF(Tenth!D167="", "",Tenth!D167)</f>
        <v/>
      </c>
      <c r="E2414" s="66" t="str">
        <f>IF(Tenth!E167="", "",Tenth!E167)</f>
        <v/>
      </c>
      <c r="F2414" s="66" t="str">
        <f>IF(Tenth!F167="", "",Tenth!F167)</f>
        <v/>
      </c>
      <c r="G2414" s="66" t="str">
        <f>IF(Tenth!G167="", "",Tenth!G167)</f>
        <v/>
      </c>
      <c r="H2414" s="66" t="str">
        <f>IF(Tenth!H167="", "",Tenth!H167)</f>
        <v/>
      </c>
      <c r="I2414" s="66" t="str">
        <f>IF(Tenth!I167="", "",Tenth!I167)</f>
        <v/>
      </c>
      <c r="J2414" s="66" t="str">
        <f>IF(Tenth!J167="", "",Tenth!J167)</f>
        <v/>
      </c>
      <c r="K2414" s="86" t="str">
        <f>IF(Tenth!K167="", "",Tenth!K167)</f>
        <v/>
      </c>
      <c r="M2414" s="67" t="str">
        <f t="shared" si="113"/>
        <v/>
      </c>
      <c r="N2414" s="76" t="str">
        <f t="shared" si="114"/>
        <v/>
      </c>
      <c r="O2414" s="33">
        <f t="shared" si="112"/>
        <v>0</v>
      </c>
    </row>
    <row r="2415" spans="1:15" x14ac:dyDescent="0.25">
      <c r="A2415" s="64" t="s">
        <v>183</v>
      </c>
      <c r="B2415" s="79" t="str">
        <f>IF(Tenth!B168="", "",Tenth!B168)</f>
        <v/>
      </c>
      <c r="C2415" s="66" t="str">
        <f>IF(Tenth!C168="", "",Tenth!C168)</f>
        <v/>
      </c>
      <c r="D2415" s="66" t="str">
        <f>IF(Tenth!D168="", "",Tenth!D168)</f>
        <v/>
      </c>
      <c r="E2415" s="66" t="str">
        <f>IF(Tenth!E168="", "",Tenth!E168)</f>
        <v/>
      </c>
      <c r="F2415" s="66" t="str">
        <f>IF(Tenth!F168="", "",Tenth!F168)</f>
        <v/>
      </c>
      <c r="G2415" s="66" t="str">
        <f>IF(Tenth!G168="", "",Tenth!G168)</f>
        <v/>
      </c>
      <c r="H2415" s="66" t="str">
        <f>IF(Tenth!H168="", "",Tenth!H168)</f>
        <v/>
      </c>
      <c r="I2415" s="66" t="str">
        <f>IF(Tenth!I168="", "",Tenth!I168)</f>
        <v/>
      </c>
      <c r="J2415" s="66" t="str">
        <f>IF(Tenth!J168="", "",Tenth!J168)</f>
        <v/>
      </c>
      <c r="K2415" s="86" t="str">
        <f>IF(Tenth!K168="", "",Tenth!K168)</f>
        <v/>
      </c>
      <c r="M2415" s="67" t="str">
        <f t="shared" si="113"/>
        <v/>
      </c>
      <c r="N2415" s="76" t="str">
        <f t="shared" si="114"/>
        <v/>
      </c>
      <c r="O2415" s="33">
        <f t="shared" si="112"/>
        <v>0</v>
      </c>
    </row>
    <row r="2416" spans="1:15" x14ac:dyDescent="0.25">
      <c r="A2416" s="64" t="s">
        <v>183</v>
      </c>
      <c r="B2416" s="79" t="str">
        <f>IF(Tenth!B169="", "",Tenth!B169)</f>
        <v/>
      </c>
      <c r="C2416" s="66" t="str">
        <f>IF(Tenth!C169="", "",Tenth!C169)</f>
        <v/>
      </c>
      <c r="D2416" s="66" t="str">
        <f>IF(Tenth!D169="", "",Tenth!D169)</f>
        <v/>
      </c>
      <c r="E2416" s="66" t="str">
        <f>IF(Tenth!E169="", "",Tenth!E169)</f>
        <v/>
      </c>
      <c r="F2416" s="66" t="str">
        <f>IF(Tenth!F169="", "",Tenth!F169)</f>
        <v/>
      </c>
      <c r="G2416" s="66" t="str">
        <f>IF(Tenth!G169="", "",Tenth!G169)</f>
        <v/>
      </c>
      <c r="H2416" s="66" t="str">
        <f>IF(Tenth!H169="", "",Tenth!H169)</f>
        <v/>
      </c>
      <c r="I2416" s="66" t="str">
        <f>IF(Tenth!I169="", "",Tenth!I169)</f>
        <v/>
      </c>
      <c r="J2416" s="66" t="str">
        <f>IF(Tenth!J169="", "",Tenth!J169)</f>
        <v/>
      </c>
      <c r="K2416" s="86" t="str">
        <f>IF(Tenth!K169="", "",Tenth!K169)</f>
        <v/>
      </c>
      <c r="M2416" s="67" t="str">
        <f t="shared" si="113"/>
        <v/>
      </c>
      <c r="N2416" s="76" t="str">
        <f t="shared" si="114"/>
        <v/>
      </c>
      <c r="O2416" s="33">
        <f t="shared" si="112"/>
        <v>0</v>
      </c>
    </row>
    <row r="2417" spans="1:15" x14ac:dyDescent="0.25">
      <c r="A2417" s="64" t="s">
        <v>183</v>
      </c>
      <c r="B2417" s="79" t="str">
        <f>IF(Tenth!B170="", "",Tenth!B170)</f>
        <v/>
      </c>
      <c r="C2417" s="66" t="str">
        <f>IF(Tenth!C170="", "",Tenth!C170)</f>
        <v/>
      </c>
      <c r="D2417" s="66" t="str">
        <f>IF(Tenth!D170="", "",Tenth!D170)</f>
        <v/>
      </c>
      <c r="E2417" s="66" t="str">
        <f>IF(Tenth!E170="", "",Tenth!E170)</f>
        <v/>
      </c>
      <c r="F2417" s="66" t="str">
        <f>IF(Tenth!F170="", "",Tenth!F170)</f>
        <v/>
      </c>
      <c r="G2417" s="66" t="str">
        <f>IF(Tenth!G170="", "",Tenth!G170)</f>
        <v/>
      </c>
      <c r="H2417" s="66" t="str">
        <f>IF(Tenth!H170="", "",Tenth!H170)</f>
        <v/>
      </c>
      <c r="I2417" s="66" t="str">
        <f>IF(Tenth!I170="", "",Tenth!I170)</f>
        <v/>
      </c>
      <c r="J2417" s="66" t="str">
        <f>IF(Tenth!J170="", "",Tenth!J170)</f>
        <v/>
      </c>
      <c r="K2417" s="86" t="str">
        <f>IF(Tenth!K170="", "",Tenth!K170)</f>
        <v/>
      </c>
      <c r="M2417" s="67" t="str">
        <f t="shared" si="113"/>
        <v/>
      </c>
      <c r="N2417" s="76" t="str">
        <f t="shared" si="114"/>
        <v/>
      </c>
      <c r="O2417" s="33">
        <f t="shared" si="112"/>
        <v>0</v>
      </c>
    </row>
    <row r="2418" spans="1:15" x14ac:dyDescent="0.25">
      <c r="A2418" s="64" t="s">
        <v>183</v>
      </c>
      <c r="B2418" s="79" t="str">
        <f>IF(Tenth!B171="", "",Tenth!B171)</f>
        <v/>
      </c>
      <c r="C2418" s="66" t="str">
        <f>IF(Tenth!C171="", "",Tenth!C171)</f>
        <v/>
      </c>
      <c r="D2418" s="66" t="str">
        <f>IF(Tenth!D171="", "",Tenth!D171)</f>
        <v/>
      </c>
      <c r="E2418" s="66" t="str">
        <f>IF(Tenth!E171="", "",Tenth!E171)</f>
        <v/>
      </c>
      <c r="F2418" s="66" t="str">
        <f>IF(Tenth!F171="", "",Tenth!F171)</f>
        <v/>
      </c>
      <c r="G2418" s="66" t="str">
        <f>IF(Tenth!G171="", "",Tenth!G171)</f>
        <v/>
      </c>
      <c r="H2418" s="66" t="str">
        <f>IF(Tenth!H171="", "",Tenth!H171)</f>
        <v/>
      </c>
      <c r="I2418" s="66" t="str">
        <f>IF(Tenth!I171="", "",Tenth!I171)</f>
        <v/>
      </c>
      <c r="J2418" s="66" t="str">
        <f>IF(Tenth!J171="", "",Tenth!J171)</f>
        <v/>
      </c>
      <c r="K2418" s="86" t="str">
        <f>IF(Tenth!K171="", "",Tenth!K171)</f>
        <v/>
      </c>
      <c r="M2418" s="67" t="str">
        <f t="shared" si="113"/>
        <v/>
      </c>
      <c r="N2418" s="76" t="str">
        <f t="shared" si="114"/>
        <v/>
      </c>
      <c r="O2418" s="33">
        <f t="shared" si="112"/>
        <v>0</v>
      </c>
    </row>
    <row r="2419" spans="1:15" x14ac:dyDescent="0.25">
      <c r="A2419" s="64" t="s">
        <v>183</v>
      </c>
      <c r="B2419" s="79" t="str">
        <f>IF(Tenth!B172="", "",Tenth!B172)</f>
        <v/>
      </c>
      <c r="C2419" s="66" t="str">
        <f>IF(Tenth!C172="", "",Tenth!C172)</f>
        <v/>
      </c>
      <c r="D2419" s="66" t="str">
        <f>IF(Tenth!D172="", "",Tenth!D172)</f>
        <v/>
      </c>
      <c r="E2419" s="66" t="str">
        <f>IF(Tenth!E172="", "",Tenth!E172)</f>
        <v/>
      </c>
      <c r="F2419" s="66" t="str">
        <f>IF(Tenth!F172="", "",Tenth!F172)</f>
        <v/>
      </c>
      <c r="G2419" s="66" t="str">
        <f>IF(Tenth!G172="", "",Tenth!G172)</f>
        <v/>
      </c>
      <c r="H2419" s="66" t="str">
        <f>IF(Tenth!H172="", "",Tenth!H172)</f>
        <v/>
      </c>
      <c r="I2419" s="66" t="str">
        <f>IF(Tenth!I172="", "",Tenth!I172)</f>
        <v/>
      </c>
      <c r="J2419" s="66" t="str">
        <f>IF(Tenth!J172="", "",Tenth!J172)</f>
        <v/>
      </c>
      <c r="K2419" s="86" t="str">
        <f>IF(Tenth!K172="", "",Tenth!K172)</f>
        <v/>
      </c>
      <c r="M2419" s="67" t="str">
        <f t="shared" si="113"/>
        <v/>
      </c>
      <c r="N2419" s="76" t="str">
        <f t="shared" si="114"/>
        <v/>
      </c>
      <c r="O2419" s="33">
        <f t="shared" si="112"/>
        <v>0</v>
      </c>
    </row>
    <row r="2420" spans="1:15" x14ac:dyDescent="0.25">
      <c r="A2420" s="64" t="s">
        <v>183</v>
      </c>
      <c r="B2420" s="79" t="str">
        <f>IF(Tenth!B173="", "",Tenth!B173)</f>
        <v/>
      </c>
      <c r="C2420" s="66" t="str">
        <f>IF(Tenth!C173="", "",Tenth!C173)</f>
        <v/>
      </c>
      <c r="D2420" s="66" t="str">
        <f>IF(Tenth!D173="", "",Tenth!D173)</f>
        <v/>
      </c>
      <c r="E2420" s="66" t="str">
        <f>IF(Tenth!E173="", "",Tenth!E173)</f>
        <v/>
      </c>
      <c r="F2420" s="66" t="str">
        <f>IF(Tenth!F173="", "",Tenth!F173)</f>
        <v/>
      </c>
      <c r="G2420" s="66" t="str">
        <f>IF(Tenth!G173="", "",Tenth!G173)</f>
        <v/>
      </c>
      <c r="H2420" s="66" t="str">
        <f>IF(Tenth!H173="", "",Tenth!H173)</f>
        <v/>
      </c>
      <c r="I2420" s="66" t="str">
        <f>IF(Tenth!I173="", "",Tenth!I173)</f>
        <v/>
      </c>
      <c r="J2420" s="66" t="str">
        <f>IF(Tenth!J173="", "",Tenth!J173)</f>
        <v/>
      </c>
      <c r="K2420" s="86" t="str">
        <f>IF(Tenth!K173="", "",Tenth!K173)</f>
        <v/>
      </c>
      <c r="M2420" s="67" t="str">
        <f t="shared" si="113"/>
        <v/>
      </c>
      <c r="N2420" s="76" t="str">
        <f t="shared" si="114"/>
        <v/>
      </c>
      <c r="O2420" s="33">
        <f t="shared" si="112"/>
        <v>0</v>
      </c>
    </row>
    <row r="2421" spans="1:15" x14ac:dyDescent="0.25">
      <c r="A2421" s="64" t="s">
        <v>183</v>
      </c>
      <c r="B2421" s="79" t="str">
        <f>IF(Tenth!B174="", "",Tenth!B174)</f>
        <v/>
      </c>
      <c r="C2421" s="66" t="str">
        <f>IF(Tenth!C174="", "",Tenth!C174)</f>
        <v/>
      </c>
      <c r="D2421" s="66" t="str">
        <f>IF(Tenth!D174="", "",Tenth!D174)</f>
        <v/>
      </c>
      <c r="E2421" s="66" t="str">
        <f>IF(Tenth!E174="", "",Tenth!E174)</f>
        <v/>
      </c>
      <c r="F2421" s="66" t="str">
        <f>IF(Tenth!F174="", "",Tenth!F174)</f>
        <v/>
      </c>
      <c r="G2421" s="66" t="str">
        <f>IF(Tenth!G174="", "",Tenth!G174)</f>
        <v/>
      </c>
      <c r="H2421" s="66" t="str">
        <f>IF(Tenth!H174="", "",Tenth!H174)</f>
        <v/>
      </c>
      <c r="I2421" s="66" t="str">
        <f>IF(Tenth!I174="", "",Tenth!I174)</f>
        <v/>
      </c>
      <c r="J2421" s="66" t="str">
        <f>IF(Tenth!J174="", "",Tenth!J174)</f>
        <v/>
      </c>
      <c r="K2421" s="86" t="str">
        <f>IF(Tenth!K174="", "",Tenth!K174)</f>
        <v/>
      </c>
      <c r="M2421" s="67" t="str">
        <f t="shared" si="113"/>
        <v/>
      </c>
      <c r="N2421" s="76" t="str">
        <f t="shared" si="114"/>
        <v/>
      </c>
      <c r="O2421" s="33">
        <f t="shared" si="112"/>
        <v>0</v>
      </c>
    </row>
    <row r="2422" spans="1:15" x14ac:dyDescent="0.25">
      <c r="A2422" s="64" t="s">
        <v>183</v>
      </c>
      <c r="B2422" s="79" t="str">
        <f>IF(Tenth!B175="", "",Tenth!B175)</f>
        <v/>
      </c>
      <c r="C2422" s="66" t="str">
        <f>IF(Tenth!C175="", "",Tenth!C175)</f>
        <v/>
      </c>
      <c r="D2422" s="66" t="str">
        <f>IF(Tenth!D175="", "",Tenth!D175)</f>
        <v/>
      </c>
      <c r="E2422" s="66" t="str">
        <f>IF(Tenth!E175="", "",Tenth!E175)</f>
        <v/>
      </c>
      <c r="F2422" s="66" t="str">
        <f>IF(Tenth!F175="", "",Tenth!F175)</f>
        <v/>
      </c>
      <c r="G2422" s="66" t="str">
        <f>IF(Tenth!G175="", "",Tenth!G175)</f>
        <v/>
      </c>
      <c r="H2422" s="66" t="str">
        <f>IF(Tenth!H175="", "",Tenth!H175)</f>
        <v/>
      </c>
      <c r="I2422" s="66" t="str">
        <f>IF(Tenth!I175="", "",Tenth!I175)</f>
        <v/>
      </c>
      <c r="J2422" s="66" t="str">
        <f>IF(Tenth!J175="", "",Tenth!J175)</f>
        <v/>
      </c>
      <c r="K2422" s="86" t="str">
        <f>IF(Tenth!K175="", "",Tenth!K175)</f>
        <v/>
      </c>
      <c r="M2422" s="67" t="str">
        <f t="shared" si="113"/>
        <v/>
      </c>
      <c r="N2422" s="76" t="str">
        <f t="shared" si="114"/>
        <v/>
      </c>
      <c r="O2422" s="33">
        <f t="shared" si="112"/>
        <v>0</v>
      </c>
    </row>
    <row r="2423" spans="1:15" x14ac:dyDescent="0.25">
      <c r="A2423" s="64" t="s">
        <v>183</v>
      </c>
      <c r="B2423" s="79" t="str">
        <f>IF(Tenth!B176="", "",Tenth!B176)</f>
        <v/>
      </c>
      <c r="C2423" s="66" t="str">
        <f>IF(Tenth!C176="", "",Tenth!C176)</f>
        <v/>
      </c>
      <c r="D2423" s="66" t="str">
        <f>IF(Tenth!D176="", "",Tenth!D176)</f>
        <v/>
      </c>
      <c r="E2423" s="66" t="str">
        <f>IF(Tenth!E176="", "",Tenth!E176)</f>
        <v/>
      </c>
      <c r="F2423" s="66" t="str">
        <f>IF(Tenth!F176="", "",Tenth!F176)</f>
        <v/>
      </c>
      <c r="G2423" s="66" t="str">
        <f>IF(Tenth!G176="", "",Tenth!G176)</f>
        <v/>
      </c>
      <c r="H2423" s="66" t="str">
        <f>IF(Tenth!H176="", "",Tenth!H176)</f>
        <v/>
      </c>
      <c r="I2423" s="66" t="str">
        <f>IF(Tenth!I176="", "",Tenth!I176)</f>
        <v/>
      </c>
      <c r="J2423" s="66" t="str">
        <f>IF(Tenth!J176="", "",Tenth!J176)</f>
        <v/>
      </c>
      <c r="K2423" s="86" t="str">
        <f>IF(Tenth!K176="", "",Tenth!K176)</f>
        <v/>
      </c>
      <c r="M2423" s="67" t="str">
        <f t="shared" si="113"/>
        <v/>
      </c>
      <c r="N2423" s="76" t="str">
        <f t="shared" si="114"/>
        <v/>
      </c>
      <c r="O2423" s="33">
        <f t="shared" si="112"/>
        <v>0</v>
      </c>
    </row>
    <row r="2424" spans="1:15" x14ac:dyDescent="0.25">
      <c r="A2424" s="64" t="s">
        <v>183</v>
      </c>
      <c r="B2424" s="79" t="str">
        <f>IF(Tenth!B177="", "",Tenth!B177)</f>
        <v/>
      </c>
      <c r="C2424" s="66" t="str">
        <f>IF(Tenth!C177="", "",Tenth!C177)</f>
        <v/>
      </c>
      <c r="D2424" s="66" t="str">
        <f>IF(Tenth!D177="", "",Tenth!D177)</f>
        <v/>
      </c>
      <c r="E2424" s="66" t="str">
        <f>IF(Tenth!E177="", "",Tenth!E177)</f>
        <v/>
      </c>
      <c r="F2424" s="66" t="str">
        <f>IF(Tenth!F177="", "",Tenth!F177)</f>
        <v/>
      </c>
      <c r="G2424" s="66" t="str">
        <f>IF(Tenth!G177="", "",Tenth!G177)</f>
        <v/>
      </c>
      <c r="H2424" s="66" t="str">
        <f>IF(Tenth!H177="", "",Tenth!H177)</f>
        <v/>
      </c>
      <c r="I2424" s="66" t="str">
        <f>IF(Tenth!I177="", "",Tenth!I177)</f>
        <v/>
      </c>
      <c r="J2424" s="66" t="str">
        <f>IF(Tenth!J177="", "",Tenth!J177)</f>
        <v/>
      </c>
      <c r="K2424" s="86" t="str">
        <f>IF(Tenth!K177="", "",Tenth!K177)</f>
        <v/>
      </c>
      <c r="M2424" s="67" t="str">
        <f t="shared" si="113"/>
        <v/>
      </c>
      <c r="N2424" s="76" t="str">
        <f t="shared" si="114"/>
        <v/>
      </c>
      <c r="O2424" s="33">
        <f t="shared" si="112"/>
        <v>0</v>
      </c>
    </row>
    <row r="2425" spans="1:15" x14ac:dyDescent="0.25">
      <c r="A2425" s="64" t="s">
        <v>183</v>
      </c>
      <c r="B2425" s="79" t="str">
        <f>IF(Tenth!B178="", "",Tenth!B178)</f>
        <v/>
      </c>
      <c r="C2425" s="66" t="str">
        <f>IF(Tenth!C178="", "",Tenth!C178)</f>
        <v/>
      </c>
      <c r="D2425" s="66" t="str">
        <f>IF(Tenth!D178="", "",Tenth!D178)</f>
        <v/>
      </c>
      <c r="E2425" s="66" t="str">
        <f>IF(Tenth!E178="", "",Tenth!E178)</f>
        <v/>
      </c>
      <c r="F2425" s="66" t="str">
        <f>IF(Tenth!F178="", "",Tenth!F178)</f>
        <v/>
      </c>
      <c r="G2425" s="66" t="str">
        <f>IF(Tenth!G178="", "",Tenth!G178)</f>
        <v/>
      </c>
      <c r="H2425" s="66" t="str">
        <f>IF(Tenth!H178="", "",Tenth!H178)</f>
        <v/>
      </c>
      <c r="I2425" s="66" t="str">
        <f>IF(Tenth!I178="", "",Tenth!I178)</f>
        <v/>
      </c>
      <c r="J2425" s="66" t="str">
        <f>IF(Tenth!J178="", "",Tenth!J178)</f>
        <v/>
      </c>
      <c r="K2425" s="86" t="str">
        <f>IF(Tenth!K178="", "",Tenth!K178)</f>
        <v/>
      </c>
      <c r="M2425" s="67" t="str">
        <f t="shared" si="113"/>
        <v/>
      </c>
      <c r="N2425" s="76" t="str">
        <f t="shared" si="114"/>
        <v/>
      </c>
      <c r="O2425" s="33">
        <f t="shared" si="112"/>
        <v>0</v>
      </c>
    </row>
    <row r="2426" spans="1:15" x14ac:dyDescent="0.25">
      <c r="A2426" s="64" t="s">
        <v>183</v>
      </c>
      <c r="B2426" s="79" t="str">
        <f>IF(Tenth!B179="", "",Tenth!B179)</f>
        <v/>
      </c>
      <c r="C2426" s="66" t="str">
        <f>IF(Tenth!C179="", "",Tenth!C179)</f>
        <v/>
      </c>
      <c r="D2426" s="66" t="str">
        <f>IF(Tenth!D179="", "",Tenth!D179)</f>
        <v/>
      </c>
      <c r="E2426" s="66" t="str">
        <f>IF(Tenth!E179="", "",Tenth!E179)</f>
        <v/>
      </c>
      <c r="F2426" s="66" t="str">
        <f>IF(Tenth!F179="", "",Tenth!F179)</f>
        <v/>
      </c>
      <c r="G2426" s="66" t="str">
        <f>IF(Tenth!G179="", "",Tenth!G179)</f>
        <v/>
      </c>
      <c r="H2426" s="66" t="str">
        <f>IF(Tenth!H179="", "",Tenth!H179)</f>
        <v/>
      </c>
      <c r="I2426" s="66" t="str">
        <f>IF(Tenth!I179="", "",Tenth!I179)</f>
        <v/>
      </c>
      <c r="J2426" s="66" t="str">
        <f>IF(Tenth!J179="", "",Tenth!J179)</f>
        <v/>
      </c>
      <c r="K2426" s="86" t="str">
        <f>IF(Tenth!K179="", "",Tenth!K179)</f>
        <v/>
      </c>
      <c r="M2426" s="67" t="str">
        <f t="shared" si="113"/>
        <v/>
      </c>
      <c r="N2426" s="76" t="str">
        <f t="shared" si="114"/>
        <v/>
      </c>
      <c r="O2426" s="33">
        <f t="shared" si="112"/>
        <v>0</v>
      </c>
    </row>
    <row r="2427" spans="1:15" x14ac:dyDescent="0.25">
      <c r="A2427" s="64" t="s">
        <v>183</v>
      </c>
      <c r="B2427" s="79" t="str">
        <f>IF(Tenth!B180="", "",Tenth!B180)</f>
        <v/>
      </c>
      <c r="C2427" s="66" t="str">
        <f>IF(Tenth!C180="", "",Tenth!C180)</f>
        <v/>
      </c>
      <c r="D2427" s="66" t="str">
        <f>IF(Tenth!D180="", "",Tenth!D180)</f>
        <v/>
      </c>
      <c r="E2427" s="66" t="str">
        <f>IF(Tenth!E180="", "",Tenth!E180)</f>
        <v/>
      </c>
      <c r="F2427" s="66" t="str">
        <f>IF(Tenth!F180="", "",Tenth!F180)</f>
        <v/>
      </c>
      <c r="G2427" s="66" t="str">
        <f>IF(Tenth!G180="", "",Tenth!G180)</f>
        <v/>
      </c>
      <c r="H2427" s="66" t="str">
        <f>IF(Tenth!H180="", "",Tenth!H180)</f>
        <v/>
      </c>
      <c r="I2427" s="66" t="str">
        <f>IF(Tenth!I180="", "",Tenth!I180)</f>
        <v/>
      </c>
      <c r="J2427" s="66" t="str">
        <f>IF(Tenth!J180="", "",Tenth!J180)</f>
        <v/>
      </c>
      <c r="K2427" s="86" t="str">
        <f>IF(Tenth!K180="", "",Tenth!K180)</f>
        <v/>
      </c>
      <c r="M2427" s="67" t="str">
        <f t="shared" si="113"/>
        <v/>
      </c>
      <c r="N2427" s="76" t="str">
        <f t="shared" si="114"/>
        <v/>
      </c>
      <c r="O2427" s="33">
        <f t="shared" si="112"/>
        <v>0</v>
      </c>
    </row>
    <row r="2428" spans="1:15" x14ac:dyDescent="0.25">
      <c r="A2428" s="64" t="s">
        <v>183</v>
      </c>
      <c r="B2428" s="79" t="str">
        <f>IF(Tenth!B181="", "",Tenth!B181)</f>
        <v/>
      </c>
      <c r="C2428" s="66" t="str">
        <f>IF(Tenth!C181="", "",Tenth!C181)</f>
        <v/>
      </c>
      <c r="D2428" s="66" t="str">
        <f>IF(Tenth!D181="", "",Tenth!D181)</f>
        <v/>
      </c>
      <c r="E2428" s="66" t="str">
        <f>IF(Tenth!E181="", "",Tenth!E181)</f>
        <v/>
      </c>
      <c r="F2428" s="66" t="str">
        <f>IF(Tenth!F181="", "",Tenth!F181)</f>
        <v/>
      </c>
      <c r="G2428" s="66" t="str">
        <f>IF(Tenth!G181="", "",Tenth!G181)</f>
        <v/>
      </c>
      <c r="H2428" s="66" t="str">
        <f>IF(Tenth!H181="", "",Tenth!H181)</f>
        <v/>
      </c>
      <c r="I2428" s="66" t="str">
        <f>IF(Tenth!I181="", "",Tenth!I181)</f>
        <v/>
      </c>
      <c r="J2428" s="66" t="str">
        <f>IF(Tenth!J181="", "",Tenth!J181)</f>
        <v/>
      </c>
      <c r="K2428" s="86" t="str">
        <f>IF(Tenth!K181="", "",Tenth!K181)</f>
        <v/>
      </c>
      <c r="M2428" s="67" t="str">
        <f t="shared" si="113"/>
        <v/>
      </c>
      <c r="N2428" s="76" t="str">
        <f t="shared" si="114"/>
        <v/>
      </c>
      <c r="O2428" s="33">
        <f t="shared" si="112"/>
        <v>0</v>
      </c>
    </row>
    <row r="2429" spans="1:15" x14ac:dyDescent="0.25">
      <c r="A2429" s="64" t="s">
        <v>183</v>
      </c>
      <c r="B2429" s="79" t="str">
        <f>IF(Tenth!B182="", "",Tenth!B182)</f>
        <v/>
      </c>
      <c r="C2429" s="66" t="str">
        <f>IF(Tenth!C182="", "",Tenth!C182)</f>
        <v/>
      </c>
      <c r="D2429" s="66" t="str">
        <f>IF(Tenth!D182="", "",Tenth!D182)</f>
        <v/>
      </c>
      <c r="E2429" s="66" t="str">
        <f>IF(Tenth!E182="", "",Tenth!E182)</f>
        <v/>
      </c>
      <c r="F2429" s="66" t="str">
        <f>IF(Tenth!F182="", "",Tenth!F182)</f>
        <v/>
      </c>
      <c r="G2429" s="66" t="str">
        <f>IF(Tenth!G182="", "",Tenth!G182)</f>
        <v/>
      </c>
      <c r="H2429" s="66" t="str">
        <f>IF(Tenth!H182="", "",Tenth!H182)</f>
        <v/>
      </c>
      <c r="I2429" s="66" t="str">
        <f>IF(Tenth!I182="", "",Tenth!I182)</f>
        <v/>
      </c>
      <c r="J2429" s="66" t="str">
        <f>IF(Tenth!J182="", "",Tenth!J182)</f>
        <v/>
      </c>
      <c r="K2429" s="86" t="str">
        <f>IF(Tenth!K182="", "",Tenth!K182)</f>
        <v/>
      </c>
      <c r="M2429" s="67" t="str">
        <f t="shared" si="113"/>
        <v/>
      </c>
      <c r="N2429" s="76" t="str">
        <f t="shared" si="114"/>
        <v/>
      </c>
      <c r="O2429" s="33">
        <f t="shared" si="112"/>
        <v>0</v>
      </c>
    </row>
    <row r="2430" spans="1:15" x14ac:dyDescent="0.25">
      <c r="A2430" s="64" t="s">
        <v>183</v>
      </c>
      <c r="B2430" s="79" t="str">
        <f>IF(Tenth!B183="", "",Tenth!B183)</f>
        <v/>
      </c>
      <c r="C2430" s="66" t="str">
        <f>IF(Tenth!C183="", "",Tenth!C183)</f>
        <v/>
      </c>
      <c r="D2430" s="66" t="str">
        <f>IF(Tenth!D183="", "",Tenth!D183)</f>
        <v/>
      </c>
      <c r="E2430" s="66" t="str">
        <f>IF(Tenth!E183="", "",Tenth!E183)</f>
        <v/>
      </c>
      <c r="F2430" s="66" t="str">
        <f>IF(Tenth!F183="", "",Tenth!F183)</f>
        <v/>
      </c>
      <c r="G2430" s="66" t="str">
        <f>IF(Tenth!G183="", "",Tenth!G183)</f>
        <v/>
      </c>
      <c r="H2430" s="66" t="str">
        <f>IF(Tenth!H183="", "",Tenth!H183)</f>
        <v/>
      </c>
      <c r="I2430" s="66" t="str">
        <f>IF(Tenth!I183="", "",Tenth!I183)</f>
        <v/>
      </c>
      <c r="J2430" s="66" t="str">
        <f>IF(Tenth!J183="", "",Tenth!J183)</f>
        <v/>
      </c>
      <c r="K2430" s="86" t="str">
        <f>IF(Tenth!K183="", "",Tenth!K183)</f>
        <v/>
      </c>
      <c r="M2430" s="67" t="str">
        <f t="shared" si="113"/>
        <v/>
      </c>
      <c r="N2430" s="76" t="str">
        <f t="shared" si="114"/>
        <v/>
      </c>
      <c r="O2430" s="33">
        <f t="shared" si="112"/>
        <v>0</v>
      </c>
    </row>
    <row r="2431" spans="1:15" x14ac:dyDescent="0.25">
      <c r="A2431" s="64" t="s">
        <v>183</v>
      </c>
      <c r="B2431" s="79" t="str">
        <f>IF(Tenth!B184="", "",Tenth!B184)</f>
        <v/>
      </c>
      <c r="C2431" s="66" t="str">
        <f>IF(Tenth!C184="", "",Tenth!C184)</f>
        <v/>
      </c>
      <c r="D2431" s="66" t="str">
        <f>IF(Tenth!D184="", "",Tenth!D184)</f>
        <v/>
      </c>
      <c r="E2431" s="66" t="str">
        <f>IF(Tenth!E184="", "",Tenth!E184)</f>
        <v/>
      </c>
      <c r="F2431" s="66" t="str">
        <f>IF(Tenth!F184="", "",Tenth!F184)</f>
        <v/>
      </c>
      <c r="G2431" s="66" t="str">
        <f>IF(Tenth!G184="", "",Tenth!G184)</f>
        <v/>
      </c>
      <c r="H2431" s="66" t="str">
        <f>IF(Tenth!H184="", "",Tenth!H184)</f>
        <v/>
      </c>
      <c r="I2431" s="66" t="str">
        <f>IF(Tenth!I184="", "",Tenth!I184)</f>
        <v/>
      </c>
      <c r="J2431" s="66" t="str">
        <f>IF(Tenth!J184="", "",Tenth!J184)</f>
        <v/>
      </c>
      <c r="K2431" s="86" t="str">
        <f>IF(Tenth!K184="", "",Tenth!K184)</f>
        <v/>
      </c>
      <c r="M2431" s="67" t="str">
        <f t="shared" si="113"/>
        <v/>
      </c>
      <c r="N2431" s="76" t="str">
        <f t="shared" si="114"/>
        <v/>
      </c>
      <c r="O2431" s="33">
        <f t="shared" si="112"/>
        <v>0</v>
      </c>
    </row>
    <row r="2432" spans="1:15" x14ac:dyDescent="0.25">
      <c r="A2432" s="64" t="s">
        <v>183</v>
      </c>
      <c r="B2432" s="79" t="str">
        <f>IF(Tenth!B185="", "",Tenth!B185)</f>
        <v/>
      </c>
      <c r="C2432" s="66" t="str">
        <f>IF(Tenth!C185="", "",Tenth!C185)</f>
        <v/>
      </c>
      <c r="D2432" s="66" t="str">
        <f>IF(Tenth!D185="", "",Tenth!D185)</f>
        <v/>
      </c>
      <c r="E2432" s="66" t="str">
        <f>IF(Tenth!E185="", "",Tenth!E185)</f>
        <v/>
      </c>
      <c r="F2432" s="66" t="str">
        <f>IF(Tenth!F185="", "",Tenth!F185)</f>
        <v/>
      </c>
      <c r="G2432" s="66" t="str">
        <f>IF(Tenth!G185="", "",Tenth!G185)</f>
        <v/>
      </c>
      <c r="H2432" s="66" t="str">
        <f>IF(Tenth!H185="", "",Tenth!H185)</f>
        <v/>
      </c>
      <c r="I2432" s="66" t="str">
        <f>IF(Tenth!I185="", "",Tenth!I185)</f>
        <v/>
      </c>
      <c r="J2432" s="66" t="str">
        <f>IF(Tenth!J185="", "",Tenth!J185)</f>
        <v/>
      </c>
      <c r="K2432" s="86" t="str">
        <f>IF(Tenth!K185="", "",Tenth!K185)</f>
        <v/>
      </c>
      <c r="M2432" s="67" t="str">
        <f t="shared" si="113"/>
        <v/>
      </c>
      <c r="N2432" s="76" t="str">
        <f t="shared" si="114"/>
        <v/>
      </c>
      <c r="O2432" s="33">
        <f t="shared" si="112"/>
        <v>0</v>
      </c>
    </row>
    <row r="2433" spans="1:15" x14ac:dyDescent="0.25">
      <c r="A2433" s="64" t="s">
        <v>183</v>
      </c>
      <c r="B2433" s="79" t="str">
        <f>IF(Tenth!B186="", "",Tenth!B186)</f>
        <v/>
      </c>
      <c r="C2433" s="66" t="str">
        <f>IF(Tenth!C186="", "",Tenth!C186)</f>
        <v/>
      </c>
      <c r="D2433" s="66" t="str">
        <f>IF(Tenth!D186="", "",Tenth!D186)</f>
        <v/>
      </c>
      <c r="E2433" s="66" t="str">
        <f>IF(Tenth!E186="", "",Tenth!E186)</f>
        <v/>
      </c>
      <c r="F2433" s="66" t="str">
        <f>IF(Tenth!F186="", "",Tenth!F186)</f>
        <v/>
      </c>
      <c r="G2433" s="66" t="str">
        <f>IF(Tenth!G186="", "",Tenth!G186)</f>
        <v/>
      </c>
      <c r="H2433" s="66" t="str">
        <f>IF(Tenth!H186="", "",Tenth!H186)</f>
        <v/>
      </c>
      <c r="I2433" s="66" t="str">
        <f>IF(Tenth!I186="", "",Tenth!I186)</f>
        <v/>
      </c>
      <c r="J2433" s="66" t="str">
        <f>IF(Tenth!J186="", "",Tenth!J186)</f>
        <v/>
      </c>
      <c r="K2433" s="86" t="str">
        <f>IF(Tenth!K186="", "",Tenth!K186)</f>
        <v/>
      </c>
      <c r="M2433" s="67" t="str">
        <f t="shared" si="113"/>
        <v/>
      </c>
      <c r="N2433" s="76" t="str">
        <f t="shared" si="114"/>
        <v/>
      </c>
      <c r="O2433" s="33">
        <f t="shared" si="112"/>
        <v>0</v>
      </c>
    </row>
    <row r="2434" spans="1:15" x14ac:dyDescent="0.25">
      <c r="A2434" s="64" t="s">
        <v>183</v>
      </c>
      <c r="B2434" s="79" t="str">
        <f>IF(Tenth!B187="", "",Tenth!B187)</f>
        <v/>
      </c>
      <c r="C2434" s="66" t="str">
        <f>IF(Tenth!C187="", "",Tenth!C187)</f>
        <v/>
      </c>
      <c r="D2434" s="66" t="str">
        <f>IF(Tenth!D187="", "",Tenth!D187)</f>
        <v/>
      </c>
      <c r="E2434" s="66" t="str">
        <f>IF(Tenth!E187="", "",Tenth!E187)</f>
        <v/>
      </c>
      <c r="F2434" s="66" t="str">
        <f>IF(Tenth!F187="", "",Tenth!F187)</f>
        <v/>
      </c>
      <c r="G2434" s="66" t="str">
        <f>IF(Tenth!G187="", "",Tenth!G187)</f>
        <v/>
      </c>
      <c r="H2434" s="66" t="str">
        <f>IF(Tenth!H187="", "",Tenth!H187)</f>
        <v/>
      </c>
      <c r="I2434" s="66" t="str">
        <f>IF(Tenth!I187="", "",Tenth!I187)</f>
        <v/>
      </c>
      <c r="J2434" s="66" t="str">
        <f>IF(Tenth!J187="", "",Tenth!J187)</f>
        <v/>
      </c>
      <c r="K2434" s="86" t="str">
        <f>IF(Tenth!K187="", "",Tenth!K187)</f>
        <v/>
      </c>
      <c r="M2434" s="67" t="str">
        <f t="shared" si="113"/>
        <v/>
      </c>
      <c r="N2434" s="76" t="str">
        <f t="shared" si="114"/>
        <v/>
      </c>
      <c r="O2434" s="33">
        <f t="shared" ref="O2434:O2497" si="115">SUM(M2434:N2434)</f>
        <v>0</v>
      </c>
    </row>
    <row r="2435" spans="1:15" x14ac:dyDescent="0.25">
      <c r="A2435" s="64" t="s">
        <v>183</v>
      </c>
      <c r="B2435" s="79" t="str">
        <f>IF(Tenth!B188="", "",Tenth!B188)</f>
        <v/>
      </c>
      <c r="C2435" s="66" t="str">
        <f>IF(Tenth!C188="", "",Tenth!C188)</f>
        <v/>
      </c>
      <c r="D2435" s="66" t="str">
        <f>IF(Tenth!D188="", "",Tenth!D188)</f>
        <v/>
      </c>
      <c r="E2435" s="66" t="str">
        <f>IF(Tenth!E188="", "",Tenth!E188)</f>
        <v/>
      </c>
      <c r="F2435" s="66" t="str">
        <f>IF(Tenth!F188="", "",Tenth!F188)</f>
        <v/>
      </c>
      <c r="G2435" s="66" t="str">
        <f>IF(Tenth!G188="", "",Tenth!G188)</f>
        <v/>
      </c>
      <c r="H2435" s="66" t="str">
        <f>IF(Tenth!H188="", "",Tenth!H188)</f>
        <v/>
      </c>
      <c r="I2435" s="66" t="str">
        <f>IF(Tenth!I188="", "",Tenth!I188)</f>
        <v/>
      </c>
      <c r="J2435" s="66" t="str">
        <f>IF(Tenth!J188="", "",Tenth!J188)</f>
        <v/>
      </c>
      <c r="K2435" s="86" t="str">
        <f>IF(Tenth!K188="", "",Tenth!K188)</f>
        <v/>
      </c>
      <c r="M2435" s="67" t="str">
        <f t="shared" ref="M2435:M2498" si="116">IF(C2435="PwC",(7-COUNTIF(B2435:H2435,"")),"")</f>
        <v/>
      </c>
      <c r="N2435" s="76" t="str">
        <f t="shared" ref="N2435:N2498" si="117">IF(C2435="Carer",(7-COUNTIF(B2435:H2435,"")),"")</f>
        <v/>
      </c>
      <c r="O2435" s="33">
        <f t="shared" si="115"/>
        <v>0</v>
      </c>
    </row>
    <row r="2436" spans="1:15" x14ac:dyDescent="0.25">
      <c r="A2436" s="64" t="s">
        <v>183</v>
      </c>
      <c r="B2436" s="79" t="str">
        <f>IF(Tenth!B189="", "",Tenth!B189)</f>
        <v/>
      </c>
      <c r="C2436" s="66" t="str">
        <f>IF(Tenth!C189="", "",Tenth!C189)</f>
        <v/>
      </c>
      <c r="D2436" s="66" t="str">
        <f>IF(Tenth!D189="", "",Tenth!D189)</f>
        <v/>
      </c>
      <c r="E2436" s="66" t="str">
        <f>IF(Tenth!E189="", "",Tenth!E189)</f>
        <v/>
      </c>
      <c r="F2436" s="66" t="str">
        <f>IF(Tenth!F189="", "",Tenth!F189)</f>
        <v/>
      </c>
      <c r="G2436" s="66" t="str">
        <f>IF(Tenth!G189="", "",Tenth!G189)</f>
        <v/>
      </c>
      <c r="H2436" s="66" t="str">
        <f>IF(Tenth!H189="", "",Tenth!H189)</f>
        <v/>
      </c>
      <c r="I2436" s="66" t="str">
        <f>IF(Tenth!I189="", "",Tenth!I189)</f>
        <v/>
      </c>
      <c r="J2436" s="66" t="str">
        <f>IF(Tenth!J189="", "",Tenth!J189)</f>
        <v/>
      </c>
      <c r="K2436" s="86" t="str">
        <f>IF(Tenth!K189="", "",Tenth!K189)</f>
        <v/>
      </c>
      <c r="M2436" s="67" t="str">
        <f t="shared" si="116"/>
        <v/>
      </c>
      <c r="N2436" s="76" t="str">
        <f t="shared" si="117"/>
        <v/>
      </c>
      <c r="O2436" s="33">
        <f t="shared" si="115"/>
        <v>0</v>
      </c>
    </row>
    <row r="2437" spans="1:15" x14ac:dyDescent="0.25">
      <c r="A2437" s="64" t="s">
        <v>183</v>
      </c>
      <c r="B2437" s="79" t="str">
        <f>IF(Tenth!B190="", "",Tenth!B190)</f>
        <v/>
      </c>
      <c r="C2437" s="66" t="str">
        <f>IF(Tenth!C190="", "",Tenth!C190)</f>
        <v/>
      </c>
      <c r="D2437" s="66" t="str">
        <f>IF(Tenth!D190="", "",Tenth!D190)</f>
        <v/>
      </c>
      <c r="E2437" s="66" t="str">
        <f>IF(Tenth!E190="", "",Tenth!E190)</f>
        <v/>
      </c>
      <c r="F2437" s="66" t="str">
        <f>IF(Tenth!F190="", "",Tenth!F190)</f>
        <v/>
      </c>
      <c r="G2437" s="66" t="str">
        <f>IF(Tenth!G190="", "",Tenth!G190)</f>
        <v/>
      </c>
      <c r="H2437" s="66" t="str">
        <f>IF(Tenth!H190="", "",Tenth!H190)</f>
        <v/>
      </c>
      <c r="I2437" s="66" t="str">
        <f>IF(Tenth!I190="", "",Tenth!I190)</f>
        <v/>
      </c>
      <c r="J2437" s="66" t="str">
        <f>IF(Tenth!J190="", "",Tenth!J190)</f>
        <v/>
      </c>
      <c r="K2437" s="86" t="str">
        <f>IF(Tenth!K190="", "",Tenth!K190)</f>
        <v/>
      </c>
      <c r="M2437" s="67" t="str">
        <f t="shared" si="116"/>
        <v/>
      </c>
      <c r="N2437" s="76" t="str">
        <f t="shared" si="117"/>
        <v/>
      </c>
      <c r="O2437" s="33">
        <f t="shared" si="115"/>
        <v>0</v>
      </c>
    </row>
    <row r="2438" spans="1:15" x14ac:dyDescent="0.25">
      <c r="A2438" s="64" t="s">
        <v>183</v>
      </c>
      <c r="B2438" s="79" t="str">
        <f>IF(Tenth!B191="", "",Tenth!B191)</f>
        <v/>
      </c>
      <c r="C2438" s="66" t="str">
        <f>IF(Tenth!C191="", "",Tenth!C191)</f>
        <v/>
      </c>
      <c r="D2438" s="66" t="str">
        <f>IF(Tenth!D191="", "",Tenth!D191)</f>
        <v/>
      </c>
      <c r="E2438" s="66" t="str">
        <f>IF(Tenth!E191="", "",Tenth!E191)</f>
        <v/>
      </c>
      <c r="F2438" s="66" t="str">
        <f>IF(Tenth!F191="", "",Tenth!F191)</f>
        <v/>
      </c>
      <c r="G2438" s="66" t="str">
        <f>IF(Tenth!G191="", "",Tenth!G191)</f>
        <v/>
      </c>
      <c r="H2438" s="66" t="str">
        <f>IF(Tenth!H191="", "",Tenth!H191)</f>
        <v/>
      </c>
      <c r="I2438" s="66" t="str">
        <f>IF(Tenth!I191="", "",Tenth!I191)</f>
        <v/>
      </c>
      <c r="J2438" s="66" t="str">
        <f>IF(Tenth!J191="", "",Tenth!J191)</f>
        <v/>
      </c>
      <c r="K2438" s="86" t="str">
        <f>IF(Tenth!K191="", "",Tenth!K191)</f>
        <v/>
      </c>
      <c r="M2438" s="67" t="str">
        <f t="shared" si="116"/>
        <v/>
      </c>
      <c r="N2438" s="76" t="str">
        <f t="shared" si="117"/>
        <v/>
      </c>
      <c r="O2438" s="33">
        <f t="shared" si="115"/>
        <v>0</v>
      </c>
    </row>
    <row r="2439" spans="1:15" x14ac:dyDescent="0.25">
      <c r="A2439" s="64" t="s">
        <v>183</v>
      </c>
      <c r="B2439" s="79" t="str">
        <f>IF(Tenth!B192="", "",Tenth!B192)</f>
        <v/>
      </c>
      <c r="C2439" s="66" t="str">
        <f>IF(Tenth!C192="", "",Tenth!C192)</f>
        <v/>
      </c>
      <c r="D2439" s="66" t="str">
        <f>IF(Tenth!D192="", "",Tenth!D192)</f>
        <v/>
      </c>
      <c r="E2439" s="66" t="str">
        <f>IF(Tenth!E192="", "",Tenth!E192)</f>
        <v/>
      </c>
      <c r="F2439" s="66" t="str">
        <f>IF(Tenth!F192="", "",Tenth!F192)</f>
        <v/>
      </c>
      <c r="G2439" s="66" t="str">
        <f>IF(Tenth!G192="", "",Tenth!G192)</f>
        <v/>
      </c>
      <c r="H2439" s="66" t="str">
        <f>IF(Tenth!H192="", "",Tenth!H192)</f>
        <v/>
      </c>
      <c r="I2439" s="66" t="str">
        <f>IF(Tenth!I192="", "",Tenth!I192)</f>
        <v/>
      </c>
      <c r="J2439" s="66" t="str">
        <f>IF(Tenth!J192="", "",Tenth!J192)</f>
        <v/>
      </c>
      <c r="K2439" s="86" t="str">
        <f>IF(Tenth!K192="", "",Tenth!K192)</f>
        <v/>
      </c>
      <c r="M2439" s="67" t="str">
        <f t="shared" si="116"/>
        <v/>
      </c>
      <c r="N2439" s="76" t="str">
        <f t="shared" si="117"/>
        <v/>
      </c>
      <c r="O2439" s="33">
        <f t="shared" si="115"/>
        <v>0</v>
      </c>
    </row>
    <row r="2440" spans="1:15" x14ac:dyDescent="0.25">
      <c r="A2440" s="64" t="s">
        <v>183</v>
      </c>
      <c r="B2440" s="79" t="str">
        <f>IF(Tenth!B193="", "",Tenth!B193)</f>
        <v/>
      </c>
      <c r="C2440" s="66" t="str">
        <f>IF(Tenth!C193="", "",Tenth!C193)</f>
        <v/>
      </c>
      <c r="D2440" s="66" t="str">
        <f>IF(Tenth!D193="", "",Tenth!D193)</f>
        <v/>
      </c>
      <c r="E2440" s="66" t="str">
        <f>IF(Tenth!E193="", "",Tenth!E193)</f>
        <v/>
      </c>
      <c r="F2440" s="66" t="str">
        <f>IF(Tenth!F193="", "",Tenth!F193)</f>
        <v/>
      </c>
      <c r="G2440" s="66" t="str">
        <f>IF(Tenth!G193="", "",Tenth!G193)</f>
        <v/>
      </c>
      <c r="H2440" s="66" t="str">
        <f>IF(Tenth!H193="", "",Tenth!H193)</f>
        <v/>
      </c>
      <c r="I2440" s="66" t="str">
        <f>IF(Tenth!I193="", "",Tenth!I193)</f>
        <v/>
      </c>
      <c r="J2440" s="66" t="str">
        <f>IF(Tenth!J193="", "",Tenth!J193)</f>
        <v/>
      </c>
      <c r="K2440" s="86" t="str">
        <f>IF(Tenth!K193="", "",Tenth!K193)</f>
        <v/>
      </c>
      <c r="M2440" s="67" t="str">
        <f t="shared" si="116"/>
        <v/>
      </c>
      <c r="N2440" s="76" t="str">
        <f t="shared" si="117"/>
        <v/>
      </c>
      <c r="O2440" s="33">
        <f t="shared" si="115"/>
        <v>0</v>
      </c>
    </row>
    <row r="2441" spans="1:15" x14ac:dyDescent="0.25">
      <c r="A2441" s="64" t="s">
        <v>183</v>
      </c>
      <c r="B2441" s="79" t="str">
        <f>IF(Tenth!B194="", "",Tenth!B194)</f>
        <v/>
      </c>
      <c r="C2441" s="66" t="str">
        <f>IF(Tenth!C194="", "",Tenth!C194)</f>
        <v/>
      </c>
      <c r="D2441" s="66" t="str">
        <f>IF(Tenth!D194="", "",Tenth!D194)</f>
        <v/>
      </c>
      <c r="E2441" s="66" t="str">
        <f>IF(Tenth!E194="", "",Tenth!E194)</f>
        <v/>
      </c>
      <c r="F2441" s="66" t="str">
        <f>IF(Tenth!F194="", "",Tenth!F194)</f>
        <v/>
      </c>
      <c r="G2441" s="66" t="str">
        <f>IF(Tenth!G194="", "",Tenth!G194)</f>
        <v/>
      </c>
      <c r="H2441" s="66" t="str">
        <f>IF(Tenth!H194="", "",Tenth!H194)</f>
        <v/>
      </c>
      <c r="I2441" s="66" t="str">
        <f>IF(Tenth!I194="", "",Tenth!I194)</f>
        <v/>
      </c>
      <c r="J2441" s="66" t="str">
        <f>IF(Tenth!J194="", "",Tenth!J194)</f>
        <v/>
      </c>
      <c r="K2441" s="86" t="str">
        <f>IF(Tenth!K194="", "",Tenth!K194)</f>
        <v/>
      </c>
      <c r="M2441" s="67" t="str">
        <f t="shared" si="116"/>
        <v/>
      </c>
      <c r="N2441" s="76" t="str">
        <f t="shared" si="117"/>
        <v/>
      </c>
      <c r="O2441" s="33">
        <f t="shared" si="115"/>
        <v>0</v>
      </c>
    </row>
    <row r="2442" spans="1:15" x14ac:dyDescent="0.25">
      <c r="A2442" s="64" t="s">
        <v>183</v>
      </c>
      <c r="B2442" s="79" t="str">
        <f>IF(Tenth!B195="", "",Tenth!B195)</f>
        <v/>
      </c>
      <c r="C2442" s="66" t="str">
        <f>IF(Tenth!C195="", "",Tenth!C195)</f>
        <v/>
      </c>
      <c r="D2442" s="66" t="str">
        <f>IF(Tenth!D195="", "",Tenth!D195)</f>
        <v/>
      </c>
      <c r="E2442" s="66" t="str">
        <f>IF(Tenth!E195="", "",Tenth!E195)</f>
        <v/>
      </c>
      <c r="F2442" s="66" t="str">
        <f>IF(Tenth!F195="", "",Tenth!F195)</f>
        <v/>
      </c>
      <c r="G2442" s="66" t="str">
        <f>IF(Tenth!G195="", "",Tenth!G195)</f>
        <v/>
      </c>
      <c r="H2442" s="66" t="str">
        <f>IF(Tenth!H195="", "",Tenth!H195)</f>
        <v/>
      </c>
      <c r="I2442" s="66" t="str">
        <f>IF(Tenth!I195="", "",Tenth!I195)</f>
        <v/>
      </c>
      <c r="J2442" s="66" t="str">
        <f>IF(Tenth!J195="", "",Tenth!J195)</f>
        <v/>
      </c>
      <c r="K2442" s="86" t="str">
        <f>IF(Tenth!K195="", "",Tenth!K195)</f>
        <v/>
      </c>
      <c r="M2442" s="67" t="str">
        <f t="shared" si="116"/>
        <v/>
      </c>
      <c r="N2442" s="76" t="str">
        <f t="shared" si="117"/>
        <v/>
      </c>
      <c r="O2442" s="33">
        <f t="shared" si="115"/>
        <v>0</v>
      </c>
    </row>
    <row r="2443" spans="1:15" x14ac:dyDescent="0.25">
      <c r="A2443" s="64" t="s">
        <v>183</v>
      </c>
      <c r="B2443" s="79" t="str">
        <f>IF(Tenth!B196="", "",Tenth!B196)</f>
        <v/>
      </c>
      <c r="C2443" s="66" t="str">
        <f>IF(Tenth!C196="", "",Tenth!C196)</f>
        <v/>
      </c>
      <c r="D2443" s="66" t="str">
        <f>IF(Tenth!D196="", "",Tenth!D196)</f>
        <v/>
      </c>
      <c r="E2443" s="66" t="str">
        <f>IF(Tenth!E196="", "",Tenth!E196)</f>
        <v/>
      </c>
      <c r="F2443" s="66" t="str">
        <f>IF(Tenth!F196="", "",Tenth!F196)</f>
        <v/>
      </c>
      <c r="G2443" s="66" t="str">
        <f>IF(Tenth!G196="", "",Tenth!G196)</f>
        <v/>
      </c>
      <c r="H2443" s="66" t="str">
        <f>IF(Tenth!H196="", "",Tenth!H196)</f>
        <v/>
      </c>
      <c r="I2443" s="66" t="str">
        <f>IF(Tenth!I196="", "",Tenth!I196)</f>
        <v/>
      </c>
      <c r="J2443" s="66" t="str">
        <f>IF(Tenth!J196="", "",Tenth!J196)</f>
        <v/>
      </c>
      <c r="K2443" s="86" t="str">
        <f>IF(Tenth!K196="", "",Tenth!K196)</f>
        <v/>
      </c>
      <c r="M2443" s="67" t="str">
        <f t="shared" si="116"/>
        <v/>
      </c>
      <c r="N2443" s="76" t="str">
        <f t="shared" si="117"/>
        <v/>
      </c>
      <c r="O2443" s="33">
        <f t="shared" si="115"/>
        <v>0</v>
      </c>
    </row>
    <row r="2444" spans="1:15" x14ac:dyDescent="0.25">
      <c r="A2444" s="64" t="s">
        <v>183</v>
      </c>
      <c r="B2444" s="79" t="str">
        <f>IF(Tenth!B197="", "",Tenth!B197)</f>
        <v/>
      </c>
      <c r="C2444" s="66" t="str">
        <f>IF(Tenth!C197="", "",Tenth!C197)</f>
        <v/>
      </c>
      <c r="D2444" s="66" t="str">
        <f>IF(Tenth!D197="", "",Tenth!D197)</f>
        <v/>
      </c>
      <c r="E2444" s="66" t="str">
        <f>IF(Tenth!E197="", "",Tenth!E197)</f>
        <v/>
      </c>
      <c r="F2444" s="66" t="str">
        <f>IF(Tenth!F197="", "",Tenth!F197)</f>
        <v/>
      </c>
      <c r="G2444" s="66" t="str">
        <f>IF(Tenth!G197="", "",Tenth!G197)</f>
        <v/>
      </c>
      <c r="H2444" s="66" t="str">
        <f>IF(Tenth!H197="", "",Tenth!H197)</f>
        <v/>
      </c>
      <c r="I2444" s="66" t="str">
        <f>IF(Tenth!I197="", "",Tenth!I197)</f>
        <v/>
      </c>
      <c r="J2444" s="66" t="str">
        <f>IF(Tenth!J197="", "",Tenth!J197)</f>
        <v/>
      </c>
      <c r="K2444" s="86" t="str">
        <f>IF(Tenth!K197="", "",Tenth!K197)</f>
        <v/>
      </c>
      <c r="M2444" s="67" t="str">
        <f t="shared" si="116"/>
        <v/>
      </c>
      <c r="N2444" s="76" t="str">
        <f t="shared" si="117"/>
        <v/>
      </c>
      <c r="O2444" s="33">
        <f t="shared" si="115"/>
        <v>0</v>
      </c>
    </row>
    <row r="2445" spans="1:15" x14ac:dyDescent="0.25">
      <c r="A2445" s="64" t="s">
        <v>183</v>
      </c>
      <c r="B2445" s="79" t="str">
        <f>IF(Tenth!B198="", "",Tenth!B198)</f>
        <v/>
      </c>
      <c r="C2445" s="66" t="str">
        <f>IF(Tenth!C198="", "",Tenth!C198)</f>
        <v/>
      </c>
      <c r="D2445" s="66" t="str">
        <f>IF(Tenth!D198="", "",Tenth!D198)</f>
        <v/>
      </c>
      <c r="E2445" s="66" t="str">
        <f>IF(Tenth!E198="", "",Tenth!E198)</f>
        <v/>
      </c>
      <c r="F2445" s="66" t="str">
        <f>IF(Tenth!F198="", "",Tenth!F198)</f>
        <v/>
      </c>
      <c r="G2445" s="66" t="str">
        <f>IF(Tenth!G198="", "",Tenth!G198)</f>
        <v/>
      </c>
      <c r="H2445" s="66" t="str">
        <f>IF(Tenth!H198="", "",Tenth!H198)</f>
        <v/>
      </c>
      <c r="I2445" s="66" t="str">
        <f>IF(Tenth!I198="", "",Tenth!I198)</f>
        <v/>
      </c>
      <c r="J2445" s="66" t="str">
        <f>IF(Tenth!J198="", "",Tenth!J198)</f>
        <v/>
      </c>
      <c r="K2445" s="86" t="str">
        <f>IF(Tenth!K198="", "",Tenth!K198)</f>
        <v/>
      </c>
      <c r="M2445" s="67" t="str">
        <f t="shared" si="116"/>
        <v/>
      </c>
      <c r="N2445" s="76" t="str">
        <f t="shared" si="117"/>
        <v/>
      </c>
      <c r="O2445" s="33">
        <f t="shared" si="115"/>
        <v>0</v>
      </c>
    </row>
    <row r="2446" spans="1:15" x14ac:dyDescent="0.25">
      <c r="A2446" s="64" t="s">
        <v>183</v>
      </c>
      <c r="B2446" s="79" t="str">
        <f>IF(Tenth!B199="", "",Tenth!B199)</f>
        <v/>
      </c>
      <c r="C2446" s="66" t="str">
        <f>IF(Tenth!C199="", "",Tenth!C199)</f>
        <v/>
      </c>
      <c r="D2446" s="66" t="str">
        <f>IF(Tenth!D199="", "",Tenth!D199)</f>
        <v/>
      </c>
      <c r="E2446" s="66" t="str">
        <f>IF(Tenth!E199="", "",Tenth!E199)</f>
        <v/>
      </c>
      <c r="F2446" s="66" t="str">
        <f>IF(Tenth!F199="", "",Tenth!F199)</f>
        <v/>
      </c>
      <c r="G2446" s="66" t="str">
        <f>IF(Tenth!G199="", "",Tenth!G199)</f>
        <v/>
      </c>
      <c r="H2446" s="66" t="str">
        <f>IF(Tenth!H199="", "",Tenth!H199)</f>
        <v/>
      </c>
      <c r="I2446" s="66" t="str">
        <f>IF(Tenth!I199="", "",Tenth!I199)</f>
        <v/>
      </c>
      <c r="J2446" s="66" t="str">
        <f>IF(Tenth!J199="", "",Tenth!J199)</f>
        <v/>
      </c>
      <c r="K2446" s="86" t="str">
        <f>IF(Tenth!K199="", "",Tenth!K199)</f>
        <v/>
      </c>
      <c r="M2446" s="67" t="str">
        <f t="shared" si="116"/>
        <v/>
      </c>
      <c r="N2446" s="76" t="str">
        <f t="shared" si="117"/>
        <v/>
      </c>
      <c r="O2446" s="33">
        <f t="shared" si="115"/>
        <v>0</v>
      </c>
    </row>
    <row r="2447" spans="1:15" x14ac:dyDescent="0.25">
      <c r="A2447" s="64" t="s">
        <v>183</v>
      </c>
      <c r="B2447" s="79" t="str">
        <f>IF(Tenth!B200="", "",Tenth!B200)</f>
        <v/>
      </c>
      <c r="C2447" s="66" t="str">
        <f>IF(Tenth!C200="", "",Tenth!C200)</f>
        <v/>
      </c>
      <c r="D2447" s="66" t="str">
        <f>IF(Tenth!D200="", "",Tenth!D200)</f>
        <v/>
      </c>
      <c r="E2447" s="66" t="str">
        <f>IF(Tenth!E200="", "",Tenth!E200)</f>
        <v/>
      </c>
      <c r="F2447" s="66" t="str">
        <f>IF(Tenth!F200="", "",Tenth!F200)</f>
        <v/>
      </c>
      <c r="G2447" s="66" t="str">
        <f>IF(Tenth!G200="", "",Tenth!G200)</f>
        <v/>
      </c>
      <c r="H2447" s="66" t="str">
        <f>IF(Tenth!H200="", "",Tenth!H200)</f>
        <v/>
      </c>
      <c r="I2447" s="66" t="str">
        <f>IF(Tenth!I200="", "",Tenth!I200)</f>
        <v/>
      </c>
      <c r="J2447" s="66" t="str">
        <f>IF(Tenth!J200="", "",Tenth!J200)</f>
        <v/>
      </c>
      <c r="K2447" s="86" t="str">
        <f>IF(Tenth!K200="", "",Tenth!K200)</f>
        <v/>
      </c>
      <c r="M2447" s="67" t="str">
        <f t="shared" si="116"/>
        <v/>
      </c>
      <c r="N2447" s="76" t="str">
        <f t="shared" si="117"/>
        <v/>
      </c>
      <c r="O2447" s="33">
        <f t="shared" si="115"/>
        <v>0</v>
      </c>
    </row>
    <row r="2448" spans="1:15" x14ac:dyDescent="0.25">
      <c r="A2448" s="64" t="s">
        <v>183</v>
      </c>
      <c r="B2448" s="79" t="str">
        <f>IF(Tenth!B201="", "",Tenth!B201)</f>
        <v/>
      </c>
      <c r="C2448" s="66" t="str">
        <f>IF(Tenth!C201="", "",Tenth!C201)</f>
        <v/>
      </c>
      <c r="D2448" s="66" t="str">
        <f>IF(Tenth!D201="", "",Tenth!D201)</f>
        <v/>
      </c>
      <c r="E2448" s="66" t="str">
        <f>IF(Tenth!E201="", "",Tenth!E201)</f>
        <v/>
      </c>
      <c r="F2448" s="66" t="str">
        <f>IF(Tenth!F201="", "",Tenth!F201)</f>
        <v/>
      </c>
      <c r="G2448" s="66" t="str">
        <f>IF(Tenth!G201="", "",Tenth!G201)</f>
        <v/>
      </c>
      <c r="H2448" s="66" t="str">
        <f>IF(Tenth!H201="", "",Tenth!H201)</f>
        <v/>
      </c>
      <c r="I2448" s="66" t="str">
        <f>IF(Tenth!I201="", "",Tenth!I201)</f>
        <v/>
      </c>
      <c r="J2448" s="66" t="str">
        <f>IF(Tenth!J201="", "",Tenth!J201)</f>
        <v/>
      </c>
      <c r="K2448" s="86" t="str">
        <f>IF(Tenth!K201="", "",Tenth!K201)</f>
        <v/>
      </c>
      <c r="M2448" s="67" t="str">
        <f t="shared" si="116"/>
        <v/>
      </c>
      <c r="N2448" s="76" t="str">
        <f t="shared" si="117"/>
        <v/>
      </c>
      <c r="O2448" s="33">
        <f t="shared" si="115"/>
        <v>0</v>
      </c>
    </row>
    <row r="2449" spans="1:15" x14ac:dyDescent="0.25">
      <c r="A2449" s="64" t="s">
        <v>183</v>
      </c>
      <c r="B2449" s="79" t="str">
        <f>IF(Tenth!B202="", "",Tenth!B202)</f>
        <v/>
      </c>
      <c r="C2449" s="66" t="str">
        <f>IF(Tenth!C202="", "",Tenth!C202)</f>
        <v/>
      </c>
      <c r="D2449" s="66" t="str">
        <f>IF(Tenth!D202="", "",Tenth!D202)</f>
        <v/>
      </c>
      <c r="E2449" s="66" t="str">
        <f>IF(Tenth!E202="", "",Tenth!E202)</f>
        <v/>
      </c>
      <c r="F2449" s="66" t="str">
        <f>IF(Tenth!F202="", "",Tenth!F202)</f>
        <v/>
      </c>
      <c r="G2449" s="66" t="str">
        <f>IF(Tenth!G202="", "",Tenth!G202)</f>
        <v/>
      </c>
      <c r="H2449" s="66" t="str">
        <f>IF(Tenth!H202="", "",Tenth!H202)</f>
        <v/>
      </c>
      <c r="I2449" s="66" t="str">
        <f>IF(Tenth!I202="", "",Tenth!I202)</f>
        <v/>
      </c>
      <c r="J2449" s="66" t="str">
        <f>IF(Tenth!J202="", "",Tenth!J202)</f>
        <v/>
      </c>
      <c r="K2449" s="86" t="str">
        <f>IF(Tenth!K202="", "",Tenth!K202)</f>
        <v/>
      </c>
      <c r="M2449" s="67" t="str">
        <f t="shared" si="116"/>
        <v/>
      </c>
      <c r="N2449" s="76" t="str">
        <f t="shared" si="117"/>
        <v/>
      </c>
      <c r="O2449" s="33">
        <f t="shared" si="115"/>
        <v>0</v>
      </c>
    </row>
    <row r="2450" spans="1:15" x14ac:dyDescent="0.25">
      <c r="A2450" s="64" t="s">
        <v>183</v>
      </c>
      <c r="B2450" s="79" t="str">
        <f>IF(Tenth!B203="", "",Tenth!B203)</f>
        <v/>
      </c>
      <c r="C2450" s="66" t="str">
        <f>IF(Tenth!C203="", "",Tenth!C203)</f>
        <v/>
      </c>
      <c r="D2450" s="66" t="str">
        <f>IF(Tenth!D203="", "",Tenth!D203)</f>
        <v/>
      </c>
      <c r="E2450" s="66" t="str">
        <f>IF(Tenth!E203="", "",Tenth!E203)</f>
        <v/>
      </c>
      <c r="F2450" s="66" t="str">
        <f>IF(Tenth!F203="", "",Tenth!F203)</f>
        <v/>
      </c>
      <c r="G2450" s="66" t="str">
        <f>IF(Tenth!G203="", "",Tenth!G203)</f>
        <v/>
      </c>
      <c r="H2450" s="66" t="str">
        <f>IF(Tenth!H203="", "",Tenth!H203)</f>
        <v/>
      </c>
      <c r="I2450" s="66" t="str">
        <f>IF(Tenth!I203="", "",Tenth!I203)</f>
        <v/>
      </c>
      <c r="J2450" s="66" t="str">
        <f>IF(Tenth!J203="", "",Tenth!J203)</f>
        <v/>
      </c>
      <c r="K2450" s="86" t="str">
        <f>IF(Tenth!K203="", "",Tenth!K203)</f>
        <v/>
      </c>
      <c r="M2450" s="67" t="str">
        <f t="shared" si="116"/>
        <v/>
      </c>
      <c r="N2450" s="76" t="str">
        <f t="shared" si="117"/>
        <v/>
      </c>
      <c r="O2450" s="33">
        <f t="shared" si="115"/>
        <v>0</v>
      </c>
    </row>
    <row r="2451" spans="1:15" x14ac:dyDescent="0.25">
      <c r="A2451" s="64" t="s">
        <v>183</v>
      </c>
      <c r="B2451" s="79" t="str">
        <f>IF(Tenth!B204="", "",Tenth!B204)</f>
        <v/>
      </c>
      <c r="C2451" s="66" t="str">
        <f>IF(Tenth!C204="", "",Tenth!C204)</f>
        <v/>
      </c>
      <c r="D2451" s="66" t="str">
        <f>IF(Tenth!D204="", "",Tenth!D204)</f>
        <v/>
      </c>
      <c r="E2451" s="66" t="str">
        <f>IF(Tenth!E204="", "",Tenth!E204)</f>
        <v/>
      </c>
      <c r="F2451" s="66" t="str">
        <f>IF(Tenth!F204="", "",Tenth!F204)</f>
        <v/>
      </c>
      <c r="G2451" s="66" t="str">
        <f>IF(Tenth!G204="", "",Tenth!G204)</f>
        <v/>
      </c>
      <c r="H2451" s="66" t="str">
        <f>IF(Tenth!H204="", "",Tenth!H204)</f>
        <v/>
      </c>
      <c r="I2451" s="66" t="str">
        <f>IF(Tenth!I204="", "",Tenth!I204)</f>
        <v/>
      </c>
      <c r="J2451" s="66" t="str">
        <f>IF(Tenth!J204="", "",Tenth!J204)</f>
        <v/>
      </c>
      <c r="K2451" s="86" t="str">
        <f>IF(Tenth!K204="", "",Tenth!K204)</f>
        <v/>
      </c>
      <c r="M2451" s="67" t="str">
        <f t="shared" si="116"/>
        <v/>
      </c>
      <c r="N2451" s="76" t="str">
        <f t="shared" si="117"/>
        <v/>
      </c>
      <c r="O2451" s="33">
        <f t="shared" si="115"/>
        <v>0</v>
      </c>
    </row>
    <row r="2452" spans="1:15" x14ac:dyDescent="0.25">
      <c r="A2452" s="64" t="s">
        <v>183</v>
      </c>
      <c r="B2452" s="79" t="str">
        <f>IF(Tenth!B205="", "",Tenth!B205)</f>
        <v/>
      </c>
      <c r="C2452" s="66" t="str">
        <f>IF(Tenth!C205="", "",Tenth!C205)</f>
        <v/>
      </c>
      <c r="D2452" s="66" t="str">
        <f>IF(Tenth!D205="", "",Tenth!D205)</f>
        <v/>
      </c>
      <c r="E2452" s="66" t="str">
        <f>IF(Tenth!E205="", "",Tenth!E205)</f>
        <v/>
      </c>
      <c r="F2452" s="66" t="str">
        <f>IF(Tenth!F205="", "",Tenth!F205)</f>
        <v/>
      </c>
      <c r="G2452" s="66" t="str">
        <f>IF(Tenth!G205="", "",Tenth!G205)</f>
        <v/>
      </c>
      <c r="H2452" s="66" t="str">
        <f>IF(Tenth!H205="", "",Tenth!H205)</f>
        <v/>
      </c>
      <c r="I2452" s="66" t="str">
        <f>IF(Tenth!I205="", "",Tenth!I205)</f>
        <v/>
      </c>
      <c r="J2452" s="66" t="str">
        <f>IF(Tenth!J205="", "",Tenth!J205)</f>
        <v/>
      </c>
      <c r="K2452" s="86" t="str">
        <f>IF(Tenth!K205="", "",Tenth!K205)</f>
        <v/>
      </c>
      <c r="M2452" s="67" t="str">
        <f t="shared" si="116"/>
        <v/>
      </c>
      <c r="N2452" s="76" t="str">
        <f t="shared" si="117"/>
        <v/>
      </c>
      <c r="O2452" s="33">
        <f t="shared" si="115"/>
        <v>0</v>
      </c>
    </row>
    <row r="2453" spans="1:15" x14ac:dyDescent="0.25">
      <c r="A2453" s="64" t="s">
        <v>183</v>
      </c>
      <c r="B2453" s="79" t="str">
        <f>IF(Tenth!B206="", "",Tenth!B206)</f>
        <v/>
      </c>
      <c r="C2453" s="66" t="str">
        <f>IF(Tenth!C206="", "",Tenth!C206)</f>
        <v/>
      </c>
      <c r="D2453" s="66" t="str">
        <f>IF(Tenth!D206="", "",Tenth!D206)</f>
        <v/>
      </c>
      <c r="E2453" s="66" t="str">
        <f>IF(Tenth!E206="", "",Tenth!E206)</f>
        <v/>
      </c>
      <c r="F2453" s="66" t="str">
        <f>IF(Tenth!F206="", "",Tenth!F206)</f>
        <v/>
      </c>
      <c r="G2453" s="66" t="str">
        <f>IF(Tenth!G206="", "",Tenth!G206)</f>
        <v/>
      </c>
      <c r="H2453" s="66" t="str">
        <f>IF(Tenth!H206="", "",Tenth!H206)</f>
        <v/>
      </c>
      <c r="I2453" s="66" t="str">
        <f>IF(Tenth!I206="", "",Tenth!I206)</f>
        <v/>
      </c>
      <c r="J2453" s="66" t="str">
        <f>IF(Tenth!J206="", "",Tenth!J206)</f>
        <v/>
      </c>
      <c r="K2453" s="86" t="str">
        <f>IF(Tenth!K206="", "",Tenth!K206)</f>
        <v/>
      </c>
      <c r="M2453" s="67" t="str">
        <f t="shared" si="116"/>
        <v/>
      </c>
      <c r="N2453" s="76" t="str">
        <f t="shared" si="117"/>
        <v/>
      </c>
      <c r="O2453" s="33">
        <f t="shared" si="115"/>
        <v>0</v>
      </c>
    </row>
    <row r="2454" spans="1:15" x14ac:dyDescent="0.25">
      <c r="A2454" s="64" t="s">
        <v>183</v>
      </c>
      <c r="B2454" s="79" t="str">
        <f>IF(Tenth!B207="", "",Tenth!B207)</f>
        <v/>
      </c>
      <c r="C2454" s="66" t="str">
        <f>IF(Tenth!C207="", "",Tenth!C207)</f>
        <v/>
      </c>
      <c r="D2454" s="66" t="str">
        <f>IF(Tenth!D207="", "",Tenth!D207)</f>
        <v/>
      </c>
      <c r="E2454" s="66" t="str">
        <f>IF(Tenth!E207="", "",Tenth!E207)</f>
        <v/>
      </c>
      <c r="F2454" s="66" t="str">
        <f>IF(Tenth!F207="", "",Tenth!F207)</f>
        <v/>
      </c>
      <c r="G2454" s="66" t="str">
        <f>IF(Tenth!G207="", "",Tenth!G207)</f>
        <v/>
      </c>
      <c r="H2454" s="66" t="str">
        <f>IF(Tenth!H207="", "",Tenth!H207)</f>
        <v/>
      </c>
      <c r="I2454" s="66" t="str">
        <f>IF(Tenth!I207="", "",Tenth!I207)</f>
        <v/>
      </c>
      <c r="J2454" s="66" t="str">
        <f>IF(Tenth!J207="", "",Tenth!J207)</f>
        <v/>
      </c>
      <c r="K2454" s="86" t="str">
        <f>IF(Tenth!K207="", "",Tenth!K207)</f>
        <v/>
      </c>
      <c r="M2454" s="67" t="str">
        <f t="shared" si="116"/>
        <v/>
      </c>
      <c r="N2454" s="76" t="str">
        <f t="shared" si="117"/>
        <v/>
      </c>
      <c r="O2454" s="33">
        <f t="shared" si="115"/>
        <v>0</v>
      </c>
    </row>
    <row r="2455" spans="1:15" x14ac:dyDescent="0.25">
      <c r="A2455" s="64" t="s">
        <v>183</v>
      </c>
      <c r="B2455" s="79" t="str">
        <f>IF(Tenth!B208="", "",Tenth!B208)</f>
        <v/>
      </c>
      <c r="C2455" s="66" t="str">
        <f>IF(Tenth!C208="", "",Tenth!C208)</f>
        <v/>
      </c>
      <c r="D2455" s="66" t="str">
        <f>IF(Tenth!D208="", "",Tenth!D208)</f>
        <v/>
      </c>
      <c r="E2455" s="66" t="str">
        <f>IF(Tenth!E208="", "",Tenth!E208)</f>
        <v/>
      </c>
      <c r="F2455" s="66" t="str">
        <f>IF(Tenth!F208="", "",Tenth!F208)</f>
        <v/>
      </c>
      <c r="G2455" s="66" t="str">
        <f>IF(Tenth!G208="", "",Tenth!G208)</f>
        <v/>
      </c>
      <c r="H2455" s="66" t="str">
        <f>IF(Tenth!H208="", "",Tenth!H208)</f>
        <v/>
      </c>
      <c r="I2455" s="66" t="str">
        <f>IF(Tenth!I208="", "",Tenth!I208)</f>
        <v/>
      </c>
      <c r="J2455" s="66" t="str">
        <f>IF(Tenth!J208="", "",Tenth!J208)</f>
        <v/>
      </c>
      <c r="K2455" s="86" t="str">
        <f>IF(Tenth!K208="", "",Tenth!K208)</f>
        <v/>
      </c>
      <c r="M2455" s="67" t="str">
        <f t="shared" si="116"/>
        <v/>
      </c>
      <c r="N2455" s="76" t="str">
        <f t="shared" si="117"/>
        <v/>
      </c>
      <c r="O2455" s="33">
        <f t="shared" si="115"/>
        <v>0</v>
      </c>
    </row>
    <row r="2456" spans="1:15" x14ac:dyDescent="0.25">
      <c r="A2456" s="64" t="s">
        <v>183</v>
      </c>
      <c r="B2456" s="79" t="str">
        <f>IF(Tenth!B209="", "",Tenth!B209)</f>
        <v/>
      </c>
      <c r="C2456" s="66" t="str">
        <f>IF(Tenth!C209="", "",Tenth!C209)</f>
        <v/>
      </c>
      <c r="D2456" s="66" t="str">
        <f>IF(Tenth!D209="", "",Tenth!D209)</f>
        <v/>
      </c>
      <c r="E2456" s="66" t="str">
        <f>IF(Tenth!E209="", "",Tenth!E209)</f>
        <v/>
      </c>
      <c r="F2456" s="66" t="str">
        <f>IF(Tenth!F209="", "",Tenth!F209)</f>
        <v/>
      </c>
      <c r="G2456" s="66" t="str">
        <f>IF(Tenth!G209="", "",Tenth!G209)</f>
        <v/>
      </c>
      <c r="H2456" s="66" t="str">
        <f>IF(Tenth!H209="", "",Tenth!H209)</f>
        <v/>
      </c>
      <c r="I2456" s="66" t="str">
        <f>IF(Tenth!I209="", "",Tenth!I209)</f>
        <v/>
      </c>
      <c r="J2456" s="66" t="str">
        <f>IF(Tenth!J209="", "",Tenth!J209)</f>
        <v/>
      </c>
      <c r="K2456" s="86" t="str">
        <f>IF(Tenth!K209="", "",Tenth!K209)</f>
        <v/>
      </c>
      <c r="M2456" s="67" t="str">
        <f t="shared" si="116"/>
        <v/>
      </c>
      <c r="N2456" s="76" t="str">
        <f t="shared" si="117"/>
        <v/>
      </c>
      <c r="O2456" s="33">
        <f t="shared" si="115"/>
        <v>0</v>
      </c>
    </row>
    <row r="2457" spans="1:15" x14ac:dyDescent="0.25">
      <c r="A2457" s="64" t="s">
        <v>183</v>
      </c>
      <c r="B2457" s="79" t="str">
        <f>IF(Tenth!B210="", "",Tenth!B210)</f>
        <v/>
      </c>
      <c r="C2457" s="66" t="str">
        <f>IF(Tenth!C210="", "",Tenth!C210)</f>
        <v/>
      </c>
      <c r="D2457" s="66" t="str">
        <f>IF(Tenth!D210="", "",Tenth!D210)</f>
        <v/>
      </c>
      <c r="E2457" s="66" t="str">
        <f>IF(Tenth!E210="", "",Tenth!E210)</f>
        <v/>
      </c>
      <c r="F2457" s="66" t="str">
        <f>IF(Tenth!F210="", "",Tenth!F210)</f>
        <v/>
      </c>
      <c r="G2457" s="66" t="str">
        <f>IF(Tenth!G210="", "",Tenth!G210)</f>
        <v/>
      </c>
      <c r="H2457" s="66" t="str">
        <f>IF(Tenth!H210="", "",Tenth!H210)</f>
        <v/>
      </c>
      <c r="I2457" s="66" t="str">
        <f>IF(Tenth!I210="", "",Tenth!I210)</f>
        <v/>
      </c>
      <c r="J2457" s="66" t="str">
        <f>IF(Tenth!J210="", "",Tenth!J210)</f>
        <v/>
      </c>
      <c r="K2457" s="86" t="str">
        <f>IF(Tenth!K210="", "",Tenth!K210)</f>
        <v/>
      </c>
      <c r="M2457" s="67" t="str">
        <f t="shared" si="116"/>
        <v/>
      </c>
      <c r="N2457" s="76" t="str">
        <f t="shared" si="117"/>
        <v/>
      </c>
      <c r="O2457" s="33">
        <f t="shared" si="115"/>
        <v>0</v>
      </c>
    </row>
    <row r="2458" spans="1:15" x14ac:dyDescent="0.25">
      <c r="A2458" s="64" t="s">
        <v>183</v>
      </c>
      <c r="B2458" s="79" t="str">
        <f>IF(Tenth!B211="", "",Tenth!B211)</f>
        <v/>
      </c>
      <c r="C2458" s="66" t="str">
        <f>IF(Tenth!C211="", "",Tenth!C211)</f>
        <v/>
      </c>
      <c r="D2458" s="66" t="str">
        <f>IF(Tenth!D211="", "",Tenth!D211)</f>
        <v/>
      </c>
      <c r="E2458" s="66" t="str">
        <f>IF(Tenth!E211="", "",Tenth!E211)</f>
        <v/>
      </c>
      <c r="F2458" s="66" t="str">
        <f>IF(Tenth!F211="", "",Tenth!F211)</f>
        <v/>
      </c>
      <c r="G2458" s="66" t="str">
        <f>IF(Tenth!G211="", "",Tenth!G211)</f>
        <v/>
      </c>
      <c r="H2458" s="66" t="str">
        <f>IF(Tenth!H211="", "",Tenth!H211)</f>
        <v/>
      </c>
      <c r="I2458" s="66" t="str">
        <f>IF(Tenth!I211="", "",Tenth!I211)</f>
        <v/>
      </c>
      <c r="J2458" s="66" t="str">
        <f>IF(Tenth!J211="", "",Tenth!J211)</f>
        <v/>
      </c>
      <c r="K2458" s="86" t="str">
        <f>IF(Tenth!K211="", "",Tenth!K211)</f>
        <v/>
      </c>
      <c r="M2458" s="67" t="str">
        <f t="shared" si="116"/>
        <v/>
      </c>
      <c r="N2458" s="76" t="str">
        <f t="shared" si="117"/>
        <v/>
      </c>
      <c r="O2458" s="33">
        <f t="shared" si="115"/>
        <v>0</v>
      </c>
    </row>
    <row r="2459" spans="1:15" x14ac:dyDescent="0.25">
      <c r="A2459" s="64" t="s">
        <v>183</v>
      </c>
      <c r="B2459" s="79" t="str">
        <f>IF(Tenth!B212="", "",Tenth!B212)</f>
        <v/>
      </c>
      <c r="C2459" s="66" t="str">
        <f>IF(Tenth!C212="", "",Tenth!C212)</f>
        <v/>
      </c>
      <c r="D2459" s="66" t="str">
        <f>IF(Tenth!D212="", "",Tenth!D212)</f>
        <v/>
      </c>
      <c r="E2459" s="66" t="str">
        <f>IF(Tenth!E212="", "",Tenth!E212)</f>
        <v/>
      </c>
      <c r="F2459" s="66" t="str">
        <f>IF(Tenth!F212="", "",Tenth!F212)</f>
        <v/>
      </c>
      <c r="G2459" s="66" t="str">
        <f>IF(Tenth!G212="", "",Tenth!G212)</f>
        <v/>
      </c>
      <c r="H2459" s="66" t="str">
        <f>IF(Tenth!H212="", "",Tenth!H212)</f>
        <v/>
      </c>
      <c r="I2459" s="66" t="str">
        <f>IF(Tenth!I212="", "",Tenth!I212)</f>
        <v/>
      </c>
      <c r="J2459" s="66" t="str">
        <f>IF(Tenth!J212="", "",Tenth!J212)</f>
        <v/>
      </c>
      <c r="K2459" s="86" t="str">
        <f>IF(Tenth!K212="", "",Tenth!K212)</f>
        <v/>
      </c>
      <c r="M2459" s="67" t="str">
        <f t="shared" si="116"/>
        <v/>
      </c>
      <c r="N2459" s="76" t="str">
        <f t="shared" si="117"/>
        <v/>
      </c>
      <c r="O2459" s="33">
        <f t="shared" si="115"/>
        <v>0</v>
      </c>
    </row>
    <row r="2460" spans="1:15" x14ac:dyDescent="0.25">
      <c r="A2460" s="64" t="s">
        <v>183</v>
      </c>
      <c r="B2460" s="79" t="str">
        <f>IF(Tenth!B213="", "",Tenth!B213)</f>
        <v/>
      </c>
      <c r="C2460" s="66" t="str">
        <f>IF(Tenth!C213="", "",Tenth!C213)</f>
        <v/>
      </c>
      <c r="D2460" s="66" t="str">
        <f>IF(Tenth!D213="", "",Tenth!D213)</f>
        <v/>
      </c>
      <c r="E2460" s="66" t="str">
        <f>IF(Tenth!E213="", "",Tenth!E213)</f>
        <v/>
      </c>
      <c r="F2460" s="66" t="str">
        <f>IF(Tenth!F213="", "",Tenth!F213)</f>
        <v/>
      </c>
      <c r="G2460" s="66" t="str">
        <f>IF(Tenth!G213="", "",Tenth!G213)</f>
        <v/>
      </c>
      <c r="H2460" s="66" t="str">
        <f>IF(Tenth!H213="", "",Tenth!H213)</f>
        <v/>
      </c>
      <c r="I2460" s="66" t="str">
        <f>IF(Tenth!I213="", "",Tenth!I213)</f>
        <v/>
      </c>
      <c r="J2460" s="66" t="str">
        <f>IF(Tenth!J213="", "",Tenth!J213)</f>
        <v/>
      </c>
      <c r="K2460" s="86" t="str">
        <f>IF(Tenth!K213="", "",Tenth!K213)</f>
        <v/>
      </c>
      <c r="M2460" s="67" t="str">
        <f t="shared" si="116"/>
        <v/>
      </c>
      <c r="N2460" s="76" t="str">
        <f t="shared" si="117"/>
        <v/>
      </c>
      <c r="O2460" s="33">
        <f t="shared" si="115"/>
        <v>0</v>
      </c>
    </row>
    <row r="2461" spans="1:15" x14ac:dyDescent="0.25">
      <c r="A2461" s="64" t="s">
        <v>183</v>
      </c>
      <c r="B2461" s="79" t="str">
        <f>IF(Tenth!B214="", "",Tenth!B214)</f>
        <v/>
      </c>
      <c r="C2461" s="66" t="str">
        <f>IF(Tenth!C214="", "",Tenth!C214)</f>
        <v/>
      </c>
      <c r="D2461" s="66" t="str">
        <f>IF(Tenth!D214="", "",Tenth!D214)</f>
        <v/>
      </c>
      <c r="E2461" s="66" t="str">
        <f>IF(Tenth!E214="", "",Tenth!E214)</f>
        <v/>
      </c>
      <c r="F2461" s="66" t="str">
        <f>IF(Tenth!F214="", "",Tenth!F214)</f>
        <v/>
      </c>
      <c r="G2461" s="66" t="str">
        <f>IF(Tenth!G214="", "",Tenth!G214)</f>
        <v/>
      </c>
      <c r="H2461" s="66" t="str">
        <f>IF(Tenth!H214="", "",Tenth!H214)</f>
        <v/>
      </c>
      <c r="I2461" s="66" t="str">
        <f>IF(Tenth!I214="", "",Tenth!I214)</f>
        <v/>
      </c>
      <c r="J2461" s="66" t="str">
        <f>IF(Tenth!J214="", "",Tenth!J214)</f>
        <v/>
      </c>
      <c r="K2461" s="86" t="str">
        <f>IF(Tenth!K214="", "",Tenth!K214)</f>
        <v/>
      </c>
      <c r="M2461" s="67" t="str">
        <f t="shared" si="116"/>
        <v/>
      </c>
      <c r="N2461" s="76" t="str">
        <f t="shared" si="117"/>
        <v/>
      </c>
      <c r="O2461" s="33">
        <f t="shared" si="115"/>
        <v>0</v>
      </c>
    </row>
    <row r="2462" spans="1:15" x14ac:dyDescent="0.25">
      <c r="A2462" s="64" t="s">
        <v>183</v>
      </c>
      <c r="B2462" s="79" t="str">
        <f>IF(Tenth!B215="", "",Tenth!B215)</f>
        <v/>
      </c>
      <c r="C2462" s="66" t="str">
        <f>IF(Tenth!C215="", "",Tenth!C215)</f>
        <v/>
      </c>
      <c r="D2462" s="66" t="str">
        <f>IF(Tenth!D215="", "",Tenth!D215)</f>
        <v/>
      </c>
      <c r="E2462" s="66" t="str">
        <f>IF(Tenth!E215="", "",Tenth!E215)</f>
        <v/>
      </c>
      <c r="F2462" s="66" t="str">
        <f>IF(Tenth!F215="", "",Tenth!F215)</f>
        <v/>
      </c>
      <c r="G2462" s="66" t="str">
        <f>IF(Tenth!G215="", "",Tenth!G215)</f>
        <v/>
      </c>
      <c r="H2462" s="66" t="str">
        <f>IF(Tenth!H215="", "",Tenth!H215)</f>
        <v/>
      </c>
      <c r="I2462" s="66" t="str">
        <f>IF(Tenth!I215="", "",Tenth!I215)</f>
        <v/>
      </c>
      <c r="J2462" s="66" t="str">
        <f>IF(Tenth!J215="", "",Tenth!J215)</f>
        <v/>
      </c>
      <c r="K2462" s="86" t="str">
        <f>IF(Tenth!K215="", "",Tenth!K215)</f>
        <v/>
      </c>
      <c r="M2462" s="67" t="str">
        <f t="shared" si="116"/>
        <v/>
      </c>
      <c r="N2462" s="76" t="str">
        <f t="shared" si="117"/>
        <v/>
      </c>
      <c r="O2462" s="33">
        <f t="shared" si="115"/>
        <v>0</v>
      </c>
    </row>
    <row r="2463" spans="1:15" x14ac:dyDescent="0.25">
      <c r="A2463" s="64" t="s">
        <v>183</v>
      </c>
      <c r="B2463" s="79" t="str">
        <f>IF(Tenth!B216="", "",Tenth!B216)</f>
        <v/>
      </c>
      <c r="C2463" s="66" t="str">
        <f>IF(Tenth!C216="", "",Tenth!C216)</f>
        <v/>
      </c>
      <c r="D2463" s="66" t="str">
        <f>IF(Tenth!D216="", "",Tenth!D216)</f>
        <v/>
      </c>
      <c r="E2463" s="66" t="str">
        <f>IF(Tenth!E216="", "",Tenth!E216)</f>
        <v/>
      </c>
      <c r="F2463" s="66" t="str">
        <f>IF(Tenth!F216="", "",Tenth!F216)</f>
        <v/>
      </c>
      <c r="G2463" s="66" t="str">
        <f>IF(Tenth!G216="", "",Tenth!G216)</f>
        <v/>
      </c>
      <c r="H2463" s="66" t="str">
        <f>IF(Tenth!H216="", "",Tenth!H216)</f>
        <v/>
      </c>
      <c r="I2463" s="66" t="str">
        <f>IF(Tenth!I216="", "",Tenth!I216)</f>
        <v/>
      </c>
      <c r="J2463" s="66" t="str">
        <f>IF(Tenth!J216="", "",Tenth!J216)</f>
        <v/>
      </c>
      <c r="K2463" s="86" t="str">
        <f>IF(Tenth!K216="", "",Tenth!K216)</f>
        <v/>
      </c>
      <c r="M2463" s="67" t="str">
        <f t="shared" si="116"/>
        <v/>
      </c>
      <c r="N2463" s="76" t="str">
        <f t="shared" si="117"/>
        <v/>
      </c>
      <c r="O2463" s="33">
        <f t="shared" si="115"/>
        <v>0</v>
      </c>
    </row>
    <row r="2464" spans="1:15" x14ac:dyDescent="0.25">
      <c r="A2464" s="64" t="s">
        <v>183</v>
      </c>
      <c r="B2464" s="79" t="str">
        <f>IF(Tenth!B217="", "",Tenth!B217)</f>
        <v/>
      </c>
      <c r="C2464" s="66" t="str">
        <f>IF(Tenth!C217="", "",Tenth!C217)</f>
        <v/>
      </c>
      <c r="D2464" s="66" t="str">
        <f>IF(Tenth!D217="", "",Tenth!D217)</f>
        <v/>
      </c>
      <c r="E2464" s="66" t="str">
        <f>IF(Tenth!E217="", "",Tenth!E217)</f>
        <v/>
      </c>
      <c r="F2464" s="66" t="str">
        <f>IF(Tenth!F217="", "",Tenth!F217)</f>
        <v/>
      </c>
      <c r="G2464" s="66" t="str">
        <f>IF(Tenth!G217="", "",Tenth!G217)</f>
        <v/>
      </c>
      <c r="H2464" s="66" t="str">
        <f>IF(Tenth!H217="", "",Tenth!H217)</f>
        <v/>
      </c>
      <c r="I2464" s="66" t="str">
        <f>IF(Tenth!I217="", "",Tenth!I217)</f>
        <v/>
      </c>
      <c r="J2464" s="66" t="str">
        <f>IF(Tenth!J217="", "",Tenth!J217)</f>
        <v/>
      </c>
      <c r="K2464" s="86" t="str">
        <f>IF(Tenth!K217="", "",Tenth!K217)</f>
        <v/>
      </c>
      <c r="M2464" s="67" t="str">
        <f t="shared" si="116"/>
        <v/>
      </c>
      <c r="N2464" s="76" t="str">
        <f t="shared" si="117"/>
        <v/>
      </c>
      <c r="O2464" s="33">
        <f t="shared" si="115"/>
        <v>0</v>
      </c>
    </row>
    <row r="2465" spans="1:15" x14ac:dyDescent="0.25">
      <c r="A2465" s="64" t="s">
        <v>183</v>
      </c>
      <c r="B2465" s="79" t="str">
        <f>IF(Tenth!B218="", "",Tenth!B218)</f>
        <v/>
      </c>
      <c r="C2465" s="66" t="str">
        <f>IF(Tenth!C218="", "",Tenth!C218)</f>
        <v/>
      </c>
      <c r="D2465" s="66" t="str">
        <f>IF(Tenth!D218="", "",Tenth!D218)</f>
        <v/>
      </c>
      <c r="E2465" s="66" t="str">
        <f>IF(Tenth!E218="", "",Tenth!E218)</f>
        <v/>
      </c>
      <c r="F2465" s="66" t="str">
        <f>IF(Tenth!F218="", "",Tenth!F218)</f>
        <v/>
      </c>
      <c r="G2465" s="66" t="str">
        <f>IF(Tenth!G218="", "",Tenth!G218)</f>
        <v/>
      </c>
      <c r="H2465" s="66" t="str">
        <f>IF(Tenth!H218="", "",Tenth!H218)</f>
        <v/>
      </c>
      <c r="I2465" s="66" t="str">
        <f>IF(Tenth!I218="", "",Tenth!I218)</f>
        <v/>
      </c>
      <c r="J2465" s="66" t="str">
        <f>IF(Tenth!J218="", "",Tenth!J218)</f>
        <v/>
      </c>
      <c r="K2465" s="86" t="str">
        <f>IF(Tenth!K218="", "",Tenth!K218)</f>
        <v/>
      </c>
      <c r="M2465" s="67" t="str">
        <f t="shared" si="116"/>
        <v/>
      </c>
      <c r="N2465" s="76" t="str">
        <f t="shared" si="117"/>
        <v/>
      </c>
      <c r="O2465" s="33">
        <f t="shared" si="115"/>
        <v>0</v>
      </c>
    </row>
    <row r="2466" spans="1:15" x14ac:dyDescent="0.25">
      <c r="A2466" s="64" t="s">
        <v>183</v>
      </c>
      <c r="B2466" s="79" t="str">
        <f>IF(Tenth!B219="", "",Tenth!B219)</f>
        <v/>
      </c>
      <c r="C2466" s="66" t="str">
        <f>IF(Tenth!C219="", "",Tenth!C219)</f>
        <v/>
      </c>
      <c r="D2466" s="66" t="str">
        <f>IF(Tenth!D219="", "",Tenth!D219)</f>
        <v/>
      </c>
      <c r="E2466" s="66" t="str">
        <f>IF(Tenth!E219="", "",Tenth!E219)</f>
        <v/>
      </c>
      <c r="F2466" s="66" t="str">
        <f>IF(Tenth!F219="", "",Tenth!F219)</f>
        <v/>
      </c>
      <c r="G2466" s="66" t="str">
        <f>IF(Tenth!G219="", "",Tenth!G219)</f>
        <v/>
      </c>
      <c r="H2466" s="66" t="str">
        <f>IF(Tenth!H219="", "",Tenth!H219)</f>
        <v/>
      </c>
      <c r="I2466" s="66" t="str">
        <f>IF(Tenth!I219="", "",Tenth!I219)</f>
        <v/>
      </c>
      <c r="J2466" s="66" t="str">
        <f>IF(Tenth!J219="", "",Tenth!J219)</f>
        <v/>
      </c>
      <c r="K2466" s="86" t="str">
        <f>IF(Tenth!K219="", "",Tenth!K219)</f>
        <v/>
      </c>
      <c r="M2466" s="67" t="str">
        <f t="shared" si="116"/>
        <v/>
      </c>
      <c r="N2466" s="76" t="str">
        <f t="shared" si="117"/>
        <v/>
      </c>
      <c r="O2466" s="33">
        <f t="shared" si="115"/>
        <v>0</v>
      </c>
    </row>
    <row r="2467" spans="1:15" x14ac:dyDescent="0.25">
      <c r="A2467" s="64" t="s">
        <v>183</v>
      </c>
      <c r="B2467" s="79" t="str">
        <f>IF(Tenth!B220="", "",Tenth!B220)</f>
        <v/>
      </c>
      <c r="C2467" s="66" t="str">
        <f>IF(Tenth!C220="", "",Tenth!C220)</f>
        <v/>
      </c>
      <c r="D2467" s="66" t="str">
        <f>IF(Tenth!D220="", "",Tenth!D220)</f>
        <v/>
      </c>
      <c r="E2467" s="66" t="str">
        <f>IF(Tenth!E220="", "",Tenth!E220)</f>
        <v/>
      </c>
      <c r="F2467" s="66" t="str">
        <f>IF(Tenth!F220="", "",Tenth!F220)</f>
        <v/>
      </c>
      <c r="G2467" s="66" t="str">
        <f>IF(Tenth!G220="", "",Tenth!G220)</f>
        <v/>
      </c>
      <c r="H2467" s="66" t="str">
        <f>IF(Tenth!H220="", "",Tenth!H220)</f>
        <v/>
      </c>
      <c r="I2467" s="66" t="str">
        <f>IF(Tenth!I220="", "",Tenth!I220)</f>
        <v/>
      </c>
      <c r="J2467" s="66" t="str">
        <f>IF(Tenth!J220="", "",Tenth!J220)</f>
        <v/>
      </c>
      <c r="K2467" s="86" t="str">
        <f>IF(Tenth!K220="", "",Tenth!K220)</f>
        <v/>
      </c>
      <c r="M2467" s="67" t="str">
        <f t="shared" si="116"/>
        <v/>
      </c>
      <c r="N2467" s="76" t="str">
        <f t="shared" si="117"/>
        <v/>
      </c>
      <c r="O2467" s="33">
        <f t="shared" si="115"/>
        <v>0</v>
      </c>
    </row>
    <row r="2468" spans="1:15" x14ac:dyDescent="0.25">
      <c r="A2468" s="64" t="s">
        <v>183</v>
      </c>
      <c r="B2468" s="79" t="str">
        <f>IF(Tenth!B221="", "",Tenth!B221)</f>
        <v/>
      </c>
      <c r="C2468" s="66" t="str">
        <f>IF(Tenth!C221="", "",Tenth!C221)</f>
        <v/>
      </c>
      <c r="D2468" s="66" t="str">
        <f>IF(Tenth!D221="", "",Tenth!D221)</f>
        <v/>
      </c>
      <c r="E2468" s="66" t="str">
        <f>IF(Tenth!E221="", "",Tenth!E221)</f>
        <v/>
      </c>
      <c r="F2468" s="66" t="str">
        <f>IF(Tenth!F221="", "",Tenth!F221)</f>
        <v/>
      </c>
      <c r="G2468" s="66" t="str">
        <f>IF(Tenth!G221="", "",Tenth!G221)</f>
        <v/>
      </c>
      <c r="H2468" s="66" t="str">
        <f>IF(Tenth!H221="", "",Tenth!H221)</f>
        <v/>
      </c>
      <c r="I2468" s="66" t="str">
        <f>IF(Tenth!I221="", "",Tenth!I221)</f>
        <v/>
      </c>
      <c r="J2468" s="66" t="str">
        <f>IF(Tenth!J221="", "",Tenth!J221)</f>
        <v/>
      </c>
      <c r="K2468" s="86" t="str">
        <f>IF(Tenth!K221="", "",Tenth!K221)</f>
        <v/>
      </c>
      <c r="M2468" s="67" t="str">
        <f t="shared" si="116"/>
        <v/>
      </c>
      <c r="N2468" s="76" t="str">
        <f t="shared" si="117"/>
        <v/>
      </c>
      <c r="O2468" s="33">
        <f t="shared" si="115"/>
        <v>0</v>
      </c>
    </row>
    <row r="2469" spans="1:15" x14ac:dyDescent="0.25">
      <c r="A2469" s="64" t="s">
        <v>183</v>
      </c>
      <c r="B2469" s="79" t="str">
        <f>IF(Tenth!B222="", "",Tenth!B222)</f>
        <v/>
      </c>
      <c r="C2469" s="66" t="str">
        <f>IF(Tenth!C222="", "",Tenth!C222)</f>
        <v/>
      </c>
      <c r="D2469" s="66" t="str">
        <f>IF(Tenth!D222="", "",Tenth!D222)</f>
        <v/>
      </c>
      <c r="E2469" s="66" t="str">
        <f>IF(Tenth!E222="", "",Tenth!E222)</f>
        <v/>
      </c>
      <c r="F2469" s="66" t="str">
        <f>IF(Tenth!F222="", "",Tenth!F222)</f>
        <v/>
      </c>
      <c r="G2469" s="66" t="str">
        <f>IF(Tenth!G222="", "",Tenth!G222)</f>
        <v/>
      </c>
      <c r="H2469" s="66" t="str">
        <f>IF(Tenth!H222="", "",Tenth!H222)</f>
        <v/>
      </c>
      <c r="I2469" s="66" t="str">
        <f>IF(Tenth!I222="", "",Tenth!I222)</f>
        <v/>
      </c>
      <c r="J2469" s="66" t="str">
        <f>IF(Tenth!J222="", "",Tenth!J222)</f>
        <v/>
      </c>
      <c r="K2469" s="86" t="str">
        <f>IF(Tenth!K222="", "",Tenth!K222)</f>
        <v/>
      </c>
      <c r="M2469" s="67" t="str">
        <f t="shared" si="116"/>
        <v/>
      </c>
      <c r="N2469" s="76" t="str">
        <f t="shared" si="117"/>
        <v/>
      </c>
      <c r="O2469" s="33">
        <f t="shared" si="115"/>
        <v>0</v>
      </c>
    </row>
    <row r="2470" spans="1:15" x14ac:dyDescent="0.25">
      <c r="A2470" s="64" t="s">
        <v>183</v>
      </c>
      <c r="B2470" s="79" t="str">
        <f>IF(Tenth!B223="", "",Tenth!B223)</f>
        <v/>
      </c>
      <c r="C2470" s="66" t="str">
        <f>IF(Tenth!C223="", "",Tenth!C223)</f>
        <v/>
      </c>
      <c r="D2470" s="66" t="str">
        <f>IF(Tenth!D223="", "",Tenth!D223)</f>
        <v/>
      </c>
      <c r="E2470" s="66" t="str">
        <f>IF(Tenth!E223="", "",Tenth!E223)</f>
        <v/>
      </c>
      <c r="F2470" s="66" t="str">
        <f>IF(Tenth!F223="", "",Tenth!F223)</f>
        <v/>
      </c>
      <c r="G2470" s="66" t="str">
        <f>IF(Tenth!G223="", "",Tenth!G223)</f>
        <v/>
      </c>
      <c r="H2470" s="66" t="str">
        <f>IF(Tenth!H223="", "",Tenth!H223)</f>
        <v/>
      </c>
      <c r="I2470" s="66" t="str">
        <f>IF(Tenth!I223="", "",Tenth!I223)</f>
        <v/>
      </c>
      <c r="J2470" s="66" t="str">
        <f>IF(Tenth!J223="", "",Tenth!J223)</f>
        <v/>
      </c>
      <c r="K2470" s="86" t="str">
        <f>IF(Tenth!K223="", "",Tenth!K223)</f>
        <v/>
      </c>
      <c r="M2470" s="67" t="str">
        <f t="shared" si="116"/>
        <v/>
      </c>
      <c r="N2470" s="76" t="str">
        <f t="shared" si="117"/>
        <v/>
      </c>
      <c r="O2470" s="33">
        <f t="shared" si="115"/>
        <v>0</v>
      </c>
    </row>
    <row r="2471" spans="1:15" x14ac:dyDescent="0.25">
      <c r="A2471" s="64" t="s">
        <v>183</v>
      </c>
      <c r="B2471" s="79" t="str">
        <f>IF(Tenth!B224="", "",Tenth!B224)</f>
        <v/>
      </c>
      <c r="C2471" s="66" t="str">
        <f>IF(Tenth!C224="", "",Tenth!C224)</f>
        <v/>
      </c>
      <c r="D2471" s="66" t="str">
        <f>IF(Tenth!D224="", "",Tenth!D224)</f>
        <v/>
      </c>
      <c r="E2471" s="66" t="str">
        <f>IF(Tenth!E224="", "",Tenth!E224)</f>
        <v/>
      </c>
      <c r="F2471" s="66" t="str">
        <f>IF(Tenth!F224="", "",Tenth!F224)</f>
        <v/>
      </c>
      <c r="G2471" s="66" t="str">
        <f>IF(Tenth!G224="", "",Tenth!G224)</f>
        <v/>
      </c>
      <c r="H2471" s="66" t="str">
        <f>IF(Tenth!H224="", "",Tenth!H224)</f>
        <v/>
      </c>
      <c r="I2471" s="66" t="str">
        <f>IF(Tenth!I224="", "",Tenth!I224)</f>
        <v/>
      </c>
      <c r="J2471" s="66" t="str">
        <f>IF(Tenth!J224="", "",Tenth!J224)</f>
        <v/>
      </c>
      <c r="K2471" s="86" t="str">
        <f>IF(Tenth!K224="", "",Tenth!K224)</f>
        <v/>
      </c>
      <c r="M2471" s="67" t="str">
        <f t="shared" si="116"/>
        <v/>
      </c>
      <c r="N2471" s="76" t="str">
        <f t="shared" si="117"/>
        <v/>
      </c>
      <c r="O2471" s="33">
        <f t="shared" si="115"/>
        <v>0</v>
      </c>
    </row>
    <row r="2472" spans="1:15" x14ac:dyDescent="0.25">
      <c r="A2472" s="64" t="s">
        <v>183</v>
      </c>
      <c r="B2472" s="79" t="str">
        <f>IF(Tenth!B225="", "",Tenth!B225)</f>
        <v/>
      </c>
      <c r="C2472" s="66" t="str">
        <f>IF(Tenth!C225="", "",Tenth!C225)</f>
        <v/>
      </c>
      <c r="D2472" s="66" t="str">
        <f>IF(Tenth!D225="", "",Tenth!D225)</f>
        <v/>
      </c>
      <c r="E2472" s="66" t="str">
        <f>IF(Tenth!E225="", "",Tenth!E225)</f>
        <v/>
      </c>
      <c r="F2472" s="66" t="str">
        <f>IF(Tenth!F225="", "",Tenth!F225)</f>
        <v/>
      </c>
      <c r="G2472" s="66" t="str">
        <f>IF(Tenth!G225="", "",Tenth!G225)</f>
        <v/>
      </c>
      <c r="H2472" s="66" t="str">
        <f>IF(Tenth!H225="", "",Tenth!H225)</f>
        <v/>
      </c>
      <c r="I2472" s="66" t="str">
        <f>IF(Tenth!I225="", "",Tenth!I225)</f>
        <v/>
      </c>
      <c r="J2472" s="66" t="str">
        <f>IF(Tenth!J225="", "",Tenth!J225)</f>
        <v/>
      </c>
      <c r="K2472" s="86" t="str">
        <f>IF(Tenth!K225="", "",Tenth!K225)</f>
        <v/>
      </c>
      <c r="M2472" s="67" t="str">
        <f t="shared" si="116"/>
        <v/>
      </c>
      <c r="N2472" s="76" t="str">
        <f t="shared" si="117"/>
        <v/>
      </c>
      <c r="O2472" s="33">
        <f t="shared" si="115"/>
        <v>0</v>
      </c>
    </row>
    <row r="2473" spans="1:15" x14ac:dyDescent="0.25">
      <c r="A2473" s="64" t="s">
        <v>183</v>
      </c>
      <c r="B2473" s="79" t="str">
        <f>IF(Tenth!B226="", "",Tenth!B226)</f>
        <v/>
      </c>
      <c r="C2473" s="66" t="str">
        <f>IF(Tenth!C226="", "",Tenth!C226)</f>
        <v/>
      </c>
      <c r="D2473" s="66" t="str">
        <f>IF(Tenth!D226="", "",Tenth!D226)</f>
        <v/>
      </c>
      <c r="E2473" s="66" t="str">
        <f>IF(Tenth!E226="", "",Tenth!E226)</f>
        <v/>
      </c>
      <c r="F2473" s="66" t="str">
        <f>IF(Tenth!F226="", "",Tenth!F226)</f>
        <v/>
      </c>
      <c r="G2473" s="66" t="str">
        <f>IF(Tenth!G226="", "",Tenth!G226)</f>
        <v/>
      </c>
      <c r="H2473" s="66" t="str">
        <f>IF(Tenth!H226="", "",Tenth!H226)</f>
        <v/>
      </c>
      <c r="I2473" s="66" t="str">
        <f>IF(Tenth!I226="", "",Tenth!I226)</f>
        <v/>
      </c>
      <c r="J2473" s="66" t="str">
        <f>IF(Tenth!J226="", "",Tenth!J226)</f>
        <v/>
      </c>
      <c r="K2473" s="86" t="str">
        <f>IF(Tenth!K226="", "",Tenth!K226)</f>
        <v/>
      </c>
      <c r="M2473" s="67" t="str">
        <f t="shared" si="116"/>
        <v/>
      </c>
      <c r="N2473" s="76" t="str">
        <f t="shared" si="117"/>
        <v/>
      </c>
      <c r="O2473" s="33">
        <f t="shared" si="115"/>
        <v>0</v>
      </c>
    </row>
    <row r="2474" spans="1:15" x14ac:dyDescent="0.25">
      <c r="A2474" s="64" t="s">
        <v>183</v>
      </c>
      <c r="B2474" s="79" t="str">
        <f>IF(Tenth!B227="", "",Tenth!B227)</f>
        <v/>
      </c>
      <c r="C2474" s="66" t="str">
        <f>IF(Tenth!C227="", "",Tenth!C227)</f>
        <v/>
      </c>
      <c r="D2474" s="66" t="str">
        <f>IF(Tenth!D227="", "",Tenth!D227)</f>
        <v/>
      </c>
      <c r="E2474" s="66" t="str">
        <f>IF(Tenth!E227="", "",Tenth!E227)</f>
        <v/>
      </c>
      <c r="F2474" s="66" t="str">
        <f>IF(Tenth!F227="", "",Tenth!F227)</f>
        <v/>
      </c>
      <c r="G2474" s="66" t="str">
        <f>IF(Tenth!G227="", "",Tenth!G227)</f>
        <v/>
      </c>
      <c r="H2474" s="66" t="str">
        <f>IF(Tenth!H227="", "",Tenth!H227)</f>
        <v/>
      </c>
      <c r="I2474" s="66" t="str">
        <f>IF(Tenth!I227="", "",Tenth!I227)</f>
        <v/>
      </c>
      <c r="J2474" s="66" t="str">
        <f>IF(Tenth!J227="", "",Tenth!J227)</f>
        <v/>
      </c>
      <c r="K2474" s="86" t="str">
        <f>IF(Tenth!K227="", "",Tenth!K227)</f>
        <v/>
      </c>
      <c r="M2474" s="67" t="str">
        <f t="shared" si="116"/>
        <v/>
      </c>
      <c r="N2474" s="76" t="str">
        <f t="shared" si="117"/>
        <v/>
      </c>
      <c r="O2474" s="33">
        <f t="shared" si="115"/>
        <v>0</v>
      </c>
    </row>
    <row r="2475" spans="1:15" x14ac:dyDescent="0.25">
      <c r="A2475" s="64" t="s">
        <v>183</v>
      </c>
      <c r="B2475" s="79" t="str">
        <f>IF(Tenth!B228="", "",Tenth!B228)</f>
        <v/>
      </c>
      <c r="C2475" s="66" t="str">
        <f>IF(Tenth!C228="", "",Tenth!C228)</f>
        <v/>
      </c>
      <c r="D2475" s="66" t="str">
        <f>IF(Tenth!D228="", "",Tenth!D228)</f>
        <v/>
      </c>
      <c r="E2475" s="66" t="str">
        <f>IF(Tenth!E228="", "",Tenth!E228)</f>
        <v/>
      </c>
      <c r="F2475" s="66" t="str">
        <f>IF(Tenth!F228="", "",Tenth!F228)</f>
        <v/>
      </c>
      <c r="G2475" s="66" t="str">
        <f>IF(Tenth!G228="", "",Tenth!G228)</f>
        <v/>
      </c>
      <c r="H2475" s="66" t="str">
        <f>IF(Tenth!H228="", "",Tenth!H228)</f>
        <v/>
      </c>
      <c r="I2475" s="66" t="str">
        <f>IF(Tenth!I228="", "",Tenth!I228)</f>
        <v/>
      </c>
      <c r="J2475" s="66" t="str">
        <f>IF(Tenth!J228="", "",Tenth!J228)</f>
        <v/>
      </c>
      <c r="K2475" s="86" t="str">
        <f>IF(Tenth!K228="", "",Tenth!K228)</f>
        <v/>
      </c>
      <c r="M2475" s="67" t="str">
        <f t="shared" si="116"/>
        <v/>
      </c>
      <c r="N2475" s="76" t="str">
        <f t="shared" si="117"/>
        <v/>
      </c>
      <c r="O2475" s="33">
        <f t="shared" si="115"/>
        <v>0</v>
      </c>
    </row>
    <row r="2476" spans="1:15" x14ac:dyDescent="0.25">
      <c r="A2476" s="64" t="s">
        <v>183</v>
      </c>
      <c r="B2476" s="79" t="str">
        <f>IF(Tenth!B229="", "",Tenth!B229)</f>
        <v/>
      </c>
      <c r="C2476" s="66" t="str">
        <f>IF(Tenth!C229="", "",Tenth!C229)</f>
        <v/>
      </c>
      <c r="D2476" s="66" t="str">
        <f>IF(Tenth!D229="", "",Tenth!D229)</f>
        <v/>
      </c>
      <c r="E2476" s="66" t="str">
        <f>IF(Tenth!E229="", "",Tenth!E229)</f>
        <v/>
      </c>
      <c r="F2476" s="66" t="str">
        <f>IF(Tenth!F229="", "",Tenth!F229)</f>
        <v/>
      </c>
      <c r="G2476" s="66" t="str">
        <f>IF(Tenth!G229="", "",Tenth!G229)</f>
        <v/>
      </c>
      <c r="H2476" s="66" t="str">
        <f>IF(Tenth!H229="", "",Tenth!H229)</f>
        <v/>
      </c>
      <c r="I2476" s="66" t="str">
        <f>IF(Tenth!I229="", "",Tenth!I229)</f>
        <v/>
      </c>
      <c r="J2476" s="66" t="str">
        <f>IF(Tenth!J229="", "",Tenth!J229)</f>
        <v/>
      </c>
      <c r="K2476" s="86" t="str">
        <f>IF(Tenth!K229="", "",Tenth!K229)</f>
        <v/>
      </c>
      <c r="M2476" s="67" t="str">
        <f t="shared" si="116"/>
        <v/>
      </c>
      <c r="N2476" s="76" t="str">
        <f t="shared" si="117"/>
        <v/>
      </c>
      <c r="O2476" s="33">
        <f t="shared" si="115"/>
        <v>0</v>
      </c>
    </row>
    <row r="2477" spans="1:15" x14ac:dyDescent="0.25">
      <c r="A2477" s="64" t="s">
        <v>183</v>
      </c>
      <c r="B2477" s="79" t="str">
        <f>IF(Tenth!B230="", "",Tenth!B230)</f>
        <v/>
      </c>
      <c r="C2477" s="66" t="str">
        <f>IF(Tenth!C230="", "",Tenth!C230)</f>
        <v/>
      </c>
      <c r="D2477" s="66" t="str">
        <f>IF(Tenth!D230="", "",Tenth!D230)</f>
        <v/>
      </c>
      <c r="E2477" s="66" t="str">
        <f>IF(Tenth!E230="", "",Tenth!E230)</f>
        <v/>
      </c>
      <c r="F2477" s="66" t="str">
        <f>IF(Tenth!F230="", "",Tenth!F230)</f>
        <v/>
      </c>
      <c r="G2477" s="66" t="str">
        <f>IF(Tenth!G230="", "",Tenth!G230)</f>
        <v/>
      </c>
      <c r="H2477" s="66" t="str">
        <f>IF(Tenth!H230="", "",Tenth!H230)</f>
        <v/>
      </c>
      <c r="I2477" s="66" t="str">
        <f>IF(Tenth!I230="", "",Tenth!I230)</f>
        <v/>
      </c>
      <c r="J2477" s="66" t="str">
        <f>IF(Tenth!J230="", "",Tenth!J230)</f>
        <v/>
      </c>
      <c r="K2477" s="86" t="str">
        <f>IF(Tenth!K230="", "",Tenth!K230)</f>
        <v/>
      </c>
      <c r="M2477" s="67" t="str">
        <f t="shared" si="116"/>
        <v/>
      </c>
      <c r="N2477" s="76" t="str">
        <f t="shared" si="117"/>
        <v/>
      </c>
      <c r="O2477" s="33">
        <f t="shared" si="115"/>
        <v>0</v>
      </c>
    </row>
    <row r="2478" spans="1:15" x14ac:dyDescent="0.25">
      <c r="A2478" s="64" t="s">
        <v>183</v>
      </c>
      <c r="B2478" s="79" t="str">
        <f>IF(Tenth!B231="", "",Tenth!B231)</f>
        <v/>
      </c>
      <c r="C2478" s="66" t="str">
        <f>IF(Tenth!C231="", "",Tenth!C231)</f>
        <v/>
      </c>
      <c r="D2478" s="66" t="str">
        <f>IF(Tenth!D231="", "",Tenth!D231)</f>
        <v/>
      </c>
      <c r="E2478" s="66" t="str">
        <f>IF(Tenth!E231="", "",Tenth!E231)</f>
        <v/>
      </c>
      <c r="F2478" s="66" t="str">
        <f>IF(Tenth!F231="", "",Tenth!F231)</f>
        <v/>
      </c>
      <c r="G2478" s="66" t="str">
        <f>IF(Tenth!G231="", "",Tenth!G231)</f>
        <v/>
      </c>
      <c r="H2478" s="66" t="str">
        <f>IF(Tenth!H231="", "",Tenth!H231)</f>
        <v/>
      </c>
      <c r="I2478" s="66" t="str">
        <f>IF(Tenth!I231="", "",Tenth!I231)</f>
        <v/>
      </c>
      <c r="J2478" s="66" t="str">
        <f>IF(Tenth!J231="", "",Tenth!J231)</f>
        <v/>
      </c>
      <c r="K2478" s="86" t="str">
        <f>IF(Tenth!K231="", "",Tenth!K231)</f>
        <v/>
      </c>
      <c r="M2478" s="67" t="str">
        <f t="shared" si="116"/>
        <v/>
      </c>
      <c r="N2478" s="76" t="str">
        <f t="shared" si="117"/>
        <v/>
      </c>
      <c r="O2478" s="33">
        <f t="shared" si="115"/>
        <v>0</v>
      </c>
    </row>
    <row r="2479" spans="1:15" x14ac:dyDescent="0.25">
      <c r="A2479" s="64" t="s">
        <v>183</v>
      </c>
      <c r="B2479" s="79" t="str">
        <f>IF(Tenth!B232="", "",Tenth!B232)</f>
        <v/>
      </c>
      <c r="C2479" s="66" t="str">
        <f>IF(Tenth!C232="", "",Tenth!C232)</f>
        <v/>
      </c>
      <c r="D2479" s="66" t="str">
        <f>IF(Tenth!D232="", "",Tenth!D232)</f>
        <v/>
      </c>
      <c r="E2479" s="66" t="str">
        <f>IF(Tenth!E232="", "",Tenth!E232)</f>
        <v/>
      </c>
      <c r="F2479" s="66" t="str">
        <f>IF(Tenth!F232="", "",Tenth!F232)</f>
        <v/>
      </c>
      <c r="G2479" s="66" t="str">
        <f>IF(Tenth!G232="", "",Tenth!G232)</f>
        <v/>
      </c>
      <c r="H2479" s="66" t="str">
        <f>IF(Tenth!H232="", "",Tenth!H232)</f>
        <v/>
      </c>
      <c r="I2479" s="66" t="str">
        <f>IF(Tenth!I232="", "",Tenth!I232)</f>
        <v/>
      </c>
      <c r="J2479" s="66" t="str">
        <f>IF(Tenth!J232="", "",Tenth!J232)</f>
        <v/>
      </c>
      <c r="K2479" s="86" t="str">
        <f>IF(Tenth!K232="", "",Tenth!K232)</f>
        <v/>
      </c>
      <c r="M2479" s="67" t="str">
        <f t="shared" si="116"/>
        <v/>
      </c>
      <c r="N2479" s="76" t="str">
        <f t="shared" si="117"/>
        <v/>
      </c>
      <c r="O2479" s="33">
        <f t="shared" si="115"/>
        <v>0</v>
      </c>
    </row>
    <row r="2480" spans="1:15" x14ac:dyDescent="0.25">
      <c r="A2480" s="64" t="s">
        <v>183</v>
      </c>
      <c r="B2480" s="79" t="str">
        <f>IF(Tenth!B233="", "",Tenth!B233)</f>
        <v/>
      </c>
      <c r="C2480" s="66" t="str">
        <f>IF(Tenth!C233="", "",Tenth!C233)</f>
        <v/>
      </c>
      <c r="D2480" s="66" t="str">
        <f>IF(Tenth!D233="", "",Tenth!D233)</f>
        <v/>
      </c>
      <c r="E2480" s="66" t="str">
        <f>IF(Tenth!E233="", "",Tenth!E233)</f>
        <v/>
      </c>
      <c r="F2480" s="66" t="str">
        <f>IF(Tenth!F233="", "",Tenth!F233)</f>
        <v/>
      </c>
      <c r="G2480" s="66" t="str">
        <f>IF(Tenth!G233="", "",Tenth!G233)</f>
        <v/>
      </c>
      <c r="H2480" s="66" t="str">
        <f>IF(Tenth!H233="", "",Tenth!H233)</f>
        <v/>
      </c>
      <c r="I2480" s="66" t="str">
        <f>IF(Tenth!I233="", "",Tenth!I233)</f>
        <v/>
      </c>
      <c r="J2480" s="66" t="str">
        <f>IF(Tenth!J233="", "",Tenth!J233)</f>
        <v/>
      </c>
      <c r="K2480" s="86" t="str">
        <f>IF(Tenth!K233="", "",Tenth!K233)</f>
        <v/>
      </c>
      <c r="M2480" s="67" t="str">
        <f t="shared" si="116"/>
        <v/>
      </c>
      <c r="N2480" s="76" t="str">
        <f t="shared" si="117"/>
        <v/>
      </c>
      <c r="O2480" s="33">
        <f t="shared" si="115"/>
        <v>0</v>
      </c>
    </row>
    <row r="2481" spans="1:15" x14ac:dyDescent="0.25">
      <c r="A2481" s="64" t="s">
        <v>183</v>
      </c>
      <c r="B2481" s="79" t="str">
        <f>IF(Tenth!B234="", "",Tenth!B234)</f>
        <v/>
      </c>
      <c r="C2481" s="66" t="str">
        <f>IF(Tenth!C234="", "",Tenth!C234)</f>
        <v/>
      </c>
      <c r="D2481" s="66" t="str">
        <f>IF(Tenth!D234="", "",Tenth!D234)</f>
        <v/>
      </c>
      <c r="E2481" s="66" t="str">
        <f>IF(Tenth!E234="", "",Tenth!E234)</f>
        <v/>
      </c>
      <c r="F2481" s="66" t="str">
        <f>IF(Tenth!F234="", "",Tenth!F234)</f>
        <v/>
      </c>
      <c r="G2481" s="66" t="str">
        <f>IF(Tenth!G234="", "",Tenth!G234)</f>
        <v/>
      </c>
      <c r="H2481" s="66" t="str">
        <f>IF(Tenth!H234="", "",Tenth!H234)</f>
        <v/>
      </c>
      <c r="I2481" s="66" t="str">
        <f>IF(Tenth!I234="", "",Tenth!I234)</f>
        <v/>
      </c>
      <c r="J2481" s="66" t="str">
        <f>IF(Tenth!J234="", "",Tenth!J234)</f>
        <v/>
      </c>
      <c r="K2481" s="86" t="str">
        <f>IF(Tenth!K234="", "",Tenth!K234)</f>
        <v/>
      </c>
      <c r="M2481" s="67" t="str">
        <f t="shared" si="116"/>
        <v/>
      </c>
      <c r="N2481" s="76" t="str">
        <f t="shared" si="117"/>
        <v/>
      </c>
      <c r="O2481" s="33">
        <f t="shared" si="115"/>
        <v>0</v>
      </c>
    </row>
    <row r="2482" spans="1:15" x14ac:dyDescent="0.25">
      <c r="A2482" s="64" t="s">
        <v>183</v>
      </c>
      <c r="B2482" s="79" t="str">
        <f>IF(Tenth!B235="", "",Tenth!B235)</f>
        <v/>
      </c>
      <c r="C2482" s="66" t="str">
        <f>IF(Tenth!C235="", "",Tenth!C235)</f>
        <v/>
      </c>
      <c r="D2482" s="66" t="str">
        <f>IF(Tenth!D235="", "",Tenth!D235)</f>
        <v/>
      </c>
      <c r="E2482" s="66" t="str">
        <f>IF(Tenth!E235="", "",Tenth!E235)</f>
        <v/>
      </c>
      <c r="F2482" s="66" t="str">
        <f>IF(Tenth!F235="", "",Tenth!F235)</f>
        <v/>
      </c>
      <c r="G2482" s="66" t="str">
        <f>IF(Tenth!G235="", "",Tenth!G235)</f>
        <v/>
      </c>
      <c r="H2482" s="66" t="str">
        <f>IF(Tenth!H235="", "",Tenth!H235)</f>
        <v/>
      </c>
      <c r="I2482" s="66" t="str">
        <f>IF(Tenth!I235="", "",Tenth!I235)</f>
        <v/>
      </c>
      <c r="J2482" s="66" t="str">
        <f>IF(Tenth!J235="", "",Tenth!J235)</f>
        <v/>
      </c>
      <c r="K2482" s="86" t="str">
        <f>IF(Tenth!K235="", "",Tenth!K235)</f>
        <v/>
      </c>
      <c r="M2482" s="67" t="str">
        <f t="shared" si="116"/>
        <v/>
      </c>
      <c r="N2482" s="76" t="str">
        <f t="shared" si="117"/>
        <v/>
      </c>
      <c r="O2482" s="33">
        <f t="shared" si="115"/>
        <v>0</v>
      </c>
    </row>
    <row r="2483" spans="1:15" x14ac:dyDescent="0.25">
      <c r="A2483" s="64" t="s">
        <v>183</v>
      </c>
      <c r="B2483" s="79" t="str">
        <f>IF(Tenth!B236="", "",Tenth!B236)</f>
        <v/>
      </c>
      <c r="C2483" s="66" t="str">
        <f>IF(Tenth!C236="", "",Tenth!C236)</f>
        <v/>
      </c>
      <c r="D2483" s="66" t="str">
        <f>IF(Tenth!D236="", "",Tenth!D236)</f>
        <v/>
      </c>
      <c r="E2483" s="66" t="str">
        <f>IF(Tenth!E236="", "",Tenth!E236)</f>
        <v/>
      </c>
      <c r="F2483" s="66" t="str">
        <f>IF(Tenth!F236="", "",Tenth!F236)</f>
        <v/>
      </c>
      <c r="G2483" s="66" t="str">
        <f>IF(Tenth!G236="", "",Tenth!G236)</f>
        <v/>
      </c>
      <c r="H2483" s="66" t="str">
        <f>IF(Tenth!H236="", "",Tenth!H236)</f>
        <v/>
      </c>
      <c r="I2483" s="66" t="str">
        <f>IF(Tenth!I236="", "",Tenth!I236)</f>
        <v/>
      </c>
      <c r="J2483" s="66" t="str">
        <f>IF(Tenth!J236="", "",Tenth!J236)</f>
        <v/>
      </c>
      <c r="K2483" s="86" t="str">
        <f>IF(Tenth!K236="", "",Tenth!K236)</f>
        <v/>
      </c>
      <c r="M2483" s="67" t="str">
        <f t="shared" si="116"/>
        <v/>
      </c>
      <c r="N2483" s="76" t="str">
        <f t="shared" si="117"/>
        <v/>
      </c>
      <c r="O2483" s="33">
        <f t="shared" si="115"/>
        <v>0</v>
      </c>
    </row>
    <row r="2484" spans="1:15" x14ac:dyDescent="0.25">
      <c r="A2484" s="64" t="s">
        <v>183</v>
      </c>
      <c r="B2484" s="79" t="str">
        <f>IF(Tenth!B237="", "",Tenth!B237)</f>
        <v/>
      </c>
      <c r="C2484" s="66" t="str">
        <f>IF(Tenth!C237="", "",Tenth!C237)</f>
        <v/>
      </c>
      <c r="D2484" s="66" t="str">
        <f>IF(Tenth!D237="", "",Tenth!D237)</f>
        <v/>
      </c>
      <c r="E2484" s="66" t="str">
        <f>IF(Tenth!E237="", "",Tenth!E237)</f>
        <v/>
      </c>
      <c r="F2484" s="66" t="str">
        <f>IF(Tenth!F237="", "",Tenth!F237)</f>
        <v/>
      </c>
      <c r="G2484" s="66" t="str">
        <f>IF(Tenth!G237="", "",Tenth!G237)</f>
        <v/>
      </c>
      <c r="H2484" s="66" t="str">
        <f>IF(Tenth!H237="", "",Tenth!H237)</f>
        <v/>
      </c>
      <c r="I2484" s="66" t="str">
        <f>IF(Tenth!I237="", "",Tenth!I237)</f>
        <v/>
      </c>
      <c r="J2484" s="66" t="str">
        <f>IF(Tenth!J237="", "",Tenth!J237)</f>
        <v/>
      </c>
      <c r="K2484" s="86" t="str">
        <f>IF(Tenth!K237="", "",Tenth!K237)</f>
        <v/>
      </c>
      <c r="M2484" s="67" t="str">
        <f t="shared" si="116"/>
        <v/>
      </c>
      <c r="N2484" s="76" t="str">
        <f t="shared" si="117"/>
        <v/>
      </c>
      <c r="O2484" s="33">
        <f t="shared" si="115"/>
        <v>0</v>
      </c>
    </row>
    <row r="2485" spans="1:15" x14ac:dyDescent="0.25">
      <c r="A2485" s="64" t="s">
        <v>183</v>
      </c>
      <c r="B2485" s="79" t="str">
        <f>IF(Tenth!B238="", "",Tenth!B238)</f>
        <v/>
      </c>
      <c r="C2485" s="66" t="str">
        <f>IF(Tenth!C238="", "",Tenth!C238)</f>
        <v/>
      </c>
      <c r="D2485" s="66" t="str">
        <f>IF(Tenth!D238="", "",Tenth!D238)</f>
        <v/>
      </c>
      <c r="E2485" s="66" t="str">
        <f>IF(Tenth!E238="", "",Tenth!E238)</f>
        <v/>
      </c>
      <c r="F2485" s="66" t="str">
        <f>IF(Tenth!F238="", "",Tenth!F238)</f>
        <v/>
      </c>
      <c r="G2485" s="66" t="str">
        <f>IF(Tenth!G238="", "",Tenth!G238)</f>
        <v/>
      </c>
      <c r="H2485" s="66" t="str">
        <f>IF(Tenth!H238="", "",Tenth!H238)</f>
        <v/>
      </c>
      <c r="I2485" s="66" t="str">
        <f>IF(Tenth!I238="", "",Tenth!I238)</f>
        <v/>
      </c>
      <c r="J2485" s="66" t="str">
        <f>IF(Tenth!J238="", "",Tenth!J238)</f>
        <v/>
      </c>
      <c r="K2485" s="86" t="str">
        <f>IF(Tenth!K238="", "",Tenth!K238)</f>
        <v/>
      </c>
      <c r="M2485" s="67" t="str">
        <f t="shared" si="116"/>
        <v/>
      </c>
      <c r="N2485" s="76" t="str">
        <f t="shared" si="117"/>
        <v/>
      </c>
      <c r="O2485" s="33">
        <f t="shared" si="115"/>
        <v>0</v>
      </c>
    </row>
    <row r="2486" spans="1:15" x14ac:dyDescent="0.25">
      <c r="A2486" s="64" t="s">
        <v>183</v>
      </c>
      <c r="B2486" s="79" t="str">
        <f>IF(Tenth!B239="", "",Tenth!B239)</f>
        <v/>
      </c>
      <c r="C2486" s="66" t="str">
        <f>IF(Tenth!C239="", "",Tenth!C239)</f>
        <v/>
      </c>
      <c r="D2486" s="66" t="str">
        <f>IF(Tenth!D239="", "",Tenth!D239)</f>
        <v/>
      </c>
      <c r="E2486" s="66" t="str">
        <f>IF(Tenth!E239="", "",Tenth!E239)</f>
        <v/>
      </c>
      <c r="F2486" s="66" t="str">
        <f>IF(Tenth!F239="", "",Tenth!F239)</f>
        <v/>
      </c>
      <c r="G2486" s="66" t="str">
        <f>IF(Tenth!G239="", "",Tenth!G239)</f>
        <v/>
      </c>
      <c r="H2486" s="66" t="str">
        <f>IF(Tenth!H239="", "",Tenth!H239)</f>
        <v/>
      </c>
      <c r="I2486" s="66" t="str">
        <f>IF(Tenth!I239="", "",Tenth!I239)</f>
        <v/>
      </c>
      <c r="J2486" s="66" t="str">
        <f>IF(Tenth!J239="", "",Tenth!J239)</f>
        <v/>
      </c>
      <c r="K2486" s="86" t="str">
        <f>IF(Tenth!K239="", "",Tenth!K239)</f>
        <v/>
      </c>
      <c r="M2486" s="67" t="str">
        <f t="shared" si="116"/>
        <v/>
      </c>
      <c r="N2486" s="76" t="str">
        <f t="shared" si="117"/>
        <v/>
      </c>
      <c r="O2486" s="33">
        <f t="shared" si="115"/>
        <v>0</v>
      </c>
    </row>
    <row r="2487" spans="1:15" x14ac:dyDescent="0.25">
      <c r="A2487" s="64" t="s">
        <v>183</v>
      </c>
      <c r="B2487" s="79" t="str">
        <f>IF(Tenth!B240="", "",Tenth!B240)</f>
        <v/>
      </c>
      <c r="C2487" s="66" t="str">
        <f>IF(Tenth!C240="", "",Tenth!C240)</f>
        <v/>
      </c>
      <c r="D2487" s="66" t="str">
        <f>IF(Tenth!D240="", "",Tenth!D240)</f>
        <v/>
      </c>
      <c r="E2487" s="66" t="str">
        <f>IF(Tenth!E240="", "",Tenth!E240)</f>
        <v/>
      </c>
      <c r="F2487" s="66" t="str">
        <f>IF(Tenth!F240="", "",Tenth!F240)</f>
        <v/>
      </c>
      <c r="G2487" s="66" t="str">
        <f>IF(Tenth!G240="", "",Tenth!G240)</f>
        <v/>
      </c>
      <c r="H2487" s="66" t="str">
        <f>IF(Tenth!H240="", "",Tenth!H240)</f>
        <v/>
      </c>
      <c r="I2487" s="66" t="str">
        <f>IF(Tenth!I240="", "",Tenth!I240)</f>
        <v/>
      </c>
      <c r="J2487" s="66" t="str">
        <f>IF(Tenth!J240="", "",Tenth!J240)</f>
        <v/>
      </c>
      <c r="K2487" s="86" t="str">
        <f>IF(Tenth!K240="", "",Tenth!K240)</f>
        <v/>
      </c>
      <c r="M2487" s="67" t="str">
        <f t="shared" si="116"/>
        <v/>
      </c>
      <c r="N2487" s="76" t="str">
        <f t="shared" si="117"/>
        <v/>
      </c>
      <c r="O2487" s="33">
        <f t="shared" si="115"/>
        <v>0</v>
      </c>
    </row>
    <row r="2488" spans="1:15" x14ac:dyDescent="0.25">
      <c r="A2488" s="64" t="s">
        <v>183</v>
      </c>
      <c r="B2488" s="79" t="str">
        <f>IF(Tenth!B241="", "",Tenth!B241)</f>
        <v/>
      </c>
      <c r="C2488" s="66" t="str">
        <f>IF(Tenth!C241="", "",Tenth!C241)</f>
        <v/>
      </c>
      <c r="D2488" s="66" t="str">
        <f>IF(Tenth!D241="", "",Tenth!D241)</f>
        <v/>
      </c>
      <c r="E2488" s="66" t="str">
        <f>IF(Tenth!E241="", "",Tenth!E241)</f>
        <v/>
      </c>
      <c r="F2488" s="66" t="str">
        <f>IF(Tenth!F241="", "",Tenth!F241)</f>
        <v/>
      </c>
      <c r="G2488" s="66" t="str">
        <f>IF(Tenth!G241="", "",Tenth!G241)</f>
        <v/>
      </c>
      <c r="H2488" s="66" t="str">
        <f>IF(Tenth!H241="", "",Tenth!H241)</f>
        <v/>
      </c>
      <c r="I2488" s="66" t="str">
        <f>IF(Tenth!I241="", "",Tenth!I241)</f>
        <v/>
      </c>
      <c r="J2488" s="66" t="str">
        <f>IF(Tenth!J241="", "",Tenth!J241)</f>
        <v/>
      </c>
      <c r="K2488" s="86" t="str">
        <f>IF(Tenth!K241="", "",Tenth!K241)</f>
        <v/>
      </c>
      <c r="M2488" s="67" t="str">
        <f t="shared" si="116"/>
        <v/>
      </c>
      <c r="N2488" s="76" t="str">
        <f t="shared" si="117"/>
        <v/>
      </c>
      <c r="O2488" s="33">
        <f t="shared" si="115"/>
        <v>0</v>
      </c>
    </row>
    <row r="2489" spans="1:15" x14ac:dyDescent="0.25">
      <c r="A2489" s="64" t="s">
        <v>183</v>
      </c>
      <c r="B2489" s="79" t="str">
        <f>IF(Tenth!B242="", "",Tenth!B242)</f>
        <v/>
      </c>
      <c r="C2489" s="66" t="str">
        <f>IF(Tenth!C242="", "",Tenth!C242)</f>
        <v/>
      </c>
      <c r="D2489" s="66" t="str">
        <f>IF(Tenth!D242="", "",Tenth!D242)</f>
        <v/>
      </c>
      <c r="E2489" s="66" t="str">
        <f>IF(Tenth!E242="", "",Tenth!E242)</f>
        <v/>
      </c>
      <c r="F2489" s="66" t="str">
        <f>IF(Tenth!F242="", "",Tenth!F242)</f>
        <v/>
      </c>
      <c r="G2489" s="66" t="str">
        <f>IF(Tenth!G242="", "",Tenth!G242)</f>
        <v/>
      </c>
      <c r="H2489" s="66" t="str">
        <f>IF(Tenth!H242="", "",Tenth!H242)</f>
        <v/>
      </c>
      <c r="I2489" s="66" t="str">
        <f>IF(Tenth!I242="", "",Tenth!I242)</f>
        <v/>
      </c>
      <c r="J2489" s="66" t="str">
        <f>IF(Tenth!J242="", "",Tenth!J242)</f>
        <v/>
      </c>
      <c r="K2489" s="86" t="str">
        <f>IF(Tenth!K242="", "",Tenth!K242)</f>
        <v/>
      </c>
      <c r="M2489" s="67" t="str">
        <f t="shared" si="116"/>
        <v/>
      </c>
      <c r="N2489" s="76" t="str">
        <f t="shared" si="117"/>
        <v/>
      </c>
      <c r="O2489" s="33">
        <f t="shared" si="115"/>
        <v>0</v>
      </c>
    </row>
    <row r="2490" spans="1:15" x14ac:dyDescent="0.25">
      <c r="A2490" s="64" t="s">
        <v>183</v>
      </c>
      <c r="B2490" s="79" t="str">
        <f>IF(Tenth!B243="", "",Tenth!B243)</f>
        <v/>
      </c>
      <c r="C2490" s="66" t="str">
        <f>IF(Tenth!C243="", "",Tenth!C243)</f>
        <v/>
      </c>
      <c r="D2490" s="66" t="str">
        <f>IF(Tenth!D243="", "",Tenth!D243)</f>
        <v/>
      </c>
      <c r="E2490" s="66" t="str">
        <f>IF(Tenth!E243="", "",Tenth!E243)</f>
        <v/>
      </c>
      <c r="F2490" s="66" t="str">
        <f>IF(Tenth!F243="", "",Tenth!F243)</f>
        <v/>
      </c>
      <c r="G2490" s="66" t="str">
        <f>IF(Tenth!G243="", "",Tenth!G243)</f>
        <v/>
      </c>
      <c r="H2490" s="66" t="str">
        <f>IF(Tenth!H243="", "",Tenth!H243)</f>
        <v/>
      </c>
      <c r="I2490" s="66" t="str">
        <f>IF(Tenth!I243="", "",Tenth!I243)</f>
        <v/>
      </c>
      <c r="J2490" s="66" t="str">
        <f>IF(Tenth!J243="", "",Tenth!J243)</f>
        <v/>
      </c>
      <c r="K2490" s="86" t="str">
        <f>IF(Tenth!K243="", "",Tenth!K243)</f>
        <v/>
      </c>
      <c r="M2490" s="67" t="str">
        <f t="shared" si="116"/>
        <v/>
      </c>
      <c r="N2490" s="76" t="str">
        <f t="shared" si="117"/>
        <v/>
      </c>
      <c r="O2490" s="33">
        <f t="shared" si="115"/>
        <v>0</v>
      </c>
    </row>
    <row r="2491" spans="1:15" x14ac:dyDescent="0.25">
      <c r="A2491" s="64" t="s">
        <v>183</v>
      </c>
      <c r="B2491" s="79" t="str">
        <f>IF(Tenth!B244="", "",Tenth!B244)</f>
        <v/>
      </c>
      <c r="C2491" s="66" t="str">
        <f>IF(Tenth!C244="", "",Tenth!C244)</f>
        <v/>
      </c>
      <c r="D2491" s="66" t="str">
        <f>IF(Tenth!D244="", "",Tenth!D244)</f>
        <v/>
      </c>
      <c r="E2491" s="66" t="str">
        <f>IF(Tenth!E244="", "",Tenth!E244)</f>
        <v/>
      </c>
      <c r="F2491" s="66" t="str">
        <f>IF(Tenth!F244="", "",Tenth!F244)</f>
        <v/>
      </c>
      <c r="G2491" s="66" t="str">
        <f>IF(Tenth!G244="", "",Tenth!G244)</f>
        <v/>
      </c>
      <c r="H2491" s="66" t="str">
        <f>IF(Tenth!H244="", "",Tenth!H244)</f>
        <v/>
      </c>
      <c r="I2491" s="66" t="str">
        <f>IF(Tenth!I244="", "",Tenth!I244)</f>
        <v/>
      </c>
      <c r="J2491" s="66" t="str">
        <f>IF(Tenth!J244="", "",Tenth!J244)</f>
        <v/>
      </c>
      <c r="K2491" s="86" t="str">
        <f>IF(Tenth!K244="", "",Tenth!K244)</f>
        <v/>
      </c>
      <c r="M2491" s="67" t="str">
        <f t="shared" si="116"/>
        <v/>
      </c>
      <c r="N2491" s="76" t="str">
        <f t="shared" si="117"/>
        <v/>
      </c>
      <c r="O2491" s="33">
        <f t="shared" si="115"/>
        <v>0</v>
      </c>
    </row>
    <row r="2492" spans="1:15" x14ac:dyDescent="0.25">
      <c r="A2492" s="64" t="s">
        <v>183</v>
      </c>
      <c r="B2492" s="79" t="str">
        <f>IF(Tenth!B245="", "",Tenth!B245)</f>
        <v/>
      </c>
      <c r="C2492" s="66" t="str">
        <f>IF(Tenth!C245="", "",Tenth!C245)</f>
        <v/>
      </c>
      <c r="D2492" s="66" t="str">
        <f>IF(Tenth!D245="", "",Tenth!D245)</f>
        <v/>
      </c>
      <c r="E2492" s="66" t="str">
        <f>IF(Tenth!E245="", "",Tenth!E245)</f>
        <v/>
      </c>
      <c r="F2492" s="66" t="str">
        <f>IF(Tenth!F245="", "",Tenth!F245)</f>
        <v/>
      </c>
      <c r="G2492" s="66" t="str">
        <f>IF(Tenth!G245="", "",Tenth!G245)</f>
        <v/>
      </c>
      <c r="H2492" s="66" t="str">
        <f>IF(Tenth!H245="", "",Tenth!H245)</f>
        <v/>
      </c>
      <c r="I2492" s="66" t="str">
        <f>IF(Tenth!I245="", "",Tenth!I245)</f>
        <v/>
      </c>
      <c r="J2492" s="66" t="str">
        <f>IF(Tenth!J245="", "",Tenth!J245)</f>
        <v/>
      </c>
      <c r="K2492" s="86" t="str">
        <f>IF(Tenth!K245="", "",Tenth!K245)</f>
        <v/>
      </c>
      <c r="M2492" s="67" t="str">
        <f t="shared" si="116"/>
        <v/>
      </c>
      <c r="N2492" s="76" t="str">
        <f t="shared" si="117"/>
        <v/>
      </c>
      <c r="O2492" s="33">
        <f t="shared" si="115"/>
        <v>0</v>
      </c>
    </row>
    <row r="2493" spans="1:15" x14ac:dyDescent="0.25">
      <c r="A2493" s="64" t="s">
        <v>183</v>
      </c>
      <c r="B2493" s="79" t="str">
        <f>IF(Tenth!B246="", "",Tenth!B246)</f>
        <v/>
      </c>
      <c r="C2493" s="66" t="str">
        <f>IF(Tenth!C246="", "",Tenth!C246)</f>
        <v/>
      </c>
      <c r="D2493" s="66" t="str">
        <f>IF(Tenth!D246="", "",Tenth!D246)</f>
        <v/>
      </c>
      <c r="E2493" s="66" t="str">
        <f>IF(Tenth!E246="", "",Tenth!E246)</f>
        <v/>
      </c>
      <c r="F2493" s="66" t="str">
        <f>IF(Tenth!F246="", "",Tenth!F246)</f>
        <v/>
      </c>
      <c r="G2493" s="66" t="str">
        <f>IF(Tenth!G246="", "",Tenth!G246)</f>
        <v/>
      </c>
      <c r="H2493" s="66" t="str">
        <f>IF(Tenth!H246="", "",Tenth!H246)</f>
        <v/>
      </c>
      <c r="I2493" s="66" t="str">
        <f>IF(Tenth!I246="", "",Tenth!I246)</f>
        <v/>
      </c>
      <c r="J2493" s="66" t="str">
        <f>IF(Tenth!J246="", "",Tenth!J246)</f>
        <v/>
      </c>
      <c r="K2493" s="86" t="str">
        <f>IF(Tenth!K246="", "",Tenth!K246)</f>
        <v/>
      </c>
      <c r="M2493" s="67" t="str">
        <f t="shared" si="116"/>
        <v/>
      </c>
      <c r="N2493" s="76" t="str">
        <f t="shared" si="117"/>
        <v/>
      </c>
      <c r="O2493" s="33">
        <f t="shared" si="115"/>
        <v>0</v>
      </c>
    </row>
    <row r="2494" spans="1:15" x14ac:dyDescent="0.25">
      <c r="A2494" s="64" t="s">
        <v>183</v>
      </c>
      <c r="B2494" s="79" t="str">
        <f>IF(Tenth!B247="", "",Tenth!B247)</f>
        <v/>
      </c>
      <c r="C2494" s="66" t="str">
        <f>IF(Tenth!C247="", "",Tenth!C247)</f>
        <v/>
      </c>
      <c r="D2494" s="66" t="str">
        <f>IF(Tenth!D247="", "",Tenth!D247)</f>
        <v/>
      </c>
      <c r="E2494" s="66" t="str">
        <f>IF(Tenth!E247="", "",Tenth!E247)</f>
        <v/>
      </c>
      <c r="F2494" s="66" t="str">
        <f>IF(Tenth!F247="", "",Tenth!F247)</f>
        <v/>
      </c>
      <c r="G2494" s="66" t="str">
        <f>IF(Tenth!G247="", "",Tenth!G247)</f>
        <v/>
      </c>
      <c r="H2494" s="66" t="str">
        <f>IF(Tenth!H247="", "",Tenth!H247)</f>
        <v/>
      </c>
      <c r="I2494" s="66" t="str">
        <f>IF(Tenth!I247="", "",Tenth!I247)</f>
        <v/>
      </c>
      <c r="J2494" s="66" t="str">
        <f>IF(Tenth!J247="", "",Tenth!J247)</f>
        <v/>
      </c>
      <c r="K2494" s="86" t="str">
        <f>IF(Tenth!K247="", "",Tenth!K247)</f>
        <v/>
      </c>
      <c r="M2494" s="67" t="str">
        <f t="shared" si="116"/>
        <v/>
      </c>
      <c r="N2494" s="76" t="str">
        <f t="shared" si="117"/>
        <v/>
      </c>
      <c r="O2494" s="33">
        <f t="shared" si="115"/>
        <v>0</v>
      </c>
    </row>
    <row r="2495" spans="1:15" x14ac:dyDescent="0.25">
      <c r="A2495" s="64" t="s">
        <v>183</v>
      </c>
      <c r="B2495" s="79" t="str">
        <f>IF(Tenth!B248="", "",Tenth!B248)</f>
        <v/>
      </c>
      <c r="C2495" s="66" t="str">
        <f>IF(Tenth!C248="", "",Tenth!C248)</f>
        <v/>
      </c>
      <c r="D2495" s="66" t="str">
        <f>IF(Tenth!D248="", "",Tenth!D248)</f>
        <v/>
      </c>
      <c r="E2495" s="66" t="str">
        <f>IF(Tenth!E248="", "",Tenth!E248)</f>
        <v/>
      </c>
      <c r="F2495" s="66" t="str">
        <f>IF(Tenth!F248="", "",Tenth!F248)</f>
        <v/>
      </c>
      <c r="G2495" s="66" t="str">
        <f>IF(Tenth!G248="", "",Tenth!G248)</f>
        <v/>
      </c>
      <c r="H2495" s="66" t="str">
        <f>IF(Tenth!H248="", "",Tenth!H248)</f>
        <v/>
      </c>
      <c r="I2495" s="66" t="str">
        <f>IF(Tenth!I248="", "",Tenth!I248)</f>
        <v/>
      </c>
      <c r="J2495" s="66" t="str">
        <f>IF(Tenth!J248="", "",Tenth!J248)</f>
        <v/>
      </c>
      <c r="K2495" s="86" t="str">
        <f>IF(Tenth!K248="", "",Tenth!K248)</f>
        <v/>
      </c>
      <c r="M2495" s="67" t="str">
        <f t="shared" si="116"/>
        <v/>
      </c>
      <c r="N2495" s="76" t="str">
        <f t="shared" si="117"/>
        <v/>
      </c>
      <c r="O2495" s="33">
        <f t="shared" si="115"/>
        <v>0</v>
      </c>
    </row>
    <row r="2496" spans="1:15" x14ac:dyDescent="0.25">
      <c r="A2496" s="64" t="s">
        <v>183</v>
      </c>
      <c r="B2496" s="79" t="str">
        <f>IF(Tenth!B249="", "",Tenth!B249)</f>
        <v/>
      </c>
      <c r="C2496" s="66" t="str">
        <f>IF(Tenth!C249="", "",Tenth!C249)</f>
        <v/>
      </c>
      <c r="D2496" s="66" t="str">
        <f>IF(Tenth!D249="", "",Tenth!D249)</f>
        <v/>
      </c>
      <c r="E2496" s="66" t="str">
        <f>IF(Tenth!E249="", "",Tenth!E249)</f>
        <v/>
      </c>
      <c r="F2496" s="66" t="str">
        <f>IF(Tenth!F249="", "",Tenth!F249)</f>
        <v/>
      </c>
      <c r="G2496" s="66" t="str">
        <f>IF(Tenth!G249="", "",Tenth!G249)</f>
        <v/>
      </c>
      <c r="H2496" s="66" t="str">
        <f>IF(Tenth!H249="", "",Tenth!H249)</f>
        <v/>
      </c>
      <c r="I2496" s="66" t="str">
        <f>IF(Tenth!I249="", "",Tenth!I249)</f>
        <v/>
      </c>
      <c r="J2496" s="66" t="str">
        <f>IF(Tenth!J249="", "",Tenth!J249)</f>
        <v/>
      </c>
      <c r="K2496" s="86" t="str">
        <f>IF(Tenth!K249="", "",Tenth!K249)</f>
        <v/>
      </c>
      <c r="M2496" s="67" t="str">
        <f t="shared" si="116"/>
        <v/>
      </c>
      <c r="N2496" s="76" t="str">
        <f t="shared" si="117"/>
        <v/>
      </c>
      <c r="O2496" s="33">
        <f t="shared" si="115"/>
        <v>0</v>
      </c>
    </row>
    <row r="2497" spans="1:15" x14ac:dyDescent="0.25">
      <c r="A2497" s="64" t="s">
        <v>183</v>
      </c>
      <c r="B2497" s="79" t="str">
        <f>IF(Tenth!B250="", "",Tenth!B250)</f>
        <v/>
      </c>
      <c r="C2497" s="66" t="str">
        <f>IF(Tenth!C250="", "",Tenth!C250)</f>
        <v/>
      </c>
      <c r="D2497" s="66" t="str">
        <f>IF(Tenth!D250="", "",Tenth!D250)</f>
        <v/>
      </c>
      <c r="E2497" s="66" t="str">
        <f>IF(Tenth!E250="", "",Tenth!E250)</f>
        <v/>
      </c>
      <c r="F2497" s="66" t="str">
        <f>IF(Tenth!F250="", "",Tenth!F250)</f>
        <v/>
      </c>
      <c r="G2497" s="66" t="str">
        <f>IF(Tenth!G250="", "",Tenth!G250)</f>
        <v/>
      </c>
      <c r="H2497" s="66" t="str">
        <f>IF(Tenth!H250="", "",Tenth!H250)</f>
        <v/>
      </c>
      <c r="I2497" s="66" t="str">
        <f>IF(Tenth!I250="", "",Tenth!I250)</f>
        <v/>
      </c>
      <c r="J2497" s="66" t="str">
        <f>IF(Tenth!J250="", "",Tenth!J250)</f>
        <v/>
      </c>
      <c r="K2497" s="86" t="str">
        <f>IF(Tenth!K250="", "",Tenth!K250)</f>
        <v/>
      </c>
      <c r="M2497" s="67" t="str">
        <f t="shared" si="116"/>
        <v/>
      </c>
      <c r="N2497" s="76" t="str">
        <f t="shared" si="117"/>
        <v/>
      </c>
      <c r="O2497" s="33">
        <f t="shared" si="115"/>
        <v>0</v>
      </c>
    </row>
    <row r="2498" spans="1:15" x14ac:dyDescent="0.25">
      <c r="A2498" s="64" t="s">
        <v>183</v>
      </c>
      <c r="B2498" s="79" t="str">
        <f>IF(Tenth!B251="", "",Tenth!B251)</f>
        <v/>
      </c>
      <c r="C2498" s="66" t="str">
        <f>IF(Tenth!C251="", "",Tenth!C251)</f>
        <v/>
      </c>
      <c r="D2498" s="66" t="str">
        <f>IF(Tenth!D251="", "",Tenth!D251)</f>
        <v/>
      </c>
      <c r="E2498" s="66" t="str">
        <f>IF(Tenth!E251="", "",Tenth!E251)</f>
        <v/>
      </c>
      <c r="F2498" s="66" t="str">
        <f>IF(Tenth!F251="", "",Tenth!F251)</f>
        <v/>
      </c>
      <c r="G2498" s="66" t="str">
        <f>IF(Tenth!G251="", "",Tenth!G251)</f>
        <v/>
      </c>
      <c r="H2498" s="66" t="str">
        <f>IF(Tenth!H251="", "",Tenth!H251)</f>
        <v/>
      </c>
      <c r="I2498" s="66" t="str">
        <f>IF(Tenth!I251="", "",Tenth!I251)</f>
        <v/>
      </c>
      <c r="J2498" s="66" t="str">
        <f>IF(Tenth!J251="", "",Tenth!J251)</f>
        <v/>
      </c>
      <c r="K2498" s="86" t="str">
        <f>IF(Tenth!K251="", "",Tenth!K251)</f>
        <v/>
      </c>
      <c r="M2498" s="67" t="str">
        <f t="shared" si="116"/>
        <v/>
      </c>
      <c r="N2498" s="76" t="str">
        <f t="shared" si="117"/>
        <v/>
      </c>
      <c r="O2498" s="33">
        <f t="shared" ref="O2498:O2561" si="118">SUM(M2498:N2498)</f>
        <v>0</v>
      </c>
    </row>
    <row r="2499" spans="1:15" x14ac:dyDescent="0.25">
      <c r="A2499" s="64" t="s">
        <v>183</v>
      </c>
      <c r="B2499" s="79" t="str">
        <f>IF(Tenth!B252="", "",Tenth!B252)</f>
        <v/>
      </c>
      <c r="C2499" s="66" t="str">
        <f>IF(Tenth!C252="", "",Tenth!C252)</f>
        <v/>
      </c>
      <c r="D2499" s="66" t="str">
        <f>IF(Tenth!D252="", "",Tenth!D252)</f>
        <v/>
      </c>
      <c r="E2499" s="66" t="str">
        <f>IF(Tenth!E252="", "",Tenth!E252)</f>
        <v/>
      </c>
      <c r="F2499" s="66" t="str">
        <f>IF(Tenth!F252="", "",Tenth!F252)</f>
        <v/>
      </c>
      <c r="G2499" s="66" t="str">
        <f>IF(Tenth!G252="", "",Tenth!G252)</f>
        <v/>
      </c>
      <c r="H2499" s="66" t="str">
        <f>IF(Tenth!H252="", "",Tenth!H252)</f>
        <v/>
      </c>
      <c r="I2499" s="66" t="str">
        <f>IF(Tenth!I252="", "",Tenth!I252)</f>
        <v/>
      </c>
      <c r="J2499" s="66" t="str">
        <f>IF(Tenth!J252="", "",Tenth!J252)</f>
        <v/>
      </c>
      <c r="K2499" s="86" t="str">
        <f>IF(Tenth!K252="", "",Tenth!K252)</f>
        <v/>
      </c>
      <c r="M2499" s="67" t="str">
        <f t="shared" ref="M2499:M2562" si="119">IF(C2499="PwC",(7-COUNTIF(B2499:H2499,"")),"")</f>
        <v/>
      </c>
      <c r="N2499" s="76" t="str">
        <f t="shared" ref="N2499:N2562" si="120">IF(C2499="Carer",(7-COUNTIF(B2499:H2499,"")),"")</f>
        <v/>
      </c>
      <c r="O2499" s="33">
        <f t="shared" si="118"/>
        <v>0</v>
      </c>
    </row>
    <row r="2500" spans="1:15" x14ac:dyDescent="0.25">
      <c r="A2500" s="64" t="s">
        <v>183</v>
      </c>
      <c r="B2500" s="79" t="str">
        <f>IF(Tenth!B253="", "",Tenth!B253)</f>
        <v/>
      </c>
      <c r="C2500" s="66" t="str">
        <f>IF(Tenth!C253="", "",Tenth!C253)</f>
        <v/>
      </c>
      <c r="D2500" s="66" t="str">
        <f>IF(Tenth!D253="", "",Tenth!D253)</f>
        <v/>
      </c>
      <c r="E2500" s="66" t="str">
        <f>IF(Tenth!E253="", "",Tenth!E253)</f>
        <v/>
      </c>
      <c r="F2500" s="66" t="str">
        <f>IF(Tenth!F253="", "",Tenth!F253)</f>
        <v/>
      </c>
      <c r="G2500" s="66" t="str">
        <f>IF(Tenth!G253="", "",Tenth!G253)</f>
        <v/>
      </c>
      <c r="H2500" s="66" t="str">
        <f>IF(Tenth!H253="", "",Tenth!H253)</f>
        <v/>
      </c>
      <c r="I2500" s="66" t="str">
        <f>IF(Tenth!I253="", "",Tenth!I253)</f>
        <v/>
      </c>
      <c r="J2500" s="66" t="str">
        <f>IF(Tenth!J253="", "",Tenth!J253)</f>
        <v/>
      </c>
      <c r="K2500" s="86" t="str">
        <f>IF(Tenth!K253="", "",Tenth!K253)</f>
        <v/>
      </c>
      <c r="M2500" s="67" t="str">
        <f t="shared" si="119"/>
        <v/>
      </c>
      <c r="N2500" s="76" t="str">
        <f t="shared" si="120"/>
        <v/>
      </c>
      <c r="O2500" s="33">
        <f t="shared" si="118"/>
        <v>0</v>
      </c>
    </row>
    <row r="2501" spans="1:15" ht="15.75" thickBot="1" x14ac:dyDescent="0.3">
      <c r="A2501" s="68" t="s">
        <v>183</v>
      </c>
      <c r="B2501" s="80" t="str">
        <f>IF(Tenth!B254="", "",Tenth!B254)</f>
        <v/>
      </c>
      <c r="C2501" s="70" t="str">
        <f>IF(Tenth!C254="", "",Tenth!C254)</f>
        <v/>
      </c>
      <c r="D2501" s="70" t="str">
        <f>IF(Tenth!D254="", "",Tenth!D254)</f>
        <v/>
      </c>
      <c r="E2501" s="70" t="str">
        <f>IF(Tenth!E254="", "",Tenth!E254)</f>
        <v/>
      </c>
      <c r="F2501" s="70" t="str">
        <f>IF(Tenth!F254="", "",Tenth!F254)</f>
        <v/>
      </c>
      <c r="G2501" s="70" t="str">
        <f>IF(Tenth!G254="", "",Tenth!G254)</f>
        <v/>
      </c>
      <c r="H2501" s="70" t="str">
        <f>IF(Tenth!H254="", "",Tenth!H254)</f>
        <v/>
      </c>
      <c r="I2501" s="70" t="str">
        <f>IF(Tenth!I254="", "",Tenth!I254)</f>
        <v/>
      </c>
      <c r="J2501" s="70" t="str">
        <f>IF(Tenth!J254="", "",Tenth!J254)</f>
        <v/>
      </c>
      <c r="K2501" s="90" t="str">
        <f>IF(Tenth!K254="", "",Tenth!K254)</f>
        <v/>
      </c>
      <c r="L2501" s="91"/>
      <c r="M2501" s="71" t="str">
        <f t="shared" si="119"/>
        <v/>
      </c>
      <c r="N2501" s="77" t="str">
        <f t="shared" si="120"/>
        <v/>
      </c>
      <c r="O2501" s="33">
        <f t="shared" si="118"/>
        <v>0</v>
      </c>
    </row>
    <row r="2502" spans="1:15" x14ac:dyDescent="0.25">
      <c r="A2502" s="64" t="s">
        <v>184</v>
      </c>
      <c r="B2502" s="82" t="str">
        <f>IF(Eleventh!B5="", "",Eleventh!B5)</f>
        <v>Sessional Staff</v>
      </c>
      <c r="C2502" s="1" t="str">
        <f>IF(Eleventh!C5="", "",Eleventh!C5)</f>
        <v>PwC</v>
      </c>
      <c r="D2502" s="1" t="str">
        <f>IF(Eleventh!D5="", "",Eleventh!D5)</f>
        <v>Returning</v>
      </c>
      <c r="E2502" s="1" t="str">
        <f>IF(Eleventh!E5="", "",Eleventh!E5)</f>
        <v>Female</v>
      </c>
      <c r="F2502" s="1" t="str">
        <f>IF(Eleventh!F5="", "",Eleventh!F5)</f>
        <v>Upper GI</v>
      </c>
      <c r="G2502" s="1" t="str">
        <f>IF(Eleventh!G5="", "",Eleventh!G5)</f>
        <v>Non-Curative Intent</v>
      </c>
      <c r="H2502" s="1" t="str">
        <f>IF(Eleventh!H5="", "",Eleventh!H5)</f>
        <v>Programme</v>
      </c>
      <c r="I2502" s="1" t="str">
        <f>IF(Eleventh!I5="", "",Eleventh!I5)</f>
        <v>Nutrition</v>
      </c>
      <c r="J2502" s="1" t="str">
        <f>IF(Eleventh!J5="", "",Eleventh!J5)</f>
        <v/>
      </c>
      <c r="K2502" s="83" t="str">
        <f>IF(Eleventh!K5="", "",Eleventh!K5)</f>
        <v/>
      </c>
      <c r="M2502" s="67">
        <f t="shared" si="119"/>
        <v>7</v>
      </c>
      <c r="N2502" s="76" t="str">
        <f t="shared" si="120"/>
        <v/>
      </c>
      <c r="O2502" s="33">
        <f t="shared" si="118"/>
        <v>7</v>
      </c>
    </row>
    <row r="2503" spans="1:15" x14ac:dyDescent="0.25">
      <c r="A2503" s="64" t="s">
        <v>184</v>
      </c>
      <c r="B2503" s="82" t="str">
        <f>IF(Eleventh!B6="", "",Eleventh!B6)</f>
        <v>CSS</v>
      </c>
      <c r="C2503" s="1" t="str">
        <f>IF(Eleventh!C6="", "",Eleventh!C6)</f>
        <v>PwC</v>
      </c>
      <c r="D2503" s="1" t="str">
        <f>IF(Eleventh!D6="", "",Eleventh!D6)</f>
        <v>New</v>
      </c>
      <c r="E2503" s="1" t="str">
        <f>IF(Eleventh!E6="", "",Eleventh!E6)</f>
        <v>Female</v>
      </c>
      <c r="F2503" s="1" t="str">
        <f>IF(Eleventh!F6="", "",Eleventh!F6)</f>
        <v>Gynae</v>
      </c>
      <c r="G2503" s="1" t="str">
        <f>IF(Eleventh!G6="", "",Eleventh!G6)</f>
        <v>Non-Curative Intent</v>
      </c>
      <c r="H2503" s="1" t="str">
        <f>IF(Eleventh!H6="", "",Eleventh!H6)</f>
        <v>Drop-In</v>
      </c>
      <c r="I2503" s="1" t="str">
        <f>IF(Eleventh!I6="", "",Eleventh!I6)</f>
        <v/>
      </c>
      <c r="J2503" s="1" t="str">
        <f>IF(Eleventh!J6="", "",Eleventh!J6)</f>
        <v/>
      </c>
      <c r="K2503" s="83" t="str">
        <f>IF(Eleventh!K6="", "",Eleventh!K6)</f>
        <v/>
      </c>
      <c r="M2503" s="67">
        <f t="shared" si="119"/>
        <v>7</v>
      </c>
      <c r="N2503" s="76" t="str">
        <f t="shared" si="120"/>
        <v/>
      </c>
      <c r="O2503" s="33">
        <f t="shared" si="118"/>
        <v>7</v>
      </c>
    </row>
    <row r="2504" spans="1:15" x14ac:dyDescent="0.25">
      <c r="A2504" s="64" t="s">
        <v>184</v>
      </c>
      <c r="B2504" s="82" t="str">
        <f>IF(Eleventh!B7="", "",Eleventh!B7)</f>
        <v>CSS</v>
      </c>
      <c r="C2504" s="1" t="str">
        <f>IF(Eleventh!C7="", "",Eleventh!C7)</f>
        <v>Carer</v>
      </c>
      <c r="D2504" s="1" t="str">
        <f>IF(Eleventh!D7="", "",Eleventh!D7)</f>
        <v>New</v>
      </c>
      <c r="E2504" s="1" t="str">
        <f>IF(Eleventh!E7="", "",Eleventh!E7)</f>
        <v>Male</v>
      </c>
      <c r="F2504" s="1" t="str">
        <f>IF(Eleventh!F7="", "",Eleventh!F7)</f>
        <v>Gynae</v>
      </c>
      <c r="G2504" s="1" t="str">
        <f>IF(Eleventh!G7="", "",Eleventh!G7)</f>
        <v>Non-Curative Intent</v>
      </c>
      <c r="H2504" s="1" t="str">
        <f>IF(Eleventh!H7="", "",Eleventh!H7)</f>
        <v>Drop-In</v>
      </c>
      <c r="I2504" s="1" t="str">
        <f>IF(Eleventh!I7="", "",Eleventh!I7)</f>
        <v/>
      </c>
      <c r="J2504" s="1" t="str">
        <f>IF(Eleventh!J7="", "",Eleventh!J7)</f>
        <v/>
      </c>
      <c r="K2504" s="83" t="str">
        <f>IF(Eleventh!K7="", "",Eleventh!K7)</f>
        <v/>
      </c>
      <c r="M2504" s="67" t="str">
        <f t="shared" si="119"/>
        <v/>
      </c>
      <c r="N2504" s="76">
        <f t="shared" si="120"/>
        <v>7</v>
      </c>
      <c r="O2504" s="33">
        <f t="shared" si="118"/>
        <v>7</v>
      </c>
    </row>
    <row r="2505" spans="1:15" x14ac:dyDescent="0.25">
      <c r="A2505" s="64" t="s">
        <v>184</v>
      </c>
      <c r="B2505" s="82" t="str">
        <f>IF(Eleventh!B8="", "",Eleventh!B8)</f>
        <v>CSS</v>
      </c>
      <c r="C2505" s="1" t="str">
        <f>IF(Eleventh!C8="", "",Eleventh!C8)</f>
        <v>Carer</v>
      </c>
      <c r="D2505" s="1" t="str">
        <f>IF(Eleventh!D8="", "",Eleventh!D8)</f>
        <v>Returning</v>
      </c>
      <c r="E2505" s="1" t="str">
        <f>IF(Eleventh!E8="", "",Eleventh!E8)</f>
        <v>Male</v>
      </c>
      <c r="F2505" s="1" t="str">
        <f>IF(Eleventh!F8="", "",Eleventh!F8)</f>
        <v>Breast</v>
      </c>
      <c r="G2505" s="1" t="str">
        <f>IF(Eleventh!G8="", "",Eleventh!G8)</f>
        <v>Curative Intent</v>
      </c>
      <c r="H2505" s="1" t="str">
        <f>IF(Eleventh!H8="", "",Eleventh!H8)</f>
        <v>Drop-In</v>
      </c>
      <c r="I2505" s="1" t="str">
        <f>IF(Eleventh!I8="", "",Eleventh!I8)</f>
        <v/>
      </c>
      <c r="J2505" s="1" t="str">
        <f>IF(Eleventh!J8="", "",Eleventh!J8)</f>
        <v/>
      </c>
      <c r="K2505" s="83" t="str">
        <f>IF(Eleventh!K8="", "",Eleventh!K8)</f>
        <v/>
      </c>
      <c r="M2505" s="67" t="str">
        <f t="shared" si="119"/>
        <v/>
      </c>
      <c r="N2505" s="76">
        <f t="shared" si="120"/>
        <v>7</v>
      </c>
      <c r="O2505" s="33">
        <f t="shared" si="118"/>
        <v>7</v>
      </c>
    </row>
    <row r="2506" spans="1:15" x14ac:dyDescent="0.25">
      <c r="A2506" s="64" t="s">
        <v>184</v>
      </c>
      <c r="B2506" s="82" t="str">
        <f>IF(Eleventh!B9="", "",Eleventh!B9)</f>
        <v>Centre Head</v>
      </c>
      <c r="C2506" s="1" t="str">
        <f>IF(Eleventh!C9="", "",Eleventh!C9)</f>
        <v>PwC</v>
      </c>
      <c r="D2506" s="1" t="str">
        <f>IF(Eleventh!D9="", "",Eleventh!D9)</f>
        <v>New</v>
      </c>
      <c r="E2506" s="1" t="str">
        <f>IF(Eleventh!E9="", "",Eleventh!E9)</f>
        <v>Female</v>
      </c>
      <c r="F2506" s="1" t="str">
        <f>IF(Eleventh!F9="", "",Eleventh!F9)</f>
        <v>Brain/CNS</v>
      </c>
      <c r="G2506" s="1" t="str">
        <f>IF(Eleventh!G9="", "",Eleventh!G9)</f>
        <v>Curative Intent</v>
      </c>
      <c r="H2506" s="1" t="str">
        <f>IF(Eleventh!H9="", "",Eleventh!H9)</f>
        <v>Drop-In</v>
      </c>
      <c r="I2506" s="1" t="str">
        <f>IF(Eleventh!I9="", "",Eleventh!I9)</f>
        <v/>
      </c>
      <c r="J2506" s="1" t="str">
        <f>IF(Eleventh!J9="", "",Eleventh!J9)</f>
        <v/>
      </c>
      <c r="K2506" s="83" t="str">
        <f>IF(Eleventh!K9="", "",Eleventh!K9)</f>
        <v/>
      </c>
      <c r="M2506" s="67">
        <f t="shared" si="119"/>
        <v>7</v>
      </c>
      <c r="N2506" s="76" t="str">
        <f t="shared" si="120"/>
        <v/>
      </c>
      <c r="O2506" s="33">
        <f t="shared" si="118"/>
        <v>7</v>
      </c>
    </row>
    <row r="2507" spans="1:15" x14ac:dyDescent="0.25">
      <c r="A2507" s="64" t="s">
        <v>184</v>
      </c>
      <c r="B2507" s="82" t="str">
        <f>IF(Eleventh!B10="", "",Eleventh!B10)</f>
        <v>Centre Head</v>
      </c>
      <c r="C2507" s="1" t="str">
        <f>IF(Eleventh!C10="", "",Eleventh!C10)</f>
        <v>Carer</v>
      </c>
      <c r="D2507" s="1" t="str">
        <f>IF(Eleventh!D10="", "",Eleventh!D10)</f>
        <v>New</v>
      </c>
      <c r="E2507" s="1" t="str">
        <f>IF(Eleventh!E10="", "",Eleventh!E10)</f>
        <v>Under 18 Male</v>
      </c>
      <c r="F2507" s="1" t="str">
        <f>IF(Eleventh!F10="", "",Eleventh!F10)</f>
        <v>Brain/CNS</v>
      </c>
      <c r="G2507" s="1" t="str">
        <f>IF(Eleventh!G10="", "",Eleventh!G10)</f>
        <v>Curative Intent</v>
      </c>
      <c r="H2507" s="1" t="str">
        <f>IF(Eleventh!H10="", "",Eleventh!H10)</f>
        <v>Drop-In</v>
      </c>
      <c r="I2507" s="1" t="str">
        <f>IF(Eleventh!I10="", "",Eleventh!I10)</f>
        <v/>
      </c>
      <c r="J2507" s="1" t="str">
        <f>IF(Eleventh!J10="", "",Eleventh!J10)</f>
        <v/>
      </c>
      <c r="K2507" s="83" t="str">
        <f>IF(Eleventh!K10="", "",Eleventh!K10)</f>
        <v/>
      </c>
      <c r="M2507" s="67" t="str">
        <f t="shared" si="119"/>
        <v/>
      </c>
      <c r="N2507" s="76">
        <f t="shared" si="120"/>
        <v>7</v>
      </c>
      <c r="O2507" s="33">
        <f t="shared" si="118"/>
        <v>7</v>
      </c>
    </row>
    <row r="2508" spans="1:15" x14ac:dyDescent="0.25">
      <c r="A2508" s="64" t="s">
        <v>184</v>
      </c>
      <c r="B2508" s="82" t="str">
        <f>IF(Eleventh!B11="", "",Eleventh!B11)</f>
        <v>Centre Head</v>
      </c>
      <c r="C2508" s="1" t="str">
        <f>IF(Eleventh!C11="", "",Eleventh!C11)</f>
        <v>PwC</v>
      </c>
      <c r="D2508" s="1" t="str">
        <f>IF(Eleventh!D11="", "",Eleventh!D11)</f>
        <v>Returning</v>
      </c>
      <c r="E2508" s="1" t="str">
        <f>IF(Eleventh!E11="", "",Eleventh!E11)</f>
        <v>Male</v>
      </c>
      <c r="F2508" s="1" t="str">
        <f>IF(Eleventh!F11="", "",Eleventh!F11)</f>
        <v>Lung</v>
      </c>
      <c r="G2508" s="1" t="str">
        <f>IF(Eleventh!G11="", "",Eleventh!G11)</f>
        <v>Non-Curative Intent</v>
      </c>
      <c r="H2508" s="1" t="str">
        <f>IF(Eleventh!H11="", "",Eleventh!H11)</f>
        <v>Drop-In</v>
      </c>
      <c r="I2508" s="1" t="str">
        <f>IF(Eleventh!I11="", "",Eleventh!I11)</f>
        <v/>
      </c>
      <c r="J2508" s="1" t="str">
        <f>IF(Eleventh!J11="", "",Eleventh!J11)</f>
        <v/>
      </c>
      <c r="K2508" s="83" t="str">
        <f>IF(Eleventh!K11="", "",Eleventh!K11)</f>
        <v/>
      </c>
      <c r="M2508" s="67">
        <f t="shared" si="119"/>
        <v>7</v>
      </c>
      <c r="N2508" s="76" t="str">
        <f t="shared" si="120"/>
        <v/>
      </c>
      <c r="O2508" s="33">
        <f t="shared" si="118"/>
        <v>7</v>
      </c>
    </row>
    <row r="2509" spans="1:15" x14ac:dyDescent="0.25">
      <c r="A2509" s="64" t="s">
        <v>184</v>
      </c>
      <c r="B2509" s="82" t="str">
        <f>IF(Eleventh!B12="", "",Eleventh!B12)</f>
        <v>Centre Head</v>
      </c>
      <c r="C2509" s="1" t="str">
        <f>IF(Eleventh!C12="", "",Eleventh!C12)</f>
        <v>Carer</v>
      </c>
      <c r="D2509" s="1" t="str">
        <f>IF(Eleventh!D12="", "",Eleventh!D12)</f>
        <v>Returning</v>
      </c>
      <c r="E2509" s="1" t="str">
        <f>IF(Eleventh!E12="", "",Eleventh!E12)</f>
        <v>Male</v>
      </c>
      <c r="F2509" s="1" t="str">
        <f>IF(Eleventh!F12="", "",Eleventh!F12)</f>
        <v>Lung</v>
      </c>
      <c r="G2509" s="1" t="str">
        <f>IF(Eleventh!G12="", "",Eleventh!G12)</f>
        <v>Non-Curative Intent</v>
      </c>
      <c r="H2509" s="1" t="str">
        <f>IF(Eleventh!H12="", "",Eleventh!H12)</f>
        <v>Drop-In</v>
      </c>
      <c r="I2509" s="1" t="str">
        <f>IF(Eleventh!I12="", "",Eleventh!I12)</f>
        <v/>
      </c>
      <c r="J2509" s="1" t="str">
        <f>IF(Eleventh!J12="", "",Eleventh!J12)</f>
        <v/>
      </c>
      <c r="K2509" s="83" t="str">
        <f>IF(Eleventh!K12="", "",Eleventh!K12)</f>
        <v/>
      </c>
      <c r="M2509" s="67" t="str">
        <f t="shared" si="119"/>
        <v/>
      </c>
      <c r="N2509" s="76">
        <f t="shared" si="120"/>
        <v>7</v>
      </c>
      <c r="O2509" s="33">
        <f t="shared" si="118"/>
        <v>7</v>
      </c>
    </row>
    <row r="2510" spans="1:15" x14ac:dyDescent="0.25">
      <c r="A2510" s="64" t="s">
        <v>184</v>
      </c>
      <c r="B2510" s="82" t="str">
        <f>IF(Eleventh!B13="", "",Eleventh!B13)</f>
        <v>Centre Head</v>
      </c>
      <c r="C2510" s="1" t="str">
        <f>IF(Eleventh!C13="", "",Eleventh!C13)</f>
        <v>Carer</v>
      </c>
      <c r="D2510" s="1" t="str">
        <f>IF(Eleventh!D13="", "",Eleventh!D13)</f>
        <v>New</v>
      </c>
      <c r="E2510" s="1" t="str">
        <f>IF(Eleventh!E13="", "",Eleventh!E13)</f>
        <v>Female</v>
      </c>
      <c r="F2510" s="1" t="str">
        <f>IF(Eleventh!F13="", "",Eleventh!F13)</f>
        <v>Lung</v>
      </c>
      <c r="G2510" s="1" t="str">
        <f>IF(Eleventh!G13="", "",Eleventh!G13)</f>
        <v>Non-Curative Intent</v>
      </c>
      <c r="H2510" s="1" t="str">
        <f>IF(Eleventh!H13="", "",Eleventh!H13)</f>
        <v>Drop-In</v>
      </c>
      <c r="I2510" s="1" t="str">
        <f>IF(Eleventh!I13="", "",Eleventh!I13)</f>
        <v/>
      </c>
      <c r="J2510" s="1" t="str">
        <f>IF(Eleventh!J13="", "",Eleventh!J13)</f>
        <v/>
      </c>
      <c r="K2510" s="83" t="str">
        <f>IF(Eleventh!K13="", "",Eleventh!K13)</f>
        <v/>
      </c>
      <c r="M2510" s="67" t="str">
        <f t="shared" si="119"/>
        <v/>
      </c>
      <c r="N2510" s="76">
        <f t="shared" si="120"/>
        <v>7</v>
      </c>
      <c r="O2510" s="33">
        <f t="shared" si="118"/>
        <v>7</v>
      </c>
    </row>
    <row r="2511" spans="1:15" x14ac:dyDescent="0.25">
      <c r="A2511" s="64" t="s">
        <v>184</v>
      </c>
      <c r="B2511" s="82" t="str">
        <f>IF(Eleventh!B14="", "",Eleventh!B14)</f>
        <v>Centre Head</v>
      </c>
      <c r="C2511" s="1" t="str">
        <f>IF(Eleventh!C14="", "",Eleventh!C14)</f>
        <v>PwC</v>
      </c>
      <c r="D2511" s="1" t="str">
        <f>IF(Eleventh!D14="", "",Eleventh!D14)</f>
        <v>Returning</v>
      </c>
      <c r="E2511" s="1" t="str">
        <f>IF(Eleventh!E14="", "",Eleventh!E14)</f>
        <v>Female</v>
      </c>
      <c r="F2511" s="1" t="str">
        <f>IF(Eleventh!F14="", "",Eleventh!F14)</f>
        <v>Breast</v>
      </c>
      <c r="G2511" s="1" t="str">
        <f>IF(Eleventh!G14="", "",Eleventh!G14)</f>
        <v>Post Treatment - Curative Intent</v>
      </c>
      <c r="H2511" s="1" t="str">
        <f>IF(Eleventh!H14="", "",Eleventh!H14)</f>
        <v>Booked</v>
      </c>
      <c r="I2511" s="1" t="str">
        <f>IF(Eleventh!I14="", "",Eleventh!I14)</f>
        <v>Psych Support - Individual</v>
      </c>
      <c r="J2511" s="1" t="str">
        <f>IF(Eleventh!J14="", "",Eleventh!J14)</f>
        <v/>
      </c>
      <c r="K2511" s="83" t="str">
        <f>IF(Eleventh!K14="", "",Eleventh!K14)</f>
        <v/>
      </c>
      <c r="M2511" s="67">
        <f t="shared" si="119"/>
        <v>7</v>
      </c>
      <c r="N2511" s="76" t="str">
        <f t="shared" si="120"/>
        <v/>
      </c>
      <c r="O2511" s="33">
        <f t="shared" si="118"/>
        <v>7</v>
      </c>
    </row>
    <row r="2512" spans="1:15" x14ac:dyDescent="0.25">
      <c r="A2512" s="64" t="s">
        <v>184</v>
      </c>
      <c r="B2512" s="82" t="str">
        <f>IF(Eleventh!B15="", "",Eleventh!B15)</f>
        <v>Centre Head</v>
      </c>
      <c r="C2512" s="1" t="str">
        <f>IF(Eleventh!C15="", "",Eleventh!C15)</f>
        <v>PwC</v>
      </c>
      <c r="D2512" s="1" t="str">
        <f>IF(Eleventh!D15="", "",Eleventh!D15)</f>
        <v>Returning</v>
      </c>
      <c r="E2512" s="1" t="str">
        <f>IF(Eleventh!E15="", "",Eleventh!E15)</f>
        <v>Female</v>
      </c>
      <c r="F2512" s="1" t="str">
        <f>IF(Eleventh!F15="", "",Eleventh!F15)</f>
        <v>Breast</v>
      </c>
      <c r="G2512" s="1" t="str">
        <f>IF(Eleventh!G15="", "",Eleventh!G15)</f>
        <v>Post Treatment - Curative Intent</v>
      </c>
      <c r="H2512" s="1" t="str">
        <f>IF(Eleventh!H15="", "",Eleventh!H15)</f>
        <v>Drop-In</v>
      </c>
      <c r="I2512" s="1" t="str">
        <f>IF(Eleventh!I15="", "",Eleventh!I15)</f>
        <v/>
      </c>
      <c r="J2512" s="1" t="str">
        <f>IF(Eleventh!J15="", "",Eleventh!J15)</f>
        <v/>
      </c>
      <c r="K2512" s="83" t="str">
        <f>IF(Eleventh!K15="", "",Eleventh!K15)</f>
        <v/>
      </c>
      <c r="M2512" s="67">
        <f t="shared" si="119"/>
        <v>7</v>
      </c>
      <c r="N2512" s="76" t="str">
        <f t="shared" si="120"/>
        <v/>
      </c>
      <c r="O2512" s="33">
        <f t="shared" si="118"/>
        <v>7</v>
      </c>
    </row>
    <row r="2513" spans="1:15" x14ac:dyDescent="0.25">
      <c r="A2513" s="64" t="s">
        <v>184</v>
      </c>
      <c r="B2513" s="82" t="str">
        <f>IF(Eleventh!B16="", "",Eleventh!B16)</f>
        <v>Centre Head</v>
      </c>
      <c r="C2513" s="1" t="str">
        <f>IF(Eleventh!C16="", "",Eleventh!C16)</f>
        <v>Carer</v>
      </c>
      <c r="D2513" s="1" t="str">
        <f>IF(Eleventh!D16="", "",Eleventh!D16)</f>
        <v>Returning</v>
      </c>
      <c r="E2513" s="1" t="str">
        <f>IF(Eleventh!E16="", "",Eleventh!E16)</f>
        <v>Male</v>
      </c>
      <c r="F2513" s="1" t="str">
        <f>IF(Eleventh!F16="", "",Eleventh!F16)</f>
        <v>Breast</v>
      </c>
      <c r="G2513" s="1" t="str">
        <f>IF(Eleventh!G16="", "",Eleventh!G16)</f>
        <v>Post Treatment - Curative Intent</v>
      </c>
      <c r="H2513" s="1" t="str">
        <f>IF(Eleventh!H16="", "",Eleventh!H16)</f>
        <v>Drop-In</v>
      </c>
      <c r="I2513" s="1" t="str">
        <f>IF(Eleventh!I16="", "",Eleventh!I16)</f>
        <v/>
      </c>
      <c r="J2513" s="1" t="str">
        <f>IF(Eleventh!J16="", "",Eleventh!J16)</f>
        <v/>
      </c>
      <c r="K2513" s="83" t="str">
        <f>IF(Eleventh!K16="", "",Eleventh!K16)</f>
        <v/>
      </c>
      <c r="M2513" s="67" t="str">
        <f t="shared" si="119"/>
        <v/>
      </c>
      <c r="N2513" s="76">
        <f t="shared" si="120"/>
        <v>7</v>
      </c>
      <c r="O2513" s="33">
        <f t="shared" si="118"/>
        <v>7</v>
      </c>
    </row>
    <row r="2514" spans="1:15" x14ac:dyDescent="0.25">
      <c r="A2514" s="64" t="s">
        <v>184</v>
      </c>
      <c r="B2514" s="82" t="str">
        <f>IF(Eleventh!B17="", "",Eleventh!B17)</f>
        <v>Centre Head</v>
      </c>
      <c r="C2514" s="1" t="str">
        <f>IF(Eleventh!C17="", "",Eleventh!C17)</f>
        <v>PwC</v>
      </c>
      <c r="D2514" s="1" t="str">
        <f>IF(Eleventh!D17="", "",Eleventh!D17)</f>
        <v>Returning</v>
      </c>
      <c r="E2514" s="1" t="str">
        <f>IF(Eleventh!E17="", "",Eleventh!E17)</f>
        <v>Female</v>
      </c>
      <c r="F2514" s="1" t="str">
        <f>IF(Eleventh!F17="", "",Eleventh!F17)</f>
        <v>Head/Neck</v>
      </c>
      <c r="G2514" s="1" t="str">
        <f>IF(Eleventh!G17="", "",Eleventh!G17)</f>
        <v>Non-Curative Intent</v>
      </c>
      <c r="H2514" s="1" t="str">
        <f>IF(Eleventh!H17="", "",Eleventh!H17)</f>
        <v>Drop-In</v>
      </c>
      <c r="I2514" s="1" t="str">
        <f>IF(Eleventh!I17="", "",Eleventh!I17)</f>
        <v/>
      </c>
      <c r="J2514" s="1" t="str">
        <f>IF(Eleventh!J17="", "",Eleventh!J17)</f>
        <v/>
      </c>
      <c r="K2514" s="83" t="str">
        <f>IF(Eleventh!K17="", "",Eleventh!K17)</f>
        <v/>
      </c>
      <c r="M2514" s="67">
        <f t="shared" si="119"/>
        <v>7</v>
      </c>
      <c r="N2514" s="76" t="str">
        <f t="shared" si="120"/>
        <v/>
      </c>
      <c r="O2514" s="33">
        <f t="shared" si="118"/>
        <v>7</v>
      </c>
    </row>
    <row r="2515" spans="1:15" x14ac:dyDescent="0.25">
      <c r="A2515" s="64" t="s">
        <v>184</v>
      </c>
      <c r="B2515" s="82" t="str">
        <f>IF(Eleventh!B18="", "",Eleventh!B18)</f>
        <v>Centre Head</v>
      </c>
      <c r="C2515" s="1" t="str">
        <f>IF(Eleventh!C18="", "",Eleventh!C18)</f>
        <v>Carer</v>
      </c>
      <c r="D2515" s="1" t="str">
        <f>IF(Eleventh!D18="", "",Eleventh!D18)</f>
        <v>Returning</v>
      </c>
      <c r="E2515" s="1" t="str">
        <f>IF(Eleventh!E18="", "",Eleventh!E18)</f>
        <v>Male</v>
      </c>
      <c r="F2515" s="1" t="str">
        <f>IF(Eleventh!F18="", "",Eleventh!F18)</f>
        <v>Head/Neck</v>
      </c>
      <c r="G2515" s="1" t="str">
        <f>IF(Eleventh!G18="", "",Eleventh!G18)</f>
        <v>Non-Curative Intent</v>
      </c>
      <c r="H2515" s="1" t="str">
        <f>IF(Eleventh!H18="", "",Eleventh!H18)</f>
        <v>Drop-In</v>
      </c>
      <c r="I2515" s="1" t="str">
        <f>IF(Eleventh!I18="", "",Eleventh!I18)</f>
        <v/>
      </c>
      <c r="J2515" s="1" t="str">
        <f>IF(Eleventh!J18="", "",Eleventh!J18)</f>
        <v/>
      </c>
      <c r="K2515" s="83" t="str">
        <f>IF(Eleventh!K18="", "",Eleventh!K18)</f>
        <v/>
      </c>
      <c r="M2515" s="67" t="str">
        <f t="shared" si="119"/>
        <v/>
      </c>
      <c r="N2515" s="76">
        <f t="shared" si="120"/>
        <v>7</v>
      </c>
      <c r="O2515" s="33">
        <f t="shared" si="118"/>
        <v>7</v>
      </c>
    </row>
    <row r="2516" spans="1:15" x14ac:dyDescent="0.25">
      <c r="A2516" s="64" t="s">
        <v>184</v>
      </c>
      <c r="B2516" s="82" t="str">
        <f>IF(Eleventh!B19="", "",Eleventh!B19)</f>
        <v>Centre Head</v>
      </c>
      <c r="C2516" s="1" t="str">
        <f>IF(Eleventh!C19="", "",Eleventh!C19)</f>
        <v>Carer</v>
      </c>
      <c r="D2516" s="1" t="str">
        <f>IF(Eleventh!D19="", "",Eleventh!D19)</f>
        <v>Returning</v>
      </c>
      <c r="E2516" s="1" t="str">
        <f>IF(Eleventh!E19="", "",Eleventh!E19)</f>
        <v>Under 18 Female</v>
      </c>
      <c r="F2516" s="1" t="str">
        <f>IF(Eleventh!F19="", "",Eleventh!F19)</f>
        <v>Head/Neck</v>
      </c>
      <c r="G2516" s="1" t="str">
        <f>IF(Eleventh!G19="", "",Eleventh!G19)</f>
        <v>Non-Curative Intent</v>
      </c>
      <c r="H2516" s="1" t="str">
        <f>IF(Eleventh!H19="", "",Eleventh!H19)</f>
        <v>Drop-In</v>
      </c>
      <c r="I2516" s="1" t="str">
        <f>IF(Eleventh!I19="", "",Eleventh!I19)</f>
        <v/>
      </c>
      <c r="J2516" s="1" t="str">
        <f>IF(Eleventh!J19="", "",Eleventh!J19)</f>
        <v/>
      </c>
      <c r="K2516" s="83" t="str">
        <f>IF(Eleventh!K19="", "",Eleventh!K19)</f>
        <v/>
      </c>
      <c r="M2516" s="67" t="str">
        <f t="shared" si="119"/>
        <v/>
      </c>
      <c r="N2516" s="76">
        <f t="shared" si="120"/>
        <v>7</v>
      </c>
      <c r="O2516" s="33">
        <f t="shared" si="118"/>
        <v>7</v>
      </c>
    </row>
    <row r="2517" spans="1:15" x14ac:dyDescent="0.25">
      <c r="A2517" s="64" t="s">
        <v>184</v>
      </c>
      <c r="B2517" s="82" t="str">
        <f>IF(Eleventh!B20="", "",Eleventh!B20)</f>
        <v>Centre Head</v>
      </c>
      <c r="C2517" s="1" t="str">
        <f>IF(Eleventh!C20="", "",Eleventh!C20)</f>
        <v>Carer</v>
      </c>
      <c r="D2517" s="1" t="str">
        <f>IF(Eleventh!D20="", "",Eleventh!D20)</f>
        <v>Returning</v>
      </c>
      <c r="E2517" s="1" t="str">
        <f>IF(Eleventh!E20="", "",Eleventh!E20)</f>
        <v>Female</v>
      </c>
      <c r="F2517" s="1" t="str">
        <f>IF(Eleventh!F20="", "",Eleventh!F20)</f>
        <v>Lung</v>
      </c>
      <c r="G2517" s="1" t="str">
        <f>IF(Eleventh!G20="", "",Eleventh!G20)</f>
        <v>Non-Curative Intent</v>
      </c>
      <c r="H2517" s="1" t="str">
        <f>IF(Eleventh!H20="", "",Eleventh!H20)</f>
        <v>Drop-In</v>
      </c>
      <c r="I2517" s="1" t="str">
        <f>IF(Eleventh!I20="", "",Eleventh!I20)</f>
        <v/>
      </c>
      <c r="J2517" s="1" t="str">
        <f>IF(Eleventh!J20="", "",Eleventh!J20)</f>
        <v/>
      </c>
      <c r="K2517" s="83" t="str">
        <f>IF(Eleventh!K20="", "",Eleventh!K20)</f>
        <v/>
      </c>
      <c r="M2517" s="67" t="str">
        <f t="shared" si="119"/>
        <v/>
      </c>
      <c r="N2517" s="76">
        <f t="shared" si="120"/>
        <v>7</v>
      </c>
      <c r="O2517" s="33">
        <f t="shared" si="118"/>
        <v>7</v>
      </c>
    </row>
    <row r="2518" spans="1:15" x14ac:dyDescent="0.25">
      <c r="A2518" s="64" t="s">
        <v>184</v>
      </c>
      <c r="B2518" s="82" t="str">
        <f>IF(Eleventh!B21="", "",Eleventh!B21)</f>
        <v>Centre Head</v>
      </c>
      <c r="C2518" s="1" t="str">
        <f>IF(Eleventh!C21="", "",Eleventh!C21)</f>
        <v>PwC</v>
      </c>
      <c r="D2518" s="1" t="str">
        <f>IF(Eleventh!D21="", "",Eleventh!D21)</f>
        <v>New</v>
      </c>
      <c r="E2518" s="1" t="str">
        <f>IF(Eleventh!E21="", "",Eleventh!E21)</f>
        <v>Female</v>
      </c>
      <c r="F2518" s="1" t="str">
        <f>IF(Eleventh!F21="", "",Eleventh!F21)</f>
        <v>Breast</v>
      </c>
      <c r="G2518" s="1" t="str">
        <f>IF(Eleventh!G21="", "",Eleventh!G21)</f>
        <v>Non-Curative Intent</v>
      </c>
      <c r="H2518" s="1" t="str">
        <f>IF(Eleventh!H21="", "",Eleventh!H21)</f>
        <v>Drop-In</v>
      </c>
      <c r="I2518" s="1" t="str">
        <f>IF(Eleventh!I21="", "",Eleventh!I21)</f>
        <v/>
      </c>
      <c r="J2518" s="1" t="str">
        <f>IF(Eleventh!J21="", "",Eleventh!J21)</f>
        <v/>
      </c>
      <c r="K2518" s="83" t="str">
        <f>IF(Eleventh!K21="", "",Eleventh!K21)</f>
        <v/>
      </c>
      <c r="M2518" s="67">
        <f t="shared" si="119"/>
        <v>7</v>
      </c>
      <c r="N2518" s="76" t="str">
        <f t="shared" si="120"/>
        <v/>
      </c>
      <c r="O2518" s="33">
        <f t="shared" si="118"/>
        <v>7</v>
      </c>
    </row>
    <row r="2519" spans="1:15" x14ac:dyDescent="0.25">
      <c r="A2519" s="64" t="s">
        <v>184</v>
      </c>
      <c r="B2519" s="82" t="str">
        <f>IF(Eleventh!B22="", "",Eleventh!B22)</f>
        <v>CSS</v>
      </c>
      <c r="C2519" s="1" t="str">
        <f>IF(Eleventh!C22="", "",Eleventh!C22)</f>
        <v>Carer</v>
      </c>
      <c r="D2519" s="1" t="str">
        <f>IF(Eleventh!D22="", "",Eleventh!D22)</f>
        <v>New</v>
      </c>
      <c r="E2519" s="1" t="str">
        <f>IF(Eleventh!E22="", "",Eleventh!E22)</f>
        <v>Female</v>
      </c>
      <c r="F2519" s="1" t="str">
        <f>IF(Eleventh!F22="", "",Eleventh!F22)</f>
        <v>Breast</v>
      </c>
      <c r="G2519" s="1" t="str">
        <f>IF(Eleventh!G22="", "",Eleventh!G22)</f>
        <v>Non-Curative Intent</v>
      </c>
      <c r="H2519" s="1" t="str">
        <f>IF(Eleventh!H22="", "",Eleventh!H22)</f>
        <v>Drop-In</v>
      </c>
      <c r="I2519" s="1" t="str">
        <f>IF(Eleventh!I22="", "",Eleventh!I22)</f>
        <v/>
      </c>
      <c r="J2519" s="1" t="str">
        <f>IF(Eleventh!J22="", "",Eleventh!J22)</f>
        <v/>
      </c>
      <c r="K2519" s="83" t="str">
        <f>IF(Eleventh!K22="", "",Eleventh!K22)</f>
        <v/>
      </c>
      <c r="M2519" s="67" t="str">
        <f t="shared" si="119"/>
        <v/>
      </c>
      <c r="N2519" s="76">
        <f t="shared" si="120"/>
        <v>7</v>
      </c>
      <c r="O2519" s="33">
        <f t="shared" si="118"/>
        <v>7</v>
      </c>
    </row>
    <row r="2520" spans="1:15" x14ac:dyDescent="0.25">
      <c r="A2520" s="64" t="s">
        <v>184</v>
      </c>
      <c r="B2520" s="82" t="str">
        <f>IF(Eleventh!B23="", "",Eleventh!B23)</f>
        <v>CSS</v>
      </c>
      <c r="C2520" s="1" t="str">
        <f>IF(Eleventh!C23="", "",Eleventh!C23)</f>
        <v>PwC</v>
      </c>
      <c r="D2520" s="1" t="str">
        <f>IF(Eleventh!D23="", "",Eleventh!D23)</f>
        <v>Returning</v>
      </c>
      <c r="E2520" s="1" t="str">
        <f>IF(Eleventh!E23="", "",Eleventh!E23)</f>
        <v>Male</v>
      </c>
      <c r="F2520" s="1" t="str">
        <f>IF(Eleventh!F23="", "",Eleventh!F23)</f>
        <v>Haemat</v>
      </c>
      <c r="G2520" s="1" t="str">
        <f>IF(Eleventh!G23="", "",Eleventh!G23)</f>
        <v>Non-Curative Intent</v>
      </c>
      <c r="H2520" s="1" t="str">
        <f>IF(Eleventh!H23="", "",Eleventh!H23)</f>
        <v>Booked</v>
      </c>
      <c r="I2520" s="1" t="str">
        <f>IF(Eleventh!I23="", "",Eleventh!I23)</f>
        <v/>
      </c>
      <c r="J2520" s="1" t="str">
        <f>IF(Eleventh!J23="", "",Eleventh!J23)</f>
        <v/>
      </c>
      <c r="K2520" s="83" t="str">
        <f>IF(Eleventh!K23="", "",Eleventh!K23)</f>
        <v/>
      </c>
      <c r="M2520" s="67">
        <f t="shared" si="119"/>
        <v>7</v>
      </c>
      <c r="N2520" s="76" t="str">
        <f t="shared" si="120"/>
        <v/>
      </c>
      <c r="O2520" s="33">
        <f t="shared" si="118"/>
        <v>7</v>
      </c>
    </row>
    <row r="2521" spans="1:15" x14ac:dyDescent="0.25">
      <c r="A2521" s="64" t="s">
        <v>184</v>
      </c>
      <c r="B2521" s="82" t="str">
        <f>IF(Eleventh!B24="", "",Eleventh!B24)</f>
        <v>CSS</v>
      </c>
      <c r="C2521" s="1" t="str">
        <f>IF(Eleventh!C24="", "",Eleventh!C24)</f>
        <v>Professional</v>
      </c>
      <c r="D2521" s="1" t="str">
        <f>IF(Eleventh!D24="", "",Eleventh!D24)</f>
        <v>New</v>
      </c>
      <c r="E2521" s="1" t="str">
        <f>IF(Eleventh!E24="", "",Eleventh!E24)</f>
        <v>Female</v>
      </c>
      <c r="F2521" s="1" t="str">
        <f>IF(Eleventh!F24="", "",Eleventh!F24)</f>
        <v/>
      </c>
      <c r="G2521" s="1" t="str">
        <f>IF(Eleventh!G24="", "",Eleventh!G24)</f>
        <v/>
      </c>
      <c r="H2521" s="1" t="str">
        <f>IF(Eleventh!H24="", "",Eleventh!H24)</f>
        <v>Booked</v>
      </c>
      <c r="I2521" s="1" t="str">
        <f>IF(Eleventh!I24="", "",Eleventh!I24)</f>
        <v/>
      </c>
      <c r="J2521" s="1" t="str">
        <f>IF(Eleventh!J24="", "",Eleventh!J24)</f>
        <v/>
      </c>
      <c r="K2521" s="83" t="str">
        <f>IF(Eleventh!K24="", "",Eleventh!K24)</f>
        <v/>
      </c>
      <c r="M2521" s="67" t="str">
        <f t="shared" si="119"/>
        <v/>
      </c>
      <c r="N2521" s="76" t="str">
        <f t="shared" si="120"/>
        <v/>
      </c>
      <c r="O2521" s="33">
        <f t="shared" si="118"/>
        <v>0</v>
      </c>
    </row>
    <row r="2522" spans="1:15" x14ac:dyDescent="0.25">
      <c r="A2522" s="64" t="s">
        <v>184</v>
      </c>
      <c r="B2522" s="82" t="str">
        <f>IF(Eleventh!B25="", "",Eleventh!B25)</f>
        <v>CSS</v>
      </c>
      <c r="C2522" s="1" t="str">
        <f>IF(Eleventh!C25="", "",Eleventh!C25)</f>
        <v>PwC</v>
      </c>
      <c r="D2522" s="1" t="str">
        <f>IF(Eleventh!D25="", "",Eleventh!D25)</f>
        <v>Returning</v>
      </c>
      <c r="E2522" s="1" t="str">
        <f>IF(Eleventh!E25="", "",Eleventh!E25)</f>
        <v>Female</v>
      </c>
      <c r="F2522" s="1" t="str">
        <f>IF(Eleventh!F25="", "",Eleventh!F25)</f>
        <v>Breast</v>
      </c>
      <c r="G2522" s="1" t="str">
        <f>IF(Eleventh!G25="", "",Eleventh!G25)</f>
        <v>Post Treatment - Curative Intent</v>
      </c>
      <c r="H2522" s="1" t="str">
        <f>IF(Eleventh!H25="", "",Eleventh!H25)</f>
        <v>Drop-In</v>
      </c>
      <c r="I2522" s="1" t="str">
        <f>IF(Eleventh!I25="", "",Eleventh!I25)</f>
        <v/>
      </c>
      <c r="J2522" s="1" t="str">
        <f>IF(Eleventh!J25="", "",Eleventh!J25)</f>
        <v/>
      </c>
      <c r="K2522" s="83" t="str">
        <f>IF(Eleventh!K25="", "",Eleventh!K25)</f>
        <v/>
      </c>
      <c r="M2522" s="67">
        <f t="shared" si="119"/>
        <v>7</v>
      </c>
      <c r="N2522" s="76" t="str">
        <f t="shared" si="120"/>
        <v/>
      </c>
      <c r="O2522" s="33">
        <f t="shared" si="118"/>
        <v>7</v>
      </c>
    </row>
    <row r="2523" spans="1:15" x14ac:dyDescent="0.25">
      <c r="A2523" s="64" t="s">
        <v>184</v>
      </c>
      <c r="B2523" s="82" t="str">
        <f>IF(Eleventh!B26="", "",Eleventh!B26)</f>
        <v>CSS</v>
      </c>
      <c r="C2523" s="1" t="str">
        <f>IF(Eleventh!C26="", "",Eleventh!C26)</f>
        <v>Carer</v>
      </c>
      <c r="D2523" s="1" t="str">
        <f>IF(Eleventh!D26="", "",Eleventh!D26)</f>
        <v>Returning</v>
      </c>
      <c r="E2523" s="1" t="str">
        <f>IF(Eleventh!E26="", "",Eleventh!E26)</f>
        <v>Male</v>
      </c>
      <c r="F2523" s="1" t="str">
        <f>IF(Eleventh!F26="", "",Eleventh!F26)</f>
        <v>Breast</v>
      </c>
      <c r="G2523" s="1" t="str">
        <f>IF(Eleventh!G26="", "",Eleventh!G26)</f>
        <v>Post Treatment - Curative Intent</v>
      </c>
      <c r="H2523" s="1" t="str">
        <f>IF(Eleventh!H26="", "",Eleventh!H26)</f>
        <v>Drop-In</v>
      </c>
      <c r="I2523" s="1" t="str">
        <f>IF(Eleventh!I26="", "",Eleventh!I26)</f>
        <v/>
      </c>
      <c r="J2523" s="1" t="str">
        <f>IF(Eleventh!J26="", "",Eleventh!J26)</f>
        <v/>
      </c>
      <c r="K2523" s="83" t="str">
        <f>IF(Eleventh!K26="", "",Eleventh!K26)</f>
        <v/>
      </c>
      <c r="M2523" s="67" t="str">
        <f t="shared" si="119"/>
        <v/>
      </c>
      <c r="N2523" s="76">
        <f t="shared" si="120"/>
        <v>7</v>
      </c>
      <c r="O2523" s="33">
        <f t="shared" si="118"/>
        <v>7</v>
      </c>
    </row>
    <row r="2524" spans="1:15" x14ac:dyDescent="0.25">
      <c r="A2524" s="64" t="s">
        <v>184</v>
      </c>
      <c r="B2524" s="82" t="str">
        <f>IF(Eleventh!B27="", "",Eleventh!B27)</f>
        <v>CSS</v>
      </c>
      <c r="C2524" s="1" t="str">
        <f>IF(Eleventh!C27="", "",Eleventh!C27)</f>
        <v>PwC</v>
      </c>
      <c r="D2524" s="1" t="str">
        <f>IF(Eleventh!D27="", "",Eleventh!D27)</f>
        <v>Returning</v>
      </c>
      <c r="E2524" s="1" t="str">
        <f>IF(Eleventh!E27="", "",Eleventh!E27)</f>
        <v>Female</v>
      </c>
      <c r="F2524" s="1" t="str">
        <f>IF(Eleventh!F27="", "",Eleventh!F27)</f>
        <v>Haemat</v>
      </c>
      <c r="G2524" s="1" t="str">
        <f>IF(Eleventh!G27="", "",Eleventh!G27)</f>
        <v>Non-Curative Intent</v>
      </c>
      <c r="H2524" s="1" t="str">
        <f>IF(Eleventh!H27="", "",Eleventh!H27)</f>
        <v>Booked</v>
      </c>
      <c r="I2524" s="1" t="str">
        <f>IF(Eleventh!I27="", "",Eleventh!I27)</f>
        <v>Psych Support - Individual</v>
      </c>
      <c r="J2524" s="1" t="str">
        <f>IF(Eleventh!J27="", "",Eleventh!J27)</f>
        <v/>
      </c>
      <c r="K2524" s="83" t="str">
        <f>IF(Eleventh!K27="", "",Eleventh!K27)</f>
        <v/>
      </c>
      <c r="M2524" s="67">
        <f t="shared" si="119"/>
        <v>7</v>
      </c>
      <c r="N2524" s="76" t="str">
        <f t="shared" si="120"/>
        <v/>
      </c>
      <c r="O2524" s="33">
        <f t="shared" si="118"/>
        <v>7</v>
      </c>
    </row>
    <row r="2525" spans="1:15" x14ac:dyDescent="0.25">
      <c r="A2525" s="64" t="s">
        <v>184</v>
      </c>
      <c r="B2525" s="82" t="str">
        <f>IF(Eleventh!B28="", "",Eleventh!B28)</f>
        <v>CSS</v>
      </c>
      <c r="C2525" s="1" t="str">
        <f>IF(Eleventh!C28="", "",Eleventh!C28)</f>
        <v>Carer</v>
      </c>
      <c r="D2525" s="1" t="str">
        <f>IF(Eleventh!D28="", "",Eleventh!D28)</f>
        <v>Returning</v>
      </c>
      <c r="E2525" s="1" t="str">
        <f>IF(Eleventh!E28="", "",Eleventh!E28)</f>
        <v>Male</v>
      </c>
      <c r="F2525" s="1" t="str">
        <f>IF(Eleventh!F28="", "",Eleventh!F28)</f>
        <v>Haemat</v>
      </c>
      <c r="G2525" s="1" t="str">
        <f>IF(Eleventh!G28="", "",Eleventh!G28)</f>
        <v>Non-Curative Intent</v>
      </c>
      <c r="H2525" s="1" t="str">
        <f>IF(Eleventh!H28="", "",Eleventh!H28)</f>
        <v>Booked</v>
      </c>
      <c r="I2525" s="1" t="str">
        <f>IF(Eleventh!I28="", "",Eleventh!I28)</f>
        <v>Psych Support - Individual</v>
      </c>
      <c r="J2525" s="1" t="str">
        <f>IF(Eleventh!J28="", "",Eleventh!J28)</f>
        <v/>
      </c>
      <c r="K2525" s="83" t="str">
        <f>IF(Eleventh!K28="", "",Eleventh!K28)</f>
        <v/>
      </c>
      <c r="M2525" s="67" t="str">
        <f t="shared" si="119"/>
        <v/>
      </c>
      <c r="N2525" s="76">
        <f t="shared" si="120"/>
        <v>7</v>
      </c>
      <c r="O2525" s="33">
        <f t="shared" si="118"/>
        <v>7</v>
      </c>
    </row>
    <row r="2526" spans="1:15" x14ac:dyDescent="0.25">
      <c r="A2526" s="64" t="s">
        <v>184</v>
      </c>
      <c r="B2526" s="82" t="str">
        <f>IF(Eleventh!B29="", "",Eleventh!B29)</f>
        <v>CSS</v>
      </c>
      <c r="C2526" s="1" t="str">
        <f>IF(Eleventh!C29="", "",Eleventh!C29)</f>
        <v>PwC</v>
      </c>
      <c r="D2526" s="1" t="str">
        <f>IF(Eleventh!D29="", "",Eleventh!D29)</f>
        <v>Returning</v>
      </c>
      <c r="E2526" s="1" t="str">
        <f>IF(Eleventh!E29="", "",Eleventh!E29)</f>
        <v>Female</v>
      </c>
      <c r="F2526" s="1" t="str">
        <f>IF(Eleventh!F29="", "",Eleventh!F29)</f>
        <v>Breast</v>
      </c>
      <c r="G2526" s="1" t="str">
        <f>IF(Eleventh!G29="", "",Eleventh!G29)</f>
        <v>Post Treatment - Curative Intent</v>
      </c>
      <c r="H2526" s="1" t="str">
        <f>IF(Eleventh!H29="", "",Eleventh!H29)</f>
        <v>Booked</v>
      </c>
      <c r="I2526" s="1" t="str">
        <f>IF(Eleventh!I29="", "",Eleventh!I29)</f>
        <v>Psych Support - Individual</v>
      </c>
      <c r="J2526" s="1" t="str">
        <f>IF(Eleventh!J29="", "",Eleventh!J29)</f>
        <v/>
      </c>
      <c r="K2526" s="83" t="str">
        <f>IF(Eleventh!K29="", "",Eleventh!K29)</f>
        <v/>
      </c>
      <c r="M2526" s="67">
        <f t="shared" si="119"/>
        <v>7</v>
      </c>
      <c r="N2526" s="76" t="str">
        <f t="shared" si="120"/>
        <v/>
      </c>
      <c r="O2526" s="33">
        <f t="shared" si="118"/>
        <v>7</v>
      </c>
    </row>
    <row r="2527" spans="1:15" x14ac:dyDescent="0.25">
      <c r="A2527" s="64" t="s">
        <v>184</v>
      </c>
      <c r="B2527" s="82" t="str">
        <f>IF(Eleventh!B30="", "",Eleventh!B30)</f>
        <v>CSS</v>
      </c>
      <c r="C2527" s="1" t="str">
        <f>IF(Eleventh!C30="", "",Eleventh!C30)</f>
        <v>PwC</v>
      </c>
      <c r="D2527" s="1" t="str">
        <f>IF(Eleventh!D30="", "",Eleventh!D30)</f>
        <v>Returning</v>
      </c>
      <c r="E2527" s="1" t="str">
        <f>IF(Eleventh!E30="", "",Eleventh!E30)</f>
        <v>Female</v>
      </c>
      <c r="F2527" s="1" t="str">
        <f>IF(Eleventh!F30="", "",Eleventh!F30)</f>
        <v>Breast</v>
      </c>
      <c r="G2527" s="1" t="str">
        <f>IF(Eleventh!G30="", "",Eleventh!G30)</f>
        <v>Post Treatment - Curative Intent</v>
      </c>
      <c r="H2527" s="1" t="str">
        <f>IF(Eleventh!H30="", "",Eleventh!H30)</f>
        <v>Booked</v>
      </c>
      <c r="I2527" s="1" t="str">
        <f>IF(Eleventh!I30="", "",Eleventh!I30)</f>
        <v>Psych Support - Individual</v>
      </c>
      <c r="J2527" s="1" t="str">
        <f>IF(Eleventh!J30="", "",Eleventh!J30)</f>
        <v/>
      </c>
      <c r="K2527" s="83" t="str">
        <f>IF(Eleventh!K30="", "",Eleventh!K30)</f>
        <v/>
      </c>
      <c r="M2527" s="67">
        <f t="shared" si="119"/>
        <v>7</v>
      </c>
      <c r="N2527" s="76" t="str">
        <f t="shared" si="120"/>
        <v/>
      </c>
      <c r="O2527" s="33">
        <f t="shared" si="118"/>
        <v>7</v>
      </c>
    </row>
    <row r="2528" spans="1:15" x14ac:dyDescent="0.25">
      <c r="A2528" s="64" t="s">
        <v>184</v>
      </c>
      <c r="B2528" s="82" t="str">
        <f>IF(Eleventh!B31="", "",Eleventh!B31)</f>
        <v>CSS</v>
      </c>
      <c r="C2528" s="1" t="str">
        <f>IF(Eleventh!C31="", "",Eleventh!C31)</f>
        <v>Carer</v>
      </c>
      <c r="D2528" s="1" t="str">
        <f>IF(Eleventh!D31="", "",Eleventh!D31)</f>
        <v>New</v>
      </c>
      <c r="E2528" s="1" t="str">
        <f>IF(Eleventh!E31="", "",Eleventh!E31)</f>
        <v>Female</v>
      </c>
      <c r="F2528" s="1" t="str">
        <f>IF(Eleventh!F31="", "",Eleventh!F31)</f>
        <v>Lower GI</v>
      </c>
      <c r="G2528" s="1" t="str">
        <f>IF(Eleventh!G31="", "",Eleventh!G31)</f>
        <v>Non-Curative Intent</v>
      </c>
      <c r="H2528" s="1" t="str">
        <f>IF(Eleventh!H31="", "",Eleventh!H31)</f>
        <v>Drop-In</v>
      </c>
      <c r="I2528" s="1" t="str">
        <f>IF(Eleventh!I31="", "",Eleventh!I31)</f>
        <v/>
      </c>
      <c r="J2528" s="1" t="str">
        <f>IF(Eleventh!J31="", "",Eleventh!J31)</f>
        <v/>
      </c>
      <c r="K2528" s="83" t="str">
        <f>IF(Eleventh!K31="", "",Eleventh!K31)</f>
        <v/>
      </c>
      <c r="M2528" s="67" t="str">
        <f t="shared" si="119"/>
        <v/>
      </c>
      <c r="N2528" s="76">
        <f t="shared" si="120"/>
        <v>7</v>
      </c>
      <c r="O2528" s="33">
        <f t="shared" si="118"/>
        <v>7</v>
      </c>
    </row>
    <row r="2529" spans="1:15" x14ac:dyDescent="0.25">
      <c r="A2529" s="64" t="s">
        <v>184</v>
      </c>
      <c r="B2529" s="82" t="str">
        <f>IF(Eleventh!B32="", "",Eleventh!B32)</f>
        <v>CSS</v>
      </c>
      <c r="C2529" s="1" t="str">
        <f>IF(Eleventh!C32="", "",Eleventh!C32)</f>
        <v>Carer</v>
      </c>
      <c r="D2529" s="1" t="str">
        <f>IF(Eleventh!D32="", "",Eleventh!D32)</f>
        <v>New</v>
      </c>
      <c r="E2529" s="1" t="str">
        <f>IF(Eleventh!E32="", "",Eleventh!E32)</f>
        <v>Under 18 Male</v>
      </c>
      <c r="F2529" s="1" t="str">
        <f>IF(Eleventh!F32="", "",Eleventh!F32)</f>
        <v>Lower GI</v>
      </c>
      <c r="G2529" s="1" t="str">
        <f>IF(Eleventh!G32="", "",Eleventh!G32)</f>
        <v>Non-Curative Intent</v>
      </c>
      <c r="H2529" s="1" t="str">
        <f>IF(Eleventh!H32="", "",Eleventh!H32)</f>
        <v>Drop-In</v>
      </c>
      <c r="I2529" s="1" t="str">
        <f>IF(Eleventh!I32="", "",Eleventh!I32)</f>
        <v/>
      </c>
      <c r="J2529" s="1" t="str">
        <f>IF(Eleventh!J32="", "",Eleventh!J32)</f>
        <v/>
      </c>
      <c r="K2529" s="83" t="str">
        <f>IF(Eleventh!K32="", "",Eleventh!K32)</f>
        <v/>
      </c>
      <c r="M2529" s="67" t="str">
        <f t="shared" si="119"/>
        <v/>
      </c>
      <c r="N2529" s="76">
        <f t="shared" si="120"/>
        <v>7</v>
      </c>
      <c r="O2529" s="33">
        <f t="shared" si="118"/>
        <v>7</v>
      </c>
    </row>
    <row r="2530" spans="1:15" x14ac:dyDescent="0.25">
      <c r="A2530" s="64" t="s">
        <v>184</v>
      </c>
      <c r="B2530" s="82" t="str">
        <f>IF(Eleventh!B33="", "",Eleventh!B33)</f>
        <v>CSS</v>
      </c>
      <c r="C2530" s="1" t="str">
        <f>IF(Eleventh!C33="", "",Eleventh!C33)</f>
        <v>Carer</v>
      </c>
      <c r="D2530" s="1" t="str">
        <f>IF(Eleventh!D33="", "",Eleventh!D33)</f>
        <v>New</v>
      </c>
      <c r="E2530" s="1" t="str">
        <f>IF(Eleventh!E33="", "",Eleventh!E33)</f>
        <v>Under 18 Male</v>
      </c>
      <c r="F2530" s="1" t="str">
        <f>IF(Eleventh!F33="", "",Eleventh!F33)</f>
        <v>Lower GI</v>
      </c>
      <c r="G2530" s="1" t="str">
        <f>IF(Eleventh!G33="", "",Eleventh!G33)</f>
        <v>Non-Curative Intent</v>
      </c>
      <c r="H2530" s="1" t="str">
        <f>IF(Eleventh!H33="", "",Eleventh!H33)</f>
        <v>Drop-In</v>
      </c>
      <c r="I2530" s="1" t="str">
        <f>IF(Eleventh!I33="", "",Eleventh!I33)</f>
        <v/>
      </c>
      <c r="J2530" s="1" t="str">
        <f>IF(Eleventh!J33="", "",Eleventh!J33)</f>
        <v/>
      </c>
      <c r="K2530" s="83" t="str">
        <f>IF(Eleventh!K33="", "",Eleventh!K33)</f>
        <v/>
      </c>
      <c r="M2530" s="67" t="str">
        <f t="shared" si="119"/>
        <v/>
      </c>
      <c r="N2530" s="76">
        <f t="shared" si="120"/>
        <v>7</v>
      </c>
      <c r="O2530" s="33">
        <f t="shared" si="118"/>
        <v>7</v>
      </c>
    </row>
    <row r="2531" spans="1:15" x14ac:dyDescent="0.25">
      <c r="A2531" s="64" t="s">
        <v>184</v>
      </c>
      <c r="B2531" s="82" t="str">
        <f>IF(Eleventh!B34="", "",Eleventh!B34)</f>
        <v>CSS</v>
      </c>
      <c r="C2531" s="1" t="str">
        <f>IF(Eleventh!C34="", "",Eleventh!C34)</f>
        <v>Carer</v>
      </c>
      <c r="D2531" s="1" t="str">
        <f>IF(Eleventh!D34="", "",Eleventh!D34)</f>
        <v>Returning</v>
      </c>
      <c r="E2531" s="1" t="str">
        <f>IF(Eleventh!E34="", "",Eleventh!E34)</f>
        <v>Female</v>
      </c>
      <c r="F2531" s="1" t="str">
        <f>IF(Eleventh!F34="", "",Eleventh!F34)</f>
        <v>Lung</v>
      </c>
      <c r="G2531" s="1" t="str">
        <f>IF(Eleventh!G34="", "",Eleventh!G34)</f>
        <v>Bereaved</v>
      </c>
      <c r="H2531" s="1" t="str">
        <f>IF(Eleventh!H34="", "",Eleventh!H34)</f>
        <v>Programme</v>
      </c>
      <c r="I2531" s="1" t="str">
        <f>IF(Eleventh!I34="", "",Eleventh!I34)</f>
        <v>Relaxation</v>
      </c>
      <c r="J2531" s="1" t="str">
        <f>IF(Eleventh!J34="", "",Eleventh!J34)</f>
        <v/>
      </c>
      <c r="K2531" s="83" t="str">
        <f>IF(Eleventh!K34="", "",Eleventh!K34)</f>
        <v/>
      </c>
      <c r="M2531" s="67" t="str">
        <f t="shared" si="119"/>
        <v/>
      </c>
      <c r="N2531" s="76">
        <f t="shared" si="120"/>
        <v>7</v>
      </c>
      <c r="O2531" s="33">
        <f t="shared" si="118"/>
        <v>7</v>
      </c>
    </row>
    <row r="2532" spans="1:15" x14ac:dyDescent="0.25">
      <c r="A2532" s="64" t="s">
        <v>184</v>
      </c>
      <c r="B2532" s="82" t="str">
        <f>IF(Eleventh!B35="", "",Eleventh!B35)</f>
        <v>CSS</v>
      </c>
      <c r="C2532" s="1" t="str">
        <f>IF(Eleventh!C35="", "",Eleventh!C35)</f>
        <v>PwC</v>
      </c>
      <c r="D2532" s="1" t="str">
        <f>IF(Eleventh!D35="", "",Eleventh!D35)</f>
        <v>Returning</v>
      </c>
      <c r="E2532" s="1" t="str">
        <f>IF(Eleventh!E35="", "",Eleventh!E35)</f>
        <v>Female</v>
      </c>
      <c r="F2532" s="1" t="str">
        <f>IF(Eleventh!F35="", "",Eleventh!F35)</f>
        <v>Breast</v>
      </c>
      <c r="G2532" s="1" t="str">
        <f>IF(Eleventh!G35="", "",Eleventh!G35)</f>
        <v>Post Treatment - Curative Intent</v>
      </c>
      <c r="H2532" s="1" t="str">
        <f>IF(Eleventh!H35="", "",Eleventh!H35)</f>
        <v>Programme</v>
      </c>
      <c r="I2532" s="1" t="str">
        <f>IF(Eleventh!I35="", "",Eleventh!I35)</f>
        <v>Relaxation</v>
      </c>
      <c r="J2532" s="1" t="str">
        <f>IF(Eleventh!J35="", "",Eleventh!J35)</f>
        <v/>
      </c>
      <c r="K2532" s="83" t="str">
        <f>IF(Eleventh!K35="", "",Eleventh!K35)</f>
        <v/>
      </c>
      <c r="M2532" s="67">
        <f t="shared" si="119"/>
        <v>7</v>
      </c>
      <c r="N2532" s="76" t="str">
        <f t="shared" si="120"/>
        <v/>
      </c>
      <c r="O2532" s="33">
        <f t="shared" si="118"/>
        <v>7</v>
      </c>
    </row>
    <row r="2533" spans="1:15" x14ac:dyDescent="0.25">
      <c r="A2533" s="64" t="s">
        <v>184</v>
      </c>
      <c r="B2533" s="82" t="str">
        <f>IF(Eleventh!B36="", "",Eleventh!B36)</f>
        <v>CSS</v>
      </c>
      <c r="C2533" s="1" t="str">
        <f>IF(Eleventh!C36="", "",Eleventh!C36)</f>
        <v>PwC</v>
      </c>
      <c r="D2533" s="1" t="str">
        <f>IF(Eleventh!D36="", "",Eleventh!D36)</f>
        <v>Returning</v>
      </c>
      <c r="E2533" s="1" t="str">
        <f>IF(Eleventh!E36="", "",Eleventh!E36)</f>
        <v>Female</v>
      </c>
      <c r="F2533" s="1" t="str">
        <f>IF(Eleventh!F36="", "",Eleventh!F36)</f>
        <v>Haemat</v>
      </c>
      <c r="G2533" s="1" t="str">
        <f>IF(Eleventh!G36="", "",Eleventh!G36)</f>
        <v>Non-Curative Intent</v>
      </c>
      <c r="H2533" s="1" t="str">
        <f>IF(Eleventh!H36="", "",Eleventh!H36)</f>
        <v>Programme</v>
      </c>
      <c r="I2533" s="1" t="str">
        <f>IF(Eleventh!I36="", "",Eleventh!I36)</f>
        <v>Relaxation</v>
      </c>
      <c r="J2533" s="1" t="str">
        <f>IF(Eleventh!J36="", "",Eleventh!J36)</f>
        <v/>
      </c>
      <c r="K2533" s="83" t="str">
        <f>IF(Eleventh!K36="", "",Eleventh!K36)</f>
        <v/>
      </c>
      <c r="M2533" s="67">
        <f t="shared" si="119"/>
        <v>7</v>
      </c>
      <c r="N2533" s="76" t="str">
        <f t="shared" si="120"/>
        <v/>
      </c>
      <c r="O2533" s="33">
        <f t="shared" si="118"/>
        <v>7</v>
      </c>
    </row>
    <row r="2534" spans="1:15" x14ac:dyDescent="0.25">
      <c r="A2534" s="64" t="s">
        <v>184</v>
      </c>
      <c r="B2534" s="82" t="str">
        <f>IF(Eleventh!B37="", "",Eleventh!B37)</f>
        <v>CSS</v>
      </c>
      <c r="C2534" s="1" t="str">
        <f>IF(Eleventh!C37="", "",Eleventh!C37)</f>
        <v>Carer</v>
      </c>
      <c r="D2534" s="1" t="str">
        <f>IF(Eleventh!D37="", "",Eleventh!D37)</f>
        <v>Returning</v>
      </c>
      <c r="E2534" s="1" t="str">
        <f>IF(Eleventh!E37="", "",Eleventh!E37)</f>
        <v>Male</v>
      </c>
      <c r="F2534" s="1" t="str">
        <f>IF(Eleventh!F37="", "",Eleventh!F37)</f>
        <v>Haemat</v>
      </c>
      <c r="G2534" s="1" t="str">
        <f>IF(Eleventh!G37="", "",Eleventh!G37)</f>
        <v>Non-Curative Intent</v>
      </c>
      <c r="H2534" s="1" t="str">
        <f>IF(Eleventh!H37="", "",Eleventh!H37)</f>
        <v>Programme</v>
      </c>
      <c r="I2534" s="1" t="str">
        <f>IF(Eleventh!I37="", "",Eleventh!I37)</f>
        <v>Relaxation</v>
      </c>
      <c r="J2534" s="1" t="str">
        <f>IF(Eleventh!J37="", "",Eleventh!J37)</f>
        <v/>
      </c>
      <c r="K2534" s="83" t="str">
        <f>IF(Eleventh!K37="", "",Eleventh!K37)</f>
        <v/>
      </c>
      <c r="M2534" s="67" t="str">
        <f t="shared" si="119"/>
        <v/>
      </c>
      <c r="N2534" s="76">
        <f t="shared" si="120"/>
        <v>7</v>
      </c>
      <c r="O2534" s="33">
        <f t="shared" si="118"/>
        <v>7</v>
      </c>
    </row>
    <row r="2535" spans="1:15" x14ac:dyDescent="0.25">
      <c r="A2535" s="64" t="s">
        <v>184</v>
      </c>
      <c r="B2535" s="82" t="str">
        <f>IF(Eleventh!B38="", "",Eleventh!B38)</f>
        <v>CSS</v>
      </c>
      <c r="C2535" s="1" t="str">
        <f>IF(Eleventh!C38="", "",Eleventh!C38)</f>
        <v>PwC</v>
      </c>
      <c r="D2535" s="1" t="str">
        <f>IF(Eleventh!D38="", "",Eleventh!D38)</f>
        <v>Returning</v>
      </c>
      <c r="E2535" s="1" t="str">
        <f>IF(Eleventh!E38="", "",Eleventh!E38)</f>
        <v>Female</v>
      </c>
      <c r="F2535" s="1" t="str">
        <f>IF(Eleventh!F38="", "",Eleventh!F38)</f>
        <v>Liver</v>
      </c>
      <c r="G2535" s="1" t="str">
        <f>IF(Eleventh!G38="", "",Eleventh!G38)</f>
        <v>Non-Curative Intent</v>
      </c>
      <c r="H2535" s="1" t="str">
        <f>IF(Eleventh!H38="", "",Eleventh!H38)</f>
        <v>Programme</v>
      </c>
      <c r="I2535" s="1" t="str">
        <f>IF(Eleventh!I38="", "",Eleventh!I38)</f>
        <v>Relaxation</v>
      </c>
      <c r="J2535" s="1" t="str">
        <f>IF(Eleventh!J38="", "",Eleventh!J38)</f>
        <v/>
      </c>
      <c r="K2535" s="83" t="str">
        <f>IF(Eleventh!K38="", "",Eleventh!K38)</f>
        <v/>
      </c>
      <c r="M2535" s="67">
        <f t="shared" si="119"/>
        <v>7</v>
      </c>
      <c r="N2535" s="76" t="str">
        <f t="shared" si="120"/>
        <v/>
      </c>
      <c r="O2535" s="33">
        <f t="shared" si="118"/>
        <v>7</v>
      </c>
    </row>
    <row r="2536" spans="1:15" x14ac:dyDescent="0.25">
      <c r="A2536" s="64" t="s">
        <v>184</v>
      </c>
      <c r="B2536" s="82" t="str">
        <f>IF(Eleventh!B39="", "",Eleventh!B39)</f>
        <v>CSS</v>
      </c>
      <c r="C2536" s="1" t="str">
        <f>IF(Eleventh!C39="", "",Eleventh!C39)</f>
        <v>PwC</v>
      </c>
      <c r="D2536" s="1" t="str">
        <f>IF(Eleventh!D39="", "",Eleventh!D39)</f>
        <v>Returning</v>
      </c>
      <c r="E2536" s="1" t="str">
        <f>IF(Eleventh!E39="", "",Eleventh!E39)</f>
        <v>Female</v>
      </c>
      <c r="F2536" s="1" t="str">
        <f>IF(Eleventh!F39="", "",Eleventh!F39)</f>
        <v>Gynae</v>
      </c>
      <c r="G2536" s="1" t="str">
        <f>IF(Eleventh!G39="", "",Eleventh!G39)</f>
        <v>Post Treatment - Curative Intent</v>
      </c>
      <c r="H2536" s="1" t="str">
        <f>IF(Eleventh!H39="", "",Eleventh!H39)</f>
        <v>Programme</v>
      </c>
      <c r="I2536" s="1" t="str">
        <f>IF(Eleventh!I39="", "",Eleventh!I39)</f>
        <v>Relaxation</v>
      </c>
      <c r="J2536" s="1" t="str">
        <f>IF(Eleventh!J39="", "",Eleventh!J39)</f>
        <v/>
      </c>
      <c r="K2536" s="83" t="str">
        <f>IF(Eleventh!K39="", "",Eleventh!K39)</f>
        <v/>
      </c>
      <c r="M2536" s="67">
        <f t="shared" si="119"/>
        <v>7</v>
      </c>
      <c r="N2536" s="76" t="str">
        <f t="shared" si="120"/>
        <v/>
      </c>
      <c r="O2536" s="33">
        <f t="shared" si="118"/>
        <v>7</v>
      </c>
    </row>
    <row r="2537" spans="1:15" x14ac:dyDescent="0.25">
      <c r="A2537" s="64" t="s">
        <v>184</v>
      </c>
      <c r="B2537" s="82" t="str">
        <f>IF(Eleventh!B40="", "",Eleventh!B40)</f>
        <v>CSS</v>
      </c>
      <c r="C2537" s="1" t="str">
        <f>IF(Eleventh!C40="", "",Eleventh!C40)</f>
        <v>PwC</v>
      </c>
      <c r="D2537" s="1" t="str">
        <f>IF(Eleventh!D40="", "",Eleventh!D40)</f>
        <v>Returning</v>
      </c>
      <c r="E2537" s="1" t="str">
        <f>IF(Eleventh!E40="", "",Eleventh!E40)</f>
        <v>Female</v>
      </c>
      <c r="F2537" s="1" t="str">
        <f>IF(Eleventh!F40="", "",Eleventh!F40)</f>
        <v>Breast</v>
      </c>
      <c r="G2537" s="1" t="str">
        <f>IF(Eleventh!G40="", "",Eleventh!G40)</f>
        <v>Post Treatment - Curative Intent</v>
      </c>
      <c r="H2537" s="1" t="str">
        <f>IF(Eleventh!H40="", "",Eleventh!H40)</f>
        <v>Programme</v>
      </c>
      <c r="I2537" s="1" t="str">
        <f>IF(Eleventh!I40="", "",Eleventh!I40)</f>
        <v>Relaxation</v>
      </c>
      <c r="J2537" s="1" t="str">
        <f>IF(Eleventh!J40="", "",Eleventh!J40)</f>
        <v/>
      </c>
      <c r="K2537" s="83" t="str">
        <f>IF(Eleventh!K40="", "",Eleventh!K40)</f>
        <v/>
      </c>
      <c r="M2537" s="67">
        <f t="shared" si="119"/>
        <v>7</v>
      </c>
      <c r="N2537" s="76" t="str">
        <f t="shared" si="120"/>
        <v/>
      </c>
      <c r="O2537" s="33">
        <f t="shared" si="118"/>
        <v>7</v>
      </c>
    </row>
    <row r="2538" spans="1:15" x14ac:dyDescent="0.25">
      <c r="A2538" s="64" t="s">
        <v>184</v>
      </c>
      <c r="B2538" s="82" t="str">
        <f>IF(Eleventh!B41="", "",Eleventh!B41)</f>
        <v>CSS</v>
      </c>
      <c r="C2538" s="1" t="str">
        <f>IF(Eleventh!C41="", "",Eleventh!C41)</f>
        <v>PwC</v>
      </c>
      <c r="D2538" s="1" t="str">
        <f>IF(Eleventh!D41="", "",Eleventh!D41)</f>
        <v>Returning</v>
      </c>
      <c r="E2538" s="1" t="str">
        <f>IF(Eleventh!E41="", "",Eleventh!E41)</f>
        <v>Female</v>
      </c>
      <c r="F2538" s="1" t="str">
        <f>IF(Eleventh!F41="", "",Eleventh!F41)</f>
        <v>Gynae</v>
      </c>
      <c r="G2538" s="1" t="str">
        <f>IF(Eleventh!G41="", "",Eleventh!G41)</f>
        <v>Non-Curative Intent</v>
      </c>
      <c r="H2538" s="1" t="str">
        <f>IF(Eleventh!H41="", "",Eleventh!H41)</f>
        <v>Programme</v>
      </c>
      <c r="I2538" s="1" t="str">
        <f>IF(Eleventh!I41="", "",Eleventh!I41)</f>
        <v>Relaxation</v>
      </c>
      <c r="J2538" s="1" t="str">
        <f>IF(Eleventh!J41="", "",Eleventh!J41)</f>
        <v/>
      </c>
      <c r="K2538" s="83" t="str">
        <f>IF(Eleventh!K41="", "",Eleventh!K41)</f>
        <v/>
      </c>
      <c r="M2538" s="67">
        <f t="shared" si="119"/>
        <v>7</v>
      </c>
      <c r="N2538" s="76" t="str">
        <f t="shared" si="120"/>
        <v/>
      </c>
      <c r="O2538" s="33">
        <f t="shared" si="118"/>
        <v>7</v>
      </c>
    </row>
    <row r="2539" spans="1:15" x14ac:dyDescent="0.25">
      <c r="A2539" s="64" t="s">
        <v>184</v>
      </c>
      <c r="B2539" s="82" t="str">
        <f>IF(Eleventh!B42="", "",Eleventh!B42)</f>
        <v>CSS</v>
      </c>
      <c r="C2539" s="1" t="str">
        <f>IF(Eleventh!C42="", "",Eleventh!C42)</f>
        <v>PwC</v>
      </c>
      <c r="D2539" s="1" t="str">
        <f>IF(Eleventh!D42="", "",Eleventh!D42)</f>
        <v>Returning</v>
      </c>
      <c r="E2539" s="1" t="str">
        <f>IF(Eleventh!E42="", "",Eleventh!E42)</f>
        <v>Female</v>
      </c>
      <c r="F2539" s="1" t="str">
        <f>IF(Eleventh!F42="", "",Eleventh!F42)</f>
        <v>Breast</v>
      </c>
      <c r="G2539" s="1" t="str">
        <f>IF(Eleventh!G42="", "",Eleventh!G42)</f>
        <v>Post Treatment - Curative Intent</v>
      </c>
      <c r="H2539" s="1" t="str">
        <f>IF(Eleventh!H42="", "",Eleventh!H42)</f>
        <v>Programme</v>
      </c>
      <c r="I2539" s="1" t="str">
        <f>IF(Eleventh!I42="", "",Eleventh!I42)</f>
        <v>Relaxation</v>
      </c>
      <c r="J2539" s="1" t="str">
        <f>IF(Eleventh!J42="", "",Eleventh!J42)</f>
        <v/>
      </c>
      <c r="K2539" s="83" t="str">
        <f>IF(Eleventh!K42="", "",Eleventh!K42)</f>
        <v/>
      </c>
      <c r="M2539" s="67">
        <f t="shared" si="119"/>
        <v>7</v>
      </c>
      <c r="N2539" s="76" t="str">
        <f t="shared" si="120"/>
        <v/>
      </c>
      <c r="O2539" s="33">
        <f t="shared" si="118"/>
        <v>7</v>
      </c>
    </row>
    <row r="2540" spans="1:15" x14ac:dyDescent="0.25">
      <c r="A2540" s="64" t="s">
        <v>184</v>
      </c>
      <c r="B2540" s="82" t="str">
        <f>IF(Eleventh!B43="", "",Eleventh!B43)</f>
        <v>CSS</v>
      </c>
      <c r="C2540" s="1" t="str">
        <f>IF(Eleventh!C43="", "",Eleventh!C43)</f>
        <v>PwC</v>
      </c>
      <c r="D2540" s="1" t="str">
        <f>IF(Eleventh!D43="", "",Eleventh!D43)</f>
        <v>Returning</v>
      </c>
      <c r="E2540" s="1" t="str">
        <f>IF(Eleventh!E43="", "",Eleventh!E43)</f>
        <v>Female</v>
      </c>
      <c r="F2540" s="1" t="str">
        <f>IF(Eleventh!F43="", "",Eleventh!F43)</f>
        <v>Lung</v>
      </c>
      <c r="G2540" s="1" t="str">
        <f>IF(Eleventh!G43="", "",Eleventh!G43)</f>
        <v>Post Treatment - Curative Intent</v>
      </c>
      <c r="H2540" s="1" t="str">
        <f>IF(Eleventh!H43="", "",Eleventh!H43)</f>
        <v>Programme</v>
      </c>
      <c r="I2540" s="1" t="str">
        <f>IF(Eleventh!I43="", "",Eleventh!I43)</f>
        <v>Relaxation</v>
      </c>
      <c r="J2540" s="1" t="str">
        <f>IF(Eleventh!J43="", "",Eleventh!J43)</f>
        <v/>
      </c>
      <c r="K2540" s="83" t="str">
        <f>IF(Eleventh!K43="", "",Eleventh!K43)</f>
        <v/>
      </c>
      <c r="M2540" s="67">
        <f t="shared" si="119"/>
        <v>7</v>
      </c>
      <c r="N2540" s="76" t="str">
        <f t="shared" si="120"/>
        <v/>
      </c>
      <c r="O2540" s="33">
        <f t="shared" si="118"/>
        <v>7</v>
      </c>
    </row>
    <row r="2541" spans="1:15" x14ac:dyDescent="0.25">
      <c r="A2541" s="64" t="s">
        <v>184</v>
      </c>
      <c r="B2541" s="82" t="str">
        <f>IF(Eleventh!B44="", "",Eleventh!B44)</f>
        <v>CSS</v>
      </c>
      <c r="C2541" s="1" t="str">
        <f>IF(Eleventh!C44="", "",Eleventh!C44)</f>
        <v>PwC</v>
      </c>
      <c r="D2541" s="1" t="str">
        <f>IF(Eleventh!D44="", "",Eleventh!D44)</f>
        <v>Returning</v>
      </c>
      <c r="E2541" s="1" t="str">
        <f>IF(Eleventh!E44="", "",Eleventh!E44)</f>
        <v>Male</v>
      </c>
      <c r="F2541" s="1" t="str">
        <f>IF(Eleventh!F44="", "",Eleventh!F44)</f>
        <v>Prostate</v>
      </c>
      <c r="G2541" s="1" t="str">
        <f>IF(Eleventh!G44="", "",Eleventh!G44)</f>
        <v>Non-Curative Intent</v>
      </c>
      <c r="H2541" s="1" t="str">
        <f>IF(Eleventh!H44="", "",Eleventh!H44)</f>
        <v>Programme</v>
      </c>
      <c r="I2541" s="1" t="str">
        <f>IF(Eleventh!I44="", "",Eleventh!I44)</f>
        <v>Relaxation</v>
      </c>
      <c r="J2541" s="1" t="str">
        <f>IF(Eleventh!J44="", "",Eleventh!J44)</f>
        <v/>
      </c>
      <c r="K2541" s="83" t="str">
        <f>IF(Eleventh!K44="", "",Eleventh!K44)</f>
        <v/>
      </c>
      <c r="M2541" s="67">
        <f t="shared" si="119"/>
        <v>7</v>
      </c>
      <c r="N2541" s="76" t="str">
        <f t="shared" si="120"/>
        <v/>
      </c>
      <c r="O2541" s="33">
        <f t="shared" si="118"/>
        <v>7</v>
      </c>
    </row>
    <row r="2542" spans="1:15" x14ac:dyDescent="0.25">
      <c r="A2542" s="64" t="s">
        <v>184</v>
      </c>
      <c r="B2542" s="82" t="str">
        <f>IF(Eleventh!B45="", "",Eleventh!B45)</f>
        <v>CSS</v>
      </c>
      <c r="C2542" s="1" t="str">
        <f>IF(Eleventh!C45="", "",Eleventh!C45)</f>
        <v>PwC</v>
      </c>
      <c r="D2542" s="1" t="str">
        <f>IF(Eleventh!D45="", "",Eleventh!D45)</f>
        <v>Returning</v>
      </c>
      <c r="E2542" s="1" t="str">
        <f>IF(Eleventh!E45="", "",Eleventh!E45)</f>
        <v>Male</v>
      </c>
      <c r="F2542" s="1" t="str">
        <f>IF(Eleventh!F45="", "",Eleventh!F45)</f>
        <v>Prostate</v>
      </c>
      <c r="G2542" s="1" t="str">
        <f>IF(Eleventh!G45="", "",Eleventh!G45)</f>
        <v>Non-Curative Intent</v>
      </c>
      <c r="H2542" s="1" t="str">
        <f>IF(Eleventh!H45="", "",Eleventh!H45)</f>
        <v>Programme</v>
      </c>
      <c r="I2542" s="1" t="str">
        <f>IF(Eleventh!I45="", "",Eleventh!I45)</f>
        <v>Relaxation</v>
      </c>
      <c r="J2542" s="1" t="str">
        <f>IF(Eleventh!J45="", "",Eleventh!J45)</f>
        <v/>
      </c>
      <c r="K2542" s="83" t="str">
        <f>IF(Eleventh!K45="", "",Eleventh!K45)</f>
        <v/>
      </c>
      <c r="M2542" s="67">
        <f t="shared" si="119"/>
        <v>7</v>
      </c>
      <c r="N2542" s="76" t="str">
        <f t="shared" si="120"/>
        <v/>
      </c>
      <c r="O2542" s="33">
        <f t="shared" si="118"/>
        <v>7</v>
      </c>
    </row>
    <row r="2543" spans="1:15" x14ac:dyDescent="0.25">
      <c r="A2543" s="64" t="s">
        <v>184</v>
      </c>
      <c r="B2543" s="82" t="str">
        <f>IF(Eleventh!B46="", "",Eleventh!B46)</f>
        <v>CSS</v>
      </c>
      <c r="C2543" s="1" t="str">
        <f>IF(Eleventh!C46="", "",Eleventh!C46)</f>
        <v>PwC</v>
      </c>
      <c r="D2543" s="1" t="str">
        <f>IF(Eleventh!D46="", "",Eleventh!D46)</f>
        <v>Returning</v>
      </c>
      <c r="E2543" s="1" t="str">
        <f>IF(Eleventh!E46="", "",Eleventh!E46)</f>
        <v>Female</v>
      </c>
      <c r="F2543" s="1" t="str">
        <f>IF(Eleventh!F46="", "",Eleventh!F46)</f>
        <v>Breast</v>
      </c>
      <c r="G2543" s="1" t="str">
        <f>IF(Eleventh!G46="", "",Eleventh!G46)</f>
        <v>Post Treatment - Curative Intent</v>
      </c>
      <c r="H2543" s="1" t="str">
        <f>IF(Eleventh!H46="", "",Eleventh!H46)</f>
        <v>Programme</v>
      </c>
      <c r="I2543" s="1" t="str">
        <f>IF(Eleventh!I46="", "",Eleventh!I46)</f>
        <v>Relaxation</v>
      </c>
      <c r="J2543" s="1" t="str">
        <f>IF(Eleventh!J46="", "",Eleventh!J46)</f>
        <v/>
      </c>
      <c r="K2543" s="83" t="str">
        <f>IF(Eleventh!K46="", "",Eleventh!K46)</f>
        <v/>
      </c>
      <c r="M2543" s="67">
        <f t="shared" si="119"/>
        <v>7</v>
      </c>
      <c r="N2543" s="76" t="str">
        <f t="shared" si="120"/>
        <v/>
      </c>
      <c r="O2543" s="33">
        <f t="shared" si="118"/>
        <v>7</v>
      </c>
    </row>
    <row r="2544" spans="1:15" x14ac:dyDescent="0.25">
      <c r="A2544" s="64" t="s">
        <v>184</v>
      </c>
      <c r="B2544" s="82" t="str">
        <f>IF(Eleventh!B47="", "",Eleventh!B47)</f>
        <v>CSS</v>
      </c>
      <c r="C2544" s="1" t="str">
        <f>IF(Eleventh!C47="", "",Eleventh!C47)</f>
        <v>PwC</v>
      </c>
      <c r="D2544" s="1" t="str">
        <f>IF(Eleventh!D47="", "",Eleventh!D47)</f>
        <v>Returning</v>
      </c>
      <c r="E2544" s="1" t="str">
        <f>IF(Eleventh!E47="", "",Eleventh!E47)</f>
        <v>Female</v>
      </c>
      <c r="F2544" s="1" t="str">
        <f>IF(Eleventh!F47="", "",Eleventh!F47)</f>
        <v>Lower GI</v>
      </c>
      <c r="G2544" s="1" t="str">
        <f>IF(Eleventh!G47="", "",Eleventh!G47)</f>
        <v>Non-Curative Intent</v>
      </c>
      <c r="H2544" s="1" t="str">
        <f>IF(Eleventh!H47="", "",Eleventh!H47)</f>
        <v>Programme</v>
      </c>
      <c r="I2544" s="1" t="str">
        <f>IF(Eleventh!I47="", "",Eleventh!I47)</f>
        <v>Relaxation</v>
      </c>
      <c r="J2544" s="1" t="str">
        <f>IF(Eleventh!J47="", "",Eleventh!J47)</f>
        <v/>
      </c>
      <c r="K2544" s="83" t="str">
        <f>IF(Eleventh!K47="", "",Eleventh!K47)</f>
        <v/>
      </c>
      <c r="M2544" s="67">
        <f t="shared" si="119"/>
        <v>7</v>
      </c>
      <c r="N2544" s="76" t="str">
        <f t="shared" si="120"/>
        <v/>
      </c>
      <c r="O2544" s="33">
        <f t="shared" si="118"/>
        <v>7</v>
      </c>
    </row>
    <row r="2545" spans="1:15" x14ac:dyDescent="0.25">
      <c r="A2545" s="64" t="s">
        <v>184</v>
      </c>
      <c r="B2545" s="82" t="str">
        <f>IF(Eleventh!B48="", "",Eleventh!B48)</f>
        <v>CSS</v>
      </c>
      <c r="C2545" s="1" t="str">
        <f>IF(Eleventh!C48="", "",Eleventh!C48)</f>
        <v>Carer</v>
      </c>
      <c r="D2545" s="1" t="str">
        <f>IF(Eleventh!D48="", "",Eleventh!D48)</f>
        <v>Returning</v>
      </c>
      <c r="E2545" s="1" t="str">
        <f>IF(Eleventh!E48="", "",Eleventh!E48)</f>
        <v>Female</v>
      </c>
      <c r="F2545" s="1" t="str">
        <f>IF(Eleventh!F48="", "",Eleventh!F48)</f>
        <v>Lower GI</v>
      </c>
      <c r="G2545" s="1" t="str">
        <f>IF(Eleventh!G48="", "",Eleventh!G48)</f>
        <v>Non-Curative Intent</v>
      </c>
      <c r="H2545" s="1" t="str">
        <f>IF(Eleventh!H48="", "",Eleventh!H48)</f>
        <v>Programme</v>
      </c>
      <c r="I2545" s="1" t="str">
        <f>IF(Eleventh!I48="", "",Eleventh!I48)</f>
        <v>Relaxation</v>
      </c>
      <c r="J2545" s="1" t="str">
        <f>IF(Eleventh!J48="", "",Eleventh!J48)</f>
        <v/>
      </c>
      <c r="K2545" s="83" t="str">
        <f>IF(Eleventh!K48="", "",Eleventh!K48)</f>
        <v/>
      </c>
      <c r="M2545" s="67" t="str">
        <f t="shared" si="119"/>
        <v/>
      </c>
      <c r="N2545" s="76">
        <f t="shared" si="120"/>
        <v>7</v>
      </c>
      <c r="O2545" s="33">
        <f t="shared" si="118"/>
        <v>7</v>
      </c>
    </row>
    <row r="2546" spans="1:15" x14ac:dyDescent="0.25">
      <c r="A2546" s="64" t="s">
        <v>184</v>
      </c>
      <c r="B2546" s="82" t="str">
        <f>IF(Eleventh!B49="", "",Eleventh!B49)</f>
        <v>CSS</v>
      </c>
      <c r="C2546" s="1" t="str">
        <f>IF(Eleventh!C49="", "",Eleventh!C49)</f>
        <v>Professional</v>
      </c>
      <c r="D2546" s="1" t="str">
        <f>IF(Eleventh!D49="", "",Eleventh!D49)</f>
        <v/>
      </c>
      <c r="E2546" s="1" t="str">
        <f>IF(Eleventh!E49="", "",Eleventh!E49)</f>
        <v/>
      </c>
      <c r="F2546" s="1" t="str">
        <f>IF(Eleventh!F49="", "",Eleventh!F49)</f>
        <v/>
      </c>
      <c r="G2546" s="1" t="str">
        <f>IF(Eleventh!G49="", "",Eleventh!G49)</f>
        <v/>
      </c>
      <c r="H2546" s="1" t="str">
        <f>IF(Eleventh!H49="", "",Eleventh!H49)</f>
        <v>Programme</v>
      </c>
      <c r="I2546" s="1" t="str">
        <f>IF(Eleventh!I49="", "",Eleventh!I49)</f>
        <v>Relaxation</v>
      </c>
      <c r="J2546" s="1" t="str">
        <f>IF(Eleventh!J49="", "",Eleventh!J49)</f>
        <v/>
      </c>
      <c r="K2546" s="83" t="str">
        <f>IF(Eleventh!K49="", "",Eleventh!K49)</f>
        <v/>
      </c>
      <c r="M2546" s="67" t="str">
        <f t="shared" si="119"/>
        <v/>
      </c>
      <c r="N2546" s="76" t="str">
        <f t="shared" si="120"/>
        <v/>
      </c>
      <c r="O2546" s="33">
        <f t="shared" si="118"/>
        <v>0</v>
      </c>
    </row>
    <row r="2547" spans="1:15" x14ac:dyDescent="0.25">
      <c r="A2547" s="64" t="s">
        <v>184</v>
      </c>
      <c r="B2547" s="82" t="str">
        <f>IF(Eleventh!B50="", "",Eleventh!B50)</f>
        <v>CSS</v>
      </c>
      <c r="C2547" s="1" t="str">
        <f>IF(Eleventh!C50="", "",Eleventh!C50)</f>
        <v>PwC</v>
      </c>
      <c r="D2547" s="1" t="str">
        <f>IF(Eleventh!D50="", "",Eleventh!D50)</f>
        <v>Returning</v>
      </c>
      <c r="E2547" s="1" t="str">
        <f>IF(Eleventh!E50="", "",Eleventh!E50)</f>
        <v>Female</v>
      </c>
      <c r="F2547" s="1" t="str">
        <f>IF(Eleventh!F50="", "",Eleventh!F50)</f>
        <v>Gynae</v>
      </c>
      <c r="G2547" s="1" t="str">
        <f>IF(Eleventh!G50="", "",Eleventh!G50)</f>
        <v>Non-Curative Intent</v>
      </c>
      <c r="H2547" s="1" t="str">
        <f>IF(Eleventh!H50="", "",Eleventh!H50)</f>
        <v>Programme</v>
      </c>
      <c r="I2547" s="1" t="str">
        <f>IF(Eleventh!I50="", "",Eleventh!I50)</f>
        <v>Relaxation</v>
      </c>
      <c r="J2547" s="1" t="str">
        <f>IF(Eleventh!J50="", "",Eleventh!J50)</f>
        <v/>
      </c>
      <c r="K2547" s="83" t="str">
        <f>IF(Eleventh!K50="", "",Eleventh!K50)</f>
        <v/>
      </c>
      <c r="M2547" s="67">
        <f t="shared" si="119"/>
        <v>7</v>
      </c>
      <c r="N2547" s="76" t="str">
        <f t="shared" si="120"/>
        <v/>
      </c>
      <c r="O2547" s="33">
        <f t="shared" si="118"/>
        <v>7</v>
      </c>
    </row>
    <row r="2548" spans="1:15" x14ac:dyDescent="0.25">
      <c r="A2548" s="64" t="s">
        <v>184</v>
      </c>
      <c r="B2548" s="82" t="str">
        <f>IF(Eleventh!B51="", "",Eleventh!B51)</f>
        <v>CSS</v>
      </c>
      <c r="C2548" s="1" t="str">
        <f>IF(Eleventh!C51="", "",Eleventh!C51)</f>
        <v>PwC</v>
      </c>
      <c r="D2548" s="1" t="str">
        <f>IF(Eleventh!D51="", "",Eleventh!D51)</f>
        <v>Returning</v>
      </c>
      <c r="E2548" s="1" t="str">
        <f>IF(Eleventh!E51="", "",Eleventh!E51)</f>
        <v>Female</v>
      </c>
      <c r="F2548" s="1" t="str">
        <f>IF(Eleventh!F51="", "",Eleventh!F51)</f>
        <v>Brain/CNS</v>
      </c>
      <c r="G2548" s="1" t="str">
        <f>IF(Eleventh!G51="", "",Eleventh!G51)</f>
        <v>Non-Curative Intent</v>
      </c>
      <c r="H2548" s="1" t="str">
        <f>IF(Eleventh!H51="", "",Eleventh!H51)</f>
        <v>Drop-In</v>
      </c>
      <c r="I2548" s="1" t="str">
        <f>IF(Eleventh!I51="", "",Eleventh!I51)</f>
        <v/>
      </c>
      <c r="J2548" s="1" t="str">
        <f>IF(Eleventh!J51="", "",Eleventh!J51)</f>
        <v/>
      </c>
      <c r="K2548" s="83" t="str">
        <f>IF(Eleventh!K51="", "",Eleventh!K51)</f>
        <v/>
      </c>
      <c r="M2548" s="67">
        <f t="shared" si="119"/>
        <v>7</v>
      </c>
      <c r="N2548" s="76" t="str">
        <f t="shared" si="120"/>
        <v/>
      </c>
      <c r="O2548" s="33">
        <f t="shared" si="118"/>
        <v>7</v>
      </c>
    </row>
    <row r="2549" spans="1:15" x14ac:dyDescent="0.25">
      <c r="A2549" s="64" t="s">
        <v>184</v>
      </c>
      <c r="B2549" s="82" t="str">
        <f>IF(Eleventh!B52="", "",Eleventh!B52)</f>
        <v>CSS</v>
      </c>
      <c r="C2549" s="1" t="str">
        <f>IF(Eleventh!C52="", "",Eleventh!C52)</f>
        <v>Carer</v>
      </c>
      <c r="D2549" s="1" t="str">
        <f>IF(Eleventh!D52="", "",Eleventh!D52)</f>
        <v>New</v>
      </c>
      <c r="E2549" s="1" t="str">
        <f>IF(Eleventh!E52="", "",Eleventh!E52)</f>
        <v>Female</v>
      </c>
      <c r="F2549" s="1" t="str">
        <f>IF(Eleventh!F52="", "",Eleventh!F52)</f>
        <v>Not Stated</v>
      </c>
      <c r="G2549" s="1" t="str">
        <f>IF(Eleventh!G52="", "",Eleventh!G52)</f>
        <v>Bereaved</v>
      </c>
      <c r="H2549" s="1" t="str">
        <f>IF(Eleventh!H52="", "",Eleventh!H52)</f>
        <v>Drop-In</v>
      </c>
      <c r="I2549" s="1" t="str">
        <f>IF(Eleventh!I52="", "",Eleventh!I52)</f>
        <v/>
      </c>
      <c r="J2549" s="1" t="str">
        <f>IF(Eleventh!J52="", "",Eleventh!J52)</f>
        <v/>
      </c>
      <c r="K2549" s="83" t="str">
        <f>IF(Eleventh!K52="", "",Eleventh!K52)</f>
        <v/>
      </c>
      <c r="M2549" s="67" t="str">
        <f t="shared" si="119"/>
        <v/>
      </c>
      <c r="N2549" s="76">
        <f t="shared" si="120"/>
        <v>7</v>
      </c>
      <c r="O2549" s="33">
        <f t="shared" si="118"/>
        <v>7</v>
      </c>
    </row>
    <row r="2550" spans="1:15" x14ac:dyDescent="0.25">
      <c r="A2550" s="64" t="s">
        <v>184</v>
      </c>
      <c r="B2550" s="82" t="str">
        <f>IF(Eleventh!B53="", "",Eleventh!B53)</f>
        <v>CSS</v>
      </c>
      <c r="C2550" s="1" t="str">
        <f>IF(Eleventh!C53="", "",Eleventh!C53)</f>
        <v>Carer</v>
      </c>
      <c r="D2550" s="1" t="str">
        <f>IF(Eleventh!D53="", "",Eleventh!D53)</f>
        <v>Returning</v>
      </c>
      <c r="E2550" s="1" t="str">
        <f>IF(Eleventh!E53="", "",Eleventh!E53)</f>
        <v>Female</v>
      </c>
      <c r="F2550" s="1" t="str">
        <f>IF(Eleventh!F53="", "",Eleventh!F53)</f>
        <v>Lung</v>
      </c>
      <c r="G2550" s="1" t="str">
        <f>IF(Eleventh!G53="", "",Eleventh!G53)</f>
        <v>Non-Curative Intent</v>
      </c>
      <c r="H2550" s="1" t="str">
        <f>IF(Eleventh!H53="", "",Eleventh!H53)</f>
        <v>Drop-In</v>
      </c>
      <c r="I2550" s="1" t="str">
        <f>IF(Eleventh!I53="", "",Eleventh!I53)</f>
        <v/>
      </c>
      <c r="J2550" s="1" t="str">
        <f>IF(Eleventh!J53="", "",Eleventh!J53)</f>
        <v/>
      </c>
      <c r="K2550" s="83" t="str">
        <f>IF(Eleventh!K53="", "",Eleventh!K53)</f>
        <v/>
      </c>
      <c r="M2550" s="67" t="str">
        <f t="shared" si="119"/>
        <v/>
      </c>
      <c r="N2550" s="76">
        <f t="shared" si="120"/>
        <v>7</v>
      </c>
      <c r="O2550" s="33">
        <f t="shared" si="118"/>
        <v>7</v>
      </c>
    </row>
    <row r="2551" spans="1:15" x14ac:dyDescent="0.25">
      <c r="A2551" s="64" t="s">
        <v>184</v>
      </c>
      <c r="B2551" s="82" t="str">
        <f>IF(Eleventh!B54="", "",Eleventh!B54)</f>
        <v>CSS</v>
      </c>
      <c r="C2551" s="1" t="str">
        <f>IF(Eleventh!C54="", "",Eleventh!C54)</f>
        <v>Carer</v>
      </c>
      <c r="D2551" s="1" t="str">
        <f>IF(Eleventh!D54="", "",Eleventh!D54)</f>
        <v>Returning</v>
      </c>
      <c r="E2551" s="1" t="str">
        <f>IF(Eleventh!E54="", "",Eleventh!E54)</f>
        <v>Male</v>
      </c>
      <c r="F2551" s="1" t="str">
        <f>IF(Eleventh!F54="", "",Eleventh!F54)</f>
        <v>Breast</v>
      </c>
      <c r="G2551" s="1" t="str">
        <f>IF(Eleventh!G54="", "",Eleventh!G54)</f>
        <v>Post Treatment - Curative Intent</v>
      </c>
      <c r="H2551" s="1" t="str">
        <f>IF(Eleventh!H54="", "",Eleventh!H54)</f>
        <v>Booked</v>
      </c>
      <c r="I2551" s="1" t="str">
        <f>IF(Eleventh!I54="", "",Eleventh!I54)</f>
        <v/>
      </c>
      <c r="J2551" s="1" t="str">
        <f>IF(Eleventh!J54="", "",Eleventh!J54)</f>
        <v/>
      </c>
      <c r="K2551" s="83" t="str">
        <f>IF(Eleventh!K54="", "",Eleventh!K54)</f>
        <v/>
      </c>
      <c r="M2551" s="67" t="str">
        <f t="shared" si="119"/>
        <v/>
      </c>
      <c r="N2551" s="76">
        <f t="shared" si="120"/>
        <v>7</v>
      </c>
      <c r="O2551" s="33">
        <f t="shared" si="118"/>
        <v>7</v>
      </c>
    </row>
    <row r="2552" spans="1:15" x14ac:dyDescent="0.25">
      <c r="A2552" s="64" t="s">
        <v>184</v>
      </c>
      <c r="B2552" s="82" t="str">
        <f>IF(Eleventh!B55="", "",Eleventh!B55)</f>
        <v>Psychologist</v>
      </c>
      <c r="C2552" s="1" t="str">
        <f>IF(Eleventh!C55="", "",Eleventh!C55)</f>
        <v>Carer</v>
      </c>
      <c r="D2552" s="1" t="str">
        <f>IF(Eleventh!D55="", "",Eleventh!D55)</f>
        <v>Returning</v>
      </c>
      <c r="E2552" s="1" t="str">
        <f>IF(Eleventh!E55="", "",Eleventh!E55)</f>
        <v>Female</v>
      </c>
      <c r="F2552" s="1" t="str">
        <f>IF(Eleventh!F55="", "",Eleventh!F55)</f>
        <v>Sarcoma</v>
      </c>
      <c r="G2552" s="1" t="str">
        <f>IF(Eleventh!G55="", "",Eleventh!G55)</f>
        <v>Bereaved</v>
      </c>
      <c r="H2552" s="1" t="str">
        <f>IF(Eleventh!H55="", "",Eleventh!H55)</f>
        <v>Booked</v>
      </c>
      <c r="I2552" s="1" t="str">
        <f>IF(Eleventh!I55="", "",Eleventh!I55)</f>
        <v>Psych Support - Individual</v>
      </c>
      <c r="J2552" s="1" t="str">
        <f>IF(Eleventh!J55="", "",Eleventh!J55)</f>
        <v/>
      </c>
      <c r="K2552" s="83" t="str">
        <f>IF(Eleventh!K55="", "",Eleventh!K55)</f>
        <v/>
      </c>
      <c r="M2552" s="67" t="str">
        <f t="shared" si="119"/>
        <v/>
      </c>
      <c r="N2552" s="76">
        <f t="shared" si="120"/>
        <v>7</v>
      </c>
      <c r="O2552" s="33">
        <f t="shared" si="118"/>
        <v>7</v>
      </c>
    </row>
    <row r="2553" spans="1:15" x14ac:dyDescent="0.25">
      <c r="A2553" s="64" t="s">
        <v>184</v>
      </c>
      <c r="B2553" s="82" t="str">
        <f>IF(Eleventh!B56="", "",Eleventh!B56)</f>
        <v>Psychologist</v>
      </c>
      <c r="C2553" s="1" t="str">
        <f>IF(Eleventh!C56="", "",Eleventh!C56)</f>
        <v>PwC</v>
      </c>
      <c r="D2553" s="1" t="str">
        <f>IF(Eleventh!D56="", "",Eleventh!D56)</f>
        <v>Returning</v>
      </c>
      <c r="E2553" s="1" t="str">
        <f>IF(Eleventh!E56="", "",Eleventh!E56)</f>
        <v>Female</v>
      </c>
      <c r="F2553" s="1" t="str">
        <f>IF(Eleventh!F56="", "",Eleventh!F56)</f>
        <v>Breast</v>
      </c>
      <c r="G2553" s="1" t="str">
        <f>IF(Eleventh!G56="", "",Eleventh!G56)</f>
        <v>Post Treatment - Curative Intent</v>
      </c>
      <c r="H2553" s="1" t="str">
        <f>IF(Eleventh!H56="", "",Eleventh!H56)</f>
        <v>Booked</v>
      </c>
      <c r="I2553" s="1" t="str">
        <f>IF(Eleventh!I56="", "",Eleventh!I56)</f>
        <v>Psych Support - Individual</v>
      </c>
      <c r="J2553" s="1" t="str">
        <f>IF(Eleventh!J56="", "",Eleventh!J56)</f>
        <v/>
      </c>
      <c r="K2553" s="83" t="str">
        <f>IF(Eleventh!K56="", "",Eleventh!K56)</f>
        <v/>
      </c>
      <c r="M2553" s="67">
        <f t="shared" si="119"/>
        <v>7</v>
      </c>
      <c r="N2553" s="76" t="str">
        <f t="shared" si="120"/>
        <v/>
      </c>
      <c r="O2553" s="33">
        <f t="shared" si="118"/>
        <v>7</v>
      </c>
    </row>
    <row r="2554" spans="1:15" x14ac:dyDescent="0.25">
      <c r="A2554" s="64" t="s">
        <v>184</v>
      </c>
      <c r="B2554" s="82" t="str">
        <f>IF(Eleventh!B57="", "",Eleventh!B57)</f>
        <v>Psychologist</v>
      </c>
      <c r="C2554" s="1" t="str">
        <f>IF(Eleventh!C57="", "",Eleventh!C57)</f>
        <v>Carer</v>
      </c>
      <c r="D2554" s="1" t="str">
        <f>IF(Eleventh!D57="", "",Eleventh!D57)</f>
        <v>Returning</v>
      </c>
      <c r="E2554" s="1" t="str">
        <f>IF(Eleventh!E57="", "",Eleventh!E57)</f>
        <v>Female</v>
      </c>
      <c r="F2554" s="1" t="str">
        <f>IF(Eleventh!F57="", "",Eleventh!F57)</f>
        <v>Lower GI</v>
      </c>
      <c r="G2554" s="1" t="str">
        <f>IF(Eleventh!G57="", "",Eleventh!G57)</f>
        <v>Bereaved</v>
      </c>
      <c r="H2554" s="1" t="str">
        <f>IF(Eleventh!H57="", "",Eleventh!H57)</f>
        <v>Booked</v>
      </c>
      <c r="I2554" s="1" t="str">
        <f>IF(Eleventh!I57="", "",Eleventh!I57)</f>
        <v>Psych Support - Individual</v>
      </c>
      <c r="J2554" s="1" t="str">
        <f>IF(Eleventh!J57="", "",Eleventh!J57)</f>
        <v/>
      </c>
      <c r="K2554" s="83" t="str">
        <f>IF(Eleventh!K57="", "",Eleventh!K57)</f>
        <v/>
      </c>
      <c r="M2554" s="67" t="str">
        <f t="shared" si="119"/>
        <v/>
      </c>
      <c r="N2554" s="76">
        <f t="shared" si="120"/>
        <v>7</v>
      </c>
      <c r="O2554" s="33">
        <f t="shared" si="118"/>
        <v>7</v>
      </c>
    </row>
    <row r="2555" spans="1:15" x14ac:dyDescent="0.25">
      <c r="A2555" s="64" t="s">
        <v>184</v>
      </c>
      <c r="B2555" s="82" t="str">
        <f>IF(Eleventh!B58="", "",Eleventh!B58)</f>
        <v>Psychologist</v>
      </c>
      <c r="C2555" s="1" t="str">
        <f>IF(Eleventh!C58="", "",Eleventh!C58)</f>
        <v>Carer</v>
      </c>
      <c r="D2555" s="1" t="str">
        <f>IF(Eleventh!D58="", "",Eleventh!D58)</f>
        <v>New</v>
      </c>
      <c r="E2555" s="1" t="str">
        <f>IF(Eleventh!E58="", "",Eleventh!E58)</f>
        <v>Female</v>
      </c>
      <c r="F2555" s="1" t="str">
        <f>IF(Eleventh!F58="", "",Eleventh!F58)</f>
        <v>Lower GI</v>
      </c>
      <c r="G2555" s="1" t="str">
        <f>IF(Eleventh!G58="", "",Eleventh!G58)</f>
        <v>Curative Intent</v>
      </c>
      <c r="H2555" s="1" t="str">
        <f>IF(Eleventh!H58="", "",Eleventh!H58)</f>
        <v>Programme</v>
      </c>
      <c r="I2555" s="1" t="str">
        <f>IF(Eleventh!I58="", "",Eleventh!I58)</f>
        <v>FSG Family and Friends</v>
      </c>
      <c r="J2555" s="1" t="str">
        <f>IF(Eleventh!J58="", "",Eleventh!J58)</f>
        <v/>
      </c>
      <c r="K2555" s="83" t="str">
        <f>IF(Eleventh!K58="", "",Eleventh!K58)</f>
        <v/>
      </c>
      <c r="M2555" s="67" t="str">
        <f t="shared" si="119"/>
        <v/>
      </c>
      <c r="N2555" s="76">
        <f t="shared" si="120"/>
        <v>7</v>
      </c>
      <c r="O2555" s="33">
        <f t="shared" si="118"/>
        <v>7</v>
      </c>
    </row>
    <row r="2556" spans="1:15" x14ac:dyDescent="0.25">
      <c r="A2556" s="64" t="s">
        <v>184</v>
      </c>
      <c r="B2556" s="82" t="str">
        <f>IF(Eleventh!B59="", "",Eleventh!B59)</f>
        <v>Psychologist</v>
      </c>
      <c r="C2556" s="1" t="str">
        <f>IF(Eleventh!C59="", "",Eleventh!C59)</f>
        <v>Carer</v>
      </c>
      <c r="D2556" s="1" t="str">
        <f>IF(Eleventh!D59="", "",Eleventh!D59)</f>
        <v>Returning</v>
      </c>
      <c r="E2556" s="1" t="str">
        <f>IF(Eleventh!E59="", "",Eleventh!E59)</f>
        <v>Male</v>
      </c>
      <c r="F2556" s="1" t="str">
        <f>IF(Eleventh!F59="", "",Eleventh!F59)</f>
        <v>Haemat</v>
      </c>
      <c r="G2556" s="1" t="str">
        <f>IF(Eleventh!G59="", "",Eleventh!G59)</f>
        <v>Non-Curative Intent</v>
      </c>
      <c r="H2556" s="1" t="str">
        <f>IF(Eleventh!H59="", "",Eleventh!H59)</f>
        <v>Programme</v>
      </c>
      <c r="I2556" s="1" t="str">
        <f>IF(Eleventh!I59="", "",Eleventh!I59)</f>
        <v>FSG Family and Friends</v>
      </c>
      <c r="J2556" s="1" t="str">
        <f>IF(Eleventh!J59="", "",Eleventh!J59)</f>
        <v/>
      </c>
      <c r="K2556" s="83" t="str">
        <f>IF(Eleventh!K59="", "",Eleventh!K59)</f>
        <v/>
      </c>
      <c r="M2556" s="67" t="str">
        <f t="shared" si="119"/>
        <v/>
      </c>
      <c r="N2556" s="76">
        <f t="shared" si="120"/>
        <v>7</v>
      </c>
      <c r="O2556" s="33">
        <f t="shared" si="118"/>
        <v>7</v>
      </c>
    </row>
    <row r="2557" spans="1:15" x14ac:dyDescent="0.25">
      <c r="A2557" s="64" t="s">
        <v>184</v>
      </c>
      <c r="B2557" s="82" t="str">
        <f>IF(Eleventh!B60="", "",Eleventh!B60)</f>
        <v>Psychologist</v>
      </c>
      <c r="C2557" s="1" t="str">
        <f>IF(Eleventh!C60="", "",Eleventh!C60)</f>
        <v>Carer</v>
      </c>
      <c r="D2557" s="1" t="str">
        <f>IF(Eleventh!D60="", "",Eleventh!D60)</f>
        <v>Returning</v>
      </c>
      <c r="E2557" s="1" t="str">
        <f>IF(Eleventh!E60="", "",Eleventh!E60)</f>
        <v>Male</v>
      </c>
      <c r="F2557" s="1" t="str">
        <f>IF(Eleventh!F60="", "",Eleventh!F60)</f>
        <v>Lower GI</v>
      </c>
      <c r="G2557" s="1" t="str">
        <f>IF(Eleventh!G60="", "",Eleventh!G60)</f>
        <v>Non-Curative Intent</v>
      </c>
      <c r="H2557" s="1" t="str">
        <f>IF(Eleventh!H60="", "",Eleventh!H60)</f>
        <v>Programme</v>
      </c>
      <c r="I2557" s="1" t="str">
        <f>IF(Eleventh!I60="", "",Eleventh!I60)</f>
        <v>FSG Family and Friends</v>
      </c>
      <c r="J2557" s="1" t="str">
        <f>IF(Eleventh!J60="", "",Eleventh!J60)</f>
        <v/>
      </c>
      <c r="K2557" s="83" t="str">
        <f>IF(Eleventh!K60="", "",Eleventh!K60)</f>
        <v/>
      </c>
      <c r="M2557" s="67" t="str">
        <f t="shared" si="119"/>
        <v/>
      </c>
      <c r="N2557" s="76">
        <f t="shared" si="120"/>
        <v>7</v>
      </c>
      <c r="O2557" s="33">
        <f t="shared" si="118"/>
        <v>7</v>
      </c>
    </row>
    <row r="2558" spans="1:15" x14ac:dyDescent="0.25">
      <c r="A2558" s="64" t="s">
        <v>184</v>
      </c>
      <c r="B2558" s="82" t="str">
        <f>IF(Eleventh!B61="", "",Eleventh!B61)</f>
        <v>Psychologist</v>
      </c>
      <c r="C2558" s="1" t="str">
        <f>IF(Eleventh!C61="", "",Eleventh!C61)</f>
        <v>Carer</v>
      </c>
      <c r="D2558" s="1" t="str">
        <f>IF(Eleventh!D61="", "",Eleventh!D61)</f>
        <v>Returning</v>
      </c>
      <c r="E2558" s="1" t="str">
        <f>IF(Eleventh!E61="", "",Eleventh!E61)</f>
        <v>Female</v>
      </c>
      <c r="F2558" s="1" t="str">
        <f>IF(Eleventh!F61="", "",Eleventh!F61)</f>
        <v>Not Stated</v>
      </c>
      <c r="G2558" s="1" t="str">
        <f>IF(Eleventh!G61="", "",Eleventh!G61)</f>
        <v>Non-Curative Intent</v>
      </c>
      <c r="H2558" s="1" t="str">
        <f>IF(Eleventh!H61="", "",Eleventh!H61)</f>
        <v>Programme</v>
      </c>
      <c r="I2558" s="1" t="str">
        <f>IF(Eleventh!I61="", "",Eleventh!I61)</f>
        <v>FSG Family and Friends</v>
      </c>
      <c r="J2558" s="1" t="str">
        <f>IF(Eleventh!J61="", "",Eleventh!J61)</f>
        <v/>
      </c>
      <c r="K2558" s="83" t="str">
        <f>IF(Eleventh!K61="", "",Eleventh!K61)</f>
        <v/>
      </c>
      <c r="M2558" s="67" t="str">
        <f t="shared" si="119"/>
        <v/>
      </c>
      <c r="N2558" s="76">
        <f t="shared" si="120"/>
        <v>7</v>
      </c>
      <c r="O2558" s="33">
        <f t="shared" si="118"/>
        <v>7</v>
      </c>
    </row>
    <row r="2559" spans="1:15" x14ac:dyDescent="0.25">
      <c r="A2559" s="64" t="s">
        <v>184</v>
      </c>
      <c r="B2559" s="82" t="str">
        <f>IF(Eleventh!B62="", "",Eleventh!B62)</f>
        <v>Psychologist</v>
      </c>
      <c r="C2559" s="1" t="str">
        <f>IF(Eleventh!C62="", "",Eleventh!C62)</f>
        <v>PwC</v>
      </c>
      <c r="D2559" s="1" t="str">
        <f>IF(Eleventh!D62="", "",Eleventh!D62)</f>
        <v>Returning</v>
      </c>
      <c r="E2559" s="1" t="str">
        <f>IF(Eleventh!E62="", "",Eleventh!E62)</f>
        <v>Male</v>
      </c>
      <c r="F2559" s="1" t="str">
        <f>IF(Eleventh!F62="", "",Eleventh!F62)</f>
        <v>Prostate</v>
      </c>
      <c r="G2559" s="1" t="str">
        <f>IF(Eleventh!G62="", "",Eleventh!G62)</f>
        <v>Non-Curative Intent</v>
      </c>
      <c r="H2559" s="1" t="str">
        <f>IF(Eleventh!H62="", "",Eleventh!H62)</f>
        <v>Programme</v>
      </c>
      <c r="I2559" s="1" t="str">
        <f>IF(Eleventh!I62="", "",Eleventh!I62)</f>
        <v>Creative Writing</v>
      </c>
      <c r="J2559" s="1" t="str">
        <f>IF(Eleventh!J62="", "",Eleventh!J62)</f>
        <v/>
      </c>
      <c r="K2559" s="83" t="str">
        <f>IF(Eleventh!K62="", "",Eleventh!K62)</f>
        <v/>
      </c>
      <c r="M2559" s="67">
        <f t="shared" si="119"/>
        <v>7</v>
      </c>
      <c r="N2559" s="76" t="str">
        <f t="shared" si="120"/>
        <v/>
      </c>
      <c r="O2559" s="33">
        <f t="shared" si="118"/>
        <v>7</v>
      </c>
    </row>
    <row r="2560" spans="1:15" x14ac:dyDescent="0.25">
      <c r="A2560" s="64" t="s">
        <v>184</v>
      </c>
      <c r="B2560" s="82" t="str">
        <f>IF(Eleventh!B63="", "",Eleventh!B63)</f>
        <v>Psychologist</v>
      </c>
      <c r="C2560" s="1" t="str">
        <f>IF(Eleventh!C63="", "",Eleventh!C63)</f>
        <v>PwC</v>
      </c>
      <c r="D2560" s="1" t="str">
        <f>IF(Eleventh!D63="", "",Eleventh!D63)</f>
        <v>Returning</v>
      </c>
      <c r="E2560" s="1" t="str">
        <f>IF(Eleventh!E63="", "",Eleventh!E63)</f>
        <v>Female</v>
      </c>
      <c r="F2560" s="1" t="str">
        <f>IF(Eleventh!F63="", "",Eleventh!F63)</f>
        <v>Breast</v>
      </c>
      <c r="G2560" s="1" t="str">
        <f>IF(Eleventh!G63="", "",Eleventh!G63)</f>
        <v>Post Treatment - Curative Intent</v>
      </c>
      <c r="H2560" s="1" t="str">
        <f>IF(Eleventh!H63="", "",Eleventh!H63)</f>
        <v>Programme</v>
      </c>
      <c r="I2560" s="1" t="str">
        <f>IF(Eleventh!I63="", "",Eleventh!I63)</f>
        <v>Creative Writing</v>
      </c>
      <c r="J2560" s="1" t="str">
        <f>IF(Eleventh!J63="", "",Eleventh!J63)</f>
        <v/>
      </c>
      <c r="K2560" s="83" t="str">
        <f>IF(Eleventh!K63="", "",Eleventh!K63)</f>
        <v/>
      </c>
      <c r="M2560" s="67">
        <f t="shared" si="119"/>
        <v>7</v>
      </c>
      <c r="N2560" s="76" t="str">
        <f t="shared" si="120"/>
        <v/>
      </c>
      <c r="O2560" s="33">
        <f t="shared" si="118"/>
        <v>7</v>
      </c>
    </row>
    <row r="2561" spans="1:15" x14ac:dyDescent="0.25">
      <c r="A2561" s="64" t="s">
        <v>184</v>
      </c>
      <c r="B2561" s="82" t="str">
        <f>IF(Eleventh!B64="", "",Eleventh!B64)</f>
        <v>Psychologist</v>
      </c>
      <c r="C2561" s="1" t="str">
        <f>IF(Eleventh!C64="", "",Eleventh!C64)</f>
        <v>PwC</v>
      </c>
      <c r="D2561" s="1" t="str">
        <f>IF(Eleventh!D64="", "",Eleventh!D64)</f>
        <v>Returning</v>
      </c>
      <c r="E2561" s="1" t="str">
        <f>IF(Eleventh!E64="", "",Eleventh!E64)</f>
        <v>Female</v>
      </c>
      <c r="F2561" s="1" t="str">
        <f>IF(Eleventh!F64="", "",Eleventh!F64)</f>
        <v>Breast</v>
      </c>
      <c r="G2561" s="1" t="str">
        <f>IF(Eleventh!G64="", "",Eleventh!G64)</f>
        <v>Non-Curative Intent</v>
      </c>
      <c r="H2561" s="1" t="str">
        <f>IF(Eleventh!H64="", "",Eleventh!H64)</f>
        <v>Programme</v>
      </c>
      <c r="I2561" s="1" t="str">
        <f>IF(Eleventh!I64="", "",Eleventh!I64)</f>
        <v>Creative Writing</v>
      </c>
      <c r="J2561" s="1" t="str">
        <f>IF(Eleventh!J64="", "",Eleventh!J64)</f>
        <v/>
      </c>
      <c r="K2561" s="83" t="str">
        <f>IF(Eleventh!K64="", "",Eleventh!K64)</f>
        <v/>
      </c>
      <c r="M2561" s="67">
        <f t="shared" si="119"/>
        <v>7</v>
      </c>
      <c r="N2561" s="76" t="str">
        <f t="shared" si="120"/>
        <v/>
      </c>
      <c r="O2561" s="33">
        <f t="shared" si="118"/>
        <v>7</v>
      </c>
    </row>
    <row r="2562" spans="1:15" x14ac:dyDescent="0.25">
      <c r="A2562" s="64" t="s">
        <v>184</v>
      </c>
      <c r="B2562" s="82" t="str">
        <f>IF(Eleventh!B65="", "",Eleventh!B65)</f>
        <v>Psychologist</v>
      </c>
      <c r="C2562" s="1" t="str">
        <f>IF(Eleventh!C65="", "",Eleventh!C65)</f>
        <v>PwC</v>
      </c>
      <c r="D2562" s="1" t="str">
        <f>IF(Eleventh!D65="", "",Eleventh!D65)</f>
        <v>Returning</v>
      </c>
      <c r="E2562" s="1" t="str">
        <f>IF(Eleventh!E65="", "",Eleventh!E65)</f>
        <v>Male</v>
      </c>
      <c r="F2562" s="1" t="str">
        <f>IF(Eleventh!F65="", "",Eleventh!F65)</f>
        <v>Lung</v>
      </c>
      <c r="G2562" s="1" t="str">
        <f>IF(Eleventh!G65="", "",Eleventh!G65)</f>
        <v>Non-Curative Intent</v>
      </c>
      <c r="H2562" s="1" t="str">
        <f>IF(Eleventh!H65="", "",Eleventh!H65)</f>
        <v>Programme</v>
      </c>
      <c r="I2562" s="1" t="str">
        <f>IF(Eleventh!I65="", "",Eleventh!I65)</f>
        <v>FSG Men's</v>
      </c>
      <c r="J2562" s="1" t="str">
        <f>IF(Eleventh!J65="", "",Eleventh!J65)</f>
        <v/>
      </c>
      <c r="K2562" s="83" t="str">
        <f>IF(Eleventh!K65="", "",Eleventh!K65)</f>
        <v/>
      </c>
      <c r="M2562" s="67">
        <f t="shared" si="119"/>
        <v>7</v>
      </c>
      <c r="N2562" s="76" t="str">
        <f t="shared" si="120"/>
        <v/>
      </c>
      <c r="O2562" s="33">
        <f t="shared" ref="O2562:O2625" si="121">SUM(M2562:N2562)</f>
        <v>7</v>
      </c>
    </row>
    <row r="2563" spans="1:15" x14ac:dyDescent="0.25">
      <c r="A2563" s="64" t="s">
        <v>184</v>
      </c>
      <c r="B2563" s="82" t="str">
        <f>IF(Eleventh!B66="", "",Eleventh!B66)</f>
        <v>Psychologist</v>
      </c>
      <c r="C2563" s="1" t="str">
        <f>IF(Eleventh!C66="", "",Eleventh!C66)</f>
        <v>PwC</v>
      </c>
      <c r="D2563" s="1" t="str">
        <f>IF(Eleventh!D66="", "",Eleventh!D66)</f>
        <v>Returning</v>
      </c>
      <c r="E2563" s="1" t="str">
        <f>IF(Eleventh!E66="", "",Eleventh!E66)</f>
        <v>Male</v>
      </c>
      <c r="F2563" s="1" t="str">
        <f>IF(Eleventh!F66="", "",Eleventh!F66)</f>
        <v>Head/Neck</v>
      </c>
      <c r="G2563" s="1" t="str">
        <f>IF(Eleventh!G66="", "",Eleventh!G66)</f>
        <v>Non-Curative Intent</v>
      </c>
      <c r="H2563" s="1" t="str">
        <f>IF(Eleventh!H66="", "",Eleventh!H66)</f>
        <v>Programme</v>
      </c>
      <c r="I2563" s="1" t="str">
        <f>IF(Eleventh!I66="", "",Eleventh!I66)</f>
        <v>FSG Men's</v>
      </c>
      <c r="J2563" s="1" t="str">
        <f>IF(Eleventh!J66="", "",Eleventh!J66)</f>
        <v/>
      </c>
      <c r="K2563" s="83" t="str">
        <f>IF(Eleventh!K66="", "",Eleventh!K66)</f>
        <v/>
      </c>
      <c r="M2563" s="67">
        <f t="shared" ref="M2563:M2626" si="122">IF(C2563="PwC",(7-COUNTIF(B2563:H2563,"")),"")</f>
        <v>7</v>
      </c>
      <c r="N2563" s="76" t="str">
        <f t="shared" ref="N2563:N2626" si="123">IF(C2563="Carer",(7-COUNTIF(B2563:H2563,"")),"")</f>
        <v/>
      </c>
      <c r="O2563" s="33">
        <f t="shared" si="121"/>
        <v>7</v>
      </c>
    </row>
    <row r="2564" spans="1:15" x14ac:dyDescent="0.25">
      <c r="A2564" s="64" t="s">
        <v>184</v>
      </c>
      <c r="B2564" s="82" t="str">
        <f>IF(Eleventh!B67="", "",Eleventh!B67)</f>
        <v>Psychologist</v>
      </c>
      <c r="C2564" s="1" t="str">
        <f>IF(Eleventh!C67="", "",Eleventh!C67)</f>
        <v>PwC</v>
      </c>
      <c r="D2564" s="1" t="str">
        <f>IF(Eleventh!D67="", "",Eleventh!D67)</f>
        <v>Returning</v>
      </c>
      <c r="E2564" s="1" t="str">
        <f>IF(Eleventh!E67="", "",Eleventh!E67)</f>
        <v>Male</v>
      </c>
      <c r="F2564" s="1" t="str">
        <f>IF(Eleventh!F67="", "",Eleventh!F67)</f>
        <v>Lung</v>
      </c>
      <c r="G2564" s="1" t="str">
        <f>IF(Eleventh!G67="", "",Eleventh!G67)</f>
        <v>Non-Curative Intent</v>
      </c>
      <c r="H2564" s="1" t="str">
        <f>IF(Eleventh!H67="", "",Eleventh!H67)</f>
        <v>Programme</v>
      </c>
      <c r="I2564" s="1" t="str">
        <f>IF(Eleventh!I67="", "",Eleventh!I67)</f>
        <v>FSG Men's</v>
      </c>
      <c r="J2564" s="1" t="str">
        <f>IF(Eleventh!J67="", "",Eleventh!J67)</f>
        <v/>
      </c>
      <c r="K2564" s="83" t="str">
        <f>IF(Eleventh!K67="", "",Eleventh!K67)</f>
        <v/>
      </c>
      <c r="M2564" s="67">
        <f t="shared" si="122"/>
        <v>7</v>
      </c>
      <c r="N2564" s="76" t="str">
        <f t="shared" si="123"/>
        <v/>
      </c>
      <c r="O2564" s="33">
        <f t="shared" si="121"/>
        <v>7</v>
      </c>
    </row>
    <row r="2565" spans="1:15" x14ac:dyDescent="0.25">
      <c r="A2565" s="64" t="s">
        <v>184</v>
      </c>
      <c r="B2565" s="82" t="str">
        <f>IF(Eleventh!B68="", "",Eleventh!B68)</f>
        <v>Psychologist</v>
      </c>
      <c r="C2565" s="1" t="str">
        <f>IF(Eleventh!C68="", "",Eleventh!C68)</f>
        <v>PwC</v>
      </c>
      <c r="D2565" s="1" t="str">
        <f>IF(Eleventh!D68="", "",Eleventh!D68)</f>
        <v>Returning</v>
      </c>
      <c r="E2565" s="1" t="str">
        <f>IF(Eleventh!E68="", "",Eleventh!E68)</f>
        <v>Male</v>
      </c>
      <c r="F2565" s="1" t="str">
        <f>IF(Eleventh!F68="", "",Eleventh!F68)</f>
        <v>Lower GI</v>
      </c>
      <c r="G2565" s="1" t="str">
        <f>IF(Eleventh!G68="", "",Eleventh!G68)</f>
        <v>Non-Curative Intent</v>
      </c>
      <c r="H2565" s="1" t="str">
        <f>IF(Eleventh!H68="", "",Eleventh!H68)</f>
        <v>Programme</v>
      </c>
      <c r="I2565" s="1" t="str">
        <f>IF(Eleventh!I68="", "",Eleventh!I68)</f>
        <v>FSG Men's</v>
      </c>
      <c r="J2565" s="1" t="str">
        <f>IF(Eleventh!J68="", "",Eleventh!J68)</f>
        <v/>
      </c>
      <c r="K2565" s="83" t="str">
        <f>IF(Eleventh!K68="", "",Eleventh!K68)</f>
        <v/>
      </c>
      <c r="M2565" s="67">
        <f t="shared" si="122"/>
        <v>7</v>
      </c>
      <c r="N2565" s="76" t="str">
        <f t="shared" si="123"/>
        <v/>
      </c>
      <c r="O2565" s="33">
        <f t="shared" si="121"/>
        <v>7</v>
      </c>
    </row>
    <row r="2566" spans="1:15" x14ac:dyDescent="0.25">
      <c r="A2566" s="64" t="s">
        <v>184</v>
      </c>
      <c r="B2566" s="82" t="str">
        <f>IF(Eleventh!B69="", "",Eleventh!B69)</f>
        <v>Psychologist</v>
      </c>
      <c r="C2566" s="1" t="str">
        <f>IF(Eleventh!C69="", "",Eleventh!C69)</f>
        <v>PwC</v>
      </c>
      <c r="D2566" s="1" t="str">
        <f>IF(Eleventh!D69="", "",Eleventh!D69)</f>
        <v>Returning</v>
      </c>
      <c r="E2566" s="1" t="str">
        <f>IF(Eleventh!E69="", "",Eleventh!E69)</f>
        <v>Male</v>
      </c>
      <c r="F2566" s="1" t="str">
        <f>IF(Eleventh!F69="", "",Eleventh!F69)</f>
        <v>Urolog</v>
      </c>
      <c r="G2566" s="1" t="str">
        <f>IF(Eleventh!G69="", "",Eleventh!G69)</f>
        <v>Non-Curative Intent</v>
      </c>
      <c r="H2566" s="1" t="str">
        <f>IF(Eleventh!H69="", "",Eleventh!H69)</f>
        <v>Programme</v>
      </c>
      <c r="I2566" s="1" t="str">
        <f>IF(Eleventh!I69="", "",Eleventh!I69)</f>
        <v>FSG Men's</v>
      </c>
      <c r="J2566" s="1" t="str">
        <f>IF(Eleventh!J69="", "",Eleventh!J69)</f>
        <v/>
      </c>
      <c r="K2566" s="83" t="str">
        <f>IF(Eleventh!K69="", "",Eleventh!K69)</f>
        <v/>
      </c>
      <c r="M2566" s="67">
        <f t="shared" si="122"/>
        <v>7</v>
      </c>
      <c r="N2566" s="76" t="str">
        <f t="shared" si="123"/>
        <v/>
      </c>
      <c r="O2566" s="33">
        <f t="shared" si="121"/>
        <v>7</v>
      </c>
    </row>
    <row r="2567" spans="1:15" x14ac:dyDescent="0.25">
      <c r="A2567" s="64" t="s">
        <v>184</v>
      </c>
      <c r="B2567" s="82" t="str">
        <f>IF(Eleventh!B70="", "",Eleventh!B70)</f>
        <v>Psychologist</v>
      </c>
      <c r="C2567" s="1" t="str">
        <f>IF(Eleventh!C70="", "",Eleventh!C70)</f>
        <v>Carer</v>
      </c>
      <c r="D2567" s="1" t="str">
        <f>IF(Eleventh!D70="", "",Eleventh!D70)</f>
        <v>Returning</v>
      </c>
      <c r="E2567" s="1" t="str">
        <f>IF(Eleventh!E70="", "",Eleventh!E70)</f>
        <v>Female</v>
      </c>
      <c r="F2567" s="1" t="str">
        <f>IF(Eleventh!F70="", "",Eleventh!F70)</f>
        <v>Lower GI</v>
      </c>
      <c r="G2567" s="1" t="str">
        <f>IF(Eleventh!G70="", "",Eleventh!G70)</f>
        <v>Bereaved</v>
      </c>
      <c r="H2567" s="1" t="str">
        <f>IF(Eleventh!H70="", "",Eleventh!H70)</f>
        <v>Booked</v>
      </c>
      <c r="I2567" s="1" t="str">
        <f>IF(Eleventh!I70="", "",Eleventh!I70)</f>
        <v>Psych Support - Individual</v>
      </c>
      <c r="J2567" s="1" t="str">
        <f>IF(Eleventh!J70="", "",Eleventh!J70)</f>
        <v/>
      </c>
      <c r="K2567" s="83" t="str">
        <f>IF(Eleventh!K70="", "",Eleventh!K70)</f>
        <v/>
      </c>
      <c r="M2567" s="67" t="str">
        <f t="shared" si="122"/>
        <v/>
      </c>
      <c r="N2567" s="76">
        <f t="shared" si="123"/>
        <v>7</v>
      </c>
      <c r="O2567" s="33">
        <f t="shared" si="121"/>
        <v>7</v>
      </c>
    </row>
    <row r="2568" spans="1:15" x14ac:dyDescent="0.25">
      <c r="A2568" s="64" t="s">
        <v>184</v>
      </c>
      <c r="B2568" s="82" t="str">
        <f>IF(Eleventh!B71="", "",Eleventh!B71)</f>
        <v>Psychologist</v>
      </c>
      <c r="C2568" s="1" t="str">
        <f>IF(Eleventh!C71="", "",Eleventh!C71)</f>
        <v>PwC</v>
      </c>
      <c r="D2568" s="1" t="str">
        <f>IF(Eleventh!D71="", "",Eleventh!D71)</f>
        <v>New</v>
      </c>
      <c r="E2568" s="1" t="str">
        <f>IF(Eleventh!E71="", "",Eleventh!E71)</f>
        <v>Male</v>
      </c>
      <c r="F2568" s="1" t="str">
        <f>IF(Eleventh!F71="", "",Eleventh!F71)</f>
        <v>Haemat</v>
      </c>
      <c r="G2568" s="1" t="str">
        <f>IF(Eleventh!G71="", "",Eleventh!G71)</f>
        <v>Non-Curative Intent</v>
      </c>
      <c r="H2568" s="1" t="str">
        <f>IF(Eleventh!H71="", "",Eleventh!H71)</f>
        <v>Booked</v>
      </c>
      <c r="I2568" s="1" t="str">
        <f>IF(Eleventh!I71="", "",Eleventh!I71)</f>
        <v>Psych Support - Individual</v>
      </c>
      <c r="J2568" s="1" t="str">
        <f>IF(Eleventh!J71="", "",Eleventh!J71)</f>
        <v/>
      </c>
      <c r="K2568" s="83" t="str">
        <f>IF(Eleventh!K71="", "",Eleventh!K71)</f>
        <v/>
      </c>
      <c r="M2568" s="67">
        <f t="shared" si="122"/>
        <v>7</v>
      </c>
      <c r="N2568" s="76" t="str">
        <f t="shared" si="123"/>
        <v/>
      </c>
      <c r="O2568" s="33">
        <f t="shared" si="121"/>
        <v>7</v>
      </c>
    </row>
    <row r="2569" spans="1:15" x14ac:dyDescent="0.25">
      <c r="A2569" s="64" t="s">
        <v>184</v>
      </c>
      <c r="B2569" s="82" t="str">
        <f>IF(Eleventh!B72="", "",Eleventh!B72)</f>
        <v>Psychologist</v>
      </c>
      <c r="C2569" s="1" t="str">
        <f>IF(Eleventh!C72="", "",Eleventh!C72)</f>
        <v>Carer</v>
      </c>
      <c r="D2569" s="1" t="str">
        <f>IF(Eleventh!D72="", "",Eleventh!D72)</f>
        <v>Returning</v>
      </c>
      <c r="E2569" s="1" t="str">
        <f>IF(Eleventh!E72="", "",Eleventh!E72)</f>
        <v>Female</v>
      </c>
      <c r="F2569" s="1" t="str">
        <f>IF(Eleventh!F72="", "",Eleventh!F72)</f>
        <v>Haemat</v>
      </c>
      <c r="G2569" s="1" t="str">
        <f>IF(Eleventh!G72="", "",Eleventh!G72)</f>
        <v>Non-Curative Intent</v>
      </c>
      <c r="H2569" s="1" t="str">
        <f>IF(Eleventh!H72="", "",Eleventh!H72)</f>
        <v>Booked</v>
      </c>
      <c r="I2569" s="1" t="str">
        <f>IF(Eleventh!I72="", "",Eleventh!I72)</f>
        <v>Psych Support - Individual</v>
      </c>
      <c r="J2569" s="1" t="str">
        <f>IF(Eleventh!J72="", "",Eleventh!J72)</f>
        <v/>
      </c>
      <c r="K2569" s="83" t="str">
        <f>IF(Eleventh!K72="", "",Eleventh!K72)</f>
        <v/>
      </c>
      <c r="M2569" s="67" t="str">
        <f t="shared" si="122"/>
        <v/>
      </c>
      <c r="N2569" s="76">
        <f t="shared" si="123"/>
        <v>7</v>
      </c>
      <c r="O2569" s="33">
        <f t="shared" si="121"/>
        <v>7</v>
      </c>
    </row>
    <row r="2570" spans="1:15" x14ac:dyDescent="0.25">
      <c r="A2570" s="64" t="s">
        <v>184</v>
      </c>
      <c r="B2570" s="82" t="str">
        <f>IF(Eleventh!B73="", "",Eleventh!B73)</f>
        <v>Centre Head</v>
      </c>
      <c r="C2570" s="1" t="str">
        <f>IF(Eleventh!C73="", "",Eleventh!C73)</f>
        <v>PwC</v>
      </c>
      <c r="D2570" s="1" t="str">
        <f>IF(Eleventh!D73="", "",Eleventh!D73)</f>
        <v>Returning</v>
      </c>
      <c r="E2570" s="1" t="str">
        <f>IF(Eleventh!E73="", "",Eleventh!E73)</f>
        <v>Male</v>
      </c>
      <c r="F2570" s="1" t="str">
        <f>IF(Eleventh!F73="", "",Eleventh!F73)</f>
        <v>Haemat</v>
      </c>
      <c r="G2570" s="1" t="str">
        <f>IF(Eleventh!G73="", "",Eleventh!G73)</f>
        <v>Non-Curative Intent</v>
      </c>
      <c r="H2570" s="1" t="str">
        <f>IF(Eleventh!H73="", "",Eleventh!H73)</f>
        <v>Booked</v>
      </c>
      <c r="I2570" s="1" t="str">
        <f>IF(Eleventh!I73="", "",Eleventh!I73)</f>
        <v>Psych Support - Individual</v>
      </c>
      <c r="J2570" s="1" t="str">
        <f>IF(Eleventh!J73="", "",Eleventh!J73)</f>
        <v/>
      </c>
      <c r="K2570" s="83" t="str">
        <f>IF(Eleventh!K73="", "",Eleventh!K73)</f>
        <v/>
      </c>
      <c r="M2570" s="67">
        <f t="shared" si="122"/>
        <v>7</v>
      </c>
      <c r="N2570" s="76" t="str">
        <f t="shared" si="123"/>
        <v/>
      </c>
      <c r="O2570" s="33">
        <f t="shared" si="121"/>
        <v>7</v>
      </c>
    </row>
    <row r="2571" spans="1:15" x14ac:dyDescent="0.25">
      <c r="A2571" s="64" t="s">
        <v>184</v>
      </c>
      <c r="B2571" s="82" t="str">
        <f>IF(Eleventh!B74="", "",Eleventh!B74)</f>
        <v>Centre Head</v>
      </c>
      <c r="C2571" s="1" t="str">
        <f>IF(Eleventh!C74="", "",Eleventh!C74)</f>
        <v>PwC</v>
      </c>
      <c r="D2571" s="1" t="str">
        <f>IF(Eleventh!D74="", "",Eleventh!D74)</f>
        <v>Returning</v>
      </c>
      <c r="E2571" s="1" t="str">
        <f>IF(Eleventh!E74="", "",Eleventh!E74)</f>
        <v>Female</v>
      </c>
      <c r="F2571" s="1" t="str">
        <f>IF(Eleventh!F74="", "",Eleventh!F74)</f>
        <v>Breast</v>
      </c>
      <c r="G2571" s="1" t="str">
        <f>IF(Eleventh!G74="", "",Eleventh!G74)</f>
        <v>Post Treatment - Curative Intent</v>
      </c>
      <c r="H2571" s="1" t="str">
        <f>IF(Eleventh!H74="", "",Eleventh!H74)</f>
        <v>Booked</v>
      </c>
      <c r="I2571" s="1" t="str">
        <f>IF(Eleventh!I74="", "",Eleventh!I74)</f>
        <v>Psych Support - Individual</v>
      </c>
      <c r="J2571" s="1" t="str">
        <f>IF(Eleventh!J74="", "",Eleventh!J74)</f>
        <v/>
      </c>
      <c r="K2571" s="83" t="str">
        <f>IF(Eleventh!K74="", "",Eleventh!K74)</f>
        <v/>
      </c>
      <c r="M2571" s="67">
        <f t="shared" si="122"/>
        <v>7</v>
      </c>
      <c r="N2571" s="76" t="str">
        <f t="shared" si="123"/>
        <v/>
      </c>
      <c r="O2571" s="33">
        <f t="shared" si="121"/>
        <v>7</v>
      </c>
    </row>
    <row r="2572" spans="1:15" x14ac:dyDescent="0.25">
      <c r="A2572" s="64" t="s">
        <v>184</v>
      </c>
      <c r="B2572" s="82" t="str">
        <f>IF(Eleventh!B75="", "",Eleventh!B75)</f>
        <v>Centre Head</v>
      </c>
      <c r="C2572" s="1" t="str">
        <f>IF(Eleventh!C75="", "",Eleventh!C75)</f>
        <v>PwC</v>
      </c>
      <c r="D2572" s="1" t="str">
        <f>IF(Eleventh!D75="", "",Eleventh!D75)</f>
        <v>Returning</v>
      </c>
      <c r="E2572" s="1" t="str">
        <f>IF(Eleventh!E75="", "",Eleventh!E75)</f>
        <v>Female</v>
      </c>
      <c r="F2572" s="1" t="str">
        <f>IF(Eleventh!F75="", "",Eleventh!F75)</f>
        <v>Rare</v>
      </c>
      <c r="G2572" s="1" t="str">
        <f>IF(Eleventh!G75="", "",Eleventh!G75)</f>
        <v>Non-Curative Intent</v>
      </c>
      <c r="H2572" s="1" t="str">
        <f>IF(Eleventh!H75="", "",Eleventh!H75)</f>
        <v>Booked</v>
      </c>
      <c r="I2572" s="1" t="str">
        <f>IF(Eleventh!I75="", "",Eleventh!I75)</f>
        <v>Psych Support - Individual</v>
      </c>
      <c r="J2572" s="1" t="str">
        <f>IF(Eleventh!J75="", "",Eleventh!J75)</f>
        <v/>
      </c>
      <c r="K2572" s="83" t="str">
        <f>IF(Eleventh!K75="", "",Eleventh!K75)</f>
        <v/>
      </c>
      <c r="M2572" s="67">
        <f t="shared" si="122"/>
        <v>7</v>
      </c>
      <c r="N2572" s="76" t="str">
        <f t="shared" si="123"/>
        <v/>
      </c>
      <c r="O2572" s="33">
        <f t="shared" si="121"/>
        <v>7</v>
      </c>
    </row>
    <row r="2573" spans="1:15" x14ac:dyDescent="0.25">
      <c r="A2573" s="64" t="s">
        <v>184</v>
      </c>
      <c r="B2573" s="82" t="str">
        <f>IF(Eleventh!B76="", "",Eleventh!B76)</f>
        <v>Centre Head</v>
      </c>
      <c r="C2573" s="1" t="str">
        <f>IF(Eleventh!C76="", "",Eleventh!C76)</f>
        <v>PwC</v>
      </c>
      <c r="D2573" s="1" t="str">
        <f>IF(Eleventh!D76="", "",Eleventh!D76)</f>
        <v>Returning</v>
      </c>
      <c r="E2573" s="1" t="str">
        <f>IF(Eleventh!E76="", "",Eleventh!E76)</f>
        <v>Female</v>
      </c>
      <c r="F2573" s="1" t="str">
        <f>IF(Eleventh!F76="", "",Eleventh!F76)</f>
        <v>Rare</v>
      </c>
      <c r="G2573" s="1" t="str">
        <f>IF(Eleventh!G76="", "",Eleventh!G76)</f>
        <v>Non-Curative Intent</v>
      </c>
      <c r="H2573" s="1" t="str">
        <f>IF(Eleventh!H76="", "",Eleventh!H76)</f>
        <v>Booked</v>
      </c>
      <c r="I2573" s="1" t="str">
        <f>IF(Eleventh!I76="", "",Eleventh!I76)</f>
        <v>Psych Support - Individual</v>
      </c>
      <c r="J2573" s="1" t="str">
        <f>IF(Eleventh!J76="", "",Eleventh!J76)</f>
        <v/>
      </c>
      <c r="K2573" s="83" t="str">
        <f>IF(Eleventh!K76="", "",Eleventh!K76)</f>
        <v/>
      </c>
      <c r="M2573" s="67">
        <f t="shared" si="122"/>
        <v>7</v>
      </c>
      <c r="N2573" s="76" t="str">
        <f t="shared" si="123"/>
        <v/>
      </c>
      <c r="O2573" s="33">
        <f t="shared" si="121"/>
        <v>7</v>
      </c>
    </row>
    <row r="2574" spans="1:15" x14ac:dyDescent="0.25">
      <c r="A2574" s="64" t="s">
        <v>184</v>
      </c>
      <c r="B2574" s="82" t="str">
        <f>IF(Eleventh!B77="", "",Eleventh!B77)</f>
        <v>Centre Head</v>
      </c>
      <c r="C2574" s="1" t="str">
        <f>IF(Eleventh!C77="", "",Eleventh!C77)</f>
        <v>Carer</v>
      </c>
      <c r="D2574" s="1" t="str">
        <f>IF(Eleventh!D77="", "",Eleventh!D77)</f>
        <v>Returning</v>
      </c>
      <c r="E2574" s="1" t="str">
        <f>IF(Eleventh!E77="", "",Eleventh!E77)</f>
        <v>Male</v>
      </c>
      <c r="F2574" s="1" t="str">
        <f>IF(Eleventh!F77="", "",Eleventh!F77)</f>
        <v>Rare</v>
      </c>
      <c r="G2574" s="1" t="str">
        <f>IF(Eleventh!G77="", "",Eleventh!G77)</f>
        <v>Non-Curative Intent</v>
      </c>
      <c r="H2574" s="1" t="str">
        <f>IF(Eleventh!H77="", "",Eleventh!H77)</f>
        <v>Booked</v>
      </c>
      <c r="I2574" s="1" t="str">
        <f>IF(Eleventh!I77="", "",Eleventh!I77)</f>
        <v>Psych Support - Individual</v>
      </c>
      <c r="J2574" s="1" t="str">
        <f>IF(Eleventh!J77="", "",Eleventh!J77)</f>
        <v/>
      </c>
      <c r="K2574" s="83" t="str">
        <f>IF(Eleventh!K77="", "",Eleventh!K77)</f>
        <v/>
      </c>
      <c r="M2574" s="67" t="str">
        <f t="shared" si="122"/>
        <v/>
      </c>
      <c r="N2574" s="76">
        <f t="shared" si="123"/>
        <v>7</v>
      </c>
      <c r="O2574" s="33">
        <f t="shared" si="121"/>
        <v>7</v>
      </c>
    </row>
    <row r="2575" spans="1:15" x14ac:dyDescent="0.25">
      <c r="A2575" s="64" t="s">
        <v>184</v>
      </c>
      <c r="B2575" s="82" t="str">
        <f>IF(Eleventh!B78="", "",Eleventh!B78)</f>
        <v>Centre Head</v>
      </c>
      <c r="C2575" s="1" t="str">
        <f>IF(Eleventh!C78="", "",Eleventh!C78)</f>
        <v>PwC</v>
      </c>
      <c r="D2575" s="1" t="str">
        <f>IF(Eleventh!D78="", "",Eleventh!D78)</f>
        <v>Returning</v>
      </c>
      <c r="E2575" s="1" t="str">
        <f>IF(Eleventh!E78="", "",Eleventh!E78)</f>
        <v>Female</v>
      </c>
      <c r="F2575" s="1" t="str">
        <f>IF(Eleventh!F78="", "",Eleventh!F78)</f>
        <v>Upper GI</v>
      </c>
      <c r="G2575" s="1" t="str">
        <f>IF(Eleventh!G78="", "",Eleventh!G78)</f>
        <v>Non-Curative Intent</v>
      </c>
      <c r="H2575" s="1" t="str">
        <f>IF(Eleventh!H78="", "",Eleventh!H78)</f>
        <v>Drop-In</v>
      </c>
      <c r="I2575" s="1" t="str">
        <f>IF(Eleventh!I78="", "",Eleventh!I78)</f>
        <v/>
      </c>
      <c r="J2575" s="1" t="str">
        <f>IF(Eleventh!J78="", "",Eleventh!J78)</f>
        <v/>
      </c>
      <c r="K2575" s="83" t="str">
        <f>IF(Eleventh!K78="", "",Eleventh!K78)</f>
        <v/>
      </c>
      <c r="M2575" s="67">
        <f t="shared" si="122"/>
        <v>7</v>
      </c>
      <c r="N2575" s="76" t="str">
        <f t="shared" si="123"/>
        <v/>
      </c>
      <c r="O2575" s="33">
        <f t="shared" si="121"/>
        <v>7</v>
      </c>
    </row>
    <row r="2576" spans="1:15" x14ac:dyDescent="0.25">
      <c r="A2576" s="64" t="s">
        <v>184</v>
      </c>
      <c r="B2576" s="82" t="str">
        <f>IF(Eleventh!B79="", "",Eleventh!B79)</f>
        <v>Sessional Staff</v>
      </c>
      <c r="C2576" s="1" t="str">
        <f>IF(Eleventh!C79="", "",Eleventh!C79)</f>
        <v>PwC</v>
      </c>
      <c r="D2576" s="1" t="str">
        <f>IF(Eleventh!D79="", "",Eleventh!D79)</f>
        <v>Returning</v>
      </c>
      <c r="E2576" s="1" t="str">
        <f>IF(Eleventh!E79="", "",Eleventh!E79)</f>
        <v>Female</v>
      </c>
      <c r="F2576" s="1" t="str">
        <f>IF(Eleventh!F79="", "",Eleventh!F79)</f>
        <v>Upper GI</v>
      </c>
      <c r="G2576" s="1" t="str">
        <f>IF(Eleventh!G79="", "",Eleventh!G79)</f>
        <v>Bereaved</v>
      </c>
      <c r="H2576" s="1" t="str">
        <f>IF(Eleventh!H79="", "",Eleventh!H79)</f>
        <v>Programme</v>
      </c>
      <c r="I2576" s="1" t="str">
        <f>IF(Eleventh!I79="", "",Eleventh!I79)</f>
        <v>Nutrition</v>
      </c>
      <c r="J2576" s="1" t="str">
        <f>IF(Eleventh!J79="", "",Eleventh!J79)</f>
        <v/>
      </c>
      <c r="K2576" s="83" t="str">
        <f>IF(Eleventh!K79="", "",Eleventh!K79)</f>
        <v/>
      </c>
      <c r="M2576" s="67">
        <f t="shared" si="122"/>
        <v>7</v>
      </c>
      <c r="N2576" s="76" t="str">
        <f t="shared" si="123"/>
        <v/>
      </c>
      <c r="O2576" s="33">
        <f t="shared" si="121"/>
        <v>7</v>
      </c>
    </row>
    <row r="2577" spans="1:15" x14ac:dyDescent="0.25">
      <c r="A2577" s="64" t="s">
        <v>184</v>
      </c>
      <c r="B2577" s="82" t="str">
        <f>IF(Eleventh!B80="", "",Eleventh!B80)</f>
        <v>Centre Head</v>
      </c>
      <c r="C2577" s="1" t="str">
        <f>IF(Eleventh!C80="", "",Eleventh!C80)</f>
        <v>Carer</v>
      </c>
      <c r="D2577" s="1" t="str">
        <f>IF(Eleventh!D80="", "",Eleventh!D80)</f>
        <v>Returning</v>
      </c>
      <c r="E2577" s="1" t="str">
        <f>IF(Eleventh!E80="", "",Eleventh!E80)</f>
        <v>Male</v>
      </c>
      <c r="F2577" s="1" t="str">
        <f>IF(Eleventh!F80="", "",Eleventh!F80)</f>
        <v>Upper GI</v>
      </c>
      <c r="G2577" s="1" t="str">
        <f>IF(Eleventh!G80="", "",Eleventh!G80)</f>
        <v>Non-Curative Intent</v>
      </c>
      <c r="H2577" s="1" t="str">
        <f>IF(Eleventh!H80="", "",Eleventh!H80)</f>
        <v>Drop-In</v>
      </c>
      <c r="I2577" s="1" t="str">
        <f>IF(Eleventh!I80="", "",Eleventh!I80)</f>
        <v>Nutrition</v>
      </c>
      <c r="J2577" s="1" t="str">
        <f>IF(Eleventh!J80="", "",Eleventh!J80)</f>
        <v/>
      </c>
      <c r="K2577" s="83" t="str">
        <f>IF(Eleventh!K80="", "",Eleventh!K80)</f>
        <v/>
      </c>
      <c r="M2577" s="67" t="str">
        <f t="shared" si="122"/>
        <v/>
      </c>
      <c r="N2577" s="76">
        <f t="shared" si="123"/>
        <v>7</v>
      </c>
      <c r="O2577" s="33">
        <f t="shared" si="121"/>
        <v>7</v>
      </c>
    </row>
    <row r="2578" spans="1:15" x14ac:dyDescent="0.25">
      <c r="A2578" s="64" t="s">
        <v>184</v>
      </c>
      <c r="B2578" s="82" t="str">
        <f>IF(Eleventh!B81="", "",Eleventh!B81)</f>
        <v>Centre Head</v>
      </c>
      <c r="C2578" s="1" t="str">
        <f>IF(Eleventh!C81="", "",Eleventh!C81)</f>
        <v>Carer</v>
      </c>
      <c r="D2578" s="1" t="str">
        <f>IF(Eleventh!D81="", "",Eleventh!D81)</f>
        <v>New</v>
      </c>
      <c r="E2578" s="1" t="str">
        <f>IF(Eleventh!E81="", "",Eleventh!E81)</f>
        <v>Female</v>
      </c>
      <c r="F2578" s="1" t="str">
        <f>IF(Eleventh!F81="", "",Eleventh!F81)</f>
        <v>Upper GI</v>
      </c>
      <c r="G2578" s="1" t="str">
        <f>IF(Eleventh!G81="", "",Eleventh!G81)</f>
        <v>Non-Curative Intent</v>
      </c>
      <c r="H2578" s="1" t="str">
        <f>IF(Eleventh!H81="", "",Eleventh!H81)</f>
        <v>Drop-In</v>
      </c>
      <c r="I2578" s="1" t="str">
        <f>IF(Eleventh!I81="", "",Eleventh!I81)</f>
        <v/>
      </c>
      <c r="J2578" s="1" t="str">
        <f>IF(Eleventh!J81="", "",Eleventh!J81)</f>
        <v/>
      </c>
      <c r="K2578" s="83" t="str">
        <f>IF(Eleventh!K81="", "",Eleventh!K81)</f>
        <v/>
      </c>
      <c r="M2578" s="67" t="str">
        <f t="shared" si="122"/>
        <v/>
      </c>
      <c r="N2578" s="76">
        <f t="shared" si="123"/>
        <v>7</v>
      </c>
      <c r="O2578" s="33">
        <f t="shared" si="121"/>
        <v>7</v>
      </c>
    </row>
    <row r="2579" spans="1:15" x14ac:dyDescent="0.25">
      <c r="A2579" s="64" t="s">
        <v>184</v>
      </c>
      <c r="B2579" s="82" t="str">
        <f>IF(Eleventh!B82="", "",Eleventh!B82)</f>
        <v>Centre Head</v>
      </c>
      <c r="C2579" s="1" t="str">
        <f>IF(Eleventh!C82="", "",Eleventh!C82)</f>
        <v>PwC</v>
      </c>
      <c r="D2579" s="1" t="str">
        <f>IF(Eleventh!D82="", "",Eleventh!D82)</f>
        <v>Returning</v>
      </c>
      <c r="E2579" s="1" t="str">
        <f>IF(Eleventh!E82="", "",Eleventh!E82)</f>
        <v>Female</v>
      </c>
      <c r="F2579" s="1" t="str">
        <f>IF(Eleventh!F82="", "",Eleventh!F82)</f>
        <v>Breast</v>
      </c>
      <c r="G2579" s="1" t="str">
        <f>IF(Eleventh!G82="", "",Eleventh!G82)</f>
        <v>Post Treatment - Curative Intent</v>
      </c>
      <c r="H2579" s="1" t="str">
        <f>IF(Eleventh!H82="", "",Eleventh!H82)</f>
        <v>Booked</v>
      </c>
      <c r="I2579" s="1" t="str">
        <f>IF(Eleventh!I82="", "",Eleventh!I82)</f>
        <v>Psych Support - Individual</v>
      </c>
      <c r="J2579" s="1" t="str">
        <f>IF(Eleventh!J82="", "",Eleventh!J82)</f>
        <v/>
      </c>
      <c r="K2579" s="83" t="str">
        <f>IF(Eleventh!K82="", "",Eleventh!K82)</f>
        <v/>
      </c>
      <c r="M2579" s="67">
        <f t="shared" si="122"/>
        <v>7</v>
      </c>
      <c r="N2579" s="76" t="str">
        <f t="shared" si="123"/>
        <v/>
      </c>
      <c r="O2579" s="33">
        <f t="shared" si="121"/>
        <v>7</v>
      </c>
    </row>
    <row r="2580" spans="1:15" x14ac:dyDescent="0.25">
      <c r="A2580" s="64" t="s">
        <v>184</v>
      </c>
      <c r="B2580" s="82" t="str">
        <f>IF(Eleventh!B83="", "",Eleventh!B83)</f>
        <v>Centre Head</v>
      </c>
      <c r="C2580" s="1" t="str">
        <f>IF(Eleventh!C83="", "",Eleventh!C83)</f>
        <v>PwC</v>
      </c>
      <c r="D2580" s="1" t="str">
        <f>IF(Eleventh!D83="", "",Eleventh!D83)</f>
        <v>Returning</v>
      </c>
      <c r="E2580" s="1" t="str">
        <f>IF(Eleventh!E83="", "",Eleventh!E83)</f>
        <v>Female</v>
      </c>
      <c r="F2580" s="1" t="str">
        <f>IF(Eleventh!F83="", "",Eleventh!F83)</f>
        <v>Haemat</v>
      </c>
      <c r="G2580" s="1" t="str">
        <f>IF(Eleventh!G83="", "",Eleventh!G83)</f>
        <v>Post Treatment - Curative Intent</v>
      </c>
      <c r="H2580" s="1" t="str">
        <f>IF(Eleventh!H83="", "",Eleventh!H83)</f>
        <v>Booked</v>
      </c>
      <c r="I2580" s="1" t="str">
        <f>IF(Eleventh!I83="", "",Eleventh!I83)</f>
        <v>Psych Support - Individual</v>
      </c>
      <c r="J2580" s="1" t="str">
        <f>IF(Eleventh!J83="", "",Eleventh!J83)</f>
        <v/>
      </c>
      <c r="K2580" s="83" t="str">
        <f>IF(Eleventh!K83="", "",Eleventh!K83)</f>
        <v/>
      </c>
      <c r="M2580" s="67">
        <f t="shared" si="122"/>
        <v>7</v>
      </c>
      <c r="N2580" s="76" t="str">
        <f t="shared" si="123"/>
        <v/>
      </c>
      <c r="O2580" s="33">
        <f t="shared" si="121"/>
        <v>7</v>
      </c>
    </row>
    <row r="2581" spans="1:15" x14ac:dyDescent="0.25">
      <c r="A2581" s="64" t="s">
        <v>184</v>
      </c>
      <c r="B2581" s="82" t="str">
        <f>IF(Eleventh!B84="", "",Eleventh!B84)</f>
        <v>Centre Head</v>
      </c>
      <c r="C2581" s="1" t="str">
        <f>IF(Eleventh!C84="", "",Eleventh!C84)</f>
        <v>PwC</v>
      </c>
      <c r="D2581" s="1" t="str">
        <f>IF(Eleventh!D84="", "",Eleventh!D84)</f>
        <v>New</v>
      </c>
      <c r="E2581" s="1" t="str">
        <f>IF(Eleventh!E84="", "",Eleventh!E84)</f>
        <v>Male</v>
      </c>
      <c r="F2581" s="1" t="str">
        <f>IF(Eleventh!F84="", "",Eleventh!F84)</f>
        <v>Head/Neck</v>
      </c>
      <c r="G2581" s="1" t="str">
        <f>IF(Eleventh!G84="", "",Eleventh!G84)</f>
        <v>Curative Intent</v>
      </c>
      <c r="H2581" s="1" t="str">
        <f>IF(Eleventh!H84="", "",Eleventh!H84)</f>
        <v>Booked</v>
      </c>
      <c r="I2581" s="1" t="str">
        <f>IF(Eleventh!I84="", "",Eleventh!I84)</f>
        <v>Psych Support - Individual</v>
      </c>
      <c r="J2581" s="1" t="str">
        <f>IF(Eleventh!J84="", "",Eleventh!J84)</f>
        <v/>
      </c>
      <c r="K2581" s="83" t="str">
        <f>IF(Eleventh!K84="", "",Eleventh!K84)</f>
        <v/>
      </c>
      <c r="M2581" s="67">
        <f t="shared" si="122"/>
        <v>7</v>
      </c>
      <c r="N2581" s="76" t="str">
        <f t="shared" si="123"/>
        <v/>
      </c>
      <c r="O2581" s="33">
        <f t="shared" si="121"/>
        <v>7</v>
      </c>
    </row>
    <row r="2582" spans="1:15" x14ac:dyDescent="0.25">
      <c r="A2582" s="64" t="s">
        <v>184</v>
      </c>
      <c r="B2582" s="82" t="str">
        <f>IF(Eleventh!B85="", "",Eleventh!B85)</f>
        <v>Centre Head</v>
      </c>
      <c r="C2582" s="1" t="str">
        <f>IF(Eleventh!C85="", "",Eleventh!C85)</f>
        <v>PwC</v>
      </c>
      <c r="D2582" s="1" t="str">
        <f>IF(Eleventh!D85="", "",Eleventh!D85)</f>
        <v>Returning</v>
      </c>
      <c r="E2582" s="1" t="str">
        <f>IF(Eleventh!E85="", "",Eleventh!E85)</f>
        <v>Female</v>
      </c>
      <c r="F2582" s="1" t="str">
        <f>IF(Eleventh!F85="", "",Eleventh!F85)</f>
        <v>Breast</v>
      </c>
      <c r="G2582" s="1" t="str">
        <f>IF(Eleventh!G85="", "",Eleventh!G85)</f>
        <v>Curative Intent</v>
      </c>
      <c r="H2582" s="1" t="str">
        <f>IF(Eleventh!H85="", "",Eleventh!H85)</f>
        <v>Booked</v>
      </c>
      <c r="I2582" s="1" t="str">
        <f>IF(Eleventh!I85="", "",Eleventh!I85)</f>
        <v>Psych Support - Individual</v>
      </c>
      <c r="J2582" s="1" t="str">
        <f>IF(Eleventh!J85="", "",Eleventh!J85)</f>
        <v/>
      </c>
      <c r="K2582" s="83" t="str">
        <f>IF(Eleventh!K85="", "",Eleventh!K85)</f>
        <v/>
      </c>
      <c r="M2582" s="67">
        <f t="shared" si="122"/>
        <v>7</v>
      </c>
      <c r="N2582" s="76" t="str">
        <f t="shared" si="123"/>
        <v/>
      </c>
      <c r="O2582" s="33">
        <f t="shared" si="121"/>
        <v>7</v>
      </c>
    </row>
    <row r="2583" spans="1:15" x14ac:dyDescent="0.25">
      <c r="A2583" s="64" t="s">
        <v>184</v>
      </c>
      <c r="B2583" s="82" t="str">
        <f>IF(Eleventh!B86="", "",Eleventh!B86)</f>
        <v>Centre Head</v>
      </c>
      <c r="C2583" s="1" t="str">
        <f>IF(Eleventh!C86="", "",Eleventh!C86)</f>
        <v>Carer</v>
      </c>
      <c r="D2583" s="1" t="str">
        <f>IF(Eleventh!D86="", "",Eleventh!D86)</f>
        <v>Returning</v>
      </c>
      <c r="E2583" s="1" t="str">
        <f>IF(Eleventh!E86="", "",Eleventh!E86)</f>
        <v>Female</v>
      </c>
      <c r="F2583" s="1" t="str">
        <f>IF(Eleventh!F86="", "",Eleventh!F86)</f>
        <v>Urolog</v>
      </c>
      <c r="G2583" s="1" t="str">
        <f>IF(Eleventh!G86="", "",Eleventh!G86)</f>
        <v>Bereaved</v>
      </c>
      <c r="H2583" s="1" t="str">
        <f>IF(Eleventh!H86="", "",Eleventh!H86)</f>
        <v>Booked</v>
      </c>
      <c r="I2583" s="1" t="str">
        <f>IF(Eleventh!I86="", "",Eleventh!I86)</f>
        <v>Psych Support - Individual</v>
      </c>
      <c r="J2583" s="1" t="str">
        <f>IF(Eleventh!J86="", "",Eleventh!J86)</f>
        <v/>
      </c>
      <c r="K2583" s="83" t="str">
        <f>IF(Eleventh!K86="", "",Eleventh!K86)</f>
        <v/>
      </c>
      <c r="M2583" s="67" t="str">
        <f t="shared" si="122"/>
        <v/>
      </c>
      <c r="N2583" s="76">
        <f t="shared" si="123"/>
        <v>7</v>
      </c>
      <c r="O2583" s="33">
        <f t="shared" si="121"/>
        <v>7</v>
      </c>
    </row>
    <row r="2584" spans="1:15" x14ac:dyDescent="0.25">
      <c r="A2584" s="64" t="s">
        <v>184</v>
      </c>
      <c r="B2584" s="82" t="str">
        <f>IF(Eleventh!B87="", "",Eleventh!B87)</f>
        <v>Centre Head</v>
      </c>
      <c r="C2584" s="1" t="str">
        <f>IF(Eleventh!C87="", "",Eleventh!C87)</f>
        <v>PwC</v>
      </c>
      <c r="D2584" s="1" t="str">
        <f>IF(Eleventh!D87="", "",Eleventh!D87)</f>
        <v>New</v>
      </c>
      <c r="E2584" s="1" t="str">
        <f>IF(Eleventh!E87="", "",Eleventh!E87)</f>
        <v>Male</v>
      </c>
      <c r="F2584" s="1" t="str">
        <f>IF(Eleventh!F87="", "",Eleventh!F87)</f>
        <v>Urolog</v>
      </c>
      <c r="G2584" s="1" t="str">
        <f>IF(Eleventh!G87="", "",Eleventh!G87)</f>
        <v>Non-Curative Intent</v>
      </c>
      <c r="H2584" s="1" t="str">
        <f>IF(Eleventh!H87="", "",Eleventh!H87)</f>
        <v>Drop-In</v>
      </c>
      <c r="I2584" s="1" t="str">
        <f>IF(Eleventh!I87="", "",Eleventh!I87)</f>
        <v/>
      </c>
      <c r="J2584" s="1" t="str">
        <f>IF(Eleventh!J87="", "",Eleventh!J87)</f>
        <v/>
      </c>
      <c r="K2584" s="83" t="str">
        <f>IF(Eleventh!K87="", "",Eleventh!K87)</f>
        <v/>
      </c>
      <c r="M2584" s="67">
        <f t="shared" si="122"/>
        <v>7</v>
      </c>
      <c r="N2584" s="76" t="str">
        <f t="shared" si="123"/>
        <v/>
      </c>
      <c r="O2584" s="33">
        <f t="shared" si="121"/>
        <v>7</v>
      </c>
    </row>
    <row r="2585" spans="1:15" x14ac:dyDescent="0.25">
      <c r="A2585" s="64" t="s">
        <v>184</v>
      </c>
      <c r="B2585" s="82" t="str">
        <f>IF(Eleventh!B88="", "",Eleventh!B88)</f>
        <v>Centre Head</v>
      </c>
      <c r="C2585" s="1" t="str">
        <f>IF(Eleventh!C88="", "",Eleventh!C88)</f>
        <v>Carer</v>
      </c>
      <c r="D2585" s="1" t="str">
        <f>IF(Eleventh!D88="", "",Eleventh!D88)</f>
        <v>New</v>
      </c>
      <c r="E2585" s="1" t="str">
        <f>IF(Eleventh!E88="", "",Eleventh!E88)</f>
        <v>Female</v>
      </c>
      <c r="F2585" s="1" t="str">
        <f>IF(Eleventh!F88="", "",Eleventh!F88)</f>
        <v>Urolog</v>
      </c>
      <c r="G2585" s="1" t="str">
        <f>IF(Eleventh!G88="", "",Eleventh!G88)</f>
        <v>Non-Curative Intent</v>
      </c>
      <c r="H2585" s="1" t="str">
        <f>IF(Eleventh!H88="", "",Eleventh!H88)</f>
        <v>Drop-In</v>
      </c>
      <c r="I2585" s="1" t="str">
        <f>IF(Eleventh!I88="", "",Eleventh!I88)</f>
        <v/>
      </c>
      <c r="J2585" s="1" t="str">
        <f>IF(Eleventh!J88="", "",Eleventh!J88)</f>
        <v/>
      </c>
      <c r="K2585" s="83" t="str">
        <f>IF(Eleventh!K88="", "",Eleventh!K88)</f>
        <v/>
      </c>
      <c r="M2585" s="67" t="str">
        <f t="shared" si="122"/>
        <v/>
      </c>
      <c r="N2585" s="76">
        <f t="shared" si="123"/>
        <v>7</v>
      </c>
      <c r="O2585" s="33">
        <f t="shared" si="121"/>
        <v>7</v>
      </c>
    </row>
    <row r="2586" spans="1:15" x14ac:dyDescent="0.25">
      <c r="A2586" s="64" t="s">
        <v>184</v>
      </c>
      <c r="B2586" s="82" t="str">
        <f>IF(Eleventh!B89="", "",Eleventh!B89)</f>
        <v>Centre Head</v>
      </c>
      <c r="C2586" s="1" t="str">
        <f>IF(Eleventh!C89="", "",Eleventh!C89)</f>
        <v>Carer</v>
      </c>
      <c r="D2586" s="1" t="str">
        <f>IF(Eleventh!D89="", "",Eleventh!D89)</f>
        <v>New</v>
      </c>
      <c r="E2586" s="1" t="str">
        <f>IF(Eleventh!E89="", "",Eleventh!E89)</f>
        <v>Female</v>
      </c>
      <c r="F2586" s="1" t="str">
        <f>IF(Eleventh!F89="", "",Eleventh!F89)</f>
        <v>Urolog</v>
      </c>
      <c r="G2586" s="1" t="str">
        <f>IF(Eleventh!G89="", "",Eleventh!G89)</f>
        <v>Non-Curative Intent</v>
      </c>
      <c r="H2586" s="1" t="str">
        <f>IF(Eleventh!H89="", "",Eleventh!H89)</f>
        <v>Drop-In</v>
      </c>
      <c r="I2586" s="1" t="str">
        <f>IF(Eleventh!I89="", "",Eleventh!I89)</f>
        <v/>
      </c>
      <c r="J2586" s="1" t="str">
        <f>IF(Eleventh!J89="", "",Eleventh!J89)</f>
        <v/>
      </c>
      <c r="K2586" s="83" t="str">
        <f>IF(Eleventh!K89="", "",Eleventh!K89)</f>
        <v/>
      </c>
      <c r="M2586" s="67" t="str">
        <f t="shared" si="122"/>
        <v/>
      </c>
      <c r="N2586" s="76">
        <f t="shared" si="123"/>
        <v>7</v>
      </c>
      <c r="O2586" s="33">
        <f t="shared" si="121"/>
        <v>7</v>
      </c>
    </row>
    <row r="2587" spans="1:15" x14ac:dyDescent="0.25">
      <c r="A2587" s="64" t="s">
        <v>184</v>
      </c>
      <c r="B2587" s="82" t="str">
        <f>IF(Eleventh!B90="", "",Eleventh!B90)</f>
        <v>Centre Head</v>
      </c>
      <c r="C2587" s="1" t="str">
        <f>IF(Eleventh!C90="", "",Eleventh!C90)</f>
        <v>PwC</v>
      </c>
      <c r="D2587" s="1" t="str">
        <f>IF(Eleventh!D90="", "",Eleventh!D90)</f>
        <v>New</v>
      </c>
      <c r="E2587" s="1" t="str">
        <f>IF(Eleventh!E90="", "",Eleventh!E90)</f>
        <v>Female</v>
      </c>
      <c r="F2587" s="1" t="str">
        <f>IF(Eleventh!F90="", "",Eleventh!F90)</f>
        <v>Breast</v>
      </c>
      <c r="G2587" s="1" t="str">
        <f>IF(Eleventh!G90="", "",Eleventh!G90)</f>
        <v>Curative Intent</v>
      </c>
      <c r="H2587" s="1" t="str">
        <f>IF(Eleventh!H90="", "",Eleventh!H90)</f>
        <v>Drop-In</v>
      </c>
      <c r="I2587" s="1" t="str">
        <f>IF(Eleventh!I90="", "",Eleventh!I90)</f>
        <v/>
      </c>
      <c r="J2587" s="1" t="str">
        <f>IF(Eleventh!J90="", "",Eleventh!J90)</f>
        <v/>
      </c>
      <c r="K2587" s="83" t="str">
        <f>IF(Eleventh!K90="", "",Eleventh!K90)</f>
        <v/>
      </c>
      <c r="M2587" s="67">
        <f t="shared" si="122"/>
        <v>7</v>
      </c>
      <c r="N2587" s="76" t="str">
        <f t="shared" si="123"/>
        <v/>
      </c>
      <c r="O2587" s="33">
        <f t="shared" si="121"/>
        <v>7</v>
      </c>
    </row>
    <row r="2588" spans="1:15" x14ac:dyDescent="0.25">
      <c r="A2588" s="64" t="s">
        <v>184</v>
      </c>
      <c r="B2588" s="82" t="str">
        <f>IF(Eleventh!B91="", "",Eleventh!B91)</f>
        <v>Centre Head</v>
      </c>
      <c r="C2588" s="1" t="str">
        <f>IF(Eleventh!C91="", "",Eleventh!C91)</f>
        <v>PwC</v>
      </c>
      <c r="D2588" s="1" t="str">
        <f>IF(Eleventh!D91="", "",Eleventh!D91)</f>
        <v>Returning</v>
      </c>
      <c r="E2588" s="1" t="str">
        <f>IF(Eleventh!E91="", "",Eleventh!E91)</f>
        <v>Male</v>
      </c>
      <c r="F2588" s="1" t="str">
        <f>IF(Eleventh!F91="", "",Eleventh!F91)</f>
        <v>Haemat</v>
      </c>
      <c r="G2588" s="1" t="str">
        <f>IF(Eleventh!G91="", "",Eleventh!G91)</f>
        <v>Curative Intent</v>
      </c>
      <c r="H2588" s="1" t="str">
        <f>IF(Eleventh!H91="", "",Eleventh!H91)</f>
        <v>Drop-In</v>
      </c>
      <c r="I2588" s="1" t="str">
        <f>IF(Eleventh!I91="", "",Eleventh!I91)</f>
        <v/>
      </c>
      <c r="J2588" s="1" t="str">
        <f>IF(Eleventh!J91="", "",Eleventh!J91)</f>
        <v/>
      </c>
      <c r="K2588" s="83" t="str">
        <f>IF(Eleventh!K91="", "",Eleventh!K91)</f>
        <v/>
      </c>
      <c r="M2588" s="67">
        <f t="shared" si="122"/>
        <v>7</v>
      </c>
      <c r="N2588" s="76" t="str">
        <f t="shared" si="123"/>
        <v/>
      </c>
      <c r="O2588" s="33">
        <f t="shared" si="121"/>
        <v>7</v>
      </c>
    </row>
    <row r="2589" spans="1:15" x14ac:dyDescent="0.25">
      <c r="A2589" s="64" t="s">
        <v>184</v>
      </c>
      <c r="B2589" s="82" t="str">
        <f>IF(Eleventh!B92="", "",Eleventh!B92)</f>
        <v>Centre Head</v>
      </c>
      <c r="C2589" s="1" t="str">
        <f>IF(Eleventh!C92="", "",Eleventh!C92)</f>
        <v>Carer</v>
      </c>
      <c r="D2589" s="1" t="str">
        <f>IF(Eleventh!D92="", "",Eleventh!D92)</f>
        <v>Returning</v>
      </c>
      <c r="E2589" s="1" t="str">
        <f>IF(Eleventh!E92="", "",Eleventh!E92)</f>
        <v>Female</v>
      </c>
      <c r="F2589" s="1" t="str">
        <f>IF(Eleventh!F92="", "",Eleventh!F92)</f>
        <v>Haemat</v>
      </c>
      <c r="G2589" s="1" t="str">
        <f>IF(Eleventh!G92="", "",Eleventh!G92)</f>
        <v>Curative Intent</v>
      </c>
      <c r="H2589" s="1" t="str">
        <f>IF(Eleventh!H92="", "",Eleventh!H92)</f>
        <v>Drop-In</v>
      </c>
      <c r="I2589" s="1" t="str">
        <f>IF(Eleventh!I92="", "",Eleventh!I92)</f>
        <v/>
      </c>
      <c r="J2589" s="1" t="str">
        <f>IF(Eleventh!J92="", "",Eleventh!J92)</f>
        <v/>
      </c>
      <c r="K2589" s="83" t="str">
        <f>IF(Eleventh!K92="", "",Eleventh!K92)</f>
        <v/>
      </c>
      <c r="M2589" s="67" t="str">
        <f t="shared" si="122"/>
        <v/>
      </c>
      <c r="N2589" s="76">
        <f t="shared" si="123"/>
        <v>7</v>
      </c>
      <c r="O2589" s="33">
        <f t="shared" si="121"/>
        <v>7</v>
      </c>
    </row>
    <row r="2590" spans="1:15" x14ac:dyDescent="0.25">
      <c r="A2590" s="64" t="s">
        <v>184</v>
      </c>
      <c r="B2590" s="82" t="str">
        <f>IF(Eleventh!B93="", "",Eleventh!B93)</f>
        <v>Centre Head</v>
      </c>
      <c r="C2590" s="1" t="str">
        <f>IF(Eleventh!C93="", "",Eleventh!C93)</f>
        <v>Carer</v>
      </c>
      <c r="D2590" s="1" t="str">
        <f>IF(Eleventh!D93="", "",Eleventh!D93)</f>
        <v>Returning</v>
      </c>
      <c r="E2590" s="1" t="str">
        <f>IF(Eleventh!E93="", "",Eleventh!E93)</f>
        <v>Female</v>
      </c>
      <c r="F2590" s="1" t="str">
        <f>IF(Eleventh!F93="", "",Eleventh!F93)</f>
        <v>Haemat</v>
      </c>
      <c r="G2590" s="1" t="str">
        <f>IF(Eleventh!G93="", "",Eleventh!G93)</f>
        <v>Curative Intent</v>
      </c>
      <c r="H2590" s="1" t="str">
        <f>IF(Eleventh!H93="", "",Eleventh!H93)</f>
        <v>Drop-In</v>
      </c>
      <c r="I2590" s="1" t="str">
        <f>IF(Eleventh!I93="", "",Eleventh!I93)</f>
        <v/>
      </c>
      <c r="J2590" s="1" t="str">
        <f>IF(Eleventh!J93="", "",Eleventh!J93)</f>
        <v/>
      </c>
      <c r="K2590" s="83" t="str">
        <f>IF(Eleventh!K93="", "",Eleventh!K93)</f>
        <v/>
      </c>
      <c r="M2590" s="67" t="str">
        <f t="shared" si="122"/>
        <v/>
      </c>
      <c r="N2590" s="76">
        <f t="shared" si="123"/>
        <v>7</v>
      </c>
      <c r="O2590" s="33">
        <f t="shared" si="121"/>
        <v>7</v>
      </c>
    </row>
    <row r="2591" spans="1:15" x14ac:dyDescent="0.25">
      <c r="A2591" s="64" t="s">
        <v>184</v>
      </c>
      <c r="B2591" s="82" t="str">
        <f>IF(Eleventh!B94="", "",Eleventh!B94)</f>
        <v>Benefits Advisor</v>
      </c>
      <c r="C2591" s="1" t="str">
        <f>IF(Eleventh!C94="", "",Eleventh!C94)</f>
        <v>PwC</v>
      </c>
      <c r="D2591" s="1" t="str">
        <f>IF(Eleventh!D94="", "",Eleventh!D94)</f>
        <v>Returning</v>
      </c>
      <c r="E2591" s="1" t="str">
        <f>IF(Eleventh!E94="", "",Eleventh!E94)</f>
        <v>Male</v>
      </c>
      <c r="F2591" s="1" t="str">
        <f>IF(Eleventh!F94="", "",Eleventh!F94)</f>
        <v>Prostate</v>
      </c>
      <c r="G2591" s="1" t="str">
        <f>IF(Eleventh!G94="", "",Eleventh!G94)</f>
        <v>Non-Curative Intent</v>
      </c>
      <c r="H2591" s="1" t="str">
        <f>IF(Eleventh!H94="", "",Eleventh!H94)</f>
        <v>Booked</v>
      </c>
      <c r="I2591" s="1" t="str">
        <f>IF(Eleventh!I94="", "",Eleventh!I94)</f>
        <v>Benefits - Couple</v>
      </c>
      <c r="J2591" s="1" t="str">
        <f>IF(Eleventh!J94="", "",Eleventh!J94)</f>
        <v/>
      </c>
      <c r="K2591" s="83" t="str">
        <f>IF(Eleventh!K94="", "",Eleventh!K94)</f>
        <v/>
      </c>
      <c r="M2591" s="67">
        <f t="shared" si="122"/>
        <v>7</v>
      </c>
      <c r="N2591" s="76" t="str">
        <f t="shared" si="123"/>
        <v/>
      </c>
      <c r="O2591" s="33">
        <f t="shared" si="121"/>
        <v>7</v>
      </c>
    </row>
    <row r="2592" spans="1:15" x14ac:dyDescent="0.25">
      <c r="A2592" s="64" t="s">
        <v>184</v>
      </c>
      <c r="B2592" s="82" t="str">
        <f>IF(Eleventh!B95="", "",Eleventh!B95)</f>
        <v>Benefits Advisor</v>
      </c>
      <c r="C2592" s="1" t="str">
        <f>IF(Eleventh!C95="", "",Eleventh!C95)</f>
        <v>Carer</v>
      </c>
      <c r="D2592" s="1" t="str">
        <f>IF(Eleventh!D95="", "",Eleventh!D95)</f>
        <v>Returning</v>
      </c>
      <c r="E2592" s="1" t="str">
        <f>IF(Eleventh!E95="", "",Eleventh!E95)</f>
        <v>Female</v>
      </c>
      <c r="F2592" s="1" t="str">
        <f>IF(Eleventh!F95="", "",Eleventh!F95)</f>
        <v>Prostate</v>
      </c>
      <c r="G2592" s="1" t="str">
        <f>IF(Eleventh!G95="", "",Eleventh!G95)</f>
        <v>Non-Curative Intent</v>
      </c>
      <c r="H2592" s="1" t="str">
        <f>IF(Eleventh!H95="", "",Eleventh!H95)</f>
        <v>Booked</v>
      </c>
      <c r="I2592" s="1" t="str">
        <f>IF(Eleventh!I95="", "",Eleventh!I95)</f>
        <v>Benefits - Couple</v>
      </c>
      <c r="J2592" s="1" t="str">
        <f>IF(Eleventh!J95="", "",Eleventh!J95)</f>
        <v/>
      </c>
      <c r="K2592" s="83" t="str">
        <f>IF(Eleventh!K95="", "",Eleventh!K95)</f>
        <v/>
      </c>
      <c r="M2592" s="67" t="str">
        <f t="shared" si="122"/>
        <v/>
      </c>
      <c r="N2592" s="76">
        <f t="shared" si="123"/>
        <v>7</v>
      </c>
      <c r="O2592" s="33">
        <f t="shared" si="121"/>
        <v>7</v>
      </c>
    </row>
    <row r="2593" spans="1:15" x14ac:dyDescent="0.25">
      <c r="A2593" s="64" t="s">
        <v>184</v>
      </c>
      <c r="B2593" s="82" t="str">
        <f>IF(Eleventh!B96="", "",Eleventh!B96)</f>
        <v>Benefits Advisor</v>
      </c>
      <c r="C2593" s="1" t="str">
        <f>IF(Eleventh!C96="", "",Eleventh!C96)</f>
        <v>PwC</v>
      </c>
      <c r="D2593" s="1" t="str">
        <f>IF(Eleventh!D96="", "",Eleventh!D96)</f>
        <v>New</v>
      </c>
      <c r="E2593" s="1" t="str">
        <f>IF(Eleventh!E96="", "",Eleventh!E96)</f>
        <v>Female</v>
      </c>
      <c r="F2593" s="1" t="str">
        <f>IF(Eleventh!F96="", "",Eleventh!F96)</f>
        <v>Breast</v>
      </c>
      <c r="G2593" s="1" t="str">
        <f>IF(Eleventh!G96="", "",Eleventh!G96)</f>
        <v>Curative Intent</v>
      </c>
      <c r="H2593" s="1" t="str">
        <f>IF(Eleventh!H96="", "",Eleventh!H96)</f>
        <v>Telephone Support</v>
      </c>
      <c r="I2593" s="1" t="str">
        <f>IF(Eleventh!I96="", "",Eleventh!I96)</f>
        <v>Benefits - Individual</v>
      </c>
      <c r="J2593" s="1" t="str">
        <f>IF(Eleventh!J96="", "",Eleventh!J96)</f>
        <v/>
      </c>
      <c r="K2593" s="83" t="str">
        <f>IF(Eleventh!K96="", "",Eleventh!K96)</f>
        <v/>
      </c>
      <c r="M2593" s="67">
        <f t="shared" si="122"/>
        <v>7</v>
      </c>
      <c r="N2593" s="76" t="str">
        <f t="shared" si="123"/>
        <v/>
      </c>
      <c r="O2593" s="33">
        <f t="shared" si="121"/>
        <v>7</v>
      </c>
    </row>
    <row r="2594" spans="1:15" x14ac:dyDescent="0.25">
      <c r="A2594" s="64" t="s">
        <v>184</v>
      </c>
      <c r="B2594" s="82" t="str">
        <f>IF(Eleventh!B97="", "",Eleventh!B97)</f>
        <v>Sessional Staff</v>
      </c>
      <c r="C2594" s="1" t="str">
        <f>IF(Eleventh!C97="", "",Eleventh!C97)</f>
        <v>PwC</v>
      </c>
      <c r="D2594" s="1" t="str">
        <f>IF(Eleventh!D97="", "",Eleventh!D97)</f>
        <v>Returning</v>
      </c>
      <c r="E2594" s="1" t="str">
        <f>IF(Eleventh!E97="", "",Eleventh!E97)</f>
        <v>Male</v>
      </c>
      <c r="F2594" s="1" t="str">
        <f>IF(Eleventh!F97="", "",Eleventh!F97)</f>
        <v>Not Stated</v>
      </c>
      <c r="G2594" s="1" t="str">
        <f>IF(Eleventh!G97="", "",Eleventh!G97)</f>
        <v>Not Stated</v>
      </c>
      <c r="H2594" s="1" t="str">
        <f>IF(Eleventh!H97="", "",Eleventh!H97)</f>
        <v>Programme</v>
      </c>
      <c r="I2594" s="1" t="str">
        <f>IF(Eleventh!I97="", "",Eleventh!I97)</f>
        <v>Tai Chi/Qi Gong</v>
      </c>
      <c r="J2594" s="1" t="str">
        <f>IF(Eleventh!J97="", "",Eleventh!J97)</f>
        <v/>
      </c>
      <c r="K2594" s="83" t="str">
        <f>IF(Eleventh!K97="", "",Eleventh!K97)</f>
        <v/>
      </c>
      <c r="M2594" s="67">
        <f t="shared" si="122"/>
        <v>7</v>
      </c>
      <c r="N2594" s="76" t="str">
        <f t="shared" si="123"/>
        <v/>
      </c>
      <c r="O2594" s="33">
        <f t="shared" si="121"/>
        <v>7</v>
      </c>
    </row>
    <row r="2595" spans="1:15" x14ac:dyDescent="0.25">
      <c r="A2595" s="64" t="s">
        <v>184</v>
      </c>
      <c r="B2595" s="82" t="str">
        <f>IF(Eleventh!B98="", "",Eleventh!B98)</f>
        <v>Sessional Staff</v>
      </c>
      <c r="C2595" s="1" t="str">
        <f>IF(Eleventh!C98="", "",Eleventh!C98)</f>
        <v>PwC</v>
      </c>
      <c r="D2595" s="1" t="str">
        <f>IF(Eleventh!D98="", "",Eleventh!D98)</f>
        <v>Returning</v>
      </c>
      <c r="E2595" s="1" t="str">
        <f>IF(Eleventh!E98="", "",Eleventh!E98)</f>
        <v>Male</v>
      </c>
      <c r="F2595" s="1" t="str">
        <f>IF(Eleventh!F98="", "",Eleventh!F98)</f>
        <v>Not Stated</v>
      </c>
      <c r="G2595" s="1" t="str">
        <f>IF(Eleventh!G98="", "",Eleventh!G98)</f>
        <v>Not Stated</v>
      </c>
      <c r="H2595" s="1" t="str">
        <f>IF(Eleventh!H98="", "",Eleventh!H98)</f>
        <v>Programme</v>
      </c>
      <c r="I2595" s="1" t="str">
        <f>IF(Eleventh!I98="", "",Eleventh!I98)</f>
        <v>Tai Chi/Qi Gong</v>
      </c>
      <c r="J2595" s="1" t="str">
        <f>IF(Eleventh!J98="", "",Eleventh!J98)</f>
        <v>FSG Men's</v>
      </c>
      <c r="K2595" s="83" t="str">
        <f>IF(Eleventh!K98="", "",Eleventh!K98)</f>
        <v>Getting Started with Cancer Treatment</v>
      </c>
      <c r="M2595" s="67">
        <f t="shared" si="122"/>
        <v>7</v>
      </c>
      <c r="N2595" s="76" t="str">
        <f t="shared" si="123"/>
        <v/>
      </c>
      <c r="O2595" s="33">
        <f t="shared" si="121"/>
        <v>7</v>
      </c>
    </row>
    <row r="2596" spans="1:15" x14ac:dyDescent="0.25">
      <c r="A2596" s="64" t="s">
        <v>184</v>
      </c>
      <c r="B2596" s="82" t="str">
        <f>IF(Eleventh!B99="", "",Eleventh!B99)</f>
        <v>Sessional Staff</v>
      </c>
      <c r="C2596" s="1" t="str">
        <f>IF(Eleventh!C99="", "",Eleventh!C99)</f>
        <v>PwC</v>
      </c>
      <c r="D2596" s="1" t="str">
        <f>IF(Eleventh!D99="", "",Eleventh!D99)</f>
        <v>Returning</v>
      </c>
      <c r="E2596" s="1" t="str">
        <f>IF(Eleventh!E99="", "",Eleventh!E99)</f>
        <v>Male</v>
      </c>
      <c r="F2596" s="1" t="str">
        <f>IF(Eleventh!F99="", "",Eleventh!F99)</f>
        <v>Not Stated</v>
      </c>
      <c r="G2596" s="1" t="str">
        <f>IF(Eleventh!G99="", "",Eleventh!G99)</f>
        <v>Not Stated</v>
      </c>
      <c r="H2596" s="1" t="str">
        <f>IF(Eleventh!H99="", "",Eleventh!H99)</f>
        <v>Programme</v>
      </c>
      <c r="I2596" s="1" t="str">
        <f>IF(Eleventh!I99="", "",Eleventh!I99)</f>
        <v>Tai Chi/Qi Gong</v>
      </c>
      <c r="J2596" s="1" t="str">
        <f>IF(Eleventh!J99="", "",Eleventh!J99)</f>
        <v/>
      </c>
      <c r="K2596" s="83" t="str">
        <f>IF(Eleventh!K99="", "",Eleventh!K99)</f>
        <v/>
      </c>
      <c r="M2596" s="67">
        <f t="shared" si="122"/>
        <v>7</v>
      </c>
      <c r="N2596" s="76" t="str">
        <f t="shared" si="123"/>
        <v/>
      </c>
      <c r="O2596" s="33">
        <f t="shared" si="121"/>
        <v>7</v>
      </c>
    </row>
    <row r="2597" spans="1:15" x14ac:dyDescent="0.25">
      <c r="A2597" s="64" t="s">
        <v>184</v>
      </c>
      <c r="B2597" s="82" t="str">
        <f>IF(Eleventh!B100="", "",Eleventh!B100)</f>
        <v>Sessional Staff</v>
      </c>
      <c r="C2597" s="1" t="str">
        <f>IF(Eleventh!C100="", "",Eleventh!C100)</f>
        <v>PwC</v>
      </c>
      <c r="D2597" s="1" t="str">
        <f>IF(Eleventh!D100="", "",Eleventh!D100)</f>
        <v>Returning</v>
      </c>
      <c r="E2597" s="1" t="str">
        <f>IF(Eleventh!E100="", "",Eleventh!E100)</f>
        <v>Male</v>
      </c>
      <c r="F2597" s="1" t="str">
        <f>IF(Eleventh!F100="", "",Eleventh!F100)</f>
        <v>Not Stated</v>
      </c>
      <c r="G2597" s="1" t="str">
        <f>IF(Eleventh!G100="", "",Eleventh!G100)</f>
        <v>Not Stated</v>
      </c>
      <c r="H2597" s="1" t="str">
        <f>IF(Eleventh!H100="", "",Eleventh!H100)</f>
        <v>Programme</v>
      </c>
      <c r="I2597" s="1" t="str">
        <f>IF(Eleventh!I100="", "",Eleventh!I100)</f>
        <v>Tai Chi/Qi Gong</v>
      </c>
      <c r="J2597" s="1" t="str">
        <f>IF(Eleventh!J100="", "",Eleventh!J100)</f>
        <v>FSG Men's</v>
      </c>
      <c r="K2597" s="83" t="str">
        <f>IF(Eleventh!K100="", "",Eleventh!K100)</f>
        <v/>
      </c>
      <c r="M2597" s="67">
        <f t="shared" si="122"/>
        <v>7</v>
      </c>
      <c r="N2597" s="76" t="str">
        <f t="shared" si="123"/>
        <v/>
      </c>
      <c r="O2597" s="33">
        <f t="shared" si="121"/>
        <v>7</v>
      </c>
    </row>
    <row r="2598" spans="1:15" x14ac:dyDescent="0.25">
      <c r="A2598" s="64" t="s">
        <v>184</v>
      </c>
      <c r="B2598" s="82" t="str">
        <f>IF(Eleventh!B101="", "",Eleventh!B101)</f>
        <v>Sessional Staff</v>
      </c>
      <c r="C2598" s="1" t="str">
        <f>IF(Eleventh!C101="", "",Eleventh!C101)</f>
        <v>PwC</v>
      </c>
      <c r="D2598" s="1" t="str">
        <f>IF(Eleventh!D101="", "",Eleventh!D101)</f>
        <v>Returning</v>
      </c>
      <c r="E2598" s="1" t="str">
        <f>IF(Eleventh!E101="", "",Eleventh!E101)</f>
        <v>Male</v>
      </c>
      <c r="F2598" s="1" t="str">
        <f>IF(Eleventh!F101="", "",Eleventh!F101)</f>
        <v>Not Stated</v>
      </c>
      <c r="G2598" s="1" t="str">
        <f>IF(Eleventh!G101="", "",Eleventh!G101)</f>
        <v>Not Stated</v>
      </c>
      <c r="H2598" s="1" t="str">
        <f>IF(Eleventh!H101="", "",Eleventh!H101)</f>
        <v>Programme</v>
      </c>
      <c r="I2598" s="1" t="str">
        <f>IF(Eleventh!I101="", "",Eleventh!I101)</f>
        <v>Tai Chi/Qi Gong</v>
      </c>
      <c r="J2598" s="1" t="str">
        <f>IF(Eleventh!J101="", "",Eleventh!J101)</f>
        <v>FSG Men's</v>
      </c>
      <c r="K2598" s="83" t="str">
        <f>IF(Eleventh!K101="", "",Eleventh!K101)</f>
        <v>Getting Started with Cancer Treatment</v>
      </c>
      <c r="M2598" s="67">
        <f t="shared" si="122"/>
        <v>7</v>
      </c>
      <c r="N2598" s="76" t="str">
        <f t="shared" si="123"/>
        <v/>
      </c>
      <c r="O2598" s="33">
        <f t="shared" si="121"/>
        <v>7</v>
      </c>
    </row>
    <row r="2599" spans="1:15" x14ac:dyDescent="0.25">
      <c r="A2599" s="64" t="s">
        <v>184</v>
      </c>
      <c r="B2599" s="82" t="str">
        <f>IF(Eleventh!B102="", "",Eleventh!B102)</f>
        <v>Sessional Staff</v>
      </c>
      <c r="C2599" s="1" t="str">
        <f>IF(Eleventh!C102="", "",Eleventh!C102)</f>
        <v>PwC</v>
      </c>
      <c r="D2599" s="1" t="str">
        <f>IF(Eleventh!D102="", "",Eleventh!D102)</f>
        <v>Returning</v>
      </c>
      <c r="E2599" s="1" t="str">
        <f>IF(Eleventh!E102="", "",Eleventh!E102)</f>
        <v>Male</v>
      </c>
      <c r="F2599" s="1" t="str">
        <f>IF(Eleventh!F102="", "",Eleventh!F102)</f>
        <v>Not Stated</v>
      </c>
      <c r="G2599" s="1" t="str">
        <f>IF(Eleventh!G102="", "",Eleventh!G102)</f>
        <v>Not Stated</v>
      </c>
      <c r="H2599" s="1" t="str">
        <f>IF(Eleventh!H102="", "",Eleventh!H102)</f>
        <v>Programme</v>
      </c>
      <c r="I2599" s="1" t="str">
        <f>IF(Eleventh!I102="", "",Eleventh!I102)</f>
        <v>Tai Chi/Qi Gong</v>
      </c>
      <c r="J2599" s="1" t="str">
        <f>IF(Eleventh!J102="", "",Eleventh!J102)</f>
        <v>FSG Men's</v>
      </c>
      <c r="K2599" s="83" t="str">
        <f>IF(Eleventh!K102="", "",Eleventh!K102)</f>
        <v/>
      </c>
      <c r="M2599" s="67">
        <f t="shared" si="122"/>
        <v>7</v>
      </c>
      <c r="N2599" s="76" t="str">
        <f t="shared" si="123"/>
        <v/>
      </c>
      <c r="O2599" s="33">
        <f t="shared" si="121"/>
        <v>7</v>
      </c>
    </row>
    <row r="2600" spans="1:15" x14ac:dyDescent="0.25">
      <c r="A2600" s="64" t="s">
        <v>184</v>
      </c>
      <c r="B2600" s="82" t="str">
        <f>IF(Eleventh!B103="", "",Eleventh!B103)</f>
        <v>Sessional Staff</v>
      </c>
      <c r="C2600" s="1" t="str">
        <f>IF(Eleventh!C103="", "",Eleventh!C103)</f>
        <v>PwC</v>
      </c>
      <c r="D2600" s="1" t="str">
        <f>IF(Eleventh!D103="", "",Eleventh!D103)</f>
        <v>Returning</v>
      </c>
      <c r="E2600" s="1" t="str">
        <f>IF(Eleventh!E103="", "",Eleventh!E103)</f>
        <v>Female</v>
      </c>
      <c r="F2600" s="1" t="str">
        <f>IF(Eleventh!F103="", "",Eleventh!F103)</f>
        <v>Not Stated</v>
      </c>
      <c r="G2600" s="1" t="str">
        <f>IF(Eleventh!G103="", "",Eleventh!G103)</f>
        <v>Not Stated</v>
      </c>
      <c r="H2600" s="1" t="str">
        <f>IF(Eleventh!H103="", "",Eleventh!H103)</f>
        <v>Programme</v>
      </c>
      <c r="I2600" s="1" t="str">
        <f>IF(Eleventh!I103="", "",Eleventh!I103)</f>
        <v>Tai Chi/Qi Gong</v>
      </c>
      <c r="J2600" s="1" t="str">
        <f>IF(Eleventh!J103="", "",Eleventh!J103)</f>
        <v>FSG Men's</v>
      </c>
      <c r="K2600" s="83" t="str">
        <f>IF(Eleventh!K103="", "",Eleventh!K103)</f>
        <v>Getting Started with Cancer Treatment</v>
      </c>
      <c r="M2600" s="67">
        <f t="shared" si="122"/>
        <v>7</v>
      </c>
      <c r="N2600" s="76" t="str">
        <f t="shared" si="123"/>
        <v/>
      </c>
      <c r="O2600" s="33">
        <f t="shared" si="121"/>
        <v>7</v>
      </c>
    </row>
    <row r="2601" spans="1:15" x14ac:dyDescent="0.25">
      <c r="A2601" s="64" t="s">
        <v>184</v>
      </c>
      <c r="B2601" s="82" t="str">
        <f>IF(Eleventh!B104="", "",Eleventh!B104)</f>
        <v>Sessional Staff</v>
      </c>
      <c r="C2601" s="1" t="str">
        <f>IF(Eleventh!C104="", "",Eleventh!C104)</f>
        <v>PwC</v>
      </c>
      <c r="D2601" s="1" t="str">
        <f>IF(Eleventh!D104="", "",Eleventh!D104)</f>
        <v>Returning</v>
      </c>
      <c r="E2601" s="1" t="str">
        <f>IF(Eleventh!E104="", "",Eleventh!E104)</f>
        <v>Female</v>
      </c>
      <c r="F2601" s="1" t="str">
        <f>IF(Eleventh!F104="", "",Eleventh!F104)</f>
        <v>Not Stated</v>
      </c>
      <c r="G2601" s="1" t="str">
        <f>IF(Eleventh!G104="", "",Eleventh!G104)</f>
        <v>Not Stated</v>
      </c>
      <c r="H2601" s="1" t="str">
        <f>IF(Eleventh!H104="", "",Eleventh!H104)</f>
        <v>Programme</v>
      </c>
      <c r="I2601" s="1" t="str">
        <f>IF(Eleventh!I104="", "",Eleventh!I104)</f>
        <v>Tai Chi/Qi Gong</v>
      </c>
      <c r="J2601" s="1" t="str">
        <f>IF(Eleventh!J104="", "",Eleventh!J104)</f>
        <v>FSG Men's</v>
      </c>
      <c r="K2601" s="83" t="str">
        <f>IF(Eleventh!K104="", "",Eleventh!K104)</f>
        <v/>
      </c>
      <c r="M2601" s="67">
        <f t="shared" si="122"/>
        <v>7</v>
      </c>
      <c r="N2601" s="76" t="str">
        <f t="shared" si="123"/>
        <v/>
      </c>
      <c r="O2601" s="33">
        <f t="shared" si="121"/>
        <v>7</v>
      </c>
    </row>
    <row r="2602" spans="1:15" x14ac:dyDescent="0.25">
      <c r="A2602" s="64" t="s">
        <v>184</v>
      </c>
      <c r="B2602" s="82" t="str">
        <f>IF(Eleventh!B105="", "",Eleventh!B105)</f>
        <v>Sessional Staff</v>
      </c>
      <c r="C2602" s="1" t="str">
        <f>IF(Eleventh!C105="", "",Eleventh!C105)</f>
        <v>PwC</v>
      </c>
      <c r="D2602" s="1" t="str">
        <f>IF(Eleventh!D105="", "",Eleventh!D105)</f>
        <v>Returning</v>
      </c>
      <c r="E2602" s="1" t="str">
        <f>IF(Eleventh!E105="", "",Eleventh!E105)</f>
        <v>Female</v>
      </c>
      <c r="F2602" s="1" t="str">
        <f>IF(Eleventh!F105="", "",Eleventh!F105)</f>
        <v>Not Stated</v>
      </c>
      <c r="G2602" s="1" t="str">
        <f>IF(Eleventh!G105="", "",Eleventh!G105)</f>
        <v>Not Stated</v>
      </c>
      <c r="H2602" s="1" t="str">
        <f>IF(Eleventh!H105="", "",Eleventh!H105)</f>
        <v>Programme</v>
      </c>
      <c r="I2602" s="1" t="str">
        <f>IF(Eleventh!I105="", "",Eleventh!I105)</f>
        <v>Tai Chi/Qi Gong</v>
      </c>
      <c r="J2602" s="1" t="str">
        <f>IF(Eleventh!J105="", "",Eleventh!J105)</f>
        <v>FSG Men's</v>
      </c>
      <c r="K2602" s="83" t="str">
        <f>IF(Eleventh!K105="", "",Eleventh!K105)</f>
        <v>Getting Started with Cancer Treatment</v>
      </c>
      <c r="M2602" s="67">
        <f t="shared" si="122"/>
        <v>7</v>
      </c>
      <c r="N2602" s="76" t="str">
        <f t="shared" si="123"/>
        <v/>
      </c>
      <c r="O2602" s="33">
        <f t="shared" si="121"/>
        <v>7</v>
      </c>
    </row>
    <row r="2603" spans="1:15" x14ac:dyDescent="0.25">
      <c r="A2603" s="64" t="s">
        <v>184</v>
      </c>
      <c r="B2603" s="82" t="str">
        <f>IF(Eleventh!B106="", "",Eleventh!B106)</f>
        <v>Sessional Staff</v>
      </c>
      <c r="C2603" s="1" t="str">
        <f>IF(Eleventh!C106="", "",Eleventh!C106)</f>
        <v>PwC</v>
      </c>
      <c r="D2603" s="1" t="str">
        <f>IF(Eleventh!D106="", "",Eleventh!D106)</f>
        <v>Returning</v>
      </c>
      <c r="E2603" s="1" t="str">
        <f>IF(Eleventh!E106="", "",Eleventh!E106)</f>
        <v>Female</v>
      </c>
      <c r="F2603" s="1" t="str">
        <f>IF(Eleventh!F106="", "",Eleventh!F106)</f>
        <v>Not Stated</v>
      </c>
      <c r="G2603" s="1" t="str">
        <f>IF(Eleventh!G106="", "",Eleventh!G106)</f>
        <v>Not Stated</v>
      </c>
      <c r="H2603" s="1" t="str">
        <f>IF(Eleventh!H106="", "",Eleventh!H106)</f>
        <v>Programme</v>
      </c>
      <c r="I2603" s="1" t="str">
        <f>IF(Eleventh!I106="", "",Eleventh!I106)</f>
        <v>Tai Chi/Qi Gong</v>
      </c>
      <c r="J2603" s="1" t="str">
        <f>IF(Eleventh!J106="", "",Eleventh!J106)</f>
        <v>FSG Men's</v>
      </c>
      <c r="K2603" s="83" t="str">
        <f>IF(Eleventh!K106="", "",Eleventh!K106)</f>
        <v>Getting Started with Cancer Treatment</v>
      </c>
      <c r="M2603" s="67">
        <f t="shared" si="122"/>
        <v>7</v>
      </c>
      <c r="N2603" s="76" t="str">
        <f t="shared" si="123"/>
        <v/>
      </c>
      <c r="O2603" s="33">
        <f t="shared" si="121"/>
        <v>7</v>
      </c>
    </row>
    <row r="2604" spans="1:15" x14ac:dyDescent="0.25">
      <c r="A2604" s="64" t="s">
        <v>184</v>
      </c>
      <c r="B2604" s="82" t="str">
        <f>IF(Eleventh!B107="", "",Eleventh!B107)</f>
        <v>Sessional Staff</v>
      </c>
      <c r="C2604" s="1" t="str">
        <f>IF(Eleventh!C107="", "",Eleventh!C107)</f>
        <v>PwC</v>
      </c>
      <c r="D2604" s="1" t="str">
        <f>IF(Eleventh!D107="", "",Eleventh!D107)</f>
        <v>Returning</v>
      </c>
      <c r="E2604" s="1" t="str">
        <f>IF(Eleventh!E107="", "",Eleventh!E107)</f>
        <v>Female</v>
      </c>
      <c r="F2604" s="1" t="str">
        <f>IF(Eleventh!F107="", "",Eleventh!F107)</f>
        <v>Not Stated</v>
      </c>
      <c r="G2604" s="1" t="str">
        <f>IF(Eleventh!G107="", "",Eleventh!G107)</f>
        <v>Not Stated</v>
      </c>
      <c r="H2604" s="1" t="str">
        <f>IF(Eleventh!H107="", "",Eleventh!H107)</f>
        <v>Programme</v>
      </c>
      <c r="I2604" s="1" t="str">
        <f>IF(Eleventh!I107="", "",Eleventh!I107)</f>
        <v>Tai Chi/Qi Gong</v>
      </c>
      <c r="J2604" s="1" t="str">
        <f>IF(Eleventh!J107="", "",Eleventh!J107)</f>
        <v>FSG Men's</v>
      </c>
      <c r="K2604" s="83" t="str">
        <f>IF(Eleventh!K107="", "",Eleventh!K107)</f>
        <v>Getting Started with Cancer Treatment</v>
      </c>
      <c r="M2604" s="67">
        <f t="shared" si="122"/>
        <v>7</v>
      </c>
      <c r="N2604" s="76" t="str">
        <f t="shared" si="123"/>
        <v/>
      </c>
      <c r="O2604" s="33">
        <f t="shared" si="121"/>
        <v>7</v>
      </c>
    </row>
    <row r="2605" spans="1:15" x14ac:dyDescent="0.25">
      <c r="A2605" s="64" t="s">
        <v>184</v>
      </c>
      <c r="B2605" s="82" t="str">
        <f>IF(Eleventh!B108="", "",Eleventh!B108)</f>
        <v>Sessional Staff</v>
      </c>
      <c r="C2605" s="1" t="str">
        <f>IF(Eleventh!C108="", "",Eleventh!C108)</f>
        <v>PwC</v>
      </c>
      <c r="D2605" s="1" t="str">
        <f>IF(Eleventh!D108="", "",Eleventh!D108)</f>
        <v>Returning</v>
      </c>
      <c r="E2605" s="1" t="str">
        <f>IF(Eleventh!E108="", "",Eleventh!E108)</f>
        <v>Female</v>
      </c>
      <c r="F2605" s="1" t="str">
        <f>IF(Eleventh!F108="", "",Eleventh!F108)</f>
        <v>Not Stated</v>
      </c>
      <c r="G2605" s="1" t="str">
        <f>IF(Eleventh!G108="", "",Eleventh!G108)</f>
        <v>Not Stated</v>
      </c>
      <c r="H2605" s="1" t="str">
        <f>IF(Eleventh!H108="", "",Eleventh!H108)</f>
        <v>Programme</v>
      </c>
      <c r="I2605" s="1" t="str">
        <f>IF(Eleventh!I108="", "",Eleventh!I108)</f>
        <v>Tai Chi/Qi Gong</v>
      </c>
      <c r="J2605" s="1" t="str">
        <f>IF(Eleventh!J108="", "",Eleventh!J108)</f>
        <v>FSG Men's</v>
      </c>
      <c r="K2605" s="83" t="str">
        <f>IF(Eleventh!K108="", "",Eleventh!K108)</f>
        <v/>
      </c>
      <c r="M2605" s="67">
        <f t="shared" si="122"/>
        <v>7</v>
      </c>
      <c r="N2605" s="76" t="str">
        <f t="shared" si="123"/>
        <v/>
      </c>
      <c r="O2605" s="33">
        <f t="shared" si="121"/>
        <v>7</v>
      </c>
    </row>
    <row r="2606" spans="1:15" x14ac:dyDescent="0.25">
      <c r="A2606" s="64" t="s">
        <v>184</v>
      </c>
      <c r="B2606" s="82" t="str">
        <f>IF(Eleventh!B109="", "",Eleventh!B109)</f>
        <v>Sessional Staff</v>
      </c>
      <c r="C2606" s="1" t="str">
        <f>IF(Eleventh!C109="", "",Eleventh!C109)</f>
        <v>PwC</v>
      </c>
      <c r="D2606" s="1" t="str">
        <f>IF(Eleventh!D109="", "",Eleventh!D109)</f>
        <v>Returning</v>
      </c>
      <c r="E2606" s="1" t="str">
        <f>IF(Eleventh!E109="", "",Eleventh!E109)</f>
        <v>Female</v>
      </c>
      <c r="F2606" s="1" t="str">
        <f>IF(Eleventh!F109="", "",Eleventh!F109)</f>
        <v>Not Stated</v>
      </c>
      <c r="G2606" s="1" t="str">
        <f>IF(Eleventh!G109="", "",Eleventh!G109)</f>
        <v>Not Stated</v>
      </c>
      <c r="H2606" s="1" t="str">
        <f>IF(Eleventh!H109="", "",Eleventh!H109)</f>
        <v>Programme</v>
      </c>
      <c r="I2606" s="1" t="str">
        <f>IF(Eleventh!I109="", "",Eleventh!I109)</f>
        <v>Tai Chi/Qi Gong</v>
      </c>
      <c r="J2606" s="1" t="str">
        <f>IF(Eleventh!J109="", "",Eleventh!J109)</f>
        <v>FSG Men's</v>
      </c>
      <c r="K2606" s="83" t="str">
        <f>IF(Eleventh!K109="", "",Eleventh!K109)</f>
        <v/>
      </c>
      <c r="M2606" s="67">
        <f t="shared" si="122"/>
        <v>7</v>
      </c>
      <c r="N2606" s="76" t="str">
        <f t="shared" si="123"/>
        <v/>
      </c>
      <c r="O2606" s="33">
        <f t="shared" si="121"/>
        <v>7</v>
      </c>
    </row>
    <row r="2607" spans="1:15" x14ac:dyDescent="0.25">
      <c r="A2607" s="64" t="s">
        <v>184</v>
      </c>
      <c r="B2607" s="82" t="str">
        <f>IF(Eleventh!B110="", "",Eleventh!B110)</f>
        <v>Sessional Staff</v>
      </c>
      <c r="C2607" s="1" t="str">
        <f>IF(Eleventh!C110="", "",Eleventh!C110)</f>
        <v>PwC</v>
      </c>
      <c r="D2607" s="1" t="str">
        <f>IF(Eleventh!D110="", "",Eleventh!D110)</f>
        <v>Returning</v>
      </c>
      <c r="E2607" s="1" t="str">
        <f>IF(Eleventh!E110="", "",Eleventh!E110)</f>
        <v>Female</v>
      </c>
      <c r="F2607" s="1" t="str">
        <f>IF(Eleventh!F110="", "",Eleventh!F110)</f>
        <v>Not Stated</v>
      </c>
      <c r="G2607" s="1" t="str">
        <f>IF(Eleventh!G110="", "",Eleventh!G110)</f>
        <v>Not Stated</v>
      </c>
      <c r="H2607" s="1" t="str">
        <f>IF(Eleventh!H110="", "",Eleventh!H110)</f>
        <v>Programme</v>
      </c>
      <c r="I2607" s="1" t="str">
        <f>IF(Eleventh!I110="", "",Eleventh!I110)</f>
        <v>Tai Chi/Qi Gong</v>
      </c>
      <c r="J2607" s="1" t="str">
        <f>IF(Eleventh!J110="", "",Eleventh!J110)</f>
        <v/>
      </c>
      <c r="K2607" s="83" t="str">
        <f>IF(Eleventh!K110="", "",Eleventh!K110)</f>
        <v/>
      </c>
      <c r="M2607" s="67">
        <f t="shared" si="122"/>
        <v>7</v>
      </c>
      <c r="N2607" s="76" t="str">
        <f t="shared" si="123"/>
        <v/>
      </c>
      <c r="O2607" s="33">
        <f t="shared" si="121"/>
        <v>7</v>
      </c>
    </row>
    <row r="2608" spans="1:15" x14ac:dyDescent="0.25">
      <c r="A2608" s="64" t="s">
        <v>184</v>
      </c>
      <c r="B2608" s="82" t="str">
        <f>IF(Eleventh!B111="", "",Eleventh!B111)</f>
        <v/>
      </c>
      <c r="C2608" s="1" t="str">
        <f>IF(Eleventh!C111="", "",Eleventh!C111)</f>
        <v/>
      </c>
      <c r="D2608" s="1" t="str">
        <f>IF(Eleventh!D111="", "",Eleventh!D111)</f>
        <v/>
      </c>
      <c r="E2608" s="1" t="str">
        <f>IF(Eleventh!E111="", "",Eleventh!E111)</f>
        <v/>
      </c>
      <c r="F2608" s="1" t="str">
        <f>IF(Eleventh!F111="", "",Eleventh!F111)</f>
        <v/>
      </c>
      <c r="G2608" s="1" t="str">
        <f>IF(Eleventh!G111="", "",Eleventh!G111)</f>
        <v/>
      </c>
      <c r="H2608" s="1" t="str">
        <f>IF(Eleventh!H111="", "",Eleventh!H111)</f>
        <v/>
      </c>
      <c r="I2608" s="1" t="str">
        <f>IF(Eleventh!I111="", "",Eleventh!I111)</f>
        <v/>
      </c>
      <c r="J2608" s="1" t="str">
        <f>IF(Eleventh!J111="", "",Eleventh!J111)</f>
        <v/>
      </c>
      <c r="K2608" s="83" t="str">
        <f>IF(Eleventh!K111="", "",Eleventh!K111)</f>
        <v/>
      </c>
      <c r="M2608" s="67" t="str">
        <f t="shared" si="122"/>
        <v/>
      </c>
      <c r="N2608" s="76" t="str">
        <f t="shared" si="123"/>
        <v/>
      </c>
      <c r="O2608" s="33">
        <f t="shared" si="121"/>
        <v>0</v>
      </c>
    </row>
    <row r="2609" spans="1:15" x14ac:dyDescent="0.25">
      <c r="A2609" s="64" t="s">
        <v>184</v>
      </c>
      <c r="B2609" s="82" t="str">
        <f>IF(Eleventh!B112="", "",Eleventh!B112)</f>
        <v/>
      </c>
      <c r="C2609" s="1" t="str">
        <f>IF(Eleventh!C112="", "",Eleventh!C112)</f>
        <v/>
      </c>
      <c r="D2609" s="1" t="str">
        <f>IF(Eleventh!D112="", "",Eleventh!D112)</f>
        <v/>
      </c>
      <c r="E2609" s="1" t="str">
        <f>IF(Eleventh!E112="", "",Eleventh!E112)</f>
        <v/>
      </c>
      <c r="F2609" s="1" t="str">
        <f>IF(Eleventh!F112="", "",Eleventh!F112)</f>
        <v/>
      </c>
      <c r="G2609" s="1" t="str">
        <f>IF(Eleventh!G112="", "",Eleventh!G112)</f>
        <v/>
      </c>
      <c r="H2609" s="1" t="str">
        <f>IF(Eleventh!H112="", "",Eleventh!H112)</f>
        <v/>
      </c>
      <c r="I2609" s="1" t="str">
        <f>IF(Eleventh!I112="", "",Eleventh!I112)</f>
        <v/>
      </c>
      <c r="J2609" s="1" t="str">
        <f>IF(Eleventh!J112="", "",Eleventh!J112)</f>
        <v/>
      </c>
      <c r="K2609" s="83" t="str">
        <f>IF(Eleventh!K112="", "",Eleventh!K112)</f>
        <v/>
      </c>
      <c r="M2609" s="67" t="str">
        <f t="shared" si="122"/>
        <v/>
      </c>
      <c r="N2609" s="76" t="str">
        <f t="shared" si="123"/>
        <v/>
      </c>
      <c r="O2609" s="33">
        <f t="shared" si="121"/>
        <v>0</v>
      </c>
    </row>
    <row r="2610" spans="1:15" x14ac:dyDescent="0.25">
      <c r="A2610" s="64" t="s">
        <v>184</v>
      </c>
      <c r="B2610" s="82" t="str">
        <f>IF(Eleventh!B113="", "",Eleventh!B113)</f>
        <v/>
      </c>
      <c r="C2610" s="1" t="str">
        <f>IF(Eleventh!C113="", "",Eleventh!C113)</f>
        <v/>
      </c>
      <c r="D2610" s="1" t="str">
        <f>IF(Eleventh!D113="", "",Eleventh!D113)</f>
        <v/>
      </c>
      <c r="E2610" s="1" t="str">
        <f>IF(Eleventh!E113="", "",Eleventh!E113)</f>
        <v/>
      </c>
      <c r="F2610" s="1" t="str">
        <f>IF(Eleventh!F113="", "",Eleventh!F113)</f>
        <v/>
      </c>
      <c r="G2610" s="1" t="str">
        <f>IF(Eleventh!G113="", "",Eleventh!G113)</f>
        <v/>
      </c>
      <c r="H2610" s="1" t="str">
        <f>IF(Eleventh!H113="", "",Eleventh!H113)</f>
        <v/>
      </c>
      <c r="I2610" s="1" t="str">
        <f>IF(Eleventh!I113="", "",Eleventh!I113)</f>
        <v/>
      </c>
      <c r="J2610" s="1" t="str">
        <f>IF(Eleventh!J113="", "",Eleventh!J113)</f>
        <v/>
      </c>
      <c r="K2610" s="83" t="str">
        <f>IF(Eleventh!K113="", "",Eleventh!K113)</f>
        <v/>
      </c>
      <c r="M2610" s="67" t="str">
        <f t="shared" si="122"/>
        <v/>
      </c>
      <c r="N2610" s="76" t="str">
        <f t="shared" si="123"/>
        <v/>
      </c>
      <c r="O2610" s="33">
        <f t="shared" si="121"/>
        <v>0</v>
      </c>
    </row>
    <row r="2611" spans="1:15" x14ac:dyDescent="0.25">
      <c r="A2611" s="64" t="s">
        <v>184</v>
      </c>
      <c r="B2611" s="82" t="str">
        <f>IF(Eleventh!B114="", "",Eleventh!B114)</f>
        <v/>
      </c>
      <c r="C2611" s="1" t="str">
        <f>IF(Eleventh!C114="", "",Eleventh!C114)</f>
        <v/>
      </c>
      <c r="D2611" s="1" t="str">
        <f>IF(Eleventh!D114="", "",Eleventh!D114)</f>
        <v/>
      </c>
      <c r="E2611" s="1" t="str">
        <f>IF(Eleventh!E114="", "",Eleventh!E114)</f>
        <v/>
      </c>
      <c r="F2611" s="1" t="str">
        <f>IF(Eleventh!F114="", "",Eleventh!F114)</f>
        <v/>
      </c>
      <c r="G2611" s="1" t="str">
        <f>IF(Eleventh!G114="", "",Eleventh!G114)</f>
        <v/>
      </c>
      <c r="H2611" s="1" t="str">
        <f>IF(Eleventh!H114="", "",Eleventh!H114)</f>
        <v/>
      </c>
      <c r="I2611" s="1" t="str">
        <f>IF(Eleventh!I114="", "",Eleventh!I114)</f>
        <v/>
      </c>
      <c r="J2611" s="1" t="str">
        <f>IF(Eleventh!J114="", "",Eleventh!J114)</f>
        <v/>
      </c>
      <c r="K2611" s="83" t="str">
        <f>IF(Eleventh!K114="", "",Eleventh!K114)</f>
        <v/>
      </c>
      <c r="M2611" s="67" t="str">
        <f t="shared" si="122"/>
        <v/>
      </c>
      <c r="N2611" s="76" t="str">
        <f t="shared" si="123"/>
        <v/>
      </c>
      <c r="O2611" s="33">
        <f t="shared" si="121"/>
        <v>0</v>
      </c>
    </row>
    <row r="2612" spans="1:15" x14ac:dyDescent="0.25">
      <c r="A2612" s="64" t="s">
        <v>184</v>
      </c>
      <c r="B2612" s="82" t="str">
        <f>IF(Eleventh!B115="", "",Eleventh!B115)</f>
        <v/>
      </c>
      <c r="C2612" s="1" t="str">
        <f>IF(Eleventh!C115="", "",Eleventh!C115)</f>
        <v/>
      </c>
      <c r="D2612" s="1" t="str">
        <f>IF(Eleventh!D115="", "",Eleventh!D115)</f>
        <v/>
      </c>
      <c r="E2612" s="1" t="str">
        <f>IF(Eleventh!E115="", "",Eleventh!E115)</f>
        <v/>
      </c>
      <c r="F2612" s="1" t="str">
        <f>IF(Eleventh!F115="", "",Eleventh!F115)</f>
        <v/>
      </c>
      <c r="G2612" s="1" t="str">
        <f>IF(Eleventh!G115="", "",Eleventh!G115)</f>
        <v/>
      </c>
      <c r="H2612" s="1" t="str">
        <f>IF(Eleventh!H115="", "",Eleventh!H115)</f>
        <v/>
      </c>
      <c r="I2612" s="1" t="str">
        <f>IF(Eleventh!I115="", "",Eleventh!I115)</f>
        <v/>
      </c>
      <c r="J2612" s="1" t="str">
        <f>IF(Eleventh!J115="", "",Eleventh!J115)</f>
        <v/>
      </c>
      <c r="K2612" s="83" t="str">
        <f>IF(Eleventh!K115="", "",Eleventh!K115)</f>
        <v/>
      </c>
      <c r="M2612" s="67" t="str">
        <f t="shared" si="122"/>
        <v/>
      </c>
      <c r="N2612" s="76" t="str">
        <f t="shared" si="123"/>
        <v/>
      </c>
      <c r="O2612" s="33">
        <f t="shared" si="121"/>
        <v>0</v>
      </c>
    </row>
    <row r="2613" spans="1:15" x14ac:dyDescent="0.25">
      <c r="A2613" s="64" t="s">
        <v>184</v>
      </c>
      <c r="B2613" s="82" t="str">
        <f>IF(Eleventh!B116="", "",Eleventh!B116)</f>
        <v/>
      </c>
      <c r="C2613" s="1" t="str">
        <f>IF(Eleventh!C116="", "",Eleventh!C116)</f>
        <v/>
      </c>
      <c r="D2613" s="1" t="str">
        <f>IF(Eleventh!D116="", "",Eleventh!D116)</f>
        <v/>
      </c>
      <c r="E2613" s="1" t="str">
        <f>IF(Eleventh!E116="", "",Eleventh!E116)</f>
        <v/>
      </c>
      <c r="F2613" s="1" t="str">
        <f>IF(Eleventh!F116="", "",Eleventh!F116)</f>
        <v/>
      </c>
      <c r="G2613" s="1" t="str">
        <f>IF(Eleventh!G116="", "",Eleventh!G116)</f>
        <v/>
      </c>
      <c r="H2613" s="1" t="str">
        <f>IF(Eleventh!H116="", "",Eleventh!H116)</f>
        <v/>
      </c>
      <c r="I2613" s="1" t="str">
        <f>IF(Eleventh!I116="", "",Eleventh!I116)</f>
        <v/>
      </c>
      <c r="J2613" s="1" t="str">
        <f>IF(Eleventh!J116="", "",Eleventh!J116)</f>
        <v/>
      </c>
      <c r="K2613" s="83" t="str">
        <f>IF(Eleventh!K116="", "",Eleventh!K116)</f>
        <v/>
      </c>
      <c r="M2613" s="67" t="str">
        <f t="shared" si="122"/>
        <v/>
      </c>
      <c r="N2613" s="76" t="str">
        <f t="shared" si="123"/>
        <v/>
      </c>
      <c r="O2613" s="33">
        <f t="shared" si="121"/>
        <v>0</v>
      </c>
    </row>
    <row r="2614" spans="1:15" x14ac:dyDescent="0.25">
      <c r="A2614" s="64" t="s">
        <v>184</v>
      </c>
      <c r="B2614" s="82" t="str">
        <f>IF(Eleventh!B117="", "",Eleventh!B117)</f>
        <v/>
      </c>
      <c r="C2614" s="1" t="str">
        <f>IF(Eleventh!C117="", "",Eleventh!C117)</f>
        <v/>
      </c>
      <c r="D2614" s="1" t="str">
        <f>IF(Eleventh!D117="", "",Eleventh!D117)</f>
        <v/>
      </c>
      <c r="E2614" s="1" t="str">
        <f>IF(Eleventh!E117="", "",Eleventh!E117)</f>
        <v/>
      </c>
      <c r="F2614" s="1" t="str">
        <f>IF(Eleventh!F117="", "",Eleventh!F117)</f>
        <v/>
      </c>
      <c r="G2614" s="1" t="str">
        <f>IF(Eleventh!G117="", "",Eleventh!G117)</f>
        <v/>
      </c>
      <c r="H2614" s="1" t="str">
        <f>IF(Eleventh!H117="", "",Eleventh!H117)</f>
        <v/>
      </c>
      <c r="I2614" s="1" t="str">
        <f>IF(Eleventh!I117="", "",Eleventh!I117)</f>
        <v/>
      </c>
      <c r="J2614" s="1" t="str">
        <f>IF(Eleventh!J117="", "",Eleventh!J117)</f>
        <v/>
      </c>
      <c r="K2614" s="83" t="str">
        <f>IF(Eleventh!K117="", "",Eleventh!K117)</f>
        <v/>
      </c>
      <c r="M2614" s="67" t="str">
        <f t="shared" si="122"/>
        <v/>
      </c>
      <c r="N2614" s="76" t="str">
        <f t="shared" si="123"/>
        <v/>
      </c>
      <c r="O2614" s="33">
        <f t="shared" si="121"/>
        <v>0</v>
      </c>
    </row>
    <row r="2615" spans="1:15" x14ac:dyDescent="0.25">
      <c r="A2615" s="64" t="s">
        <v>184</v>
      </c>
      <c r="B2615" s="82" t="str">
        <f>IF(Eleventh!B118="", "",Eleventh!B118)</f>
        <v/>
      </c>
      <c r="C2615" s="1" t="str">
        <f>IF(Eleventh!C118="", "",Eleventh!C118)</f>
        <v/>
      </c>
      <c r="D2615" s="1" t="str">
        <f>IF(Eleventh!D118="", "",Eleventh!D118)</f>
        <v/>
      </c>
      <c r="E2615" s="1" t="str">
        <f>IF(Eleventh!E118="", "",Eleventh!E118)</f>
        <v/>
      </c>
      <c r="F2615" s="1" t="str">
        <f>IF(Eleventh!F118="", "",Eleventh!F118)</f>
        <v/>
      </c>
      <c r="G2615" s="1" t="str">
        <f>IF(Eleventh!G118="", "",Eleventh!G118)</f>
        <v/>
      </c>
      <c r="H2615" s="1" t="str">
        <f>IF(Eleventh!H118="", "",Eleventh!H118)</f>
        <v/>
      </c>
      <c r="I2615" s="1" t="str">
        <f>IF(Eleventh!I118="", "",Eleventh!I118)</f>
        <v/>
      </c>
      <c r="J2615" s="1" t="str">
        <f>IF(Eleventh!J118="", "",Eleventh!J118)</f>
        <v/>
      </c>
      <c r="K2615" s="83" t="str">
        <f>IF(Eleventh!K118="", "",Eleventh!K118)</f>
        <v/>
      </c>
      <c r="M2615" s="67" t="str">
        <f t="shared" si="122"/>
        <v/>
      </c>
      <c r="N2615" s="76" t="str">
        <f t="shared" si="123"/>
        <v/>
      </c>
      <c r="O2615" s="33">
        <f t="shared" si="121"/>
        <v>0</v>
      </c>
    </row>
    <row r="2616" spans="1:15" x14ac:dyDescent="0.25">
      <c r="A2616" s="64" t="s">
        <v>184</v>
      </c>
      <c r="B2616" s="82" t="str">
        <f>IF(Eleventh!B119="", "",Eleventh!B119)</f>
        <v/>
      </c>
      <c r="C2616" s="1" t="str">
        <f>IF(Eleventh!C119="", "",Eleventh!C119)</f>
        <v/>
      </c>
      <c r="D2616" s="1" t="str">
        <f>IF(Eleventh!D119="", "",Eleventh!D119)</f>
        <v/>
      </c>
      <c r="E2616" s="1" t="str">
        <f>IF(Eleventh!E119="", "",Eleventh!E119)</f>
        <v/>
      </c>
      <c r="F2616" s="1" t="str">
        <f>IF(Eleventh!F119="", "",Eleventh!F119)</f>
        <v/>
      </c>
      <c r="G2616" s="1" t="str">
        <f>IF(Eleventh!G119="", "",Eleventh!G119)</f>
        <v/>
      </c>
      <c r="H2616" s="1" t="str">
        <f>IF(Eleventh!H119="", "",Eleventh!H119)</f>
        <v/>
      </c>
      <c r="I2616" s="1" t="str">
        <f>IF(Eleventh!I119="", "",Eleventh!I119)</f>
        <v/>
      </c>
      <c r="J2616" s="1" t="str">
        <f>IF(Eleventh!J119="", "",Eleventh!J119)</f>
        <v/>
      </c>
      <c r="K2616" s="83" t="str">
        <f>IF(Eleventh!K119="", "",Eleventh!K119)</f>
        <v/>
      </c>
      <c r="M2616" s="67" t="str">
        <f t="shared" si="122"/>
        <v/>
      </c>
      <c r="N2616" s="76" t="str">
        <f t="shared" si="123"/>
        <v/>
      </c>
      <c r="O2616" s="33">
        <f t="shared" si="121"/>
        <v>0</v>
      </c>
    </row>
    <row r="2617" spans="1:15" x14ac:dyDescent="0.25">
      <c r="A2617" s="64" t="s">
        <v>184</v>
      </c>
      <c r="B2617" s="82" t="str">
        <f>IF(Eleventh!B120="", "",Eleventh!B120)</f>
        <v/>
      </c>
      <c r="C2617" s="1" t="str">
        <f>IF(Eleventh!C120="", "",Eleventh!C120)</f>
        <v/>
      </c>
      <c r="D2617" s="1" t="str">
        <f>IF(Eleventh!D120="", "",Eleventh!D120)</f>
        <v/>
      </c>
      <c r="E2617" s="1" t="str">
        <f>IF(Eleventh!E120="", "",Eleventh!E120)</f>
        <v/>
      </c>
      <c r="F2617" s="1" t="str">
        <f>IF(Eleventh!F120="", "",Eleventh!F120)</f>
        <v/>
      </c>
      <c r="G2617" s="1" t="str">
        <f>IF(Eleventh!G120="", "",Eleventh!G120)</f>
        <v/>
      </c>
      <c r="H2617" s="1" t="str">
        <f>IF(Eleventh!H120="", "",Eleventh!H120)</f>
        <v/>
      </c>
      <c r="I2617" s="1" t="str">
        <f>IF(Eleventh!I120="", "",Eleventh!I120)</f>
        <v/>
      </c>
      <c r="J2617" s="1" t="str">
        <f>IF(Eleventh!J120="", "",Eleventh!J120)</f>
        <v/>
      </c>
      <c r="K2617" s="83" t="str">
        <f>IF(Eleventh!K120="", "",Eleventh!K120)</f>
        <v/>
      </c>
      <c r="M2617" s="67" t="str">
        <f t="shared" si="122"/>
        <v/>
      </c>
      <c r="N2617" s="76" t="str">
        <f t="shared" si="123"/>
        <v/>
      </c>
      <c r="O2617" s="33">
        <f t="shared" si="121"/>
        <v>0</v>
      </c>
    </row>
    <row r="2618" spans="1:15" x14ac:dyDescent="0.25">
      <c r="A2618" s="64" t="s">
        <v>184</v>
      </c>
      <c r="B2618" s="82" t="str">
        <f>IF(Eleventh!B121="", "",Eleventh!B121)</f>
        <v/>
      </c>
      <c r="C2618" s="1" t="str">
        <f>IF(Eleventh!C121="", "",Eleventh!C121)</f>
        <v/>
      </c>
      <c r="D2618" s="1" t="str">
        <f>IF(Eleventh!D121="", "",Eleventh!D121)</f>
        <v/>
      </c>
      <c r="E2618" s="1" t="str">
        <f>IF(Eleventh!E121="", "",Eleventh!E121)</f>
        <v/>
      </c>
      <c r="F2618" s="1" t="str">
        <f>IF(Eleventh!F121="", "",Eleventh!F121)</f>
        <v/>
      </c>
      <c r="G2618" s="1" t="str">
        <f>IF(Eleventh!G121="", "",Eleventh!G121)</f>
        <v/>
      </c>
      <c r="H2618" s="1" t="str">
        <f>IF(Eleventh!H121="", "",Eleventh!H121)</f>
        <v/>
      </c>
      <c r="I2618" s="1" t="str">
        <f>IF(Eleventh!I121="", "",Eleventh!I121)</f>
        <v/>
      </c>
      <c r="J2618" s="1" t="str">
        <f>IF(Eleventh!J121="", "",Eleventh!J121)</f>
        <v/>
      </c>
      <c r="K2618" s="83" t="str">
        <f>IF(Eleventh!K121="", "",Eleventh!K121)</f>
        <v/>
      </c>
      <c r="M2618" s="67" t="str">
        <f t="shared" si="122"/>
        <v/>
      </c>
      <c r="N2618" s="76" t="str">
        <f t="shared" si="123"/>
        <v/>
      </c>
      <c r="O2618" s="33">
        <f t="shared" si="121"/>
        <v>0</v>
      </c>
    </row>
    <row r="2619" spans="1:15" x14ac:dyDescent="0.25">
      <c r="A2619" s="64" t="s">
        <v>184</v>
      </c>
      <c r="B2619" s="82" t="str">
        <f>IF(Eleventh!B122="", "",Eleventh!B122)</f>
        <v/>
      </c>
      <c r="C2619" s="1" t="str">
        <f>IF(Eleventh!C122="", "",Eleventh!C122)</f>
        <v/>
      </c>
      <c r="D2619" s="1" t="str">
        <f>IF(Eleventh!D122="", "",Eleventh!D122)</f>
        <v/>
      </c>
      <c r="E2619" s="1" t="str">
        <f>IF(Eleventh!E122="", "",Eleventh!E122)</f>
        <v/>
      </c>
      <c r="F2619" s="1" t="str">
        <f>IF(Eleventh!F122="", "",Eleventh!F122)</f>
        <v/>
      </c>
      <c r="G2619" s="1" t="str">
        <f>IF(Eleventh!G122="", "",Eleventh!G122)</f>
        <v/>
      </c>
      <c r="H2619" s="1" t="str">
        <f>IF(Eleventh!H122="", "",Eleventh!H122)</f>
        <v/>
      </c>
      <c r="I2619" s="1" t="str">
        <f>IF(Eleventh!I122="", "",Eleventh!I122)</f>
        <v/>
      </c>
      <c r="J2619" s="1" t="str">
        <f>IF(Eleventh!J122="", "",Eleventh!J122)</f>
        <v/>
      </c>
      <c r="K2619" s="83" t="str">
        <f>IF(Eleventh!K122="", "",Eleventh!K122)</f>
        <v/>
      </c>
      <c r="M2619" s="67" t="str">
        <f t="shared" si="122"/>
        <v/>
      </c>
      <c r="N2619" s="76" t="str">
        <f t="shared" si="123"/>
        <v/>
      </c>
      <c r="O2619" s="33">
        <f t="shared" si="121"/>
        <v>0</v>
      </c>
    </row>
    <row r="2620" spans="1:15" x14ac:dyDescent="0.25">
      <c r="A2620" s="64" t="s">
        <v>184</v>
      </c>
      <c r="B2620" s="82" t="str">
        <f>IF(Eleventh!B123="", "",Eleventh!B123)</f>
        <v/>
      </c>
      <c r="C2620" s="1" t="str">
        <f>IF(Eleventh!C123="", "",Eleventh!C123)</f>
        <v/>
      </c>
      <c r="D2620" s="1" t="str">
        <f>IF(Eleventh!D123="", "",Eleventh!D123)</f>
        <v/>
      </c>
      <c r="E2620" s="1" t="str">
        <f>IF(Eleventh!E123="", "",Eleventh!E123)</f>
        <v/>
      </c>
      <c r="F2620" s="1" t="str">
        <f>IF(Eleventh!F123="", "",Eleventh!F123)</f>
        <v/>
      </c>
      <c r="G2620" s="1" t="str">
        <f>IF(Eleventh!G123="", "",Eleventh!G123)</f>
        <v/>
      </c>
      <c r="H2620" s="1" t="str">
        <f>IF(Eleventh!H123="", "",Eleventh!H123)</f>
        <v/>
      </c>
      <c r="I2620" s="1" t="str">
        <f>IF(Eleventh!I123="", "",Eleventh!I123)</f>
        <v/>
      </c>
      <c r="J2620" s="1" t="str">
        <f>IF(Eleventh!J123="", "",Eleventh!J123)</f>
        <v/>
      </c>
      <c r="K2620" s="83" t="str">
        <f>IF(Eleventh!K123="", "",Eleventh!K123)</f>
        <v/>
      </c>
      <c r="M2620" s="67" t="str">
        <f t="shared" si="122"/>
        <v/>
      </c>
      <c r="N2620" s="76" t="str">
        <f t="shared" si="123"/>
        <v/>
      </c>
      <c r="O2620" s="33">
        <f t="shared" si="121"/>
        <v>0</v>
      </c>
    </row>
    <row r="2621" spans="1:15" x14ac:dyDescent="0.25">
      <c r="A2621" s="64" t="s">
        <v>184</v>
      </c>
      <c r="B2621" s="82" t="str">
        <f>IF(Eleventh!B124="", "",Eleventh!B124)</f>
        <v/>
      </c>
      <c r="C2621" s="1" t="str">
        <f>IF(Eleventh!C124="", "",Eleventh!C124)</f>
        <v/>
      </c>
      <c r="D2621" s="1" t="str">
        <f>IF(Eleventh!D124="", "",Eleventh!D124)</f>
        <v/>
      </c>
      <c r="E2621" s="1" t="str">
        <f>IF(Eleventh!E124="", "",Eleventh!E124)</f>
        <v/>
      </c>
      <c r="F2621" s="1" t="str">
        <f>IF(Eleventh!F124="", "",Eleventh!F124)</f>
        <v/>
      </c>
      <c r="G2621" s="1" t="str">
        <f>IF(Eleventh!G124="", "",Eleventh!G124)</f>
        <v/>
      </c>
      <c r="H2621" s="1" t="str">
        <f>IF(Eleventh!H124="", "",Eleventh!H124)</f>
        <v/>
      </c>
      <c r="I2621" s="1" t="str">
        <f>IF(Eleventh!I124="", "",Eleventh!I124)</f>
        <v/>
      </c>
      <c r="J2621" s="1" t="str">
        <f>IF(Eleventh!J124="", "",Eleventh!J124)</f>
        <v/>
      </c>
      <c r="K2621" s="83" t="str">
        <f>IF(Eleventh!K124="", "",Eleventh!K124)</f>
        <v/>
      </c>
      <c r="M2621" s="67" t="str">
        <f t="shared" si="122"/>
        <v/>
      </c>
      <c r="N2621" s="76" t="str">
        <f t="shared" si="123"/>
        <v/>
      </c>
      <c r="O2621" s="33">
        <f t="shared" si="121"/>
        <v>0</v>
      </c>
    </row>
    <row r="2622" spans="1:15" x14ac:dyDescent="0.25">
      <c r="A2622" s="64" t="s">
        <v>184</v>
      </c>
      <c r="B2622" s="82" t="str">
        <f>IF(Eleventh!B125="", "",Eleventh!B125)</f>
        <v/>
      </c>
      <c r="C2622" s="1" t="str">
        <f>IF(Eleventh!C125="", "",Eleventh!C125)</f>
        <v/>
      </c>
      <c r="D2622" s="1" t="str">
        <f>IF(Eleventh!D125="", "",Eleventh!D125)</f>
        <v/>
      </c>
      <c r="E2622" s="1" t="str">
        <f>IF(Eleventh!E125="", "",Eleventh!E125)</f>
        <v/>
      </c>
      <c r="F2622" s="1" t="str">
        <f>IF(Eleventh!F125="", "",Eleventh!F125)</f>
        <v/>
      </c>
      <c r="G2622" s="1" t="str">
        <f>IF(Eleventh!G125="", "",Eleventh!G125)</f>
        <v/>
      </c>
      <c r="H2622" s="1" t="str">
        <f>IF(Eleventh!H125="", "",Eleventh!H125)</f>
        <v/>
      </c>
      <c r="I2622" s="1" t="str">
        <f>IF(Eleventh!I125="", "",Eleventh!I125)</f>
        <v/>
      </c>
      <c r="J2622" s="1" t="str">
        <f>IF(Eleventh!J125="", "",Eleventh!J125)</f>
        <v/>
      </c>
      <c r="K2622" s="83" t="str">
        <f>IF(Eleventh!K125="", "",Eleventh!K125)</f>
        <v/>
      </c>
      <c r="M2622" s="67" t="str">
        <f t="shared" si="122"/>
        <v/>
      </c>
      <c r="N2622" s="76" t="str">
        <f t="shared" si="123"/>
        <v/>
      </c>
      <c r="O2622" s="33">
        <f t="shared" si="121"/>
        <v>0</v>
      </c>
    </row>
    <row r="2623" spans="1:15" x14ac:dyDescent="0.25">
      <c r="A2623" s="64" t="s">
        <v>184</v>
      </c>
      <c r="B2623" s="82" t="str">
        <f>IF(Eleventh!B126="", "",Eleventh!B126)</f>
        <v/>
      </c>
      <c r="C2623" s="1" t="str">
        <f>IF(Eleventh!C126="", "",Eleventh!C126)</f>
        <v/>
      </c>
      <c r="D2623" s="1" t="str">
        <f>IF(Eleventh!D126="", "",Eleventh!D126)</f>
        <v/>
      </c>
      <c r="E2623" s="1" t="str">
        <f>IF(Eleventh!E126="", "",Eleventh!E126)</f>
        <v/>
      </c>
      <c r="F2623" s="1" t="str">
        <f>IF(Eleventh!F126="", "",Eleventh!F126)</f>
        <v/>
      </c>
      <c r="G2623" s="1" t="str">
        <f>IF(Eleventh!G126="", "",Eleventh!G126)</f>
        <v/>
      </c>
      <c r="H2623" s="1" t="str">
        <f>IF(Eleventh!H126="", "",Eleventh!H126)</f>
        <v/>
      </c>
      <c r="I2623" s="1" t="str">
        <f>IF(Eleventh!I126="", "",Eleventh!I126)</f>
        <v/>
      </c>
      <c r="J2623" s="1" t="str">
        <f>IF(Eleventh!J126="", "",Eleventh!J126)</f>
        <v/>
      </c>
      <c r="K2623" s="83" t="str">
        <f>IF(Eleventh!K126="", "",Eleventh!K126)</f>
        <v/>
      </c>
      <c r="M2623" s="67" t="str">
        <f t="shared" si="122"/>
        <v/>
      </c>
      <c r="N2623" s="76" t="str">
        <f t="shared" si="123"/>
        <v/>
      </c>
      <c r="O2623" s="33">
        <f t="shared" si="121"/>
        <v>0</v>
      </c>
    </row>
    <row r="2624" spans="1:15" x14ac:dyDescent="0.25">
      <c r="A2624" s="64" t="s">
        <v>184</v>
      </c>
      <c r="B2624" s="82" t="str">
        <f>IF(Eleventh!B127="", "",Eleventh!B127)</f>
        <v/>
      </c>
      <c r="C2624" s="1" t="str">
        <f>IF(Eleventh!C127="", "",Eleventh!C127)</f>
        <v/>
      </c>
      <c r="D2624" s="1" t="str">
        <f>IF(Eleventh!D127="", "",Eleventh!D127)</f>
        <v/>
      </c>
      <c r="E2624" s="1" t="str">
        <f>IF(Eleventh!E127="", "",Eleventh!E127)</f>
        <v/>
      </c>
      <c r="F2624" s="1" t="str">
        <f>IF(Eleventh!F127="", "",Eleventh!F127)</f>
        <v/>
      </c>
      <c r="G2624" s="1" t="str">
        <f>IF(Eleventh!G127="", "",Eleventh!G127)</f>
        <v/>
      </c>
      <c r="H2624" s="1" t="str">
        <f>IF(Eleventh!H127="", "",Eleventh!H127)</f>
        <v/>
      </c>
      <c r="I2624" s="1" t="str">
        <f>IF(Eleventh!I127="", "",Eleventh!I127)</f>
        <v/>
      </c>
      <c r="J2624" s="1" t="str">
        <f>IF(Eleventh!J127="", "",Eleventh!J127)</f>
        <v/>
      </c>
      <c r="K2624" s="83" t="str">
        <f>IF(Eleventh!K127="", "",Eleventh!K127)</f>
        <v/>
      </c>
      <c r="M2624" s="67" t="str">
        <f t="shared" si="122"/>
        <v/>
      </c>
      <c r="N2624" s="76" t="str">
        <f t="shared" si="123"/>
        <v/>
      </c>
      <c r="O2624" s="33">
        <f t="shared" si="121"/>
        <v>0</v>
      </c>
    </row>
    <row r="2625" spans="1:15" x14ac:dyDescent="0.25">
      <c r="A2625" s="64" t="s">
        <v>184</v>
      </c>
      <c r="B2625" s="82" t="str">
        <f>IF(Eleventh!B128="", "",Eleventh!B128)</f>
        <v/>
      </c>
      <c r="C2625" s="1" t="str">
        <f>IF(Eleventh!C128="", "",Eleventh!C128)</f>
        <v/>
      </c>
      <c r="D2625" s="1" t="str">
        <f>IF(Eleventh!D128="", "",Eleventh!D128)</f>
        <v/>
      </c>
      <c r="E2625" s="1" t="str">
        <f>IF(Eleventh!E128="", "",Eleventh!E128)</f>
        <v/>
      </c>
      <c r="F2625" s="1" t="str">
        <f>IF(Eleventh!F128="", "",Eleventh!F128)</f>
        <v/>
      </c>
      <c r="G2625" s="1" t="str">
        <f>IF(Eleventh!G128="", "",Eleventh!G128)</f>
        <v/>
      </c>
      <c r="H2625" s="1" t="str">
        <f>IF(Eleventh!H128="", "",Eleventh!H128)</f>
        <v/>
      </c>
      <c r="I2625" s="1" t="str">
        <f>IF(Eleventh!I128="", "",Eleventh!I128)</f>
        <v/>
      </c>
      <c r="J2625" s="1" t="str">
        <f>IF(Eleventh!J128="", "",Eleventh!J128)</f>
        <v/>
      </c>
      <c r="K2625" s="83" t="str">
        <f>IF(Eleventh!K128="", "",Eleventh!K128)</f>
        <v/>
      </c>
      <c r="M2625" s="67" t="str">
        <f t="shared" si="122"/>
        <v/>
      </c>
      <c r="N2625" s="76" t="str">
        <f t="shared" si="123"/>
        <v/>
      </c>
      <c r="O2625" s="33">
        <f t="shared" si="121"/>
        <v>0</v>
      </c>
    </row>
    <row r="2626" spans="1:15" x14ac:dyDescent="0.25">
      <c r="A2626" s="64" t="s">
        <v>184</v>
      </c>
      <c r="B2626" s="82" t="str">
        <f>IF(Eleventh!B129="", "",Eleventh!B129)</f>
        <v/>
      </c>
      <c r="C2626" s="1" t="str">
        <f>IF(Eleventh!C129="", "",Eleventh!C129)</f>
        <v/>
      </c>
      <c r="D2626" s="1" t="str">
        <f>IF(Eleventh!D129="", "",Eleventh!D129)</f>
        <v/>
      </c>
      <c r="E2626" s="1" t="str">
        <f>IF(Eleventh!E129="", "",Eleventh!E129)</f>
        <v/>
      </c>
      <c r="F2626" s="1" t="str">
        <f>IF(Eleventh!F129="", "",Eleventh!F129)</f>
        <v/>
      </c>
      <c r="G2626" s="1" t="str">
        <f>IF(Eleventh!G129="", "",Eleventh!G129)</f>
        <v/>
      </c>
      <c r="H2626" s="1" t="str">
        <f>IF(Eleventh!H129="", "",Eleventh!H129)</f>
        <v/>
      </c>
      <c r="I2626" s="1" t="str">
        <f>IF(Eleventh!I129="", "",Eleventh!I129)</f>
        <v/>
      </c>
      <c r="J2626" s="1" t="str">
        <f>IF(Eleventh!J129="", "",Eleventh!J129)</f>
        <v/>
      </c>
      <c r="K2626" s="83" t="str">
        <f>IF(Eleventh!K129="", "",Eleventh!K129)</f>
        <v/>
      </c>
      <c r="M2626" s="67" t="str">
        <f t="shared" si="122"/>
        <v/>
      </c>
      <c r="N2626" s="76" t="str">
        <f t="shared" si="123"/>
        <v/>
      </c>
      <c r="O2626" s="33">
        <f t="shared" ref="O2626:O2689" si="124">SUM(M2626:N2626)</f>
        <v>0</v>
      </c>
    </row>
    <row r="2627" spans="1:15" x14ac:dyDescent="0.25">
      <c r="A2627" s="64" t="s">
        <v>184</v>
      </c>
      <c r="B2627" s="82" t="str">
        <f>IF(Eleventh!B130="", "",Eleventh!B130)</f>
        <v/>
      </c>
      <c r="C2627" s="1" t="str">
        <f>IF(Eleventh!C130="", "",Eleventh!C130)</f>
        <v/>
      </c>
      <c r="D2627" s="1" t="str">
        <f>IF(Eleventh!D130="", "",Eleventh!D130)</f>
        <v/>
      </c>
      <c r="E2627" s="1" t="str">
        <f>IF(Eleventh!E130="", "",Eleventh!E130)</f>
        <v/>
      </c>
      <c r="F2627" s="1" t="str">
        <f>IF(Eleventh!F130="", "",Eleventh!F130)</f>
        <v/>
      </c>
      <c r="G2627" s="1" t="str">
        <f>IF(Eleventh!G130="", "",Eleventh!G130)</f>
        <v/>
      </c>
      <c r="H2627" s="1" t="str">
        <f>IF(Eleventh!H130="", "",Eleventh!H130)</f>
        <v/>
      </c>
      <c r="I2627" s="1" t="str">
        <f>IF(Eleventh!I130="", "",Eleventh!I130)</f>
        <v/>
      </c>
      <c r="J2627" s="1" t="str">
        <f>IF(Eleventh!J130="", "",Eleventh!J130)</f>
        <v/>
      </c>
      <c r="K2627" s="83" t="str">
        <f>IF(Eleventh!K130="", "",Eleventh!K130)</f>
        <v/>
      </c>
      <c r="M2627" s="67" t="str">
        <f t="shared" ref="M2627:M2690" si="125">IF(C2627="PwC",(7-COUNTIF(B2627:H2627,"")),"")</f>
        <v/>
      </c>
      <c r="N2627" s="76" t="str">
        <f t="shared" ref="N2627:N2690" si="126">IF(C2627="Carer",(7-COUNTIF(B2627:H2627,"")),"")</f>
        <v/>
      </c>
      <c r="O2627" s="33">
        <f t="shared" si="124"/>
        <v>0</v>
      </c>
    </row>
    <row r="2628" spans="1:15" x14ac:dyDescent="0.25">
      <c r="A2628" s="64" t="s">
        <v>184</v>
      </c>
      <c r="B2628" s="82" t="str">
        <f>IF(Eleventh!B131="", "",Eleventh!B131)</f>
        <v/>
      </c>
      <c r="C2628" s="1" t="str">
        <f>IF(Eleventh!C131="", "",Eleventh!C131)</f>
        <v/>
      </c>
      <c r="D2628" s="1" t="str">
        <f>IF(Eleventh!D131="", "",Eleventh!D131)</f>
        <v/>
      </c>
      <c r="E2628" s="1" t="str">
        <f>IF(Eleventh!E131="", "",Eleventh!E131)</f>
        <v/>
      </c>
      <c r="F2628" s="1" t="str">
        <f>IF(Eleventh!F131="", "",Eleventh!F131)</f>
        <v/>
      </c>
      <c r="G2628" s="1" t="str">
        <f>IF(Eleventh!G131="", "",Eleventh!G131)</f>
        <v/>
      </c>
      <c r="H2628" s="1" t="str">
        <f>IF(Eleventh!H131="", "",Eleventh!H131)</f>
        <v/>
      </c>
      <c r="I2628" s="1" t="str">
        <f>IF(Eleventh!I131="", "",Eleventh!I131)</f>
        <v/>
      </c>
      <c r="J2628" s="1" t="str">
        <f>IF(Eleventh!J131="", "",Eleventh!J131)</f>
        <v/>
      </c>
      <c r="K2628" s="83" t="str">
        <f>IF(Eleventh!K131="", "",Eleventh!K131)</f>
        <v/>
      </c>
      <c r="M2628" s="67" t="str">
        <f t="shared" si="125"/>
        <v/>
      </c>
      <c r="N2628" s="76" t="str">
        <f t="shared" si="126"/>
        <v/>
      </c>
      <c r="O2628" s="33">
        <f t="shared" si="124"/>
        <v>0</v>
      </c>
    </row>
    <row r="2629" spans="1:15" x14ac:dyDescent="0.25">
      <c r="A2629" s="64" t="s">
        <v>184</v>
      </c>
      <c r="B2629" s="82" t="str">
        <f>IF(Eleventh!B132="", "",Eleventh!B132)</f>
        <v/>
      </c>
      <c r="C2629" s="1" t="str">
        <f>IF(Eleventh!C132="", "",Eleventh!C132)</f>
        <v/>
      </c>
      <c r="D2629" s="1" t="str">
        <f>IF(Eleventh!D132="", "",Eleventh!D132)</f>
        <v/>
      </c>
      <c r="E2629" s="1" t="str">
        <f>IF(Eleventh!E132="", "",Eleventh!E132)</f>
        <v/>
      </c>
      <c r="F2629" s="1" t="str">
        <f>IF(Eleventh!F132="", "",Eleventh!F132)</f>
        <v/>
      </c>
      <c r="G2629" s="1" t="str">
        <f>IF(Eleventh!G132="", "",Eleventh!G132)</f>
        <v/>
      </c>
      <c r="H2629" s="1" t="str">
        <f>IF(Eleventh!H132="", "",Eleventh!H132)</f>
        <v/>
      </c>
      <c r="I2629" s="1" t="str">
        <f>IF(Eleventh!I132="", "",Eleventh!I132)</f>
        <v/>
      </c>
      <c r="J2629" s="1" t="str">
        <f>IF(Eleventh!J132="", "",Eleventh!J132)</f>
        <v/>
      </c>
      <c r="K2629" s="83" t="str">
        <f>IF(Eleventh!K132="", "",Eleventh!K132)</f>
        <v/>
      </c>
      <c r="M2629" s="67" t="str">
        <f t="shared" si="125"/>
        <v/>
      </c>
      <c r="N2629" s="76" t="str">
        <f t="shared" si="126"/>
        <v/>
      </c>
      <c r="O2629" s="33">
        <f t="shared" si="124"/>
        <v>0</v>
      </c>
    </row>
    <row r="2630" spans="1:15" x14ac:dyDescent="0.25">
      <c r="A2630" s="64" t="s">
        <v>184</v>
      </c>
      <c r="B2630" s="82" t="str">
        <f>IF(Eleventh!B133="", "",Eleventh!B133)</f>
        <v/>
      </c>
      <c r="C2630" s="1" t="str">
        <f>IF(Eleventh!C133="", "",Eleventh!C133)</f>
        <v/>
      </c>
      <c r="D2630" s="1" t="str">
        <f>IF(Eleventh!D133="", "",Eleventh!D133)</f>
        <v/>
      </c>
      <c r="E2630" s="1" t="str">
        <f>IF(Eleventh!E133="", "",Eleventh!E133)</f>
        <v/>
      </c>
      <c r="F2630" s="1" t="str">
        <f>IF(Eleventh!F133="", "",Eleventh!F133)</f>
        <v/>
      </c>
      <c r="G2630" s="1" t="str">
        <f>IF(Eleventh!G133="", "",Eleventh!G133)</f>
        <v/>
      </c>
      <c r="H2630" s="1" t="str">
        <f>IF(Eleventh!H133="", "",Eleventh!H133)</f>
        <v/>
      </c>
      <c r="I2630" s="1" t="str">
        <f>IF(Eleventh!I133="", "",Eleventh!I133)</f>
        <v/>
      </c>
      <c r="J2630" s="1" t="str">
        <f>IF(Eleventh!J133="", "",Eleventh!J133)</f>
        <v/>
      </c>
      <c r="K2630" s="83" t="str">
        <f>IF(Eleventh!K133="", "",Eleventh!K133)</f>
        <v/>
      </c>
      <c r="M2630" s="67" t="str">
        <f t="shared" si="125"/>
        <v/>
      </c>
      <c r="N2630" s="76" t="str">
        <f t="shared" si="126"/>
        <v/>
      </c>
      <c r="O2630" s="33">
        <f t="shared" si="124"/>
        <v>0</v>
      </c>
    </row>
    <row r="2631" spans="1:15" x14ac:dyDescent="0.25">
      <c r="A2631" s="64" t="s">
        <v>184</v>
      </c>
      <c r="B2631" s="82" t="str">
        <f>IF(Eleventh!B134="", "",Eleventh!B134)</f>
        <v/>
      </c>
      <c r="C2631" s="1" t="str">
        <f>IF(Eleventh!C134="", "",Eleventh!C134)</f>
        <v/>
      </c>
      <c r="D2631" s="1" t="str">
        <f>IF(Eleventh!D134="", "",Eleventh!D134)</f>
        <v/>
      </c>
      <c r="E2631" s="1" t="str">
        <f>IF(Eleventh!E134="", "",Eleventh!E134)</f>
        <v/>
      </c>
      <c r="F2631" s="1" t="str">
        <f>IF(Eleventh!F134="", "",Eleventh!F134)</f>
        <v/>
      </c>
      <c r="G2631" s="1" t="str">
        <f>IF(Eleventh!G134="", "",Eleventh!G134)</f>
        <v/>
      </c>
      <c r="H2631" s="1" t="str">
        <f>IF(Eleventh!H134="", "",Eleventh!H134)</f>
        <v/>
      </c>
      <c r="I2631" s="1" t="str">
        <f>IF(Eleventh!I134="", "",Eleventh!I134)</f>
        <v/>
      </c>
      <c r="J2631" s="1" t="str">
        <f>IF(Eleventh!J134="", "",Eleventh!J134)</f>
        <v/>
      </c>
      <c r="K2631" s="83" t="str">
        <f>IF(Eleventh!K134="", "",Eleventh!K134)</f>
        <v/>
      </c>
      <c r="M2631" s="67" t="str">
        <f t="shared" si="125"/>
        <v/>
      </c>
      <c r="N2631" s="76" t="str">
        <f t="shared" si="126"/>
        <v/>
      </c>
      <c r="O2631" s="33">
        <f t="shared" si="124"/>
        <v>0</v>
      </c>
    </row>
    <row r="2632" spans="1:15" x14ac:dyDescent="0.25">
      <c r="A2632" s="64" t="s">
        <v>184</v>
      </c>
      <c r="B2632" s="82" t="str">
        <f>IF(Eleventh!B135="", "",Eleventh!B135)</f>
        <v/>
      </c>
      <c r="C2632" s="1" t="str">
        <f>IF(Eleventh!C135="", "",Eleventh!C135)</f>
        <v/>
      </c>
      <c r="D2632" s="1" t="str">
        <f>IF(Eleventh!D135="", "",Eleventh!D135)</f>
        <v/>
      </c>
      <c r="E2632" s="1" t="str">
        <f>IF(Eleventh!E135="", "",Eleventh!E135)</f>
        <v/>
      </c>
      <c r="F2632" s="1" t="str">
        <f>IF(Eleventh!F135="", "",Eleventh!F135)</f>
        <v/>
      </c>
      <c r="G2632" s="1" t="str">
        <f>IF(Eleventh!G135="", "",Eleventh!G135)</f>
        <v/>
      </c>
      <c r="H2632" s="1" t="str">
        <f>IF(Eleventh!H135="", "",Eleventh!H135)</f>
        <v/>
      </c>
      <c r="I2632" s="1" t="str">
        <f>IF(Eleventh!I135="", "",Eleventh!I135)</f>
        <v/>
      </c>
      <c r="J2632" s="1" t="str">
        <f>IF(Eleventh!J135="", "",Eleventh!J135)</f>
        <v/>
      </c>
      <c r="K2632" s="83" t="str">
        <f>IF(Eleventh!K135="", "",Eleventh!K135)</f>
        <v/>
      </c>
      <c r="M2632" s="67" t="str">
        <f t="shared" si="125"/>
        <v/>
      </c>
      <c r="N2632" s="76" t="str">
        <f t="shared" si="126"/>
        <v/>
      </c>
      <c r="O2632" s="33">
        <f t="shared" si="124"/>
        <v>0</v>
      </c>
    </row>
    <row r="2633" spans="1:15" x14ac:dyDescent="0.25">
      <c r="A2633" s="64" t="s">
        <v>184</v>
      </c>
      <c r="B2633" s="82" t="str">
        <f>IF(Eleventh!B136="", "",Eleventh!B136)</f>
        <v/>
      </c>
      <c r="C2633" s="1" t="str">
        <f>IF(Eleventh!C136="", "",Eleventh!C136)</f>
        <v/>
      </c>
      <c r="D2633" s="1" t="str">
        <f>IF(Eleventh!D136="", "",Eleventh!D136)</f>
        <v/>
      </c>
      <c r="E2633" s="1" t="str">
        <f>IF(Eleventh!E136="", "",Eleventh!E136)</f>
        <v/>
      </c>
      <c r="F2633" s="1" t="str">
        <f>IF(Eleventh!F136="", "",Eleventh!F136)</f>
        <v/>
      </c>
      <c r="G2633" s="1" t="str">
        <f>IF(Eleventh!G136="", "",Eleventh!G136)</f>
        <v/>
      </c>
      <c r="H2633" s="1" t="str">
        <f>IF(Eleventh!H136="", "",Eleventh!H136)</f>
        <v/>
      </c>
      <c r="I2633" s="1" t="str">
        <f>IF(Eleventh!I136="", "",Eleventh!I136)</f>
        <v/>
      </c>
      <c r="J2633" s="1" t="str">
        <f>IF(Eleventh!J136="", "",Eleventh!J136)</f>
        <v/>
      </c>
      <c r="K2633" s="83" t="str">
        <f>IF(Eleventh!K136="", "",Eleventh!K136)</f>
        <v/>
      </c>
      <c r="M2633" s="67" t="str">
        <f t="shared" si="125"/>
        <v/>
      </c>
      <c r="N2633" s="76" t="str">
        <f t="shared" si="126"/>
        <v/>
      </c>
      <c r="O2633" s="33">
        <f t="shared" si="124"/>
        <v>0</v>
      </c>
    </row>
    <row r="2634" spans="1:15" x14ac:dyDescent="0.25">
      <c r="A2634" s="64" t="s">
        <v>184</v>
      </c>
      <c r="B2634" s="82" t="str">
        <f>IF(Eleventh!B137="", "",Eleventh!B137)</f>
        <v/>
      </c>
      <c r="C2634" s="1" t="str">
        <f>IF(Eleventh!C137="", "",Eleventh!C137)</f>
        <v/>
      </c>
      <c r="D2634" s="1" t="str">
        <f>IF(Eleventh!D137="", "",Eleventh!D137)</f>
        <v/>
      </c>
      <c r="E2634" s="1" t="str">
        <f>IF(Eleventh!E137="", "",Eleventh!E137)</f>
        <v/>
      </c>
      <c r="F2634" s="1" t="str">
        <f>IF(Eleventh!F137="", "",Eleventh!F137)</f>
        <v/>
      </c>
      <c r="G2634" s="1" t="str">
        <f>IF(Eleventh!G137="", "",Eleventh!G137)</f>
        <v/>
      </c>
      <c r="H2634" s="1" t="str">
        <f>IF(Eleventh!H137="", "",Eleventh!H137)</f>
        <v/>
      </c>
      <c r="I2634" s="1" t="str">
        <f>IF(Eleventh!I137="", "",Eleventh!I137)</f>
        <v/>
      </c>
      <c r="J2634" s="1" t="str">
        <f>IF(Eleventh!J137="", "",Eleventh!J137)</f>
        <v/>
      </c>
      <c r="K2634" s="83" t="str">
        <f>IF(Eleventh!K137="", "",Eleventh!K137)</f>
        <v/>
      </c>
      <c r="M2634" s="67" t="str">
        <f t="shared" si="125"/>
        <v/>
      </c>
      <c r="N2634" s="76" t="str">
        <f t="shared" si="126"/>
        <v/>
      </c>
      <c r="O2634" s="33">
        <f t="shared" si="124"/>
        <v>0</v>
      </c>
    </row>
    <row r="2635" spans="1:15" x14ac:dyDescent="0.25">
      <c r="A2635" s="64" t="s">
        <v>184</v>
      </c>
      <c r="B2635" s="82" t="str">
        <f>IF(Eleventh!B138="", "",Eleventh!B138)</f>
        <v/>
      </c>
      <c r="C2635" s="1" t="str">
        <f>IF(Eleventh!C138="", "",Eleventh!C138)</f>
        <v/>
      </c>
      <c r="D2635" s="1" t="str">
        <f>IF(Eleventh!D138="", "",Eleventh!D138)</f>
        <v/>
      </c>
      <c r="E2635" s="1" t="str">
        <f>IF(Eleventh!E138="", "",Eleventh!E138)</f>
        <v/>
      </c>
      <c r="F2635" s="1" t="str">
        <f>IF(Eleventh!F138="", "",Eleventh!F138)</f>
        <v/>
      </c>
      <c r="G2635" s="1" t="str">
        <f>IF(Eleventh!G138="", "",Eleventh!G138)</f>
        <v/>
      </c>
      <c r="H2635" s="1" t="str">
        <f>IF(Eleventh!H138="", "",Eleventh!H138)</f>
        <v/>
      </c>
      <c r="I2635" s="1" t="str">
        <f>IF(Eleventh!I138="", "",Eleventh!I138)</f>
        <v/>
      </c>
      <c r="J2635" s="1" t="str">
        <f>IF(Eleventh!J138="", "",Eleventh!J138)</f>
        <v/>
      </c>
      <c r="K2635" s="83" t="str">
        <f>IF(Eleventh!K138="", "",Eleventh!K138)</f>
        <v/>
      </c>
      <c r="M2635" s="67" t="str">
        <f t="shared" si="125"/>
        <v/>
      </c>
      <c r="N2635" s="76" t="str">
        <f t="shared" si="126"/>
        <v/>
      </c>
      <c r="O2635" s="33">
        <f t="shared" si="124"/>
        <v>0</v>
      </c>
    </row>
    <row r="2636" spans="1:15" x14ac:dyDescent="0.25">
      <c r="A2636" s="64" t="s">
        <v>184</v>
      </c>
      <c r="B2636" s="82" t="str">
        <f>IF(Eleventh!B139="", "",Eleventh!B139)</f>
        <v/>
      </c>
      <c r="C2636" s="1" t="str">
        <f>IF(Eleventh!C139="", "",Eleventh!C139)</f>
        <v/>
      </c>
      <c r="D2636" s="1" t="str">
        <f>IF(Eleventh!D139="", "",Eleventh!D139)</f>
        <v/>
      </c>
      <c r="E2636" s="1" t="str">
        <f>IF(Eleventh!E139="", "",Eleventh!E139)</f>
        <v/>
      </c>
      <c r="F2636" s="1" t="str">
        <f>IF(Eleventh!F139="", "",Eleventh!F139)</f>
        <v/>
      </c>
      <c r="G2636" s="1" t="str">
        <f>IF(Eleventh!G139="", "",Eleventh!G139)</f>
        <v/>
      </c>
      <c r="H2636" s="1" t="str">
        <f>IF(Eleventh!H139="", "",Eleventh!H139)</f>
        <v/>
      </c>
      <c r="I2636" s="1" t="str">
        <f>IF(Eleventh!I139="", "",Eleventh!I139)</f>
        <v/>
      </c>
      <c r="J2636" s="1" t="str">
        <f>IF(Eleventh!J139="", "",Eleventh!J139)</f>
        <v/>
      </c>
      <c r="K2636" s="83" t="str">
        <f>IF(Eleventh!K139="", "",Eleventh!K139)</f>
        <v/>
      </c>
      <c r="M2636" s="67" t="str">
        <f t="shared" si="125"/>
        <v/>
      </c>
      <c r="N2636" s="76" t="str">
        <f t="shared" si="126"/>
        <v/>
      </c>
      <c r="O2636" s="33">
        <f t="shared" si="124"/>
        <v>0</v>
      </c>
    </row>
    <row r="2637" spans="1:15" x14ac:dyDescent="0.25">
      <c r="A2637" s="64" t="s">
        <v>184</v>
      </c>
      <c r="B2637" s="82" t="str">
        <f>IF(Eleventh!B140="", "",Eleventh!B140)</f>
        <v/>
      </c>
      <c r="C2637" s="1" t="str">
        <f>IF(Eleventh!C140="", "",Eleventh!C140)</f>
        <v/>
      </c>
      <c r="D2637" s="1" t="str">
        <f>IF(Eleventh!D140="", "",Eleventh!D140)</f>
        <v/>
      </c>
      <c r="E2637" s="1" t="str">
        <f>IF(Eleventh!E140="", "",Eleventh!E140)</f>
        <v/>
      </c>
      <c r="F2637" s="1" t="str">
        <f>IF(Eleventh!F140="", "",Eleventh!F140)</f>
        <v/>
      </c>
      <c r="G2637" s="1" t="str">
        <f>IF(Eleventh!G140="", "",Eleventh!G140)</f>
        <v/>
      </c>
      <c r="H2637" s="1" t="str">
        <f>IF(Eleventh!H140="", "",Eleventh!H140)</f>
        <v/>
      </c>
      <c r="I2637" s="1" t="str">
        <f>IF(Eleventh!I140="", "",Eleventh!I140)</f>
        <v/>
      </c>
      <c r="J2637" s="1" t="str">
        <f>IF(Eleventh!J140="", "",Eleventh!J140)</f>
        <v/>
      </c>
      <c r="K2637" s="83" t="str">
        <f>IF(Eleventh!K140="", "",Eleventh!K140)</f>
        <v/>
      </c>
      <c r="M2637" s="67" t="str">
        <f t="shared" si="125"/>
        <v/>
      </c>
      <c r="N2637" s="76" t="str">
        <f t="shared" si="126"/>
        <v/>
      </c>
      <c r="O2637" s="33">
        <f t="shared" si="124"/>
        <v>0</v>
      </c>
    </row>
    <row r="2638" spans="1:15" x14ac:dyDescent="0.25">
      <c r="A2638" s="64" t="s">
        <v>184</v>
      </c>
      <c r="B2638" s="82" t="str">
        <f>IF(Eleventh!B141="", "",Eleventh!B141)</f>
        <v/>
      </c>
      <c r="C2638" s="1" t="str">
        <f>IF(Eleventh!C141="", "",Eleventh!C141)</f>
        <v/>
      </c>
      <c r="D2638" s="1" t="str">
        <f>IF(Eleventh!D141="", "",Eleventh!D141)</f>
        <v/>
      </c>
      <c r="E2638" s="1" t="str">
        <f>IF(Eleventh!E141="", "",Eleventh!E141)</f>
        <v/>
      </c>
      <c r="F2638" s="1" t="str">
        <f>IF(Eleventh!F141="", "",Eleventh!F141)</f>
        <v/>
      </c>
      <c r="G2638" s="1" t="str">
        <f>IF(Eleventh!G141="", "",Eleventh!G141)</f>
        <v/>
      </c>
      <c r="H2638" s="1" t="str">
        <f>IF(Eleventh!H141="", "",Eleventh!H141)</f>
        <v/>
      </c>
      <c r="I2638" s="1" t="str">
        <f>IF(Eleventh!I141="", "",Eleventh!I141)</f>
        <v/>
      </c>
      <c r="J2638" s="1" t="str">
        <f>IF(Eleventh!J141="", "",Eleventh!J141)</f>
        <v/>
      </c>
      <c r="K2638" s="83" t="str">
        <f>IF(Eleventh!K141="", "",Eleventh!K141)</f>
        <v/>
      </c>
      <c r="M2638" s="67" t="str">
        <f t="shared" si="125"/>
        <v/>
      </c>
      <c r="N2638" s="76" t="str">
        <f t="shared" si="126"/>
        <v/>
      </c>
      <c r="O2638" s="33">
        <f t="shared" si="124"/>
        <v>0</v>
      </c>
    </row>
    <row r="2639" spans="1:15" x14ac:dyDescent="0.25">
      <c r="A2639" s="64" t="s">
        <v>184</v>
      </c>
      <c r="B2639" s="82" t="str">
        <f>IF(Eleventh!B142="", "",Eleventh!B142)</f>
        <v/>
      </c>
      <c r="C2639" s="1" t="str">
        <f>IF(Eleventh!C142="", "",Eleventh!C142)</f>
        <v/>
      </c>
      <c r="D2639" s="1" t="str">
        <f>IF(Eleventh!D142="", "",Eleventh!D142)</f>
        <v/>
      </c>
      <c r="E2639" s="1" t="str">
        <f>IF(Eleventh!E142="", "",Eleventh!E142)</f>
        <v/>
      </c>
      <c r="F2639" s="1" t="str">
        <f>IF(Eleventh!F142="", "",Eleventh!F142)</f>
        <v/>
      </c>
      <c r="G2639" s="1" t="str">
        <f>IF(Eleventh!G142="", "",Eleventh!G142)</f>
        <v/>
      </c>
      <c r="H2639" s="1" t="str">
        <f>IF(Eleventh!H142="", "",Eleventh!H142)</f>
        <v/>
      </c>
      <c r="I2639" s="1" t="str">
        <f>IF(Eleventh!I142="", "",Eleventh!I142)</f>
        <v/>
      </c>
      <c r="J2639" s="1" t="str">
        <f>IF(Eleventh!J142="", "",Eleventh!J142)</f>
        <v/>
      </c>
      <c r="K2639" s="83" t="str">
        <f>IF(Eleventh!K142="", "",Eleventh!K142)</f>
        <v/>
      </c>
      <c r="M2639" s="67" t="str">
        <f t="shared" si="125"/>
        <v/>
      </c>
      <c r="N2639" s="76" t="str">
        <f t="shared" si="126"/>
        <v/>
      </c>
      <c r="O2639" s="33">
        <f t="shared" si="124"/>
        <v>0</v>
      </c>
    </row>
    <row r="2640" spans="1:15" x14ac:dyDescent="0.25">
      <c r="A2640" s="64" t="s">
        <v>184</v>
      </c>
      <c r="B2640" s="82" t="str">
        <f>IF(Eleventh!B143="", "",Eleventh!B143)</f>
        <v/>
      </c>
      <c r="C2640" s="1" t="str">
        <f>IF(Eleventh!C143="", "",Eleventh!C143)</f>
        <v/>
      </c>
      <c r="D2640" s="1" t="str">
        <f>IF(Eleventh!D143="", "",Eleventh!D143)</f>
        <v/>
      </c>
      <c r="E2640" s="1" t="str">
        <f>IF(Eleventh!E143="", "",Eleventh!E143)</f>
        <v/>
      </c>
      <c r="F2640" s="1" t="str">
        <f>IF(Eleventh!F143="", "",Eleventh!F143)</f>
        <v/>
      </c>
      <c r="G2640" s="1" t="str">
        <f>IF(Eleventh!G143="", "",Eleventh!G143)</f>
        <v/>
      </c>
      <c r="H2640" s="1" t="str">
        <f>IF(Eleventh!H143="", "",Eleventh!H143)</f>
        <v/>
      </c>
      <c r="I2640" s="1" t="str">
        <f>IF(Eleventh!I143="", "",Eleventh!I143)</f>
        <v/>
      </c>
      <c r="J2640" s="1" t="str">
        <f>IF(Eleventh!J143="", "",Eleventh!J143)</f>
        <v/>
      </c>
      <c r="K2640" s="83" t="str">
        <f>IF(Eleventh!K143="", "",Eleventh!K143)</f>
        <v/>
      </c>
      <c r="M2640" s="67" t="str">
        <f t="shared" si="125"/>
        <v/>
      </c>
      <c r="N2640" s="76" t="str">
        <f t="shared" si="126"/>
        <v/>
      </c>
      <c r="O2640" s="33">
        <f t="shared" si="124"/>
        <v>0</v>
      </c>
    </row>
    <row r="2641" spans="1:15" x14ac:dyDescent="0.25">
      <c r="A2641" s="64" t="s">
        <v>184</v>
      </c>
      <c r="B2641" s="82" t="str">
        <f>IF(Eleventh!B144="", "",Eleventh!B144)</f>
        <v/>
      </c>
      <c r="C2641" s="1" t="str">
        <f>IF(Eleventh!C144="", "",Eleventh!C144)</f>
        <v/>
      </c>
      <c r="D2641" s="1" t="str">
        <f>IF(Eleventh!D144="", "",Eleventh!D144)</f>
        <v/>
      </c>
      <c r="E2641" s="1" t="str">
        <f>IF(Eleventh!E144="", "",Eleventh!E144)</f>
        <v/>
      </c>
      <c r="F2641" s="1" t="str">
        <f>IF(Eleventh!F144="", "",Eleventh!F144)</f>
        <v/>
      </c>
      <c r="G2641" s="1" t="str">
        <f>IF(Eleventh!G144="", "",Eleventh!G144)</f>
        <v/>
      </c>
      <c r="H2641" s="1" t="str">
        <f>IF(Eleventh!H144="", "",Eleventh!H144)</f>
        <v/>
      </c>
      <c r="I2641" s="1" t="str">
        <f>IF(Eleventh!I144="", "",Eleventh!I144)</f>
        <v/>
      </c>
      <c r="J2641" s="1" t="str">
        <f>IF(Eleventh!J144="", "",Eleventh!J144)</f>
        <v/>
      </c>
      <c r="K2641" s="83" t="str">
        <f>IF(Eleventh!K144="", "",Eleventh!K144)</f>
        <v/>
      </c>
      <c r="M2641" s="67" t="str">
        <f t="shared" si="125"/>
        <v/>
      </c>
      <c r="N2641" s="76" t="str">
        <f t="shared" si="126"/>
        <v/>
      </c>
      <c r="O2641" s="33">
        <f t="shared" si="124"/>
        <v>0</v>
      </c>
    </row>
    <row r="2642" spans="1:15" x14ac:dyDescent="0.25">
      <c r="A2642" s="64" t="s">
        <v>184</v>
      </c>
      <c r="B2642" s="82" t="str">
        <f>IF(Eleventh!B145="", "",Eleventh!B145)</f>
        <v/>
      </c>
      <c r="C2642" s="1" t="str">
        <f>IF(Eleventh!C145="", "",Eleventh!C145)</f>
        <v/>
      </c>
      <c r="D2642" s="1" t="str">
        <f>IF(Eleventh!D145="", "",Eleventh!D145)</f>
        <v/>
      </c>
      <c r="E2642" s="1" t="str">
        <f>IF(Eleventh!E145="", "",Eleventh!E145)</f>
        <v/>
      </c>
      <c r="F2642" s="1" t="str">
        <f>IF(Eleventh!F145="", "",Eleventh!F145)</f>
        <v/>
      </c>
      <c r="G2642" s="1" t="str">
        <f>IF(Eleventh!G145="", "",Eleventh!G145)</f>
        <v/>
      </c>
      <c r="H2642" s="1" t="str">
        <f>IF(Eleventh!H145="", "",Eleventh!H145)</f>
        <v/>
      </c>
      <c r="I2642" s="1" t="str">
        <f>IF(Eleventh!I145="", "",Eleventh!I145)</f>
        <v/>
      </c>
      <c r="J2642" s="1" t="str">
        <f>IF(Eleventh!J145="", "",Eleventh!J145)</f>
        <v/>
      </c>
      <c r="K2642" s="83" t="str">
        <f>IF(Eleventh!K145="", "",Eleventh!K145)</f>
        <v/>
      </c>
      <c r="M2642" s="67" t="str">
        <f t="shared" si="125"/>
        <v/>
      </c>
      <c r="N2642" s="76" t="str">
        <f t="shared" si="126"/>
        <v/>
      </c>
      <c r="O2642" s="33">
        <f t="shared" si="124"/>
        <v>0</v>
      </c>
    </row>
    <row r="2643" spans="1:15" x14ac:dyDescent="0.25">
      <c r="A2643" s="64" t="s">
        <v>184</v>
      </c>
      <c r="B2643" s="82" t="str">
        <f>IF(Eleventh!B146="", "",Eleventh!B146)</f>
        <v/>
      </c>
      <c r="C2643" s="1" t="str">
        <f>IF(Eleventh!C146="", "",Eleventh!C146)</f>
        <v/>
      </c>
      <c r="D2643" s="1" t="str">
        <f>IF(Eleventh!D146="", "",Eleventh!D146)</f>
        <v/>
      </c>
      <c r="E2643" s="1" t="str">
        <f>IF(Eleventh!E146="", "",Eleventh!E146)</f>
        <v/>
      </c>
      <c r="F2643" s="1" t="str">
        <f>IF(Eleventh!F146="", "",Eleventh!F146)</f>
        <v/>
      </c>
      <c r="G2643" s="1" t="str">
        <f>IF(Eleventh!G146="", "",Eleventh!G146)</f>
        <v/>
      </c>
      <c r="H2643" s="1" t="str">
        <f>IF(Eleventh!H146="", "",Eleventh!H146)</f>
        <v/>
      </c>
      <c r="I2643" s="1" t="str">
        <f>IF(Eleventh!I146="", "",Eleventh!I146)</f>
        <v/>
      </c>
      <c r="J2643" s="1" t="str">
        <f>IF(Eleventh!J146="", "",Eleventh!J146)</f>
        <v/>
      </c>
      <c r="K2643" s="83" t="str">
        <f>IF(Eleventh!K146="", "",Eleventh!K146)</f>
        <v/>
      </c>
      <c r="M2643" s="67" t="str">
        <f t="shared" si="125"/>
        <v/>
      </c>
      <c r="N2643" s="76" t="str">
        <f t="shared" si="126"/>
        <v/>
      </c>
      <c r="O2643" s="33">
        <f t="shared" si="124"/>
        <v>0</v>
      </c>
    </row>
    <row r="2644" spans="1:15" x14ac:dyDescent="0.25">
      <c r="A2644" s="64" t="s">
        <v>184</v>
      </c>
      <c r="B2644" s="82" t="str">
        <f>IF(Eleventh!B147="", "",Eleventh!B147)</f>
        <v/>
      </c>
      <c r="C2644" s="1" t="str">
        <f>IF(Eleventh!C147="", "",Eleventh!C147)</f>
        <v/>
      </c>
      <c r="D2644" s="1" t="str">
        <f>IF(Eleventh!D147="", "",Eleventh!D147)</f>
        <v/>
      </c>
      <c r="E2644" s="1" t="str">
        <f>IF(Eleventh!E147="", "",Eleventh!E147)</f>
        <v/>
      </c>
      <c r="F2644" s="1" t="str">
        <f>IF(Eleventh!F147="", "",Eleventh!F147)</f>
        <v/>
      </c>
      <c r="G2644" s="1" t="str">
        <f>IF(Eleventh!G147="", "",Eleventh!G147)</f>
        <v/>
      </c>
      <c r="H2644" s="1" t="str">
        <f>IF(Eleventh!H147="", "",Eleventh!H147)</f>
        <v/>
      </c>
      <c r="I2644" s="1" t="str">
        <f>IF(Eleventh!I147="", "",Eleventh!I147)</f>
        <v/>
      </c>
      <c r="J2644" s="1" t="str">
        <f>IF(Eleventh!J147="", "",Eleventh!J147)</f>
        <v/>
      </c>
      <c r="K2644" s="83" t="str">
        <f>IF(Eleventh!K147="", "",Eleventh!K147)</f>
        <v/>
      </c>
      <c r="M2644" s="67" t="str">
        <f t="shared" si="125"/>
        <v/>
      </c>
      <c r="N2644" s="76" t="str">
        <f t="shared" si="126"/>
        <v/>
      </c>
      <c r="O2644" s="33">
        <f t="shared" si="124"/>
        <v>0</v>
      </c>
    </row>
    <row r="2645" spans="1:15" x14ac:dyDescent="0.25">
      <c r="A2645" s="64" t="s">
        <v>184</v>
      </c>
      <c r="B2645" s="82" t="str">
        <f>IF(Eleventh!B148="", "",Eleventh!B148)</f>
        <v/>
      </c>
      <c r="C2645" s="1" t="str">
        <f>IF(Eleventh!C148="", "",Eleventh!C148)</f>
        <v/>
      </c>
      <c r="D2645" s="1" t="str">
        <f>IF(Eleventh!D148="", "",Eleventh!D148)</f>
        <v/>
      </c>
      <c r="E2645" s="1" t="str">
        <f>IF(Eleventh!E148="", "",Eleventh!E148)</f>
        <v/>
      </c>
      <c r="F2645" s="1" t="str">
        <f>IF(Eleventh!F148="", "",Eleventh!F148)</f>
        <v/>
      </c>
      <c r="G2645" s="1" t="str">
        <f>IF(Eleventh!G148="", "",Eleventh!G148)</f>
        <v/>
      </c>
      <c r="H2645" s="1" t="str">
        <f>IF(Eleventh!H148="", "",Eleventh!H148)</f>
        <v/>
      </c>
      <c r="I2645" s="1" t="str">
        <f>IF(Eleventh!I148="", "",Eleventh!I148)</f>
        <v/>
      </c>
      <c r="J2645" s="1" t="str">
        <f>IF(Eleventh!J148="", "",Eleventh!J148)</f>
        <v/>
      </c>
      <c r="K2645" s="83" t="str">
        <f>IF(Eleventh!K148="", "",Eleventh!K148)</f>
        <v/>
      </c>
      <c r="M2645" s="67" t="str">
        <f t="shared" si="125"/>
        <v/>
      </c>
      <c r="N2645" s="76" t="str">
        <f t="shared" si="126"/>
        <v/>
      </c>
      <c r="O2645" s="33">
        <f t="shared" si="124"/>
        <v>0</v>
      </c>
    </row>
    <row r="2646" spans="1:15" x14ac:dyDescent="0.25">
      <c r="A2646" s="64" t="s">
        <v>184</v>
      </c>
      <c r="B2646" s="82" t="str">
        <f>IF(Eleventh!B149="", "",Eleventh!B149)</f>
        <v/>
      </c>
      <c r="C2646" s="1" t="str">
        <f>IF(Eleventh!C149="", "",Eleventh!C149)</f>
        <v/>
      </c>
      <c r="D2646" s="1" t="str">
        <f>IF(Eleventh!D149="", "",Eleventh!D149)</f>
        <v/>
      </c>
      <c r="E2646" s="1" t="str">
        <f>IF(Eleventh!E149="", "",Eleventh!E149)</f>
        <v/>
      </c>
      <c r="F2646" s="1" t="str">
        <f>IF(Eleventh!F149="", "",Eleventh!F149)</f>
        <v/>
      </c>
      <c r="G2646" s="1" t="str">
        <f>IF(Eleventh!G149="", "",Eleventh!G149)</f>
        <v/>
      </c>
      <c r="H2646" s="1" t="str">
        <f>IF(Eleventh!H149="", "",Eleventh!H149)</f>
        <v/>
      </c>
      <c r="I2646" s="1" t="str">
        <f>IF(Eleventh!I149="", "",Eleventh!I149)</f>
        <v/>
      </c>
      <c r="J2646" s="1" t="str">
        <f>IF(Eleventh!J149="", "",Eleventh!J149)</f>
        <v/>
      </c>
      <c r="K2646" s="83" t="str">
        <f>IF(Eleventh!K149="", "",Eleventh!K149)</f>
        <v/>
      </c>
      <c r="M2646" s="67" t="str">
        <f t="shared" si="125"/>
        <v/>
      </c>
      <c r="N2646" s="76" t="str">
        <f t="shared" si="126"/>
        <v/>
      </c>
      <c r="O2646" s="33">
        <f t="shared" si="124"/>
        <v>0</v>
      </c>
    </row>
    <row r="2647" spans="1:15" x14ac:dyDescent="0.25">
      <c r="A2647" s="64" t="s">
        <v>184</v>
      </c>
      <c r="B2647" s="82" t="str">
        <f>IF(Eleventh!B150="", "",Eleventh!B150)</f>
        <v/>
      </c>
      <c r="C2647" s="1" t="str">
        <f>IF(Eleventh!C150="", "",Eleventh!C150)</f>
        <v/>
      </c>
      <c r="D2647" s="1" t="str">
        <f>IF(Eleventh!D150="", "",Eleventh!D150)</f>
        <v/>
      </c>
      <c r="E2647" s="1" t="str">
        <f>IF(Eleventh!E150="", "",Eleventh!E150)</f>
        <v/>
      </c>
      <c r="F2647" s="1" t="str">
        <f>IF(Eleventh!F150="", "",Eleventh!F150)</f>
        <v/>
      </c>
      <c r="G2647" s="1" t="str">
        <f>IF(Eleventh!G150="", "",Eleventh!G150)</f>
        <v/>
      </c>
      <c r="H2647" s="1" t="str">
        <f>IF(Eleventh!H150="", "",Eleventh!H150)</f>
        <v/>
      </c>
      <c r="I2647" s="1" t="str">
        <f>IF(Eleventh!I150="", "",Eleventh!I150)</f>
        <v/>
      </c>
      <c r="J2647" s="1" t="str">
        <f>IF(Eleventh!J150="", "",Eleventh!J150)</f>
        <v/>
      </c>
      <c r="K2647" s="83" t="str">
        <f>IF(Eleventh!K150="", "",Eleventh!K150)</f>
        <v/>
      </c>
      <c r="M2647" s="67" t="str">
        <f t="shared" si="125"/>
        <v/>
      </c>
      <c r="N2647" s="76" t="str">
        <f t="shared" si="126"/>
        <v/>
      </c>
      <c r="O2647" s="33">
        <f t="shared" si="124"/>
        <v>0</v>
      </c>
    </row>
    <row r="2648" spans="1:15" x14ac:dyDescent="0.25">
      <c r="A2648" s="64" t="s">
        <v>184</v>
      </c>
      <c r="B2648" s="82" t="str">
        <f>IF(Eleventh!B151="", "",Eleventh!B151)</f>
        <v/>
      </c>
      <c r="C2648" s="1" t="str">
        <f>IF(Eleventh!C151="", "",Eleventh!C151)</f>
        <v/>
      </c>
      <c r="D2648" s="1" t="str">
        <f>IF(Eleventh!D151="", "",Eleventh!D151)</f>
        <v/>
      </c>
      <c r="E2648" s="1" t="str">
        <f>IF(Eleventh!E151="", "",Eleventh!E151)</f>
        <v/>
      </c>
      <c r="F2648" s="1" t="str">
        <f>IF(Eleventh!F151="", "",Eleventh!F151)</f>
        <v/>
      </c>
      <c r="G2648" s="1" t="str">
        <f>IF(Eleventh!G151="", "",Eleventh!G151)</f>
        <v/>
      </c>
      <c r="H2648" s="1" t="str">
        <f>IF(Eleventh!H151="", "",Eleventh!H151)</f>
        <v/>
      </c>
      <c r="I2648" s="1" t="str">
        <f>IF(Eleventh!I151="", "",Eleventh!I151)</f>
        <v/>
      </c>
      <c r="J2648" s="1" t="str">
        <f>IF(Eleventh!J151="", "",Eleventh!J151)</f>
        <v/>
      </c>
      <c r="K2648" s="83" t="str">
        <f>IF(Eleventh!K151="", "",Eleventh!K151)</f>
        <v/>
      </c>
      <c r="M2648" s="67" t="str">
        <f t="shared" si="125"/>
        <v/>
      </c>
      <c r="N2648" s="76" t="str">
        <f t="shared" si="126"/>
        <v/>
      </c>
      <c r="O2648" s="33">
        <f t="shared" si="124"/>
        <v>0</v>
      </c>
    </row>
    <row r="2649" spans="1:15" x14ac:dyDescent="0.25">
      <c r="A2649" s="64" t="s">
        <v>184</v>
      </c>
      <c r="B2649" s="82" t="str">
        <f>IF(Eleventh!B152="", "",Eleventh!B152)</f>
        <v/>
      </c>
      <c r="C2649" s="1" t="str">
        <f>IF(Eleventh!C152="", "",Eleventh!C152)</f>
        <v/>
      </c>
      <c r="D2649" s="1" t="str">
        <f>IF(Eleventh!D152="", "",Eleventh!D152)</f>
        <v/>
      </c>
      <c r="E2649" s="1" t="str">
        <f>IF(Eleventh!E152="", "",Eleventh!E152)</f>
        <v/>
      </c>
      <c r="F2649" s="1" t="str">
        <f>IF(Eleventh!F152="", "",Eleventh!F152)</f>
        <v/>
      </c>
      <c r="G2649" s="1" t="str">
        <f>IF(Eleventh!G152="", "",Eleventh!G152)</f>
        <v/>
      </c>
      <c r="H2649" s="1" t="str">
        <f>IF(Eleventh!H152="", "",Eleventh!H152)</f>
        <v/>
      </c>
      <c r="I2649" s="1" t="str">
        <f>IF(Eleventh!I152="", "",Eleventh!I152)</f>
        <v/>
      </c>
      <c r="J2649" s="1" t="str">
        <f>IF(Eleventh!J152="", "",Eleventh!J152)</f>
        <v/>
      </c>
      <c r="K2649" s="83" t="str">
        <f>IF(Eleventh!K152="", "",Eleventh!K152)</f>
        <v/>
      </c>
      <c r="M2649" s="67" t="str">
        <f t="shared" si="125"/>
        <v/>
      </c>
      <c r="N2649" s="76" t="str">
        <f t="shared" si="126"/>
        <v/>
      </c>
      <c r="O2649" s="33">
        <f t="shared" si="124"/>
        <v>0</v>
      </c>
    </row>
    <row r="2650" spans="1:15" x14ac:dyDescent="0.25">
      <c r="A2650" s="64" t="s">
        <v>184</v>
      </c>
      <c r="B2650" s="82" t="str">
        <f>IF(Eleventh!B153="", "",Eleventh!B153)</f>
        <v/>
      </c>
      <c r="C2650" s="1" t="str">
        <f>IF(Eleventh!C153="", "",Eleventh!C153)</f>
        <v/>
      </c>
      <c r="D2650" s="1" t="str">
        <f>IF(Eleventh!D153="", "",Eleventh!D153)</f>
        <v/>
      </c>
      <c r="E2650" s="1" t="str">
        <f>IF(Eleventh!E153="", "",Eleventh!E153)</f>
        <v/>
      </c>
      <c r="F2650" s="1" t="str">
        <f>IF(Eleventh!F153="", "",Eleventh!F153)</f>
        <v/>
      </c>
      <c r="G2650" s="1" t="str">
        <f>IF(Eleventh!G153="", "",Eleventh!G153)</f>
        <v/>
      </c>
      <c r="H2650" s="1" t="str">
        <f>IF(Eleventh!H153="", "",Eleventh!H153)</f>
        <v/>
      </c>
      <c r="I2650" s="1" t="str">
        <f>IF(Eleventh!I153="", "",Eleventh!I153)</f>
        <v/>
      </c>
      <c r="J2650" s="1" t="str">
        <f>IF(Eleventh!J153="", "",Eleventh!J153)</f>
        <v/>
      </c>
      <c r="K2650" s="83" t="str">
        <f>IF(Eleventh!K153="", "",Eleventh!K153)</f>
        <v/>
      </c>
      <c r="M2650" s="67" t="str">
        <f t="shared" si="125"/>
        <v/>
      </c>
      <c r="N2650" s="76" t="str">
        <f t="shared" si="126"/>
        <v/>
      </c>
      <c r="O2650" s="33">
        <f t="shared" si="124"/>
        <v>0</v>
      </c>
    </row>
    <row r="2651" spans="1:15" x14ac:dyDescent="0.25">
      <c r="A2651" s="64" t="s">
        <v>184</v>
      </c>
      <c r="B2651" s="82" t="str">
        <f>IF(Eleventh!B154="", "",Eleventh!B154)</f>
        <v/>
      </c>
      <c r="C2651" s="1" t="str">
        <f>IF(Eleventh!C154="", "",Eleventh!C154)</f>
        <v/>
      </c>
      <c r="D2651" s="1" t="str">
        <f>IF(Eleventh!D154="", "",Eleventh!D154)</f>
        <v/>
      </c>
      <c r="E2651" s="1" t="str">
        <f>IF(Eleventh!E154="", "",Eleventh!E154)</f>
        <v/>
      </c>
      <c r="F2651" s="1" t="str">
        <f>IF(Eleventh!F154="", "",Eleventh!F154)</f>
        <v/>
      </c>
      <c r="G2651" s="1" t="str">
        <f>IF(Eleventh!G154="", "",Eleventh!G154)</f>
        <v/>
      </c>
      <c r="H2651" s="1" t="str">
        <f>IF(Eleventh!H154="", "",Eleventh!H154)</f>
        <v/>
      </c>
      <c r="I2651" s="1" t="str">
        <f>IF(Eleventh!I154="", "",Eleventh!I154)</f>
        <v/>
      </c>
      <c r="J2651" s="1" t="str">
        <f>IF(Eleventh!J154="", "",Eleventh!J154)</f>
        <v/>
      </c>
      <c r="K2651" s="83" t="str">
        <f>IF(Eleventh!K154="", "",Eleventh!K154)</f>
        <v/>
      </c>
      <c r="M2651" s="67" t="str">
        <f t="shared" si="125"/>
        <v/>
      </c>
      <c r="N2651" s="76" t="str">
        <f t="shared" si="126"/>
        <v/>
      </c>
      <c r="O2651" s="33">
        <f t="shared" si="124"/>
        <v>0</v>
      </c>
    </row>
    <row r="2652" spans="1:15" x14ac:dyDescent="0.25">
      <c r="A2652" s="64" t="s">
        <v>184</v>
      </c>
      <c r="B2652" s="82" t="str">
        <f>IF(Eleventh!B155="", "",Eleventh!B155)</f>
        <v/>
      </c>
      <c r="C2652" s="1" t="str">
        <f>IF(Eleventh!C155="", "",Eleventh!C155)</f>
        <v/>
      </c>
      <c r="D2652" s="1" t="str">
        <f>IF(Eleventh!D155="", "",Eleventh!D155)</f>
        <v/>
      </c>
      <c r="E2652" s="1" t="str">
        <f>IF(Eleventh!E155="", "",Eleventh!E155)</f>
        <v/>
      </c>
      <c r="F2652" s="1" t="str">
        <f>IF(Eleventh!F155="", "",Eleventh!F155)</f>
        <v/>
      </c>
      <c r="G2652" s="1" t="str">
        <f>IF(Eleventh!G155="", "",Eleventh!G155)</f>
        <v/>
      </c>
      <c r="H2652" s="1" t="str">
        <f>IF(Eleventh!H155="", "",Eleventh!H155)</f>
        <v/>
      </c>
      <c r="I2652" s="1" t="str">
        <f>IF(Eleventh!I155="", "",Eleventh!I155)</f>
        <v/>
      </c>
      <c r="J2652" s="1" t="str">
        <f>IF(Eleventh!J155="", "",Eleventh!J155)</f>
        <v/>
      </c>
      <c r="K2652" s="83" t="str">
        <f>IF(Eleventh!K155="", "",Eleventh!K155)</f>
        <v/>
      </c>
      <c r="M2652" s="67" t="str">
        <f t="shared" si="125"/>
        <v/>
      </c>
      <c r="N2652" s="76" t="str">
        <f t="shared" si="126"/>
        <v/>
      </c>
      <c r="O2652" s="33">
        <f t="shared" si="124"/>
        <v>0</v>
      </c>
    </row>
    <row r="2653" spans="1:15" x14ac:dyDescent="0.25">
      <c r="A2653" s="64" t="s">
        <v>184</v>
      </c>
      <c r="B2653" s="82" t="str">
        <f>IF(Eleventh!B156="", "",Eleventh!B156)</f>
        <v/>
      </c>
      <c r="C2653" s="1" t="str">
        <f>IF(Eleventh!C156="", "",Eleventh!C156)</f>
        <v/>
      </c>
      <c r="D2653" s="1" t="str">
        <f>IF(Eleventh!D156="", "",Eleventh!D156)</f>
        <v/>
      </c>
      <c r="E2653" s="1" t="str">
        <f>IF(Eleventh!E156="", "",Eleventh!E156)</f>
        <v/>
      </c>
      <c r="F2653" s="1" t="str">
        <f>IF(Eleventh!F156="", "",Eleventh!F156)</f>
        <v/>
      </c>
      <c r="G2653" s="1" t="str">
        <f>IF(Eleventh!G156="", "",Eleventh!G156)</f>
        <v/>
      </c>
      <c r="H2653" s="1" t="str">
        <f>IF(Eleventh!H156="", "",Eleventh!H156)</f>
        <v/>
      </c>
      <c r="I2653" s="1" t="str">
        <f>IF(Eleventh!I156="", "",Eleventh!I156)</f>
        <v/>
      </c>
      <c r="J2653" s="1" t="str">
        <f>IF(Eleventh!J156="", "",Eleventh!J156)</f>
        <v/>
      </c>
      <c r="K2653" s="83" t="str">
        <f>IF(Eleventh!K156="", "",Eleventh!K156)</f>
        <v/>
      </c>
      <c r="M2653" s="67" t="str">
        <f t="shared" si="125"/>
        <v/>
      </c>
      <c r="N2653" s="76" t="str">
        <f t="shared" si="126"/>
        <v/>
      </c>
      <c r="O2653" s="33">
        <f t="shared" si="124"/>
        <v>0</v>
      </c>
    </row>
    <row r="2654" spans="1:15" x14ac:dyDescent="0.25">
      <c r="A2654" s="64" t="s">
        <v>184</v>
      </c>
      <c r="B2654" s="82" t="str">
        <f>IF(Eleventh!B157="", "",Eleventh!B157)</f>
        <v/>
      </c>
      <c r="C2654" s="1" t="str">
        <f>IF(Eleventh!C157="", "",Eleventh!C157)</f>
        <v/>
      </c>
      <c r="D2654" s="1" t="str">
        <f>IF(Eleventh!D157="", "",Eleventh!D157)</f>
        <v/>
      </c>
      <c r="E2654" s="1" t="str">
        <f>IF(Eleventh!E157="", "",Eleventh!E157)</f>
        <v/>
      </c>
      <c r="F2654" s="1" t="str">
        <f>IF(Eleventh!F157="", "",Eleventh!F157)</f>
        <v/>
      </c>
      <c r="G2654" s="1" t="str">
        <f>IF(Eleventh!G157="", "",Eleventh!G157)</f>
        <v/>
      </c>
      <c r="H2654" s="1" t="str">
        <f>IF(Eleventh!H157="", "",Eleventh!H157)</f>
        <v/>
      </c>
      <c r="I2654" s="1" t="str">
        <f>IF(Eleventh!I157="", "",Eleventh!I157)</f>
        <v/>
      </c>
      <c r="J2654" s="1" t="str">
        <f>IF(Eleventh!J157="", "",Eleventh!J157)</f>
        <v/>
      </c>
      <c r="K2654" s="83" t="str">
        <f>IF(Eleventh!K157="", "",Eleventh!K157)</f>
        <v/>
      </c>
      <c r="M2654" s="67" t="str">
        <f t="shared" si="125"/>
        <v/>
      </c>
      <c r="N2654" s="76" t="str">
        <f t="shared" si="126"/>
        <v/>
      </c>
      <c r="O2654" s="33">
        <f t="shared" si="124"/>
        <v>0</v>
      </c>
    </row>
    <row r="2655" spans="1:15" x14ac:dyDescent="0.25">
      <c r="A2655" s="64" t="s">
        <v>184</v>
      </c>
      <c r="B2655" s="82" t="str">
        <f>IF(Eleventh!B158="", "",Eleventh!B158)</f>
        <v/>
      </c>
      <c r="C2655" s="1" t="str">
        <f>IF(Eleventh!C158="", "",Eleventh!C158)</f>
        <v/>
      </c>
      <c r="D2655" s="1" t="str">
        <f>IF(Eleventh!D158="", "",Eleventh!D158)</f>
        <v/>
      </c>
      <c r="E2655" s="1" t="str">
        <f>IF(Eleventh!E158="", "",Eleventh!E158)</f>
        <v/>
      </c>
      <c r="F2655" s="1" t="str">
        <f>IF(Eleventh!F158="", "",Eleventh!F158)</f>
        <v/>
      </c>
      <c r="G2655" s="1" t="str">
        <f>IF(Eleventh!G158="", "",Eleventh!G158)</f>
        <v/>
      </c>
      <c r="H2655" s="1" t="str">
        <f>IF(Eleventh!H158="", "",Eleventh!H158)</f>
        <v/>
      </c>
      <c r="I2655" s="1" t="str">
        <f>IF(Eleventh!I158="", "",Eleventh!I158)</f>
        <v/>
      </c>
      <c r="J2655" s="1" t="str">
        <f>IF(Eleventh!J158="", "",Eleventh!J158)</f>
        <v/>
      </c>
      <c r="K2655" s="83" t="str">
        <f>IF(Eleventh!K158="", "",Eleventh!K158)</f>
        <v/>
      </c>
      <c r="M2655" s="67" t="str">
        <f t="shared" si="125"/>
        <v/>
      </c>
      <c r="N2655" s="76" t="str">
        <f t="shared" si="126"/>
        <v/>
      </c>
      <c r="O2655" s="33">
        <f t="shared" si="124"/>
        <v>0</v>
      </c>
    </row>
    <row r="2656" spans="1:15" x14ac:dyDescent="0.25">
      <c r="A2656" s="64" t="s">
        <v>184</v>
      </c>
      <c r="B2656" s="82" t="str">
        <f>IF(Eleventh!B159="", "",Eleventh!B159)</f>
        <v/>
      </c>
      <c r="C2656" s="1" t="str">
        <f>IF(Eleventh!C159="", "",Eleventh!C159)</f>
        <v/>
      </c>
      <c r="D2656" s="1" t="str">
        <f>IF(Eleventh!D159="", "",Eleventh!D159)</f>
        <v/>
      </c>
      <c r="E2656" s="1" t="str">
        <f>IF(Eleventh!E159="", "",Eleventh!E159)</f>
        <v/>
      </c>
      <c r="F2656" s="1" t="str">
        <f>IF(Eleventh!F159="", "",Eleventh!F159)</f>
        <v/>
      </c>
      <c r="G2656" s="1" t="str">
        <f>IF(Eleventh!G159="", "",Eleventh!G159)</f>
        <v/>
      </c>
      <c r="H2656" s="1" t="str">
        <f>IF(Eleventh!H159="", "",Eleventh!H159)</f>
        <v/>
      </c>
      <c r="I2656" s="1" t="str">
        <f>IF(Eleventh!I159="", "",Eleventh!I159)</f>
        <v/>
      </c>
      <c r="J2656" s="1" t="str">
        <f>IF(Eleventh!J159="", "",Eleventh!J159)</f>
        <v/>
      </c>
      <c r="K2656" s="83" t="str">
        <f>IF(Eleventh!K159="", "",Eleventh!K159)</f>
        <v/>
      </c>
      <c r="M2656" s="67" t="str">
        <f t="shared" si="125"/>
        <v/>
      </c>
      <c r="N2656" s="76" t="str">
        <f t="shared" si="126"/>
        <v/>
      </c>
      <c r="O2656" s="33">
        <f t="shared" si="124"/>
        <v>0</v>
      </c>
    </row>
    <row r="2657" spans="1:15" x14ac:dyDescent="0.25">
      <c r="A2657" s="64" t="s">
        <v>184</v>
      </c>
      <c r="B2657" s="82" t="str">
        <f>IF(Eleventh!B160="", "",Eleventh!B160)</f>
        <v/>
      </c>
      <c r="C2657" s="1" t="str">
        <f>IF(Eleventh!C160="", "",Eleventh!C160)</f>
        <v/>
      </c>
      <c r="D2657" s="1" t="str">
        <f>IF(Eleventh!D160="", "",Eleventh!D160)</f>
        <v/>
      </c>
      <c r="E2657" s="1" t="str">
        <f>IF(Eleventh!E160="", "",Eleventh!E160)</f>
        <v/>
      </c>
      <c r="F2657" s="1" t="str">
        <f>IF(Eleventh!F160="", "",Eleventh!F160)</f>
        <v/>
      </c>
      <c r="G2657" s="1" t="str">
        <f>IF(Eleventh!G160="", "",Eleventh!G160)</f>
        <v/>
      </c>
      <c r="H2657" s="1" t="str">
        <f>IF(Eleventh!H160="", "",Eleventh!H160)</f>
        <v/>
      </c>
      <c r="I2657" s="1" t="str">
        <f>IF(Eleventh!I160="", "",Eleventh!I160)</f>
        <v/>
      </c>
      <c r="J2657" s="1" t="str">
        <f>IF(Eleventh!J160="", "",Eleventh!J160)</f>
        <v/>
      </c>
      <c r="K2657" s="83" t="str">
        <f>IF(Eleventh!K160="", "",Eleventh!K160)</f>
        <v/>
      </c>
      <c r="M2657" s="67" t="str">
        <f t="shared" si="125"/>
        <v/>
      </c>
      <c r="N2657" s="76" t="str">
        <f t="shared" si="126"/>
        <v/>
      </c>
      <c r="O2657" s="33">
        <f t="shared" si="124"/>
        <v>0</v>
      </c>
    </row>
    <row r="2658" spans="1:15" x14ac:dyDescent="0.25">
      <c r="A2658" s="64" t="s">
        <v>184</v>
      </c>
      <c r="B2658" s="82" t="str">
        <f>IF(Eleventh!B161="", "",Eleventh!B161)</f>
        <v/>
      </c>
      <c r="C2658" s="1" t="str">
        <f>IF(Eleventh!C161="", "",Eleventh!C161)</f>
        <v/>
      </c>
      <c r="D2658" s="1" t="str">
        <f>IF(Eleventh!D161="", "",Eleventh!D161)</f>
        <v/>
      </c>
      <c r="E2658" s="1" t="str">
        <f>IF(Eleventh!E161="", "",Eleventh!E161)</f>
        <v/>
      </c>
      <c r="F2658" s="1" t="str">
        <f>IF(Eleventh!F161="", "",Eleventh!F161)</f>
        <v/>
      </c>
      <c r="G2658" s="1" t="str">
        <f>IF(Eleventh!G161="", "",Eleventh!G161)</f>
        <v/>
      </c>
      <c r="H2658" s="1" t="str">
        <f>IF(Eleventh!H161="", "",Eleventh!H161)</f>
        <v/>
      </c>
      <c r="I2658" s="1" t="str">
        <f>IF(Eleventh!I161="", "",Eleventh!I161)</f>
        <v/>
      </c>
      <c r="J2658" s="1" t="str">
        <f>IF(Eleventh!J161="", "",Eleventh!J161)</f>
        <v/>
      </c>
      <c r="K2658" s="83" t="str">
        <f>IF(Eleventh!K161="", "",Eleventh!K161)</f>
        <v/>
      </c>
      <c r="M2658" s="67" t="str">
        <f t="shared" si="125"/>
        <v/>
      </c>
      <c r="N2658" s="76" t="str">
        <f t="shared" si="126"/>
        <v/>
      </c>
      <c r="O2658" s="33">
        <f t="shared" si="124"/>
        <v>0</v>
      </c>
    </row>
    <row r="2659" spans="1:15" x14ac:dyDescent="0.25">
      <c r="A2659" s="64" t="s">
        <v>184</v>
      </c>
      <c r="B2659" s="82" t="str">
        <f>IF(Eleventh!B162="", "",Eleventh!B162)</f>
        <v/>
      </c>
      <c r="C2659" s="1" t="str">
        <f>IF(Eleventh!C162="", "",Eleventh!C162)</f>
        <v/>
      </c>
      <c r="D2659" s="1" t="str">
        <f>IF(Eleventh!D162="", "",Eleventh!D162)</f>
        <v/>
      </c>
      <c r="E2659" s="1" t="str">
        <f>IF(Eleventh!E162="", "",Eleventh!E162)</f>
        <v/>
      </c>
      <c r="F2659" s="1" t="str">
        <f>IF(Eleventh!F162="", "",Eleventh!F162)</f>
        <v/>
      </c>
      <c r="G2659" s="1" t="str">
        <f>IF(Eleventh!G162="", "",Eleventh!G162)</f>
        <v/>
      </c>
      <c r="H2659" s="1" t="str">
        <f>IF(Eleventh!H162="", "",Eleventh!H162)</f>
        <v/>
      </c>
      <c r="I2659" s="1" t="str">
        <f>IF(Eleventh!I162="", "",Eleventh!I162)</f>
        <v/>
      </c>
      <c r="J2659" s="1" t="str">
        <f>IF(Eleventh!J162="", "",Eleventh!J162)</f>
        <v/>
      </c>
      <c r="K2659" s="83" t="str">
        <f>IF(Eleventh!K162="", "",Eleventh!K162)</f>
        <v/>
      </c>
      <c r="M2659" s="67" t="str">
        <f t="shared" si="125"/>
        <v/>
      </c>
      <c r="N2659" s="76" t="str">
        <f t="shared" si="126"/>
        <v/>
      </c>
      <c r="O2659" s="33">
        <f t="shared" si="124"/>
        <v>0</v>
      </c>
    </row>
    <row r="2660" spans="1:15" x14ac:dyDescent="0.25">
      <c r="A2660" s="64" t="s">
        <v>184</v>
      </c>
      <c r="B2660" s="82" t="str">
        <f>IF(Eleventh!B163="", "",Eleventh!B163)</f>
        <v/>
      </c>
      <c r="C2660" s="1" t="str">
        <f>IF(Eleventh!C163="", "",Eleventh!C163)</f>
        <v/>
      </c>
      <c r="D2660" s="1" t="str">
        <f>IF(Eleventh!D163="", "",Eleventh!D163)</f>
        <v/>
      </c>
      <c r="E2660" s="1" t="str">
        <f>IF(Eleventh!E163="", "",Eleventh!E163)</f>
        <v/>
      </c>
      <c r="F2660" s="1" t="str">
        <f>IF(Eleventh!F163="", "",Eleventh!F163)</f>
        <v/>
      </c>
      <c r="G2660" s="1" t="str">
        <f>IF(Eleventh!G163="", "",Eleventh!G163)</f>
        <v/>
      </c>
      <c r="H2660" s="1" t="str">
        <f>IF(Eleventh!H163="", "",Eleventh!H163)</f>
        <v/>
      </c>
      <c r="I2660" s="1" t="str">
        <f>IF(Eleventh!I163="", "",Eleventh!I163)</f>
        <v/>
      </c>
      <c r="J2660" s="1" t="str">
        <f>IF(Eleventh!J163="", "",Eleventh!J163)</f>
        <v/>
      </c>
      <c r="K2660" s="83" t="str">
        <f>IF(Eleventh!K163="", "",Eleventh!K163)</f>
        <v/>
      </c>
      <c r="M2660" s="67" t="str">
        <f t="shared" si="125"/>
        <v/>
      </c>
      <c r="N2660" s="76" t="str">
        <f t="shared" si="126"/>
        <v/>
      </c>
      <c r="O2660" s="33">
        <f t="shared" si="124"/>
        <v>0</v>
      </c>
    </row>
    <row r="2661" spans="1:15" x14ac:dyDescent="0.25">
      <c r="A2661" s="64" t="s">
        <v>184</v>
      </c>
      <c r="B2661" s="82" t="str">
        <f>IF(Eleventh!B164="", "",Eleventh!B164)</f>
        <v/>
      </c>
      <c r="C2661" s="1" t="str">
        <f>IF(Eleventh!C164="", "",Eleventh!C164)</f>
        <v/>
      </c>
      <c r="D2661" s="1" t="str">
        <f>IF(Eleventh!D164="", "",Eleventh!D164)</f>
        <v/>
      </c>
      <c r="E2661" s="1" t="str">
        <f>IF(Eleventh!E164="", "",Eleventh!E164)</f>
        <v/>
      </c>
      <c r="F2661" s="1" t="str">
        <f>IF(Eleventh!F164="", "",Eleventh!F164)</f>
        <v/>
      </c>
      <c r="G2661" s="1" t="str">
        <f>IF(Eleventh!G164="", "",Eleventh!G164)</f>
        <v/>
      </c>
      <c r="H2661" s="1" t="str">
        <f>IF(Eleventh!H164="", "",Eleventh!H164)</f>
        <v/>
      </c>
      <c r="I2661" s="1" t="str">
        <f>IF(Eleventh!I164="", "",Eleventh!I164)</f>
        <v/>
      </c>
      <c r="J2661" s="1" t="str">
        <f>IF(Eleventh!J164="", "",Eleventh!J164)</f>
        <v/>
      </c>
      <c r="K2661" s="83" t="str">
        <f>IF(Eleventh!K164="", "",Eleventh!K164)</f>
        <v/>
      </c>
      <c r="M2661" s="67" t="str">
        <f t="shared" si="125"/>
        <v/>
      </c>
      <c r="N2661" s="76" t="str">
        <f t="shared" si="126"/>
        <v/>
      </c>
      <c r="O2661" s="33">
        <f t="shared" si="124"/>
        <v>0</v>
      </c>
    </row>
    <row r="2662" spans="1:15" x14ac:dyDescent="0.25">
      <c r="A2662" s="64" t="s">
        <v>184</v>
      </c>
      <c r="B2662" s="82" t="str">
        <f>IF(Eleventh!B165="", "",Eleventh!B165)</f>
        <v/>
      </c>
      <c r="C2662" s="1" t="str">
        <f>IF(Eleventh!C165="", "",Eleventh!C165)</f>
        <v/>
      </c>
      <c r="D2662" s="1" t="str">
        <f>IF(Eleventh!D165="", "",Eleventh!D165)</f>
        <v/>
      </c>
      <c r="E2662" s="1" t="str">
        <f>IF(Eleventh!E165="", "",Eleventh!E165)</f>
        <v/>
      </c>
      <c r="F2662" s="1" t="str">
        <f>IF(Eleventh!F165="", "",Eleventh!F165)</f>
        <v/>
      </c>
      <c r="G2662" s="1" t="str">
        <f>IF(Eleventh!G165="", "",Eleventh!G165)</f>
        <v/>
      </c>
      <c r="H2662" s="1" t="str">
        <f>IF(Eleventh!H165="", "",Eleventh!H165)</f>
        <v/>
      </c>
      <c r="I2662" s="1" t="str">
        <f>IF(Eleventh!I165="", "",Eleventh!I165)</f>
        <v/>
      </c>
      <c r="J2662" s="1" t="str">
        <f>IF(Eleventh!J165="", "",Eleventh!J165)</f>
        <v/>
      </c>
      <c r="K2662" s="83" t="str">
        <f>IF(Eleventh!K165="", "",Eleventh!K165)</f>
        <v/>
      </c>
      <c r="M2662" s="67" t="str">
        <f t="shared" si="125"/>
        <v/>
      </c>
      <c r="N2662" s="76" t="str">
        <f t="shared" si="126"/>
        <v/>
      </c>
      <c r="O2662" s="33">
        <f t="shared" si="124"/>
        <v>0</v>
      </c>
    </row>
    <row r="2663" spans="1:15" x14ac:dyDescent="0.25">
      <c r="A2663" s="64" t="s">
        <v>184</v>
      </c>
      <c r="B2663" s="82" t="str">
        <f>IF(Eleventh!B166="", "",Eleventh!B166)</f>
        <v/>
      </c>
      <c r="C2663" s="1" t="str">
        <f>IF(Eleventh!C166="", "",Eleventh!C166)</f>
        <v/>
      </c>
      <c r="D2663" s="1" t="str">
        <f>IF(Eleventh!D166="", "",Eleventh!D166)</f>
        <v/>
      </c>
      <c r="E2663" s="1" t="str">
        <f>IF(Eleventh!E166="", "",Eleventh!E166)</f>
        <v/>
      </c>
      <c r="F2663" s="1" t="str">
        <f>IF(Eleventh!F166="", "",Eleventh!F166)</f>
        <v/>
      </c>
      <c r="G2663" s="1" t="str">
        <f>IF(Eleventh!G166="", "",Eleventh!G166)</f>
        <v/>
      </c>
      <c r="H2663" s="1" t="str">
        <f>IF(Eleventh!H166="", "",Eleventh!H166)</f>
        <v/>
      </c>
      <c r="I2663" s="1" t="str">
        <f>IF(Eleventh!I166="", "",Eleventh!I166)</f>
        <v/>
      </c>
      <c r="J2663" s="1" t="str">
        <f>IF(Eleventh!J166="", "",Eleventh!J166)</f>
        <v/>
      </c>
      <c r="K2663" s="83" t="str">
        <f>IF(Eleventh!K166="", "",Eleventh!K166)</f>
        <v/>
      </c>
      <c r="M2663" s="67" t="str">
        <f t="shared" si="125"/>
        <v/>
      </c>
      <c r="N2663" s="76" t="str">
        <f t="shared" si="126"/>
        <v/>
      </c>
      <c r="O2663" s="33">
        <f t="shared" si="124"/>
        <v>0</v>
      </c>
    </row>
    <row r="2664" spans="1:15" x14ac:dyDescent="0.25">
      <c r="A2664" s="64" t="s">
        <v>184</v>
      </c>
      <c r="B2664" s="82" t="str">
        <f>IF(Eleventh!B167="", "",Eleventh!B167)</f>
        <v/>
      </c>
      <c r="C2664" s="1" t="str">
        <f>IF(Eleventh!C167="", "",Eleventh!C167)</f>
        <v/>
      </c>
      <c r="D2664" s="1" t="str">
        <f>IF(Eleventh!D167="", "",Eleventh!D167)</f>
        <v/>
      </c>
      <c r="E2664" s="1" t="str">
        <f>IF(Eleventh!E167="", "",Eleventh!E167)</f>
        <v/>
      </c>
      <c r="F2664" s="1" t="str">
        <f>IF(Eleventh!F167="", "",Eleventh!F167)</f>
        <v/>
      </c>
      <c r="G2664" s="1" t="str">
        <f>IF(Eleventh!G167="", "",Eleventh!G167)</f>
        <v/>
      </c>
      <c r="H2664" s="1" t="str">
        <f>IF(Eleventh!H167="", "",Eleventh!H167)</f>
        <v/>
      </c>
      <c r="I2664" s="1" t="str">
        <f>IF(Eleventh!I167="", "",Eleventh!I167)</f>
        <v/>
      </c>
      <c r="J2664" s="1" t="str">
        <f>IF(Eleventh!J167="", "",Eleventh!J167)</f>
        <v/>
      </c>
      <c r="K2664" s="83" t="str">
        <f>IF(Eleventh!K167="", "",Eleventh!K167)</f>
        <v/>
      </c>
      <c r="M2664" s="67" t="str">
        <f t="shared" si="125"/>
        <v/>
      </c>
      <c r="N2664" s="76" t="str">
        <f t="shared" si="126"/>
        <v/>
      </c>
      <c r="O2664" s="33">
        <f t="shared" si="124"/>
        <v>0</v>
      </c>
    </row>
    <row r="2665" spans="1:15" x14ac:dyDescent="0.25">
      <c r="A2665" s="64" t="s">
        <v>184</v>
      </c>
      <c r="B2665" s="82" t="str">
        <f>IF(Eleventh!B168="", "",Eleventh!B168)</f>
        <v/>
      </c>
      <c r="C2665" s="1" t="str">
        <f>IF(Eleventh!C168="", "",Eleventh!C168)</f>
        <v/>
      </c>
      <c r="D2665" s="1" t="str">
        <f>IF(Eleventh!D168="", "",Eleventh!D168)</f>
        <v/>
      </c>
      <c r="E2665" s="1" t="str">
        <f>IF(Eleventh!E168="", "",Eleventh!E168)</f>
        <v/>
      </c>
      <c r="F2665" s="1" t="str">
        <f>IF(Eleventh!F168="", "",Eleventh!F168)</f>
        <v/>
      </c>
      <c r="G2665" s="1" t="str">
        <f>IF(Eleventh!G168="", "",Eleventh!G168)</f>
        <v/>
      </c>
      <c r="H2665" s="1" t="str">
        <f>IF(Eleventh!H168="", "",Eleventh!H168)</f>
        <v/>
      </c>
      <c r="I2665" s="1" t="str">
        <f>IF(Eleventh!I168="", "",Eleventh!I168)</f>
        <v/>
      </c>
      <c r="J2665" s="1" t="str">
        <f>IF(Eleventh!J168="", "",Eleventh!J168)</f>
        <v/>
      </c>
      <c r="K2665" s="83" t="str">
        <f>IF(Eleventh!K168="", "",Eleventh!K168)</f>
        <v/>
      </c>
      <c r="M2665" s="67" t="str">
        <f t="shared" si="125"/>
        <v/>
      </c>
      <c r="N2665" s="76" t="str">
        <f t="shared" si="126"/>
        <v/>
      </c>
      <c r="O2665" s="33">
        <f t="shared" si="124"/>
        <v>0</v>
      </c>
    </row>
    <row r="2666" spans="1:15" x14ac:dyDescent="0.25">
      <c r="A2666" s="64" t="s">
        <v>184</v>
      </c>
      <c r="B2666" s="82" t="str">
        <f>IF(Eleventh!B169="", "",Eleventh!B169)</f>
        <v/>
      </c>
      <c r="C2666" s="1" t="str">
        <f>IF(Eleventh!C169="", "",Eleventh!C169)</f>
        <v/>
      </c>
      <c r="D2666" s="1" t="str">
        <f>IF(Eleventh!D169="", "",Eleventh!D169)</f>
        <v/>
      </c>
      <c r="E2666" s="1" t="str">
        <f>IF(Eleventh!E169="", "",Eleventh!E169)</f>
        <v/>
      </c>
      <c r="F2666" s="1" t="str">
        <f>IF(Eleventh!F169="", "",Eleventh!F169)</f>
        <v/>
      </c>
      <c r="G2666" s="1" t="str">
        <f>IF(Eleventh!G169="", "",Eleventh!G169)</f>
        <v/>
      </c>
      <c r="H2666" s="1" t="str">
        <f>IF(Eleventh!H169="", "",Eleventh!H169)</f>
        <v/>
      </c>
      <c r="I2666" s="1" t="str">
        <f>IF(Eleventh!I169="", "",Eleventh!I169)</f>
        <v/>
      </c>
      <c r="J2666" s="1" t="str">
        <f>IF(Eleventh!J169="", "",Eleventh!J169)</f>
        <v/>
      </c>
      <c r="K2666" s="83" t="str">
        <f>IF(Eleventh!K169="", "",Eleventh!K169)</f>
        <v/>
      </c>
      <c r="M2666" s="67" t="str">
        <f t="shared" si="125"/>
        <v/>
      </c>
      <c r="N2666" s="76" t="str">
        <f t="shared" si="126"/>
        <v/>
      </c>
      <c r="O2666" s="33">
        <f t="shared" si="124"/>
        <v>0</v>
      </c>
    </row>
    <row r="2667" spans="1:15" x14ac:dyDescent="0.25">
      <c r="A2667" s="64" t="s">
        <v>184</v>
      </c>
      <c r="B2667" s="82" t="str">
        <f>IF(Eleventh!B170="", "",Eleventh!B170)</f>
        <v/>
      </c>
      <c r="C2667" s="1" t="str">
        <f>IF(Eleventh!C170="", "",Eleventh!C170)</f>
        <v/>
      </c>
      <c r="D2667" s="1" t="str">
        <f>IF(Eleventh!D170="", "",Eleventh!D170)</f>
        <v/>
      </c>
      <c r="E2667" s="1" t="str">
        <f>IF(Eleventh!E170="", "",Eleventh!E170)</f>
        <v/>
      </c>
      <c r="F2667" s="1" t="str">
        <f>IF(Eleventh!F170="", "",Eleventh!F170)</f>
        <v/>
      </c>
      <c r="G2667" s="1" t="str">
        <f>IF(Eleventh!G170="", "",Eleventh!G170)</f>
        <v/>
      </c>
      <c r="H2667" s="1" t="str">
        <f>IF(Eleventh!H170="", "",Eleventh!H170)</f>
        <v/>
      </c>
      <c r="I2667" s="1" t="str">
        <f>IF(Eleventh!I170="", "",Eleventh!I170)</f>
        <v/>
      </c>
      <c r="J2667" s="1" t="str">
        <f>IF(Eleventh!J170="", "",Eleventh!J170)</f>
        <v/>
      </c>
      <c r="K2667" s="83" t="str">
        <f>IF(Eleventh!K170="", "",Eleventh!K170)</f>
        <v/>
      </c>
      <c r="M2667" s="67" t="str">
        <f t="shared" si="125"/>
        <v/>
      </c>
      <c r="N2667" s="76" t="str">
        <f t="shared" si="126"/>
        <v/>
      </c>
      <c r="O2667" s="33">
        <f t="shared" si="124"/>
        <v>0</v>
      </c>
    </row>
    <row r="2668" spans="1:15" x14ac:dyDescent="0.25">
      <c r="A2668" s="64" t="s">
        <v>184</v>
      </c>
      <c r="B2668" s="82" t="str">
        <f>IF(Eleventh!B171="", "",Eleventh!B171)</f>
        <v/>
      </c>
      <c r="C2668" s="1" t="str">
        <f>IF(Eleventh!C171="", "",Eleventh!C171)</f>
        <v/>
      </c>
      <c r="D2668" s="1" t="str">
        <f>IF(Eleventh!D171="", "",Eleventh!D171)</f>
        <v/>
      </c>
      <c r="E2668" s="1" t="str">
        <f>IF(Eleventh!E171="", "",Eleventh!E171)</f>
        <v/>
      </c>
      <c r="F2668" s="1" t="str">
        <f>IF(Eleventh!F171="", "",Eleventh!F171)</f>
        <v/>
      </c>
      <c r="G2668" s="1" t="str">
        <f>IF(Eleventh!G171="", "",Eleventh!G171)</f>
        <v/>
      </c>
      <c r="H2668" s="1" t="str">
        <f>IF(Eleventh!H171="", "",Eleventh!H171)</f>
        <v/>
      </c>
      <c r="I2668" s="1" t="str">
        <f>IF(Eleventh!I171="", "",Eleventh!I171)</f>
        <v/>
      </c>
      <c r="J2668" s="1" t="str">
        <f>IF(Eleventh!J171="", "",Eleventh!J171)</f>
        <v/>
      </c>
      <c r="K2668" s="83" t="str">
        <f>IF(Eleventh!K171="", "",Eleventh!K171)</f>
        <v/>
      </c>
      <c r="M2668" s="67" t="str">
        <f t="shared" si="125"/>
        <v/>
      </c>
      <c r="N2668" s="76" t="str">
        <f t="shared" si="126"/>
        <v/>
      </c>
      <c r="O2668" s="33">
        <f t="shared" si="124"/>
        <v>0</v>
      </c>
    </row>
    <row r="2669" spans="1:15" x14ac:dyDescent="0.25">
      <c r="A2669" s="64" t="s">
        <v>184</v>
      </c>
      <c r="B2669" s="82" t="str">
        <f>IF(Eleventh!B172="", "",Eleventh!B172)</f>
        <v/>
      </c>
      <c r="C2669" s="1" t="str">
        <f>IF(Eleventh!C172="", "",Eleventh!C172)</f>
        <v/>
      </c>
      <c r="D2669" s="1" t="str">
        <f>IF(Eleventh!D172="", "",Eleventh!D172)</f>
        <v/>
      </c>
      <c r="E2669" s="1" t="str">
        <f>IF(Eleventh!E172="", "",Eleventh!E172)</f>
        <v/>
      </c>
      <c r="F2669" s="1" t="str">
        <f>IF(Eleventh!F172="", "",Eleventh!F172)</f>
        <v/>
      </c>
      <c r="G2669" s="1" t="str">
        <f>IF(Eleventh!G172="", "",Eleventh!G172)</f>
        <v/>
      </c>
      <c r="H2669" s="1" t="str">
        <f>IF(Eleventh!H172="", "",Eleventh!H172)</f>
        <v/>
      </c>
      <c r="I2669" s="1" t="str">
        <f>IF(Eleventh!I172="", "",Eleventh!I172)</f>
        <v/>
      </c>
      <c r="J2669" s="1" t="str">
        <f>IF(Eleventh!J172="", "",Eleventh!J172)</f>
        <v/>
      </c>
      <c r="K2669" s="83" t="str">
        <f>IF(Eleventh!K172="", "",Eleventh!K172)</f>
        <v/>
      </c>
      <c r="M2669" s="67" t="str">
        <f t="shared" si="125"/>
        <v/>
      </c>
      <c r="N2669" s="76" t="str">
        <f t="shared" si="126"/>
        <v/>
      </c>
      <c r="O2669" s="33">
        <f t="shared" si="124"/>
        <v>0</v>
      </c>
    </row>
    <row r="2670" spans="1:15" x14ac:dyDescent="0.25">
      <c r="A2670" s="64" t="s">
        <v>184</v>
      </c>
      <c r="B2670" s="82" t="str">
        <f>IF(Eleventh!B173="", "",Eleventh!B173)</f>
        <v/>
      </c>
      <c r="C2670" s="1" t="str">
        <f>IF(Eleventh!C173="", "",Eleventh!C173)</f>
        <v/>
      </c>
      <c r="D2670" s="1" t="str">
        <f>IF(Eleventh!D173="", "",Eleventh!D173)</f>
        <v/>
      </c>
      <c r="E2670" s="1" t="str">
        <f>IF(Eleventh!E173="", "",Eleventh!E173)</f>
        <v/>
      </c>
      <c r="F2670" s="1" t="str">
        <f>IF(Eleventh!F173="", "",Eleventh!F173)</f>
        <v/>
      </c>
      <c r="G2670" s="1" t="str">
        <f>IF(Eleventh!G173="", "",Eleventh!G173)</f>
        <v/>
      </c>
      <c r="H2670" s="1" t="str">
        <f>IF(Eleventh!H173="", "",Eleventh!H173)</f>
        <v/>
      </c>
      <c r="I2670" s="1" t="str">
        <f>IF(Eleventh!I173="", "",Eleventh!I173)</f>
        <v/>
      </c>
      <c r="J2670" s="1" t="str">
        <f>IF(Eleventh!J173="", "",Eleventh!J173)</f>
        <v/>
      </c>
      <c r="K2670" s="83" t="str">
        <f>IF(Eleventh!K173="", "",Eleventh!K173)</f>
        <v/>
      </c>
      <c r="M2670" s="67" t="str">
        <f t="shared" si="125"/>
        <v/>
      </c>
      <c r="N2670" s="76" t="str">
        <f t="shared" si="126"/>
        <v/>
      </c>
      <c r="O2670" s="33">
        <f t="shared" si="124"/>
        <v>0</v>
      </c>
    </row>
    <row r="2671" spans="1:15" x14ac:dyDescent="0.25">
      <c r="A2671" s="64" t="s">
        <v>184</v>
      </c>
      <c r="B2671" s="82" t="str">
        <f>IF(Eleventh!B174="", "",Eleventh!B174)</f>
        <v/>
      </c>
      <c r="C2671" s="1" t="str">
        <f>IF(Eleventh!C174="", "",Eleventh!C174)</f>
        <v/>
      </c>
      <c r="D2671" s="1" t="str">
        <f>IF(Eleventh!D174="", "",Eleventh!D174)</f>
        <v/>
      </c>
      <c r="E2671" s="1" t="str">
        <f>IF(Eleventh!E174="", "",Eleventh!E174)</f>
        <v/>
      </c>
      <c r="F2671" s="1" t="str">
        <f>IF(Eleventh!F174="", "",Eleventh!F174)</f>
        <v/>
      </c>
      <c r="G2671" s="1" t="str">
        <f>IF(Eleventh!G174="", "",Eleventh!G174)</f>
        <v/>
      </c>
      <c r="H2671" s="1" t="str">
        <f>IF(Eleventh!H174="", "",Eleventh!H174)</f>
        <v/>
      </c>
      <c r="I2671" s="1" t="str">
        <f>IF(Eleventh!I174="", "",Eleventh!I174)</f>
        <v/>
      </c>
      <c r="J2671" s="1" t="str">
        <f>IF(Eleventh!J174="", "",Eleventh!J174)</f>
        <v/>
      </c>
      <c r="K2671" s="83" t="str">
        <f>IF(Eleventh!K174="", "",Eleventh!K174)</f>
        <v/>
      </c>
      <c r="M2671" s="67" t="str">
        <f t="shared" si="125"/>
        <v/>
      </c>
      <c r="N2671" s="76" t="str">
        <f t="shared" si="126"/>
        <v/>
      </c>
      <c r="O2671" s="33">
        <f t="shared" si="124"/>
        <v>0</v>
      </c>
    </row>
    <row r="2672" spans="1:15" x14ac:dyDescent="0.25">
      <c r="A2672" s="64" t="s">
        <v>184</v>
      </c>
      <c r="B2672" s="82" t="str">
        <f>IF(Eleventh!B175="", "",Eleventh!B175)</f>
        <v/>
      </c>
      <c r="C2672" s="1" t="str">
        <f>IF(Eleventh!C175="", "",Eleventh!C175)</f>
        <v/>
      </c>
      <c r="D2672" s="1" t="str">
        <f>IF(Eleventh!D175="", "",Eleventh!D175)</f>
        <v/>
      </c>
      <c r="E2672" s="1" t="str">
        <f>IF(Eleventh!E175="", "",Eleventh!E175)</f>
        <v/>
      </c>
      <c r="F2672" s="1" t="str">
        <f>IF(Eleventh!F175="", "",Eleventh!F175)</f>
        <v/>
      </c>
      <c r="G2672" s="1" t="str">
        <f>IF(Eleventh!G175="", "",Eleventh!G175)</f>
        <v/>
      </c>
      <c r="H2672" s="1" t="str">
        <f>IF(Eleventh!H175="", "",Eleventh!H175)</f>
        <v/>
      </c>
      <c r="I2672" s="1" t="str">
        <f>IF(Eleventh!I175="", "",Eleventh!I175)</f>
        <v/>
      </c>
      <c r="J2672" s="1" t="str">
        <f>IF(Eleventh!J175="", "",Eleventh!J175)</f>
        <v/>
      </c>
      <c r="K2672" s="83" t="str">
        <f>IF(Eleventh!K175="", "",Eleventh!K175)</f>
        <v/>
      </c>
      <c r="M2672" s="67" t="str">
        <f t="shared" si="125"/>
        <v/>
      </c>
      <c r="N2672" s="76" t="str">
        <f t="shared" si="126"/>
        <v/>
      </c>
      <c r="O2672" s="33">
        <f t="shared" si="124"/>
        <v>0</v>
      </c>
    </row>
    <row r="2673" spans="1:15" x14ac:dyDescent="0.25">
      <c r="A2673" s="64" t="s">
        <v>184</v>
      </c>
      <c r="B2673" s="82" t="str">
        <f>IF(Eleventh!B176="", "",Eleventh!B176)</f>
        <v/>
      </c>
      <c r="C2673" s="1" t="str">
        <f>IF(Eleventh!C176="", "",Eleventh!C176)</f>
        <v/>
      </c>
      <c r="D2673" s="1" t="str">
        <f>IF(Eleventh!D176="", "",Eleventh!D176)</f>
        <v/>
      </c>
      <c r="E2673" s="1" t="str">
        <f>IF(Eleventh!E176="", "",Eleventh!E176)</f>
        <v/>
      </c>
      <c r="F2673" s="1" t="str">
        <f>IF(Eleventh!F176="", "",Eleventh!F176)</f>
        <v/>
      </c>
      <c r="G2673" s="1" t="str">
        <f>IF(Eleventh!G176="", "",Eleventh!G176)</f>
        <v/>
      </c>
      <c r="H2673" s="1" t="str">
        <f>IF(Eleventh!H176="", "",Eleventh!H176)</f>
        <v/>
      </c>
      <c r="I2673" s="1" t="str">
        <f>IF(Eleventh!I176="", "",Eleventh!I176)</f>
        <v/>
      </c>
      <c r="J2673" s="1" t="str">
        <f>IF(Eleventh!J176="", "",Eleventh!J176)</f>
        <v/>
      </c>
      <c r="K2673" s="83" t="str">
        <f>IF(Eleventh!K176="", "",Eleventh!K176)</f>
        <v/>
      </c>
      <c r="M2673" s="67" t="str">
        <f t="shared" si="125"/>
        <v/>
      </c>
      <c r="N2673" s="76" t="str">
        <f t="shared" si="126"/>
        <v/>
      </c>
      <c r="O2673" s="33">
        <f t="shared" si="124"/>
        <v>0</v>
      </c>
    </row>
    <row r="2674" spans="1:15" x14ac:dyDescent="0.25">
      <c r="A2674" s="64" t="s">
        <v>184</v>
      </c>
      <c r="B2674" s="82" t="str">
        <f>IF(Eleventh!B177="", "",Eleventh!B177)</f>
        <v/>
      </c>
      <c r="C2674" s="1" t="str">
        <f>IF(Eleventh!C177="", "",Eleventh!C177)</f>
        <v/>
      </c>
      <c r="D2674" s="1" t="str">
        <f>IF(Eleventh!D177="", "",Eleventh!D177)</f>
        <v/>
      </c>
      <c r="E2674" s="1" t="str">
        <f>IF(Eleventh!E177="", "",Eleventh!E177)</f>
        <v/>
      </c>
      <c r="F2674" s="1" t="str">
        <f>IF(Eleventh!F177="", "",Eleventh!F177)</f>
        <v/>
      </c>
      <c r="G2674" s="1" t="str">
        <f>IF(Eleventh!G177="", "",Eleventh!G177)</f>
        <v/>
      </c>
      <c r="H2674" s="1" t="str">
        <f>IF(Eleventh!H177="", "",Eleventh!H177)</f>
        <v/>
      </c>
      <c r="I2674" s="1" t="str">
        <f>IF(Eleventh!I177="", "",Eleventh!I177)</f>
        <v/>
      </c>
      <c r="J2674" s="1" t="str">
        <f>IF(Eleventh!J177="", "",Eleventh!J177)</f>
        <v/>
      </c>
      <c r="K2674" s="83" t="str">
        <f>IF(Eleventh!K177="", "",Eleventh!K177)</f>
        <v/>
      </c>
      <c r="M2674" s="67" t="str">
        <f t="shared" si="125"/>
        <v/>
      </c>
      <c r="N2674" s="76" t="str">
        <f t="shared" si="126"/>
        <v/>
      </c>
      <c r="O2674" s="33">
        <f t="shared" si="124"/>
        <v>0</v>
      </c>
    </row>
    <row r="2675" spans="1:15" x14ac:dyDescent="0.25">
      <c r="A2675" s="64" t="s">
        <v>184</v>
      </c>
      <c r="B2675" s="82" t="str">
        <f>IF(Eleventh!B178="", "",Eleventh!B178)</f>
        <v/>
      </c>
      <c r="C2675" s="1" t="str">
        <f>IF(Eleventh!C178="", "",Eleventh!C178)</f>
        <v/>
      </c>
      <c r="D2675" s="1" t="str">
        <f>IF(Eleventh!D178="", "",Eleventh!D178)</f>
        <v/>
      </c>
      <c r="E2675" s="1" t="str">
        <f>IF(Eleventh!E178="", "",Eleventh!E178)</f>
        <v/>
      </c>
      <c r="F2675" s="1" t="str">
        <f>IF(Eleventh!F178="", "",Eleventh!F178)</f>
        <v/>
      </c>
      <c r="G2675" s="1" t="str">
        <f>IF(Eleventh!G178="", "",Eleventh!G178)</f>
        <v/>
      </c>
      <c r="H2675" s="1" t="str">
        <f>IF(Eleventh!H178="", "",Eleventh!H178)</f>
        <v/>
      </c>
      <c r="I2675" s="1" t="str">
        <f>IF(Eleventh!I178="", "",Eleventh!I178)</f>
        <v/>
      </c>
      <c r="J2675" s="1" t="str">
        <f>IF(Eleventh!J178="", "",Eleventh!J178)</f>
        <v/>
      </c>
      <c r="K2675" s="83" t="str">
        <f>IF(Eleventh!K178="", "",Eleventh!K178)</f>
        <v/>
      </c>
      <c r="M2675" s="67" t="str">
        <f t="shared" si="125"/>
        <v/>
      </c>
      <c r="N2675" s="76" t="str">
        <f t="shared" si="126"/>
        <v/>
      </c>
      <c r="O2675" s="33">
        <f t="shared" si="124"/>
        <v>0</v>
      </c>
    </row>
    <row r="2676" spans="1:15" x14ac:dyDescent="0.25">
      <c r="A2676" s="64" t="s">
        <v>184</v>
      </c>
      <c r="B2676" s="82" t="str">
        <f>IF(Eleventh!B179="", "",Eleventh!B179)</f>
        <v/>
      </c>
      <c r="C2676" s="1" t="str">
        <f>IF(Eleventh!C179="", "",Eleventh!C179)</f>
        <v/>
      </c>
      <c r="D2676" s="1" t="str">
        <f>IF(Eleventh!D179="", "",Eleventh!D179)</f>
        <v/>
      </c>
      <c r="E2676" s="1" t="str">
        <f>IF(Eleventh!E179="", "",Eleventh!E179)</f>
        <v/>
      </c>
      <c r="F2676" s="1" t="str">
        <f>IF(Eleventh!F179="", "",Eleventh!F179)</f>
        <v/>
      </c>
      <c r="G2676" s="1" t="str">
        <f>IF(Eleventh!G179="", "",Eleventh!G179)</f>
        <v/>
      </c>
      <c r="H2676" s="1" t="str">
        <f>IF(Eleventh!H179="", "",Eleventh!H179)</f>
        <v/>
      </c>
      <c r="I2676" s="1" t="str">
        <f>IF(Eleventh!I179="", "",Eleventh!I179)</f>
        <v/>
      </c>
      <c r="J2676" s="1" t="str">
        <f>IF(Eleventh!J179="", "",Eleventh!J179)</f>
        <v/>
      </c>
      <c r="K2676" s="83" t="str">
        <f>IF(Eleventh!K179="", "",Eleventh!K179)</f>
        <v/>
      </c>
      <c r="M2676" s="67" t="str">
        <f t="shared" si="125"/>
        <v/>
      </c>
      <c r="N2676" s="76" t="str">
        <f t="shared" si="126"/>
        <v/>
      </c>
      <c r="O2676" s="33">
        <f t="shared" si="124"/>
        <v>0</v>
      </c>
    </row>
    <row r="2677" spans="1:15" x14ac:dyDescent="0.25">
      <c r="A2677" s="64" t="s">
        <v>184</v>
      </c>
      <c r="B2677" s="82" t="str">
        <f>IF(Eleventh!B180="", "",Eleventh!B180)</f>
        <v/>
      </c>
      <c r="C2677" s="1" t="str">
        <f>IF(Eleventh!C180="", "",Eleventh!C180)</f>
        <v/>
      </c>
      <c r="D2677" s="1" t="str">
        <f>IF(Eleventh!D180="", "",Eleventh!D180)</f>
        <v/>
      </c>
      <c r="E2677" s="1" t="str">
        <f>IF(Eleventh!E180="", "",Eleventh!E180)</f>
        <v/>
      </c>
      <c r="F2677" s="1" t="str">
        <f>IF(Eleventh!F180="", "",Eleventh!F180)</f>
        <v/>
      </c>
      <c r="G2677" s="1" t="str">
        <f>IF(Eleventh!G180="", "",Eleventh!G180)</f>
        <v/>
      </c>
      <c r="H2677" s="1" t="str">
        <f>IF(Eleventh!H180="", "",Eleventh!H180)</f>
        <v/>
      </c>
      <c r="I2677" s="1" t="str">
        <f>IF(Eleventh!I180="", "",Eleventh!I180)</f>
        <v/>
      </c>
      <c r="J2677" s="1" t="str">
        <f>IF(Eleventh!J180="", "",Eleventh!J180)</f>
        <v/>
      </c>
      <c r="K2677" s="83" t="str">
        <f>IF(Eleventh!K180="", "",Eleventh!K180)</f>
        <v/>
      </c>
      <c r="M2677" s="67" t="str">
        <f t="shared" si="125"/>
        <v/>
      </c>
      <c r="N2677" s="76" t="str">
        <f t="shared" si="126"/>
        <v/>
      </c>
      <c r="O2677" s="33">
        <f t="shared" si="124"/>
        <v>0</v>
      </c>
    </row>
    <row r="2678" spans="1:15" x14ac:dyDescent="0.25">
      <c r="A2678" s="64" t="s">
        <v>184</v>
      </c>
      <c r="B2678" s="82" t="str">
        <f>IF(Eleventh!B181="", "",Eleventh!B181)</f>
        <v/>
      </c>
      <c r="C2678" s="1" t="str">
        <f>IF(Eleventh!C181="", "",Eleventh!C181)</f>
        <v/>
      </c>
      <c r="D2678" s="1" t="str">
        <f>IF(Eleventh!D181="", "",Eleventh!D181)</f>
        <v/>
      </c>
      <c r="E2678" s="1" t="str">
        <f>IF(Eleventh!E181="", "",Eleventh!E181)</f>
        <v/>
      </c>
      <c r="F2678" s="1" t="str">
        <f>IF(Eleventh!F181="", "",Eleventh!F181)</f>
        <v/>
      </c>
      <c r="G2678" s="1" t="str">
        <f>IF(Eleventh!G181="", "",Eleventh!G181)</f>
        <v/>
      </c>
      <c r="H2678" s="1" t="str">
        <f>IF(Eleventh!H181="", "",Eleventh!H181)</f>
        <v/>
      </c>
      <c r="I2678" s="1" t="str">
        <f>IF(Eleventh!I181="", "",Eleventh!I181)</f>
        <v/>
      </c>
      <c r="J2678" s="1" t="str">
        <f>IF(Eleventh!J181="", "",Eleventh!J181)</f>
        <v/>
      </c>
      <c r="K2678" s="83" t="str">
        <f>IF(Eleventh!K181="", "",Eleventh!K181)</f>
        <v/>
      </c>
      <c r="M2678" s="67" t="str">
        <f t="shared" si="125"/>
        <v/>
      </c>
      <c r="N2678" s="76" t="str">
        <f t="shared" si="126"/>
        <v/>
      </c>
      <c r="O2678" s="33">
        <f t="shared" si="124"/>
        <v>0</v>
      </c>
    </row>
    <row r="2679" spans="1:15" x14ac:dyDescent="0.25">
      <c r="A2679" s="64" t="s">
        <v>184</v>
      </c>
      <c r="B2679" s="82" t="str">
        <f>IF(Eleventh!B182="", "",Eleventh!B182)</f>
        <v/>
      </c>
      <c r="C2679" s="1" t="str">
        <f>IF(Eleventh!C182="", "",Eleventh!C182)</f>
        <v/>
      </c>
      <c r="D2679" s="1" t="str">
        <f>IF(Eleventh!D182="", "",Eleventh!D182)</f>
        <v/>
      </c>
      <c r="E2679" s="1" t="str">
        <f>IF(Eleventh!E182="", "",Eleventh!E182)</f>
        <v/>
      </c>
      <c r="F2679" s="1" t="str">
        <f>IF(Eleventh!F182="", "",Eleventh!F182)</f>
        <v/>
      </c>
      <c r="G2679" s="1" t="str">
        <f>IF(Eleventh!G182="", "",Eleventh!G182)</f>
        <v/>
      </c>
      <c r="H2679" s="1" t="str">
        <f>IF(Eleventh!H182="", "",Eleventh!H182)</f>
        <v/>
      </c>
      <c r="I2679" s="1" t="str">
        <f>IF(Eleventh!I182="", "",Eleventh!I182)</f>
        <v/>
      </c>
      <c r="J2679" s="1" t="str">
        <f>IF(Eleventh!J182="", "",Eleventh!J182)</f>
        <v/>
      </c>
      <c r="K2679" s="83" t="str">
        <f>IF(Eleventh!K182="", "",Eleventh!K182)</f>
        <v/>
      </c>
      <c r="M2679" s="67" t="str">
        <f t="shared" si="125"/>
        <v/>
      </c>
      <c r="N2679" s="76" t="str">
        <f t="shared" si="126"/>
        <v/>
      </c>
      <c r="O2679" s="33">
        <f t="shared" si="124"/>
        <v>0</v>
      </c>
    </row>
    <row r="2680" spans="1:15" x14ac:dyDescent="0.25">
      <c r="A2680" s="64" t="s">
        <v>184</v>
      </c>
      <c r="B2680" s="82" t="str">
        <f>IF(Eleventh!B183="", "",Eleventh!B183)</f>
        <v/>
      </c>
      <c r="C2680" s="1" t="str">
        <f>IF(Eleventh!C183="", "",Eleventh!C183)</f>
        <v/>
      </c>
      <c r="D2680" s="1" t="str">
        <f>IF(Eleventh!D183="", "",Eleventh!D183)</f>
        <v/>
      </c>
      <c r="E2680" s="1" t="str">
        <f>IF(Eleventh!E183="", "",Eleventh!E183)</f>
        <v/>
      </c>
      <c r="F2680" s="1" t="str">
        <f>IF(Eleventh!F183="", "",Eleventh!F183)</f>
        <v/>
      </c>
      <c r="G2680" s="1" t="str">
        <f>IF(Eleventh!G183="", "",Eleventh!G183)</f>
        <v/>
      </c>
      <c r="H2680" s="1" t="str">
        <f>IF(Eleventh!H183="", "",Eleventh!H183)</f>
        <v/>
      </c>
      <c r="I2680" s="1" t="str">
        <f>IF(Eleventh!I183="", "",Eleventh!I183)</f>
        <v/>
      </c>
      <c r="J2680" s="1" t="str">
        <f>IF(Eleventh!J183="", "",Eleventh!J183)</f>
        <v/>
      </c>
      <c r="K2680" s="83" t="str">
        <f>IF(Eleventh!K183="", "",Eleventh!K183)</f>
        <v/>
      </c>
      <c r="M2680" s="67" t="str">
        <f t="shared" si="125"/>
        <v/>
      </c>
      <c r="N2680" s="76" t="str">
        <f t="shared" si="126"/>
        <v/>
      </c>
      <c r="O2680" s="33">
        <f t="shared" si="124"/>
        <v>0</v>
      </c>
    </row>
    <row r="2681" spans="1:15" x14ac:dyDescent="0.25">
      <c r="A2681" s="64" t="s">
        <v>184</v>
      </c>
      <c r="B2681" s="82" t="str">
        <f>IF(Eleventh!B184="", "",Eleventh!B184)</f>
        <v/>
      </c>
      <c r="C2681" s="1" t="str">
        <f>IF(Eleventh!C184="", "",Eleventh!C184)</f>
        <v/>
      </c>
      <c r="D2681" s="1" t="str">
        <f>IF(Eleventh!D184="", "",Eleventh!D184)</f>
        <v/>
      </c>
      <c r="E2681" s="1" t="str">
        <f>IF(Eleventh!E184="", "",Eleventh!E184)</f>
        <v/>
      </c>
      <c r="F2681" s="1" t="str">
        <f>IF(Eleventh!F184="", "",Eleventh!F184)</f>
        <v/>
      </c>
      <c r="G2681" s="1" t="str">
        <f>IF(Eleventh!G184="", "",Eleventh!G184)</f>
        <v/>
      </c>
      <c r="H2681" s="1" t="str">
        <f>IF(Eleventh!H184="", "",Eleventh!H184)</f>
        <v/>
      </c>
      <c r="I2681" s="1" t="str">
        <f>IF(Eleventh!I184="", "",Eleventh!I184)</f>
        <v/>
      </c>
      <c r="J2681" s="1" t="str">
        <f>IF(Eleventh!J184="", "",Eleventh!J184)</f>
        <v/>
      </c>
      <c r="K2681" s="83" t="str">
        <f>IF(Eleventh!K184="", "",Eleventh!K184)</f>
        <v/>
      </c>
      <c r="M2681" s="67" t="str">
        <f t="shared" si="125"/>
        <v/>
      </c>
      <c r="N2681" s="76" t="str">
        <f t="shared" si="126"/>
        <v/>
      </c>
      <c r="O2681" s="33">
        <f t="shared" si="124"/>
        <v>0</v>
      </c>
    </row>
    <row r="2682" spans="1:15" x14ac:dyDescent="0.25">
      <c r="A2682" s="64" t="s">
        <v>184</v>
      </c>
      <c r="B2682" s="82" t="str">
        <f>IF(Eleventh!B185="", "",Eleventh!B185)</f>
        <v/>
      </c>
      <c r="C2682" s="1" t="str">
        <f>IF(Eleventh!C185="", "",Eleventh!C185)</f>
        <v/>
      </c>
      <c r="D2682" s="1" t="str">
        <f>IF(Eleventh!D185="", "",Eleventh!D185)</f>
        <v/>
      </c>
      <c r="E2682" s="1" t="str">
        <f>IF(Eleventh!E185="", "",Eleventh!E185)</f>
        <v/>
      </c>
      <c r="F2682" s="1" t="str">
        <f>IF(Eleventh!F185="", "",Eleventh!F185)</f>
        <v/>
      </c>
      <c r="G2682" s="1" t="str">
        <f>IF(Eleventh!G185="", "",Eleventh!G185)</f>
        <v/>
      </c>
      <c r="H2682" s="1" t="str">
        <f>IF(Eleventh!H185="", "",Eleventh!H185)</f>
        <v/>
      </c>
      <c r="I2682" s="1" t="str">
        <f>IF(Eleventh!I185="", "",Eleventh!I185)</f>
        <v/>
      </c>
      <c r="J2682" s="1" t="str">
        <f>IF(Eleventh!J185="", "",Eleventh!J185)</f>
        <v/>
      </c>
      <c r="K2682" s="83" t="str">
        <f>IF(Eleventh!K185="", "",Eleventh!K185)</f>
        <v/>
      </c>
      <c r="M2682" s="67" t="str">
        <f t="shared" si="125"/>
        <v/>
      </c>
      <c r="N2682" s="76" t="str">
        <f t="shared" si="126"/>
        <v/>
      </c>
      <c r="O2682" s="33">
        <f t="shared" si="124"/>
        <v>0</v>
      </c>
    </row>
    <row r="2683" spans="1:15" x14ac:dyDescent="0.25">
      <c r="A2683" s="64" t="s">
        <v>184</v>
      </c>
      <c r="B2683" s="82" t="str">
        <f>IF(Eleventh!B186="", "",Eleventh!B186)</f>
        <v/>
      </c>
      <c r="C2683" s="1" t="str">
        <f>IF(Eleventh!C186="", "",Eleventh!C186)</f>
        <v/>
      </c>
      <c r="D2683" s="1" t="str">
        <f>IF(Eleventh!D186="", "",Eleventh!D186)</f>
        <v/>
      </c>
      <c r="E2683" s="1" t="str">
        <f>IF(Eleventh!E186="", "",Eleventh!E186)</f>
        <v/>
      </c>
      <c r="F2683" s="1" t="str">
        <f>IF(Eleventh!F186="", "",Eleventh!F186)</f>
        <v/>
      </c>
      <c r="G2683" s="1" t="str">
        <f>IF(Eleventh!G186="", "",Eleventh!G186)</f>
        <v/>
      </c>
      <c r="H2683" s="1" t="str">
        <f>IF(Eleventh!H186="", "",Eleventh!H186)</f>
        <v/>
      </c>
      <c r="I2683" s="1" t="str">
        <f>IF(Eleventh!I186="", "",Eleventh!I186)</f>
        <v/>
      </c>
      <c r="J2683" s="1" t="str">
        <f>IF(Eleventh!J186="", "",Eleventh!J186)</f>
        <v/>
      </c>
      <c r="K2683" s="83" t="str">
        <f>IF(Eleventh!K186="", "",Eleventh!K186)</f>
        <v/>
      </c>
      <c r="M2683" s="67" t="str">
        <f t="shared" si="125"/>
        <v/>
      </c>
      <c r="N2683" s="76" t="str">
        <f t="shared" si="126"/>
        <v/>
      </c>
      <c r="O2683" s="33">
        <f t="shared" si="124"/>
        <v>0</v>
      </c>
    </row>
    <row r="2684" spans="1:15" x14ac:dyDescent="0.25">
      <c r="A2684" s="64" t="s">
        <v>184</v>
      </c>
      <c r="B2684" s="82" t="str">
        <f>IF(Eleventh!B187="", "",Eleventh!B187)</f>
        <v/>
      </c>
      <c r="C2684" s="1" t="str">
        <f>IF(Eleventh!C187="", "",Eleventh!C187)</f>
        <v/>
      </c>
      <c r="D2684" s="1" t="str">
        <f>IF(Eleventh!D187="", "",Eleventh!D187)</f>
        <v/>
      </c>
      <c r="E2684" s="1" t="str">
        <f>IF(Eleventh!E187="", "",Eleventh!E187)</f>
        <v/>
      </c>
      <c r="F2684" s="1" t="str">
        <f>IF(Eleventh!F187="", "",Eleventh!F187)</f>
        <v/>
      </c>
      <c r="G2684" s="1" t="str">
        <f>IF(Eleventh!G187="", "",Eleventh!G187)</f>
        <v/>
      </c>
      <c r="H2684" s="1" t="str">
        <f>IF(Eleventh!H187="", "",Eleventh!H187)</f>
        <v/>
      </c>
      <c r="I2684" s="1" t="str">
        <f>IF(Eleventh!I187="", "",Eleventh!I187)</f>
        <v/>
      </c>
      <c r="J2684" s="1" t="str">
        <f>IF(Eleventh!J187="", "",Eleventh!J187)</f>
        <v/>
      </c>
      <c r="K2684" s="83" t="str">
        <f>IF(Eleventh!K187="", "",Eleventh!K187)</f>
        <v/>
      </c>
      <c r="M2684" s="67" t="str">
        <f t="shared" si="125"/>
        <v/>
      </c>
      <c r="N2684" s="76" t="str">
        <f t="shared" si="126"/>
        <v/>
      </c>
      <c r="O2684" s="33">
        <f t="shared" si="124"/>
        <v>0</v>
      </c>
    </row>
    <row r="2685" spans="1:15" x14ac:dyDescent="0.25">
      <c r="A2685" s="64" t="s">
        <v>184</v>
      </c>
      <c r="B2685" s="82" t="str">
        <f>IF(Eleventh!B188="", "",Eleventh!B188)</f>
        <v/>
      </c>
      <c r="C2685" s="1" t="str">
        <f>IF(Eleventh!C188="", "",Eleventh!C188)</f>
        <v/>
      </c>
      <c r="D2685" s="1" t="str">
        <f>IF(Eleventh!D188="", "",Eleventh!D188)</f>
        <v/>
      </c>
      <c r="E2685" s="1" t="str">
        <f>IF(Eleventh!E188="", "",Eleventh!E188)</f>
        <v/>
      </c>
      <c r="F2685" s="1" t="str">
        <f>IF(Eleventh!F188="", "",Eleventh!F188)</f>
        <v/>
      </c>
      <c r="G2685" s="1" t="str">
        <f>IF(Eleventh!G188="", "",Eleventh!G188)</f>
        <v/>
      </c>
      <c r="H2685" s="1" t="str">
        <f>IF(Eleventh!H188="", "",Eleventh!H188)</f>
        <v/>
      </c>
      <c r="I2685" s="1" t="str">
        <f>IF(Eleventh!I188="", "",Eleventh!I188)</f>
        <v/>
      </c>
      <c r="J2685" s="1" t="str">
        <f>IF(Eleventh!J188="", "",Eleventh!J188)</f>
        <v/>
      </c>
      <c r="K2685" s="83" t="str">
        <f>IF(Eleventh!K188="", "",Eleventh!K188)</f>
        <v/>
      </c>
      <c r="M2685" s="67" t="str">
        <f t="shared" si="125"/>
        <v/>
      </c>
      <c r="N2685" s="76" t="str">
        <f t="shared" si="126"/>
        <v/>
      </c>
      <c r="O2685" s="33">
        <f t="shared" si="124"/>
        <v>0</v>
      </c>
    </row>
    <row r="2686" spans="1:15" x14ac:dyDescent="0.25">
      <c r="A2686" s="64" t="s">
        <v>184</v>
      </c>
      <c r="B2686" s="82" t="str">
        <f>IF(Eleventh!B189="", "",Eleventh!B189)</f>
        <v/>
      </c>
      <c r="C2686" s="1" t="str">
        <f>IF(Eleventh!C189="", "",Eleventh!C189)</f>
        <v/>
      </c>
      <c r="D2686" s="1" t="str">
        <f>IF(Eleventh!D189="", "",Eleventh!D189)</f>
        <v/>
      </c>
      <c r="E2686" s="1" t="str">
        <f>IF(Eleventh!E189="", "",Eleventh!E189)</f>
        <v/>
      </c>
      <c r="F2686" s="1" t="str">
        <f>IF(Eleventh!F189="", "",Eleventh!F189)</f>
        <v/>
      </c>
      <c r="G2686" s="1" t="str">
        <f>IF(Eleventh!G189="", "",Eleventh!G189)</f>
        <v/>
      </c>
      <c r="H2686" s="1" t="str">
        <f>IF(Eleventh!H189="", "",Eleventh!H189)</f>
        <v/>
      </c>
      <c r="I2686" s="1" t="str">
        <f>IF(Eleventh!I189="", "",Eleventh!I189)</f>
        <v/>
      </c>
      <c r="J2686" s="1" t="str">
        <f>IF(Eleventh!J189="", "",Eleventh!J189)</f>
        <v/>
      </c>
      <c r="K2686" s="83" t="str">
        <f>IF(Eleventh!K189="", "",Eleventh!K189)</f>
        <v/>
      </c>
      <c r="M2686" s="67" t="str">
        <f t="shared" si="125"/>
        <v/>
      </c>
      <c r="N2686" s="76" t="str">
        <f t="shared" si="126"/>
        <v/>
      </c>
      <c r="O2686" s="33">
        <f t="shared" si="124"/>
        <v>0</v>
      </c>
    </row>
    <row r="2687" spans="1:15" x14ac:dyDescent="0.25">
      <c r="A2687" s="64" t="s">
        <v>184</v>
      </c>
      <c r="B2687" s="82" t="str">
        <f>IF(Eleventh!B190="", "",Eleventh!B190)</f>
        <v/>
      </c>
      <c r="C2687" s="1" t="str">
        <f>IF(Eleventh!C190="", "",Eleventh!C190)</f>
        <v/>
      </c>
      <c r="D2687" s="1" t="str">
        <f>IF(Eleventh!D190="", "",Eleventh!D190)</f>
        <v/>
      </c>
      <c r="E2687" s="1" t="str">
        <f>IF(Eleventh!E190="", "",Eleventh!E190)</f>
        <v/>
      </c>
      <c r="F2687" s="1" t="str">
        <f>IF(Eleventh!F190="", "",Eleventh!F190)</f>
        <v/>
      </c>
      <c r="G2687" s="1" t="str">
        <f>IF(Eleventh!G190="", "",Eleventh!G190)</f>
        <v/>
      </c>
      <c r="H2687" s="1" t="str">
        <f>IF(Eleventh!H190="", "",Eleventh!H190)</f>
        <v/>
      </c>
      <c r="I2687" s="1" t="str">
        <f>IF(Eleventh!I190="", "",Eleventh!I190)</f>
        <v/>
      </c>
      <c r="J2687" s="1" t="str">
        <f>IF(Eleventh!J190="", "",Eleventh!J190)</f>
        <v/>
      </c>
      <c r="K2687" s="83" t="str">
        <f>IF(Eleventh!K190="", "",Eleventh!K190)</f>
        <v/>
      </c>
      <c r="M2687" s="67" t="str">
        <f t="shared" si="125"/>
        <v/>
      </c>
      <c r="N2687" s="76" t="str">
        <f t="shared" si="126"/>
        <v/>
      </c>
      <c r="O2687" s="33">
        <f t="shared" si="124"/>
        <v>0</v>
      </c>
    </row>
    <row r="2688" spans="1:15" x14ac:dyDescent="0.25">
      <c r="A2688" s="64" t="s">
        <v>184</v>
      </c>
      <c r="B2688" s="82" t="str">
        <f>IF(Eleventh!B191="", "",Eleventh!B191)</f>
        <v/>
      </c>
      <c r="C2688" s="1" t="str">
        <f>IF(Eleventh!C191="", "",Eleventh!C191)</f>
        <v/>
      </c>
      <c r="D2688" s="1" t="str">
        <f>IF(Eleventh!D191="", "",Eleventh!D191)</f>
        <v/>
      </c>
      <c r="E2688" s="1" t="str">
        <f>IF(Eleventh!E191="", "",Eleventh!E191)</f>
        <v/>
      </c>
      <c r="F2688" s="1" t="str">
        <f>IF(Eleventh!F191="", "",Eleventh!F191)</f>
        <v/>
      </c>
      <c r="G2688" s="1" t="str">
        <f>IF(Eleventh!G191="", "",Eleventh!G191)</f>
        <v/>
      </c>
      <c r="H2688" s="1" t="str">
        <f>IF(Eleventh!H191="", "",Eleventh!H191)</f>
        <v/>
      </c>
      <c r="I2688" s="1" t="str">
        <f>IF(Eleventh!I191="", "",Eleventh!I191)</f>
        <v/>
      </c>
      <c r="J2688" s="1" t="str">
        <f>IF(Eleventh!J191="", "",Eleventh!J191)</f>
        <v/>
      </c>
      <c r="K2688" s="83" t="str">
        <f>IF(Eleventh!K191="", "",Eleventh!K191)</f>
        <v/>
      </c>
      <c r="M2688" s="67" t="str">
        <f t="shared" si="125"/>
        <v/>
      </c>
      <c r="N2688" s="76" t="str">
        <f t="shared" si="126"/>
        <v/>
      </c>
      <c r="O2688" s="33">
        <f t="shared" si="124"/>
        <v>0</v>
      </c>
    </row>
    <row r="2689" spans="1:15" x14ac:dyDescent="0.25">
      <c r="A2689" s="64" t="s">
        <v>184</v>
      </c>
      <c r="B2689" s="82" t="str">
        <f>IF(Eleventh!B192="", "",Eleventh!B192)</f>
        <v/>
      </c>
      <c r="C2689" s="1" t="str">
        <f>IF(Eleventh!C192="", "",Eleventh!C192)</f>
        <v/>
      </c>
      <c r="D2689" s="1" t="str">
        <f>IF(Eleventh!D192="", "",Eleventh!D192)</f>
        <v/>
      </c>
      <c r="E2689" s="1" t="str">
        <f>IF(Eleventh!E192="", "",Eleventh!E192)</f>
        <v/>
      </c>
      <c r="F2689" s="1" t="str">
        <f>IF(Eleventh!F192="", "",Eleventh!F192)</f>
        <v/>
      </c>
      <c r="G2689" s="1" t="str">
        <f>IF(Eleventh!G192="", "",Eleventh!G192)</f>
        <v/>
      </c>
      <c r="H2689" s="1" t="str">
        <f>IF(Eleventh!H192="", "",Eleventh!H192)</f>
        <v/>
      </c>
      <c r="I2689" s="1" t="str">
        <f>IF(Eleventh!I192="", "",Eleventh!I192)</f>
        <v/>
      </c>
      <c r="J2689" s="1" t="str">
        <f>IF(Eleventh!J192="", "",Eleventh!J192)</f>
        <v/>
      </c>
      <c r="K2689" s="83" t="str">
        <f>IF(Eleventh!K192="", "",Eleventh!K192)</f>
        <v/>
      </c>
      <c r="M2689" s="67" t="str">
        <f t="shared" si="125"/>
        <v/>
      </c>
      <c r="N2689" s="76" t="str">
        <f t="shared" si="126"/>
        <v/>
      </c>
      <c r="O2689" s="33">
        <f t="shared" si="124"/>
        <v>0</v>
      </c>
    </row>
    <row r="2690" spans="1:15" x14ac:dyDescent="0.25">
      <c r="A2690" s="64" t="s">
        <v>184</v>
      </c>
      <c r="B2690" s="82" t="str">
        <f>IF(Eleventh!B193="", "",Eleventh!B193)</f>
        <v/>
      </c>
      <c r="C2690" s="1" t="str">
        <f>IF(Eleventh!C193="", "",Eleventh!C193)</f>
        <v/>
      </c>
      <c r="D2690" s="1" t="str">
        <f>IF(Eleventh!D193="", "",Eleventh!D193)</f>
        <v/>
      </c>
      <c r="E2690" s="1" t="str">
        <f>IF(Eleventh!E193="", "",Eleventh!E193)</f>
        <v/>
      </c>
      <c r="F2690" s="1" t="str">
        <f>IF(Eleventh!F193="", "",Eleventh!F193)</f>
        <v/>
      </c>
      <c r="G2690" s="1" t="str">
        <f>IF(Eleventh!G193="", "",Eleventh!G193)</f>
        <v/>
      </c>
      <c r="H2690" s="1" t="str">
        <f>IF(Eleventh!H193="", "",Eleventh!H193)</f>
        <v/>
      </c>
      <c r="I2690" s="1" t="str">
        <f>IF(Eleventh!I193="", "",Eleventh!I193)</f>
        <v/>
      </c>
      <c r="J2690" s="1" t="str">
        <f>IF(Eleventh!J193="", "",Eleventh!J193)</f>
        <v/>
      </c>
      <c r="K2690" s="83" t="str">
        <f>IF(Eleventh!K193="", "",Eleventh!K193)</f>
        <v/>
      </c>
      <c r="M2690" s="67" t="str">
        <f t="shared" si="125"/>
        <v/>
      </c>
      <c r="N2690" s="76" t="str">
        <f t="shared" si="126"/>
        <v/>
      </c>
      <c r="O2690" s="33">
        <f t="shared" ref="O2690:O2753" si="127">SUM(M2690:N2690)</f>
        <v>0</v>
      </c>
    </row>
    <row r="2691" spans="1:15" x14ac:dyDescent="0.25">
      <c r="A2691" s="64" t="s">
        <v>184</v>
      </c>
      <c r="B2691" s="82" t="str">
        <f>IF(Eleventh!B194="", "",Eleventh!B194)</f>
        <v/>
      </c>
      <c r="C2691" s="1" t="str">
        <f>IF(Eleventh!C194="", "",Eleventh!C194)</f>
        <v/>
      </c>
      <c r="D2691" s="1" t="str">
        <f>IF(Eleventh!D194="", "",Eleventh!D194)</f>
        <v/>
      </c>
      <c r="E2691" s="1" t="str">
        <f>IF(Eleventh!E194="", "",Eleventh!E194)</f>
        <v/>
      </c>
      <c r="F2691" s="1" t="str">
        <f>IF(Eleventh!F194="", "",Eleventh!F194)</f>
        <v/>
      </c>
      <c r="G2691" s="1" t="str">
        <f>IF(Eleventh!G194="", "",Eleventh!G194)</f>
        <v/>
      </c>
      <c r="H2691" s="1" t="str">
        <f>IF(Eleventh!H194="", "",Eleventh!H194)</f>
        <v/>
      </c>
      <c r="I2691" s="1" t="str">
        <f>IF(Eleventh!I194="", "",Eleventh!I194)</f>
        <v/>
      </c>
      <c r="J2691" s="1" t="str">
        <f>IF(Eleventh!J194="", "",Eleventh!J194)</f>
        <v/>
      </c>
      <c r="K2691" s="83" t="str">
        <f>IF(Eleventh!K194="", "",Eleventh!K194)</f>
        <v/>
      </c>
      <c r="M2691" s="67" t="str">
        <f t="shared" ref="M2691:M2754" si="128">IF(C2691="PwC",(7-COUNTIF(B2691:H2691,"")),"")</f>
        <v/>
      </c>
      <c r="N2691" s="76" t="str">
        <f t="shared" ref="N2691:N2754" si="129">IF(C2691="Carer",(7-COUNTIF(B2691:H2691,"")),"")</f>
        <v/>
      </c>
      <c r="O2691" s="33">
        <f t="shared" si="127"/>
        <v>0</v>
      </c>
    </row>
    <row r="2692" spans="1:15" x14ac:dyDescent="0.25">
      <c r="A2692" s="64" t="s">
        <v>184</v>
      </c>
      <c r="B2692" s="82" t="str">
        <f>IF(Eleventh!B195="", "",Eleventh!B195)</f>
        <v/>
      </c>
      <c r="C2692" s="1" t="str">
        <f>IF(Eleventh!C195="", "",Eleventh!C195)</f>
        <v/>
      </c>
      <c r="D2692" s="1" t="str">
        <f>IF(Eleventh!D195="", "",Eleventh!D195)</f>
        <v/>
      </c>
      <c r="E2692" s="1" t="str">
        <f>IF(Eleventh!E195="", "",Eleventh!E195)</f>
        <v/>
      </c>
      <c r="F2692" s="1" t="str">
        <f>IF(Eleventh!F195="", "",Eleventh!F195)</f>
        <v/>
      </c>
      <c r="G2692" s="1" t="str">
        <f>IF(Eleventh!G195="", "",Eleventh!G195)</f>
        <v/>
      </c>
      <c r="H2692" s="1" t="str">
        <f>IF(Eleventh!H195="", "",Eleventh!H195)</f>
        <v/>
      </c>
      <c r="I2692" s="1" t="str">
        <f>IF(Eleventh!I195="", "",Eleventh!I195)</f>
        <v/>
      </c>
      <c r="J2692" s="1" t="str">
        <f>IF(Eleventh!J195="", "",Eleventh!J195)</f>
        <v/>
      </c>
      <c r="K2692" s="83" t="str">
        <f>IF(Eleventh!K195="", "",Eleventh!K195)</f>
        <v/>
      </c>
      <c r="M2692" s="67" t="str">
        <f t="shared" si="128"/>
        <v/>
      </c>
      <c r="N2692" s="76" t="str">
        <f t="shared" si="129"/>
        <v/>
      </c>
      <c r="O2692" s="33">
        <f t="shared" si="127"/>
        <v>0</v>
      </c>
    </row>
    <row r="2693" spans="1:15" x14ac:dyDescent="0.25">
      <c r="A2693" s="64" t="s">
        <v>184</v>
      </c>
      <c r="B2693" s="82" t="str">
        <f>IF(Eleventh!B196="", "",Eleventh!B196)</f>
        <v/>
      </c>
      <c r="C2693" s="1" t="str">
        <f>IF(Eleventh!C196="", "",Eleventh!C196)</f>
        <v/>
      </c>
      <c r="D2693" s="1" t="str">
        <f>IF(Eleventh!D196="", "",Eleventh!D196)</f>
        <v/>
      </c>
      <c r="E2693" s="1" t="str">
        <f>IF(Eleventh!E196="", "",Eleventh!E196)</f>
        <v/>
      </c>
      <c r="F2693" s="1" t="str">
        <f>IF(Eleventh!F196="", "",Eleventh!F196)</f>
        <v/>
      </c>
      <c r="G2693" s="1" t="str">
        <f>IF(Eleventh!G196="", "",Eleventh!G196)</f>
        <v/>
      </c>
      <c r="H2693" s="1" t="str">
        <f>IF(Eleventh!H196="", "",Eleventh!H196)</f>
        <v/>
      </c>
      <c r="I2693" s="1" t="str">
        <f>IF(Eleventh!I196="", "",Eleventh!I196)</f>
        <v/>
      </c>
      <c r="J2693" s="1" t="str">
        <f>IF(Eleventh!J196="", "",Eleventh!J196)</f>
        <v/>
      </c>
      <c r="K2693" s="83" t="str">
        <f>IF(Eleventh!K196="", "",Eleventh!K196)</f>
        <v/>
      </c>
      <c r="M2693" s="67" t="str">
        <f t="shared" si="128"/>
        <v/>
      </c>
      <c r="N2693" s="76" t="str">
        <f t="shared" si="129"/>
        <v/>
      </c>
      <c r="O2693" s="33">
        <f t="shared" si="127"/>
        <v>0</v>
      </c>
    </row>
    <row r="2694" spans="1:15" x14ac:dyDescent="0.25">
      <c r="A2694" s="64" t="s">
        <v>184</v>
      </c>
      <c r="B2694" s="82" t="str">
        <f>IF(Eleventh!B197="", "",Eleventh!B197)</f>
        <v/>
      </c>
      <c r="C2694" s="1" t="str">
        <f>IF(Eleventh!C197="", "",Eleventh!C197)</f>
        <v/>
      </c>
      <c r="D2694" s="1" t="str">
        <f>IF(Eleventh!D197="", "",Eleventh!D197)</f>
        <v/>
      </c>
      <c r="E2694" s="1" t="str">
        <f>IF(Eleventh!E197="", "",Eleventh!E197)</f>
        <v/>
      </c>
      <c r="F2694" s="1" t="str">
        <f>IF(Eleventh!F197="", "",Eleventh!F197)</f>
        <v/>
      </c>
      <c r="G2694" s="1" t="str">
        <f>IF(Eleventh!G197="", "",Eleventh!G197)</f>
        <v/>
      </c>
      <c r="H2694" s="1" t="str">
        <f>IF(Eleventh!H197="", "",Eleventh!H197)</f>
        <v/>
      </c>
      <c r="I2694" s="1" t="str">
        <f>IF(Eleventh!I197="", "",Eleventh!I197)</f>
        <v/>
      </c>
      <c r="J2694" s="1" t="str">
        <f>IF(Eleventh!J197="", "",Eleventh!J197)</f>
        <v/>
      </c>
      <c r="K2694" s="83" t="str">
        <f>IF(Eleventh!K197="", "",Eleventh!K197)</f>
        <v/>
      </c>
      <c r="M2694" s="67" t="str">
        <f t="shared" si="128"/>
        <v/>
      </c>
      <c r="N2694" s="76" t="str">
        <f t="shared" si="129"/>
        <v/>
      </c>
      <c r="O2694" s="33">
        <f t="shared" si="127"/>
        <v>0</v>
      </c>
    </row>
    <row r="2695" spans="1:15" x14ac:dyDescent="0.25">
      <c r="A2695" s="64" t="s">
        <v>184</v>
      </c>
      <c r="B2695" s="82" t="str">
        <f>IF(Eleventh!B198="", "",Eleventh!B198)</f>
        <v/>
      </c>
      <c r="C2695" s="1" t="str">
        <f>IF(Eleventh!C198="", "",Eleventh!C198)</f>
        <v/>
      </c>
      <c r="D2695" s="1" t="str">
        <f>IF(Eleventh!D198="", "",Eleventh!D198)</f>
        <v/>
      </c>
      <c r="E2695" s="1" t="str">
        <f>IF(Eleventh!E198="", "",Eleventh!E198)</f>
        <v/>
      </c>
      <c r="F2695" s="1" t="str">
        <f>IF(Eleventh!F198="", "",Eleventh!F198)</f>
        <v/>
      </c>
      <c r="G2695" s="1" t="str">
        <f>IF(Eleventh!G198="", "",Eleventh!G198)</f>
        <v/>
      </c>
      <c r="H2695" s="1" t="str">
        <f>IF(Eleventh!H198="", "",Eleventh!H198)</f>
        <v/>
      </c>
      <c r="I2695" s="1" t="str">
        <f>IF(Eleventh!I198="", "",Eleventh!I198)</f>
        <v/>
      </c>
      <c r="J2695" s="1" t="str">
        <f>IF(Eleventh!J198="", "",Eleventh!J198)</f>
        <v/>
      </c>
      <c r="K2695" s="83" t="str">
        <f>IF(Eleventh!K198="", "",Eleventh!K198)</f>
        <v/>
      </c>
      <c r="M2695" s="67" t="str">
        <f t="shared" si="128"/>
        <v/>
      </c>
      <c r="N2695" s="76" t="str">
        <f t="shared" si="129"/>
        <v/>
      </c>
      <c r="O2695" s="33">
        <f t="shared" si="127"/>
        <v>0</v>
      </c>
    </row>
    <row r="2696" spans="1:15" x14ac:dyDescent="0.25">
      <c r="A2696" s="64" t="s">
        <v>184</v>
      </c>
      <c r="B2696" s="82" t="str">
        <f>IF(Eleventh!B199="", "",Eleventh!B199)</f>
        <v/>
      </c>
      <c r="C2696" s="1" t="str">
        <f>IF(Eleventh!C199="", "",Eleventh!C199)</f>
        <v/>
      </c>
      <c r="D2696" s="1" t="str">
        <f>IF(Eleventh!D199="", "",Eleventh!D199)</f>
        <v/>
      </c>
      <c r="E2696" s="1" t="str">
        <f>IF(Eleventh!E199="", "",Eleventh!E199)</f>
        <v/>
      </c>
      <c r="F2696" s="1" t="str">
        <f>IF(Eleventh!F199="", "",Eleventh!F199)</f>
        <v/>
      </c>
      <c r="G2696" s="1" t="str">
        <f>IF(Eleventh!G199="", "",Eleventh!G199)</f>
        <v/>
      </c>
      <c r="H2696" s="1" t="str">
        <f>IF(Eleventh!H199="", "",Eleventh!H199)</f>
        <v/>
      </c>
      <c r="I2696" s="1" t="str">
        <f>IF(Eleventh!I199="", "",Eleventh!I199)</f>
        <v/>
      </c>
      <c r="J2696" s="1" t="str">
        <f>IF(Eleventh!J199="", "",Eleventh!J199)</f>
        <v/>
      </c>
      <c r="K2696" s="83" t="str">
        <f>IF(Eleventh!K199="", "",Eleventh!K199)</f>
        <v/>
      </c>
      <c r="M2696" s="67" t="str">
        <f t="shared" si="128"/>
        <v/>
      </c>
      <c r="N2696" s="76" t="str">
        <f t="shared" si="129"/>
        <v/>
      </c>
      <c r="O2696" s="33">
        <f t="shared" si="127"/>
        <v>0</v>
      </c>
    </row>
    <row r="2697" spans="1:15" x14ac:dyDescent="0.25">
      <c r="A2697" s="64" t="s">
        <v>184</v>
      </c>
      <c r="B2697" s="82" t="str">
        <f>IF(Eleventh!B200="", "",Eleventh!B200)</f>
        <v/>
      </c>
      <c r="C2697" s="1" t="str">
        <f>IF(Eleventh!C200="", "",Eleventh!C200)</f>
        <v/>
      </c>
      <c r="D2697" s="1" t="str">
        <f>IF(Eleventh!D200="", "",Eleventh!D200)</f>
        <v/>
      </c>
      <c r="E2697" s="1" t="str">
        <f>IF(Eleventh!E200="", "",Eleventh!E200)</f>
        <v/>
      </c>
      <c r="F2697" s="1" t="str">
        <f>IF(Eleventh!F200="", "",Eleventh!F200)</f>
        <v/>
      </c>
      <c r="G2697" s="1" t="str">
        <f>IF(Eleventh!G200="", "",Eleventh!G200)</f>
        <v/>
      </c>
      <c r="H2697" s="1" t="str">
        <f>IF(Eleventh!H200="", "",Eleventh!H200)</f>
        <v/>
      </c>
      <c r="I2697" s="1" t="str">
        <f>IF(Eleventh!I200="", "",Eleventh!I200)</f>
        <v/>
      </c>
      <c r="J2697" s="1" t="str">
        <f>IF(Eleventh!J200="", "",Eleventh!J200)</f>
        <v/>
      </c>
      <c r="K2697" s="83" t="str">
        <f>IF(Eleventh!K200="", "",Eleventh!K200)</f>
        <v/>
      </c>
      <c r="M2697" s="67" t="str">
        <f t="shared" si="128"/>
        <v/>
      </c>
      <c r="N2697" s="76" t="str">
        <f t="shared" si="129"/>
        <v/>
      </c>
      <c r="O2697" s="33">
        <f t="shared" si="127"/>
        <v>0</v>
      </c>
    </row>
    <row r="2698" spans="1:15" x14ac:dyDescent="0.25">
      <c r="A2698" s="64" t="s">
        <v>184</v>
      </c>
      <c r="B2698" s="82" t="str">
        <f>IF(Eleventh!B201="", "",Eleventh!B201)</f>
        <v/>
      </c>
      <c r="C2698" s="1" t="str">
        <f>IF(Eleventh!C201="", "",Eleventh!C201)</f>
        <v/>
      </c>
      <c r="D2698" s="1" t="str">
        <f>IF(Eleventh!D201="", "",Eleventh!D201)</f>
        <v/>
      </c>
      <c r="E2698" s="1" t="str">
        <f>IF(Eleventh!E201="", "",Eleventh!E201)</f>
        <v/>
      </c>
      <c r="F2698" s="1" t="str">
        <f>IF(Eleventh!F201="", "",Eleventh!F201)</f>
        <v/>
      </c>
      <c r="G2698" s="1" t="str">
        <f>IF(Eleventh!G201="", "",Eleventh!G201)</f>
        <v/>
      </c>
      <c r="H2698" s="1" t="str">
        <f>IF(Eleventh!H201="", "",Eleventh!H201)</f>
        <v/>
      </c>
      <c r="I2698" s="1" t="str">
        <f>IF(Eleventh!I201="", "",Eleventh!I201)</f>
        <v/>
      </c>
      <c r="J2698" s="1" t="str">
        <f>IF(Eleventh!J201="", "",Eleventh!J201)</f>
        <v/>
      </c>
      <c r="K2698" s="83" t="str">
        <f>IF(Eleventh!K201="", "",Eleventh!K201)</f>
        <v/>
      </c>
      <c r="M2698" s="67" t="str">
        <f t="shared" si="128"/>
        <v/>
      </c>
      <c r="N2698" s="76" t="str">
        <f t="shared" si="129"/>
        <v/>
      </c>
      <c r="O2698" s="33">
        <f t="shared" si="127"/>
        <v>0</v>
      </c>
    </row>
    <row r="2699" spans="1:15" x14ac:dyDescent="0.25">
      <c r="A2699" s="64" t="s">
        <v>184</v>
      </c>
      <c r="B2699" s="82" t="str">
        <f>IF(Eleventh!B202="", "",Eleventh!B202)</f>
        <v/>
      </c>
      <c r="C2699" s="1" t="str">
        <f>IF(Eleventh!C202="", "",Eleventh!C202)</f>
        <v/>
      </c>
      <c r="D2699" s="1" t="str">
        <f>IF(Eleventh!D202="", "",Eleventh!D202)</f>
        <v/>
      </c>
      <c r="E2699" s="1" t="str">
        <f>IF(Eleventh!E202="", "",Eleventh!E202)</f>
        <v/>
      </c>
      <c r="F2699" s="1" t="str">
        <f>IF(Eleventh!F202="", "",Eleventh!F202)</f>
        <v/>
      </c>
      <c r="G2699" s="1" t="str">
        <f>IF(Eleventh!G202="", "",Eleventh!G202)</f>
        <v/>
      </c>
      <c r="H2699" s="1" t="str">
        <f>IF(Eleventh!H202="", "",Eleventh!H202)</f>
        <v/>
      </c>
      <c r="I2699" s="1" t="str">
        <f>IF(Eleventh!I202="", "",Eleventh!I202)</f>
        <v/>
      </c>
      <c r="J2699" s="1" t="str">
        <f>IF(Eleventh!J202="", "",Eleventh!J202)</f>
        <v/>
      </c>
      <c r="K2699" s="83" t="str">
        <f>IF(Eleventh!K202="", "",Eleventh!K202)</f>
        <v/>
      </c>
      <c r="M2699" s="67" t="str">
        <f t="shared" si="128"/>
        <v/>
      </c>
      <c r="N2699" s="76" t="str">
        <f t="shared" si="129"/>
        <v/>
      </c>
      <c r="O2699" s="33">
        <f t="shared" si="127"/>
        <v>0</v>
      </c>
    </row>
    <row r="2700" spans="1:15" x14ac:dyDescent="0.25">
      <c r="A2700" s="64" t="s">
        <v>184</v>
      </c>
      <c r="B2700" s="82" t="str">
        <f>IF(Eleventh!B203="", "",Eleventh!B203)</f>
        <v/>
      </c>
      <c r="C2700" s="1" t="str">
        <f>IF(Eleventh!C203="", "",Eleventh!C203)</f>
        <v/>
      </c>
      <c r="D2700" s="1" t="str">
        <f>IF(Eleventh!D203="", "",Eleventh!D203)</f>
        <v/>
      </c>
      <c r="E2700" s="1" t="str">
        <f>IF(Eleventh!E203="", "",Eleventh!E203)</f>
        <v/>
      </c>
      <c r="F2700" s="1" t="str">
        <f>IF(Eleventh!F203="", "",Eleventh!F203)</f>
        <v/>
      </c>
      <c r="G2700" s="1" t="str">
        <f>IF(Eleventh!G203="", "",Eleventh!G203)</f>
        <v/>
      </c>
      <c r="H2700" s="1" t="str">
        <f>IF(Eleventh!H203="", "",Eleventh!H203)</f>
        <v/>
      </c>
      <c r="I2700" s="1" t="str">
        <f>IF(Eleventh!I203="", "",Eleventh!I203)</f>
        <v/>
      </c>
      <c r="J2700" s="1" t="str">
        <f>IF(Eleventh!J203="", "",Eleventh!J203)</f>
        <v/>
      </c>
      <c r="K2700" s="83" t="str">
        <f>IF(Eleventh!K203="", "",Eleventh!K203)</f>
        <v/>
      </c>
      <c r="M2700" s="67" t="str">
        <f t="shared" si="128"/>
        <v/>
      </c>
      <c r="N2700" s="76" t="str">
        <f t="shared" si="129"/>
        <v/>
      </c>
      <c r="O2700" s="33">
        <f t="shared" si="127"/>
        <v>0</v>
      </c>
    </row>
    <row r="2701" spans="1:15" x14ac:dyDescent="0.25">
      <c r="A2701" s="64" t="s">
        <v>184</v>
      </c>
      <c r="B2701" s="82" t="str">
        <f>IF(Eleventh!B204="", "",Eleventh!B204)</f>
        <v/>
      </c>
      <c r="C2701" s="1" t="str">
        <f>IF(Eleventh!C204="", "",Eleventh!C204)</f>
        <v/>
      </c>
      <c r="D2701" s="1" t="str">
        <f>IF(Eleventh!D204="", "",Eleventh!D204)</f>
        <v/>
      </c>
      <c r="E2701" s="1" t="str">
        <f>IF(Eleventh!E204="", "",Eleventh!E204)</f>
        <v/>
      </c>
      <c r="F2701" s="1" t="str">
        <f>IF(Eleventh!F204="", "",Eleventh!F204)</f>
        <v/>
      </c>
      <c r="G2701" s="1" t="str">
        <f>IF(Eleventh!G204="", "",Eleventh!G204)</f>
        <v/>
      </c>
      <c r="H2701" s="1" t="str">
        <f>IF(Eleventh!H204="", "",Eleventh!H204)</f>
        <v/>
      </c>
      <c r="I2701" s="1" t="str">
        <f>IF(Eleventh!I204="", "",Eleventh!I204)</f>
        <v/>
      </c>
      <c r="J2701" s="1" t="str">
        <f>IF(Eleventh!J204="", "",Eleventh!J204)</f>
        <v/>
      </c>
      <c r="K2701" s="83" t="str">
        <f>IF(Eleventh!K204="", "",Eleventh!K204)</f>
        <v/>
      </c>
      <c r="M2701" s="67" t="str">
        <f t="shared" si="128"/>
        <v/>
      </c>
      <c r="N2701" s="76" t="str">
        <f t="shared" si="129"/>
        <v/>
      </c>
      <c r="O2701" s="33">
        <f t="shared" si="127"/>
        <v>0</v>
      </c>
    </row>
    <row r="2702" spans="1:15" x14ac:dyDescent="0.25">
      <c r="A2702" s="64" t="s">
        <v>184</v>
      </c>
      <c r="B2702" s="82" t="str">
        <f>IF(Eleventh!B205="", "",Eleventh!B205)</f>
        <v/>
      </c>
      <c r="C2702" s="1" t="str">
        <f>IF(Eleventh!C205="", "",Eleventh!C205)</f>
        <v/>
      </c>
      <c r="D2702" s="1" t="str">
        <f>IF(Eleventh!D205="", "",Eleventh!D205)</f>
        <v/>
      </c>
      <c r="E2702" s="1" t="str">
        <f>IF(Eleventh!E205="", "",Eleventh!E205)</f>
        <v/>
      </c>
      <c r="F2702" s="1" t="str">
        <f>IF(Eleventh!F205="", "",Eleventh!F205)</f>
        <v/>
      </c>
      <c r="G2702" s="1" t="str">
        <f>IF(Eleventh!G205="", "",Eleventh!G205)</f>
        <v/>
      </c>
      <c r="H2702" s="1" t="str">
        <f>IF(Eleventh!H205="", "",Eleventh!H205)</f>
        <v/>
      </c>
      <c r="I2702" s="1" t="str">
        <f>IF(Eleventh!I205="", "",Eleventh!I205)</f>
        <v/>
      </c>
      <c r="J2702" s="1" t="str">
        <f>IF(Eleventh!J205="", "",Eleventh!J205)</f>
        <v/>
      </c>
      <c r="K2702" s="83" t="str">
        <f>IF(Eleventh!K205="", "",Eleventh!K205)</f>
        <v/>
      </c>
      <c r="M2702" s="67" t="str">
        <f t="shared" si="128"/>
        <v/>
      </c>
      <c r="N2702" s="76" t="str">
        <f t="shared" si="129"/>
        <v/>
      </c>
      <c r="O2702" s="33">
        <f t="shared" si="127"/>
        <v>0</v>
      </c>
    </row>
    <row r="2703" spans="1:15" x14ac:dyDescent="0.25">
      <c r="A2703" s="64" t="s">
        <v>184</v>
      </c>
      <c r="B2703" s="82" t="str">
        <f>IF(Eleventh!B206="", "",Eleventh!B206)</f>
        <v/>
      </c>
      <c r="C2703" s="1" t="str">
        <f>IF(Eleventh!C206="", "",Eleventh!C206)</f>
        <v/>
      </c>
      <c r="D2703" s="1" t="str">
        <f>IF(Eleventh!D206="", "",Eleventh!D206)</f>
        <v/>
      </c>
      <c r="E2703" s="1" t="str">
        <f>IF(Eleventh!E206="", "",Eleventh!E206)</f>
        <v/>
      </c>
      <c r="F2703" s="1" t="str">
        <f>IF(Eleventh!F206="", "",Eleventh!F206)</f>
        <v/>
      </c>
      <c r="G2703" s="1" t="str">
        <f>IF(Eleventh!G206="", "",Eleventh!G206)</f>
        <v/>
      </c>
      <c r="H2703" s="1" t="str">
        <f>IF(Eleventh!H206="", "",Eleventh!H206)</f>
        <v/>
      </c>
      <c r="I2703" s="1" t="str">
        <f>IF(Eleventh!I206="", "",Eleventh!I206)</f>
        <v/>
      </c>
      <c r="J2703" s="1" t="str">
        <f>IF(Eleventh!J206="", "",Eleventh!J206)</f>
        <v/>
      </c>
      <c r="K2703" s="83" t="str">
        <f>IF(Eleventh!K206="", "",Eleventh!K206)</f>
        <v/>
      </c>
      <c r="M2703" s="67" t="str">
        <f t="shared" si="128"/>
        <v/>
      </c>
      <c r="N2703" s="76" t="str">
        <f t="shared" si="129"/>
        <v/>
      </c>
      <c r="O2703" s="33">
        <f t="shared" si="127"/>
        <v>0</v>
      </c>
    </row>
    <row r="2704" spans="1:15" x14ac:dyDescent="0.25">
      <c r="A2704" s="64" t="s">
        <v>184</v>
      </c>
      <c r="B2704" s="82" t="str">
        <f>IF(Eleventh!B207="", "",Eleventh!B207)</f>
        <v/>
      </c>
      <c r="C2704" s="1" t="str">
        <f>IF(Eleventh!C207="", "",Eleventh!C207)</f>
        <v/>
      </c>
      <c r="D2704" s="1" t="str">
        <f>IF(Eleventh!D207="", "",Eleventh!D207)</f>
        <v/>
      </c>
      <c r="E2704" s="1" t="str">
        <f>IF(Eleventh!E207="", "",Eleventh!E207)</f>
        <v/>
      </c>
      <c r="F2704" s="1" t="str">
        <f>IF(Eleventh!F207="", "",Eleventh!F207)</f>
        <v/>
      </c>
      <c r="G2704" s="1" t="str">
        <f>IF(Eleventh!G207="", "",Eleventh!G207)</f>
        <v/>
      </c>
      <c r="H2704" s="1" t="str">
        <f>IF(Eleventh!H207="", "",Eleventh!H207)</f>
        <v/>
      </c>
      <c r="I2704" s="1" t="str">
        <f>IF(Eleventh!I207="", "",Eleventh!I207)</f>
        <v/>
      </c>
      <c r="J2704" s="1" t="str">
        <f>IF(Eleventh!J207="", "",Eleventh!J207)</f>
        <v/>
      </c>
      <c r="K2704" s="83" t="str">
        <f>IF(Eleventh!K207="", "",Eleventh!K207)</f>
        <v/>
      </c>
      <c r="M2704" s="67" t="str">
        <f t="shared" si="128"/>
        <v/>
      </c>
      <c r="N2704" s="76" t="str">
        <f t="shared" si="129"/>
        <v/>
      </c>
      <c r="O2704" s="33">
        <f t="shared" si="127"/>
        <v>0</v>
      </c>
    </row>
    <row r="2705" spans="1:15" x14ac:dyDescent="0.25">
      <c r="A2705" s="64" t="s">
        <v>184</v>
      </c>
      <c r="B2705" s="82" t="str">
        <f>IF(Eleventh!B208="", "",Eleventh!B208)</f>
        <v/>
      </c>
      <c r="C2705" s="1" t="str">
        <f>IF(Eleventh!C208="", "",Eleventh!C208)</f>
        <v/>
      </c>
      <c r="D2705" s="1" t="str">
        <f>IF(Eleventh!D208="", "",Eleventh!D208)</f>
        <v/>
      </c>
      <c r="E2705" s="1" t="str">
        <f>IF(Eleventh!E208="", "",Eleventh!E208)</f>
        <v/>
      </c>
      <c r="F2705" s="1" t="str">
        <f>IF(Eleventh!F208="", "",Eleventh!F208)</f>
        <v/>
      </c>
      <c r="G2705" s="1" t="str">
        <f>IF(Eleventh!G208="", "",Eleventh!G208)</f>
        <v/>
      </c>
      <c r="H2705" s="1" t="str">
        <f>IF(Eleventh!H208="", "",Eleventh!H208)</f>
        <v/>
      </c>
      <c r="I2705" s="1" t="str">
        <f>IF(Eleventh!I208="", "",Eleventh!I208)</f>
        <v/>
      </c>
      <c r="J2705" s="1" t="str">
        <f>IF(Eleventh!J208="", "",Eleventh!J208)</f>
        <v/>
      </c>
      <c r="K2705" s="83" t="str">
        <f>IF(Eleventh!K208="", "",Eleventh!K208)</f>
        <v/>
      </c>
      <c r="M2705" s="67" t="str">
        <f t="shared" si="128"/>
        <v/>
      </c>
      <c r="N2705" s="76" t="str">
        <f t="shared" si="129"/>
        <v/>
      </c>
      <c r="O2705" s="33">
        <f t="shared" si="127"/>
        <v>0</v>
      </c>
    </row>
    <row r="2706" spans="1:15" x14ac:dyDescent="0.25">
      <c r="A2706" s="64" t="s">
        <v>184</v>
      </c>
      <c r="B2706" s="82" t="str">
        <f>IF(Eleventh!B209="", "",Eleventh!B209)</f>
        <v/>
      </c>
      <c r="C2706" s="1" t="str">
        <f>IF(Eleventh!C209="", "",Eleventh!C209)</f>
        <v/>
      </c>
      <c r="D2706" s="1" t="str">
        <f>IF(Eleventh!D209="", "",Eleventh!D209)</f>
        <v/>
      </c>
      <c r="E2706" s="1" t="str">
        <f>IF(Eleventh!E209="", "",Eleventh!E209)</f>
        <v/>
      </c>
      <c r="F2706" s="1" t="str">
        <f>IF(Eleventh!F209="", "",Eleventh!F209)</f>
        <v/>
      </c>
      <c r="G2706" s="1" t="str">
        <f>IF(Eleventh!G209="", "",Eleventh!G209)</f>
        <v/>
      </c>
      <c r="H2706" s="1" t="str">
        <f>IF(Eleventh!H209="", "",Eleventh!H209)</f>
        <v/>
      </c>
      <c r="I2706" s="1" t="str">
        <f>IF(Eleventh!I209="", "",Eleventh!I209)</f>
        <v/>
      </c>
      <c r="J2706" s="1" t="str">
        <f>IF(Eleventh!J209="", "",Eleventh!J209)</f>
        <v/>
      </c>
      <c r="K2706" s="83" t="str">
        <f>IF(Eleventh!K209="", "",Eleventh!K209)</f>
        <v/>
      </c>
      <c r="M2706" s="67" t="str">
        <f t="shared" si="128"/>
        <v/>
      </c>
      <c r="N2706" s="76" t="str">
        <f t="shared" si="129"/>
        <v/>
      </c>
      <c r="O2706" s="33">
        <f t="shared" si="127"/>
        <v>0</v>
      </c>
    </row>
    <row r="2707" spans="1:15" x14ac:dyDescent="0.25">
      <c r="A2707" s="64" t="s">
        <v>184</v>
      </c>
      <c r="B2707" s="82" t="str">
        <f>IF(Eleventh!B210="", "",Eleventh!B210)</f>
        <v/>
      </c>
      <c r="C2707" s="1" t="str">
        <f>IF(Eleventh!C210="", "",Eleventh!C210)</f>
        <v/>
      </c>
      <c r="D2707" s="1" t="str">
        <f>IF(Eleventh!D210="", "",Eleventh!D210)</f>
        <v/>
      </c>
      <c r="E2707" s="1" t="str">
        <f>IF(Eleventh!E210="", "",Eleventh!E210)</f>
        <v/>
      </c>
      <c r="F2707" s="1" t="str">
        <f>IF(Eleventh!F210="", "",Eleventh!F210)</f>
        <v/>
      </c>
      <c r="G2707" s="1" t="str">
        <f>IF(Eleventh!G210="", "",Eleventh!G210)</f>
        <v/>
      </c>
      <c r="H2707" s="1" t="str">
        <f>IF(Eleventh!H210="", "",Eleventh!H210)</f>
        <v/>
      </c>
      <c r="I2707" s="1" t="str">
        <f>IF(Eleventh!I210="", "",Eleventh!I210)</f>
        <v/>
      </c>
      <c r="J2707" s="1" t="str">
        <f>IF(Eleventh!J210="", "",Eleventh!J210)</f>
        <v/>
      </c>
      <c r="K2707" s="83" t="str">
        <f>IF(Eleventh!K210="", "",Eleventh!K210)</f>
        <v/>
      </c>
      <c r="M2707" s="67" t="str">
        <f t="shared" si="128"/>
        <v/>
      </c>
      <c r="N2707" s="76" t="str">
        <f t="shared" si="129"/>
        <v/>
      </c>
      <c r="O2707" s="33">
        <f t="shared" si="127"/>
        <v>0</v>
      </c>
    </row>
    <row r="2708" spans="1:15" x14ac:dyDescent="0.25">
      <c r="A2708" s="64" t="s">
        <v>184</v>
      </c>
      <c r="B2708" s="82" t="str">
        <f>IF(Eleventh!B211="", "",Eleventh!B211)</f>
        <v/>
      </c>
      <c r="C2708" s="1" t="str">
        <f>IF(Eleventh!C211="", "",Eleventh!C211)</f>
        <v/>
      </c>
      <c r="D2708" s="1" t="str">
        <f>IF(Eleventh!D211="", "",Eleventh!D211)</f>
        <v/>
      </c>
      <c r="E2708" s="1" t="str">
        <f>IF(Eleventh!E211="", "",Eleventh!E211)</f>
        <v/>
      </c>
      <c r="F2708" s="1" t="str">
        <f>IF(Eleventh!F211="", "",Eleventh!F211)</f>
        <v/>
      </c>
      <c r="G2708" s="1" t="str">
        <f>IF(Eleventh!G211="", "",Eleventh!G211)</f>
        <v/>
      </c>
      <c r="H2708" s="1" t="str">
        <f>IF(Eleventh!H211="", "",Eleventh!H211)</f>
        <v/>
      </c>
      <c r="I2708" s="1" t="str">
        <f>IF(Eleventh!I211="", "",Eleventh!I211)</f>
        <v/>
      </c>
      <c r="J2708" s="1" t="str">
        <f>IF(Eleventh!J211="", "",Eleventh!J211)</f>
        <v/>
      </c>
      <c r="K2708" s="83" t="str">
        <f>IF(Eleventh!K211="", "",Eleventh!K211)</f>
        <v/>
      </c>
      <c r="M2708" s="67" t="str">
        <f t="shared" si="128"/>
        <v/>
      </c>
      <c r="N2708" s="76" t="str">
        <f t="shared" si="129"/>
        <v/>
      </c>
      <c r="O2708" s="33">
        <f t="shared" si="127"/>
        <v>0</v>
      </c>
    </row>
    <row r="2709" spans="1:15" x14ac:dyDescent="0.25">
      <c r="A2709" s="64" t="s">
        <v>184</v>
      </c>
      <c r="B2709" s="82" t="str">
        <f>IF(Eleventh!B212="", "",Eleventh!B212)</f>
        <v/>
      </c>
      <c r="C2709" s="1" t="str">
        <f>IF(Eleventh!C212="", "",Eleventh!C212)</f>
        <v/>
      </c>
      <c r="D2709" s="1" t="str">
        <f>IF(Eleventh!D212="", "",Eleventh!D212)</f>
        <v/>
      </c>
      <c r="E2709" s="1" t="str">
        <f>IF(Eleventh!E212="", "",Eleventh!E212)</f>
        <v/>
      </c>
      <c r="F2709" s="1" t="str">
        <f>IF(Eleventh!F212="", "",Eleventh!F212)</f>
        <v/>
      </c>
      <c r="G2709" s="1" t="str">
        <f>IF(Eleventh!G212="", "",Eleventh!G212)</f>
        <v/>
      </c>
      <c r="H2709" s="1" t="str">
        <f>IF(Eleventh!H212="", "",Eleventh!H212)</f>
        <v/>
      </c>
      <c r="I2709" s="1" t="str">
        <f>IF(Eleventh!I212="", "",Eleventh!I212)</f>
        <v/>
      </c>
      <c r="J2709" s="1" t="str">
        <f>IF(Eleventh!J212="", "",Eleventh!J212)</f>
        <v/>
      </c>
      <c r="K2709" s="83" t="str">
        <f>IF(Eleventh!K212="", "",Eleventh!K212)</f>
        <v/>
      </c>
      <c r="M2709" s="67" t="str">
        <f t="shared" si="128"/>
        <v/>
      </c>
      <c r="N2709" s="76" t="str">
        <f t="shared" si="129"/>
        <v/>
      </c>
      <c r="O2709" s="33">
        <f t="shared" si="127"/>
        <v>0</v>
      </c>
    </row>
    <row r="2710" spans="1:15" x14ac:dyDescent="0.25">
      <c r="A2710" s="64" t="s">
        <v>184</v>
      </c>
      <c r="B2710" s="82" t="str">
        <f>IF(Eleventh!B213="", "",Eleventh!B213)</f>
        <v/>
      </c>
      <c r="C2710" s="1" t="str">
        <f>IF(Eleventh!C213="", "",Eleventh!C213)</f>
        <v/>
      </c>
      <c r="D2710" s="1" t="str">
        <f>IF(Eleventh!D213="", "",Eleventh!D213)</f>
        <v/>
      </c>
      <c r="E2710" s="1" t="str">
        <f>IF(Eleventh!E213="", "",Eleventh!E213)</f>
        <v/>
      </c>
      <c r="F2710" s="1" t="str">
        <f>IF(Eleventh!F213="", "",Eleventh!F213)</f>
        <v/>
      </c>
      <c r="G2710" s="1" t="str">
        <f>IF(Eleventh!G213="", "",Eleventh!G213)</f>
        <v/>
      </c>
      <c r="H2710" s="1" t="str">
        <f>IF(Eleventh!H213="", "",Eleventh!H213)</f>
        <v/>
      </c>
      <c r="I2710" s="1" t="str">
        <f>IF(Eleventh!I213="", "",Eleventh!I213)</f>
        <v/>
      </c>
      <c r="J2710" s="1" t="str">
        <f>IF(Eleventh!J213="", "",Eleventh!J213)</f>
        <v/>
      </c>
      <c r="K2710" s="83" t="str">
        <f>IF(Eleventh!K213="", "",Eleventh!K213)</f>
        <v/>
      </c>
      <c r="M2710" s="67" t="str">
        <f t="shared" si="128"/>
        <v/>
      </c>
      <c r="N2710" s="76" t="str">
        <f t="shared" si="129"/>
        <v/>
      </c>
      <c r="O2710" s="33">
        <f t="shared" si="127"/>
        <v>0</v>
      </c>
    </row>
    <row r="2711" spans="1:15" x14ac:dyDescent="0.25">
      <c r="A2711" s="64" t="s">
        <v>184</v>
      </c>
      <c r="B2711" s="82" t="str">
        <f>IF(Eleventh!B214="", "",Eleventh!B214)</f>
        <v/>
      </c>
      <c r="C2711" s="1" t="str">
        <f>IF(Eleventh!C214="", "",Eleventh!C214)</f>
        <v/>
      </c>
      <c r="D2711" s="1" t="str">
        <f>IF(Eleventh!D214="", "",Eleventh!D214)</f>
        <v/>
      </c>
      <c r="E2711" s="1" t="str">
        <f>IF(Eleventh!E214="", "",Eleventh!E214)</f>
        <v/>
      </c>
      <c r="F2711" s="1" t="str">
        <f>IF(Eleventh!F214="", "",Eleventh!F214)</f>
        <v/>
      </c>
      <c r="G2711" s="1" t="str">
        <f>IF(Eleventh!G214="", "",Eleventh!G214)</f>
        <v/>
      </c>
      <c r="H2711" s="1" t="str">
        <f>IF(Eleventh!H214="", "",Eleventh!H214)</f>
        <v/>
      </c>
      <c r="I2711" s="1" t="str">
        <f>IF(Eleventh!I214="", "",Eleventh!I214)</f>
        <v/>
      </c>
      <c r="J2711" s="1" t="str">
        <f>IF(Eleventh!J214="", "",Eleventh!J214)</f>
        <v/>
      </c>
      <c r="K2711" s="83" t="str">
        <f>IF(Eleventh!K214="", "",Eleventh!K214)</f>
        <v/>
      </c>
      <c r="M2711" s="67" t="str">
        <f t="shared" si="128"/>
        <v/>
      </c>
      <c r="N2711" s="76" t="str">
        <f t="shared" si="129"/>
        <v/>
      </c>
      <c r="O2711" s="33">
        <f t="shared" si="127"/>
        <v>0</v>
      </c>
    </row>
    <row r="2712" spans="1:15" x14ac:dyDescent="0.25">
      <c r="A2712" s="64" t="s">
        <v>184</v>
      </c>
      <c r="B2712" s="82" t="str">
        <f>IF(Eleventh!B215="", "",Eleventh!B215)</f>
        <v/>
      </c>
      <c r="C2712" s="1" t="str">
        <f>IF(Eleventh!C215="", "",Eleventh!C215)</f>
        <v/>
      </c>
      <c r="D2712" s="1" t="str">
        <f>IF(Eleventh!D215="", "",Eleventh!D215)</f>
        <v/>
      </c>
      <c r="E2712" s="1" t="str">
        <f>IF(Eleventh!E215="", "",Eleventh!E215)</f>
        <v/>
      </c>
      <c r="F2712" s="1" t="str">
        <f>IF(Eleventh!F215="", "",Eleventh!F215)</f>
        <v/>
      </c>
      <c r="G2712" s="1" t="str">
        <f>IF(Eleventh!G215="", "",Eleventh!G215)</f>
        <v/>
      </c>
      <c r="H2712" s="1" t="str">
        <f>IF(Eleventh!H215="", "",Eleventh!H215)</f>
        <v/>
      </c>
      <c r="I2712" s="1" t="str">
        <f>IF(Eleventh!I215="", "",Eleventh!I215)</f>
        <v/>
      </c>
      <c r="J2712" s="1" t="str">
        <f>IF(Eleventh!J215="", "",Eleventh!J215)</f>
        <v/>
      </c>
      <c r="K2712" s="83" t="str">
        <f>IF(Eleventh!K215="", "",Eleventh!K215)</f>
        <v/>
      </c>
      <c r="M2712" s="67" t="str">
        <f t="shared" si="128"/>
        <v/>
      </c>
      <c r="N2712" s="76" t="str">
        <f t="shared" si="129"/>
        <v/>
      </c>
      <c r="O2712" s="33">
        <f t="shared" si="127"/>
        <v>0</v>
      </c>
    </row>
    <row r="2713" spans="1:15" x14ac:dyDescent="0.25">
      <c r="A2713" s="64" t="s">
        <v>184</v>
      </c>
      <c r="B2713" s="82" t="str">
        <f>IF(Eleventh!B216="", "",Eleventh!B216)</f>
        <v/>
      </c>
      <c r="C2713" s="1" t="str">
        <f>IF(Eleventh!C216="", "",Eleventh!C216)</f>
        <v/>
      </c>
      <c r="D2713" s="1" t="str">
        <f>IF(Eleventh!D216="", "",Eleventh!D216)</f>
        <v/>
      </c>
      <c r="E2713" s="1" t="str">
        <f>IF(Eleventh!E216="", "",Eleventh!E216)</f>
        <v/>
      </c>
      <c r="F2713" s="1" t="str">
        <f>IF(Eleventh!F216="", "",Eleventh!F216)</f>
        <v/>
      </c>
      <c r="G2713" s="1" t="str">
        <f>IF(Eleventh!G216="", "",Eleventh!G216)</f>
        <v/>
      </c>
      <c r="H2713" s="1" t="str">
        <f>IF(Eleventh!H216="", "",Eleventh!H216)</f>
        <v/>
      </c>
      <c r="I2713" s="1" t="str">
        <f>IF(Eleventh!I216="", "",Eleventh!I216)</f>
        <v/>
      </c>
      <c r="J2713" s="1" t="str">
        <f>IF(Eleventh!J216="", "",Eleventh!J216)</f>
        <v/>
      </c>
      <c r="K2713" s="83" t="str">
        <f>IF(Eleventh!K216="", "",Eleventh!K216)</f>
        <v/>
      </c>
      <c r="M2713" s="67" t="str">
        <f t="shared" si="128"/>
        <v/>
      </c>
      <c r="N2713" s="76" t="str">
        <f t="shared" si="129"/>
        <v/>
      </c>
      <c r="O2713" s="33">
        <f t="shared" si="127"/>
        <v>0</v>
      </c>
    </row>
    <row r="2714" spans="1:15" x14ac:dyDescent="0.25">
      <c r="A2714" s="64" t="s">
        <v>184</v>
      </c>
      <c r="B2714" s="82" t="str">
        <f>IF(Eleventh!B217="", "",Eleventh!B217)</f>
        <v/>
      </c>
      <c r="C2714" s="1" t="str">
        <f>IF(Eleventh!C217="", "",Eleventh!C217)</f>
        <v/>
      </c>
      <c r="D2714" s="1" t="str">
        <f>IF(Eleventh!D217="", "",Eleventh!D217)</f>
        <v/>
      </c>
      <c r="E2714" s="1" t="str">
        <f>IF(Eleventh!E217="", "",Eleventh!E217)</f>
        <v/>
      </c>
      <c r="F2714" s="1" t="str">
        <f>IF(Eleventh!F217="", "",Eleventh!F217)</f>
        <v/>
      </c>
      <c r="G2714" s="1" t="str">
        <f>IF(Eleventh!G217="", "",Eleventh!G217)</f>
        <v/>
      </c>
      <c r="H2714" s="1" t="str">
        <f>IF(Eleventh!H217="", "",Eleventh!H217)</f>
        <v/>
      </c>
      <c r="I2714" s="1" t="str">
        <f>IF(Eleventh!I217="", "",Eleventh!I217)</f>
        <v/>
      </c>
      <c r="J2714" s="1" t="str">
        <f>IF(Eleventh!J217="", "",Eleventh!J217)</f>
        <v/>
      </c>
      <c r="K2714" s="83" t="str">
        <f>IF(Eleventh!K217="", "",Eleventh!K217)</f>
        <v/>
      </c>
      <c r="M2714" s="67" t="str">
        <f t="shared" si="128"/>
        <v/>
      </c>
      <c r="N2714" s="76" t="str">
        <f t="shared" si="129"/>
        <v/>
      </c>
      <c r="O2714" s="33">
        <f t="shared" si="127"/>
        <v>0</v>
      </c>
    </row>
    <row r="2715" spans="1:15" x14ac:dyDescent="0.25">
      <c r="A2715" s="64" t="s">
        <v>184</v>
      </c>
      <c r="B2715" s="82" t="str">
        <f>IF(Eleventh!B218="", "",Eleventh!B218)</f>
        <v/>
      </c>
      <c r="C2715" s="1" t="str">
        <f>IF(Eleventh!C218="", "",Eleventh!C218)</f>
        <v/>
      </c>
      <c r="D2715" s="1" t="str">
        <f>IF(Eleventh!D218="", "",Eleventh!D218)</f>
        <v/>
      </c>
      <c r="E2715" s="1" t="str">
        <f>IF(Eleventh!E218="", "",Eleventh!E218)</f>
        <v/>
      </c>
      <c r="F2715" s="1" t="str">
        <f>IF(Eleventh!F218="", "",Eleventh!F218)</f>
        <v/>
      </c>
      <c r="G2715" s="1" t="str">
        <f>IF(Eleventh!G218="", "",Eleventh!G218)</f>
        <v/>
      </c>
      <c r="H2715" s="1" t="str">
        <f>IF(Eleventh!H218="", "",Eleventh!H218)</f>
        <v/>
      </c>
      <c r="I2715" s="1" t="str">
        <f>IF(Eleventh!I218="", "",Eleventh!I218)</f>
        <v/>
      </c>
      <c r="J2715" s="1" t="str">
        <f>IF(Eleventh!J218="", "",Eleventh!J218)</f>
        <v/>
      </c>
      <c r="K2715" s="83" t="str">
        <f>IF(Eleventh!K218="", "",Eleventh!K218)</f>
        <v/>
      </c>
      <c r="M2715" s="67" t="str">
        <f t="shared" si="128"/>
        <v/>
      </c>
      <c r="N2715" s="76" t="str">
        <f t="shared" si="129"/>
        <v/>
      </c>
      <c r="O2715" s="33">
        <f t="shared" si="127"/>
        <v>0</v>
      </c>
    </row>
    <row r="2716" spans="1:15" x14ac:dyDescent="0.25">
      <c r="A2716" s="64" t="s">
        <v>184</v>
      </c>
      <c r="B2716" s="82" t="str">
        <f>IF(Eleventh!B219="", "",Eleventh!B219)</f>
        <v/>
      </c>
      <c r="C2716" s="1" t="str">
        <f>IF(Eleventh!C219="", "",Eleventh!C219)</f>
        <v/>
      </c>
      <c r="D2716" s="1" t="str">
        <f>IF(Eleventh!D219="", "",Eleventh!D219)</f>
        <v/>
      </c>
      <c r="E2716" s="1" t="str">
        <f>IF(Eleventh!E219="", "",Eleventh!E219)</f>
        <v/>
      </c>
      <c r="F2716" s="1" t="str">
        <f>IF(Eleventh!F219="", "",Eleventh!F219)</f>
        <v/>
      </c>
      <c r="G2716" s="1" t="str">
        <f>IF(Eleventh!G219="", "",Eleventh!G219)</f>
        <v/>
      </c>
      <c r="H2716" s="1" t="str">
        <f>IF(Eleventh!H219="", "",Eleventh!H219)</f>
        <v/>
      </c>
      <c r="I2716" s="1" t="str">
        <f>IF(Eleventh!I219="", "",Eleventh!I219)</f>
        <v/>
      </c>
      <c r="J2716" s="1" t="str">
        <f>IF(Eleventh!J219="", "",Eleventh!J219)</f>
        <v/>
      </c>
      <c r="K2716" s="83" t="str">
        <f>IF(Eleventh!K219="", "",Eleventh!K219)</f>
        <v/>
      </c>
      <c r="M2716" s="67" t="str">
        <f t="shared" si="128"/>
        <v/>
      </c>
      <c r="N2716" s="76" t="str">
        <f t="shared" si="129"/>
        <v/>
      </c>
      <c r="O2716" s="33">
        <f t="shared" si="127"/>
        <v>0</v>
      </c>
    </row>
    <row r="2717" spans="1:15" x14ac:dyDescent="0.25">
      <c r="A2717" s="64" t="s">
        <v>184</v>
      </c>
      <c r="B2717" s="82" t="str">
        <f>IF(Eleventh!B220="", "",Eleventh!B220)</f>
        <v/>
      </c>
      <c r="C2717" s="1" t="str">
        <f>IF(Eleventh!C220="", "",Eleventh!C220)</f>
        <v/>
      </c>
      <c r="D2717" s="1" t="str">
        <f>IF(Eleventh!D220="", "",Eleventh!D220)</f>
        <v/>
      </c>
      <c r="E2717" s="1" t="str">
        <f>IF(Eleventh!E220="", "",Eleventh!E220)</f>
        <v/>
      </c>
      <c r="F2717" s="1" t="str">
        <f>IF(Eleventh!F220="", "",Eleventh!F220)</f>
        <v/>
      </c>
      <c r="G2717" s="1" t="str">
        <f>IF(Eleventh!G220="", "",Eleventh!G220)</f>
        <v/>
      </c>
      <c r="H2717" s="1" t="str">
        <f>IF(Eleventh!H220="", "",Eleventh!H220)</f>
        <v/>
      </c>
      <c r="I2717" s="1" t="str">
        <f>IF(Eleventh!I220="", "",Eleventh!I220)</f>
        <v/>
      </c>
      <c r="J2717" s="1" t="str">
        <f>IF(Eleventh!J220="", "",Eleventh!J220)</f>
        <v/>
      </c>
      <c r="K2717" s="83" t="str">
        <f>IF(Eleventh!K220="", "",Eleventh!K220)</f>
        <v/>
      </c>
      <c r="M2717" s="67" t="str">
        <f t="shared" si="128"/>
        <v/>
      </c>
      <c r="N2717" s="76" t="str">
        <f t="shared" si="129"/>
        <v/>
      </c>
      <c r="O2717" s="33">
        <f t="shared" si="127"/>
        <v>0</v>
      </c>
    </row>
    <row r="2718" spans="1:15" x14ac:dyDescent="0.25">
      <c r="A2718" s="64" t="s">
        <v>184</v>
      </c>
      <c r="B2718" s="82" t="str">
        <f>IF(Eleventh!B221="", "",Eleventh!B221)</f>
        <v/>
      </c>
      <c r="C2718" s="1" t="str">
        <f>IF(Eleventh!C221="", "",Eleventh!C221)</f>
        <v/>
      </c>
      <c r="D2718" s="1" t="str">
        <f>IF(Eleventh!D221="", "",Eleventh!D221)</f>
        <v/>
      </c>
      <c r="E2718" s="1" t="str">
        <f>IF(Eleventh!E221="", "",Eleventh!E221)</f>
        <v/>
      </c>
      <c r="F2718" s="1" t="str">
        <f>IF(Eleventh!F221="", "",Eleventh!F221)</f>
        <v/>
      </c>
      <c r="G2718" s="1" t="str">
        <f>IF(Eleventh!G221="", "",Eleventh!G221)</f>
        <v/>
      </c>
      <c r="H2718" s="1" t="str">
        <f>IF(Eleventh!H221="", "",Eleventh!H221)</f>
        <v/>
      </c>
      <c r="I2718" s="1" t="str">
        <f>IF(Eleventh!I221="", "",Eleventh!I221)</f>
        <v/>
      </c>
      <c r="J2718" s="1" t="str">
        <f>IF(Eleventh!J221="", "",Eleventh!J221)</f>
        <v/>
      </c>
      <c r="K2718" s="83" t="str">
        <f>IF(Eleventh!K221="", "",Eleventh!K221)</f>
        <v/>
      </c>
      <c r="M2718" s="67" t="str">
        <f t="shared" si="128"/>
        <v/>
      </c>
      <c r="N2718" s="76" t="str">
        <f t="shared" si="129"/>
        <v/>
      </c>
      <c r="O2718" s="33">
        <f t="shared" si="127"/>
        <v>0</v>
      </c>
    </row>
    <row r="2719" spans="1:15" x14ac:dyDescent="0.25">
      <c r="A2719" s="64" t="s">
        <v>184</v>
      </c>
      <c r="B2719" s="82" t="str">
        <f>IF(Eleventh!B222="", "",Eleventh!B222)</f>
        <v/>
      </c>
      <c r="C2719" s="1" t="str">
        <f>IF(Eleventh!C222="", "",Eleventh!C222)</f>
        <v/>
      </c>
      <c r="D2719" s="1" t="str">
        <f>IF(Eleventh!D222="", "",Eleventh!D222)</f>
        <v/>
      </c>
      <c r="E2719" s="1" t="str">
        <f>IF(Eleventh!E222="", "",Eleventh!E222)</f>
        <v/>
      </c>
      <c r="F2719" s="1" t="str">
        <f>IF(Eleventh!F222="", "",Eleventh!F222)</f>
        <v/>
      </c>
      <c r="G2719" s="1" t="str">
        <f>IF(Eleventh!G222="", "",Eleventh!G222)</f>
        <v/>
      </c>
      <c r="H2719" s="1" t="str">
        <f>IF(Eleventh!H222="", "",Eleventh!H222)</f>
        <v/>
      </c>
      <c r="I2719" s="1" t="str">
        <f>IF(Eleventh!I222="", "",Eleventh!I222)</f>
        <v/>
      </c>
      <c r="J2719" s="1" t="str">
        <f>IF(Eleventh!J222="", "",Eleventh!J222)</f>
        <v/>
      </c>
      <c r="K2719" s="83" t="str">
        <f>IF(Eleventh!K222="", "",Eleventh!K222)</f>
        <v/>
      </c>
      <c r="M2719" s="67" t="str">
        <f t="shared" si="128"/>
        <v/>
      </c>
      <c r="N2719" s="76" t="str">
        <f t="shared" si="129"/>
        <v/>
      </c>
      <c r="O2719" s="33">
        <f t="shared" si="127"/>
        <v>0</v>
      </c>
    </row>
    <row r="2720" spans="1:15" x14ac:dyDescent="0.25">
      <c r="A2720" s="64" t="s">
        <v>184</v>
      </c>
      <c r="B2720" s="82" t="str">
        <f>IF(Eleventh!B223="", "",Eleventh!B223)</f>
        <v/>
      </c>
      <c r="C2720" s="1" t="str">
        <f>IF(Eleventh!C223="", "",Eleventh!C223)</f>
        <v/>
      </c>
      <c r="D2720" s="1" t="str">
        <f>IF(Eleventh!D223="", "",Eleventh!D223)</f>
        <v/>
      </c>
      <c r="E2720" s="1" t="str">
        <f>IF(Eleventh!E223="", "",Eleventh!E223)</f>
        <v/>
      </c>
      <c r="F2720" s="1" t="str">
        <f>IF(Eleventh!F223="", "",Eleventh!F223)</f>
        <v/>
      </c>
      <c r="G2720" s="1" t="str">
        <f>IF(Eleventh!G223="", "",Eleventh!G223)</f>
        <v/>
      </c>
      <c r="H2720" s="1" t="str">
        <f>IF(Eleventh!H223="", "",Eleventh!H223)</f>
        <v/>
      </c>
      <c r="I2720" s="1" t="str">
        <f>IF(Eleventh!I223="", "",Eleventh!I223)</f>
        <v/>
      </c>
      <c r="J2720" s="1" t="str">
        <f>IF(Eleventh!J223="", "",Eleventh!J223)</f>
        <v/>
      </c>
      <c r="K2720" s="83" t="str">
        <f>IF(Eleventh!K223="", "",Eleventh!K223)</f>
        <v/>
      </c>
      <c r="M2720" s="67" t="str">
        <f t="shared" si="128"/>
        <v/>
      </c>
      <c r="N2720" s="76" t="str">
        <f t="shared" si="129"/>
        <v/>
      </c>
      <c r="O2720" s="33">
        <f t="shared" si="127"/>
        <v>0</v>
      </c>
    </row>
    <row r="2721" spans="1:15" x14ac:dyDescent="0.25">
      <c r="A2721" s="64" t="s">
        <v>184</v>
      </c>
      <c r="B2721" s="82" t="str">
        <f>IF(Eleventh!B224="", "",Eleventh!B224)</f>
        <v/>
      </c>
      <c r="C2721" s="1" t="str">
        <f>IF(Eleventh!C224="", "",Eleventh!C224)</f>
        <v/>
      </c>
      <c r="D2721" s="1" t="str">
        <f>IF(Eleventh!D224="", "",Eleventh!D224)</f>
        <v/>
      </c>
      <c r="E2721" s="1" t="str">
        <f>IF(Eleventh!E224="", "",Eleventh!E224)</f>
        <v/>
      </c>
      <c r="F2721" s="1" t="str">
        <f>IF(Eleventh!F224="", "",Eleventh!F224)</f>
        <v/>
      </c>
      <c r="G2721" s="1" t="str">
        <f>IF(Eleventh!G224="", "",Eleventh!G224)</f>
        <v/>
      </c>
      <c r="H2721" s="1" t="str">
        <f>IF(Eleventh!H224="", "",Eleventh!H224)</f>
        <v/>
      </c>
      <c r="I2721" s="1" t="str">
        <f>IF(Eleventh!I224="", "",Eleventh!I224)</f>
        <v/>
      </c>
      <c r="J2721" s="1" t="str">
        <f>IF(Eleventh!J224="", "",Eleventh!J224)</f>
        <v/>
      </c>
      <c r="K2721" s="83" t="str">
        <f>IF(Eleventh!K224="", "",Eleventh!K224)</f>
        <v/>
      </c>
      <c r="M2721" s="67" t="str">
        <f t="shared" si="128"/>
        <v/>
      </c>
      <c r="N2721" s="76" t="str">
        <f t="shared" si="129"/>
        <v/>
      </c>
      <c r="O2721" s="33">
        <f t="shared" si="127"/>
        <v>0</v>
      </c>
    </row>
    <row r="2722" spans="1:15" x14ac:dyDescent="0.25">
      <c r="A2722" s="64" t="s">
        <v>184</v>
      </c>
      <c r="B2722" s="82" t="str">
        <f>IF(Eleventh!B225="", "",Eleventh!B225)</f>
        <v/>
      </c>
      <c r="C2722" s="1" t="str">
        <f>IF(Eleventh!C225="", "",Eleventh!C225)</f>
        <v/>
      </c>
      <c r="D2722" s="1" t="str">
        <f>IF(Eleventh!D225="", "",Eleventh!D225)</f>
        <v/>
      </c>
      <c r="E2722" s="1" t="str">
        <f>IF(Eleventh!E225="", "",Eleventh!E225)</f>
        <v/>
      </c>
      <c r="F2722" s="1" t="str">
        <f>IF(Eleventh!F225="", "",Eleventh!F225)</f>
        <v/>
      </c>
      <c r="G2722" s="1" t="str">
        <f>IF(Eleventh!G225="", "",Eleventh!G225)</f>
        <v/>
      </c>
      <c r="H2722" s="1" t="str">
        <f>IF(Eleventh!H225="", "",Eleventh!H225)</f>
        <v/>
      </c>
      <c r="I2722" s="1" t="str">
        <f>IF(Eleventh!I225="", "",Eleventh!I225)</f>
        <v/>
      </c>
      <c r="J2722" s="1" t="str">
        <f>IF(Eleventh!J225="", "",Eleventh!J225)</f>
        <v/>
      </c>
      <c r="K2722" s="83" t="str">
        <f>IF(Eleventh!K225="", "",Eleventh!K225)</f>
        <v/>
      </c>
      <c r="M2722" s="67" t="str">
        <f t="shared" si="128"/>
        <v/>
      </c>
      <c r="N2722" s="76" t="str">
        <f t="shared" si="129"/>
        <v/>
      </c>
      <c r="O2722" s="33">
        <f t="shared" si="127"/>
        <v>0</v>
      </c>
    </row>
    <row r="2723" spans="1:15" x14ac:dyDescent="0.25">
      <c r="A2723" s="64" t="s">
        <v>184</v>
      </c>
      <c r="B2723" s="82" t="str">
        <f>IF(Eleventh!B226="", "",Eleventh!B226)</f>
        <v/>
      </c>
      <c r="C2723" s="1" t="str">
        <f>IF(Eleventh!C226="", "",Eleventh!C226)</f>
        <v/>
      </c>
      <c r="D2723" s="1" t="str">
        <f>IF(Eleventh!D226="", "",Eleventh!D226)</f>
        <v/>
      </c>
      <c r="E2723" s="1" t="str">
        <f>IF(Eleventh!E226="", "",Eleventh!E226)</f>
        <v/>
      </c>
      <c r="F2723" s="1" t="str">
        <f>IF(Eleventh!F226="", "",Eleventh!F226)</f>
        <v/>
      </c>
      <c r="G2723" s="1" t="str">
        <f>IF(Eleventh!G226="", "",Eleventh!G226)</f>
        <v/>
      </c>
      <c r="H2723" s="1" t="str">
        <f>IF(Eleventh!H226="", "",Eleventh!H226)</f>
        <v/>
      </c>
      <c r="I2723" s="1" t="str">
        <f>IF(Eleventh!I226="", "",Eleventh!I226)</f>
        <v/>
      </c>
      <c r="J2723" s="1" t="str">
        <f>IF(Eleventh!J226="", "",Eleventh!J226)</f>
        <v/>
      </c>
      <c r="K2723" s="83" t="str">
        <f>IF(Eleventh!K226="", "",Eleventh!K226)</f>
        <v/>
      </c>
      <c r="M2723" s="67" t="str">
        <f t="shared" si="128"/>
        <v/>
      </c>
      <c r="N2723" s="76" t="str">
        <f t="shared" si="129"/>
        <v/>
      </c>
      <c r="O2723" s="33">
        <f t="shared" si="127"/>
        <v>0</v>
      </c>
    </row>
    <row r="2724" spans="1:15" x14ac:dyDescent="0.25">
      <c r="A2724" s="64" t="s">
        <v>184</v>
      </c>
      <c r="B2724" s="82" t="str">
        <f>IF(Eleventh!B227="", "",Eleventh!B227)</f>
        <v/>
      </c>
      <c r="C2724" s="1" t="str">
        <f>IF(Eleventh!C227="", "",Eleventh!C227)</f>
        <v/>
      </c>
      <c r="D2724" s="1" t="str">
        <f>IF(Eleventh!D227="", "",Eleventh!D227)</f>
        <v/>
      </c>
      <c r="E2724" s="1" t="str">
        <f>IF(Eleventh!E227="", "",Eleventh!E227)</f>
        <v/>
      </c>
      <c r="F2724" s="1" t="str">
        <f>IF(Eleventh!F227="", "",Eleventh!F227)</f>
        <v/>
      </c>
      <c r="G2724" s="1" t="str">
        <f>IF(Eleventh!G227="", "",Eleventh!G227)</f>
        <v/>
      </c>
      <c r="H2724" s="1" t="str">
        <f>IF(Eleventh!H227="", "",Eleventh!H227)</f>
        <v/>
      </c>
      <c r="I2724" s="1" t="str">
        <f>IF(Eleventh!I227="", "",Eleventh!I227)</f>
        <v/>
      </c>
      <c r="J2724" s="1" t="str">
        <f>IF(Eleventh!J227="", "",Eleventh!J227)</f>
        <v/>
      </c>
      <c r="K2724" s="83" t="str">
        <f>IF(Eleventh!K227="", "",Eleventh!K227)</f>
        <v/>
      </c>
      <c r="M2724" s="67" t="str">
        <f t="shared" si="128"/>
        <v/>
      </c>
      <c r="N2724" s="76" t="str">
        <f t="shared" si="129"/>
        <v/>
      </c>
      <c r="O2724" s="33">
        <f t="shared" si="127"/>
        <v>0</v>
      </c>
    </row>
    <row r="2725" spans="1:15" x14ac:dyDescent="0.25">
      <c r="A2725" s="64" t="s">
        <v>184</v>
      </c>
      <c r="B2725" s="82" t="str">
        <f>IF(Eleventh!B228="", "",Eleventh!B228)</f>
        <v/>
      </c>
      <c r="C2725" s="1" t="str">
        <f>IF(Eleventh!C228="", "",Eleventh!C228)</f>
        <v/>
      </c>
      <c r="D2725" s="1" t="str">
        <f>IF(Eleventh!D228="", "",Eleventh!D228)</f>
        <v/>
      </c>
      <c r="E2725" s="1" t="str">
        <f>IF(Eleventh!E228="", "",Eleventh!E228)</f>
        <v/>
      </c>
      <c r="F2725" s="1" t="str">
        <f>IF(Eleventh!F228="", "",Eleventh!F228)</f>
        <v/>
      </c>
      <c r="G2725" s="1" t="str">
        <f>IF(Eleventh!G228="", "",Eleventh!G228)</f>
        <v/>
      </c>
      <c r="H2725" s="1" t="str">
        <f>IF(Eleventh!H228="", "",Eleventh!H228)</f>
        <v/>
      </c>
      <c r="I2725" s="1" t="str">
        <f>IF(Eleventh!I228="", "",Eleventh!I228)</f>
        <v/>
      </c>
      <c r="J2725" s="1" t="str">
        <f>IF(Eleventh!J228="", "",Eleventh!J228)</f>
        <v/>
      </c>
      <c r="K2725" s="83" t="str">
        <f>IF(Eleventh!K228="", "",Eleventh!K228)</f>
        <v/>
      </c>
      <c r="M2725" s="67" t="str">
        <f t="shared" si="128"/>
        <v/>
      </c>
      <c r="N2725" s="76" t="str">
        <f t="shared" si="129"/>
        <v/>
      </c>
      <c r="O2725" s="33">
        <f t="shared" si="127"/>
        <v>0</v>
      </c>
    </row>
    <row r="2726" spans="1:15" x14ac:dyDescent="0.25">
      <c r="A2726" s="64" t="s">
        <v>184</v>
      </c>
      <c r="B2726" s="82" t="str">
        <f>IF(Eleventh!B229="", "",Eleventh!B229)</f>
        <v/>
      </c>
      <c r="C2726" s="1" t="str">
        <f>IF(Eleventh!C229="", "",Eleventh!C229)</f>
        <v/>
      </c>
      <c r="D2726" s="1" t="str">
        <f>IF(Eleventh!D229="", "",Eleventh!D229)</f>
        <v/>
      </c>
      <c r="E2726" s="1" t="str">
        <f>IF(Eleventh!E229="", "",Eleventh!E229)</f>
        <v/>
      </c>
      <c r="F2726" s="1" t="str">
        <f>IF(Eleventh!F229="", "",Eleventh!F229)</f>
        <v/>
      </c>
      <c r="G2726" s="1" t="str">
        <f>IF(Eleventh!G229="", "",Eleventh!G229)</f>
        <v/>
      </c>
      <c r="H2726" s="1" t="str">
        <f>IF(Eleventh!H229="", "",Eleventh!H229)</f>
        <v/>
      </c>
      <c r="I2726" s="1" t="str">
        <f>IF(Eleventh!I229="", "",Eleventh!I229)</f>
        <v/>
      </c>
      <c r="J2726" s="1" t="str">
        <f>IF(Eleventh!J229="", "",Eleventh!J229)</f>
        <v/>
      </c>
      <c r="K2726" s="83" t="str">
        <f>IF(Eleventh!K229="", "",Eleventh!K229)</f>
        <v/>
      </c>
      <c r="M2726" s="67" t="str">
        <f t="shared" si="128"/>
        <v/>
      </c>
      <c r="N2726" s="76" t="str">
        <f t="shared" si="129"/>
        <v/>
      </c>
      <c r="O2726" s="33">
        <f t="shared" si="127"/>
        <v>0</v>
      </c>
    </row>
    <row r="2727" spans="1:15" x14ac:dyDescent="0.25">
      <c r="A2727" s="64" t="s">
        <v>184</v>
      </c>
      <c r="B2727" s="82" t="str">
        <f>IF(Eleventh!B230="", "",Eleventh!B230)</f>
        <v/>
      </c>
      <c r="C2727" s="1" t="str">
        <f>IF(Eleventh!C230="", "",Eleventh!C230)</f>
        <v/>
      </c>
      <c r="D2727" s="1" t="str">
        <f>IF(Eleventh!D230="", "",Eleventh!D230)</f>
        <v/>
      </c>
      <c r="E2727" s="1" t="str">
        <f>IF(Eleventh!E230="", "",Eleventh!E230)</f>
        <v/>
      </c>
      <c r="F2727" s="1" t="str">
        <f>IF(Eleventh!F230="", "",Eleventh!F230)</f>
        <v/>
      </c>
      <c r="G2727" s="1" t="str">
        <f>IF(Eleventh!G230="", "",Eleventh!G230)</f>
        <v/>
      </c>
      <c r="H2727" s="1" t="str">
        <f>IF(Eleventh!H230="", "",Eleventh!H230)</f>
        <v/>
      </c>
      <c r="I2727" s="1" t="str">
        <f>IF(Eleventh!I230="", "",Eleventh!I230)</f>
        <v/>
      </c>
      <c r="J2727" s="1" t="str">
        <f>IF(Eleventh!J230="", "",Eleventh!J230)</f>
        <v/>
      </c>
      <c r="K2727" s="83" t="str">
        <f>IF(Eleventh!K230="", "",Eleventh!K230)</f>
        <v/>
      </c>
      <c r="M2727" s="67" t="str">
        <f t="shared" si="128"/>
        <v/>
      </c>
      <c r="N2727" s="76" t="str">
        <f t="shared" si="129"/>
        <v/>
      </c>
      <c r="O2727" s="33">
        <f t="shared" si="127"/>
        <v>0</v>
      </c>
    </row>
    <row r="2728" spans="1:15" x14ac:dyDescent="0.25">
      <c r="A2728" s="64" t="s">
        <v>184</v>
      </c>
      <c r="B2728" s="82" t="str">
        <f>IF(Eleventh!B231="", "",Eleventh!B231)</f>
        <v/>
      </c>
      <c r="C2728" s="1" t="str">
        <f>IF(Eleventh!C231="", "",Eleventh!C231)</f>
        <v/>
      </c>
      <c r="D2728" s="1" t="str">
        <f>IF(Eleventh!D231="", "",Eleventh!D231)</f>
        <v/>
      </c>
      <c r="E2728" s="1" t="str">
        <f>IF(Eleventh!E231="", "",Eleventh!E231)</f>
        <v/>
      </c>
      <c r="F2728" s="1" t="str">
        <f>IF(Eleventh!F231="", "",Eleventh!F231)</f>
        <v/>
      </c>
      <c r="G2728" s="1" t="str">
        <f>IF(Eleventh!G231="", "",Eleventh!G231)</f>
        <v/>
      </c>
      <c r="H2728" s="1" t="str">
        <f>IF(Eleventh!H231="", "",Eleventh!H231)</f>
        <v/>
      </c>
      <c r="I2728" s="1" t="str">
        <f>IF(Eleventh!I231="", "",Eleventh!I231)</f>
        <v/>
      </c>
      <c r="J2728" s="1" t="str">
        <f>IF(Eleventh!J231="", "",Eleventh!J231)</f>
        <v/>
      </c>
      <c r="K2728" s="83" t="str">
        <f>IF(Eleventh!K231="", "",Eleventh!K231)</f>
        <v/>
      </c>
      <c r="M2728" s="67" t="str">
        <f t="shared" si="128"/>
        <v/>
      </c>
      <c r="N2728" s="76" t="str">
        <f t="shared" si="129"/>
        <v/>
      </c>
      <c r="O2728" s="33">
        <f t="shared" si="127"/>
        <v>0</v>
      </c>
    </row>
    <row r="2729" spans="1:15" x14ac:dyDescent="0.25">
      <c r="A2729" s="64" t="s">
        <v>184</v>
      </c>
      <c r="B2729" s="82" t="str">
        <f>IF(Eleventh!B232="", "",Eleventh!B232)</f>
        <v/>
      </c>
      <c r="C2729" s="1" t="str">
        <f>IF(Eleventh!C232="", "",Eleventh!C232)</f>
        <v/>
      </c>
      <c r="D2729" s="1" t="str">
        <f>IF(Eleventh!D232="", "",Eleventh!D232)</f>
        <v/>
      </c>
      <c r="E2729" s="1" t="str">
        <f>IF(Eleventh!E232="", "",Eleventh!E232)</f>
        <v/>
      </c>
      <c r="F2729" s="1" t="str">
        <f>IF(Eleventh!F232="", "",Eleventh!F232)</f>
        <v/>
      </c>
      <c r="G2729" s="1" t="str">
        <f>IF(Eleventh!G232="", "",Eleventh!G232)</f>
        <v/>
      </c>
      <c r="H2729" s="1" t="str">
        <f>IF(Eleventh!H232="", "",Eleventh!H232)</f>
        <v/>
      </c>
      <c r="I2729" s="1" t="str">
        <f>IF(Eleventh!I232="", "",Eleventh!I232)</f>
        <v/>
      </c>
      <c r="J2729" s="1" t="str">
        <f>IF(Eleventh!J232="", "",Eleventh!J232)</f>
        <v/>
      </c>
      <c r="K2729" s="83" t="str">
        <f>IF(Eleventh!K232="", "",Eleventh!K232)</f>
        <v/>
      </c>
      <c r="M2729" s="67" t="str">
        <f t="shared" si="128"/>
        <v/>
      </c>
      <c r="N2729" s="76" t="str">
        <f t="shared" si="129"/>
        <v/>
      </c>
      <c r="O2729" s="33">
        <f t="shared" si="127"/>
        <v>0</v>
      </c>
    </row>
    <row r="2730" spans="1:15" x14ac:dyDescent="0.25">
      <c r="A2730" s="64" t="s">
        <v>184</v>
      </c>
      <c r="B2730" s="82" t="str">
        <f>IF(Eleventh!B233="", "",Eleventh!B233)</f>
        <v/>
      </c>
      <c r="C2730" s="1" t="str">
        <f>IF(Eleventh!C233="", "",Eleventh!C233)</f>
        <v/>
      </c>
      <c r="D2730" s="1" t="str">
        <f>IF(Eleventh!D233="", "",Eleventh!D233)</f>
        <v/>
      </c>
      <c r="E2730" s="1" t="str">
        <f>IF(Eleventh!E233="", "",Eleventh!E233)</f>
        <v/>
      </c>
      <c r="F2730" s="1" t="str">
        <f>IF(Eleventh!F233="", "",Eleventh!F233)</f>
        <v/>
      </c>
      <c r="G2730" s="1" t="str">
        <f>IF(Eleventh!G233="", "",Eleventh!G233)</f>
        <v/>
      </c>
      <c r="H2730" s="1" t="str">
        <f>IF(Eleventh!H233="", "",Eleventh!H233)</f>
        <v/>
      </c>
      <c r="I2730" s="1" t="str">
        <f>IF(Eleventh!I233="", "",Eleventh!I233)</f>
        <v/>
      </c>
      <c r="J2730" s="1" t="str">
        <f>IF(Eleventh!J233="", "",Eleventh!J233)</f>
        <v/>
      </c>
      <c r="K2730" s="83" t="str">
        <f>IF(Eleventh!K233="", "",Eleventh!K233)</f>
        <v/>
      </c>
      <c r="M2730" s="67" t="str">
        <f t="shared" si="128"/>
        <v/>
      </c>
      <c r="N2730" s="76" t="str">
        <f t="shared" si="129"/>
        <v/>
      </c>
      <c r="O2730" s="33">
        <f t="shared" si="127"/>
        <v>0</v>
      </c>
    </row>
    <row r="2731" spans="1:15" x14ac:dyDescent="0.25">
      <c r="A2731" s="64" t="s">
        <v>184</v>
      </c>
      <c r="B2731" s="82" t="str">
        <f>IF(Eleventh!B234="", "",Eleventh!B234)</f>
        <v/>
      </c>
      <c r="C2731" s="1" t="str">
        <f>IF(Eleventh!C234="", "",Eleventh!C234)</f>
        <v/>
      </c>
      <c r="D2731" s="1" t="str">
        <f>IF(Eleventh!D234="", "",Eleventh!D234)</f>
        <v/>
      </c>
      <c r="E2731" s="1" t="str">
        <f>IF(Eleventh!E234="", "",Eleventh!E234)</f>
        <v/>
      </c>
      <c r="F2731" s="1" t="str">
        <f>IF(Eleventh!F234="", "",Eleventh!F234)</f>
        <v/>
      </c>
      <c r="G2731" s="1" t="str">
        <f>IF(Eleventh!G234="", "",Eleventh!G234)</f>
        <v/>
      </c>
      <c r="H2731" s="1" t="str">
        <f>IF(Eleventh!H234="", "",Eleventh!H234)</f>
        <v/>
      </c>
      <c r="I2731" s="1" t="str">
        <f>IF(Eleventh!I234="", "",Eleventh!I234)</f>
        <v/>
      </c>
      <c r="J2731" s="1" t="str">
        <f>IF(Eleventh!J234="", "",Eleventh!J234)</f>
        <v/>
      </c>
      <c r="K2731" s="83" t="str">
        <f>IF(Eleventh!K234="", "",Eleventh!K234)</f>
        <v/>
      </c>
      <c r="M2731" s="67" t="str">
        <f t="shared" si="128"/>
        <v/>
      </c>
      <c r="N2731" s="76" t="str">
        <f t="shared" si="129"/>
        <v/>
      </c>
      <c r="O2731" s="33">
        <f t="shared" si="127"/>
        <v>0</v>
      </c>
    </row>
    <row r="2732" spans="1:15" x14ac:dyDescent="0.25">
      <c r="A2732" s="64" t="s">
        <v>184</v>
      </c>
      <c r="B2732" s="82" t="str">
        <f>IF(Eleventh!B235="", "",Eleventh!B235)</f>
        <v/>
      </c>
      <c r="C2732" s="1" t="str">
        <f>IF(Eleventh!C235="", "",Eleventh!C235)</f>
        <v/>
      </c>
      <c r="D2732" s="1" t="str">
        <f>IF(Eleventh!D235="", "",Eleventh!D235)</f>
        <v/>
      </c>
      <c r="E2732" s="1" t="str">
        <f>IF(Eleventh!E235="", "",Eleventh!E235)</f>
        <v/>
      </c>
      <c r="F2732" s="1" t="str">
        <f>IF(Eleventh!F235="", "",Eleventh!F235)</f>
        <v/>
      </c>
      <c r="G2732" s="1" t="str">
        <f>IF(Eleventh!G235="", "",Eleventh!G235)</f>
        <v/>
      </c>
      <c r="H2732" s="1" t="str">
        <f>IF(Eleventh!H235="", "",Eleventh!H235)</f>
        <v/>
      </c>
      <c r="I2732" s="1" t="str">
        <f>IF(Eleventh!I235="", "",Eleventh!I235)</f>
        <v/>
      </c>
      <c r="J2732" s="1" t="str">
        <f>IF(Eleventh!J235="", "",Eleventh!J235)</f>
        <v/>
      </c>
      <c r="K2732" s="83" t="str">
        <f>IF(Eleventh!K235="", "",Eleventh!K235)</f>
        <v/>
      </c>
      <c r="M2732" s="67" t="str">
        <f t="shared" si="128"/>
        <v/>
      </c>
      <c r="N2732" s="76" t="str">
        <f t="shared" si="129"/>
        <v/>
      </c>
      <c r="O2732" s="33">
        <f t="shared" si="127"/>
        <v>0</v>
      </c>
    </row>
    <row r="2733" spans="1:15" x14ac:dyDescent="0.25">
      <c r="A2733" s="64" t="s">
        <v>184</v>
      </c>
      <c r="B2733" s="82" t="str">
        <f>IF(Eleventh!B236="", "",Eleventh!B236)</f>
        <v/>
      </c>
      <c r="C2733" s="1" t="str">
        <f>IF(Eleventh!C236="", "",Eleventh!C236)</f>
        <v/>
      </c>
      <c r="D2733" s="1" t="str">
        <f>IF(Eleventh!D236="", "",Eleventh!D236)</f>
        <v/>
      </c>
      <c r="E2733" s="1" t="str">
        <f>IF(Eleventh!E236="", "",Eleventh!E236)</f>
        <v/>
      </c>
      <c r="F2733" s="1" t="str">
        <f>IF(Eleventh!F236="", "",Eleventh!F236)</f>
        <v/>
      </c>
      <c r="G2733" s="1" t="str">
        <f>IF(Eleventh!G236="", "",Eleventh!G236)</f>
        <v/>
      </c>
      <c r="H2733" s="1" t="str">
        <f>IF(Eleventh!H236="", "",Eleventh!H236)</f>
        <v/>
      </c>
      <c r="I2733" s="1" t="str">
        <f>IF(Eleventh!I236="", "",Eleventh!I236)</f>
        <v/>
      </c>
      <c r="J2733" s="1" t="str">
        <f>IF(Eleventh!J236="", "",Eleventh!J236)</f>
        <v/>
      </c>
      <c r="K2733" s="83" t="str">
        <f>IF(Eleventh!K236="", "",Eleventh!K236)</f>
        <v/>
      </c>
      <c r="M2733" s="67" t="str">
        <f t="shared" si="128"/>
        <v/>
      </c>
      <c r="N2733" s="76" t="str">
        <f t="shared" si="129"/>
        <v/>
      </c>
      <c r="O2733" s="33">
        <f t="shared" si="127"/>
        <v>0</v>
      </c>
    </row>
    <row r="2734" spans="1:15" x14ac:dyDescent="0.25">
      <c r="A2734" s="64" t="s">
        <v>184</v>
      </c>
      <c r="B2734" s="82" t="str">
        <f>IF(Eleventh!B237="", "",Eleventh!B237)</f>
        <v/>
      </c>
      <c r="C2734" s="1" t="str">
        <f>IF(Eleventh!C237="", "",Eleventh!C237)</f>
        <v/>
      </c>
      <c r="D2734" s="1" t="str">
        <f>IF(Eleventh!D237="", "",Eleventh!D237)</f>
        <v/>
      </c>
      <c r="E2734" s="1" t="str">
        <f>IF(Eleventh!E237="", "",Eleventh!E237)</f>
        <v/>
      </c>
      <c r="F2734" s="1" t="str">
        <f>IF(Eleventh!F237="", "",Eleventh!F237)</f>
        <v/>
      </c>
      <c r="G2734" s="1" t="str">
        <f>IF(Eleventh!G237="", "",Eleventh!G237)</f>
        <v/>
      </c>
      <c r="H2734" s="1" t="str">
        <f>IF(Eleventh!H237="", "",Eleventh!H237)</f>
        <v/>
      </c>
      <c r="I2734" s="1" t="str">
        <f>IF(Eleventh!I237="", "",Eleventh!I237)</f>
        <v/>
      </c>
      <c r="J2734" s="1" t="str">
        <f>IF(Eleventh!J237="", "",Eleventh!J237)</f>
        <v/>
      </c>
      <c r="K2734" s="83" t="str">
        <f>IF(Eleventh!K237="", "",Eleventh!K237)</f>
        <v/>
      </c>
      <c r="M2734" s="67" t="str">
        <f t="shared" si="128"/>
        <v/>
      </c>
      <c r="N2734" s="76" t="str">
        <f t="shared" si="129"/>
        <v/>
      </c>
      <c r="O2734" s="33">
        <f t="shared" si="127"/>
        <v>0</v>
      </c>
    </row>
    <row r="2735" spans="1:15" x14ac:dyDescent="0.25">
      <c r="A2735" s="64" t="s">
        <v>184</v>
      </c>
      <c r="B2735" s="82" t="str">
        <f>IF(Eleventh!B238="", "",Eleventh!B238)</f>
        <v/>
      </c>
      <c r="C2735" s="1" t="str">
        <f>IF(Eleventh!C238="", "",Eleventh!C238)</f>
        <v/>
      </c>
      <c r="D2735" s="1" t="str">
        <f>IF(Eleventh!D238="", "",Eleventh!D238)</f>
        <v/>
      </c>
      <c r="E2735" s="1" t="str">
        <f>IF(Eleventh!E238="", "",Eleventh!E238)</f>
        <v/>
      </c>
      <c r="F2735" s="1" t="str">
        <f>IF(Eleventh!F238="", "",Eleventh!F238)</f>
        <v/>
      </c>
      <c r="G2735" s="1" t="str">
        <f>IF(Eleventh!G238="", "",Eleventh!G238)</f>
        <v/>
      </c>
      <c r="H2735" s="1" t="str">
        <f>IF(Eleventh!H238="", "",Eleventh!H238)</f>
        <v/>
      </c>
      <c r="I2735" s="1" t="str">
        <f>IF(Eleventh!I238="", "",Eleventh!I238)</f>
        <v/>
      </c>
      <c r="J2735" s="1" t="str">
        <f>IF(Eleventh!J238="", "",Eleventh!J238)</f>
        <v/>
      </c>
      <c r="K2735" s="83" t="str">
        <f>IF(Eleventh!K238="", "",Eleventh!K238)</f>
        <v/>
      </c>
      <c r="M2735" s="67" t="str">
        <f t="shared" si="128"/>
        <v/>
      </c>
      <c r="N2735" s="76" t="str">
        <f t="shared" si="129"/>
        <v/>
      </c>
      <c r="O2735" s="33">
        <f t="shared" si="127"/>
        <v>0</v>
      </c>
    </row>
    <row r="2736" spans="1:15" x14ac:dyDescent="0.25">
      <c r="A2736" s="64" t="s">
        <v>184</v>
      </c>
      <c r="B2736" s="82" t="str">
        <f>IF(Eleventh!B239="", "",Eleventh!B239)</f>
        <v/>
      </c>
      <c r="C2736" s="1" t="str">
        <f>IF(Eleventh!C239="", "",Eleventh!C239)</f>
        <v/>
      </c>
      <c r="D2736" s="1" t="str">
        <f>IF(Eleventh!D239="", "",Eleventh!D239)</f>
        <v/>
      </c>
      <c r="E2736" s="1" t="str">
        <f>IF(Eleventh!E239="", "",Eleventh!E239)</f>
        <v/>
      </c>
      <c r="F2736" s="1" t="str">
        <f>IF(Eleventh!F239="", "",Eleventh!F239)</f>
        <v/>
      </c>
      <c r="G2736" s="1" t="str">
        <f>IF(Eleventh!G239="", "",Eleventh!G239)</f>
        <v/>
      </c>
      <c r="H2736" s="1" t="str">
        <f>IF(Eleventh!H239="", "",Eleventh!H239)</f>
        <v/>
      </c>
      <c r="I2736" s="1" t="str">
        <f>IF(Eleventh!I239="", "",Eleventh!I239)</f>
        <v/>
      </c>
      <c r="J2736" s="1" t="str">
        <f>IF(Eleventh!J239="", "",Eleventh!J239)</f>
        <v/>
      </c>
      <c r="K2736" s="83" t="str">
        <f>IF(Eleventh!K239="", "",Eleventh!K239)</f>
        <v/>
      </c>
      <c r="M2736" s="67" t="str">
        <f t="shared" si="128"/>
        <v/>
      </c>
      <c r="N2736" s="76" t="str">
        <f t="shared" si="129"/>
        <v/>
      </c>
      <c r="O2736" s="33">
        <f t="shared" si="127"/>
        <v>0</v>
      </c>
    </row>
    <row r="2737" spans="1:15" x14ac:dyDescent="0.25">
      <c r="A2737" s="64" t="s">
        <v>184</v>
      </c>
      <c r="B2737" s="82" t="str">
        <f>IF(Eleventh!B240="", "",Eleventh!B240)</f>
        <v/>
      </c>
      <c r="C2737" s="1" t="str">
        <f>IF(Eleventh!C240="", "",Eleventh!C240)</f>
        <v/>
      </c>
      <c r="D2737" s="1" t="str">
        <f>IF(Eleventh!D240="", "",Eleventh!D240)</f>
        <v/>
      </c>
      <c r="E2737" s="1" t="str">
        <f>IF(Eleventh!E240="", "",Eleventh!E240)</f>
        <v/>
      </c>
      <c r="F2737" s="1" t="str">
        <f>IF(Eleventh!F240="", "",Eleventh!F240)</f>
        <v/>
      </c>
      <c r="G2737" s="1" t="str">
        <f>IF(Eleventh!G240="", "",Eleventh!G240)</f>
        <v/>
      </c>
      <c r="H2737" s="1" t="str">
        <f>IF(Eleventh!H240="", "",Eleventh!H240)</f>
        <v/>
      </c>
      <c r="I2737" s="1" t="str">
        <f>IF(Eleventh!I240="", "",Eleventh!I240)</f>
        <v/>
      </c>
      <c r="J2737" s="1" t="str">
        <f>IF(Eleventh!J240="", "",Eleventh!J240)</f>
        <v/>
      </c>
      <c r="K2737" s="83" t="str">
        <f>IF(Eleventh!K240="", "",Eleventh!K240)</f>
        <v/>
      </c>
      <c r="M2737" s="67" t="str">
        <f t="shared" si="128"/>
        <v/>
      </c>
      <c r="N2737" s="76" t="str">
        <f t="shared" si="129"/>
        <v/>
      </c>
      <c r="O2737" s="33">
        <f t="shared" si="127"/>
        <v>0</v>
      </c>
    </row>
    <row r="2738" spans="1:15" x14ac:dyDescent="0.25">
      <c r="A2738" s="64" t="s">
        <v>184</v>
      </c>
      <c r="B2738" s="82" t="str">
        <f>IF(Eleventh!B241="", "",Eleventh!B241)</f>
        <v/>
      </c>
      <c r="C2738" s="1" t="str">
        <f>IF(Eleventh!C241="", "",Eleventh!C241)</f>
        <v/>
      </c>
      <c r="D2738" s="1" t="str">
        <f>IF(Eleventh!D241="", "",Eleventh!D241)</f>
        <v/>
      </c>
      <c r="E2738" s="1" t="str">
        <f>IF(Eleventh!E241="", "",Eleventh!E241)</f>
        <v/>
      </c>
      <c r="F2738" s="1" t="str">
        <f>IF(Eleventh!F241="", "",Eleventh!F241)</f>
        <v/>
      </c>
      <c r="G2738" s="1" t="str">
        <f>IF(Eleventh!G241="", "",Eleventh!G241)</f>
        <v/>
      </c>
      <c r="H2738" s="1" t="str">
        <f>IF(Eleventh!H241="", "",Eleventh!H241)</f>
        <v/>
      </c>
      <c r="I2738" s="1" t="str">
        <f>IF(Eleventh!I241="", "",Eleventh!I241)</f>
        <v/>
      </c>
      <c r="J2738" s="1" t="str">
        <f>IF(Eleventh!J241="", "",Eleventh!J241)</f>
        <v/>
      </c>
      <c r="K2738" s="83" t="str">
        <f>IF(Eleventh!K241="", "",Eleventh!K241)</f>
        <v/>
      </c>
      <c r="M2738" s="67" t="str">
        <f t="shared" si="128"/>
        <v/>
      </c>
      <c r="N2738" s="76" t="str">
        <f t="shared" si="129"/>
        <v/>
      </c>
      <c r="O2738" s="33">
        <f t="shared" si="127"/>
        <v>0</v>
      </c>
    </row>
    <row r="2739" spans="1:15" x14ac:dyDescent="0.25">
      <c r="A2739" s="64" t="s">
        <v>184</v>
      </c>
      <c r="B2739" s="82" t="str">
        <f>IF(Eleventh!B242="", "",Eleventh!B242)</f>
        <v/>
      </c>
      <c r="C2739" s="1" t="str">
        <f>IF(Eleventh!C242="", "",Eleventh!C242)</f>
        <v/>
      </c>
      <c r="D2739" s="1" t="str">
        <f>IF(Eleventh!D242="", "",Eleventh!D242)</f>
        <v/>
      </c>
      <c r="E2739" s="1" t="str">
        <f>IF(Eleventh!E242="", "",Eleventh!E242)</f>
        <v/>
      </c>
      <c r="F2739" s="1" t="str">
        <f>IF(Eleventh!F242="", "",Eleventh!F242)</f>
        <v/>
      </c>
      <c r="G2739" s="1" t="str">
        <f>IF(Eleventh!G242="", "",Eleventh!G242)</f>
        <v/>
      </c>
      <c r="H2739" s="1" t="str">
        <f>IF(Eleventh!H242="", "",Eleventh!H242)</f>
        <v/>
      </c>
      <c r="I2739" s="1" t="str">
        <f>IF(Eleventh!I242="", "",Eleventh!I242)</f>
        <v/>
      </c>
      <c r="J2739" s="1" t="str">
        <f>IF(Eleventh!J242="", "",Eleventh!J242)</f>
        <v/>
      </c>
      <c r="K2739" s="83" t="str">
        <f>IF(Eleventh!K242="", "",Eleventh!K242)</f>
        <v/>
      </c>
      <c r="M2739" s="67" t="str">
        <f t="shared" si="128"/>
        <v/>
      </c>
      <c r="N2739" s="76" t="str">
        <f t="shared" si="129"/>
        <v/>
      </c>
      <c r="O2739" s="33">
        <f t="shared" si="127"/>
        <v>0</v>
      </c>
    </row>
    <row r="2740" spans="1:15" x14ac:dyDescent="0.25">
      <c r="A2740" s="64" t="s">
        <v>184</v>
      </c>
      <c r="B2740" s="82" t="str">
        <f>IF(Eleventh!B243="", "",Eleventh!B243)</f>
        <v/>
      </c>
      <c r="C2740" s="1" t="str">
        <f>IF(Eleventh!C243="", "",Eleventh!C243)</f>
        <v/>
      </c>
      <c r="D2740" s="1" t="str">
        <f>IF(Eleventh!D243="", "",Eleventh!D243)</f>
        <v/>
      </c>
      <c r="E2740" s="1" t="str">
        <f>IF(Eleventh!E243="", "",Eleventh!E243)</f>
        <v/>
      </c>
      <c r="F2740" s="1" t="str">
        <f>IF(Eleventh!F243="", "",Eleventh!F243)</f>
        <v/>
      </c>
      <c r="G2740" s="1" t="str">
        <f>IF(Eleventh!G243="", "",Eleventh!G243)</f>
        <v/>
      </c>
      <c r="H2740" s="1" t="str">
        <f>IF(Eleventh!H243="", "",Eleventh!H243)</f>
        <v/>
      </c>
      <c r="I2740" s="1" t="str">
        <f>IF(Eleventh!I243="", "",Eleventh!I243)</f>
        <v/>
      </c>
      <c r="J2740" s="1" t="str">
        <f>IF(Eleventh!J243="", "",Eleventh!J243)</f>
        <v/>
      </c>
      <c r="K2740" s="83" t="str">
        <f>IF(Eleventh!K243="", "",Eleventh!K243)</f>
        <v/>
      </c>
      <c r="M2740" s="67" t="str">
        <f t="shared" si="128"/>
        <v/>
      </c>
      <c r="N2740" s="76" t="str">
        <f t="shared" si="129"/>
        <v/>
      </c>
      <c r="O2740" s="33">
        <f t="shared" si="127"/>
        <v>0</v>
      </c>
    </row>
    <row r="2741" spans="1:15" x14ac:dyDescent="0.25">
      <c r="A2741" s="64" t="s">
        <v>184</v>
      </c>
      <c r="B2741" s="82" t="str">
        <f>IF(Eleventh!B244="", "",Eleventh!B244)</f>
        <v/>
      </c>
      <c r="C2741" s="1" t="str">
        <f>IF(Eleventh!C244="", "",Eleventh!C244)</f>
        <v/>
      </c>
      <c r="D2741" s="1" t="str">
        <f>IF(Eleventh!D244="", "",Eleventh!D244)</f>
        <v/>
      </c>
      <c r="E2741" s="1" t="str">
        <f>IF(Eleventh!E244="", "",Eleventh!E244)</f>
        <v/>
      </c>
      <c r="F2741" s="1" t="str">
        <f>IF(Eleventh!F244="", "",Eleventh!F244)</f>
        <v/>
      </c>
      <c r="G2741" s="1" t="str">
        <f>IF(Eleventh!G244="", "",Eleventh!G244)</f>
        <v/>
      </c>
      <c r="H2741" s="1" t="str">
        <f>IF(Eleventh!H244="", "",Eleventh!H244)</f>
        <v/>
      </c>
      <c r="I2741" s="1" t="str">
        <f>IF(Eleventh!I244="", "",Eleventh!I244)</f>
        <v/>
      </c>
      <c r="J2741" s="1" t="str">
        <f>IF(Eleventh!J244="", "",Eleventh!J244)</f>
        <v/>
      </c>
      <c r="K2741" s="83" t="str">
        <f>IF(Eleventh!K244="", "",Eleventh!K244)</f>
        <v/>
      </c>
      <c r="M2741" s="67" t="str">
        <f t="shared" si="128"/>
        <v/>
      </c>
      <c r="N2741" s="76" t="str">
        <f t="shared" si="129"/>
        <v/>
      </c>
      <c r="O2741" s="33">
        <f t="shared" si="127"/>
        <v>0</v>
      </c>
    </row>
    <row r="2742" spans="1:15" x14ac:dyDescent="0.25">
      <c r="A2742" s="64" t="s">
        <v>184</v>
      </c>
      <c r="B2742" s="82" t="str">
        <f>IF(Eleventh!B245="", "",Eleventh!B245)</f>
        <v/>
      </c>
      <c r="C2742" s="1" t="str">
        <f>IF(Eleventh!C245="", "",Eleventh!C245)</f>
        <v/>
      </c>
      <c r="D2742" s="1" t="str">
        <f>IF(Eleventh!D245="", "",Eleventh!D245)</f>
        <v/>
      </c>
      <c r="E2742" s="1" t="str">
        <f>IF(Eleventh!E245="", "",Eleventh!E245)</f>
        <v/>
      </c>
      <c r="F2742" s="1" t="str">
        <f>IF(Eleventh!F245="", "",Eleventh!F245)</f>
        <v/>
      </c>
      <c r="G2742" s="1" t="str">
        <f>IF(Eleventh!G245="", "",Eleventh!G245)</f>
        <v/>
      </c>
      <c r="H2742" s="1" t="str">
        <f>IF(Eleventh!H245="", "",Eleventh!H245)</f>
        <v/>
      </c>
      <c r="I2742" s="1" t="str">
        <f>IF(Eleventh!I245="", "",Eleventh!I245)</f>
        <v/>
      </c>
      <c r="J2742" s="1" t="str">
        <f>IF(Eleventh!J245="", "",Eleventh!J245)</f>
        <v/>
      </c>
      <c r="K2742" s="83" t="str">
        <f>IF(Eleventh!K245="", "",Eleventh!K245)</f>
        <v/>
      </c>
      <c r="M2742" s="67" t="str">
        <f t="shared" si="128"/>
        <v/>
      </c>
      <c r="N2742" s="76" t="str">
        <f t="shared" si="129"/>
        <v/>
      </c>
      <c r="O2742" s="33">
        <f t="shared" si="127"/>
        <v>0</v>
      </c>
    </row>
    <row r="2743" spans="1:15" x14ac:dyDescent="0.25">
      <c r="A2743" s="64" t="s">
        <v>184</v>
      </c>
      <c r="B2743" s="82" t="str">
        <f>IF(Eleventh!B246="", "",Eleventh!B246)</f>
        <v/>
      </c>
      <c r="C2743" s="1" t="str">
        <f>IF(Eleventh!C246="", "",Eleventh!C246)</f>
        <v/>
      </c>
      <c r="D2743" s="1" t="str">
        <f>IF(Eleventh!D246="", "",Eleventh!D246)</f>
        <v/>
      </c>
      <c r="E2743" s="1" t="str">
        <f>IF(Eleventh!E246="", "",Eleventh!E246)</f>
        <v/>
      </c>
      <c r="F2743" s="1" t="str">
        <f>IF(Eleventh!F246="", "",Eleventh!F246)</f>
        <v/>
      </c>
      <c r="G2743" s="1" t="str">
        <f>IF(Eleventh!G246="", "",Eleventh!G246)</f>
        <v/>
      </c>
      <c r="H2743" s="1" t="str">
        <f>IF(Eleventh!H246="", "",Eleventh!H246)</f>
        <v/>
      </c>
      <c r="I2743" s="1" t="str">
        <f>IF(Eleventh!I246="", "",Eleventh!I246)</f>
        <v/>
      </c>
      <c r="J2743" s="1" t="str">
        <f>IF(Eleventh!J246="", "",Eleventh!J246)</f>
        <v/>
      </c>
      <c r="K2743" s="83" t="str">
        <f>IF(Eleventh!K246="", "",Eleventh!K246)</f>
        <v/>
      </c>
      <c r="M2743" s="67" t="str">
        <f t="shared" si="128"/>
        <v/>
      </c>
      <c r="N2743" s="76" t="str">
        <f t="shared" si="129"/>
        <v/>
      </c>
      <c r="O2743" s="33">
        <f t="shared" si="127"/>
        <v>0</v>
      </c>
    </row>
    <row r="2744" spans="1:15" x14ac:dyDescent="0.25">
      <c r="A2744" s="64" t="s">
        <v>184</v>
      </c>
      <c r="B2744" s="82" t="str">
        <f>IF(Eleventh!B247="", "",Eleventh!B247)</f>
        <v/>
      </c>
      <c r="C2744" s="1" t="str">
        <f>IF(Eleventh!C247="", "",Eleventh!C247)</f>
        <v/>
      </c>
      <c r="D2744" s="1" t="str">
        <f>IF(Eleventh!D247="", "",Eleventh!D247)</f>
        <v/>
      </c>
      <c r="E2744" s="1" t="str">
        <f>IF(Eleventh!E247="", "",Eleventh!E247)</f>
        <v/>
      </c>
      <c r="F2744" s="1" t="str">
        <f>IF(Eleventh!F247="", "",Eleventh!F247)</f>
        <v/>
      </c>
      <c r="G2744" s="1" t="str">
        <f>IF(Eleventh!G247="", "",Eleventh!G247)</f>
        <v/>
      </c>
      <c r="H2744" s="1" t="str">
        <f>IF(Eleventh!H247="", "",Eleventh!H247)</f>
        <v/>
      </c>
      <c r="I2744" s="1" t="str">
        <f>IF(Eleventh!I247="", "",Eleventh!I247)</f>
        <v/>
      </c>
      <c r="J2744" s="1" t="str">
        <f>IF(Eleventh!J247="", "",Eleventh!J247)</f>
        <v/>
      </c>
      <c r="K2744" s="83" t="str">
        <f>IF(Eleventh!K247="", "",Eleventh!K247)</f>
        <v/>
      </c>
      <c r="M2744" s="67" t="str">
        <f t="shared" si="128"/>
        <v/>
      </c>
      <c r="N2744" s="76" t="str">
        <f t="shared" si="129"/>
        <v/>
      </c>
      <c r="O2744" s="33">
        <f t="shared" si="127"/>
        <v>0</v>
      </c>
    </row>
    <row r="2745" spans="1:15" x14ac:dyDescent="0.25">
      <c r="A2745" s="64" t="s">
        <v>184</v>
      </c>
      <c r="B2745" s="82" t="str">
        <f>IF(Eleventh!B248="", "",Eleventh!B248)</f>
        <v/>
      </c>
      <c r="C2745" s="1" t="str">
        <f>IF(Eleventh!C248="", "",Eleventh!C248)</f>
        <v/>
      </c>
      <c r="D2745" s="1" t="str">
        <f>IF(Eleventh!D248="", "",Eleventh!D248)</f>
        <v/>
      </c>
      <c r="E2745" s="1" t="str">
        <f>IF(Eleventh!E248="", "",Eleventh!E248)</f>
        <v/>
      </c>
      <c r="F2745" s="1" t="str">
        <f>IF(Eleventh!F248="", "",Eleventh!F248)</f>
        <v/>
      </c>
      <c r="G2745" s="1" t="str">
        <f>IF(Eleventh!G248="", "",Eleventh!G248)</f>
        <v/>
      </c>
      <c r="H2745" s="1" t="str">
        <f>IF(Eleventh!H248="", "",Eleventh!H248)</f>
        <v/>
      </c>
      <c r="I2745" s="1" t="str">
        <f>IF(Eleventh!I248="", "",Eleventh!I248)</f>
        <v/>
      </c>
      <c r="J2745" s="1" t="str">
        <f>IF(Eleventh!J248="", "",Eleventh!J248)</f>
        <v/>
      </c>
      <c r="K2745" s="83" t="str">
        <f>IF(Eleventh!K248="", "",Eleventh!K248)</f>
        <v/>
      </c>
      <c r="M2745" s="67" t="str">
        <f t="shared" si="128"/>
        <v/>
      </c>
      <c r="N2745" s="76" t="str">
        <f t="shared" si="129"/>
        <v/>
      </c>
      <c r="O2745" s="33">
        <f t="shared" si="127"/>
        <v>0</v>
      </c>
    </row>
    <row r="2746" spans="1:15" x14ac:dyDescent="0.25">
      <c r="A2746" s="64" t="s">
        <v>184</v>
      </c>
      <c r="B2746" s="82" t="str">
        <f>IF(Eleventh!B249="", "",Eleventh!B249)</f>
        <v/>
      </c>
      <c r="C2746" s="1" t="str">
        <f>IF(Eleventh!C249="", "",Eleventh!C249)</f>
        <v/>
      </c>
      <c r="D2746" s="1" t="str">
        <f>IF(Eleventh!D249="", "",Eleventh!D249)</f>
        <v/>
      </c>
      <c r="E2746" s="1" t="str">
        <f>IF(Eleventh!E249="", "",Eleventh!E249)</f>
        <v/>
      </c>
      <c r="F2746" s="1" t="str">
        <f>IF(Eleventh!F249="", "",Eleventh!F249)</f>
        <v/>
      </c>
      <c r="G2746" s="1" t="str">
        <f>IF(Eleventh!G249="", "",Eleventh!G249)</f>
        <v/>
      </c>
      <c r="H2746" s="1" t="str">
        <f>IF(Eleventh!H249="", "",Eleventh!H249)</f>
        <v/>
      </c>
      <c r="I2746" s="1" t="str">
        <f>IF(Eleventh!I249="", "",Eleventh!I249)</f>
        <v/>
      </c>
      <c r="J2746" s="1" t="str">
        <f>IF(Eleventh!J249="", "",Eleventh!J249)</f>
        <v/>
      </c>
      <c r="K2746" s="83" t="str">
        <f>IF(Eleventh!K249="", "",Eleventh!K249)</f>
        <v/>
      </c>
      <c r="M2746" s="67" t="str">
        <f t="shared" si="128"/>
        <v/>
      </c>
      <c r="N2746" s="76" t="str">
        <f t="shared" si="129"/>
        <v/>
      </c>
      <c r="O2746" s="33">
        <f t="shared" si="127"/>
        <v>0</v>
      </c>
    </row>
    <row r="2747" spans="1:15" x14ac:dyDescent="0.25">
      <c r="A2747" s="64" t="s">
        <v>184</v>
      </c>
      <c r="B2747" s="82" t="str">
        <f>IF(Eleventh!B250="", "",Eleventh!B250)</f>
        <v/>
      </c>
      <c r="C2747" s="1" t="str">
        <f>IF(Eleventh!C250="", "",Eleventh!C250)</f>
        <v/>
      </c>
      <c r="D2747" s="1" t="str">
        <f>IF(Eleventh!D250="", "",Eleventh!D250)</f>
        <v/>
      </c>
      <c r="E2747" s="1" t="str">
        <f>IF(Eleventh!E250="", "",Eleventh!E250)</f>
        <v/>
      </c>
      <c r="F2747" s="1" t="str">
        <f>IF(Eleventh!F250="", "",Eleventh!F250)</f>
        <v/>
      </c>
      <c r="G2747" s="1" t="str">
        <f>IF(Eleventh!G250="", "",Eleventh!G250)</f>
        <v/>
      </c>
      <c r="H2747" s="1" t="str">
        <f>IF(Eleventh!H250="", "",Eleventh!H250)</f>
        <v/>
      </c>
      <c r="I2747" s="1" t="str">
        <f>IF(Eleventh!I250="", "",Eleventh!I250)</f>
        <v/>
      </c>
      <c r="J2747" s="1" t="str">
        <f>IF(Eleventh!J250="", "",Eleventh!J250)</f>
        <v/>
      </c>
      <c r="K2747" s="83" t="str">
        <f>IF(Eleventh!K250="", "",Eleventh!K250)</f>
        <v/>
      </c>
      <c r="M2747" s="67" t="str">
        <f t="shared" si="128"/>
        <v/>
      </c>
      <c r="N2747" s="76" t="str">
        <f t="shared" si="129"/>
        <v/>
      </c>
      <c r="O2747" s="33">
        <f t="shared" si="127"/>
        <v>0</v>
      </c>
    </row>
    <row r="2748" spans="1:15" x14ac:dyDescent="0.25">
      <c r="A2748" s="64" t="s">
        <v>184</v>
      </c>
      <c r="B2748" s="82" t="str">
        <f>IF(Eleventh!B251="", "",Eleventh!B251)</f>
        <v/>
      </c>
      <c r="C2748" s="1" t="str">
        <f>IF(Eleventh!C251="", "",Eleventh!C251)</f>
        <v/>
      </c>
      <c r="D2748" s="1" t="str">
        <f>IF(Eleventh!D251="", "",Eleventh!D251)</f>
        <v/>
      </c>
      <c r="E2748" s="1" t="str">
        <f>IF(Eleventh!E251="", "",Eleventh!E251)</f>
        <v/>
      </c>
      <c r="F2748" s="1" t="str">
        <f>IF(Eleventh!F251="", "",Eleventh!F251)</f>
        <v/>
      </c>
      <c r="G2748" s="1" t="str">
        <f>IF(Eleventh!G251="", "",Eleventh!G251)</f>
        <v/>
      </c>
      <c r="H2748" s="1" t="str">
        <f>IF(Eleventh!H251="", "",Eleventh!H251)</f>
        <v/>
      </c>
      <c r="I2748" s="1" t="str">
        <f>IF(Eleventh!I251="", "",Eleventh!I251)</f>
        <v/>
      </c>
      <c r="J2748" s="1" t="str">
        <f>IF(Eleventh!J251="", "",Eleventh!J251)</f>
        <v/>
      </c>
      <c r="K2748" s="83" t="str">
        <f>IF(Eleventh!K251="", "",Eleventh!K251)</f>
        <v/>
      </c>
      <c r="M2748" s="67" t="str">
        <f t="shared" si="128"/>
        <v/>
      </c>
      <c r="N2748" s="76" t="str">
        <f t="shared" si="129"/>
        <v/>
      </c>
      <c r="O2748" s="33">
        <f t="shared" si="127"/>
        <v>0</v>
      </c>
    </row>
    <row r="2749" spans="1:15" x14ac:dyDescent="0.25">
      <c r="A2749" s="64" t="s">
        <v>184</v>
      </c>
      <c r="B2749" s="82" t="str">
        <f>IF(Eleventh!B252="", "",Eleventh!B252)</f>
        <v/>
      </c>
      <c r="C2749" s="1" t="str">
        <f>IF(Eleventh!C252="", "",Eleventh!C252)</f>
        <v/>
      </c>
      <c r="D2749" s="1" t="str">
        <f>IF(Eleventh!D252="", "",Eleventh!D252)</f>
        <v/>
      </c>
      <c r="E2749" s="1" t="str">
        <f>IF(Eleventh!E252="", "",Eleventh!E252)</f>
        <v/>
      </c>
      <c r="F2749" s="1" t="str">
        <f>IF(Eleventh!F252="", "",Eleventh!F252)</f>
        <v/>
      </c>
      <c r="G2749" s="1" t="str">
        <f>IF(Eleventh!G252="", "",Eleventh!G252)</f>
        <v/>
      </c>
      <c r="H2749" s="1" t="str">
        <f>IF(Eleventh!H252="", "",Eleventh!H252)</f>
        <v/>
      </c>
      <c r="I2749" s="1" t="str">
        <f>IF(Eleventh!I252="", "",Eleventh!I252)</f>
        <v/>
      </c>
      <c r="J2749" s="1" t="str">
        <f>IF(Eleventh!J252="", "",Eleventh!J252)</f>
        <v/>
      </c>
      <c r="K2749" s="83" t="str">
        <f>IF(Eleventh!K252="", "",Eleventh!K252)</f>
        <v/>
      </c>
      <c r="M2749" s="67" t="str">
        <f t="shared" si="128"/>
        <v/>
      </c>
      <c r="N2749" s="76" t="str">
        <f t="shared" si="129"/>
        <v/>
      </c>
      <c r="O2749" s="33">
        <f t="shared" si="127"/>
        <v>0</v>
      </c>
    </row>
    <row r="2750" spans="1:15" x14ac:dyDescent="0.25">
      <c r="A2750" s="64" t="s">
        <v>184</v>
      </c>
      <c r="B2750" s="82" t="str">
        <f>IF(Eleventh!B253="", "",Eleventh!B253)</f>
        <v/>
      </c>
      <c r="C2750" s="1" t="str">
        <f>IF(Eleventh!C253="", "",Eleventh!C253)</f>
        <v/>
      </c>
      <c r="D2750" s="1" t="str">
        <f>IF(Eleventh!D253="", "",Eleventh!D253)</f>
        <v/>
      </c>
      <c r="E2750" s="1" t="str">
        <f>IF(Eleventh!E253="", "",Eleventh!E253)</f>
        <v/>
      </c>
      <c r="F2750" s="1" t="str">
        <f>IF(Eleventh!F253="", "",Eleventh!F253)</f>
        <v/>
      </c>
      <c r="G2750" s="1" t="str">
        <f>IF(Eleventh!G253="", "",Eleventh!G253)</f>
        <v/>
      </c>
      <c r="H2750" s="1" t="str">
        <f>IF(Eleventh!H253="", "",Eleventh!H253)</f>
        <v/>
      </c>
      <c r="I2750" s="1" t="str">
        <f>IF(Eleventh!I253="", "",Eleventh!I253)</f>
        <v/>
      </c>
      <c r="J2750" s="1" t="str">
        <f>IF(Eleventh!J253="", "",Eleventh!J253)</f>
        <v/>
      </c>
      <c r="K2750" s="83" t="str">
        <f>IF(Eleventh!K253="", "",Eleventh!K253)</f>
        <v/>
      </c>
      <c r="M2750" s="67" t="str">
        <f t="shared" si="128"/>
        <v/>
      </c>
      <c r="N2750" s="76" t="str">
        <f t="shared" si="129"/>
        <v/>
      </c>
      <c r="O2750" s="33">
        <f t="shared" si="127"/>
        <v>0</v>
      </c>
    </row>
    <row r="2751" spans="1:15" ht="15.75" thickBot="1" x14ac:dyDescent="0.3">
      <c r="A2751" s="68" t="s">
        <v>184</v>
      </c>
      <c r="B2751" s="84" t="str">
        <f>IF(Eleventh!B254="", "",Eleventh!B254)</f>
        <v/>
      </c>
      <c r="C2751" s="69" t="str">
        <f>IF(Eleventh!C254="", "",Eleventh!C254)</f>
        <v/>
      </c>
      <c r="D2751" s="69" t="str">
        <f>IF(Eleventh!D254="", "",Eleventh!D254)</f>
        <v/>
      </c>
      <c r="E2751" s="69" t="str">
        <f>IF(Eleventh!E254="", "",Eleventh!E254)</f>
        <v/>
      </c>
      <c r="F2751" s="69" t="str">
        <f>IF(Eleventh!F254="", "",Eleventh!F254)</f>
        <v/>
      </c>
      <c r="G2751" s="69" t="str">
        <f>IF(Eleventh!G254="", "",Eleventh!G254)</f>
        <v/>
      </c>
      <c r="H2751" s="69" t="str">
        <f>IF(Eleventh!H254="", "",Eleventh!H254)</f>
        <v/>
      </c>
      <c r="I2751" s="69" t="str">
        <f>IF(Eleventh!I254="", "",Eleventh!I254)</f>
        <v/>
      </c>
      <c r="J2751" s="69" t="str">
        <f>IF(Eleventh!J254="", "",Eleventh!J254)</f>
        <v/>
      </c>
      <c r="K2751" s="85" t="str">
        <f>IF(Eleventh!K254="", "",Eleventh!K254)</f>
        <v/>
      </c>
      <c r="L2751" s="91"/>
      <c r="M2751" s="71" t="str">
        <f t="shared" si="128"/>
        <v/>
      </c>
      <c r="N2751" s="77" t="str">
        <f t="shared" si="129"/>
        <v/>
      </c>
      <c r="O2751" s="33">
        <f t="shared" si="127"/>
        <v>0</v>
      </c>
    </row>
    <row r="2752" spans="1:15" x14ac:dyDescent="0.25">
      <c r="A2752" s="93" t="s">
        <v>207</v>
      </c>
      <c r="B2752" s="79" t="str">
        <f>IF(Twelfth!B5="", "",Twelfth!B5)</f>
        <v>CSS</v>
      </c>
      <c r="C2752" s="66" t="str">
        <f>IF(Twelfth!C5="", "",Twelfth!C5)</f>
        <v>PwC</v>
      </c>
      <c r="D2752" s="66" t="str">
        <f>IF(Twelfth!D5="", "",Twelfth!D5)</f>
        <v>Returning</v>
      </c>
      <c r="E2752" s="66" t="str">
        <f>IF(Twelfth!E5="", "",Twelfth!E5)</f>
        <v>Female</v>
      </c>
      <c r="F2752" s="66" t="str">
        <f>IF(Twelfth!F5="", "",Twelfth!F5)</f>
        <v>Brain/CNS</v>
      </c>
      <c r="G2752" s="66" t="str">
        <f>IF(Twelfth!G5="", "",Twelfth!G5)</f>
        <v>Non-Curative Intent</v>
      </c>
      <c r="H2752" s="66" t="str">
        <f>IF(Twelfth!H5="", "",Twelfth!H5)</f>
        <v>Booked</v>
      </c>
      <c r="I2752" s="66" t="str">
        <f>IF(Twelfth!I5="", "",Twelfth!I5)</f>
        <v>Psych Support - Individual</v>
      </c>
      <c r="J2752" s="66" t="str">
        <f>IF(Twelfth!J5="", "",Twelfth!J5)</f>
        <v/>
      </c>
      <c r="K2752" s="86" t="str">
        <f>IF(Twelfth!K5="", "",Twelfth!K5)</f>
        <v/>
      </c>
      <c r="M2752" s="67">
        <f t="shared" si="128"/>
        <v>7</v>
      </c>
      <c r="N2752" s="76" t="str">
        <f t="shared" si="129"/>
        <v/>
      </c>
      <c r="O2752" s="33">
        <f t="shared" si="127"/>
        <v>7</v>
      </c>
    </row>
    <row r="2753" spans="1:15" x14ac:dyDescent="0.25">
      <c r="A2753" s="93" t="s">
        <v>207</v>
      </c>
      <c r="B2753" s="79" t="str">
        <f>IF(Twelfth!B6="", "",Twelfth!B6)</f>
        <v>CSS</v>
      </c>
      <c r="C2753" s="66" t="str">
        <f>IF(Twelfth!C6="", "",Twelfth!C6)</f>
        <v>Carer</v>
      </c>
      <c r="D2753" s="66" t="str">
        <f>IF(Twelfth!D6="", "",Twelfth!D6)</f>
        <v>Returning</v>
      </c>
      <c r="E2753" s="66" t="str">
        <f>IF(Twelfth!E6="", "",Twelfth!E6)</f>
        <v>Female</v>
      </c>
      <c r="F2753" s="66" t="str">
        <f>IF(Twelfth!F6="", "",Twelfth!F6)</f>
        <v>Lung</v>
      </c>
      <c r="G2753" s="66" t="str">
        <f>IF(Twelfth!G6="", "",Twelfth!G6)</f>
        <v>Bereaved</v>
      </c>
      <c r="H2753" s="66" t="str">
        <f>IF(Twelfth!H6="", "",Twelfth!H6)</f>
        <v>Booked</v>
      </c>
      <c r="I2753" s="66" t="str">
        <f>IF(Twelfth!I6="", "",Twelfth!I6)</f>
        <v>Psych Support - Couple</v>
      </c>
      <c r="J2753" s="66" t="str">
        <f>IF(Twelfth!J6="", "",Twelfth!J6)</f>
        <v>NG Lower GI</v>
      </c>
      <c r="K2753" s="86" t="str">
        <f>IF(Twelfth!K6="", "",Twelfth!K6)</f>
        <v/>
      </c>
      <c r="M2753" s="67" t="str">
        <f t="shared" si="128"/>
        <v/>
      </c>
      <c r="N2753" s="76">
        <f t="shared" si="129"/>
        <v>7</v>
      </c>
      <c r="O2753" s="33">
        <f t="shared" si="127"/>
        <v>7</v>
      </c>
    </row>
    <row r="2754" spans="1:15" x14ac:dyDescent="0.25">
      <c r="A2754" s="93" t="s">
        <v>207</v>
      </c>
      <c r="B2754" s="79" t="str">
        <f>IF(Twelfth!B7="", "",Twelfth!B7)</f>
        <v>CSS</v>
      </c>
      <c r="C2754" s="66" t="str">
        <f>IF(Twelfth!C7="", "",Twelfth!C7)</f>
        <v>Carer</v>
      </c>
      <c r="D2754" s="66" t="str">
        <f>IF(Twelfth!D7="", "",Twelfth!D7)</f>
        <v>New</v>
      </c>
      <c r="E2754" s="66" t="str">
        <f>IF(Twelfth!E7="", "",Twelfth!E7)</f>
        <v>Female</v>
      </c>
      <c r="F2754" s="66" t="str">
        <f>IF(Twelfth!F7="", "",Twelfth!F7)</f>
        <v>Lung</v>
      </c>
      <c r="G2754" s="66" t="str">
        <f>IF(Twelfth!G7="", "",Twelfth!G7)</f>
        <v>Bereaved</v>
      </c>
      <c r="H2754" s="66" t="str">
        <f>IF(Twelfth!H7="", "",Twelfth!H7)</f>
        <v>Booked</v>
      </c>
      <c r="I2754" s="66" t="str">
        <f>IF(Twelfth!I7="", "",Twelfth!I7)</f>
        <v>Psych Support - Couple</v>
      </c>
      <c r="J2754" s="66" t="str">
        <f>IF(Twelfth!J7="", "",Twelfth!J7)</f>
        <v/>
      </c>
      <c r="K2754" s="86" t="str">
        <f>IF(Twelfth!K7="", "",Twelfth!K7)</f>
        <v/>
      </c>
      <c r="M2754" s="67" t="str">
        <f t="shared" si="128"/>
        <v/>
      </c>
      <c r="N2754" s="76">
        <f t="shared" si="129"/>
        <v>7</v>
      </c>
      <c r="O2754" s="33">
        <f t="shared" ref="O2754:O2817" si="130">SUM(M2754:N2754)</f>
        <v>7</v>
      </c>
    </row>
    <row r="2755" spans="1:15" x14ac:dyDescent="0.25">
      <c r="A2755" s="93" t="s">
        <v>207</v>
      </c>
      <c r="B2755" s="79" t="str">
        <f>IF(Twelfth!B8="", "",Twelfth!B8)</f>
        <v>CSS</v>
      </c>
      <c r="C2755" s="66" t="str">
        <f>IF(Twelfth!C8="", "",Twelfth!C8)</f>
        <v>Professional</v>
      </c>
      <c r="D2755" s="66" t="str">
        <f>IF(Twelfth!D8="", "",Twelfth!D8)</f>
        <v/>
      </c>
      <c r="E2755" s="66" t="str">
        <f>IF(Twelfth!E8="", "",Twelfth!E8)</f>
        <v>Female</v>
      </c>
      <c r="F2755" s="66" t="str">
        <f>IF(Twelfth!F8="", "",Twelfth!F8)</f>
        <v/>
      </c>
      <c r="G2755" s="66" t="str">
        <f>IF(Twelfth!G8="", "",Twelfth!G8)</f>
        <v/>
      </c>
      <c r="H2755" s="66" t="str">
        <f>IF(Twelfth!H8="", "",Twelfth!H8)</f>
        <v/>
      </c>
      <c r="I2755" s="66" t="str">
        <f>IF(Twelfth!I8="", "",Twelfth!I8)</f>
        <v>Psych Support - Couple</v>
      </c>
      <c r="J2755" s="66" t="str">
        <f>IF(Twelfth!J8="", "",Twelfth!J8)</f>
        <v/>
      </c>
      <c r="K2755" s="86" t="str">
        <f>IF(Twelfth!K8="", "",Twelfth!K8)</f>
        <v/>
      </c>
      <c r="M2755" s="67" t="str">
        <f t="shared" ref="M2755:M2818" si="131">IF(C2755="PwC",(7-COUNTIF(B2755:H2755,"")),"")</f>
        <v/>
      </c>
      <c r="N2755" s="76" t="str">
        <f t="shared" ref="N2755:N2818" si="132">IF(C2755="Carer",(7-COUNTIF(B2755:H2755,"")),"")</f>
        <v/>
      </c>
      <c r="O2755" s="33">
        <f t="shared" si="130"/>
        <v>0</v>
      </c>
    </row>
    <row r="2756" spans="1:15" x14ac:dyDescent="0.25">
      <c r="A2756" s="93" t="s">
        <v>207</v>
      </c>
      <c r="B2756" s="79" t="str">
        <f>IF(Twelfth!B9="", "",Twelfth!B9)</f>
        <v>CSS</v>
      </c>
      <c r="C2756" s="66" t="str">
        <f>IF(Twelfth!C9="", "",Twelfth!C9)</f>
        <v>Professional</v>
      </c>
      <c r="D2756" s="66" t="str">
        <f>IF(Twelfth!D9="", "",Twelfth!D9)</f>
        <v/>
      </c>
      <c r="E2756" s="66" t="str">
        <f>IF(Twelfth!E9="", "",Twelfth!E9)</f>
        <v>Female</v>
      </c>
      <c r="F2756" s="66" t="str">
        <f>IF(Twelfth!F9="", "",Twelfth!F9)</f>
        <v/>
      </c>
      <c r="G2756" s="66" t="str">
        <f>IF(Twelfth!G9="", "",Twelfth!G9)</f>
        <v/>
      </c>
      <c r="H2756" s="66" t="str">
        <f>IF(Twelfth!H9="", "",Twelfth!H9)</f>
        <v/>
      </c>
      <c r="I2756" s="66" t="str">
        <f>IF(Twelfth!I9="", "",Twelfth!I9)</f>
        <v>Psych Support - Couple</v>
      </c>
      <c r="J2756" s="66" t="str">
        <f>IF(Twelfth!J9="", "",Twelfth!J9)</f>
        <v/>
      </c>
      <c r="K2756" s="86" t="str">
        <f>IF(Twelfth!K9="", "",Twelfth!K9)</f>
        <v/>
      </c>
      <c r="M2756" s="67" t="str">
        <f t="shared" si="131"/>
        <v/>
      </c>
      <c r="N2756" s="76" t="str">
        <f t="shared" si="132"/>
        <v/>
      </c>
      <c r="O2756" s="33">
        <f t="shared" si="130"/>
        <v>0</v>
      </c>
    </row>
    <row r="2757" spans="1:15" x14ac:dyDescent="0.25">
      <c r="A2757" s="93" t="s">
        <v>207</v>
      </c>
      <c r="B2757" s="79" t="str">
        <f>IF(Twelfth!B10="", "",Twelfth!B10)</f>
        <v>CSS</v>
      </c>
      <c r="C2757" s="66" t="str">
        <f>IF(Twelfth!C10="", "",Twelfth!C10)</f>
        <v>PwC</v>
      </c>
      <c r="D2757" s="66" t="str">
        <f>IF(Twelfth!D10="", "",Twelfth!D10)</f>
        <v>Returning</v>
      </c>
      <c r="E2757" s="66" t="str">
        <f>IF(Twelfth!E10="", "",Twelfth!E10)</f>
        <v>Male</v>
      </c>
      <c r="F2757" s="66" t="str">
        <f>IF(Twelfth!F10="", "",Twelfth!F10)</f>
        <v>Urolog</v>
      </c>
      <c r="G2757" s="66" t="str">
        <f>IF(Twelfth!G10="", "",Twelfth!G10)</f>
        <v>Curative Intent</v>
      </c>
      <c r="H2757" s="66" t="str">
        <f>IF(Twelfth!H10="", "",Twelfth!H10)</f>
        <v>Drop-In</v>
      </c>
      <c r="I2757" s="66" t="str">
        <f>IF(Twelfth!I10="", "",Twelfth!I10)</f>
        <v/>
      </c>
      <c r="J2757" s="66" t="str">
        <f>IF(Twelfth!J10="", "",Twelfth!J10)</f>
        <v/>
      </c>
      <c r="K2757" s="86" t="str">
        <f>IF(Twelfth!K10="", "",Twelfth!K10)</f>
        <v/>
      </c>
      <c r="M2757" s="67">
        <f t="shared" si="131"/>
        <v>7</v>
      </c>
      <c r="N2757" s="76" t="str">
        <f t="shared" si="132"/>
        <v/>
      </c>
      <c r="O2757" s="33">
        <f t="shared" si="130"/>
        <v>7</v>
      </c>
    </row>
    <row r="2758" spans="1:15" x14ac:dyDescent="0.25">
      <c r="A2758" s="93" t="s">
        <v>207</v>
      </c>
      <c r="B2758" s="79" t="str">
        <f>IF(Twelfth!B11="", "",Twelfth!B11)</f>
        <v>CSS</v>
      </c>
      <c r="C2758" s="66" t="str">
        <f>IF(Twelfth!C11="", "",Twelfth!C11)</f>
        <v>Carer</v>
      </c>
      <c r="D2758" s="66" t="str">
        <f>IF(Twelfth!D11="", "",Twelfth!D11)</f>
        <v>Returning</v>
      </c>
      <c r="E2758" s="66" t="str">
        <f>IF(Twelfth!E11="", "",Twelfth!E11)</f>
        <v>Male</v>
      </c>
      <c r="F2758" s="66" t="str">
        <f>IF(Twelfth!F11="", "",Twelfth!F11)</f>
        <v>Not Stated</v>
      </c>
      <c r="G2758" s="66" t="str">
        <f>IF(Twelfth!G11="", "",Twelfth!G11)</f>
        <v>Not Stated</v>
      </c>
      <c r="H2758" s="66" t="str">
        <f>IF(Twelfth!H11="", "",Twelfth!H11)</f>
        <v>Drop-In</v>
      </c>
      <c r="I2758" s="66" t="str">
        <f>IF(Twelfth!I11="", "",Twelfth!I11)</f>
        <v/>
      </c>
      <c r="J2758" s="66" t="str">
        <f>IF(Twelfth!J11="", "",Twelfth!J11)</f>
        <v/>
      </c>
      <c r="K2758" s="86" t="str">
        <f>IF(Twelfth!K11="", "",Twelfth!K11)</f>
        <v/>
      </c>
      <c r="M2758" s="67" t="str">
        <f t="shared" si="131"/>
        <v/>
      </c>
      <c r="N2758" s="76">
        <f t="shared" si="132"/>
        <v>7</v>
      </c>
      <c r="O2758" s="33">
        <f t="shared" si="130"/>
        <v>7</v>
      </c>
    </row>
    <row r="2759" spans="1:15" x14ac:dyDescent="0.25">
      <c r="A2759" s="93" t="s">
        <v>207</v>
      </c>
      <c r="B2759" s="79" t="str">
        <f>IF(Twelfth!B12="", "",Twelfth!B12)</f>
        <v>CSS</v>
      </c>
      <c r="C2759" s="66" t="str">
        <f>IF(Twelfth!C12="", "",Twelfth!C12)</f>
        <v>PwC</v>
      </c>
      <c r="D2759" s="66" t="str">
        <f>IF(Twelfth!D12="", "",Twelfth!D12)</f>
        <v>Returning</v>
      </c>
      <c r="E2759" s="66" t="str">
        <f>IF(Twelfth!E12="", "",Twelfth!E12)</f>
        <v>Female</v>
      </c>
      <c r="F2759" s="66" t="str">
        <f>IF(Twelfth!F12="", "",Twelfth!F12)</f>
        <v>Breast</v>
      </c>
      <c r="G2759" s="66" t="str">
        <f>IF(Twelfth!G12="", "",Twelfth!G12)</f>
        <v>Non-Curative Intent</v>
      </c>
      <c r="H2759" s="66" t="str">
        <f>IF(Twelfth!H12="", "",Twelfth!H12)</f>
        <v>Programme</v>
      </c>
      <c r="I2759" s="66" t="str">
        <f>IF(Twelfth!I12="", "",Twelfth!I12)</f>
        <v>Meditation</v>
      </c>
      <c r="J2759" s="66" t="str">
        <f>IF(Twelfth!J12="", "",Twelfth!J12)</f>
        <v/>
      </c>
      <c r="K2759" s="86" t="str">
        <f>IF(Twelfth!K12="", "",Twelfth!K12)</f>
        <v/>
      </c>
      <c r="M2759" s="67">
        <f t="shared" si="131"/>
        <v>7</v>
      </c>
      <c r="N2759" s="76" t="str">
        <f t="shared" si="132"/>
        <v/>
      </c>
      <c r="O2759" s="33">
        <f t="shared" si="130"/>
        <v>7</v>
      </c>
    </row>
    <row r="2760" spans="1:15" x14ac:dyDescent="0.25">
      <c r="A2760" s="93" t="s">
        <v>207</v>
      </c>
      <c r="B2760" s="79" t="str">
        <f>IF(Twelfth!B13="", "",Twelfth!B13)</f>
        <v>CSS</v>
      </c>
      <c r="C2760" s="66" t="str">
        <f>IF(Twelfth!C13="", "",Twelfth!C13)</f>
        <v>PwC</v>
      </c>
      <c r="D2760" s="66" t="str">
        <f>IF(Twelfth!D13="", "",Twelfth!D13)</f>
        <v>Returning</v>
      </c>
      <c r="E2760" s="66" t="str">
        <f>IF(Twelfth!E13="", "",Twelfth!E13)</f>
        <v>Female</v>
      </c>
      <c r="F2760" s="66" t="str">
        <f>IF(Twelfth!F13="", "",Twelfth!F13)</f>
        <v>Gynae</v>
      </c>
      <c r="G2760" s="66" t="str">
        <f>IF(Twelfth!G13="", "",Twelfth!G13)</f>
        <v>Curative Intent</v>
      </c>
      <c r="H2760" s="66" t="str">
        <f>IF(Twelfth!H13="", "",Twelfth!H13)</f>
        <v>Programme</v>
      </c>
      <c r="I2760" s="66" t="str">
        <f>IF(Twelfth!I13="", "",Twelfth!I13)</f>
        <v>Meditation</v>
      </c>
      <c r="J2760" s="66" t="str">
        <f>IF(Twelfth!J13="", "",Twelfth!J13)</f>
        <v>NG Lower GI</v>
      </c>
      <c r="K2760" s="86" t="str">
        <f>IF(Twelfth!K13="", "",Twelfth!K13)</f>
        <v/>
      </c>
      <c r="M2760" s="67">
        <f t="shared" si="131"/>
        <v>7</v>
      </c>
      <c r="N2760" s="76" t="str">
        <f t="shared" si="132"/>
        <v/>
      </c>
      <c r="O2760" s="33">
        <f t="shared" si="130"/>
        <v>7</v>
      </c>
    </row>
    <row r="2761" spans="1:15" x14ac:dyDescent="0.25">
      <c r="A2761" s="93" t="s">
        <v>207</v>
      </c>
      <c r="B2761" s="79" t="str">
        <f>IF(Twelfth!B14="", "",Twelfth!B14)</f>
        <v>CSS</v>
      </c>
      <c r="C2761" s="66" t="str">
        <f>IF(Twelfth!C14="", "",Twelfth!C14)</f>
        <v>PwC</v>
      </c>
      <c r="D2761" s="66" t="str">
        <f>IF(Twelfth!D14="", "",Twelfth!D14)</f>
        <v>Returning</v>
      </c>
      <c r="E2761" s="66" t="str">
        <f>IF(Twelfth!E14="", "",Twelfth!E14)</f>
        <v>Male</v>
      </c>
      <c r="F2761" s="66" t="str">
        <f>IF(Twelfth!F14="", "",Twelfth!F14)</f>
        <v>Prostate</v>
      </c>
      <c r="G2761" s="66" t="str">
        <f>IF(Twelfth!G14="", "",Twelfth!G14)</f>
        <v>Non-Curative Intent</v>
      </c>
      <c r="H2761" s="66" t="str">
        <f>IF(Twelfth!H14="", "",Twelfth!H14)</f>
        <v>Programme</v>
      </c>
      <c r="I2761" s="66" t="str">
        <f>IF(Twelfth!I14="", "",Twelfth!I14)</f>
        <v>Meditation</v>
      </c>
      <c r="J2761" s="66" t="str">
        <f>IF(Twelfth!J14="", "",Twelfth!J14)</f>
        <v>NG Lower GI</v>
      </c>
      <c r="K2761" s="86" t="str">
        <f>IF(Twelfth!K14="", "",Twelfth!K14)</f>
        <v/>
      </c>
      <c r="M2761" s="67">
        <f t="shared" si="131"/>
        <v>7</v>
      </c>
      <c r="N2761" s="76" t="str">
        <f t="shared" si="132"/>
        <v/>
      </c>
      <c r="O2761" s="33">
        <f t="shared" si="130"/>
        <v>7</v>
      </c>
    </row>
    <row r="2762" spans="1:15" x14ac:dyDescent="0.25">
      <c r="A2762" s="93" t="s">
        <v>207</v>
      </c>
      <c r="B2762" s="79" t="str">
        <f>IF(Twelfth!B15="", "",Twelfth!B15)</f>
        <v>CSS</v>
      </c>
      <c r="C2762" s="66" t="str">
        <f>IF(Twelfth!C15="", "",Twelfth!C15)</f>
        <v>PwC</v>
      </c>
      <c r="D2762" s="66" t="str">
        <f>IF(Twelfth!D15="", "",Twelfth!D15)</f>
        <v>Returning</v>
      </c>
      <c r="E2762" s="66" t="str">
        <f>IF(Twelfth!E15="", "",Twelfth!E15)</f>
        <v>Female</v>
      </c>
      <c r="F2762" s="66" t="str">
        <f>IF(Twelfth!F15="", "",Twelfth!F15)</f>
        <v>Breast</v>
      </c>
      <c r="G2762" s="66" t="str">
        <f>IF(Twelfth!G15="", "",Twelfth!G15)</f>
        <v>Curative Intent</v>
      </c>
      <c r="H2762" s="66" t="str">
        <f>IF(Twelfth!H15="", "",Twelfth!H15)</f>
        <v>Programme</v>
      </c>
      <c r="I2762" s="66" t="str">
        <f>IF(Twelfth!I15="", "",Twelfth!I15)</f>
        <v>Nordic Walking</v>
      </c>
      <c r="J2762" s="66" t="str">
        <f>IF(Twelfth!J15="", "",Twelfth!J15)</f>
        <v>NG Lower GI</v>
      </c>
      <c r="K2762" s="86" t="str">
        <f>IF(Twelfth!K15="", "",Twelfth!K15)</f>
        <v/>
      </c>
      <c r="M2762" s="67">
        <f t="shared" si="131"/>
        <v>7</v>
      </c>
      <c r="N2762" s="76" t="str">
        <f t="shared" si="132"/>
        <v/>
      </c>
      <c r="O2762" s="33">
        <f t="shared" si="130"/>
        <v>7</v>
      </c>
    </row>
    <row r="2763" spans="1:15" x14ac:dyDescent="0.25">
      <c r="A2763" s="93" t="s">
        <v>207</v>
      </c>
      <c r="B2763" s="79" t="str">
        <f>IF(Twelfth!B16="", "",Twelfth!B16)</f>
        <v>CSS</v>
      </c>
      <c r="C2763" s="66" t="str">
        <f>IF(Twelfth!C16="", "",Twelfth!C16)</f>
        <v>PwC</v>
      </c>
      <c r="D2763" s="66" t="str">
        <f>IF(Twelfth!D16="", "",Twelfth!D16)</f>
        <v>Returning</v>
      </c>
      <c r="E2763" s="66" t="str">
        <f>IF(Twelfth!E16="", "",Twelfth!E16)</f>
        <v>Female</v>
      </c>
      <c r="F2763" s="66" t="str">
        <f>IF(Twelfth!F16="", "",Twelfth!F16)</f>
        <v>Breast</v>
      </c>
      <c r="G2763" s="66" t="str">
        <f>IF(Twelfth!G16="", "",Twelfth!G16)</f>
        <v>Curative Intent</v>
      </c>
      <c r="H2763" s="66" t="str">
        <f>IF(Twelfth!H16="", "",Twelfth!H16)</f>
        <v>Programme</v>
      </c>
      <c r="I2763" s="66" t="str">
        <f>IF(Twelfth!I16="", "",Twelfth!I16)</f>
        <v>Nordic Walking</v>
      </c>
      <c r="J2763" s="66" t="str">
        <f>IF(Twelfth!J16="", "",Twelfth!J16)</f>
        <v>NG Lower GI</v>
      </c>
      <c r="K2763" s="86" t="str">
        <f>IF(Twelfth!K16="", "",Twelfth!K16)</f>
        <v/>
      </c>
      <c r="M2763" s="67">
        <f t="shared" si="131"/>
        <v>7</v>
      </c>
      <c r="N2763" s="76" t="str">
        <f t="shared" si="132"/>
        <v/>
      </c>
      <c r="O2763" s="33">
        <f t="shared" si="130"/>
        <v>7</v>
      </c>
    </row>
    <row r="2764" spans="1:15" x14ac:dyDescent="0.25">
      <c r="A2764" s="93" t="s">
        <v>207</v>
      </c>
      <c r="B2764" s="79" t="str">
        <f>IF(Twelfth!B17="", "",Twelfth!B17)</f>
        <v>CSS</v>
      </c>
      <c r="C2764" s="66" t="str">
        <f>IF(Twelfth!C17="", "",Twelfth!C17)</f>
        <v>PwC</v>
      </c>
      <c r="D2764" s="66" t="str">
        <f>IF(Twelfth!D17="", "",Twelfth!D17)</f>
        <v>Returning</v>
      </c>
      <c r="E2764" s="66" t="str">
        <f>IF(Twelfth!E17="", "",Twelfth!E17)</f>
        <v>Female</v>
      </c>
      <c r="F2764" s="66" t="str">
        <f>IF(Twelfth!F17="", "",Twelfth!F17)</f>
        <v>Breast</v>
      </c>
      <c r="G2764" s="66" t="str">
        <f>IF(Twelfth!G17="", "",Twelfth!G17)</f>
        <v>Curative Intent</v>
      </c>
      <c r="H2764" s="66" t="str">
        <f>IF(Twelfth!H17="", "",Twelfth!H17)</f>
        <v>Programme</v>
      </c>
      <c r="I2764" s="66" t="str">
        <f>IF(Twelfth!I17="", "",Twelfth!I17)</f>
        <v>Nordic Walking</v>
      </c>
      <c r="J2764" s="66" t="str">
        <f>IF(Twelfth!J17="", "",Twelfth!J17)</f>
        <v>NG Lower GI</v>
      </c>
      <c r="K2764" s="86" t="str">
        <f>IF(Twelfth!K17="", "",Twelfth!K17)</f>
        <v/>
      </c>
      <c r="M2764" s="67">
        <f t="shared" si="131"/>
        <v>7</v>
      </c>
      <c r="N2764" s="76" t="str">
        <f t="shared" si="132"/>
        <v/>
      </c>
      <c r="O2764" s="33">
        <f t="shared" si="130"/>
        <v>7</v>
      </c>
    </row>
    <row r="2765" spans="1:15" x14ac:dyDescent="0.25">
      <c r="A2765" s="93" t="s">
        <v>207</v>
      </c>
      <c r="B2765" s="79" t="str">
        <f>IF(Twelfth!B18="", "",Twelfth!B18)</f>
        <v>CSS</v>
      </c>
      <c r="C2765" s="66" t="str">
        <f>IF(Twelfth!C18="", "",Twelfth!C18)</f>
        <v>PwC</v>
      </c>
      <c r="D2765" s="66" t="str">
        <f>IF(Twelfth!D18="", "",Twelfth!D18)</f>
        <v>Returning</v>
      </c>
      <c r="E2765" s="66" t="str">
        <f>IF(Twelfth!E18="", "",Twelfth!E18)</f>
        <v>Female</v>
      </c>
      <c r="F2765" s="66" t="str">
        <f>IF(Twelfth!F18="", "",Twelfth!F18)</f>
        <v>Not Stated</v>
      </c>
      <c r="G2765" s="66" t="str">
        <f>IF(Twelfth!G18="", "",Twelfth!G18)</f>
        <v>Not Stated</v>
      </c>
      <c r="H2765" s="66" t="str">
        <f>IF(Twelfth!H18="", "",Twelfth!H18)</f>
        <v>Programme</v>
      </c>
      <c r="I2765" s="66" t="str">
        <f>IF(Twelfth!I18="", "",Twelfth!I18)</f>
        <v>Nordic Walking</v>
      </c>
      <c r="J2765" s="66" t="str">
        <f>IF(Twelfth!J18="", "",Twelfth!J18)</f>
        <v>NG Lower GI</v>
      </c>
      <c r="K2765" s="86" t="str">
        <f>IF(Twelfth!K18="", "",Twelfth!K18)</f>
        <v/>
      </c>
      <c r="M2765" s="67">
        <f t="shared" si="131"/>
        <v>7</v>
      </c>
      <c r="N2765" s="76" t="str">
        <f t="shared" si="132"/>
        <v/>
      </c>
      <c r="O2765" s="33">
        <f t="shared" si="130"/>
        <v>7</v>
      </c>
    </row>
    <row r="2766" spans="1:15" x14ac:dyDescent="0.25">
      <c r="A2766" s="93" t="s">
        <v>207</v>
      </c>
      <c r="B2766" s="79" t="str">
        <f>IF(Twelfth!B19="", "",Twelfth!B19)</f>
        <v>CSS</v>
      </c>
      <c r="C2766" s="66" t="str">
        <f>IF(Twelfth!C19="", "",Twelfth!C19)</f>
        <v>PwC</v>
      </c>
      <c r="D2766" s="66" t="str">
        <f>IF(Twelfth!D19="", "",Twelfth!D19)</f>
        <v>Returning</v>
      </c>
      <c r="E2766" s="66" t="str">
        <f>IF(Twelfth!E19="", "",Twelfth!E19)</f>
        <v>Female</v>
      </c>
      <c r="F2766" s="66" t="str">
        <f>IF(Twelfth!F19="", "",Twelfth!F19)</f>
        <v>Not Stated</v>
      </c>
      <c r="G2766" s="66" t="str">
        <f>IF(Twelfth!G19="", "",Twelfth!G19)</f>
        <v>Not Stated</v>
      </c>
      <c r="H2766" s="66" t="str">
        <f>IF(Twelfth!H19="", "",Twelfth!H19)</f>
        <v>Programme</v>
      </c>
      <c r="I2766" s="66" t="str">
        <f>IF(Twelfth!I19="", "",Twelfth!I19)</f>
        <v>Nordic Walking</v>
      </c>
      <c r="J2766" s="66" t="str">
        <f>IF(Twelfth!J19="", "",Twelfth!J19)</f>
        <v>NG Lower GI</v>
      </c>
      <c r="K2766" s="86" t="str">
        <f>IF(Twelfth!K19="", "",Twelfth!K19)</f>
        <v/>
      </c>
      <c r="M2766" s="67">
        <f t="shared" si="131"/>
        <v>7</v>
      </c>
      <c r="N2766" s="76" t="str">
        <f t="shared" si="132"/>
        <v/>
      </c>
      <c r="O2766" s="33">
        <f t="shared" si="130"/>
        <v>7</v>
      </c>
    </row>
    <row r="2767" spans="1:15" x14ac:dyDescent="0.25">
      <c r="A2767" s="93" t="s">
        <v>207</v>
      </c>
      <c r="B2767" s="79" t="str">
        <f>IF(Twelfth!B20="", "",Twelfth!B20)</f>
        <v>CSS</v>
      </c>
      <c r="C2767" s="66" t="str">
        <f>IF(Twelfth!C20="", "",Twelfth!C20)</f>
        <v>PwC</v>
      </c>
      <c r="D2767" s="66" t="str">
        <f>IF(Twelfth!D20="", "",Twelfth!D20)</f>
        <v>Returning</v>
      </c>
      <c r="E2767" s="66" t="str">
        <f>IF(Twelfth!E20="", "",Twelfth!E20)</f>
        <v>Female</v>
      </c>
      <c r="F2767" s="66" t="str">
        <f>IF(Twelfth!F20="", "",Twelfth!F20)</f>
        <v>Haemat</v>
      </c>
      <c r="G2767" s="66" t="str">
        <f>IF(Twelfth!G20="", "",Twelfth!G20)</f>
        <v>Non-Curative Intent</v>
      </c>
      <c r="H2767" s="66" t="str">
        <f>IF(Twelfth!H20="", "",Twelfth!H20)</f>
        <v>Drop-In</v>
      </c>
      <c r="I2767" s="66" t="str">
        <f>IF(Twelfth!I20="", "",Twelfth!I20)</f>
        <v/>
      </c>
      <c r="J2767" s="66" t="str">
        <f>IF(Twelfth!J20="", "",Twelfth!J20)</f>
        <v>NG Lower GI</v>
      </c>
      <c r="K2767" s="86" t="str">
        <f>IF(Twelfth!K20="", "",Twelfth!K20)</f>
        <v/>
      </c>
      <c r="M2767" s="67">
        <f t="shared" si="131"/>
        <v>7</v>
      </c>
      <c r="N2767" s="76" t="str">
        <f t="shared" si="132"/>
        <v/>
      </c>
      <c r="O2767" s="33">
        <f t="shared" si="130"/>
        <v>7</v>
      </c>
    </row>
    <row r="2768" spans="1:15" x14ac:dyDescent="0.25">
      <c r="A2768" s="93" t="s">
        <v>207</v>
      </c>
      <c r="B2768" s="79" t="str">
        <f>IF(Twelfth!B21="", "",Twelfth!B21)</f>
        <v>CSS</v>
      </c>
      <c r="C2768" s="66" t="str">
        <f>IF(Twelfth!C21="", "",Twelfth!C21)</f>
        <v>Carer</v>
      </c>
      <c r="D2768" s="66" t="str">
        <f>IF(Twelfth!D21="", "",Twelfth!D21)</f>
        <v>New</v>
      </c>
      <c r="E2768" s="66" t="str">
        <f>IF(Twelfth!E21="", "",Twelfth!E21)</f>
        <v>Female</v>
      </c>
      <c r="F2768" s="66" t="str">
        <f>IF(Twelfth!F21="", "",Twelfth!F21)</f>
        <v>Haemat</v>
      </c>
      <c r="G2768" s="66" t="str">
        <f>IF(Twelfth!G21="", "",Twelfth!G21)</f>
        <v>Curative Intent</v>
      </c>
      <c r="H2768" s="66" t="str">
        <f>IF(Twelfth!H21="", "",Twelfth!H21)</f>
        <v>Drop-In</v>
      </c>
      <c r="I2768" s="66" t="str">
        <f>IF(Twelfth!I21="", "",Twelfth!I21)</f>
        <v/>
      </c>
      <c r="J2768" s="66" t="str">
        <f>IF(Twelfth!J21="", "",Twelfth!J21)</f>
        <v>NG Lower GI</v>
      </c>
      <c r="K2768" s="86" t="str">
        <f>IF(Twelfth!K21="", "",Twelfth!K21)</f>
        <v/>
      </c>
      <c r="M2768" s="67" t="str">
        <f t="shared" si="131"/>
        <v/>
      </c>
      <c r="N2768" s="76">
        <f t="shared" si="132"/>
        <v>7</v>
      </c>
      <c r="O2768" s="33">
        <f t="shared" si="130"/>
        <v>7</v>
      </c>
    </row>
    <row r="2769" spans="1:15" x14ac:dyDescent="0.25">
      <c r="A2769" s="93" t="s">
        <v>207</v>
      </c>
      <c r="B2769" s="79" t="str">
        <f>IF(Twelfth!B22="", "",Twelfth!B22)</f>
        <v>CSS</v>
      </c>
      <c r="C2769" s="66" t="str">
        <f>IF(Twelfth!C22="", "",Twelfth!C22)</f>
        <v>PwC</v>
      </c>
      <c r="D2769" s="66" t="str">
        <f>IF(Twelfth!D22="", "",Twelfth!D22)</f>
        <v>Returning</v>
      </c>
      <c r="E2769" s="66" t="str">
        <f>IF(Twelfth!E22="", "",Twelfth!E22)</f>
        <v>Female</v>
      </c>
      <c r="F2769" s="66" t="str">
        <f>IF(Twelfth!F22="", "",Twelfth!F22)</f>
        <v>Breast</v>
      </c>
      <c r="G2769" s="66" t="str">
        <f>IF(Twelfth!G22="", "",Twelfth!G22)</f>
        <v>Curative Intent</v>
      </c>
      <c r="H2769" s="66" t="str">
        <f>IF(Twelfth!H22="", "",Twelfth!H22)</f>
        <v>Drop-In</v>
      </c>
      <c r="I2769" s="66" t="str">
        <f>IF(Twelfth!I22="", "",Twelfth!I22)</f>
        <v/>
      </c>
      <c r="J2769" s="66" t="str">
        <f>IF(Twelfth!J22="", "",Twelfth!J22)</f>
        <v>NG Lower GI</v>
      </c>
      <c r="K2769" s="86" t="str">
        <f>IF(Twelfth!K22="", "",Twelfth!K22)</f>
        <v/>
      </c>
      <c r="M2769" s="67">
        <f t="shared" si="131"/>
        <v>7</v>
      </c>
      <c r="N2769" s="76" t="str">
        <f t="shared" si="132"/>
        <v/>
      </c>
      <c r="O2769" s="33">
        <f t="shared" si="130"/>
        <v>7</v>
      </c>
    </row>
    <row r="2770" spans="1:15" x14ac:dyDescent="0.25">
      <c r="A2770" s="93" t="s">
        <v>207</v>
      </c>
      <c r="B2770" s="79" t="str">
        <f>IF(Twelfth!B23="", "",Twelfth!B23)</f>
        <v>Benefits Advisor</v>
      </c>
      <c r="C2770" s="66" t="str">
        <f>IF(Twelfth!C23="", "",Twelfth!C23)</f>
        <v>PwC</v>
      </c>
      <c r="D2770" s="66" t="str">
        <f>IF(Twelfth!D23="", "",Twelfth!D23)</f>
        <v>New</v>
      </c>
      <c r="E2770" s="66" t="str">
        <f>IF(Twelfth!E23="", "",Twelfth!E23)</f>
        <v>Female</v>
      </c>
      <c r="F2770" s="66" t="str">
        <f>IF(Twelfth!F23="", "",Twelfth!F23)</f>
        <v>Gynae</v>
      </c>
      <c r="G2770" s="66" t="str">
        <f>IF(Twelfth!G23="", "",Twelfth!G23)</f>
        <v>Non-Curative Intent</v>
      </c>
      <c r="H2770" s="66" t="str">
        <f>IF(Twelfth!H23="", "",Twelfth!H23)</f>
        <v>Telephone Support</v>
      </c>
      <c r="I2770" s="66" t="str">
        <f>IF(Twelfth!I23="", "",Twelfth!I23)</f>
        <v>Benefits - Individual</v>
      </c>
      <c r="J2770" s="66" t="str">
        <f>IF(Twelfth!J23="", "",Twelfth!J23)</f>
        <v>NG Lower GI</v>
      </c>
      <c r="K2770" s="86" t="str">
        <f>IF(Twelfth!K23="", "",Twelfth!K23)</f>
        <v/>
      </c>
      <c r="M2770" s="67">
        <f t="shared" si="131"/>
        <v>7</v>
      </c>
      <c r="N2770" s="76" t="str">
        <f t="shared" si="132"/>
        <v/>
      </c>
      <c r="O2770" s="33">
        <f t="shared" si="130"/>
        <v>7</v>
      </c>
    </row>
    <row r="2771" spans="1:15" x14ac:dyDescent="0.25">
      <c r="A2771" s="93" t="s">
        <v>207</v>
      </c>
      <c r="B2771" s="79" t="str">
        <f>IF(Twelfth!B24="", "",Twelfth!B24)</f>
        <v>Benefits Advisor</v>
      </c>
      <c r="C2771" s="66" t="str">
        <f>IF(Twelfth!C24="", "",Twelfth!C24)</f>
        <v>Carer</v>
      </c>
      <c r="D2771" s="66" t="str">
        <f>IF(Twelfth!D24="", "",Twelfth!D24)</f>
        <v>New</v>
      </c>
      <c r="E2771" s="66" t="str">
        <f>IF(Twelfth!E24="", "",Twelfth!E24)</f>
        <v>Female</v>
      </c>
      <c r="F2771" s="66" t="str">
        <f>IF(Twelfth!F24="", "",Twelfth!F24)</f>
        <v>Gynae</v>
      </c>
      <c r="G2771" s="66" t="str">
        <f>IF(Twelfth!G24="", "",Twelfth!G24)</f>
        <v>Non-Curative Intent</v>
      </c>
      <c r="H2771" s="66" t="str">
        <f>IF(Twelfth!H24="", "",Twelfth!H24)</f>
        <v>Telephone Support</v>
      </c>
      <c r="I2771" s="66" t="str">
        <f>IF(Twelfth!I24="", "",Twelfth!I24)</f>
        <v>Benefits - Individual</v>
      </c>
      <c r="J2771" s="66" t="str">
        <f>IF(Twelfth!J24="", "",Twelfth!J24)</f>
        <v>NG Lower GI</v>
      </c>
      <c r="K2771" s="86" t="str">
        <f>IF(Twelfth!K24="", "",Twelfth!K24)</f>
        <v/>
      </c>
      <c r="M2771" s="67" t="str">
        <f t="shared" si="131"/>
        <v/>
      </c>
      <c r="N2771" s="76">
        <f t="shared" si="132"/>
        <v>7</v>
      </c>
      <c r="O2771" s="33">
        <f t="shared" si="130"/>
        <v>7</v>
      </c>
    </row>
    <row r="2772" spans="1:15" x14ac:dyDescent="0.25">
      <c r="A2772" s="93" t="s">
        <v>207</v>
      </c>
      <c r="B2772" s="79" t="str">
        <f>IF(Twelfth!B25="", "",Twelfth!B25)</f>
        <v>Benefits Advisor</v>
      </c>
      <c r="C2772" s="66" t="str">
        <f>IF(Twelfth!C25="", "",Twelfth!C25)</f>
        <v>PwC</v>
      </c>
      <c r="D2772" s="66" t="str">
        <f>IF(Twelfth!D25="", "",Twelfth!D25)</f>
        <v>New</v>
      </c>
      <c r="E2772" s="66" t="str">
        <f>IF(Twelfth!E25="", "",Twelfth!E25)</f>
        <v>Female</v>
      </c>
      <c r="F2772" s="66" t="str">
        <f>IF(Twelfth!F25="", "",Twelfth!F25)</f>
        <v>Not Stated</v>
      </c>
      <c r="G2772" s="66" t="str">
        <f>IF(Twelfth!G25="", "",Twelfth!G25)</f>
        <v>Not Stated</v>
      </c>
      <c r="H2772" s="66" t="str">
        <f>IF(Twelfth!H25="", "",Twelfth!H25)</f>
        <v>Telephone Support</v>
      </c>
      <c r="I2772" s="66" t="str">
        <f>IF(Twelfth!I25="", "",Twelfth!I25)</f>
        <v>Benefits - Individual</v>
      </c>
      <c r="J2772" s="66" t="str">
        <f>IF(Twelfth!J25="", "",Twelfth!J25)</f>
        <v>NG Lower GI</v>
      </c>
      <c r="K2772" s="86" t="str">
        <f>IF(Twelfth!K25="", "",Twelfth!K25)</f>
        <v/>
      </c>
      <c r="M2772" s="67">
        <f t="shared" si="131"/>
        <v>7</v>
      </c>
      <c r="N2772" s="76" t="str">
        <f t="shared" si="132"/>
        <v/>
      </c>
      <c r="O2772" s="33">
        <f t="shared" si="130"/>
        <v>7</v>
      </c>
    </row>
    <row r="2773" spans="1:15" x14ac:dyDescent="0.25">
      <c r="A2773" s="93" t="s">
        <v>207</v>
      </c>
      <c r="B2773" s="79" t="str">
        <f>IF(Twelfth!B26="", "",Twelfth!B26)</f>
        <v>Benefits Advisor</v>
      </c>
      <c r="C2773" s="66" t="str">
        <f>IF(Twelfth!C26="", "",Twelfth!C26)</f>
        <v>Carer</v>
      </c>
      <c r="D2773" s="66" t="str">
        <f>IF(Twelfth!D26="", "",Twelfth!D26)</f>
        <v>New</v>
      </c>
      <c r="E2773" s="66" t="str">
        <f>IF(Twelfth!E26="", "",Twelfth!E26)</f>
        <v>Female</v>
      </c>
      <c r="F2773" s="66" t="str">
        <f>IF(Twelfth!F26="", "",Twelfth!F26)</f>
        <v>Upper GI</v>
      </c>
      <c r="G2773" s="66" t="str">
        <f>IF(Twelfth!G26="", "",Twelfth!G26)</f>
        <v>Non-Curative Intent</v>
      </c>
      <c r="H2773" s="66" t="str">
        <f>IF(Twelfth!H26="", "",Twelfth!H26)</f>
        <v>Telephone Support</v>
      </c>
      <c r="I2773" s="66" t="str">
        <f>IF(Twelfth!I26="", "",Twelfth!I26)</f>
        <v>Benefits - Individual</v>
      </c>
      <c r="J2773" s="66" t="str">
        <f>IF(Twelfth!J26="", "",Twelfth!J26)</f>
        <v>NG Lower GI</v>
      </c>
      <c r="K2773" s="86" t="str">
        <f>IF(Twelfth!K26="", "",Twelfth!K26)</f>
        <v/>
      </c>
      <c r="M2773" s="67" t="str">
        <f t="shared" si="131"/>
        <v/>
      </c>
      <c r="N2773" s="76">
        <f t="shared" si="132"/>
        <v>7</v>
      </c>
      <c r="O2773" s="33">
        <f t="shared" si="130"/>
        <v>7</v>
      </c>
    </row>
    <row r="2774" spans="1:15" x14ac:dyDescent="0.25">
      <c r="A2774" s="93" t="s">
        <v>207</v>
      </c>
      <c r="B2774" s="79" t="str">
        <f>IF(Twelfth!B27="", "",Twelfth!B27)</f>
        <v>CSS</v>
      </c>
      <c r="C2774" s="66" t="str">
        <f>IF(Twelfth!C27="", "",Twelfth!C27)</f>
        <v>PwC</v>
      </c>
      <c r="D2774" s="66" t="str">
        <f>IF(Twelfth!D27="", "",Twelfth!D27)</f>
        <v>Returning</v>
      </c>
      <c r="E2774" s="66" t="str">
        <f>IF(Twelfth!E27="", "",Twelfth!E27)</f>
        <v>Male</v>
      </c>
      <c r="F2774" s="66" t="str">
        <f>IF(Twelfth!F27="", "",Twelfth!F27)</f>
        <v>Head/Neck</v>
      </c>
      <c r="G2774" s="66" t="str">
        <f>IF(Twelfth!G27="", "",Twelfth!G27)</f>
        <v>Post Treatment - Curative Intent</v>
      </c>
      <c r="H2774" s="66" t="str">
        <f>IF(Twelfth!H27="", "",Twelfth!H27)</f>
        <v>Drop-In</v>
      </c>
      <c r="I2774" s="66" t="str">
        <f>IF(Twelfth!I27="", "",Twelfth!I27)</f>
        <v/>
      </c>
      <c r="J2774" s="66" t="str">
        <f>IF(Twelfth!J27="", "",Twelfth!J27)</f>
        <v>NG Lower GI</v>
      </c>
      <c r="K2774" s="86" t="str">
        <f>IF(Twelfth!K27="", "",Twelfth!K27)</f>
        <v/>
      </c>
      <c r="M2774" s="67">
        <f t="shared" si="131"/>
        <v>7</v>
      </c>
      <c r="N2774" s="76" t="str">
        <f t="shared" si="132"/>
        <v/>
      </c>
      <c r="O2774" s="33">
        <f t="shared" si="130"/>
        <v>7</v>
      </c>
    </row>
    <row r="2775" spans="1:15" x14ac:dyDescent="0.25">
      <c r="A2775" s="93" t="s">
        <v>207</v>
      </c>
      <c r="B2775" s="79" t="str">
        <f>IF(Twelfth!B28="", "",Twelfth!B28)</f>
        <v>CSS</v>
      </c>
      <c r="C2775" s="66" t="str">
        <f>IF(Twelfth!C28="", "",Twelfth!C28)</f>
        <v>PwC</v>
      </c>
      <c r="D2775" s="66" t="str">
        <f>IF(Twelfth!D28="", "",Twelfth!D28)</f>
        <v>Returning</v>
      </c>
      <c r="E2775" s="66" t="str">
        <f>IF(Twelfth!E28="", "",Twelfth!E28)</f>
        <v>Male</v>
      </c>
      <c r="F2775" s="66" t="str">
        <f>IF(Twelfth!F28="", "",Twelfth!F28)</f>
        <v>Haemat</v>
      </c>
      <c r="G2775" s="66" t="str">
        <f>IF(Twelfth!G28="", "",Twelfth!G28)</f>
        <v>Non-Curative Intent</v>
      </c>
      <c r="H2775" s="66" t="str">
        <f>IF(Twelfth!H28="", "",Twelfth!H28)</f>
        <v>Drop-In</v>
      </c>
      <c r="I2775" s="66" t="str">
        <f>IF(Twelfth!I28="", "",Twelfth!I28)</f>
        <v/>
      </c>
      <c r="J2775" s="66" t="str">
        <f>IF(Twelfth!J28="", "",Twelfth!J28)</f>
        <v>NG Lower GI</v>
      </c>
      <c r="K2775" s="86" t="str">
        <f>IF(Twelfth!K28="", "",Twelfth!K28)</f>
        <v/>
      </c>
      <c r="M2775" s="67">
        <f t="shared" si="131"/>
        <v>7</v>
      </c>
      <c r="N2775" s="76" t="str">
        <f t="shared" si="132"/>
        <v/>
      </c>
      <c r="O2775" s="33">
        <f t="shared" si="130"/>
        <v>7</v>
      </c>
    </row>
    <row r="2776" spans="1:15" x14ac:dyDescent="0.25">
      <c r="A2776" s="93" t="s">
        <v>207</v>
      </c>
      <c r="B2776" s="79" t="str">
        <f>IF(Twelfth!B29="", "",Twelfth!B29)</f>
        <v>CSS</v>
      </c>
      <c r="C2776" s="66" t="str">
        <f>IF(Twelfth!C29="", "",Twelfth!C29)</f>
        <v>Carer</v>
      </c>
      <c r="D2776" s="66" t="str">
        <f>IF(Twelfth!D29="", "",Twelfth!D29)</f>
        <v>New</v>
      </c>
      <c r="E2776" s="66" t="str">
        <f>IF(Twelfth!E29="", "",Twelfth!E29)</f>
        <v>Male</v>
      </c>
      <c r="F2776" s="66" t="str">
        <f>IF(Twelfth!F29="", "",Twelfth!F29)</f>
        <v>Breast</v>
      </c>
      <c r="G2776" s="66" t="str">
        <f>IF(Twelfth!G29="", "",Twelfth!G29)</f>
        <v>Curative Intent</v>
      </c>
      <c r="H2776" s="66" t="str">
        <f>IF(Twelfth!H29="", "",Twelfth!H29)</f>
        <v>Drop-In</v>
      </c>
      <c r="I2776" s="66" t="str">
        <f>IF(Twelfth!I29="", "",Twelfth!I29)</f>
        <v/>
      </c>
      <c r="J2776" s="66" t="str">
        <f>IF(Twelfth!J29="", "",Twelfth!J29)</f>
        <v>NG Lower GI</v>
      </c>
      <c r="K2776" s="86" t="str">
        <f>IF(Twelfth!K29="", "",Twelfth!K29)</f>
        <v/>
      </c>
      <c r="M2776" s="67" t="str">
        <f t="shared" si="131"/>
        <v/>
      </c>
      <c r="N2776" s="76">
        <f t="shared" si="132"/>
        <v>7</v>
      </c>
      <c r="O2776" s="33">
        <f t="shared" si="130"/>
        <v>7</v>
      </c>
    </row>
    <row r="2777" spans="1:15" x14ac:dyDescent="0.25">
      <c r="A2777" s="93" t="s">
        <v>207</v>
      </c>
      <c r="B2777" s="79" t="str">
        <f>IF(Twelfth!B30="", "",Twelfth!B30)</f>
        <v>CSS</v>
      </c>
      <c r="C2777" s="66" t="str">
        <f>IF(Twelfth!C30="", "",Twelfth!C30)</f>
        <v>PwC</v>
      </c>
      <c r="D2777" s="66" t="str">
        <f>IF(Twelfth!D30="", "",Twelfth!D30)</f>
        <v>Returning</v>
      </c>
      <c r="E2777" s="66" t="str">
        <f>IF(Twelfth!E30="", "",Twelfth!E30)</f>
        <v>Female</v>
      </c>
      <c r="F2777" s="66" t="str">
        <f>IF(Twelfth!F30="", "",Twelfth!F30)</f>
        <v>Breast</v>
      </c>
      <c r="G2777" s="66" t="str">
        <f>IF(Twelfth!G30="", "",Twelfth!G30)</f>
        <v>Post Treatment - Curative Intent</v>
      </c>
      <c r="H2777" s="66" t="str">
        <f>IF(Twelfth!H30="", "",Twelfth!H30)</f>
        <v>Booked</v>
      </c>
      <c r="I2777" s="66" t="str">
        <f>IF(Twelfth!I30="", "",Twelfth!I30)</f>
        <v>Psych Support - Individual</v>
      </c>
      <c r="J2777" s="66" t="str">
        <f>IF(Twelfth!J30="", "",Twelfth!J30)</f>
        <v>NG Lower GI</v>
      </c>
      <c r="K2777" s="86" t="str">
        <f>IF(Twelfth!K30="", "",Twelfth!K30)</f>
        <v/>
      </c>
      <c r="M2777" s="67">
        <f t="shared" si="131"/>
        <v>7</v>
      </c>
      <c r="N2777" s="76" t="str">
        <f t="shared" si="132"/>
        <v/>
      </c>
      <c r="O2777" s="33">
        <f t="shared" si="130"/>
        <v>7</v>
      </c>
    </row>
    <row r="2778" spans="1:15" x14ac:dyDescent="0.25">
      <c r="A2778" s="93" t="s">
        <v>207</v>
      </c>
      <c r="B2778" s="79" t="str">
        <f>IF(Twelfth!B31="", "",Twelfth!B31)</f>
        <v>CSS</v>
      </c>
      <c r="C2778" s="66" t="str">
        <f>IF(Twelfth!C31="", "",Twelfth!C31)</f>
        <v>Professional</v>
      </c>
      <c r="D2778" s="66" t="str">
        <f>IF(Twelfth!D31="", "",Twelfth!D31)</f>
        <v/>
      </c>
      <c r="E2778" s="66" t="str">
        <f>IF(Twelfth!E31="", "",Twelfth!E31)</f>
        <v/>
      </c>
      <c r="F2778" s="66" t="str">
        <f>IF(Twelfth!F31="", "",Twelfth!F31)</f>
        <v/>
      </c>
      <c r="G2778" s="66" t="str">
        <f>IF(Twelfth!G31="", "",Twelfth!G31)</f>
        <v/>
      </c>
      <c r="H2778" s="66" t="str">
        <f>IF(Twelfth!H31="", "",Twelfth!H31)</f>
        <v>Outreach</v>
      </c>
      <c r="I2778" s="66" t="str">
        <f>IF(Twelfth!I31="", "",Twelfth!I31)</f>
        <v/>
      </c>
      <c r="J2778" s="66" t="str">
        <f>IF(Twelfth!J31="", "",Twelfth!J31)</f>
        <v/>
      </c>
      <c r="K2778" s="86" t="str">
        <f>IF(Twelfth!K31="", "",Twelfth!K31)</f>
        <v/>
      </c>
      <c r="M2778" s="67" t="str">
        <f t="shared" si="131"/>
        <v/>
      </c>
      <c r="N2778" s="76" t="str">
        <f t="shared" si="132"/>
        <v/>
      </c>
      <c r="O2778" s="33">
        <f t="shared" si="130"/>
        <v>0</v>
      </c>
    </row>
    <row r="2779" spans="1:15" x14ac:dyDescent="0.25">
      <c r="A2779" s="93" t="s">
        <v>207</v>
      </c>
      <c r="B2779" s="79" t="str">
        <f>IF(Twelfth!B32="", "",Twelfth!B32)</f>
        <v>CSS</v>
      </c>
      <c r="C2779" s="66" t="str">
        <f>IF(Twelfth!C32="", "",Twelfth!C32)</f>
        <v>Professional</v>
      </c>
      <c r="D2779" s="66" t="str">
        <f>IF(Twelfth!D32="", "",Twelfth!D32)</f>
        <v/>
      </c>
      <c r="E2779" s="66" t="str">
        <f>IF(Twelfth!E32="", "",Twelfth!E32)</f>
        <v/>
      </c>
      <c r="F2779" s="66" t="str">
        <f>IF(Twelfth!F32="", "",Twelfth!F32)</f>
        <v/>
      </c>
      <c r="G2779" s="66" t="str">
        <f>IF(Twelfth!G32="", "",Twelfth!G32)</f>
        <v/>
      </c>
      <c r="H2779" s="66" t="str">
        <f>IF(Twelfth!H32="", "",Twelfth!H32)</f>
        <v>Outreach</v>
      </c>
      <c r="I2779" s="66" t="str">
        <f>IF(Twelfth!I32="", "",Twelfth!I32)</f>
        <v/>
      </c>
      <c r="J2779" s="66" t="str">
        <f>IF(Twelfth!J32="", "",Twelfth!J32)</f>
        <v/>
      </c>
      <c r="K2779" s="86" t="str">
        <f>IF(Twelfth!K32="", "",Twelfth!K32)</f>
        <v/>
      </c>
      <c r="M2779" s="67" t="str">
        <f t="shared" si="131"/>
        <v/>
      </c>
      <c r="N2779" s="76" t="str">
        <f t="shared" si="132"/>
        <v/>
      </c>
      <c r="O2779" s="33">
        <f t="shared" si="130"/>
        <v>0</v>
      </c>
    </row>
    <row r="2780" spans="1:15" x14ac:dyDescent="0.25">
      <c r="A2780" s="93" t="s">
        <v>207</v>
      </c>
      <c r="B2780" s="79" t="str">
        <f>IF(Twelfth!B33="", "",Twelfth!B33)</f>
        <v>CSS</v>
      </c>
      <c r="C2780" s="66" t="str">
        <f>IF(Twelfth!C33="", "",Twelfth!C33)</f>
        <v>Professional</v>
      </c>
      <c r="D2780" s="66" t="str">
        <f>IF(Twelfth!D33="", "",Twelfth!D33)</f>
        <v/>
      </c>
      <c r="E2780" s="66" t="str">
        <f>IF(Twelfth!E33="", "",Twelfth!E33)</f>
        <v/>
      </c>
      <c r="F2780" s="66" t="str">
        <f>IF(Twelfth!F33="", "",Twelfth!F33)</f>
        <v/>
      </c>
      <c r="G2780" s="66" t="str">
        <f>IF(Twelfth!G33="", "",Twelfth!G33)</f>
        <v/>
      </c>
      <c r="H2780" s="66" t="str">
        <f>IF(Twelfth!H33="", "",Twelfth!H33)</f>
        <v>Outreach</v>
      </c>
      <c r="I2780" s="66" t="str">
        <f>IF(Twelfth!I33="", "",Twelfth!I33)</f>
        <v/>
      </c>
      <c r="J2780" s="66" t="str">
        <f>IF(Twelfth!J33="", "",Twelfth!J33)</f>
        <v/>
      </c>
      <c r="K2780" s="86" t="str">
        <f>IF(Twelfth!K33="", "",Twelfth!K33)</f>
        <v/>
      </c>
      <c r="M2780" s="67" t="str">
        <f t="shared" si="131"/>
        <v/>
      </c>
      <c r="N2780" s="76" t="str">
        <f t="shared" si="132"/>
        <v/>
      </c>
      <c r="O2780" s="33">
        <f t="shared" si="130"/>
        <v>0</v>
      </c>
    </row>
    <row r="2781" spans="1:15" x14ac:dyDescent="0.25">
      <c r="A2781" s="93" t="s">
        <v>207</v>
      </c>
      <c r="B2781" s="79" t="str">
        <f>IF(Twelfth!B34="", "",Twelfth!B34)</f>
        <v>CSS</v>
      </c>
      <c r="C2781" s="66" t="str">
        <f>IF(Twelfth!C34="", "",Twelfth!C34)</f>
        <v>Professional</v>
      </c>
      <c r="D2781" s="66" t="str">
        <f>IF(Twelfth!D34="", "",Twelfth!D34)</f>
        <v/>
      </c>
      <c r="E2781" s="66" t="str">
        <f>IF(Twelfth!E34="", "",Twelfth!E34)</f>
        <v/>
      </c>
      <c r="F2781" s="66" t="str">
        <f>IF(Twelfth!F34="", "",Twelfth!F34)</f>
        <v/>
      </c>
      <c r="G2781" s="66" t="str">
        <f>IF(Twelfth!G34="", "",Twelfth!G34)</f>
        <v/>
      </c>
      <c r="H2781" s="66" t="str">
        <f>IF(Twelfth!H34="", "",Twelfth!H34)</f>
        <v>Outreach</v>
      </c>
      <c r="I2781" s="66" t="str">
        <f>IF(Twelfth!I34="", "",Twelfth!I34)</f>
        <v/>
      </c>
      <c r="J2781" s="66" t="str">
        <f>IF(Twelfth!J34="", "",Twelfth!J34)</f>
        <v/>
      </c>
      <c r="K2781" s="86" t="str">
        <f>IF(Twelfth!K34="", "",Twelfth!K34)</f>
        <v/>
      </c>
      <c r="M2781" s="67" t="str">
        <f t="shared" si="131"/>
        <v/>
      </c>
      <c r="N2781" s="76" t="str">
        <f t="shared" si="132"/>
        <v/>
      </c>
      <c r="O2781" s="33">
        <f t="shared" si="130"/>
        <v>0</v>
      </c>
    </row>
    <row r="2782" spans="1:15" x14ac:dyDescent="0.25">
      <c r="A2782" s="93" t="s">
        <v>207</v>
      </c>
      <c r="B2782" s="79" t="str">
        <f>IF(Twelfth!B35="", "",Twelfth!B35)</f>
        <v>CSS</v>
      </c>
      <c r="C2782" s="66" t="str">
        <f>IF(Twelfth!C35="", "",Twelfth!C35)</f>
        <v>Professional</v>
      </c>
      <c r="D2782" s="66" t="str">
        <f>IF(Twelfth!D35="", "",Twelfth!D35)</f>
        <v/>
      </c>
      <c r="E2782" s="66" t="str">
        <f>IF(Twelfth!E35="", "",Twelfth!E35)</f>
        <v/>
      </c>
      <c r="F2782" s="66" t="str">
        <f>IF(Twelfth!F35="", "",Twelfth!F35)</f>
        <v/>
      </c>
      <c r="G2782" s="66" t="str">
        <f>IF(Twelfth!G35="", "",Twelfth!G35)</f>
        <v/>
      </c>
      <c r="H2782" s="66" t="str">
        <f>IF(Twelfth!H35="", "",Twelfth!H35)</f>
        <v>Outreach</v>
      </c>
      <c r="I2782" s="66" t="str">
        <f>IF(Twelfth!I35="", "",Twelfth!I35)</f>
        <v/>
      </c>
      <c r="J2782" s="66" t="str">
        <f>IF(Twelfth!J35="", "",Twelfth!J35)</f>
        <v/>
      </c>
      <c r="K2782" s="86" t="str">
        <f>IF(Twelfth!K35="", "",Twelfth!K35)</f>
        <v/>
      </c>
      <c r="M2782" s="67" t="str">
        <f t="shared" si="131"/>
        <v/>
      </c>
      <c r="N2782" s="76" t="str">
        <f t="shared" si="132"/>
        <v/>
      </c>
      <c r="O2782" s="33">
        <f t="shared" si="130"/>
        <v>0</v>
      </c>
    </row>
    <row r="2783" spans="1:15" x14ac:dyDescent="0.25">
      <c r="A2783" s="93" t="s">
        <v>207</v>
      </c>
      <c r="B2783" s="79" t="str">
        <f>IF(Twelfth!B36="", "",Twelfth!B36)</f>
        <v>CSS</v>
      </c>
      <c r="C2783" s="66" t="str">
        <f>IF(Twelfth!C36="", "",Twelfth!C36)</f>
        <v>Professional</v>
      </c>
      <c r="D2783" s="66" t="str">
        <f>IF(Twelfth!D36="", "",Twelfth!D36)</f>
        <v/>
      </c>
      <c r="E2783" s="66" t="str">
        <f>IF(Twelfth!E36="", "",Twelfth!E36)</f>
        <v/>
      </c>
      <c r="F2783" s="66" t="str">
        <f>IF(Twelfth!F36="", "",Twelfth!F36)</f>
        <v/>
      </c>
      <c r="G2783" s="66" t="str">
        <f>IF(Twelfth!G36="", "",Twelfth!G36)</f>
        <v/>
      </c>
      <c r="H2783" s="66" t="str">
        <f>IF(Twelfth!H36="", "",Twelfth!H36)</f>
        <v>Outreach</v>
      </c>
      <c r="I2783" s="66" t="str">
        <f>IF(Twelfth!I36="", "",Twelfth!I36)</f>
        <v/>
      </c>
      <c r="J2783" s="66" t="str">
        <f>IF(Twelfth!J36="", "",Twelfth!J36)</f>
        <v/>
      </c>
      <c r="K2783" s="86" t="str">
        <f>IF(Twelfth!K36="", "",Twelfth!K36)</f>
        <v/>
      </c>
      <c r="M2783" s="67" t="str">
        <f t="shared" si="131"/>
        <v/>
      </c>
      <c r="N2783" s="76" t="str">
        <f t="shared" si="132"/>
        <v/>
      </c>
      <c r="O2783" s="33">
        <f t="shared" si="130"/>
        <v>0</v>
      </c>
    </row>
    <row r="2784" spans="1:15" x14ac:dyDescent="0.25">
      <c r="A2784" s="93" t="s">
        <v>207</v>
      </c>
      <c r="B2784" s="79" t="str">
        <f>IF(Twelfth!B37="", "",Twelfth!B37)</f>
        <v>CSS</v>
      </c>
      <c r="C2784" s="66" t="str">
        <f>IF(Twelfth!C37="", "",Twelfth!C37)</f>
        <v>Professional</v>
      </c>
      <c r="D2784" s="66" t="str">
        <f>IF(Twelfth!D37="", "",Twelfth!D37)</f>
        <v/>
      </c>
      <c r="E2784" s="66" t="str">
        <f>IF(Twelfth!E37="", "",Twelfth!E37)</f>
        <v/>
      </c>
      <c r="F2784" s="66" t="str">
        <f>IF(Twelfth!F37="", "",Twelfth!F37)</f>
        <v/>
      </c>
      <c r="G2784" s="66" t="str">
        <f>IF(Twelfth!G37="", "",Twelfth!G37)</f>
        <v/>
      </c>
      <c r="H2784" s="66" t="str">
        <f>IF(Twelfth!H37="", "",Twelfth!H37)</f>
        <v>Outreach</v>
      </c>
      <c r="I2784" s="66" t="str">
        <f>IF(Twelfth!I37="", "",Twelfth!I37)</f>
        <v/>
      </c>
      <c r="J2784" s="66" t="str">
        <f>IF(Twelfth!J37="", "",Twelfth!J37)</f>
        <v/>
      </c>
      <c r="K2784" s="86" t="str">
        <f>IF(Twelfth!K37="", "",Twelfth!K37)</f>
        <v/>
      </c>
      <c r="M2784" s="67" t="str">
        <f t="shared" si="131"/>
        <v/>
      </c>
      <c r="N2784" s="76" t="str">
        <f t="shared" si="132"/>
        <v/>
      </c>
      <c r="O2784" s="33">
        <f t="shared" si="130"/>
        <v>0</v>
      </c>
    </row>
    <row r="2785" spans="1:15" x14ac:dyDescent="0.25">
      <c r="A2785" s="93" t="s">
        <v>207</v>
      </c>
      <c r="B2785" s="79" t="str">
        <f>IF(Twelfth!B38="", "",Twelfth!B38)</f>
        <v>CSS</v>
      </c>
      <c r="C2785" s="66" t="str">
        <f>IF(Twelfth!C38="", "",Twelfth!C38)</f>
        <v>Professional</v>
      </c>
      <c r="D2785" s="66" t="str">
        <f>IF(Twelfth!D38="", "",Twelfth!D38)</f>
        <v/>
      </c>
      <c r="E2785" s="66" t="str">
        <f>IF(Twelfth!E38="", "",Twelfth!E38)</f>
        <v/>
      </c>
      <c r="F2785" s="66" t="str">
        <f>IF(Twelfth!F38="", "",Twelfth!F38)</f>
        <v/>
      </c>
      <c r="G2785" s="66" t="str">
        <f>IF(Twelfth!G38="", "",Twelfth!G38)</f>
        <v/>
      </c>
      <c r="H2785" s="66" t="str">
        <f>IF(Twelfth!H38="", "",Twelfth!H38)</f>
        <v>Outreach</v>
      </c>
      <c r="I2785" s="66" t="str">
        <f>IF(Twelfth!I38="", "",Twelfth!I38)</f>
        <v/>
      </c>
      <c r="J2785" s="66" t="str">
        <f>IF(Twelfth!J38="", "",Twelfth!J38)</f>
        <v/>
      </c>
      <c r="K2785" s="86" t="str">
        <f>IF(Twelfth!K38="", "",Twelfth!K38)</f>
        <v/>
      </c>
      <c r="M2785" s="67" t="str">
        <f t="shared" si="131"/>
        <v/>
      </c>
      <c r="N2785" s="76" t="str">
        <f t="shared" si="132"/>
        <v/>
      </c>
      <c r="O2785" s="33">
        <f t="shared" si="130"/>
        <v>0</v>
      </c>
    </row>
    <row r="2786" spans="1:15" x14ac:dyDescent="0.25">
      <c r="A2786" s="93" t="s">
        <v>207</v>
      </c>
      <c r="B2786" s="79" t="str">
        <f>IF(Twelfth!B39="", "",Twelfth!B39)</f>
        <v>CSS</v>
      </c>
      <c r="C2786" s="66" t="str">
        <f>IF(Twelfth!C39="", "",Twelfth!C39)</f>
        <v>Professional</v>
      </c>
      <c r="D2786" s="66" t="str">
        <f>IF(Twelfth!D39="", "",Twelfth!D39)</f>
        <v/>
      </c>
      <c r="E2786" s="66" t="str">
        <f>IF(Twelfth!E39="", "",Twelfth!E39)</f>
        <v/>
      </c>
      <c r="F2786" s="66" t="str">
        <f>IF(Twelfth!F39="", "",Twelfth!F39)</f>
        <v/>
      </c>
      <c r="G2786" s="66" t="str">
        <f>IF(Twelfth!G39="", "",Twelfth!G39)</f>
        <v/>
      </c>
      <c r="H2786" s="66" t="str">
        <f>IF(Twelfth!H39="", "",Twelfth!H39)</f>
        <v>Outreach</v>
      </c>
      <c r="I2786" s="66" t="str">
        <f>IF(Twelfth!I39="", "",Twelfth!I39)</f>
        <v/>
      </c>
      <c r="J2786" s="66" t="str">
        <f>IF(Twelfth!J39="", "",Twelfth!J39)</f>
        <v>Creative Writing</v>
      </c>
      <c r="K2786" s="86" t="str">
        <f>IF(Twelfth!K39="", "",Twelfth!K39)</f>
        <v/>
      </c>
      <c r="M2786" s="67" t="str">
        <f t="shared" si="131"/>
        <v/>
      </c>
      <c r="N2786" s="76" t="str">
        <f t="shared" si="132"/>
        <v/>
      </c>
      <c r="O2786" s="33">
        <f t="shared" si="130"/>
        <v>0</v>
      </c>
    </row>
    <row r="2787" spans="1:15" x14ac:dyDescent="0.25">
      <c r="A2787" s="93" t="s">
        <v>207</v>
      </c>
      <c r="B2787" s="79" t="str">
        <f>IF(Twelfth!B40="", "",Twelfth!B40)</f>
        <v>CSS</v>
      </c>
      <c r="C2787" s="66" t="str">
        <f>IF(Twelfth!C40="", "",Twelfth!C40)</f>
        <v>Professional</v>
      </c>
      <c r="D2787" s="66" t="str">
        <f>IF(Twelfth!D40="", "",Twelfth!D40)</f>
        <v/>
      </c>
      <c r="E2787" s="66" t="str">
        <f>IF(Twelfth!E40="", "",Twelfth!E40)</f>
        <v/>
      </c>
      <c r="F2787" s="66" t="str">
        <f>IF(Twelfth!F40="", "",Twelfth!F40)</f>
        <v/>
      </c>
      <c r="G2787" s="66" t="str">
        <f>IF(Twelfth!G40="", "",Twelfth!G40)</f>
        <v/>
      </c>
      <c r="H2787" s="66" t="str">
        <f>IF(Twelfth!H40="", "",Twelfth!H40)</f>
        <v>Outreach</v>
      </c>
      <c r="I2787" s="66" t="str">
        <f>IF(Twelfth!I40="", "",Twelfth!I40)</f>
        <v/>
      </c>
      <c r="J2787" s="66" t="str">
        <f>IF(Twelfth!J40="", "",Twelfth!J40)</f>
        <v>Creative Writing</v>
      </c>
      <c r="K2787" s="86" t="str">
        <f>IF(Twelfth!K40="", "",Twelfth!K40)</f>
        <v/>
      </c>
      <c r="M2787" s="67" t="str">
        <f t="shared" si="131"/>
        <v/>
      </c>
      <c r="N2787" s="76" t="str">
        <f t="shared" si="132"/>
        <v/>
      </c>
      <c r="O2787" s="33">
        <f t="shared" si="130"/>
        <v>0</v>
      </c>
    </row>
    <row r="2788" spans="1:15" x14ac:dyDescent="0.25">
      <c r="A2788" s="93" t="s">
        <v>207</v>
      </c>
      <c r="B2788" s="79" t="str">
        <f>IF(Twelfth!B41="", "",Twelfth!B41)</f>
        <v>Psychologist</v>
      </c>
      <c r="C2788" s="66" t="str">
        <f>IF(Twelfth!C41="", "",Twelfth!C41)</f>
        <v>PwC</v>
      </c>
      <c r="D2788" s="66" t="str">
        <f>IF(Twelfth!D41="", "",Twelfth!D41)</f>
        <v>Returning</v>
      </c>
      <c r="E2788" s="66" t="str">
        <f>IF(Twelfth!E41="", "",Twelfth!E41)</f>
        <v>Female</v>
      </c>
      <c r="F2788" s="66" t="str">
        <f>IF(Twelfth!F41="", "",Twelfth!F41)</f>
        <v>Lower GI</v>
      </c>
      <c r="G2788" s="66" t="str">
        <f>IF(Twelfth!G41="", "",Twelfth!G41)</f>
        <v>Post Treatment - Curative Intent</v>
      </c>
      <c r="H2788" s="66" t="str">
        <f>IF(Twelfth!H41="", "",Twelfth!H41)</f>
        <v>Booked</v>
      </c>
      <c r="I2788" s="66" t="str">
        <f>IF(Twelfth!I41="", "",Twelfth!I41)</f>
        <v>Psych Support - Individual</v>
      </c>
      <c r="J2788" s="66" t="str">
        <f>IF(Twelfth!J41="", "",Twelfth!J41)</f>
        <v>Creative Writing</v>
      </c>
      <c r="K2788" s="86" t="str">
        <f>IF(Twelfth!K41="", "",Twelfth!K41)</f>
        <v/>
      </c>
      <c r="M2788" s="67">
        <f t="shared" si="131"/>
        <v>7</v>
      </c>
      <c r="N2788" s="76" t="str">
        <f t="shared" si="132"/>
        <v/>
      </c>
      <c r="O2788" s="33">
        <f t="shared" si="130"/>
        <v>7</v>
      </c>
    </row>
    <row r="2789" spans="1:15" x14ac:dyDescent="0.25">
      <c r="A2789" s="93" t="s">
        <v>207</v>
      </c>
      <c r="B2789" s="79" t="str">
        <f>IF(Twelfth!B42="", "",Twelfth!B42)</f>
        <v>Psychologist</v>
      </c>
      <c r="C2789" s="66" t="str">
        <f>IF(Twelfth!C42="", "",Twelfth!C42)</f>
        <v>PwC</v>
      </c>
      <c r="D2789" s="66" t="str">
        <f>IF(Twelfth!D42="", "",Twelfth!D42)</f>
        <v>Returning</v>
      </c>
      <c r="E2789" s="66" t="str">
        <f>IF(Twelfth!E42="", "",Twelfth!E42)</f>
        <v>Female</v>
      </c>
      <c r="F2789" s="66" t="str">
        <f>IF(Twelfth!F42="", "",Twelfth!F42)</f>
        <v>Breast</v>
      </c>
      <c r="G2789" s="66" t="str">
        <f>IF(Twelfth!G42="", "",Twelfth!G42)</f>
        <v>Post Treatment - Curative Intent</v>
      </c>
      <c r="H2789" s="66" t="str">
        <f>IF(Twelfth!H42="", "",Twelfth!H42)</f>
        <v>Booked</v>
      </c>
      <c r="I2789" s="66" t="str">
        <f>IF(Twelfth!I42="", "",Twelfth!I42)</f>
        <v>Psych Support - Individual</v>
      </c>
      <c r="J2789" s="66" t="str">
        <f>IF(Twelfth!J42="", "",Twelfth!J42)</f>
        <v>Creative Writing</v>
      </c>
      <c r="K2789" s="86" t="str">
        <f>IF(Twelfth!K42="", "",Twelfth!K42)</f>
        <v/>
      </c>
      <c r="M2789" s="67">
        <f t="shared" si="131"/>
        <v>7</v>
      </c>
      <c r="N2789" s="76" t="str">
        <f t="shared" si="132"/>
        <v/>
      </c>
      <c r="O2789" s="33">
        <f t="shared" si="130"/>
        <v>7</v>
      </c>
    </row>
    <row r="2790" spans="1:15" x14ac:dyDescent="0.25">
      <c r="A2790" s="93" t="s">
        <v>207</v>
      </c>
      <c r="B2790" s="79" t="str">
        <f>IF(Twelfth!B43="", "",Twelfth!B43)</f>
        <v>Psychologist</v>
      </c>
      <c r="C2790" s="66" t="str">
        <f>IF(Twelfth!C43="", "",Twelfth!C43)</f>
        <v>Carer</v>
      </c>
      <c r="D2790" s="66" t="str">
        <f>IF(Twelfth!D43="", "",Twelfth!D43)</f>
        <v>Returning</v>
      </c>
      <c r="E2790" s="66" t="str">
        <f>IF(Twelfth!E43="", "",Twelfth!E43)</f>
        <v>Female</v>
      </c>
      <c r="F2790" s="66" t="str">
        <f>IF(Twelfth!F43="", "",Twelfth!F43)</f>
        <v>Brain/CNS</v>
      </c>
      <c r="G2790" s="66" t="str">
        <f>IF(Twelfth!G43="", "",Twelfth!G43)</f>
        <v>Bereaved</v>
      </c>
      <c r="H2790" s="66" t="str">
        <f>IF(Twelfth!H43="", "",Twelfth!H43)</f>
        <v>Booked</v>
      </c>
      <c r="I2790" s="66" t="str">
        <f>IF(Twelfth!I43="", "",Twelfth!I43)</f>
        <v>Psych Support - Individual</v>
      </c>
      <c r="J2790" s="66" t="str">
        <f>IF(Twelfth!J43="", "",Twelfth!J43)</f>
        <v>Creative Writing</v>
      </c>
      <c r="K2790" s="86" t="str">
        <f>IF(Twelfth!K43="", "",Twelfth!K43)</f>
        <v/>
      </c>
      <c r="M2790" s="67" t="str">
        <f t="shared" si="131"/>
        <v/>
      </c>
      <c r="N2790" s="76">
        <f t="shared" si="132"/>
        <v>7</v>
      </c>
      <c r="O2790" s="33">
        <f t="shared" si="130"/>
        <v>7</v>
      </c>
    </row>
    <row r="2791" spans="1:15" x14ac:dyDescent="0.25">
      <c r="A2791" s="93" t="s">
        <v>207</v>
      </c>
      <c r="B2791" s="79" t="str">
        <f>IF(Twelfth!B44="", "",Twelfth!B44)</f>
        <v>Psychologist</v>
      </c>
      <c r="C2791" s="66" t="str">
        <f>IF(Twelfth!C44="", "",Twelfth!C44)</f>
        <v>Carer</v>
      </c>
      <c r="D2791" s="66" t="str">
        <f>IF(Twelfth!D44="", "",Twelfth!D44)</f>
        <v>Returning</v>
      </c>
      <c r="E2791" s="66" t="str">
        <f>IF(Twelfth!E44="", "",Twelfth!E44)</f>
        <v>Female</v>
      </c>
      <c r="F2791" s="66" t="str">
        <f>IF(Twelfth!F44="", "",Twelfth!F44)</f>
        <v>Lower GI</v>
      </c>
      <c r="G2791" s="66" t="str">
        <f>IF(Twelfth!G44="", "",Twelfth!G44)</f>
        <v>Bereaved</v>
      </c>
      <c r="H2791" s="66" t="str">
        <f>IF(Twelfth!H44="", "",Twelfth!H44)</f>
        <v>Programme</v>
      </c>
      <c r="I2791" s="66" t="str">
        <f>IF(Twelfth!I44="", "",Twelfth!I44)</f>
        <v>FSG Bereavement</v>
      </c>
      <c r="J2791" s="66" t="str">
        <f>IF(Twelfth!J44="", "",Twelfth!J44)</f>
        <v>Creative Writing</v>
      </c>
      <c r="K2791" s="86" t="str">
        <f>IF(Twelfth!K44="", "",Twelfth!K44)</f>
        <v/>
      </c>
      <c r="M2791" s="67" t="str">
        <f t="shared" si="131"/>
        <v/>
      </c>
      <c r="N2791" s="76">
        <f t="shared" si="132"/>
        <v>7</v>
      </c>
      <c r="O2791" s="33">
        <f t="shared" si="130"/>
        <v>7</v>
      </c>
    </row>
    <row r="2792" spans="1:15" x14ac:dyDescent="0.25">
      <c r="A2792" s="93" t="s">
        <v>207</v>
      </c>
      <c r="B2792" s="79" t="str">
        <f>IF(Twelfth!B45="", "",Twelfth!B45)</f>
        <v>Psychologist</v>
      </c>
      <c r="C2792" s="66" t="str">
        <f>IF(Twelfth!C45="", "",Twelfth!C45)</f>
        <v>Carer</v>
      </c>
      <c r="D2792" s="66" t="str">
        <f>IF(Twelfth!D45="", "",Twelfth!D45)</f>
        <v>Returning</v>
      </c>
      <c r="E2792" s="66" t="str">
        <f>IF(Twelfth!E45="", "",Twelfth!E45)</f>
        <v>Female</v>
      </c>
      <c r="F2792" s="66" t="str">
        <f>IF(Twelfth!F45="", "",Twelfth!F45)</f>
        <v>Head/Neck</v>
      </c>
      <c r="G2792" s="66" t="str">
        <f>IF(Twelfth!G45="", "",Twelfth!G45)</f>
        <v>Bereaved</v>
      </c>
      <c r="H2792" s="66" t="str">
        <f>IF(Twelfth!H45="", "",Twelfth!H45)</f>
        <v>Programme</v>
      </c>
      <c r="I2792" s="66" t="str">
        <f>IF(Twelfth!I45="", "",Twelfth!I45)</f>
        <v>FSG Bereavement</v>
      </c>
      <c r="J2792" s="66" t="str">
        <f>IF(Twelfth!J45="", "",Twelfth!J45)</f>
        <v>Creative Writing</v>
      </c>
      <c r="K2792" s="86" t="str">
        <f>IF(Twelfth!K45="", "",Twelfth!K45)</f>
        <v/>
      </c>
      <c r="M2792" s="67" t="str">
        <f t="shared" si="131"/>
        <v/>
      </c>
      <c r="N2792" s="76">
        <f t="shared" si="132"/>
        <v>7</v>
      </c>
      <c r="O2792" s="33">
        <f t="shared" si="130"/>
        <v>7</v>
      </c>
    </row>
    <row r="2793" spans="1:15" x14ac:dyDescent="0.25">
      <c r="A2793" s="93" t="s">
        <v>207</v>
      </c>
      <c r="B2793" s="79" t="str">
        <f>IF(Twelfth!B46="", "",Twelfth!B46)</f>
        <v>Psychologist</v>
      </c>
      <c r="C2793" s="66" t="str">
        <f>IF(Twelfth!C46="", "",Twelfth!C46)</f>
        <v>Carer</v>
      </c>
      <c r="D2793" s="66" t="str">
        <f>IF(Twelfth!D46="", "",Twelfth!D46)</f>
        <v>Returning</v>
      </c>
      <c r="E2793" s="66" t="str">
        <f>IF(Twelfth!E46="", "",Twelfth!E46)</f>
        <v>Female</v>
      </c>
      <c r="F2793" s="66" t="str">
        <f>IF(Twelfth!F46="", "",Twelfth!F46)</f>
        <v>Brain/CNS</v>
      </c>
      <c r="G2793" s="66" t="str">
        <f>IF(Twelfth!G46="", "",Twelfth!G46)</f>
        <v>Bereaved</v>
      </c>
      <c r="H2793" s="66" t="str">
        <f>IF(Twelfth!H46="", "",Twelfth!H46)</f>
        <v>Programme</v>
      </c>
      <c r="I2793" s="66" t="str">
        <f>IF(Twelfth!I46="", "",Twelfth!I46)</f>
        <v>FSG Bereavement</v>
      </c>
      <c r="J2793" s="66" t="str">
        <f>IF(Twelfth!J46="", "",Twelfth!J46)</f>
        <v>Creative Writing</v>
      </c>
      <c r="K2793" s="86" t="str">
        <f>IF(Twelfth!K46="", "",Twelfth!K46)</f>
        <v/>
      </c>
      <c r="M2793" s="67" t="str">
        <f t="shared" si="131"/>
        <v/>
      </c>
      <c r="N2793" s="76">
        <f t="shared" si="132"/>
        <v>7</v>
      </c>
      <c r="O2793" s="33">
        <f t="shared" si="130"/>
        <v>7</v>
      </c>
    </row>
    <row r="2794" spans="1:15" x14ac:dyDescent="0.25">
      <c r="A2794" s="93" t="s">
        <v>207</v>
      </c>
      <c r="B2794" s="79" t="str">
        <f>IF(Twelfth!B47="", "",Twelfth!B47)</f>
        <v>Psychologist</v>
      </c>
      <c r="C2794" s="66" t="str">
        <f>IF(Twelfth!C47="", "",Twelfth!C47)</f>
        <v>Carer</v>
      </c>
      <c r="D2794" s="66" t="str">
        <f>IF(Twelfth!D47="", "",Twelfth!D47)</f>
        <v>Returning</v>
      </c>
      <c r="E2794" s="66" t="str">
        <f>IF(Twelfth!E47="", "",Twelfth!E47)</f>
        <v>Female</v>
      </c>
      <c r="F2794" s="66" t="str">
        <f>IF(Twelfth!F47="", "",Twelfth!F47)</f>
        <v>Brain/CNS</v>
      </c>
      <c r="G2794" s="66" t="str">
        <f>IF(Twelfth!G47="", "",Twelfth!G47)</f>
        <v>Bereaved</v>
      </c>
      <c r="H2794" s="66" t="str">
        <f>IF(Twelfth!H47="", "",Twelfth!H47)</f>
        <v>Programme</v>
      </c>
      <c r="I2794" s="66" t="str">
        <f>IF(Twelfth!I47="", "",Twelfth!I47)</f>
        <v>FSG Bereavement</v>
      </c>
      <c r="J2794" s="66" t="str">
        <f>IF(Twelfth!J47="", "",Twelfth!J47)</f>
        <v>Creative Writing</v>
      </c>
      <c r="K2794" s="86" t="str">
        <f>IF(Twelfth!K47="", "",Twelfth!K47)</f>
        <v/>
      </c>
      <c r="M2794" s="67" t="str">
        <f t="shared" si="131"/>
        <v/>
      </c>
      <c r="N2794" s="76">
        <f t="shared" si="132"/>
        <v>7</v>
      </c>
      <c r="O2794" s="33">
        <f t="shared" si="130"/>
        <v>7</v>
      </c>
    </row>
    <row r="2795" spans="1:15" x14ac:dyDescent="0.25">
      <c r="A2795" s="93" t="s">
        <v>207</v>
      </c>
      <c r="B2795" s="79" t="str">
        <f>IF(Twelfth!B48="", "",Twelfth!B48)</f>
        <v>Psychologist</v>
      </c>
      <c r="C2795" s="66" t="str">
        <f>IF(Twelfth!C48="", "",Twelfth!C48)</f>
        <v>Carer</v>
      </c>
      <c r="D2795" s="66" t="str">
        <f>IF(Twelfth!D48="", "",Twelfth!D48)</f>
        <v>Returning</v>
      </c>
      <c r="E2795" s="66" t="str">
        <f>IF(Twelfth!E48="", "",Twelfth!E48)</f>
        <v>Female</v>
      </c>
      <c r="F2795" s="66" t="str">
        <f>IF(Twelfth!F48="", "",Twelfth!F48)</f>
        <v>Lung</v>
      </c>
      <c r="G2795" s="66" t="str">
        <f>IF(Twelfth!G48="", "",Twelfth!G48)</f>
        <v>Bereaved</v>
      </c>
      <c r="H2795" s="66" t="str">
        <f>IF(Twelfth!H48="", "",Twelfth!H48)</f>
        <v>Programme</v>
      </c>
      <c r="I2795" s="66" t="str">
        <f>IF(Twelfth!I48="", "",Twelfth!I48)</f>
        <v>Benefits - Individual</v>
      </c>
      <c r="J2795" s="66" t="str">
        <f>IF(Twelfth!J48="", "",Twelfth!J48)</f>
        <v>Creative Writing</v>
      </c>
      <c r="K2795" s="86" t="str">
        <f>IF(Twelfth!K48="", "",Twelfth!K48)</f>
        <v/>
      </c>
      <c r="M2795" s="67" t="str">
        <f t="shared" si="131"/>
        <v/>
      </c>
      <c r="N2795" s="76">
        <f t="shared" si="132"/>
        <v>7</v>
      </c>
      <c r="O2795" s="33">
        <f t="shared" si="130"/>
        <v>7</v>
      </c>
    </row>
    <row r="2796" spans="1:15" x14ac:dyDescent="0.25">
      <c r="A2796" s="93" t="s">
        <v>207</v>
      </c>
      <c r="B2796" s="79" t="str">
        <f>IF(Twelfth!B49="", "",Twelfth!B49)</f>
        <v>CSS</v>
      </c>
      <c r="C2796" s="66" t="str">
        <f>IF(Twelfth!C49="", "",Twelfth!C49)</f>
        <v>Carer</v>
      </c>
      <c r="D2796" s="66" t="str">
        <f>IF(Twelfth!D49="", "",Twelfth!D49)</f>
        <v>Returning</v>
      </c>
      <c r="E2796" s="66" t="str">
        <f>IF(Twelfth!E49="", "",Twelfth!E49)</f>
        <v>Female</v>
      </c>
      <c r="F2796" s="66" t="str">
        <f>IF(Twelfth!F49="", "",Twelfth!F49)</f>
        <v>Breast</v>
      </c>
      <c r="G2796" s="66" t="str">
        <f>IF(Twelfth!G49="", "",Twelfth!G49)</f>
        <v>Bereaved</v>
      </c>
      <c r="H2796" s="66" t="str">
        <f>IF(Twelfth!H49="", "",Twelfth!H49)</f>
        <v>Booked</v>
      </c>
      <c r="I2796" s="66" t="str">
        <f>IF(Twelfth!I49="", "",Twelfth!I49)</f>
        <v>Psych Support - Individual</v>
      </c>
      <c r="J2796" s="66" t="str">
        <f>IF(Twelfth!J49="", "",Twelfth!J49)</f>
        <v>Creative Writing</v>
      </c>
      <c r="K2796" s="86" t="str">
        <f>IF(Twelfth!K49="", "",Twelfth!K49)</f>
        <v/>
      </c>
      <c r="M2796" s="67" t="str">
        <f t="shared" si="131"/>
        <v/>
      </c>
      <c r="N2796" s="76">
        <f t="shared" si="132"/>
        <v>7</v>
      </c>
      <c r="O2796" s="33">
        <f t="shared" si="130"/>
        <v>7</v>
      </c>
    </row>
    <row r="2797" spans="1:15" x14ac:dyDescent="0.25">
      <c r="A2797" s="93" t="s">
        <v>207</v>
      </c>
      <c r="B2797" s="79" t="str">
        <f>IF(Twelfth!B50="", "",Twelfth!B50)</f>
        <v>CSS</v>
      </c>
      <c r="C2797" s="66" t="str">
        <f>IF(Twelfth!C50="", "",Twelfth!C50)</f>
        <v>Carer</v>
      </c>
      <c r="D2797" s="66" t="str">
        <f>IF(Twelfth!D50="", "",Twelfth!D50)</f>
        <v>Returning</v>
      </c>
      <c r="E2797" s="66" t="str">
        <f>IF(Twelfth!E50="", "",Twelfth!E50)</f>
        <v>Male</v>
      </c>
      <c r="F2797" s="66" t="str">
        <f>IF(Twelfth!F50="", "",Twelfth!F50)</f>
        <v>Breast</v>
      </c>
      <c r="G2797" s="66" t="str">
        <f>IF(Twelfth!G50="", "",Twelfth!G50)</f>
        <v>Curative Intent</v>
      </c>
      <c r="H2797" s="66" t="str">
        <f>IF(Twelfth!H50="", "",Twelfth!H50)</f>
        <v>Booked</v>
      </c>
      <c r="I2797" s="66" t="str">
        <f>IF(Twelfth!I50="", "",Twelfth!I50)</f>
        <v>Psych Support - Individual</v>
      </c>
      <c r="J2797" s="66" t="str">
        <f>IF(Twelfth!J50="", "",Twelfth!J50)</f>
        <v>Creative Writing</v>
      </c>
      <c r="K2797" s="86" t="str">
        <f>IF(Twelfth!K50="", "",Twelfth!K50)</f>
        <v/>
      </c>
      <c r="M2797" s="67" t="str">
        <f t="shared" si="131"/>
        <v/>
      </c>
      <c r="N2797" s="76">
        <f t="shared" si="132"/>
        <v>7</v>
      </c>
      <c r="O2797" s="33">
        <f t="shared" si="130"/>
        <v>7</v>
      </c>
    </row>
    <row r="2798" spans="1:15" x14ac:dyDescent="0.25">
      <c r="A2798" s="93" t="s">
        <v>207</v>
      </c>
      <c r="B2798" s="79" t="str">
        <f>IF(Twelfth!B51="", "",Twelfth!B51)</f>
        <v>Psychologist</v>
      </c>
      <c r="C2798" s="66" t="str">
        <f>IF(Twelfth!C51="", "",Twelfth!C51)</f>
        <v>Carer</v>
      </c>
      <c r="D2798" s="66" t="str">
        <f>IF(Twelfth!D51="", "",Twelfth!D51)</f>
        <v>Returning</v>
      </c>
      <c r="E2798" s="66" t="str">
        <f>IF(Twelfth!E51="", "",Twelfth!E51)</f>
        <v>Female</v>
      </c>
      <c r="F2798" s="66" t="str">
        <f>IF(Twelfth!F51="", "",Twelfth!F51)</f>
        <v>Prostate</v>
      </c>
      <c r="G2798" s="66" t="str">
        <f>IF(Twelfth!G51="", "",Twelfth!G51)</f>
        <v>Bereaved</v>
      </c>
      <c r="H2798" s="66" t="str">
        <f>IF(Twelfth!H51="", "",Twelfth!H51)</f>
        <v>Booked</v>
      </c>
      <c r="I2798" s="66" t="str">
        <f>IF(Twelfth!I51="", "",Twelfth!I51)</f>
        <v>Psych Support - Individual</v>
      </c>
      <c r="J2798" s="66" t="str">
        <f>IF(Twelfth!J51="", "",Twelfth!J51)</f>
        <v>Creative Writing</v>
      </c>
      <c r="K2798" s="86" t="str">
        <f>IF(Twelfth!K51="", "",Twelfth!K51)</f>
        <v/>
      </c>
      <c r="M2798" s="67" t="str">
        <f t="shared" si="131"/>
        <v/>
      </c>
      <c r="N2798" s="76">
        <f t="shared" si="132"/>
        <v>7</v>
      </c>
      <c r="O2798" s="33">
        <f t="shared" si="130"/>
        <v>7</v>
      </c>
    </row>
    <row r="2799" spans="1:15" x14ac:dyDescent="0.25">
      <c r="A2799" s="93" t="s">
        <v>207</v>
      </c>
      <c r="B2799" s="79" t="str">
        <f>IF(Twelfth!B52="", "",Twelfth!B52)</f>
        <v>Psychologist</v>
      </c>
      <c r="C2799" s="66" t="str">
        <f>IF(Twelfth!C52="", "",Twelfth!C52)</f>
        <v>Carer</v>
      </c>
      <c r="D2799" s="66" t="str">
        <f>IF(Twelfth!D52="", "",Twelfth!D52)</f>
        <v>Returning</v>
      </c>
      <c r="E2799" s="66" t="str">
        <f>IF(Twelfth!E52="", "",Twelfth!E52)</f>
        <v>Male</v>
      </c>
      <c r="F2799" s="66" t="str">
        <f>IF(Twelfth!F52="", "",Twelfth!F52)</f>
        <v>Breast</v>
      </c>
      <c r="G2799" s="66" t="str">
        <f>IF(Twelfth!G52="", "",Twelfth!G52)</f>
        <v>Post Treatment - Curative Intent</v>
      </c>
      <c r="H2799" s="66" t="str">
        <f>IF(Twelfth!H52="", "",Twelfth!H52)</f>
        <v>Booked</v>
      </c>
      <c r="I2799" s="66" t="str">
        <f>IF(Twelfth!I52="", "",Twelfth!I52)</f>
        <v>Psych Support - Individual</v>
      </c>
      <c r="J2799" s="66" t="str">
        <f>IF(Twelfth!J52="", "",Twelfth!J52)</f>
        <v>Creative Writing</v>
      </c>
      <c r="K2799" s="86" t="str">
        <f>IF(Twelfth!K52="", "",Twelfth!K52)</f>
        <v/>
      </c>
      <c r="M2799" s="67" t="str">
        <f t="shared" si="131"/>
        <v/>
      </c>
      <c r="N2799" s="76">
        <f t="shared" si="132"/>
        <v>7</v>
      </c>
      <c r="O2799" s="33">
        <f t="shared" si="130"/>
        <v>7</v>
      </c>
    </row>
    <row r="2800" spans="1:15" x14ac:dyDescent="0.25">
      <c r="A2800" s="93" t="s">
        <v>207</v>
      </c>
      <c r="B2800" s="79" t="str">
        <f>IF(Twelfth!B53="", "",Twelfth!B53)</f>
        <v>Psychologist</v>
      </c>
      <c r="C2800" s="66" t="str">
        <f>IF(Twelfth!C53="", "",Twelfth!C53)</f>
        <v>PwC</v>
      </c>
      <c r="D2800" s="66" t="str">
        <f>IF(Twelfth!D53="", "",Twelfth!D53)</f>
        <v>Returning</v>
      </c>
      <c r="E2800" s="66" t="str">
        <f>IF(Twelfth!E53="", "",Twelfth!E53)</f>
        <v>Male</v>
      </c>
      <c r="F2800" s="66" t="str">
        <f>IF(Twelfth!F53="", "",Twelfth!F53)</f>
        <v>Upper GI</v>
      </c>
      <c r="G2800" s="66" t="str">
        <f>IF(Twelfth!G53="", "",Twelfth!G53)</f>
        <v>Post Treatment - Curative Intent</v>
      </c>
      <c r="H2800" s="66" t="str">
        <f>IF(Twelfth!H53="", "",Twelfth!H53)</f>
        <v>Booked</v>
      </c>
      <c r="I2800" s="66" t="str">
        <f>IF(Twelfth!I53="", "",Twelfth!I53)</f>
        <v>Psych Support - Individual</v>
      </c>
      <c r="J2800" s="66" t="str">
        <f>IF(Twelfth!J53="", "",Twelfth!J53)</f>
        <v>Creative Writing</v>
      </c>
      <c r="K2800" s="86" t="str">
        <f>IF(Twelfth!K53="", "",Twelfth!K53)</f>
        <v/>
      </c>
      <c r="M2800" s="67">
        <f t="shared" si="131"/>
        <v>7</v>
      </c>
      <c r="N2800" s="76" t="str">
        <f t="shared" si="132"/>
        <v/>
      </c>
      <c r="O2800" s="33">
        <f t="shared" si="130"/>
        <v>7</v>
      </c>
    </row>
    <row r="2801" spans="1:15" x14ac:dyDescent="0.25">
      <c r="A2801" s="93" t="s">
        <v>207</v>
      </c>
      <c r="B2801" s="79" t="str">
        <f>IF(Twelfth!B54="", "",Twelfth!B54)</f>
        <v>Centre Head</v>
      </c>
      <c r="C2801" s="66" t="str">
        <f>IF(Twelfth!C54="", "",Twelfth!C54)</f>
        <v>PwC</v>
      </c>
      <c r="D2801" s="66" t="str">
        <f>IF(Twelfth!D54="", "",Twelfth!D54)</f>
        <v>Returning</v>
      </c>
      <c r="E2801" s="66" t="str">
        <f>IF(Twelfth!E54="", "",Twelfth!E54)</f>
        <v>Male</v>
      </c>
      <c r="F2801" s="66" t="str">
        <f>IF(Twelfth!F54="", "",Twelfth!F54)</f>
        <v>Upper GI</v>
      </c>
      <c r="G2801" s="66" t="str">
        <f>IF(Twelfth!G54="", "",Twelfth!G54)</f>
        <v>Non-Curative Intent</v>
      </c>
      <c r="H2801" s="66" t="str">
        <f>IF(Twelfth!H54="", "",Twelfth!H54)</f>
        <v>Drop-In</v>
      </c>
      <c r="I2801" s="66" t="str">
        <f>IF(Twelfth!I54="", "",Twelfth!I54)</f>
        <v/>
      </c>
      <c r="J2801" s="66" t="str">
        <f>IF(Twelfth!J54="", "",Twelfth!J54)</f>
        <v/>
      </c>
      <c r="K2801" s="86" t="str">
        <f>IF(Twelfth!K54="", "",Twelfth!K54)</f>
        <v/>
      </c>
      <c r="M2801" s="67">
        <f t="shared" si="131"/>
        <v>7</v>
      </c>
      <c r="N2801" s="76" t="str">
        <f t="shared" si="132"/>
        <v/>
      </c>
      <c r="O2801" s="33">
        <f t="shared" si="130"/>
        <v>7</v>
      </c>
    </row>
    <row r="2802" spans="1:15" x14ac:dyDescent="0.25">
      <c r="A2802" s="93" t="s">
        <v>207</v>
      </c>
      <c r="B2802" s="79" t="str">
        <f>IF(Twelfth!B55="", "",Twelfth!B55)</f>
        <v>Centre Head</v>
      </c>
      <c r="C2802" s="66" t="str">
        <f>IF(Twelfth!C55="", "",Twelfth!C55)</f>
        <v>Carer</v>
      </c>
      <c r="D2802" s="66" t="str">
        <f>IF(Twelfth!D55="", "",Twelfth!D55)</f>
        <v>Returning</v>
      </c>
      <c r="E2802" s="66" t="str">
        <f>IF(Twelfth!E55="", "",Twelfth!E55)</f>
        <v>Female</v>
      </c>
      <c r="F2802" s="66" t="str">
        <f>IF(Twelfth!F55="", "",Twelfth!F55)</f>
        <v>Upper GI</v>
      </c>
      <c r="G2802" s="66" t="str">
        <f>IF(Twelfth!G55="", "",Twelfth!G55)</f>
        <v>Non-Curative Intent</v>
      </c>
      <c r="H2802" s="66" t="str">
        <f>IF(Twelfth!H55="", "",Twelfth!H55)</f>
        <v>Drop-In</v>
      </c>
      <c r="I2802" s="66" t="str">
        <f>IF(Twelfth!I55="", "",Twelfth!I55)</f>
        <v/>
      </c>
      <c r="J2802" s="66" t="str">
        <f>IF(Twelfth!J55="", "",Twelfth!J55)</f>
        <v/>
      </c>
      <c r="K2802" s="86" t="str">
        <f>IF(Twelfth!K55="", "",Twelfth!K55)</f>
        <v/>
      </c>
      <c r="M2802" s="67" t="str">
        <f t="shared" si="131"/>
        <v/>
      </c>
      <c r="N2802" s="76">
        <f t="shared" si="132"/>
        <v>7</v>
      </c>
      <c r="O2802" s="33">
        <f t="shared" si="130"/>
        <v>7</v>
      </c>
    </row>
    <row r="2803" spans="1:15" x14ac:dyDescent="0.25">
      <c r="A2803" s="93" t="s">
        <v>207</v>
      </c>
      <c r="B2803" s="79" t="str">
        <f>IF(Twelfth!B56="", "",Twelfth!B56)</f>
        <v>Centre Head</v>
      </c>
      <c r="C2803" s="66" t="str">
        <f>IF(Twelfth!C56="", "",Twelfth!C56)</f>
        <v>PwC</v>
      </c>
      <c r="D2803" s="66" t="str">
        <f>IF(Twelfth!D56="", "",Twelfth!D56)</f>
        <v>Returning</v>
      </c>
      <c r="E2803" s="66" t="str">
        <f>IF(Twelfth!E56="", "",Twelfth!E56)</f>
        <v>Female</v>
      </c>
      <c r="F2803" s="66" t="str">
        <f>IF(Twelfth!F56="", "",Twelfth!F56)</f>
        <v>Upper GI</v>
      </c>
      <c r="G2803" s="66" t="str">
        <f>IF(Twelfth!G56="", "",Twelfth!G56)</f>
        <v>Non-Curative Intent</v>
      </c>
      <c r="H2803" s="66" t="str">
        <f>IF(Twelfth!H56="", "",Twelfth!H56)</f>
        <v>Booked</v>
      </c>
      <c r="I2803" s="66" t="str">
        <f>IF(Twelfth!I56="", "",Twelfth!I56)</f>
        <v>Psych Support - Individual</v>
      </c>
      <c r="J2803" s="66" t="str">
        <f>IF(Twelfth!J56="", "",Twelfth!J56)</f>
        <v/>
      </c>
      <c r="K2803" s="86" t="str">
        <f>IF(Twelfth!K56="", "",Twelfth!K56)</f>
        <v/>
      </c>
      <c r="M2803" s="67">
        <f t="shared" si="131"/>
        <v>7</v>
      </c>
      <c r="N2803" s="76" t="str">
        <f t="shared" si="132"/>
        <v/>
      </c>
      <c r="O2803" s="33">
        <f t="shared" si="130"/>
        <v>7</v>
      </c>
    </row>
    <row r="2804" spans="1:15" x14ac:dyDescent="0.25">
      <c r="A2804" s="93" t="s">
        <v>207</v>
      </c>
      <c r="B2804" s="79" t="str">
        <f>IF(Twelfth!B57="", "",Twelfth!B57)</f>
        <v>Centre Head</v>
      </c>
      <c r="C2804" s="66" t="str">
        <f>IF(Twelfth!C57="", "",Twelfth!C57)</f>
        <v>PwC</v>
      </c>
      <c r="D2804" s="66" t="str">
        <f>IF(Twelfth!D57="", "",Twelfth!D57)</f>
        <v>Returning</v>
      </c>
      <c r="E2804" s="66" t="str">
        <f>IF(Twelfth!E57="", "",Twelfth!E57)</f>
        <v>Male</v>
      </c>
      <c r="F2804" s="66" t="str">
        <f>IF(Twelfth!F57="", "",Twelfth!F57)</f>
        <v>Head/Neck</v>
      </c>
      <c r="G2804" s="66" t="str">
        <f>IF(Twelfth!G57="", "",Twelfth!G57)</f>
        <v>Post Treatment - Curative Intent</v>
      </c>
      <c r="H2804" s="66" t="str">
        <f>IF(Twelfth!H57="", "",Twelfth!H57)</f>
        <v>Booked</v>
      </c>
      <c r="I2804" s="66" t="str">
        <f>IF(Twelfth!I57="", "",Twelfth!I57)</f>
        <v>Psych Support - Individual</v>
      </c>
      <c r="J2804" s="66" t="str">
        <f>IF(Twelfth!J57="", "",Twelfth!J57)</f>
        <v/>
      </c>
      <c r="K2804" s="86" t="str">
        <f>IF(Twelfth!K57="", "",Twelfth!K57)</f>
        <v/>
      </c>
      <c r="M2804" s="67">
        <f t="shared" si="131"/>
        <v>7</v>
      </c>
      <c r="N2804" s="76" t="str">
        <f t="shared" si="132"/>
        <v/>
      </c>
      <c r="O2804" s="33">
        <f t="shared" si="130"/>
        <v>7</v>
      </c>
    </row>
    <row r="2805" spans="1:15" x14ac:dyDescent="0.25">
      <c r="A2805" s="93" t="s">
        <v>207</v>
      </c>
      <c r="B2805" s="79" t="str">
        <f>IF(Twelfth!B58="", "",Twelfth!B58)</f>
        <v>Centre Head</v>
      </c>
      <c r="C2805" s="66" t="str">
        <f>IF(Twelfth!C58="", "",Twelfth!C58)</f>
        <v>Carer</v>
      </c>
      <c r="D2805" s="66" t="str">
        <f>IF(Twelfth!D58="", "",Twelfth!D58)</f>
        <v>Returning</v>
      </c>
      <c r="E2805" s="66" t="str">
        <f>IF(Twelfth!E58="", "",Twelfth!E58)</f>
        <v>Female</v>
      </c>
      <c r="F2805" s="66" t="str">
        <f>IF(Twelfth!F58="", "",Twelfth!F58)</f>
        <v>Head/Neck</v>
      </c>
      <c r="G2805" s="66" t="str">
        <f>IF(Twelfth!G58="", "",Twelfth!G58)</f>
        <v>Post Treatment - Curative Intent</v>
      </c>
      <c r="H2805" s="66" t="str">
        <f>IF(Twelfth!H58="", "",Twelfth!H58)</f>
        <v>Booked</v>
      </c>
      <c r="I2805" s="66" t="str">
        <f>IF(Twelfth!I58="", "",Twelfth!I58)</f>
        <v>Psych Support - Individual</v>
      </c>
      <c r="J2805" s="66" t="str">
        <f>IF(Twelfth!J58="", "",Twelfth!J58)</f>
        <v/>
      </c>
      <c r="K2805" s="86" t="str">
        <f>IF(Twelfth!K58="", "",Twelfth!K58)</f>
        <v/>
      </c>
      <c r="M2805" s="67" t="str">
        <f t="shared" si="131"/>
        <v/>
      </c>
      <c r="N2805" s="76">
        <f t="shared" si="132"/>
        <v>7</v>
      </c>
      <c r="O2805" s="33">
        <f t="shared" si="130"/>
        <v>7</v>
      </c>
    </row>
    <row r="2806" spans="1:15" x14ac:dyDescent="0.25">
      <c r="A2806" s="93" t="s">
        <v>207</v>
      </c>
      <c r="B2806" s="79" t="str">
        <f>IF(Twelfth!B59="", "",Twelfth!B59)</f>
        <v>Centre Head</v>
      </c>
      <c r="C2806" s="66" t="str">
        <f>IF(Twelfth!C59="", "",Twelfth!C59)</f>
        <v>Carer</v>
      </c>
      <c r="D2806" s="66" t="str">
        <f>IF(Twelfth!D59="", "",Twelfth!D59)</f>
        <v>Returning</v>
      </c>
      <c r="E2806" s="66" t="str">
        <f>IF(Twelfth!E59="", "",Twelfth!E59)</f>
        <v>Male</v>
      </c>
      <c r="F2806" s="66" t="str">
        <f>IF(Twelfth!F59="", "",Twelfth!F59)</f>
        <v>Prostate</v>
      </c>
      <c r="G2806" s="66" t="str">
        <f>IF(Twelfth!G59="", "",Twelfth!G59)</f>
        <v>Non-Curative Intent</v>
      </c>
      <c r="H2806" s="66" t="str">
        <f>IF(Twelfth!H59="", "",Twelfth!H59)</f>
        <v>Booked</v>
      </c>
      <c r="I2806" s="66" t="str">
        <f>IF(Twelfth!I59="", "",Twelfth!I59)</f>
        <v>Psych Support - Individual</v>
      </c>
      <c r="J2806" s="66" t="str">
        <f>IF(Twelfth!J59="", "",Twelfth!J59)</f>
        <v/>
      </c>
      <c r="K2806" s="86" t="str">
        <f>IF(Twelfth!K59="", "",Twelfth!K59)</f>
        <v/>
      </c>
      <c r="M2806" s="67" t="str">
        <f t="shared" si="131"/>
        <v/>
      </c>
      <c r="N2806" s="76">
        <f t="shared" si="132"/>
        <v>7</v>
      </c>
      <c r="O2806" s="33">
        <f t="shared" si="130"/>
        <v>7</v>
      </c>
    </row>
    <row r="2807" spans="1:15" x14ac:dyDescent="0.25">
      <c r="A2807" s="93" t="s">
        <v>207</v>
      </c>
      <c r="B2807" s="79" t="str">
        <f>IF(Twelfth!B60="", "",Twelfth!B60)</f>
        <v>Centre Head</v>
      </c>
      <c r="C2807" s="66" t="str">
        <f>IF(Twelfth!C60="", "",Twelfth!C60)</f>
        <v>Carer</v>
      </c>
      <c r="D2807" s="66" t="str">
        <f>IF(Twelfth!D60="", "",Twelfth!D60)</f>
        <v>Returning</v>
      </c>
      <c r="E2807" s="66" t="str">
        <f>IF(Twelfth!E60="", "",Twelfth!E60)</f>
        <v>Female</v>
      </c>
      <c r="F2807" s="66" t="str">
        <f>IF(Twelfth!F60="", "",Twelfth!F60)</f>
        <v>Brain/CNS</v>
      </c>
      <c r="G2807" s="66" t="str">
        <f>IF(Twelfth!G60="", "",Twelfth!G60)</f>
        <v>Non-Curative Intent</v>
      </c>
      <c r="H2807" s="66" t="str">
        <f>IF(Twelfth!H60="", "",Twelfth!H60)</f>
        <v>Booked</v>
      </c>
      <c r="I2807" s="66" t="str">
        <f>IF(Twelfth!I60="", "",Twelfth!I60)</f>
        <v>Psych Support - Individual</v>
      </c>
      <c r="J2807" s="66" t="str">
        <f>IF(Twelfth!J60="", "",Twelfth!J60)</f>
        <v/>
      </c>
      <c r="K2807" s="86" t="str">
        <f>IF(Twelfth!K60="", "",Twelfth!K60)</f>
        <v/>
      </c>
      <c r="M2807" s="67" t="str">
        <f t="shared" si="131"/>
        <v/>
      </c>
      <c r="N2807" s="76">
        <f t="shared" si="132"/>
        <v>7</v>
      </c>
      <c r="O2807" s="33">
        <f t="shared" si="130"/>
        <v>7</v>
      </c>
    </row>
    <row r="2808" spans="1:15" x14ac:dyDescent="0.25">
      <c r="A2808" s="93" t="s">
        <v>207</v>
      </c>
      <c r="B2808" s="79" t="str">
        <f>IF(Twelfth!B61="", "",Twelfth!B61)</f>
        <v>Centre Head</v>
      </c>
      <c r="C2808" s="66" t="str">
        <f>IF(Twelfth!C61="", "",Twelfth!C61)</f>
        <v>Carer</v>
      </c>
      <c r="D2808" s="66" t="str">
        <f>IF(Twelfth!D61="", "",Twelfth!D61)</f>
        <v>Returning</v>
      </c>
      <c r="E2808" s="66" t="str">
        <f>IF(Twelfth!E61="", "",Twelfth!E61)</f>
        <v>Female</v>
      </c>
      <c r="F2808" s="66" t="str">
        <f>IF(Twelfth!F61="", "",Twelfth!F61)</f>
        <v>Lung</v>
      </c>
      <c r="G2808" s="66" t="str">
        <f>IF(Twelfth!G61="", "",Twelfth!G61)</f>
        <v>Non-Curative Intent</v>
      </c>
      <c r="H2808" s="66" t="str">
        <f>IF(Twelfth!H61="", "",Twelfth!H61)</f>
        <v>Booked</v>
      </c>
      <c r="I2808" s="66" t="str">
        <f>IF(Twelfth!I61="", "",Twelfth!I61)</f>
        <v>Psych Support - Individual</v>
      </c>
      <c r="J2808" s="66" t="str">
        <f>IF(Twelfth!J61="", "",Twelfth!J61)</f>
        <v/>
      </c>
      <c r="K2808" s="86" t="str">
        <f>IF(Twelfth!K61="", "",Twelfth!K61)</f>
        <v/>
      </c>
      <c r="M2808" s="67" t="str">
        <f t="shared" si="131"/>
        <v/>
      </c>
      <c r="N2808" s="76">
        <f t="shared" si="132"/>
        <v>7</v>
      </c>
      <c r="O2808" s="33">
        <f t="shared" si="130"/>
        <v>7</v>
      </c>
    </row>
    <row r="2809" spans="1:15" x14ac:dyDescent="0.25">
      <c r="A2809" s="93" t="s">
        <v>207</v>
      </c>
      <c r="B2809" s="79" t="str">
        <f>IF(Twelfth!B62="", "",Twelfth!B62)</f>
        <v>Centre Head</v>
      </c>
      <c r="C2809" s="66" t="str">
        <f>IF(Twelfth!C62="", "",Twelfth!C62)</f>
        <v>Carer</v>
      </c>
      <c r="D2809" s="66" t="str">
        <f>IF(Twelfth!D62="", "",Twelfth!D62)</f>
        <v>Returning</v>
      </c>
      <c r="E2809" s="66" t="str">
        <f>IF(Twelfth!E62="", "",Twelfth!E62)</f>
        <v>Female</v>
      </c>
      <c r="F2809" s="66" t="str">
        <f>IF(Twelfth!F62="", "",Twelfth!F62)</f>
        <v>Head/Neck</v>
      </c>
      <c r="G2809" s="66" t="str">
        <f>IF(Twelfth!G62="", "",Twelfth!G62)</f>
        <v>Non-Curative Intent</v>
      </c>
      <c r="H2809" s="66" t="str">
        <f>IF(Twelfth!H62="", "",Twelfth!H62)</f>
        <v>Booked</v>
      </c>
      <c r="I2809" s="66" t="str">
        <f>IF(Twelfth!I62="", "",Twelfth!I62)</f>
        <v>Psych Support - Individual</v>
      </c>
      <c r="J2809" s="66" t="str">
        <f>IF(Twelfth!J62="", "",Twelfth!J62)</f>
        <v/>
      </c>
      <c r="K2809" s="86" t="str">
        <f>IF(Twelfth!K62="", "",Twelfth!K62)</f>
        <v/>
      </c>
      <c r="M2809" s="67" t="str">
        <f t="shared" si="131"/>
        <v/>
      </c>
      <c r="N2809" s="76">
        <f t="shared" si="132"/>
        <v>7</v>
      </c>
      <c r="O2809" s="33">
        <f t="shared" si="130"/>
        <v>7</v>
      </c>
    </row>
    <row r="2810" spans="1:15" x14ac:dyDescent="0.25">
      <c r="A2810" s="93" t="s">
        <v>207</v>
      </c>
      <c r="B2810" s="79" t="str">
        <f>IF(Twelfth!B63="", "",Twelfth!B63)</f>
        <v>Centre Head</v>
      </c>
      <c r="C2810" s="66" t="str">
        <f>IF(Twelfth!C63="", "",Twelfth!C63)</f>
        <v>PwC</v>
      </c>
      <c r="D2810" s="66" t="str">
        <f>IF(Twelfth!D63="", "",Twelfth!D63)</f>
        <v>Returning</v>
      </c>
      <c r="E2810" s="66" t="str">
        <f>IF(Twelfth!E63="", "",Twelfth!E63)</f>
        <v>Female</v>
      </c>
      <c r="F2810" s="66" t="str">
        <f>IF(Twelfth!F63="", "",Twelfth!F63)</f>
        <v>Sarcoma</v>
      </c>
      <c r="G2810" s="66" t="str">
        <f>IF(Twelfth!G63="", "",Twelfth!G63)</f>
        <v>Post Treatment - Curative Intent</v>
      </c>
      <c r="H2810" s="66" t="str">
        <f>IF(Twelfth!H63="", "",Twelfth!H63)</f>
        <v>Booked</v>
      </c>
      <c r="I2810" s="66" t="str">
        <f>IF(Twelfth!I63="", "",Twelfth!I63)</f>
        <v>Psych Support - Individual</v>
      </c>
      <c r="J2810" s="66" t="str">
        <f>IF(Twelfth!J63="", "",Twelfth!J63)</f>
        <v/>
      </c>
      <c r="K2810" s="86" t="str">
        <f>IF(Twelfth!K63="", "",Twelfth!K63)</f>
        <v/>
      </c>
      <c r="M2810" s="67">
        <f t="shared" si="131"/>
        <v>7</v>
      </c>
      <c r="N2810" s="76" t="str">
        <f t="shared" si="132"/>
        <v/>
      </c>
      <c r="O2810" s="33">
        <f t="shared" si="130"/>
        <v>7</v>
      </c>
    </row>
    <row r="2811" spans="1:15" x14ac:dyDescent="0.25">
      <c r="A2811" s="93" t="s">
        <v>207</v>
      </c>
      <c r="B2811" s="79" t="str">
        <f>IF(Twelfth!B64="", "",Twelfth!B64)</f>
        <v>Centre Head</v>
      </c>
      <c r="C2811" s="66" t="str">
        <f>IF(Twelfth!C64="", "",Twelfth!C64)</f>
        <v>PwC</v>
      </c>
      <c r="D2811" s="66" t="str">
        <f>IF(Twelfth!D64="", "",Twelfth!D64)</f>
        <v>Returning</v>
      </c>
      <c r="E2811" s="66" t="str">
        <f>IF(Twelfth!E64="", "",Twelfth!E64)</f>
        <v>Female</v>
      </c>
      <c r="F2811" s="66" t="str">
        <f>IF(Twelfth!F64="", "",Twelfth!F64)</f>
        <v>Upper GI</v>
      </c>
      <c r="G2811" s="66" t="str">
        <f>IF(Twelfth!G64="", "",Twelfth!G64)</f>
        <v>Non-Curative Intent</v>
      </c>
      <c r="H2811" s="66" t="str">
        <f>IF(Twelfth!H64="", "",Twelfth!H64)</f>
        <v>Booked</v>
      </c>
      <c r="I2811" s="66" t="str">
        <f>IF(Twelfth!I64="", "",Twelfth!I64)</f>
        <v>Psych Support - Individual</v>
      </c>
      <c r="J2811" s="66" t="str">
        <f>IF(Twelfth!J64="", "",Twelfth!J64)</f>
        <v/>
      </c>
      <c r="K2811" s="86" t="str">
        <f>IF(Twelfth!K64="", "",Twelfth!K64)</f>
        <v/>
      </c>
      <c r="M2811" s="67">
        <f t="shared" si="131"/>
        <v>7</v>
      </c>
      <c r="N2811" s="76" t="str">
        <f t="shared" si="132"/>
        <v/>
      </c>
      <c r="O2811" s="33">
        <f t="shared" si="130"/>
        <v>7</v>
      </c>
    </row>
    <row r="2812" spans="1:15" x14ac:dyDescent="0.25">
      <c r="A2812" s="93" t="s">
        <v>207</v>
      </c>
      <c r="B2812" s="79" t="str">
        <f>IF(Twelfth!B65="", "",Twelfth!B65)</f>
        <v>Centre Head</v>
      </c>
      <c r="C2812" s="66" t="str">
        <f>IF(Twelfth!C65="", "",Twelfth!C65)</f>
        <v>Carer</v>
      </c>
      <c r="D2812" s="66" t="str">
        <f>IF(Twelfth!D65="", "",Twelfth!D65)</f>
        <v>Returning</v>
      </c>
      <c r="E2812" s="66" t="str">
        <f>IF(Twelfth!E65="", "",Twelfth!E65)</f>
        <v>Female</v>
      </c>
      <c r="F2812" s="66" t="str">
        <f>IF(Twelfth!F65="", "",Twelfth!F65)</f>
        <v>Upper GI</v>
      </c>
      <c r="G2812" s="66" t="str">
        <f>IF(Twelfth!G65="", "",Twelfth!G65)</f>
        <v>Bereaved</v>
      </c>
      <c r="H2812" s="66" t="str">
        <f>IF(Twelfth!H65="", "",Twelfth!H65)</f>
        <v>Booked</v>
      </c>
      <c r="I2812" s="66" t="str">
        <f>IF(Twelfth!I65="", "",Twelfth!I65)</f>
        <v>Psych Support - Individual</v>
      </c>
      <c r="J2812" s="66" t="str">
        <f>IF(Twelfth!J65="", "",Twelfth!J65)</f>
        <v/>
      </c>
      <c r="K2812" s="86" t="str">
        <f>IF(Twelfth!K65="", "",Twelfth!K65)</f>
        <v/>
      </c>
      <c r="M2812" s="67" t="str">
        <f t="shared" si="131"/>
        <v/>
      </c>
      <c r="N2812" s="76">
        <f t="shared" si="132"/>
        <v>7</v>
      </c>
      <c r="O2812" s="33">
        <f t="shared" si="130"/>
        <v>7</v>
      </c>
    </row>
    <row r="2813" spans="1:15" x14ac:dyDescent="0.25">
      <c r="A2813" s="93" t="s">
        <v>207</v>
      </c>
      <c r="B2813" s="79" t="str">
        <f>IF(Twelfth!B66="", "",Twelfth!B66)</f>
        <v>Centre Head</v>
      </c>
      <c r="C2813" s="66" t="str">
        <f>IF(Twelfth!C66="", "",Twelfth!C66)</f>
        <v>PwC</v>
      </c>
      <c r="D2813" s="66" t="str">
        <f>IF(Twelfth!D66="", "",Twelfth!D66)</f>
        <v>New</v>
      </c>
      <c r="E2813" s="66" t="str">
        <f>IF(Twelfth!E66="", "",Twelfth!E66)</f>
        <v>Male</v>
      </c>
      <c r="F2813" s="66" t="str">
        <f>IF(Twelfth!F66="", "",Twelfth!F66)</f>
        <v>Lower GI</v>
      </c>
      <c r="G2813" s="66" t="str">
        <f>IF(Twelfth!G66="", "",Twelfth!G66)</f>
        <v>Post Treatment - Curative Intent</v>
      </c>
      <c r="H2813" s="66" t="str">
        <f>IF(Twelfth!H66="", "",Twelfth!H66)</f>
        <v>Booked</v>
      </c>
      <c r="I2813" s="66" t="str">
        <f>IF(Twelfth!I66="", "",Twelfth!I66)</f>
        <v>Psych Support - Individual</v>
      </c>
      <c r="J2813" s="66" t="str">
        <f>IF(Twelfth!J66="", "",Twelfth!J66)</f>
        <v/>
      </c>
      <c r="K2813" s="86" t="str">
        <f>IF(Twelfth!K66="", "",Twelfth!K66)</f>
        <v/>
      </c>
      <c r="M2813" s="67">
        <f t="shared" si="131"/>
        <v>7</v>
      </c>
      <c r="N2813" s="76" t="str">
        <f t="shared" si="132"/>
        <v/>
      </c>
      <c r="O2813" s="33">
        <f t="shared" si="130"/>
        <v>7</v>
      </c>
    </row>
    <row r="2814" spans="1:15" x14ac:dyDescent="0.25">
      <c r="A2814" s="93" t="s">
        <v>207</v>
      </c>
      <c r="B2814" s="79" t="str">
        <f>IF(Twelfth!B67="", "",Twelfth!B67)</f>
        <v>Centre Head</v>
      </c>
      <c r="C2814" s="66" t="str">
        <f>IF(Twelfth!C67="", "",Twelfth!C67)</f>
        <v>PwC</v>
      </c>
      <c r="D2814" s="66" t="str">
        <f>IF(Twelfth!D67="", "",Twelfth!D67)</f>
        <v>New</v>
      </c>
      <c r="E2814" s="66" t="str">
        <f>IF(Twelfth!E67="", "",Twelfth!E67)</f>
        <v>Male</v>
      </c>
      <c r="F2814" s="66" t="str">
        <f>IF(Twelfth!F67="", "",Twelfth!F67)</f>
        <v>Testicular</v>
      </c>
      <c r="G2814" s="66" t="str">
        <f>IF(Twelfth!G67="", "",Twelfth!G67)</f>
        <v>Post Treatment - Curative Intent</v>
      </c>
      <c r="H2814" s="66" t="str">
        <f>IF(Twelfth!H67="", "",Twelfth!H67)</f>
        <v>Booked</v>
      </c>
      <c r="I2814" s="66" t="str">
        <f>IF(Twelfth!I67="", "",Twelfth!I67)</f>
        <v>Psych Support - Individual</v>
      </c>
      <c r="J2814" s="66" t="str">
        <f>IF(Twelfth!J67="", "",Twelfth!J67)</f>
        <v/>
      </c>
      <c r="K2814" s="86" t="str">
        <f>IF(Twelfth!K67="", "",Twelfth!K67)</f>
        <v/>
      </c>
      <c r="M2814" s="67">
        <f t="shared" si="131"/>
        <v>7</v>
      </c>
      <c r="N2814" s="76" t="str">
        <f t="shared" si="132"/>
        <v/>
      </c>
      <c r="O2814" s="33">
        <f t="shared" si="130"/>
        <v>7</v>
      </c>
    </row>
    <row r="2815" spans="1:15" x14ac:dyDescent="0.25">
      <c r="A2815" s="93" t="s">
        <v>207</v>
      </c>
      <c r="B2815" s="79" t="str">
        <f>IF(Twelfth!B68="", "",Twelfth!B68)</f>
        <v>Centre Head</v>
      </c>
      <c r="C2815" s="66" t="str">
        <f>IF(Twelfth!C68="", "",Twelfth!C68)</f>
        <v>PwC</v>
      </c>
      <c r="D2815" s="66" t="str">
        <f>IF(Twelfth!D68="", "",Twelfth!D68)</f>
        <v>New</v>
      </c>
      <c r="E2815" s="66" t="str">
        <f>IF(Twelfth!E68="", "",Twelfth!E68)</f>
        <v>Male</v>
      </c>
      <c r="F2815" s="66" t="str">
        <f>IF(Twelfth!F68="", "",Twelfth!F68)</f>
        <v>Lower GI</v>
      </c>
      <c r="G2815" s="66" t="str">
        <f>IF(Twelfth!G68="", "",Twelfth!G68)</f>
        <v>Curative Intent</v>
      </c>
      <c r="H2815" s="66" t="str">
        <f>IF(Twelfth!H68="", "",Twelfth!H68)</f>
        <v>Drop-In</v>
      </c>
      <c r="I2815" s="66" t="str">
        <f>IF(Twelfth!I68="", "",Twelfth!I68)</f>
        <v/>
      </c>
      <c r="J2815" s="66" t="str">
        <f>IF(Twelfth!J68="", "",Twelfth!J68)</f>
        <v/>
      </c>
      <c r="K2815" s="86" t="str">
        <f>IF(Twelfth!K68="", "",Twelfth!K68)</f>
        <v/>
      </c>
      <c r="M2815" s="67">
        <f t="shared" si="131"/>
        <v>7</v>
      </c>
      <c r="N2815" s="76" t="str">
        <f t="shared" si="132"/>
        <v/>
      </c>
      <c r="O2815" s="33">
        <f t="shared" si="130"/>
        <v>7</v>
      </c>
    </row>
    <row r="2816" spans="1:15" x14ac:dyDescent="0.25">
      <c r="A2816" s="93" t="s">
        <v>207</v>
      </c>
      <c r="B2816" s="79" t="str">
        <f>IF(Twelfth!B69="", "",Twelfth!B69)</f>
        <v>Centre Head</v>
      </c>
      <c r="C2816" s="66" t="str">
        <f>IF(Twelfth!C69="", "",Twelfth!C69)</f>
        <v>Carer</v>
      </c>
      <c r="D2816" s="66" t="str">
        <f>IF(Twelfth!D69="", "",Twelfth!D69)</f>
        <v>New</v>
      </c>
      <c r="E2816" s="66" t="str">
        <f>IF(Twelfth!E69="", "",Twelfth!E69)</f>
        <v>Female</v>
      </c>
      <c r="F2816" s="66" t="str">
        <f>IF(Twelfth!F69="", "",Twelfth!F69)</f>
        <v>Lower GI</v>
      </c>
      <c r="G2816" s="66" t="str">
        <f>IF(Twelfth!G69="", "",Twelfth!G69)</f>
        <v>Curative Intent</v>
      </c>
      <c r="H2816" s="66" t="str">
        <f>IF(Twelfth!H69="", "",Twelfth!H69)</f>
        <v>Drop-In</v>
      </c>
      <c r="I2816" s="66" t="str">
        <f>IF(Twelfth!I69="", "",Twelfth!I69)</f>
        <v/>
      </c>
      <c r="J2816" s="66" t="str">
        <f>IF(Twelfth!J69="", "",Twelfth!J69)</f>
        <v/>
      </c>
      <c r="K2816" s="86" t="str">
        <f>IF(Twelfth!K69="", "",Twelfth!K69)</f>
        <v/>
      </c>
      <c r="M2816" s="67" t="str">
        <f t="shared" si="131"/>
        <v/>
      </c>
      <c r="N2816" s="76">
        <f t="shared" si="132"/>
        <v>7</v>
      </c>
      <c r="O2816" s="33">
        <f t="shared" si="130"/>
        <v>7</v>
      </c>
    </row>
    <row r="2817" spans="1:15" x14ac:dyDescent="0.25">
      <c r="A2817" s="93" t="s">
        <v>207</v>
      </c>
      <c r="B2817" s="79" t="str">
        <f>IF(Twelfth!B70="", "",Twelfth!B70)</f>
        <v>Centre Head</v>
      </c>
      <c r="C2817" s="66" t="str">
        <f>IF(Twelfth!C70="", "",Twelfth!C70)</f>
        <v>PwC</v>
      </c>
      <c r="D2817" s="66" t="str">
        <f>IF(Twelfth!D70="", "",Twelfth!D70)</f>
        <v>Returning</v>
      </c>
      <c r="E2817" s="66" t="str">
        <f>IF(Twelfth!E70="", "",Twelfth!E70)</f>
        <v>Male</v>
      </c>
      <c r="F2817" s="66" t="str">
        <f>IF(Twelfth!F70="", "",Twelfth!F70)</f>
        <v>Brain/CNS</v>
      </c>
      <c r="G2817" s="66" t="str">
        <f>IF(Twelfth!G70="", "",Twelfth!G70)</f>
        <v>Post Treatment - Curative Intent</v>
      </c>
      <c r="H2817" s="66" t="str">
        <f>IF(Twelfth!H70="", "",Twelfth!H70)</f>
        <v>Programme</v>
      </c>
      <c r="I2817" s="66" t="str">
        <f>IF(Twelfth!I70="", "",Twelfth!I70)</f>
        <v>FSG Young Person's</v>
      </c>
      <c r="J2817" s="66" t="str">
        <f>IF(Twelfth!J70="", "",Twelfth!J70)</f>
        <v/>
      </c>
      <c r="K2817" s="86" t="str">
        <f>IF(Twelfth!K70="", "",Twelfth!K70)</f>
        <v/>
      </c>
      <c r="M2817" s="67">
        <f t="shared" si="131"/>
        <v>7</v>
      </c>
      <c r="N2817" s="76" t="str">
        <f t="shared" si="132"/>
        <v/>
      </c>
      <c r="O2817" s="33">
        <f t="shared" si="130"/>
        <v>7</v>
      </c>
    </row>
    <row r="2818" spans="1:15" x14ac:dyDescent="0.25">
      <c r="A2818" s="93" t="s">
        <v>207</v>
      </c>
      <c r="B2818" s="79" t="str">
        <f>IF(Twelfth!B71="", "",Twelfth!B71)</f>
        <v>Centre Head</v>
      </c>
      <c r="C2818" s="66" t="str">
        <f>IF(Twelfth!C71="", "",Twelfth!C71)</f>
        <v>PwC</v>
      </c>
      <c r="D2818" s="66" t="str">
        <f>IF(Twelfth!D71="", "",Twelfth!D71)</f>
        <v>Returning</v>
      </c>
      <c r="E2818" s="66" t="str">
        <f>IF(Twelfth!E71="", "",Twelfth!E71)</f>
        <v>Male</v>
      </c>
      <c r="F2818" s="66" t="str">
        <f>IF(Twelfth!F71="", "",Twelfth!F71)</f>
        <v>Brain/CNS</v>
      </c>
      <c r="G2818" s="66" t="str">
        <f>IF(Twelfth!G71="", "",Twelfth!G71)</f>
        <v>Post Treatment - Curative Intent</v>
      </c>
      <c r="H2818" s="66" t="str">
        <f>IF(Twelfth!H71="", "",Twelfth!H71)</f>
        <v>Programme</v>
      </c>
      <c r="I2818" s="66" t="str">
        <f>IF(Twelfth!I71="", "",Twelfth!I71)</f>
        <v>FSG Young Person's</v>
      </c>
      <c r="J2818" s="66" t="str">
        <f>IF(Twelfth!J71="", "",Twelfth!J71)</f>
        <v/>
      </c>
      <c r="K2818" s="86" t="str">
        <f>IF(Twelfth!K71="", "",Twelfth!K71)</f>
        <v/>
      </c>
      <c r="M2818" s="67">
        <f t="shared" si="131"/>
        <v>7</v>
      </c>
      <c r="N2818" s="76" t="str">
        <f t="shared" si="132"/>
        <v/>
      </c>
      <c r="O2818" s="33">
        <f t="shared" ref="O2818:O2881" si="133">SUM(M2818:N2818)</f>
        <v>7</v>
      </c>
    </row>
    <row r="2819" spans="1:15" x14ac:dyDescent="0.25">
      <c r="A2819" s="93" t="s">
        <v>207</v>
      </c>
      <c r="B2819" s="79" t="str">
        <f>IF(Twelfth!B72="", "",Twelfth!B72)</f>
        <v>Centre Head</v>
      </c>
      <c r="C2819" s="66" t="str">
        <f>IF(Twelfth!C72="", "",Twelfth!C72)</f>
        <v>PwC</v>
      </c>
      <c r="D2819" s="66" t="str">
        <f>IF(Twelfth!D72="", "",Twelfth!D72)</f>
        <v>Returning</v>
      </c>
      <c r="E2819" s="66" t="str">
        <f>IF(Twelfth!E72="", "",Twelfth!E72)</f>
        <v>Male</v>
      </c>
      <c r="F2819" s="66" t="str">
        <f>IF(Twelfth!F72="", "",Twelfth!F72)</f>
        <v>Haemat</v>
      </c>
      <c r="G2819" s="66" t="str">
        <f>IF(Twelfth!G72="", "",Twelfth!G72)</f>
        <v>Post Treatment - Curative Intent</v>
      </c>
      <c r="H2819" s="66" t="str">
        <f>IF(Twelfth!H72="", "",Twelfth!H72)</f>
        <v>Programme</v>
      </c>
      <c r="I2819" s="66" t="str">
        <f>IF(Twelfth!I72="", "",Twelfth!I72)</f>
        <v>FSG Young Person's</v>
      </c>
      <c r="J2819" s="66" t="str">
        <f>IF(Twelfth!J72="", "",Twelfth!J72)</f>
        <v/>
      </c>
      <c r="K2819" s="86" t="str">
        <f>IF(Twelfth!K72="", "",Twelfth!K72)</f>
        <v/>
      </c>
      <c r="M2819" s="67">
        <f t="shared" ref="M2819:M2882" si="134">IF(C2819="PwC",(7-COUNTIF(B2819:H2819,"")),"")</f>
        <v>7</v>
      </c>
      <c r="N2819" s="76" t="str">
        <f t="shared" ref="N2819:N2882" si="135">IF(C2819="Carer",(7-COUNTIF(B2819:H2819,"")),"")</f>
        <v/>
      </c>
      <c r="O2819" s="33">
        <f t="shared" si="133"/>
        <v>7</v>
      </c>
    </row>
    <row r="2820" spans="1:15" x14ac:dyDescent="0.25">
      <c r="A2820" s="93" t="s">
        <v>207</v>
      </c>
      <c r="B2820" s="79" t="str">
        <f>IF(Twelfth!B73="", "",Twelfth!B73)</f>
        <v>Centre Head</v>
      </c>
      <c r="C2820" s="66" t="str">
        <f>IF(Twelfth!C73="", "",Twelfth!C73)</f>
        <v>PwC</v>
      </c>
      <c r="D2820" s="66" t="str">
        <f>IF(Twelfth!D73="", "",Twelfth!D73)</f>
        <v>Returning</v>
      </c>
      <c r="E2820" s="66" t="str">
        <f>IF(Twelfth!E73="", "",Twelfth!E73)</f>
        <v>Female</v>
      </c>
      <c r="F2820" s="66" t="str">
        <f>IF(Twelfth!F73="", "",Twelfth!F73)</f>
        <v>Haemat</v>
      </c>
      <c r="G2820" s="66" t="str">
        <f>IF(Twelfth!G73="", "",Twelfth!G73)</f>
        <v>Post Treatment - Curative Intent</v>
      </c>
      <c r="H2820" s="66" t="str">
        <f>IF(Twelfth!H73="", "",Twelfth!H73)</f>
        <v>Programme</v>
      </c>
      <c r="I2820" s="66" t="str">
        <f>IF(Twelfth!I73="", "",Twelfth!I73)</f>
        <v>FSG Young Person's</v>
      </c>
      <c r="J2820" s="66" t="str">
        <f>IF(Twelfth!J73="", "",Twelfth!J73)</f>
        <v/>
      </c>
      <c r="K2820" s="86" t="str">
        <f>IF(Twelfth!K73="", "",Twelfth!K73)</f>
        <v/>
      </c>
      <c r="M2820" s="67">
        <f t="shared" si="134"/>
        <v>7</v>
      </c>
      <c r="N2820" s="76" t="str">
        <f t="shared" si="135"/>
        <v/>
      </c>
      <c r="O2820" s="33">
        <f t="shared" si="133"/>
        <v>7</v>
      </c>
    </row>
    <row r="2821" spans="1:15" x14ac:dyDescent="0.25">
      <c r="A2821" s="93" t="s">
        <v>207</v>
      </c>
      <c r="B2821" s="79" t="str">
        <f>IF(Twelfth!B74="", "",Twelfth!B74)</f>
        <v>Centre Head</v>
      </c>
      <c r="C2821" s="66" t="str">
        <f>IF(Twelfth!C74="", "",Twelfth!C74)</f>
        <v>PwC</v>
      </c>
      <c r="D2821" s="66" t="str">
        <f>IF(Twelfth!D74="", "",Twelfth!D74)</f>
        <v>Returning</v>
      </c>
      <c r="E2821" s="66" t="str">
        <f>IF(Twelfth!E74="", "",Twelfth!E74)</f>
        <v>Female</v>
      </c>
      <c r="F2821" s="66" t="str">
        <f>IF(Twelfth!F74="", "",Twelfth!F74)</f>
        <v>Haemat</v>
      </c>
      <c r="G2821" s="66" t="str">
        <f>IF(Twelfth!G74="", "",Twelfth!G74)</f>
        <v>Post Treatment - Curative Intent</v>
      </c>
      <c r="H2821" s="66" t="str">
        <f>IF(Twelfth!H74="", "",Twelfth!H74)</f>
        <v>Programme</v>
      </c>
      <c r="I2821" s="66" t="str">
        <f>IF(Twelfth!I74="", "",Twelfth!I74)</f>
        <v>FSG Young Person's</v>
      </c>
      <c r="J2821" s="66" t="str">
        <f>IF(Twelfth!J74="", "",Twelfth!J74)</f>
        <v/>
      </c>
      <c r="K2821" s="86" t="str">
        <f>IF(Twelfth!K74="", "",Twelfth!K74)</f>
        <v/>
      </c>
      <c r="M2821" s="67">
        <f t="shared" si="134"/>
        <v>7</v>
      </c>
      <c r="N2821" s="76" t="str">
        <f t="shared" si="135"/>
        <v/>
      </c>
      <c r="O2821" s="33">
        <f t="shared" si="133"/>
        <v>7</v>
      </c>
    </row>
    <row r="2822" spans="1:15" x14ac:dyDescent="0.25">
      <c r="A2822" s="93" t="s">
        <v>207</v>
      </c>
      <c r="B2822" s="79" t="str">
        <f>IF(Twelfth!B75="", "",Twelfth!B75)</f>
        <v>Centre Head</v>
      </c>
      <c r="C2822" s="66" t="str">
        <f>IF(Twelfth!C75="", "",Twelfth!C75)</f>
        <v>PwC</v>
      </c>
      <c r="D2822" s="66" t="str">
        <f>IF(Twelfth!D75="", "",Twelfth!D75)</f>
        <v>Returning</v>
      </c>
      <c r="E2822" s="66" t="str">
        <f>IF(Twelfth!E75="", "",Twelfth!E75)</f>
        <v>Female</v>
      </c>
      <c r="F2822" s="66" t="str">
        <f>IF(Twelfth!F75="", "",Twelfth!F75)</f>
        <v>Haemat</v>
      </c>
      <c r="G2822" s="66" t="str">
        <f>IF(Twelfth!G75="", "",Twelfth!G75)</f>
        <v>Post Treatment - Curative Intent</v>
      </c>
      <c r="H2822" s="66" t="str">
        <f>IF(Twelfth!H75="", "",Twelfth!H75)</f>
        <v>Programme</v>
      </c>
      <c r="I2822" s="66" t="str">
        <f>IF(Twelfth!I75="", "",Twelfth!I75)</f>
        <v>FSG Young Person's</v>
      </c>
      <c r="J2822" s="66" t="str">
        <f>IF(Twelfth!J75="", "",Twelfth!J75)</f>
        <v/>
      </c>
      <c r="K2822" s="86" t="str">
        <f>IF(Twelfth!K75="", "",Twelfth!K75)</f>
        <v/>
      </c>
      <c r="M2822" s="67">
        <f t="shared" si="134"/>
        <v>7</v>
      </c>
      <c r="N2822" s="76" t="str">
        <f t="shared" si="135"/>
        <v/>
      </c>
      <c r="O2822" s="33">
        <f t="shared" si="133"/>
        <v>7</v>
      </c>
    </row>
    <row r="2823" spans="1:15" x14ac:dyDescent="0.25">
      <c r="A2823" s="93" t="s">
        <v>207</v>
      </c>
      <c r="B2823" s="79" t="str">
        <f>IF(Twelfth!B76="", "",Twelfth!B76)</f>
        <v>Centre Head</v>
      </c>
      <c r="C2823" s="66" t="str">
        <f>IF(Twelfth!C76="", "",Twelfth!C76)</f>
        <v>PwC</v>
      </c>
      <c r="D2823" s="66" t="str">
        <f>IF(Twelfth!D76="", "",Twelfth!D76)</f>
        <v>Returning</v>
      </c>
      <c r="E2823" s="66" t="str">
        <f>IF(Twelfth!E76="", "",Twelfth!E76)</f>
        <v>Female</v>
      </c>
      <c r="F2823" s="66" t="str">
        <f>IF(Twelfth!F76="", "",Twelfth!F76)</f>
        <v>Brain/CNS</v>
      </c>
      <c r="G2823" s="66" t="str">
        <f>IF(Twelfth!G76="", "",Twelfth!G76)</f>
        <v>Non-Curative Intent</v>
      </c>
      <c r="H2823" s="66" t="str">
        <f>IF(Twelfth!H76="", "",Twelfth!H76)</f>
        <v>Programme</v>
      </c>
      <c r="I2823" s="66" t="str">
        <f>IF(Twelfth!I76="", "",Twelfth!I76)</f>
        <v>FSG Young Person's</v>
      </c>
      <c r="J2823" s="66" t="str">
        <f>IF(Twelfth!J76="", "",Twelfth!J76)</f>
        <v/>
      </c>
      <c r="K2823" s="86" t="str">
        <f>IF(Twelfth!K76="", "",Twelfth!K76)</f>
        <v/>
      </c>
      <c r="M2823" s="67">
        <f t="shared" si="134"/>
        <v>7</v>
      </c>
      <c r="N2823" s="76" t="str">
        <f t="shared" si="135"/>
        <v/>
      </c>
      <c r="O2823" s="33">
        <f t="shared" si="133"/>
        <v>7</v>
      </c>
    </row>
    <row r="2824" spans="1:15" x14ac:dyDescent="0.25">
      <c r="A2824" s="93" t="s">
        <v>207</v>
      </c>
      <c r="B2824" s="79" t="str">
        <f>IF(Twelfth!B77="", "",Twelfth!B77)</f>
        <v>Centre Head</v>
      </c>
      <c r="C2824" s="66" t="str">
        <f>IF(Twelfth!C77="", "",Twelfth!C77)</f>
        <v>PwC</v>
      </c>
      <c r="D2824" s="66" t="str">
        <f>IF(Twelfth!D77="", "",Twelfth!D77)</f>
        <v>Returning</v>
      </c>
      <c r="E2824" s="66" t="str">
        <f>IF(Twelfth!E77="", "",Twelfth!E77)</f>
        <v>Female</v>
      </c>
      <c r="F2824" s="66" t="str">
        <f>IF(Twelfth!F77="", "",Twelfth!F77)</f>
        <v>Brain/CNS</v>
      </c>
      <c r="G2824" s="66" t="str">
        <f>IF(Twelfth!G77="", "",Twelfth!G77)</f>
        <v>Non-Curative Intent</v>
      </c>
      <c r="H2824" s="66" t="str">
        <f>IF(Twelfth!H77="", "",Twelfth!H77)</f>
        <v>Programme</v>
      </c>
      <c r="I2824" s="66" t="str">
        <f>IF(Twelfth!I77="", "",Twelfth!I77)</f>
        <v>FSG Young Person's</v>
      </c>
      <c r="J2824" s="66" t="str">
        <f>IF(Twelfth!J77="", "",Twelfth!J77)</f>
        <v/>
      </c>
      <c r="K2824" s="86" t="str">
        <f>IF(Twelfth!K77="", "",Twelfth!K77)</f>
        <v/>
      </c>
      <c r="M2824" s="67">
        <f t="shared" si="134"/>
        <v>7</v>
      </c>
      <c r="N2824" s="76" t="str">
        <f t="shared" si="135"/>
        <v/>
      </c>
      <c r="O2824" s="33">
        <f t="shared" si="133"/>
        <v>7</v>
      </c>
    </row>
    <row r="2825" spans="1:15" x14ac:dyDescent="0.25">
      <c r="A2825" s="93" t="s">
        <v>207</v>
      </c>
      <c r="B2825" s="79" t="str">
        <f>IF(Twelfth!B78="", "",Twelfth!B78)</f>
        <v>Centre Head</v>
      </c>
      <c r="C2825" s="66" t="str">
        <f>IF(Twelfth!C78="", "",Twelfth!C78)</f>
        <v>PwC</v>
      </c>
      <c r="D2825" s="66" t="str">
        <f>IF(Twelfth!D78="", "",Twelfth!D78)</f>
        <v>Returning</v>
      </c>
      <c r="E2825" s="66" t="str">
        <f>IF(Twelfth!E78="", "",Twelfth!E78)</f>
        <v>Female</v>
      </c>
      <c r="F2825" s="66" t="str">
        <f>IF(Twelfth!F78="", "",Twelfth!F78)</f>
        <v>Brain/CNS</v>
      </c>
      <c r="G2825" s="66" t="str">
        <f>IF(Twelfth!G78="", "",Twelfth!G78)</f>
        <v>Post Treatment - Curative Intent</v>
      </c>
      <c r="H2825" s="66" t="str">
        <f>IF(Twelfth!H78="", "",Twelfth!H78)</f>
        <v>Programme</v>
      </c>
      <c r="I2825" s="66" t="str">
        <f>IF(Twelfth!I78="", "",Twelfth!I78)</f>
        <v>FSG Young Person's</v>
      </c>
      <c r="J2825" s="66" t="str">
        <f>IF(Twelfth!J78="", "",Twelfth!J78)</f>
        <v/>
      </c>
      <c r="K2825" s="86" t="str">
        <f>IF(Twelfth!K78="", "",Twelfth!K78)</f>
        <v/>
      </c>
      <c r="M2825" s="67">
        <f t="shared" si="134"/>
        <v>7</v>
      </c>
      <c r="N2825" s="76" t="str">
        <f t="shared" si="135"/>
        <v/>
      </c>
      <c r="O2825" s="33">
        <f t="shared" si="133"/>
        <v>7</v>
      </c>
    </row>
    <row r="2826" spans="1:15" x14ac:dyDescent="0.25">
      <c r="A2826" s="93" t="s">
        <v>207</v>
      </c>
      <c r="B2826" s="79" t="str">
        <f>IF(Twelfth!B79="", "",Twelfth!B79)</f>
        <v>Centre Head</v>
      </c>
      <c r="C2826" s="66" t="str">
        <f>IF(Twelfth!C79="", "",Twelfth!C79)</f>
        <v>PwC</v>
      </c>
      <c r="D2826" s="66" t="str">
        <f>IF(Twelfth!D79="", "",Twelfth!D79)</f>
        <v>Returning</v>
      </c>
      <c r="E2826" s="66" t="str">
        <f>IF(Twelfth!E79="", "",Twelfth!E79)</f>
        <v>Female</v>
      </c>
      <c r="F2826" s="66" t="str">
        <f>IF(Twelfth!F79="", "",Twelfth!F79)</f>
        <v>Sarcoma</v>
      </c>
      <c r="G2826" s="66" t="str">
        <f>IF(Twelfth!G79="", "",Twelfth!G79)</f>
        <v>Post Treatment - Curative Intent</v>
      </c>
      <c r="H2826" s="66" t="str">
        <f>IF(Twelfth!H79="", "",Twelfth!H79)</f>
        <v>Programme</v>
      </c>
      <c r="I2826" s="66" t="str">
        <f>IF(Twelfth!I79="", "",Twelfth!I79)</f>
        <v>FSG Young Person's</v>
      </c>
      <c r="J2826" s="66" t="str">
        <f>IF(Twelfth!J79="", "",Twelfth!J79)</f>
        <v/>
      </c>
      <c r="K2826" s="86" t="str">
        <f>IF(Twelfth!K79="", "",Twelfth!K79)</f>
        <v/>
      </c>
      <c r="M2826" s="67">
        <f t="shared" si="134"/>
        <v>7</v>
      </c>
      <c r="N2826" s="76" t="str">
        <f t="shared" si="135"/>
        <v/>
      </c>
      <c r="O2826" s="33">
        <f t="shared" si="133"/>
        <v>7</v>
      </c>
    </row>
    <row r="2827" spans="1:15" x14ac:dyDescent="0.25">
      <c r="A2827" s="93" t="s">
        <v>207</v>
      </c>
      <c r="B2827" s="79" t="str">
        <f>IF(Twelfth!B80="", "",Twelfth!B80)</f>
        <v>Centre Head</v>
      </c>
      <c r="C2827" s="66" t="str">
        <f>IF(Twelfth!C80="", "",Twelfth!C80)</f>
        <v>PwC</v>
      </c>
      <c r="D2827" s="66" t="str">
        <f>IF(Twelfth!D80="", "",Twelfth!D80)</f>
        <v>Returning</v>
      </c>
      <c r="E2827" s="66" t="str">
        <f>IF(Twelfth!E80="", "",Twelfth!E80)</f>
        <v>Female</v>
      </c>
      <c r="F2827" s="66" t="str">
        <f>IF(Twelfth!F80="", "",Twelfth!F80)</f>
        <v>Sarcoma</v>
      </c>
      <c r="G2827" s="66" t="str">
        <f>IF(Twelfth!G80="", "",Twelfth!G80)</f>
        <v>Post Treatment - Curative Intent</v>
      </c>
      <c r="H2827" s="66" t="str">
        <f>IF(Twelfth!H80="", "",Twelfth!H80)</f>
        <v>Programme</v>
      </c>
      <c r="I2827" s="66" t="str">
        <f>IF(Twelfth!I80="", "",Twelfth!I80)</f>
        <v>FSG Young Person's</v>
      </c>
      <c r="J2827" s="66" t="str">
        <f>IF(Twelfth!J80="", "",Twelfth!J80)</f>
        <v/>
      </c>
      <c r="K2827" s="86" t="str">
        <f>IF(Twelfth!K80="", "",Twelfth!K80)</f>
        <v/>
      </c>
      <c r="M2827" s="67">
        <f t="shared" si="134"/>
        <v>7</v>
      </c>
      <c r="N2827" s="76" t="str">
        <f t="shared" si="135"/>
        <v/>
      </c>
      <c r="O2827" s="33">
        <f t="shared" si="133"/>
        <v>7</v>
      </c>
    </row>
    <row r="2828" spans="1:15" x14ac:dyDescent="0.25">
      <c r="A2828" s="93" t="s">
        <v>207</v>
      </c>
      <c r="B2828" s="79" t="str">
        <f>IF(Twelfth!B81="", "",Twelfth!B81)</f>
        <v>Centre Head</v>
      </c>
      <c r="C2828" s="66" t="str">
        <f>IF(Twelfth!C81="", "",Twelfth!C81)</f>
        <v>Carer</v>
      </c>
      <c r="D2828" s="66" t="str">
        <f>IF(Twelfth!D81="", "",Twelfth!D81)</f>
        <v>Returning</v>
      </c>
      <c r="E2828" s="66" t="str">
        <f>IF(Twelfth!E81="", "",Twelfth!E81)</f>
        <v>Female</v>
      </c>
      <c r="F2828" s="66" t="str">
        <f>IF(Twelfth!F81="", "",Twelfth!F81)</f>
        <v>Sarcoma</v>
      </c>
      <c r="G2828" s="66" t="str">
        <f>IF(Twelfth!G81="", "",Twelfth!G81)</f>
        <v>Post Treatment - Curative Intent</v>
      </c>
      <c r="H2828" s="66" t="str">
        <f>IF(Twelfth!H81="", "",Twelfth!H81)</f>
        <v>Programme</v>
      </c>
      <c r="I2828" s="66" t="str">
        <f>IF(Twelfth!I81="", "",Twelfth!I81)</f>
        <v>FSG Young Person's</v>
      </c>
      <c r="J2828" s="66" t="str">
        <f>IF(Twelfth!J81="", "",Twelfth!J81)</f>
        <v/>
      </c>
      <c r="K2828" s="86" t="str">
        <f>IF(Twelfth!K81="", "",Twelfth!K81)</f>
        <v/>
      </c>
      <c r="M2828" s="67" t="str">
        <f t="shared" si="134"/>
        <v/>
      </c>
      <c r="N2828" s="76">
        <f t="shared" si="135"/>
        <v>7</v>
      </c>
      <c r="O2828" s="33">
        <f t="shared" si="133"/>
        <v>7</v>
      </c>
    </row>
    <row r="2829" spans="1:15" x14ac:dyDescent="0.25">
      <c r="A2829" s="93" t="s">
        <v>207</v>
      </c>
      <c r="B2829" s="79" t="str">
        <f>IF(Twelfth!B82="", "",Twelfth!B82)</f>
        <v>Centre Head</v>
      </c>
      <c r="C2829" s="66" t="str">
        <f>IF(Twelfth!C82="", "",Twelfth!C82)</f>
        <v>Carer</v>
      </c>
      <c r="D2829" s="66" t="str">
        <f>IF(Twelfth!D82="", "",Twelfth!D82)</f>
        <v>Returning</v>
      </c>
      <c r="E2829" s="66" t="str">
        <f>IF(Twelfth!E82="", "",Twelfth!E82)</f>
        <v>Female</v>
      </c>
      <c r="F2829" s="66" t="str">
        <f>IF(Twelfth!F82="", "",Twelfth!F82)</f>
        <v>Brain/CNS</v>
      </c>
      <c r="G2829" s="66" t="str">
        <f>IF(Twelfth!G82="", "",Twelfth!G82)</f>
        <v>Post Treatment - Curative Intent</v>
      </c>
      <c r="H2829" s="66" t="str">
        <f>IF(Twelfth!H82="", "",Twelfth!H82)</f>
        <v>Programme</v>
      </c>
      <c r="I2829" s="66" t="str">
        <f>IF(Twelfth!I82="", "",Twelfth!I82)</f>
        <v>FSG Young Person's</v>
      </c>
      <c r="J2829" s="66" t="str">
        <f>IF(Twelfth!J82="", "",Twelfth!J82)</f>
        <v/>
      </c>
      <c r="K2829" s="86" t="str">
        <f>IF(Twelfth!K82="", "",Twelfth!K82)</f>
        <v/>
      </c>
      <c r="M2829" s="67" t="str">
        <f t="shared" si="134"/>
        <v/>
      </c>
      <c r="N2829" s="76">
        <f t="shared" si="135"/>
        <v>7</v>
      </c>
      <c r="O2829" s="33">
        <f t="shared" si="133"/>
        <v>7</v>
      </c>
    </row>
    <row r="2830" spans="1:15" x14ac:dyDescent="0.25">
      <c r="A2830" s="93" t="s">
        <v>207</v>
      </c>
      <c r="B2830" s="79" t="str">
        <f>IF(Twelfth!B83="", "",Twelfth!B83)</f>
        <v>Centre Head</v>
      </c>
      <c r="C2830" s="66" t="str">
        <f>IF(Twelfth!C83="", "",Twelfth!C83)</f>
        <v>Carer</v>
      </c>
      <c r="D2830" s="66" t="str">
        <f>IF(Twelfth!D83="", "",Twelfth!D83)</f>
        <v>Returning</v>
      </c>
      <c r="E2830" s="66" t="str">
        <f>IF(Twelfth!E83="", "",Twelfth!E83)</f>
        <v>Male</v>
      </c>
      <c r="F2830" s="66" t="str">
        <f>IF(Twelfth!F83="", "",Twelfth!F83)</f>
        <v>Brain/CNS</v>
      </c>
      <c r="G2830" s="66" t="str">
        <f>IF(Twelfth!G83="", "",Twelfth!G83)</f>
        <v>Post Treatment - Curative Intent</v>
      </c>
      <c r="H2830" s="66" t="str">
        <f>IF(Twelfth!H83="", "",Twelfth!H83)</f>
        <v>Programme</v>
      </c>
      <c r="I2830" s="66" t="str">
        <f>IF(Twelfth!I83="", "",Twelfth!I83)</f>
        <v>FSG Young Person's</v>
      </c>
      <c r="J2830" s="66" t="str">
        <f>IF(Twelfth!J83="", "",Twelfth!J83)</f>
        <v/>
      </c>
      <c r="K2830" s="86" t="str">
        <f>IF(Twelfth!K83="", "",Twelfth!K83)</f>
        <v/>
      </c>
      <c r="M2830" s="67" t="str">
        <f t="shared" si="134"/>
        <v/>
      </c>
      <c r="N2830" s="76">
        <f t="shared" si="135"/>
        <v>7</v>
      </c>
      <c r="O2830" s="33">
        <f t="shared" si="133"/>
        <v>7</v>
      </c>
    </row>
    <row r="2831" spans="1:15" x14ac:dyDescent="0.25">
      <c r="A2831" s="93" t="s">
        <v>207</v>
      </c>
      <c r="B2831" s="79" t="str">
        <f>IF(Twelfth!B84="", "",Twelfth!B84)</f>
        <v>Sessional Staff</v>
      </c>
      <c r="C2831" s="66" t="str">
        <f>IF(Twelfth!C84="", "",Twelfth!C84)</f>
        <v>PwC</v>
      </c>
      <c r="D2831" s="66" t="str">
        <f>IF(Twelfth!D84="", "",Twelfth!D84)</f>
        <v>New</v>
      </c>
      <c r="E2831" s="66" t="str">
        <f>IF(Twelfth!E84="", "",Twelfth!E84)</f>
        <v>Female</v>
      </c>
      <c r="F2831" s="66" t="str">
        <f>IF(Twelfth!F84="", "",Twelfth!F84)</f>
        <v>Not Stated</v>
      </c>
      <c r="G2831" s="66" t="str">
        <f>IF(Twelfth!G84="", "",Twelfth!G84)</f>
        <v>Not Stated</v>
      </c>
      <c r="H2831" s="66" t="str">
        <f>IF(Twelfth!H84="", "",Twelfth!H84)</f>
        <v>Programme</v>
      </c>
      <c r="I2831" s="66" t="str">
        <f>IF(Twelfth!I84="", "",Twelfth!I84)</f>
        <v>Look Good Feel Better</v>
      </c>
      <c r="J2831" s="66" t="str">
        <f>IF(Twelfth!J84="", "",Twelfth!J84)</f>
        <v/>
      </c>
      <c r="K2831" s="86" t="str">
        <f>IF(Twelfth!K84="", "",Twelfth!K84)</f>
        <v/>
      </c>
      <c r="M2831" s="67">
        <f t="shared" si="134"/>
        <v>7</v>
      </c>
      <c r="N2831" s="76" t="str">
        <f t="shared" si="135"/>
        <v/>
      </c>
      <c r="O2831" s="33">
        <f t="shared" si="133"/>
        <v>7</v>
      </c>
    </row>
    <row r="2832" spans="1:15" x14ac:dyDescent="0.25">
      <c r="A2832" s="93" t="s">
        <v>207</v>
      </c>
      <c r="B2832" s="79" t="str">
        <f>IF(Twelfth!B85="", "",Twelfth!B85)</f>
        <v>Sessional Staff</v>
      </c>
      <c r="C2832" s="66" t="str">
        <f>IF(Twelfth!C85="", "",Twelfth!C85)</f>
        <v>PwC</v>
      </c>
      <c r="D2832" s="66" t="str">
        <f>IF(Twelfth!D85="", "",Twelfth!D85)</f>
        <v>New</v>
      </c>
      <c r="E2832" s="66" t="str">
        <f>IF(Twelfth!E85="", "",Twelfth!E85)</f>
        <v>Female</v>
      </c>
      <c r="F2832" s="66" t="str">
        <f>IF(Twelfth!F85="", "",Twelfth!F85)</f>
        <v>Not Stated</v>
      </c>
      <c r="G2832" s="66" t="str">
        <f>IF(Twelfth!G85="", "",Twelfth!G85)</f>
        <v>Not Stated</v>
      </c>
      <c r="H2832" s="66" t="str">
        <f>IF(Twelfth!H85="", "",Twelfth!H85)</f>
        <v>Programme</v>
      </c>
      <c r="I2832" s="66" t="str">
        <f>IF(Twelfth!I85="", "",Twelfth!I85)</f>
        <v>Look Good Feel Better</v>
      </c>
      <c r="J2832" s="66" t="str">
        <f>IF(Twelfth!J85="", "",Twelfth!J85)</f>
        <v>FSG Young Person's</v>
      </c>
      <c r="K2832" s="86" t="str">
        <f>IF(Twelfth!K85="", "",Twelfth!K85)</f>
        <v>Sleep</v>
      </c>
      <c r="M2832" s="67">
        <f t="shared" si="134"/>
        <v>7</v>
      </c>
      <c r="N2832" s="76" t="str">
        <f t="shared" si="135"/>
        <v/>
      </c>
      <c r="O2832" s="33">
        <f t="shared" si="133"/>
        <v>7</v>
      </c>
    </row>
    <row r="2833" spans="1:15" x14ac:dyDescent="0.25">
      <c r="A2833" s="93" t="s">
        <v>207</v>
      </c>
      <c r="B2833" s="79" t="str">
        <f>IF(Twelfth!B86="", "",Twelfth!B86)</f>
        <v>Sessional Staff</v>
      </c>
      <c r="C2833" s="66" t="str">
        <f>IF(Twelfth!C86="", "",Twelfth!C86)</f>
        <v>PwC</v>
      </c>
      <c r="D2833" s="66" t="str">
        <f>IF(Twelfth!D86="", "",Twelfth!D86)</f>
        <v>New</v>
      </c>
      <c r="E2833" s="66" t="str">
        <f>IF(Twelfth!E86="", "",Twelfth!E86)</f>
        <v>Female</v>
      </c>
      <c r="F2833" s="66" t="str">
        <f>IF(Twelfth!F86="", "",Twelfth!F86)</f>
        <v>Not Stated</v>
      </c>
      <c r="G2833" s="66" t="str">
        <f>IF(Twelfth!G86="", "",Twelfth!G86)</f>
        <v>Not Stated</v>
      </c>
      <c r="H2833" s="66" t="str">
        <f>IF(Twelfth!H86="", "",Twelfth!H86)</f>
        <v>Programme</v>
      </c>
      <c r="I2833" s="66" t="str">
        <f>IF(Twelfth!I86="", "",Twelfth!I86)</f>
        <v>Look Good Feel Better</v>
      </c>
      <c r="J2833" s="66" t="str">
        <f>IF(Twelfth!J86="", "",Twelfth!J86)</f>
        <v>FSG Young Person's</v>
      </c>
      <c r="K2833" s="86" t="str">
        <f>IF(Twelfth!K86="", "",Twelfth!K86)</f>
        <v>Sleep</v>
      </c>
      <c r="M2833" s="67">
        <f t="shared" si="134"/>
        <v>7</v>
      </c>
      <c r="N2833" s="76" t="str">
        <f t="shared" si="135"/>
        <v/>
      </c>
      <c r="O2833" s="33">
        <f t="shared" si="133"/>
        <v>7</v>
      </c>
    </row>
    <row r="2834" spans="1:15" x14ac:dyDescent="0.25">
      <c r="A2834" s="93" t="s">
        <v>207</v>
      </c>
      <c r="B2834" s="79" t="str">
        <f>IF(Twelfth!B87="", "",Twelfth!B87)</f>
        <v>Sessional Staff</v>
      </c>
      <c r="C2834" s="66" t="str">
        <f>IF(Twelfth!C87="", "",Twelfth!C87)</f>
        <v>PwC</v>
      </c>
      <c r="D2834" s="66" t="str">
        <f>IF(Twelfth!D87="", "",Twelfth!D87)</f>
        <v>New</v>
      </c>
      <c r="E2834" s="66" t="str">
        <f>IF(Twelfth!E87="", "",Twelfth!E87)</f>
        <v>Female</v>
      </c>
      <c r="F2834" s="66" t="str">
        <f>IF(Twelfth!F87="", "",Twelfth!F87)</f>
        <v>Not Stated</v>
      </c>
      <c r="G2834" s="66" t="str">
        <f>IF(Twelfth!G87="", "",Twelfth!G87)</f>
        <v>Not Stated</v>
      </c>
      <c r="H2834" s="66" t="str">
        <f>IF(Twelfth!H87="", "",Twelfth!H87)</f>
        <v>Programme</v>
      </c>
      <c r="I2834" s="66" t="str">
        <f>IF(Twelfth!I87="", "",Twelfth!I87)</f>
        <v>Look Good Feel Better</v>
      </c>
      <c r="J2834" s="66" t="str">
        <f>IF(Twelfth!J87="", "",Twelfth!J87)</f>
        <v>FSG Young Person's</v>
      </c>
      <c r="K2834" s="86" t="str">
        <f>IF(Twelfth!K87="", "",Twelfth!K87)</f>
        <v>Sleep</v>
      </c>
      <c r="M2834" s="67">
        <f t="shared" si="134"/>
        <v>7</v>
      </c>
      <c r="N2834" s="76" t="str">
        <f t="shared" si="135"/>
        <v/>
      </c>
      <c r="O2834" s="33">
        <f t="shared" si="133"/>
        <v>7</v>
      </c>
    </row>
    <row r="2835" spans="1:15" x14ac:dyDescent="0.25">
      <c r="A2835" s="93" t="s">
        <v>207</v>
      </c>
      <c r="B2835" s="79" t="str">
        <f>IF(Twelfth!B88="", "",Twelfth!B88)</f>
        <v>Sessional Staff</v>
      </c>
      <c r="C2835" s="66" t="str">
        <f>IF(Twelfth!C88="", "",Twelfth!C88)</f>
        <v>PwC</v>
      </c>
      <c r="D2835" s="66" t="str">
        <f>IF(Twelfth!D88="", "",Twelfth!D88)</f>
        <v>New</v>
      </c>
      <c r="E2835" s="66" t="str">
        <f>IF(Twelfth!E88="", "",Twelfth!E88)</f>
        <v>Female</v>
      </c>
      <c r="F2835" s="66" t="str">
        <f>IF(Twelfth!F88="", "",Twelfth!F88)</f>
        <v>Not Stated</v>
      </c>
      <c r="G2835" s="66" t="str">
        <f>IF(Twelfth!G88="", "",Twelfth!G88)</f>
        <v>Not Stated</v>
      </c>
      <c r="H2835" s="66" t="str">
        <f>IF(Twelfth!H88="", "",Twelfth!H88)</f>
        <v>Programme</v>
      </c>
      <c r="I2835" s="66" t="str">
        <f>IF(Twelfth!I88="", "",Twelfth!I88)</f>
        <v>Look Good Feel Better</v>
      </c>
      <c r="J2835" s="66" t="str">
        <f>IF(Twelfth!J88="", "",Twelfth!J88)</f>
        <v>FSG Young Person's</v>
      </c>
      <c r="K2835" s="86" t="str">
        <f>IF(Twelfth!K88="", "",Twelfth!K88)</f>
        <v>Sleep</v>
      </c>
      <c r="M2835" s="67">
        <f t="shared" si="134"/>
        <v>7</v>
      </c>
      <c r="N2835" s="76" t="str">
        <f t="shared" si="135"/>
        <v/>
      </c>
      <c r="O2835" s="33">
        <f t="shared" si="133"/>
        <v>7</v>
      </c>
    </row>
    <row r="2836" spans="1:15" x14ac:dyDescent="0.25">
      <c r="A2836" s="93" t="s">
        <v>207</v>
      </c>
      <c r="B2836" s="79" t="str">
        <f>IF(Twelfth!B89="", "",Twelfth!B89)</f>
        <v>Sessional Staff</v>
      </c>
      <c r="C2836" s="66" t="str">
        <f>IF(Twelfth!C89="", "",Twelfth!C89)</f>
        <v>PwC</v>
      </c>
      <c r="D2836" s="66" t="str">
        <f>IF(Twelfth!D89="", "",Twelfth!D89)</f>
        <v>New</v>
      </c>
      <c r="E2836" s="66" t="str">
        <f>IF(Twelfth!E89="", "",Twelfth!E89)</f>
        <v>Female</v>
      </c>
      <c r="F2836" s="66" t="str">
        <f>IF(Twelfth!F89="", "",Twelfth!F89)</f>
        <v>Not Stated</v>
      </c>
      <c r="G2836" s="66" t="str">
        <f>IF(Twelfth!G89="", "",Twelfth!G89)</f>
        <v>Not Stated</v>
      </c>
      <c r="H2836" s="66" t="str">
        <f>IF(Twelfth!H89="", "",Twelfth!H89)</f>
        <v>Programme</v>
      </c>
      <c r="I2836" s="66" t="str">
        <f>IF(Twelfth!I89="", "",Twelfth!I89)</f>
        <v>Look Good Feel Better</v>
      </c>
      <c r="J2836" s="66" t="str">
        <f>IF(Twelfth!J89="", "",Twelfth!J89)</f>
        <v>FSG Young Person's</v>
      </c>
      <c r="K2836" s="86" t="str">
        <f>IF(Twelfth!K89="", "",Twelfth!K89)</f>
        <v>Sleep</v>
      </c>
      <c r="M2836" s="67">
        <f t="shared" si="134"/>
        <v>7</v>
      </c>
      <c r="N2836" s="76" t="str">
        <f t="shared" si="135"/>
        <v/>
      </c>
      <c r="O2836" s="33">
        <f t="shared" si="133"/>
        <v>7</v>
      </c>
    </row>
    <row r="2837" spans="1:15" x14ac:dyDescent="0.25">
      <c r="A2837" s="93" t="s">
        <v>207</v>
      </c>
      <c r="B2837" s="79" t="str">
        <f>IF(Twelfth!B90="", "",Twelfth!B90)</f>
        <v>Sessional Staff</v>
      </c>
      <c r="C2837" s="66" t="str">
        <f>IF(Twelfth!C90="", "",Twelfth!C90)</f>
        <v>PwC</v>
      </c>
      <c r="D2837" s="66" t="str">
        <f>IF(Twelfth!D90="", "",Twelfth!D90)</f>
        <v>New</v>
      </c>
      <c r="E2837" s="66" t="str">
        <f>IF(Twelfth!E90="", "",Twelfth!E90)</f>
        <v>Female</v>
      </c>
      <c r="F2837" s="66" t="str">
        <f>IF(Twelfth!F90="", "",Twelfth!F90)</f>
        <v>Not Stated</v>
      </c>
      <c r="G2837" s="66" t="str">
        <f>IF(Twelfth!G90="", "",Twelfth!G90)</f>
        <v>Not Stated</v>
      </c>
      <c r="H2837" s="66" t="str">
        <f>IF(Twelfth!H90="", "",Twelfth!H90)</f>
        <v>Programme</v>
      </c>
      <c r="I2837" s="66" t="str">
        <f>IF(Twelfth!I90="", "",Twelfth!I90)</f>
        <v>Look Good Feel Better</v>
      </c>
      <c r="J2837" s="66" t="str">
        <f>IF(Twelfth!J90="", "",Twelfth!J90)</f>
        <v>FSG Young Person's</v>
      </c>
      <c r="K2837" s="86" t="str">
        <f>IF(Twelfth!K90="", "",Twelfth!K90)</f>
        <v>Sleep</v>
      </c>
      <c r="M2837" s="67">
        <f t="shared" si="134"/>
        <v>7</v>
      </c>
      <c r="N2837" s="76" t="str">
        <f t="shared" si="135"/>
        <v/>
      </c>
      <c r="O2837" s="33">
        <f t="shared" si="133"/>
        <v>7</v>
      </c>
    </row>
    <row r="2838" spans="1:15" x14ac:dyDescent="0.25">
      <c r="A2838" s="93" t="s">
        <v>207</v>
      </c>
      <c r="B2838" s="79" t="str">
        <f>IF(Twelfth!B91="", "",Twelfth!B91)</f>
        <v>Sessional Staff</v>
      </c>
      <c r="C2838" s="66" t="str">
        <f>IF(Twelfth!C91="", "",Twelfth!C91)</f>
        <v>PwC</v>
      </c>
      <c r="D2838" s="66" t="str">
        <f>IF(Twelfth!D91="", "",Twelfth!D91)</f>
        <v>New</v>
      </c>
      <c r="E2838" s="66" t="str">
        <f>IF(Twelfth!E91="", "",Twelfth!E91)</f>
        <v>Female</v>
      </c>
      <c r="F2838" s="66" t="str">
        <f>IF(Twelfth!F91="", "",Twelfth!F91)</f>
        <v>Not Stated</v>
      </c>
      <c r="G2838" s="66" t="str">
        <f>IF(Twelfth!G91="", "",Twelfth!G91)</f>
        <v>Not Stated</v>
      </c>
      <c r="H2838" s="66" t="str">
        <f>IF(Twelfth!H91="", "",Twelfth!H91)</f>
        <v>Programme</v>
      </c>
      <c r="I2838" s="66" t="str">
        <f>IF(Twelfth!I91="", "",Twelfth!I91)</f>
        <v>Look Good Feel Better</v>
      </c>
      <c r="J2838" s="66" t="str">
        <f>IF(Twelfth!J91="", "",Twelfth!J91)</f>
        <v>FSG Young Person's</v>
      </c>
      <c r="K2838" s="86" t="str">
        <f>IF(Twelfth!K91="", "",Twelfth!K91)</f>
        <v>Sleep</v>
      </c>
      <c r="M2838" s="67">
        <f t="shared" si="134"/>
        <v>7</v>
      </c>
      <c r="N2838" s="76" t="str">
        <f t="shared" si="135"/>
        <v/>
      </c>
      <c r="O2838" s="33">
        <f t="shared" si="133"/>
        <v>7</v>
      </c>
    </row>
    <row r="2839" spans="1:15" x14ac:dyDescent="0.25">
      <c r="A2839" s="93" t="s">
        <v>207</v>
      </c>
      <c r="B2839" s="79" t="str">
        <f>IF(Twelfth!B92="", "",Twelfth!B92)</f>
        <v>Sessional Staff</v>
      </c>
      <c r="C2839" s="66" t="str">
        <f>IF(Twelfth!C92="", "",Twelfth!C92)</f>
        <v>PwC</v>
      </c>
      <c r="D2839" s="66" t="str">
        <f>IF(Twelfth!D92="", "",Twelfth!D92)</f>
        <v>New</v>
      </c>
      <c r="E2839" s="66" t="str">
        <f>IF(Twelfth!E92="", "",Twelfth!E92)</f>
        <v>Female</v>
      </c>
      <c r="F2839" s="66" t="str">
        <f>IF(Twelfth!F92="", "",Twelfth!F92)</f>
        <v>Not Stated</v>
      </c>
      <c r="G2839" s="66" t="str">
        <f>IF(Twelfth!G92="", "",Twelfth!G92)</f>
        <v>Not Stated</v>
      </c>
      <c r="H2839" s="66" t="str">
        <f>IF(Twelfth!H92="", "",Twelfth!H92)</f>
        <v>Programme</v>
      </c>
      <c r="I2839" s="66" t="str">
        <f>IF(Twelfth!I92="", "",Twelfth!I92)</f>
        <v>Look Good Feel Better</v>
      </c>
      <c r="J2839" s="66" t="str">
        <f>IF(Twelfth!J92="", "",Twelfth!J92)</f>
        <v>FSG Young Person's</v>
      </c>
      <c r="K2839" s="86" t="str">
        <f>IF(Twelfth!K92="", "",Twelfth!K92)</f>
        <v>Sleep</v>
      </c>
      <c r="M2839" s="67">
        <f t="shared" si="134"/>
        <v>7</v>
      </c>
      <c r="N2839" s="76" t="str">
        <f t="shared" si="135"/>
        <v/>
      </c>
      <c r="O2839" s="33">
        <f t="shared" si="133"/>
        <v>7</v>
      </c>
    </row>
    <row r="2840" spans="1:15" x14ac:dyDescent="0.25">
      <c r="A2840" s="93" t="s">
        <v>207</v>
      </c>
      <c r="B2840" s="79" t="str">
        <f>IF(Twelfth!B93="", "",Twelfth!B93)</f>
        <v>Sessional Staff</v>
      </c>
      <c r="C2840" s="66" t="str">
        <f>IF(Twelfth!C93="", "",Twelfth!C93)</f>
        <v>PwC</v>
      </c>
      <c r="D2840" s="66" t="str">
        <f>IF(Twelfth!D93="", "",Twelfth!D93)</f>
        <v>New</v>
      </c>
      <c r="E2840" s="66" t="str">
        <f>IF(Twelfth!E93="", "",Twelfth!E93)</f>
        <v>Female</v>
      </c>
      <c r="F2840" s="66" t="str">
        <f>IF(Twelfth!F93="", "",Twelfth!F93)</f>
        <v>Not Stated</v>
      </c>
      <c r="G2840" s="66" t="str">
        <f>IF(Twelfth!G93="", "",Twelfth!G93)</f>
        <v>Not Stated</v>
      </c>
      <c r="H2840" s="66" t="str">
        <f>IF(Twelfth!H93="", "",Twelfth!H93)</f>
        <v>Programme</v>
      </c>
      <c r="I2840" s="66" t="str">
        <f>IF(Twelfth!I93="", "",Twelfth!I93)</f>
        <v>Look Good Feel Better</v>
      </c>
      <c r="J2840" s="66" t="str">
        <f>IF(Twelfth!J93="", "",Twelfth!J93)</f>
        <v>FSG Young Person's</v>
      </c>
      <c r="K2840" s="86" t="str">
        <f>IF(Twelfth!K93="", "",Twelfth!K93)</f>
        <v>Sleep</v>
      </c>
      <c r="M2840" s="67">
        <f t="shared" si="134"/>
        <v>7</v>
      </c>
      <c r="N2840" s="76" t="str">
        <f t="shared" si="135"/>
        <v/>
      </c>
      <c r="O2840" s="33">
        <f t="shared" si="133"/>
        <v>7</v>
      </c>
    </row>
    <row r="2841" spans="1:15" x14ac:dyDescent="0.25">
      <c r="A2841" s="93" t="s">
        <v>207</v>
      </c>
      <c r="B2841" s="79" t="str">
        <f>IF(Twelfth!B94="", "",Twelfth!B94)</f>
        <v>Sessional Staff</v>
      </c>
      <c r="C2841" s="66" t="str">
        <f>IF(Twelfth!C94="", "",Twelfth!C94)</f>
        <v>PwC</v>
      </c>
      <c r="D2841" s="66" t="str">
        <f>IF(Twelfth!D94="", "",Twelfth!D94)</f>
        <v>New</v>
      </c>
      <c r="E2841" s="66" t="str">
        <f>IF(Twelfth!E94="", "",Twelfth!E94)</f>
        <v>Female</v>
      </c>
      <c r="F2841" s="66" t="str">
        <f>IF(Twelfth!F94="", "",Twelfth!F94)</f>
        <v>Not Stated</v>
      </c>
      <c r="G2841" s="66" t="str">
        <f>IF(Twelfth!G94="", "",Twelfth!G94)</f>
        <v>Not Stated</v>
      </c>
      <c r="H2841" s="66" t="str">
        <f>IF(Twelfth!H94="", "",Twelfth!H94)</f>
        <v>Programme</v>
      </c>
      <c r="I2841" s="66" t="str">
        <f>IF(Twelfth!I94="", "",Twelfth!I94)</f>
        <v>Look Good Feel Better</v>
      </c>
      <c r="J2841" s="66" t="str">
        <f>IF(Twelfth!J94="", "",Twelfth!J94)</f>
        <v>FSG Young Person's</v>
      </c>
      <c r="K2841" s="86" t="str">
        <f>IF(Twelfth!K94="", "",Twelfth!K94)</f>
        <v>Sleep</v>
      </c>
      <c r="M2841" s="67">
        <f t="shared" si="134"/>
        <v>7</v>
      </c>
      <c r="N2841" s="76" t="str">
        <f t="shared" si="135"/>
        <v/>
      </c>
      <c r="O2841" s="33">
        <f t="shared" si="133"/>
        <v>7</v>
      </c>
    </row>
    <row r="2842" spans="1:15" x14ac:dyDescent="0.25">
      <c r="A2842" s="93" t="s">
        <v>207</v>
      </c>
      <c r="B2842" s="79" t="str">
        <f>IF(Twelfth!B95="", "",Twelfth!B95)</f>
        <v>Sessional Staff</v>
      </c>
      <c r="C2842" s="66" t="str">
        <f>IF(Twelfth!C95="", "",Twelfth!C95)</f>
        <v>PwC</v>
      </c>
      <c r="D2842" s="66" t="str">
        <f>IF(Twelfth!D95="", "",Twelfth!D95)</f>
        <v>New</v>
      </c>
      <c r="E2842" s="66" t="str">
        <f>IF(Twelfth!E95="", "",Twelfth!E95)</f>
        <v>Female</v>
      </c>
      <c r="F2842" s="66" t="str">
        <f>IF(Twelfth!F95="", "",Twelfth!F95)</f>
        <v>Not Stated</v>
      </c>
      <c r="G2842" s="66" t="str">
        <f>IF(Twelfth!G95="", "",Twelfth!G95)</f>
        <v>Not Stated</v>
      </c>
      <c r="H2842" s="66" t="str">
        <f>IF(Twelfth!H95="", "",Twelfth!H95)</f>
        <v>Programme</v>
      </c>
      <c r="I2842" s="66" t="str">
        <f>IF(Twelfth!I95="", "",Twelfth!I95)</f>
        <v>Look Good Feel Better</v>
      </c>
      <c r="J2842" s="66" t="str">
        <f>IF(Twelfth!J95="", "",Twelfth!J95)</f>
        <v>FSG Young Person's</v>
      </c>
      <c r="K2842" s="86" t="str">
        <f>IF(Twelfth!K95="", "",Twelfth!K95)</f>
        <v>Sleep</v>
      </c>
      <c r="M2842" s="67">
        <f t="shared" si="134"/>
        <v>7</v>
      </c>
      <c r="N2842" s="76" t="str">
        <f t="shared" si="135"/>
        <v/>
      </c>
      <c r="O2842" s="33">
        <f t="shared" si="133"/>
        <v>7</v>
      </c>
    </row>
    <row r="2843" spans="1:15" x14ac:dyDescent="0.25">
      <c r="A2843" s="93" t="s">
        <v>207</v>
      </c>
      <c r="B2843" s="79" t="str">
        <f>IF(Twelfth!B96="", "",Twelfth!B96)</f>
        <v>Sessional Staff</v>
      </c>
      <c r="C2843" s="66" t="str">
        <f>IF(Twelfth!C96="", "",Twelfth!C96)</f>
        <v>PwC</v>
      </c>
      <c r="D2843" s="66" t="str">
        <f>IF(Twelfth!D96="", "",Twelfth!D96)</f>
        <v>New</v>
      </c>
      <c r="E2843" s="66" t="str">
        <f>IF(Twelfth!E96="", "",Twelfth!E96)</f>
        <v>Female</v>
      </c>
      <c r="F2843" s="66" t="str">
        <f>IF(Twelfth!F96="", "",Twelfth!F96)</f>
        <v>Not Stated</v>
      </c>
      <c r="G2843" s="66" t="str">
        <f>IF(Twelfth!G96="", "",Twelfth!G96)</f>
        <v>Not Stated</v>
      </c>
      <c r="H2843" s="66" t="str">
        <f>IF(Twelfth!H96="", "",Twelfth!H96)</f>
        <v>Programme</v>
      </c>
      <c r="I2843" s="66" t="str">
        <f>IF(Twelfth!I96="", "",Twelfth!I96)</f>
        <v>Look Good Feel Better</v>
      </c>
      <c r="J2843" s="66" t="str">
        <f>IF(Twelfth!J96="", "",Twelfth!J96)</f>
        <v>FSG Young Person's</v>
      </c>
      <c r="K2843" s="86" t="str">
        <f>IF(Twelfth!K96="", "",Twelfth!K96)</f>
        <v>Sleep</v>
      </c>
      <c r="M2843" s="67">
        <f t="shared" si="134"/>
        <v>7</v>
      </c>
      <c r="N2843" s="76" t="str">
        <f t="shared" si="135"/>
        <v/>
      </c>
      <c r="O2843" s="33">
        <f t="shared" si="133"/>
        <v>7</v>
      </c>
    </row>
    <row r="2844" spans="1:15" x14ac:dyDescent="0.25">
      <c r="A2844" s="93" t="s">
        <v>207</v>
      </c>
      <c r="B2844" s="79" t="str">
        <f>IF(Twelfth!B97="", "",Twelfth!B97)</f>
        <v>Sessional Staff</v>
      </c>
      <c r="C2844" s="66" t="str">
        <f>IF(Twelfth!C97="", "",Twelfth!C97)</f>
        <v>PwC</v>
      </c>
      <c r="D2844" s="66" t="str">
        <f>IF(Twelfth!D97="", "",Twelfth!D97)</f>
        <v>New</v>
      </c>
      <c r="E2844" s="66" t="str">
        <f>IF(Twelfth!E97="", "",Twelfth!E97)</f>
        <v>Female</v>
      </c>
      <c r="F2844" s="66" t="str">
        <f>IF(Twelfth!F97="", "",Twelfth!F97)</f>
        <v>Not Stated</v>
      </c>
      <c r="G2844" s="66" t="str">
        <f>IF(Twelfth!G97="", "",Twelfth!G97)</f>
        <v>Not Stated</v>
      </c>
      <c r="H2844" s="66" t="str">
        <f>IF(Twelfth!H97="", "",Twelfth!H97)</f>
        <v>Programme</v>
      </c>
      <c r="I2844" s="66" t="str">
        <f>IF(Twelfth!I97="", "",Twelfth!I97)</f>
        <v>Look Good Feel Better</v>
      </c>
      <c r="J2844" s="66" t="str">
        <f>IF(Twelfth!J97="", "",Twelfth!J97)</f>
        <v>FSG Young Person's</v>
      </c>
      <c r="K2844" s="86" t="str">
        <f>IF(Twelfth!K97="", "",Twelfth!K97)</f>
        <v>Sleep</v>
      </c>
      <c r="M2844" s="67">
        <f t="shared" si="134"/>
        <v>7</v>
      </c>
      <c r="N2844" s="76" t="str">
        <f t="shared" si="135"/>
        <v/>
      </c>
      <c r="O2844" s="33">
        <f t="shared" si="133"/>
        <v>7</v>
      </c>
    </row>
    <row r="2845" spans="1:15" x14ac:dyDescent="0.25">
      <c r="A2845" s="93" t="s">
        <v>207</v>
      </c>
      <c r="B2845" s="79" t="str">
        <f>IF(Twelfth!B98="", "",Twelfth!B98)</f>
        <v>Sessional Staff</v>
      </c>
      <c r="C2845" s="66" t="str">
        <f>IF(Twelfth!C98="", "",Twelfth!C98)</f>
        <v>PwC</v>
      </c>
      <c r="D2845" s="66" t="str">
        <f>IF(Twelfth!D98="", "",Twelfth!D98)</f>
        <v>New</v>
      </c>
      <c r="E2845" s="66" t="str">
        <f>IF(Twelfth!E98="", "",Twelfth!E98)</f>
        <v>Female</v>
      </c>
      <c r="F2845" s="66" t="str">
        <f>IF(Twelfth!F98="", "",Twelfth!F98)</f>
        <v>Not Stated</v>
      </c>
      <c r="G2845" s="66" t="str">
        <f>IF(Twelfth!G98="", "",Twelfth!G98)</f>
        <v>Not Stated</v>
      </c>
      <c r="H2845" s="66" t="str">
        <f>IF(Twelfth!H98="", "",Twelfth!H98)</f>
        <v>Programme</v>
      </c>
      <c r="I2845" s="66" t="str">
        <f>IF(Twelfth!I98="", "",Twelfth!I98)</f>
        <v>Look Good Feel Better</v>
      </c>
      <c r="J2845" s="66" t="str">
        <f>IF(Twelfth!J98="", "",Twelfth!J98)</f>
        <v>FSG Young Person's</v>
      </c>
      <c r="K2845" s="86" t="str">
        <f>IF(Twelfth!K98="", "",Twelfth!K98)</f>
        <v>Sleep</v>
      </c>
      <c r="M2845" s="67">
        <f t="shared" si="134"/>
        <v>7</v>
      </c>
      <c r="N2845" s="76" t="str">
        <f t="shared" si="135"/>
        <v/>
      </c>
      <c r="O2845" s="33">
        <f t="shared" si="133"/>
        <v>7</v>
      </c>
    </row>
    <row r="2846" spans="1:15" x14ac:dyDescent="0.25">
      <c r="A2846" s="93" t="s">
        <v>207</v>
      </c>
      <c r="B2846" s="79" t="str">
        <f>IF(Twelfth!B99="", "",Twelfth!B99)</f>
        <v>Sessional Staff</v>
      </c>
      <c r="C2846" s="66" t="str">
        <f>IF(Twelfth!C99="", "",Twelfth!C99)</f>
        <v>PwC</v>
      </c>
      <c r="D2846" s="66" t="str">
        <f>IF(Twelfth!D99="", "",Twelfth!D99)</f>
        <v>New</v>
      </c>
      <c r="E2846" s="66" t="str">
        <f>IF(Twelfth!E99="", "",Twelfth!E99)</f>
        <v>Female</v>
      </c>
      <c r="F2846" s="66" t="str">
        <f>IF(Twelfth!F99="", "",Twelfth!F99)</f>
        <v>Not Stated</v>
      </c>
      <c r="G2846" s="66" t="str">
        <f>IF(Twelfth!G99="", "",Twelfth!G99)</f>
        <v>Not Stated</v>
      </c>
      <c r="H2846" s="66" t="str">
        <f>IF(Twelfth!H99="", "",Twelfth!H99)</f>
        <v>Programme</v>
      </c>
      <c r="I2846" s="66" t="str">
        <f>IF(Twelfth!I99="", "",Twelfth!I99)</f>
        <v>Look Good Feel Better</v>
      </c>
      <c r="J2846" s="66" t="str">
        <f>IF(Twelfth!J99="", "",Twelfth!J99)</f>
        <v/>
      </c>
      <c r="K2846" s="86" t="str">
        <f>IF(Twelfth!K99="", "",Twelfth!K99)</f>
        <v/>
      </c>
      <c r="M2846" s="67">
        <f t="shared" si="134"/>
        <v>7</v>
      </c>
      <c r="N2846" s="76" t="str">
        <f t="shared" si="135"/>
        <v/>
      </c>
      <c r="O2846" s="33">
        <f t="shared" si="133"/>
        <v>7</v>
      </c>
    </row>
    <row r="2847" spans="1:15" x14ac:dyDescent="0.25">
      <c r="A2847" s="93" t="s">
        <v>207</v>
      </c>
      <c r="B2847" s="79" t="str">
        <f>IF(Twelfth!B100="", "",Twelfth!B100)</f>
        <v>Centre Head</v>
      </c>
      <c r="C2847" s="66" t="str">
        <f>IF(Twelfth!C100="", "",Twelfth!C100)</f>
        <v>PwC</v>
      </c>
      <c r="D2847" s="66" t="str">
        <f>IF(Twelfth!D100="", "",Twelfth!D100)</f>
        <v>Returning</v>
      </c>
      <c r="E2847" s="66" t="str">
        <f>IF(Twelfth!E100="", "",Twelfth!E100)</f>
        <v>Female</v>
      </c>
      <c r="F2847" s="66" t="str">
        <f>IF(Twelfth!F100="", "",Twelfth!F100)</f>
        <v>Haemat</v>
      </c>
      <c r="G2847" s="66" t="str">
        <f>IF(Twelfth!G100="", "",Twelfth!G100)</f>
        <v>Non-Curative Intent</v>
      </c>
      <c r="H2847" s="66" t="str">
        <f>IF(Twelfth!H100="", "",Twelfth!H100)</f>
        <v>Programme</v>
      </c>
      <c r="I2847" s="66" t="str">
        <f>IF(Twelfth!I100="", "",Twelfth!I100)</f>
        <v>NG Haematology</v>
      </c>
      <c r="J2847" s="66" t="str">
        <f>IF(Twelfth!J100="", "",Twelfth!J100)</f>
        <v/>
      </c>
      <c r="K2847" s="86" t="str">
        <f>IF(Twelfth!K100="", "",Twelfth!K100)</f>
        <v/>
      </c>
      <c r="M2847" s="67">
        <f t="shared" si="134"/>
        <v>7</v>
      </c>
      <c r="N2847" s="76" t="str">
        <f t="shared" si="135"/>
        <v/>
      </c>
      <c r="O2847" s="33">
        <f t="shared" si="133"/>
        <v>7</v>
      </c>
    </row>
    <row r="2848" spans="1:15" x14ac:dyDescent="0.25">
      <c r="A2848" s="93" t="s">
        <v>207</v>
      </c>
      <c r="B2848" s="79" t="str">
        <f>IF(Twelfth!B101="", "",Twelfth!B101)</f>
        <v>Centre Head</v>
      </c>
      <c r="C2848" s="66" t="str">
        <f>IF(Twelfth!C101="", "",Twelfth!C101)</f>
        <v>PwC</v>
      </c>
      <c r="D2848" s="66" t="str">
        <f>IF(Twelfth!D101="", "",Twelfth!D101)</f>
        <v>Returning</v>
      </c>
      <c r="E2848" s="66" t="str">
        <f>IF(Twelfth!E101="", "",Twelfth!E101)</f>
        <v>Female</v>
      </c>
      <c r="F2848" s="66" t="str">
        <f>IF(Twelfth!F101="", "",Twelfth!F101)</f>
        <v>Haemat</v>
      </c>
      <c r="G2848" s="66" t="str">
        <f>IF(Twelfth!G101="", "",Twelfth!G101)</f>
        <v>Non-Curative Intent</v>
      </c>
      <c r="H2848" s="66" t="str">
        <f>IF(Twelfth!H101="", "",Twelfth!H101)</f>
        <v>Programme</v>
      </c>
      <c r="I2848" s="66" t="str">
        <f>IF(Twelfth!I101="", "",Twelfth!I101)</f>
        <v>NG Haematology</v>
      </c>
      <c r="J2848" s="66" t="str">
        <f>IF(Twelfth!J101="", "",Twelfth!J101)</f>
        <v/>
      </c>
      <c r="K2848" s="86" t="str">
        <f>IF(Twelfth!K101="", "",Twelfth!K101)</f>
        <v/>
      </c>
      <c r="M2848" s="67">
        <f t="shared" si="134"/>
        <v>7</v>
      </c>
      <c r="N2848" s="76" t="str">
        <f t="shared" si="135"/>
        <v/>
      </c>
      <c r="O2848" s="33">
        <f t="shared" si="133"/>
        <v>7</v>
      </c>
    </row>
    <row r="2849" spans="1:15" x14ac:dyDescent="0.25">
      <c r="A2849" s="93" t="s">
        <v>207</v>
      </c>
      <c r="B2849" s="79" t="str">
        <f>IF(Twelfth!B102="", "",Twelfth!B102)</f>
        <v>Centre Head</v>
      </c>
      <c r="C2849" s="66" t="str">
        <f>IF(Twelfth!C102="", "",Twelfth!C102)</f>
        <v>PwC</v>
      </c>
      <c r="D2849" s="66" t="str">
        <f>IF(Twelfth!D102="", "",Twelfth!D102)</f>
        <v>Returning</v>
      </c>
      <c r="E2849" s="66" t="str">
        <f>IF(Twelfth!E102="", "",Twelfth!E102)</f>
        <v>Female</v>
      </c>
      <c r="F2849" s="66" t="str">
        <f>IF(Twelfth!F102="", "",Twelfth!F102)</f>
        <v>Haemat</v>
      </c>
      <c r="G2849" s="66" t="str">
        <f>IF(Twelfth!G102="", "",Twelfth!G102)</f>
        <v>Non-Curative Intent</v>
      </c>
      <c r="H2849" s="66" t="str">
        <f>IF(Twelfth!H102="", "",Twelfth!H102)</f>
        <v>Programme</v>
      </c>
      <c r="I2849" s="66" t="str">
        <f>IF(Twelfth!I102="", "",Twelfth!I102)</f>
        <v>NG Haematology</v>
      </c>
      <c r="J2849" s="66" t="str">
        <f>IF(Twelfth!J102="", "",Twelfth!J102)</f>
        <v/>
      </c>
      <c r="K2849" s="86" t="str">
        <f>IF(Twelfth!K102="", "",Twelfth!K102)</f>
        <v/>
      </c>
      <c r="M2849" s="67">
        <f t="shared" si="134"/>
        <v>7</v>
      </c>
      <c r="N2849" s="76" t="str">
        <f t="shared" si="135"/>
        <v/>
      </c>
      <c r="O2849" s="33">
        <f t="shared" si="133"/>
        <v>7</v>
      </c>
    </row>
    <row r="2850" spans="1:15" x14ac:dyDescent="0.25">
      <c r="A2850" s="93" t="s">
        <v>207</v>
      </c>
      <c r="B2850" s="79" t="str">
        <f>IF(Twelfth!B103="", "",Twelfth!B103)</f>
        <v>Centre Head</v>
      </c>
      <c r="C2850" s="66" t="str">
        <f>IF(Twelfth!C103="", "",Twelfth!C103)</f>
        <v>PwC</v>
      </c>
      <c r="D2850" s="66" t="str">
        <f>IF(Twelfth!D103="", "",Twelfth!D103)</f>
        <v>Returning</v>
      </c>
      <c r="E2850" s="66" t="str">
        <f>IF(Twelfth!E103="", "",Twelfth!E103)</f>
        <v>Female</v>
      </c>
      <c r="F2850" s="66" t="str">
        <f>IF(Twelfth!F103="", "",Twelfth!F103)</f>
        <v>Haemat</v>
      </c>
      <c r="G2850" s="66" t="str">
        <f>IF(Twelfth!G103="", "",Twelfth!G103)</f>
        <v>Non-Curative Intent</v>
      </c>
      <c r="H2850" s="66" t="str">
        <f>IF(Twelfth!H103="", "",Twelfth!H103)</f>
        <v>Programme</v>
      </c>
      <c r="I2850" s="66" t="str">
        <f>IF(Twelfth!I103="", "",Twelfth!I103)</f>
        <v>NG Haematology</v>
      </c>
      <c r="J2850" s="66" t="str">
        <f>IF(Twelfth!J103="", "",Twelfth!J103)</f>
        <v/>
      </c>
      <c r="K2850" s="86" t="str">
        <f>IF(Twelfth!K103="", "",Twelfth!K103)</f>
        <v/>
      </c>
      <c r="M2850" s="67">
        <f t="shared" si="134"/>
        <v>7</v>
      </c>
      <c r="N2850" s="76" t="str">
        <f t="shared" si="135"/>
        <v/>
      </c>
      <c r="O2850" s="33">
        <f t="shared" si="133"/>
        <v>7</v>
      </c>
    </row>
    <row r="2851" spans="1:15" x14ac:dyDescent="0.25">
      <c r="A2851" s="93" t="s">
        <v>207</v>
      </c>
      <c r="B2851" s="79" t="str">
        <f>IF(Twelfth!B104="", "",Twelfth!B104)</f>
        <v>Centre Head</v>
      </c>
      <c r="C2851" s="66" t="str">
        <f>IF(Twelfth!C104="", "",Twelfth!C104)</f>
        <v>PwC</v>
      </c>
      <c r="D2851" s="66" t="str">
        <f>IF(Twelfth!D104="", "",Twelfth!D104)</f>
        <v>Returning</v>
      </c>
      <c r="E2851" s="66" t="str">
        <f>IF(Twelfth!E104="", "",Twelfth!E104)</f>
        <v>Female</v>
      </c>
      <c r="F2851" s="66" t="str">
        <f>IF(Twelfth!F104="", "",Twelfth!F104)</f>
        <v>Haemat</v>
      </c>
      <c r="G2851" s="66" t="str">
        <f>IF(Twelfth!G104="", "",Twelfth!G104)</f>
        <v>Non-Curative Intent</v>
      </c>
      <c r="H2851" s="66" t="str">
        <f>IF(Twelfth!H104="", "",Twelfth!H104)</f>
        <v>Programme</v>
      </c>
      <c r="I2851" s="66" t="str">
        <f>IF(Twelfth!I104="", "",Twelfth!I104)</f>
        <v>NG Haematology</v>
      </c>
      <c r="J2851" s="66" t="str">
        <f>IF(Twelfth!J104="", "",Twelfth!J104)</f>
        <v/>
      </c>
      <c r="K2851" s="86" t="str">
        <f>IF(Twelfth!K104="", "",Twelfth!K104)</f>
        <v/>
      </c>
      <c r="M2851" s="67">
        <f t="shared" si="134"/>
        <v>7</v>
      </c>
      <c r="N2851" s="76" t="str">
        <f t="shared" si="135"/>
        <v/>
      </c>
      <c r="O2851" s="33">
        <f t="shared" si="133"/>
        <v>7</v>
      </c>
    </row>
    <row r="2852" spans="1:15" x14ac:dyDescent="0.25">
      <c r="A2852" s="93" t="s">
        <v>207</v>
      </c>
      <c r="B2852" s="79" t="str">
        <f>IF(Twelfth!B105="", "",Twelfth!B105)</f>
        <v>Centre Head</v>
      </c>
      <c r="C2852" s="66" t="str">
        <f>IF(Twelfth!C105="", "",Twelfth!C105)</f>
        <v>PwC</v>
      </c>
      <c r="D2852" s="66" t="str">
        <f>IF(Twelfth!D105="", "",Twelfth!D105)</f>
        <v>Returning</v>
      </c>
      <c r="E2852" s="66" t="str">
        <f>IF(Twelfth!E105="", "",Twelfth!E105)</f>
        <v>Female</v>
      </c>
      <c r="F2852" s="66" t="str">
        <f>IF(Twelfth!F105="", "",Twelfth!F105)</f>
        <v>Haemat</v>
      </c>
      <c r="G2852" s="66" t="str">
        <f>IF(Twelfth!G105="", "",Twelfth!G105)</f>
        <v>Non-Curative Intent</v>
      </c>
      <c r="H2852" s="66" t="str">
        <f>IF(Twelfth!H105="", "",Twelfth!H105)</f>
        <v>Programme</v>
      </c>
      <c r="I2852" s="66" t="str">
        <f>IF(Twelfth!I105="", "",Twelfth!I105)</f>
        <v>NG Haematology</v>
      </c>
      <c r="J2852" s="66" t="str">
        <f>IF(Twelfth!J105="", "",Twelfth!J105)</f>
        <v/>
      </c>
      <c r="K2852" s="86" t="str">
        <f>IF(Twelfth!K105="", "",Twelfth!K105)</f>
        <v/>
      </c>
      <c r="M2852" s="67">
        <f t="shared" si="134"/>
        <v>7</v>
      </c>
      <c r="N2852" s="76" t="str">
        <f t="shared" si="135"/>
        <v/>
      </c>
      <c r="O2852" s="33">
        <f t="shared" si="133"/>
        <v>7</v>
      </c>
    </row>
    <row r="2853" spans="1:15" x14ac:dyDescent="0.25">
      <c r="A2853" s="93" t="s">
        <v>207</v>
      </c>
      <c r="B2853" s="79" t="str">
        <f>IF(Twelfth!B106="", "",Twelfth!B106)</f>
        <v>Centre Head</v>
      </c>
      <c r="C2853" s="66" t="str">
        <f>IF(Twelfth!C106="", "",Twelfth!C106)</f>
        <v>PwC</v>
      </c>
      <c r="D2853" s="66" t="str">
        <f>IF(Twelfth!D106="", "",Twelfth!D106)</f>
        <v>Returning</v>
      </c>
      <c r="E2853" s="66" t="str">
        <f>IF(Twelfth!E106="", "",Twelfth!E106)</f>
        <v>Female</v>
      </c>
      <c r="F2853" s="66" t="str">
        <f>IF(Twelfth!F106="", "",Twelfth!F106)</f>
        <v>Haemat</v>
      </c>
      <c r="G2853" s="66" t="str">
        <f>IF(Twelfth!G106="", "",Twelfth!G106)</f>
        <v>Non-Curative Intent</v>
      </c>
      <c r="H2853" s="66" t="str">
        <f>IF(Twelfth!H106="", "",Twelfth!H106)</f>
        <v>Programme</v>
      </c>
      <c r="I2853" s="66" t="str">
        <f>IF(Twelfth!I106="", "",Twelfth!I106)</f>
        <v>NG Haematology</v>
      </c>
      <c r="J2853" s="66" t="str">
        <f>IF(Twelfth!J106="", "",Twelfth!J106)</f>
        <v/>
      </c>
      <c r="K2853" s="86" t="str">
        <f>IF(Twelfth!K106="", "",Twelfth!K106)</f>
        <v/>
      </c>
      <c r="M2853" s="67">
        <f t="shared" si="134"/>
        <v>7</v>
      </c>
      <c r="N2853" s="76" t="str">
        <f t="shared" si="135"/>
        <v/>
      </c>
      <c r="O2853" s="33">
        <f t="shared" si="133"/>
        <v>7</v>
      </c>
    </row>
    <row r="2854" spans="1:15" x14ac:dyDescent="0.25">
      <c r="A2854" s="93" t="s">
        <v>207</v>
      </c>
      <c r="B2854" s="79" t="str">
        <f>IF(Twelfth!B107="", "",Twelfth!B107)</f>
        <v>Centre Head</v>
      </c>
      <c r="C2854" s="66" t="str">
        <f>IF(Twelfth!C107="", "",Twelfth!C107)</f>
        <v>PwC</v>
      </c>
      <c r="D2854" s="66" t="str">
        <f>IF(Twelfth!D107="", "",Twelfth!D107)</f>
        <v>Returning</v>
      </c>
      <c r="E2854" s="66" t="str">
        <f>IF(Twelfth!E107="", "",Twelfth!E107)</f>
        <v>Female</v>
      </c>
      <c r="F2854" s="66" t="str">
        <f>IF(Twelfth!F107="", "",Twelfth!F107)</f>
        <v>Haemat</v>
      </c>
      <c r="G2854" s="66" t="str">
        <f>IF(Twelfth!G107="", "",Twelfth!G107)</f>
        <v>Non-Curative Intent</v>
      </c>
      <c r="H2854" s="66" t="str">
        <f>IF(Twelfth!H107="", "",Twelfth!H107)</f>
        <v>Programme</v>
      </c>
      <c r="I2854" s="66" t="str">
        <f>IF(Twelfth!I107="", "",Twelfth!I107)</f>
        <v>NG Haematology</v>
      </c>
      <c r="J2854" s="66" t="str">
        <f>IF(Twelfth!J107="", "",Twelfth!J107)</f>
        <v/>
      </c>
      <c r="K2854" s="86" t="str">
        <f>IF(Twelfth!K107="", "",Twelfth!K107)</f>
        <v/>
      </c>
      <c r="M2854" s="67">
        <f t="shared" si="134"/>
        <v>7</v>
      </c>
      <c r="N2854" s="76" t="str">
        <f t="shared" si="135"/>
        <v/>
      </c>
      <c r="O2854" s="33">
        <f t="shared" si="133"/>
        <v>7</v>
      </c>
    </row>
    <row r="2855" spans="1:15" x14ac:dyDescent="0.25">
      <c r="A2855" s="93" t="s">
        <v>207</v>
      </c>
      <c r="B2855" s="79" t="str">
        <f>IF(Twelfth!B108="", "",Twelfth!B108)</f>
        <v>Centre Head</v>
      </c>
      <c r="C2855" s="66" t="str">
        <f>IF(Twelfth!C108="", "",Twelfth!C108)</f>
        <v>PwC</v>
      </c>
      <c r="D2855" s="66" t="str">
        <f>IF(Twelfth!D108="", "",Twelfth!D108)</f>
        <v>Returning</v>
      </c>
      <c r="E2855" s="66" t="str">
        <f>IF(Twelfth!E108="", "",Twelfth!E108)</f>
        <v>Female</v>
      </c>
      <c r="F2855" s="66" t="str">
        <f>IF(Twelfth!F108="", "",Twelfth!F108)</f>
        <v>Haemat</v>
      </c>
      <c r="G2855" s="66" t="str">
        <f>IF(Twelfth!G108="", "",Twelfth!G108)</f>
        <v>Non-Curative Intent</v>
      </c>
      <c r="H2855" s="66" t="str">
        <f>IF(Twelfth!H108="", "",Twelfth!H108)</f>
        <v>Programme</v>
      </c>
      <c r="I2855" s="66" t="str">
        <f>IF(Twelfth!I108="", "",Twelfth!I108)</f>
        <v>NG Haematology</v>
      </c>
      <c r="J2855" s="66" t="str">
        <f>IF(Twelfth!J108="", "",Twelfth!J108)</f>
        <v/>
      </c>
      <c r="K2855" s="86" t="str">
        <f>IF(Twelfth!K108="", "",Twelfth!K108)</f>
        <v/>
      </c>
      <c r="M2855" s="67">
        <f t="shared" si="134"/>
        <v>7</v>
      </c>
      <c r="N2855" s="76" t="str">
        <f t="shared" si="135"/>
        <v/>
      </c>
      <c r="O2855" s="33">
        <f t="shared" si="133"/>
        <v>7</v>
      </c>
    </row>
    <row r="2856" spans="1:15" x14ac:dyDescent="0.25">
      <c r="A2856" s="93" t="s">
        <v>207</v>
      </c>
      <c r="B2856" s="79" t="str">
        <f>IF(Twelfth!B109="", "",Twelfth!B109)</f>
        <v>Centre Head</v>
      </c>
      <c r="C2856" s="66" t="str">
        <f>IF(Twelfth!C109="", "",Twelfth!C109)</f>
        <v>PwC</v>
      </c>
      <c r="D2856" s="66" t="str">
        <f>IF(Twelfth!D109="", "",Twelfth!D109)</f>
        <v>Returning</v>
      </c>
      <c r="E2856" s="66" t="str">
        <f>IF(Twelfth!E109="", "",Twelfth!E109)</f>
        <v>Female</v>
      </c>
      <c r="F2856" s="66" t="str">
        <f>IF(Twelfth!F109="", "",Twelfth!F109)</f>
        <v>Haemat</v>
      </c>
      <c r="G2856" s="66" t="str">
        <f>IF(Twelfth!G109="", "",Twelfth!G109)</f>
        <v>Non-Curative Intent</v>
      </c>
      <c r="H2856" s="66" t="str">
        <f>IF(Twelfth!H109="", "",Twelfth!H109)</f>
        <v>Programme</v>
      </c>
      <c r="I2856" s="66" t="str">
        <f>IF(Twelfth!I109="", "",Twelfth!I109)</f>
        <v>NG Haematology</v>
      </c>
      <c r="J2856" s="66" t="str">
        <f>IF(Twelfth!J109="", "",Twelfth!J109)</f>
        <v/>
      </c>
      <c r="K2856" s="86" t="str">
        <f>IF(Twelfth!K109="", "",Twelfth!K109)</f>
        <v/>
      </c>
      <c r="M2856" s="67">
        <f t="shared" si="134"/>
        <v>7</v>
      </c>
      <c r="N2856" s="76" t="str">
        <f t="shared" si="135"/>
        <v/>
      </c>
      <c r="O2856" s="33">
        <f t="shared" si="133"/>
        <v>7</v>
      </c>
    </row>
    <row r="2857" spans="1:15" x14ac:dyDescent="0.25">
      <c r="A2857" s="93" t="s">
        <v>207</v>
      </c>
      <c r="B2857" s="79" t="str">
        <f>IF(Twelfth!B110="", "",Twelfth!B110)</f>
        <v>Centre Head</v>
      </c>
      <c r="C2857" s="66" t="str">
        <f>IF(Twelfth!C110="", "",Twelfth!C110)</f>
        <v>PwC</v>
      </c>
      <c r="D2857" s="66" t="str">
        <f>IF(Twelfth!D110="", "",Twelfth!D110)</f>
        <v>Returning</v>
      </c>
      <c r="E2857" s="66" t="str">
        <f>IF(Twelfth!E110="", "",Twelfth!E110)</f>
        <v>Female</v>
      </c>
      <c r="F2857" s="66" t="str">
        <f>IF(Twelfth!F110="", "",Twelfth!F110)</f>
        <v>Haemat</v>
      </c>
      <c r="G2857" s="66" t="str">
        <f>IF(Twelfth!G110="", "",Twelfth!G110)</f>
        <v>Non-Curative Intent</v>
      </c>
      <c r="H2857" s="66" t="str">
        <f>IF(Twelfth!H110="", "",Twelfth!H110)</f>
        <v>Programme</v>
      </c>
      <c r="I2857" s="66" t="str">
        <f>IF(Twelfth!I110="", "",Twelfth!I110)</f>
        <v>NG Haematology</v>
      </c>
      <c r="J2857" s="66" t="str">
        <f>IF(Twelfth!J110="", "",Twelfth!J110)</f>
        <v/>
      </c>
      <c r="K2857" s="86" t="str">
        <f>IF(Twelfth!K110="", "",Twelfth!K110)</f>
        <v/>
      </c>
      <c r="M2857" s="67">
        <f t="shared" si="134"/>
        <v>7</v>
      </c>
      <c r="N2857" s="76" t="str">
        <f t="shared" si="135"/>
        <v/>
      </c>
      <c r="O2857" s="33">
        <f t="shared" si="133"/>
        <v>7</v>
      </c>
    </row>
    <row r="2858" spans="1:15" x14ac:dyDescent="0.25">
      <c r="A2858" s="93" t="s">
        <v>207</v>
      </c>
      <c r="B2858" s="79" t="str">
        <f>IF(Twelfth!B111="", "",Twelfth!B111)</f>
        <v>Centre Head</v>
      </c>
      <c r="C2858" s="66" t="str">
        <f>IF(Twelfth!C111="", "",Twelfth!C111)</f>
        <v>PwC</v>
      </c>
      <c r="D2858" s="66" t="str">
        <f>IF(Twelfth!D111="", "",Twelfth!D111)</f>
        <v>Returning</v>
      </c>
      <c r="E2858" s="66" t="str">
        <f>IF(Twelfth!E111="", "",Twelfth!E111)</f>
        <v>Female</v>
      </c>
      <c r="F2858" s="66" t="str">
        <f>IF(Twelfth!F111="", "",Twelfth!F111)</f>
        <v>Haemat</v>
      </c>
      <c r="G2858" s="66" t="str">
        <f>IF(Twelfth!G111="", "",Twelfth!G111)</f>
        <v>Non-Curative Intent</v>
      </c>
      <c r="H2858" s="66" t="str">
        <f>IF(Twelfth!H111="", "",Twelfth!H111)</f>
        <v>Programme</v>
      </c>
      <c r="I2858" s="66" t="str">
        <f>IF(Twelfth!I111="", "",Twelfth!I111)</f>
        <v>NG Haematology</v>
      </c>
      <c r="J2858" s="66" t="str">
        <f>IF(Twelfth!J111="", "",Twelfth!J111)</f>
        <v/>
      </c>
      <c r="K2858" s="86" t="str">
        <f>IF(Twelfth!K111="", "",Twelfth!K111)</f>
        <v/>
      </c>
      <c r="M2858" s="67">
        <f t="shared" si="134"/>
        <v>7</v>
      </c>
      <c r="N2858" s="76" t="str">
        <f t="shared" si="135"/>
        <v/>
      </c>
      <c r="O2858" s="33">
        <f t="shared" si="133"/>
        <v>7</v>
      </c>
    </row>
    <row r="2859" spans="1:15" x14ac:dyDescent="0.25">
      <c r="A2859" s="93" t="s">
        <v>207</v>
      </c>
      <c r="B2859" s="79" t="str">
        <f>IF(Twelfth!B112="", "",Twelfth!B112)</f>
        <v>Centre Head</v>
      </c>
      <c r="C2859" s="66" t="str">
        <f>IF(Twelfth!C112="", "",Twelfth!C112)</f>
        <v>PwC</v>
      </c>
      <c r="D2859" s="66" t="str">
        <f>IF(Twelfth!D112="", "",Twelfth!D112)</f>
        <v>Returning</v>
      </c>
      <c r="E2859" s="66" t="str">
        <f>IF(Twelfth!E112="", "",Twelfth!E112)</f>
        <v>Female</v>
      </c>
      <c r="F2859" s="66" t="str">
        <f>IF(Twelfth!F112="", "",Twelfth!F112)</f>
        <v>Haemat</v>
      </c>
      <c r="G2859" s="66" t="str">
        <f>IF(Twelfth!G112="", "",Twelfth!G112)</f>
        <v>Non-Curative Intent</v>
      </c>
      <c r="H2859" s="66" t="str">
        <f>IF(Twelfth!H112="", "",Twelfth!H112)</f>
        <v>Programme</v>
      </c>
      <c r="I2859" s="66" t="str">
        <f>IF(Twelfth!I112="", "",Twelfth!I112)</f>
        <v>NG Haematology</v>
      </c>
      <c r="J2859" s="66" t="str">
        <f>IF(Twelfth!J112="", "",Twelfth!J112)</f>
        <v/>
      </c>
      <c r="K2859" s="86" t="str">
        <f>IF(Twelfth!K112="", "",Twelfth!K112)</f>
        <v/>
      </c>
      <c r="M2859" s="67">
        <f t="shared" si="134"/>
        <v>7</v>
      </c>
      <c r="N2859" s="76" t="str">
        <f t="shared" si="135"/>
        <v/>
      </c>
      <c r="O2859" s="33">
        <f t="shared" si="133"/>
        <v>7</v>
      </c>
    </row>
    <row r="2860" spans="1:15" x14ac:dyDescent="0.25">
      <c r="A2860" s="93" t="s">
        <v>207</v>
      </c>
      <c r="B2860" s="79" t="str">
        <f>IF(Twelfth!B113="", "",Twelfth!B113)</f>
        <v>Centre Head</v>
      </c>
      <c r="C2860" s="66" t="str">
        <f>IF(Twelfth!C113="", "",Twelfth!C113)</f>
        <v>PwC</v>
      </c>
      <c r="D2860" s="66" t="str">
        <f>IF(Twelfth!D113="", "",Twelfth!D113)</f>
        <v>Returning</v>
      </c>
      <c r="E2860" s="66" t="str">
        <f>IF(Twelfth!E113="", "",Twelfth!E113)</f>
        <v>Male</v>
      </c>
      <c r="F2860" s="66" t="str">
        <f>IF(Twelfth!F113="", "",Twelfth!F113)</f>
        <v>Haemat</v>
      </c>
      <c r="G2860" s="66" t="str">
        <f>IF(Twelfth!G113="", "",Twelfth!G113)</f>
        <v>Non-Curative Intent</v>
      </c>
      <c r="H2860" s="66" t="str">
        <f>IF(Twelfth!H113="", "",Twelfth!H113)</f>
        <v>Programme</v>
      </c>
      <c r="I2860" s="66" t="str">
        <f>IF(Twelfth!I113="", "",Twelfth!I113)</f>
        <v>NG Haematology</v>
      </c>
      <c r="J2860" s="66" t="str">
        <f>IF(Twelfth!J113="", "",Twelfth!J113)</f>
        <v/>
      </c>
      <c r="K2860" s="86" t="str">
        <f>IF(Twelfth!K113="", "",Twelfth!K113)</f>
        <v/>
      </c>
      <c r="M2860" s="67">
        <f t="shared" si="134"/>
        <v>7</v>
      </c>
      <c r="N2860" s="76" t="str">
        <f t="shared" si="135"/>
        <v/>
      </c>
      <c r="O2860" s="33">
        <f t="shared" si="133"/>
        <v>7</v>
      </c>
    </row>
    <row r="2861" spans="1:15" x14ac:dyDescent="0.25">
      <c r="A2861" s="93" t="s">
        <v>207</v>
      </c>
      <c r="B2861" s="79" t="str">
        <f>IF(Twelfth!B114="", "",Twelfth!B114)</f>
        <v>Centre Head</v>
      </c>
      <c r="C2861" s="66" t="str">
        <f>IF(Twelfth!C114="", "",Twelfth!C114)</f>
        <v>PwC</v>
      </c>
      <c r="D2861" s="66" t="str">
        <f>IF(Twelfth!D114="", "",Twelfth!D114)</f>
        <v>Returning</v>
      </c>
      <c r="E2861" s="66" t="str">
        <f>IF(Twelfth!E114="", "",Twelfth!E114)</f>
        <v>Male</v>
      </c>
      <c r="F2861" s="66" t="str">
        <f>IF(Twelfth!F114="", "",Twelfth!F114)</f>
        <v>Haemat</v>
      </c>
      <c r="G2861" s="66" t="str">
        <f>IF(Twelfth!G114="", "",Twelfth!G114)</f>
        <v>Non-Curative Intent</v>
      </c>
      <c r="H2861" s="66" t="str">
        <f>IF(Twelfth!H114="", "",Twelfth!H114)</f>
        <v>Programme</v>
      </c>
      <c r="I2861" s="66" t="str">
        <f>IF(Twelfth!I114="", "",Twelfth!I114)</f>
        <v>NG Haematology</v>
      </c>
      <c r="J2861" s="66" t="str">
        <f>IF(Twelfth!J114="", "",Twelfth!J114)</f>
        <v/>
      </c>
      <c r="K2861" s="86" t="str">
        <f>IF(Twelfth!K114="", "",Twelfth!K114)</f>
        <v/>
      </c>
      <c r="M2861" s="67">
        <f t="shared" si="134"/>
        <v>7</v>
      </c>
      <c r="N2861" s="76" t="str">
        <f t="shared" si="135"/>
        <v/>
      </c>
      <c r="O2861" s="33">
        <f t="shared" si="133"/>
        <v>7</v>
      </c>
    </row>
    <row r="2862" spans="1:15" x14ac:dyDescent="0.25">
      <c r="A2862" s="93" t="s">
        <v>207</v>
      </c>
      <c r="B2862" s="79" t="str">
        <f>IF(Twelfth!B115="", "",Twelfth!B115)</f>
        <v>Centre Head</v>
      </c>
      <c r="C2862" s="66" t="str">
        <f>IF(Twelfth!C115="", "",Twelfth!C115)</f>
        <v>PwC</v>
      </c>
      <c r="D2862" s="66" t="str">
        <f>IF(Twelfth!D115="", "",Twelfth!D115)</f>
        <v>Returning</v>
      </c>
      <c r="E2862" s="66" t="str">
        <f>IF(Twelfth!E115="", "",Twelfth!E115)</f>
        <v>Male</v>
      </c>
      <c r="F2862" s="66" t="str">
        <f>IF(Twelfth!F115="", "",Twelfth!F115)</f>
        <v>Haemat</v>
      </c>
      <c r="G2862" s="66" t="str">
        <f>IF(Twelfth!G115="", "",Twelfth!G115)</f>
        <v>Non-Curative Intent</v>
      </c>
      <c r="H2862" s="66" t="str">
        <f>IF(Twelfth!H115="", "",Twelfth!H115)</f>
        <v>Programme</v>
      </c>
      <c r="I2862" s="66" t="str">
        <f>IF(Twelfth!I115="", "",Twelfth!I115)</f>
        <v>NG Haematology</v>
      </c>
      <c r="J2862" s="66" t="str">
        <f>IF(Twelfth!J115="", "",Twelfth!J115)</f>
        <v/>
      </c>
      <c r="K2862" s="86" t="str">
        <f>IF(Twelfth!K115="", "",Twelfth!K115)</f>
        <v/>
      </c>
      <c r="M2862" s="67">
        <f t="shared" si="134"/>
        <v>7</v>
      </c>
      <c r="N2862" s="76" t="str">
        <f t="shared" si="135"/>
        <v/>
      </c>
      <c r="O2862" s="33">
        <f t="shared" si="133"/>
        <v>7</v>
      </c>
    </row>
    <row r="2863" spans="1:15" x14ac:dyDescent="0.25">
      <c r="A2863" s="93" t="s">
        <v>207</v>
      </c>
      <c r="B2863" s="79" t="str">
        <f>IF(Twelfth!B116="", "",Twelfth!B116)</f>
        <v>Centre Head</v>
      </c>
      <c r="C2863" s="66" t="str">
        <f>IF(Twelfth!C116="", "",Twelfth!C116)</f>
        <v>PwC</v>
      </c>
      <c r="D2863" s="66" t="str">
        <f>IF(Twelfth!D116="", "",Twelfth!D116)</f>
        <v>Returning</v>
      </c>
      <c r="E2863" s="66" t="str">
        <f>IF(Twelfth!E116="", "",Twelfth!E116)</f>
        <v>Male</v>
      </c>
      <c r="F2863" s="66" t="str">
        <f>IF(Twelfth!F116="", "",Twelfth!F116)</f>
        <v>Haemat</v>
      </c>
      <c r="G2863" s="66" t="str">
        <f>IF(Twelfth!G116="", "",Twelfth!G116)</f>
        <v>Non-Curative Intent</v>
      </c>
      <c r="H2863" s="66" t="str">
        <f>IF(Twelfth!H116="", "",Twelfth!H116)</f>
        <v>Programme</v>
      </c>
      <c r="I2863" s="66" t="str">
        <f>IF(Twelfth!I116="", "",Twelfth!I116)</f>
        <v>NG Haematology</v>
      </c>
      <c r="J2863" s="66" t="str">
        <f>IF(Twelfth!J116="", "",Twelfth!J116)</f>
        <v/>
      </c>
      <c r="K2863" s="86" t="str">
        <f>IF(Twelfth!K116="", "",Twelfth!K116)</f>
        <v/>
      </c>
      <c r="M2863" s="67">
        <f t="shared" si="134"/>
        <v>7</v>
      </c>
      <c r="N2863" s="76" t="str">
        <f t="shared" si="135"/>
        <v/>
      </c>
      <c r="O2863" s="33">
        <f t="shared" si="133"/>
        <v>7</v>
      </c>
    </row>
    <row r="2864" spans="1:15" x14ac:dyDescent="0.25">
      <c r="A2864" s="93" t="s">
        <v>207</v>
      </c>
      <c r="B2864" s="79" t="str">
        <f>IF(Twelfth!B117="", "",Twelfth!B117)</f>
        <v>Centre Head</v>
      </c>
      <c r="C2864" s="66" t="str">
        <f>IF(Twelfth!C117="", "",Twelfth!C117)</f>
        <v>PwC</v>
      </c>
      <c r="D2864" s="66" t="str">
        <f>IF(Twelfth!D117="", "",Twelfth!D117)</f>
        <v>Returning</v>
      </c>
      <c r="E2864" s="66" t="str">
        <f>IF(Twelfth!E117="", "",Twelfth!E117)</f>
        <v>Male</v>
      </c>
      <c r="F2864" s="66" t="str">
        <f>IF(Twelfth!F117="", "",Twelfth!F117)</f>
        <v>Haemat</v>
      </c>
      <c r="G2864" s="66" t="str">
        <f>IF(Twelfth!G117="", "",Twelfth!G117)</f>
        <v>Non-Curative Intent</v>
      </c>
      <c r="H2864" s="66" t="str">
        <f>IF(Twelfth!H117="", "",Twelfth!H117)</f>
        <v>Programme</v>
      </c>
      <c r="I2864" s="66" t="str">
        <f>IF(Twelfth!I117="", "",Twelfth!I117)</f>
        <v>NG Haematology</v>
      </c>
      <c r="J2864" s="66" t="str">
        <f>IF(Twelfth!J117="", "",Twelfth!J117)</f>
        <v/>
      </c>
      <c r="K2864" s="86" t="str">
        <f>IF(Twelfth!K117="", "",Twelfth!K117)</f>
        <v/>
      </c>
      <c r="M2864" s="67">
        <f t="shared" si="134"/>
        <v>7</v>
      </c>
      <c r="N2864" s="76" t="str">
        <f t="shared" si="135"/>
        <v/>
      </c>
      <c r="O2864" s="33">
        <f t="shared" si="133"/>
        <v>7</v>
      </c>
    </row>
    <row r="2865" spans="1:15" x14ac:dyDescent="0.25">
      <c r="A2865" s="93" t="s">
        <v>207</v>
      </c>
      <c r="B2865" s="79" t="str">
        <f>IF(Twelfth!B118="", "",Twelfth!B118)</f>
        <v>Centre Head</v>
      </c>
      <c r="C2865" s="66" t="str">
        <f>IF(Twelfth!C118="", "",Twelfth!C118)</f>
        <v>PwC</v>
      </c>
      <c r="D2865" s="66" t="str">
        <f>IF(Twelfth!D118="", "",Twelfth!D118)</f>
        <v>Returning</v>
      </c>
      <c r="E2865" s="66" t="str">
        <f>IF(Twelfth!E118="", "",Twelfth!E118)</f>
        <v>Male</v>
      </c>
      <c r="F2865" s="66" t="str">
        <f>IF(Twelfth!F118="", "",Twelfth!F118)</f>
        <v>Haemat</v>
      </c>
      <c r="G2865" s="66" t="str">
        <f>IF(Twelfth!G118="", "",Twelfth!G118)</f>
        <v>Non-Curative Intent</v>
      </c>
      <c r="H2865" s="66" t="str">
        <f>IF(Twelfth!H118="", "",Twelfth!H118)</f>
        <v>Programme</v>
      </c>
      <c r="I2865" s="66" t="str">
        <f>IF(Twelfth!I118="", "",Twelfth!I118)</f>
        <v>NG Haematology</v>
      </c>
      <c r="J2865" s="66" t="str">
        <f>IF(Twelfth!J118="", "",Twelfth!J118)</f>
        <v/>
      </c>
      <c r="K2865" s="86" t="str">
        <f>IF(Twelfth!K118="", "",Twelfth!K118)</f>
        <v/>
      </c>
      <c r="M2865" s="67">
        <f t="shared" si="134"/>
        <v>7</v>
      </c>
      <c r="N2865" s="76" t="str">
        <f t="shared" si="135"/>
        <v/>
      </c>
      <c r="O2865" s="33">
        <f t="shared" si="133"/>
        <v>7</v>
      </c>
    </row>
    <row r="2866" spans="1:15" x14ac:dyDescent="0.25">
      <c r="A2866" s="93" t="s">
        <v>207</v>
      </c>
      <c r="B2866" s="79" t="str">
        <f>IF(Twelfth!B119="", "",Twelfth!B119)</f>
        <v>Centre Head</v>
      </c>
      <c r="C2866" s="66" t="str">
        <f>IF(Twelfth!C119="", "",Twelfth!C119)</f>
        <v>PwC</v>
      </c>
      <c r="D2866" s="66" t="str">
        <f>IF(Twelfth!D119="", "",Twelfth!D119)</f>
        <v>Returning</v>
      </c>
      <c r="E2866" s="66" t="str">
        <f>IF(Twelfth!E119="", "",Twelfth!E119)</f>
        <v>Male</v>
      </c>
      <c r="F2866" s="66" t="str">
        <f>IF(Twelfth!F119="", "",Twelfth!F119)</f>
        <v>Haemat</v>
      </c>
      <c r="G2866" s="66" t="str">
        <f>IF(Twelfth!G119="", "",Twelfth!G119)</f>
        <v>Non-Curative Intent</v>
      </c>
      <c r="H2866" s="66" t="str">
        <f>IF(Twelfth!H119="", "",Twelfth!H119)</f>
        <v>Programme</v>
      </c>
      <c r="I2866" s="66" t="str">
        <f>IF(Twelfth!I119="", "",Twelfth!I119)</f>
        <v>NG Haematology</v>
      </c>
      <c r="J2866" s="66" t="str">
        <f>IF(Twelfth!J119="", "",Twelfth!J119)</f>
        <v/>
      </c>
      <c r="K2866" s="86" t="str">
        <f>IF(Twelfth!K119="", "",Twelfth!K119)</f>
        <v/>
      </c>
      <c r="M2866" s="67">
        <f t="shared" si="134"/>
        <v>7</v>
      </c>
      <c r="N2866" s="76" t="str">
        <f t="shared" si="135"/>
        <v/>
      </c>
      <c r="O2866" s="33">
        <f t="shared" si="133"/>
        <v>7</v>
      </c>
    </row>
    <row r="2867" spans="1:15" x14ac:dyDescent="0.25">
      <c r="A2867" s="93" t="s">
        <v>207</v>
      </c>
      <c r="B2867" s="79" t="str">
        <f>IF(Twelfth!B120="", "",Twelfth!B120)</f>
        <v>Centre Head</v>
      </c>
      <c r="C2867" s="66" t="str">
        <f>IF(Twelfth!C120="", "",Twelfth!C120)</f>
        <v>PwC</v>
      </c>
      <c r="D2867" s="66" t="str">
        <f>IF(Twelfth!D120="", "",Twelfth!D120)</f>
        <v>Returning</v>
      </c>
      <c r="E2867" s="66" t="str">
        <f>IF(Twelfth!E120="", "",Twelfth!E120)</f>
        <v>Male</v>
      </c>
      <c r="F2867" s="66" t="str">
        <f>IF(Twelfth!F120="", "",Twelfth!F120)</f>
        <v>Haemat</v>
      </c>
      <c r="G2867" s="66" t="str">
        <f>IF(Twelfth!G120="", "",Twelfth!G120)</f>
        <v>Non-Curative Intent</v>
      </c>
      <c r="H2867" s="66" t="str">
        <f>IF(Twelfth!H120="", "",Twelfth!H120)</f>
        <v>Programme</v>
      </c>
      <c r="I2867" s="66" t="str">
        <f>IF(Twelfth!I120="", "",Twelfth!I120)</f>
        <v>NG Haematology</v>
      </c>
      <c r="J2867" s="66" t="str">
        <f>IF(Twelfth!J120="", "",Twelfth!J120)</f>
        <v/>
      </c>
      <c r="K2867" s="86" t="str">
        <f>IF(Twelfth!K120="", "",Twelfth!K120)</f>
        <v/>
      </c>
      <c r="M2867" s="67">
        <f t="shared" si="134"/>
        <v>7</v>
      </c>
      <c r="N2867" s="76" t="str">
        <f t="shared" si="135"/>
        <v/>
      </c>
      <c r="O2867" s="33">
        <f t="shared" si="133"/>
        <v>7</v>
      </c>
    </row>
    <row r="2868" spans="1:15" x14ac:dyDescent="0.25">
      <c r="A2868" s="93" t="s">
        <v>207</v>
      </c>
      <c r="B2868" s="79" t="str">
        <f>IF(Twelfth!B121="", "",Twelfth!B121)</f>
        <v>Centre Head</v>
      </c>
      <c r="C2868" s="66" t="str">
        <f>IF(Twelfth!C121="", "",Twelfth!C121)</f>
        <v>PwC</v>
      </c>
      <c r="D2868" s="66" t="str">
        <f>IF(Twelfth!D121="", "",Twelfth!D121)</f>
        <v>Returning</v>
      </c>
      <c r="E2868" s="66" t="str">
        <f>IF(Twelfth!E121="", "",Twelfth!E121)</f>
        <v>Male</v>
      </c>
      <c r="F2868" s="66" t="str">
        <f>IF(Twelfth!F121="", "",Twelfth!F121)</f>
        <v>Haemat</v>
      </c>
      <c r="G2868" s="66" t="str">
        <f>IF(Twelfth!G121="", "",Twelfth!G121)</f>
        <v>Non-Curative Intent</v>
      </c>
      <c r="H2868" s="66" t="str">
        <f>IF(Twelfth!H121="", "",Twelfth!H121)</f>
        <v>Programme</v>
      </c>
      <c r="I2868" s="66" t="str">
        <f>IF(Twelfth!I121="", "",Twelfth!I121)</f>
        <v>NG Haematology</v>
      </c>
      <c r="J2868" s="66" t="str">
        <f>IF(Twelfth!J121="", "",Twelfth!J121)</f>
        <v/>
      </c>
      <c r="K2868" s="86" t="str">
        <f>IF(Twelfth!K121="", "",Twelfth!K121)</f>
        <v/>
      </c>
      <c r="M2868" s="67">
        <f t="shared" si="134"/>
        <v>7</v>
      </c>
      <c r="N2868" s="76" t="str">
        <f t="shared" si="135"/>
        <v/>
      </c>
      <c r="O2868" s="33">
        <f t="shared" si="133"/>
        <v>7</v>
      </c>
    </row>
    <row r="2869" spans="1:15" x14ac:dyDescent="0.25">
      <c r="A2869" s="93" t="s">
        <v>207</v>
      </c>
      <c r="B2869" s="79" t="str">
        <f>IF(Twelfth!B122="", "",Twelfth!B122)</f>
        <v>Centre Head</v>
      </c>
      <c r="C2869" s="66" t="str">
        <f>IF(Twelfth!C122="", "",Twelfth!C122)</f>
        <v>PwC</v>
      </c>
      <c r="D2869" s="66" t="str">
        <f>IF(Twelfth!D122="", "",Twelfth!D122)</f>
        <v>Returning</v>
      </c>
      <c r="E2869" s="66" t="str">
        <f>IF(Twelfth!E122="", "",Twelfth!E122)</f>
        <v>Male</v>
      </c>
      <c r="F2869" s="66" t="str">
        <f>IF(Twelfth!F122="", "",Twelfth!F122)</f>
        <v>Haemat</v>
      </c>
      <c r="G2869" s="66" t="str">
        <f>IF(Twelfth!G122="", "",Twelfth!G122)</f>
        <v>Non-Curative Intent</v>
      </c>
      <c r="H2869" s="66" t="str">
        <f>IF(Twelfth!H122="", "",Twelfth!H122)</f>
        <v>Programme</v>
      </c>
      <c r="I2869" s="66" t="str">
        <f>IF(Twelfth!I122="", "",Twelfth!I122)</f>
        <v>NG Haematology</v>
      </c>
      <c r="J2869" s="66" t="str">
        <f>IF(Twelfth!J122="", "",Twelfth!J122)</f>
        <v/>
      </c>
      <c r="K2869" s="86" t="str">
        <f>IF(Twelfth!K122="", "",Twelfth!K122)</f>
        <v/>
      </c>
      <c r="M2869" s="67">
        <f t="shared" si="134"/>
        <v>7</v>
      </c>
      <c r="N2869" s="76" t="str">
        <f t="shared" si="135"/>
        <v/>
      </c>
      <c r="O2869" s="33">
        <f t="shared" si="133"/>
        <v>7</v>
      </c>
    </row>
    <row r="2870" spans="1:15" x14ac:dyDescent="0.25">
      <c r="A2870" s="93" t="s">
        <v>207</v>
      </c>
      <c r="B2870" s="79" t="str">
        <f>IF(Twelfth!B123="", "",Twelfth!B123)</f>
        <v>Centre Head</v>
      </c>
      <c r="C2870" s="66" t="str">
        <f>IF(Twelfth!C123="", "",Twelfth!C123)</f>
        <v>PwC</v>
      </c>
      <c r="D2870" s="66" t="str">
        <f>IF(Twelfth!D123="", "",Twelfth!D123)</f>
        <v>Returning</v>
      </c>
      <c r="E2870" s="66" t="str">
        <f>IF(Twelfth!E123="", "",Twelfth!E123)</f>
        <v>Male</v>
      </c>
      <c r="F2870" s="66" t="str">
        <f>IF(Twelfth!F123="", "",Twelfth!F123)</f>
        <v>Haemat</v>
      </c>
      <c r="G2870" s="66" t="str">
        <f>IF(Twelfth!G123="", "",Twelfth!G123)</f>
        <v>Non-Curative Intent</v>
      </c>
      <c r="H2870" s="66" t="str">
        <f>IF(Twelfth!H123="", "",Twelfth!H123)</f>
        <v>Programme</v>
      </c>
      <c r="I2870" s="66" t="str">
        <f>IF(Twelfth!I123="", "",Twelfth!I123)</f>
        <v>NG Haematology</v>
      </c>
      <c r="J2870" s="66" t="str">
        <f>IF(Twelfth!J123="", "",Twelfth!J123)</f>
        <v/>
      </c>
      <c r="K2870" s="86" t="str">
        <f>IF(Twelfth!K123="", "",Twelfth!K123)</f>
        <v/>
      </c>
      <c r="M2870" s="67">
        <f t="shared" si="134"/>
        <v>7</v>
      </c>
      <c r="N2870" s="76" t="str">
        <f t="shared" si="135"/>
        <v/>
      </c>
      <c r="O2870" s="33">
        <f t="shared" si="133"/>
        <v>7</v>
      </c>
    </row>
    <row r="2871" spans="1:15" x14ac:dyDescent="0.25">
      <c r="A2871" s="93" t="s">
        <v>207</v>
      </c>
      <c r="B2871" s="79" t="str">
        <f>IF(Twelfth!B124="", "",Twelfth!B124)</f>
        <v/>
      </c>
      <c r="C2871" s="66" t="str">
        <f>IF(Twelfth!C124="", "",Twelfth!C124)</f>
        <v/>
      </c>
      <c r="D2871" s="66" t="str">
        <f>IF(Twelfth!D124="", "",Twelfth!D124)</f>
        <v/>
      </c>
      <c r="E2871" s="66" t="str">
        <f>IF(Twelfth!E124="", "",Twelfth!E124)</f>
        <v/>
      </c>
      <c r="F2871" s="66" t="str">
        <f>IF(Twelfth!F124="", "",Twelfth!F124)</f>
        <v/>
      </c>
      <c r="G2871" s="66" t="str">
        <f>IF(Twelfth!G124="", "",Twelfth!G124)</f>
        <v/>
      </c>
      <c r="H2871" s="66" t="str">
        <f>IF(Twelfth!H124="", "",Twelfth!H124)</f>
        <v/>
      </c>
      <c r="I2871" s="66" t="str">
        <f>IF(Twelfth!I124="", "",Twelfth!I124)</f>
        <v/>
      </c>
      <c r="J2871" s="66" t="str">
        <f>IF(Twelfth!J124="", "",Twelfth!J124)</f>
        <v/>
      </c>
      <c r="K2871" s="86" t="str">
        <f>IF(Twelfth!K124="", "",Twelfth!K124)</f>
        <v/>
      </c>
      <c r="M2871" s="67" t="str">
        <f t="shared" si="134"/>
        <v/>
      </c>
      <c r="N2871" s="76" t="str">
        <f t="shared" si="135"/>
        <v/>
      </c>
      <c r="O2871" s="33">
        <f t="shared" si="133"/>
        <v>0</v>
      </c>
    </row>
    <row r="2872" spans="1:15" x14ac:dyDescent="0.25">
      <c r="A2872" s="93" t="s">
        <v>207</v>
      </c>
      <c r="B2872" s="79" t="str">
        <f>IF(Twelfth!B125="", "",Twelfth!B125)</f>
        <v/>
      </c>
      <c r="C2872" s="66" t="str">
        <f>IF(Twelfth!C125="", "",Twelfth!C125)</f>
        <v/>
      </c>
      <c r="D2872" s="66" t="str">
        <f>IF(Twelfth!D125="", "",Twelfth!D125)</f>
        <v/>
      </c>
      <c r="E2872" s="66" t="str">
        <f>IF(Twelfth!E125="", "",Twelfth!E125)</f>
        <v/>
      </c>
      <c r="F2872" s="66" t="str">
        <f>IF(Twelfth!F125="", "",Twelfth!F125)</f>
        <v/>
      </c>
      <c r="G2872" s="66" t="str">
        <f>IF(Twelfth!G125="", "",Twelfth!G125)</f>
        <v/>
      </c>
      <c r="H2872" s="66" t="str">
        <f>IF(Twelfth!H125="", "",Twelfth!H125)</f>
        <v/>
      </c>
      <c r="I2872" s="66" t="str">
        <f>IF(Twelfth!I125="", "",Twelfth!I125)</f>
        <v/>
      </c>
      <c r="J2872" s="66" t="str">
        <f>IF(Twelfth!J125="", "",Twelfth!J125)</f>
        <v/>
      </c>
      <c r="K2872" s="86" t="str">
        <f>IF(Twelfth!K125="", "",Twelfth!K125)</f>
        <v/>
      </c>
      <c r="M2872" s="67" t="str">
        <f t="shared" si="134"/>
        <v/>
      </c>
      <c r="N2872" s="76" t="str">
        <f t="shared" si="135"/>
        <v/>
      </c>
      <c r="O2872" s="33">
        <f t="shared" si="133"/>
        <v>0</v>
      </c>
    </row>
    <row r="2873" spans="1:15" x14ac:dyDescent="0.25">
      <c r="A2873" s="93" t="s">
        <v>207</v>
      </c>
      <c r="B2873" s="79" t="str">
        <f>IF(Twelfth!B126="", "",Twelfth!B126)</f>
        <v/>
      </c>
      <c r="C2873" s="66" t="str">
        <f>IF(Twelfth!C126="", "",Twelfth!C126)</f>
        <v/>
      </c>
      <c r="D2873" s="66" t="str">
        <f>IF(Twelfth!D126="", "",Twelfth!D126)</f>
        <v/>
      </c>
      <c r="E2873" s="66" t="str">
        <f>IF(Twelfth!E126="", "",Twelfth!E126)</f>
        <v/>
      </c>
      <c r="F2873" s="66" t="str">
        <f>IF(Twelfth!F126="", "",Twelfth!F126)</f>
        <v/>
      </c>
      <c r="G2873" s="66" t="str">
        <f>IF(Twelfth!G126="", "",Twelfth!G126)</f>
        <v/>
      </c>
      <c r="H2873" s="66" t="str">
        <f>IF(Twelfth!H126="", "",Twelfth!H126)</f>
        <v/>
      </c>
      <c r="I2873" s="66" t="str">
        <f>IF(Twelfth!I126="", "",Twelfth!I126)</f>
        <v/>
      </c>
      <c r="J2873" s="66" t="str">
        <f>IF(Twelfth!J126="", "",Twelfth!J126)</f>
        <v/>
      </c>
      <c r="K2873" s="86" t="str">
        <f>IF(Twelfth!K126="", "",Twelfth!K126)</f>
        <v/>
      </c>
      <c r="M2873" s="67" t="str">
        <f t="shared" si="134"/>
        <v/>
      </c>
      <c r="N2873" s="76" t="str">
        <f t="shared" si="135"/>
        <v/>
      </c>
      <c r="O2873" s="33">
        <f t="shared" si="133"/>
        <v>0</v>
      </c>
    </row>
    <row r="2874" spans="1:15" x14ac:dyDescent="0.25">
      <c r="A2874" s="93" t="s">
        <v>207</v>
      </c>
      <c r="B2874" s="79" t="str">
        <f>IF(Twelfth!B127="", "",Twelfth!B127)</f>
        <v/>
      </c>
      <c r="C2874" s="66" t="str">
        <f>IF(Twelfth!C127="", "",Twelfth!C127)</f>
        <v/>
      </c>
      <c r="D2874" s="66" t="str">
        <f>IF(Twelfth!D127="", "",Twelfth!D127)</f>
        <v/>
      </c>
      <c r="E2874" s="66" t="str">
        <f>IF(Twelfth!E127="", "",Twelfth!E127)</f>
        <v/>
      </c>
      <c r="F2874" s="66" t="str">
        <f>IF(Twelfth!F127="", "",Twelfth!F127)</f>
        <v/>
      </c>
      <c r="G2874" s="66" t="str">
        <f>IF(Twelfth!G127="", "",Twelfth!G127)</f>
        <v/>
      </c>
      <c r="H2874" s="66" t="str">
        <f>IF(Twelfth!H127="", "",Twelfth!H127)</f>
        <v/>
      </c>
      <c r="I2874" s="66" t="str">
        <f>IF(Twelfth!I127="", "",Twelfth!I127)</f>
        <v/>
      </c>
      <c r="J2874" s="66" t="str">
        <f>IF(Twelfth!J127="", "",Twelfth!J127)</f>
        <v/>
      </c>
      <c r="K2874" s="86" t="str">
        <f>IF(Twelfth!K127="", "",Twelfth!K127)</f>
        <v/>
      </c>
      <c r="M2874" s="67" t="str">
        <f t="shared" si="134"/>
        <v/>
      </c>
      <c r="N2874" s="76" t="str">
        <f t="shared" si="135"/>
        <v/>
      </c>
      <c r="O2874" s="33">
        <f t="shared" si="133"/>
        <v>0</v>
      </c>
    </row>
    <row r="2875" spans="1:15" x14ac:dyDescent="0.25">
      <c r="A2875" s="93" t="s">
        <v>207</v>
      </c>
      <c r="B2875" s="79" t="str">
        <f>IF(Twelfth!B128="", "",Twelfth!B128)</f>
        <v/>
      </c>
      <c r="C2875" s="66" t="str">
        <f>IF(Twelfth!C128="", "",Twelfth!C128)</f>
        <v/>
      </c>
      <c r="D2875" s="66" t="str">
        <f>IF(Twelfth!D128="", "",Twelfth!D128)</f>
        <v/>
      </c>
      <c r="E2875" s="66" t="str">
        <f>IF(Twelfth!E128="", "",Twelfth!E128)</f>
        <v/>
      </c>
      <c r="F2875" s="66" t="str">
        <f>IF(Twelfth!F128="", "",Twelfth!F128)</f>
        <v/>
      </c>
      <c r="G2875" s="66" t="str">
        <f>IF(Twelfth!G128="", "",Twelfth!G128)</f>
        <v/>
      </c>
      <c r="H2875" s="66" t="str">
        <f>IF(Twelfth!H128="", "",Twelfth!H128)</f>
        <v/>
      </c>
      <c r="I2875" s="66" t="str">
        <f>IF(Twelfth!I128="", "",Twelfth!I128)</f>
        <v/>
      </c>
      <c r="J2875" s="66" t="str">
        <f>IF(Twelfth!J128="", "",Twelfth!J128)</f>
        <v/>
      </c>
      <c r="K2875" s="86" t="str">
        <f>IF(Twelfth!K128="", "",Twelfth!K128)</f>
        <v/>
      </c>
      <c r="M2875" s="67" t="str">
        <f t="shared" si="134"/>
        <v/>
      </c>
      <c r="N2875" s="76" t="str">
        <f t="shared" si="135"/>
        <v/>
      </c>
      <c r="O2875" s="33">
        <f t="shared" si="133"/>
        <v>0</v>
      </c>
    </row>
    <row r="2876" spans="1:15" x14ac:dyDescent="0.25">
      <c r="A2876" s="93" t="s">
        <v>207</v>
      </c>
      <c r="B2876" s="79" t="str">
        <f>IF(Twelfth!B129="", "",Twelfth!B129)</f>
        <v/>
      </c>
      <c r="C2876" s="66" t="str">
        <f>IF(Twelfth!C129="", "",Twelfth!C129)</f>
        <v/>
      </c>
      <c r="D2876" s="66" t="str">
        <f>IF(Twelfth!D129="", "",Twelfth!D129)</f>
        <v/>
      </c>
      <c r="E2876" s="66" t="str">
        <f>IF(Twelfth!E129="", "",Twelfth!E129)</f>
        <v/>
      </c>
      <c r="F2876" s="66" t="str">
        <f>IF(Twelfth!F129="", "",Twelfth!F129)</f>
        <v/>
      </c>
      <c r="G2876" s="66" t="str">
        <f>IF(Twelfth!G129="", "",Twelfth!G129)</f>
        <v/>
      </c>
      <c r="H2876" s="66" t="str">
        <f>IF(Twelfth!H129="", "",Twelfth!H129)</f>
        <v/>
      </c>
      <c r="I2876" s="66" t="str">
        <f>IF(Twelfth!I129="", "",Twelfth!I129)</f>
        <v/>
      </c>
      <c r="J2876" s="66" t="str">
        <f>IF(Twelfth!J129="", "",Twelfth!J129)</f>
        <v/>
      </c>
      <c r="K2876" s="86" t="str">
        <f>IF(Twelfth!K129="", "",Twelfth!K129)</f>
        <v/>
      </c>
      <c r="M2876" s="67" t="str">
        <f t="shared" si="134"/>
        <v/>
      </c>
      <c r="N2876" s="76" t="str">
        <f t="shared" si="135"/>
        <v/>
      </c>
      <c r="O2876" s="33">
        <f t="shared" si="133"/>
        <v>0</v>
      </c>
    </row>
    <row r="2877" spans="1:15" x14ac:dyDescent="0.25">
      <c r="A2877" s="93" t="s">
        <v>207</v>
      </c>
      <c r="B2877" s="79" t="str">
        <f>IF(Twelfth!B130="", "",Twelfth!B130)</f>
        <v/>
      </c>
      <c r="C2877" s="66" t="str">
        <f>IF(Twelfth!C130="", "",Twelfth!C130)</f>
        <v/>
      </c>
      <c r="D2877" s="66" t="str">
        <f>IF(Twelfth!D130="", "",Twelfth!D130)</f>
        <v/>
      </c>
      <c r="E2877" s="66" t="str">
        <f>IF(Twelfth!E130="", "",Twelfth!E130)</f>
        <v/>
      </c>
      <c r="F2877" s="66" t="str">
        <f>IF(Twelfth!F130="", "",Twelfth!F130)</f>
        <v/>
      </c>
      <c r="G2877" s="66" t="str">
        <f>IF(Twelfth!G130="", "",Twelfth!G130)</f>
        <v/>
      </c>
      <c r="H2877" s="66" t="str">
        <f>IF(Twelfth!H130="", "",Twelfth!H130)</f>
        <v/>
      </c>
      <c r="I2877" s="66" t="str">
        <f>IF(Twelfth!I130="", "",Twelfth!I130)</f>
        <v/>
      </c>
      <c r="J2877" s="66" t="str">
        <f>IF(Twelfth!J130="", "",Twelfth!J130)</f>
        <v/>
      </c>
      <c r="K2877" s="86" t="str">
        <f>IF(Twelfth!K130="", "",Twelfth!K130)</f>
        <v/>
      </c>
      <c r="M2877" s="67" t="str">
        <f t="shared" si="134"/>
        <v/>
      </c>
      <c r="N2877" s="76" t="str">
        <f t="shared" si="135"/>
        <v/>
      </c>
      <c r="O2877" s="33">
        <f t="shared" si="133"/>
        <v>0</v>
      </c>
    </row>
    <row r="2878" spans="1:15" x14ac:dyDescent="0.25">
      <c r="A2878" s="93" t="s">
        <v>207</v>
      </c>
      <c r="B2878" s="79" t="str">
        <f>IF(Twelfth!B131="", "",Twelfth!B131)</f>
        <v/>
      </c>
      <c r="C2878" s="66" t="str">
        <f>IF(Twelfth!C131="", "",Twelfth!C131)</f>
        <v/>
      </c>
      <c r="D2878" s="66" t="str">
        <f>IF(Twelfth!D131="", "",Twelfth!D131)</f>
        <v/>
      </c>
      <c r="E2878" s="66" t="str">
        <f>IF(Twelfth!E131="", "",Twelfth!E131)</f>
        <v/>
      </c>
      <c r="F2878" s="66" t="str">
        <f>IF(Twelfth!F131="", "",Twelfth!F131)</f>
        <v/>
      </c>
      <c r="G2878" s="66" t="str">
        <f>IF(Twelfth!G131="", "",Twelfth!G131)</f>
        <v/>
      </c>
      <c r="H2878" s="66" t="str">
        <f>IF(Twelfth!H131="", "",Twelfth!H131)</f>
        <v/>
      </c>
      <c r="I2878" s="66" t="str">
        <f>IF(Twelfth!I131="", "",Twelfth!I131)</f>
        <v/>
      </c>
      <c r="J2878" s="66" t="str">
        <f>IF(Twelfth!J131="", "",Twelfth!J131)</f>
        <v/>
      </c>
      <c r="K2878" s="86" t="str">
        <f>IF(Twelfth!K131="", "",Twelfth!K131)</f>
        <v/>
      </c>
      <c r="M2878" s="67" t="str">
        <f t="shared" si="134"/>
        <v/>
      </c>
      <c r="N2878" s="76" t="str">
        <f t="shared" si="135"/>
        <v/>
      </c>
      <c r="O2878" s="33">
        <f t="shared" si="133"/>
        <v>0</v>
      </c>
    </row>
    <row r="2879" spans="1:15" x14ac:dyDescent="0.25">
      <c r="A2879" s="93" t="s">
        <v>207</v>
      </c>
      <c r="B2879" s="79" t="str">
        <f>IF(Twelfth!B132="", "",Twelfth!B132)</f>
        <v/>
      </c>
      <c r="C2879" s="66" t="str">
        <f>IF(Twelfth!C132="", "",Twelfth!C132)</f>
        <v/>
      </c>
      <c r="D2879" s="66" t="str">
        <f>IF(Twelfth!D132="", "",Twelfth!D132)</f>
        <v/>
      </c>
      <c r="E2879" s="66" t="str">
        <f>IF(Twelfth!E132="", "",Twelfth!E132)</f>
        <v/>
      </c>
      <c r="F2879" s="66" t="str">
        <f>IF(Twelfth!F132="", "",Twelfth!F132)</f>
        <v/>
      </c>
      <c r="G2879" s="66" t="str">
        <f>IF(Twelfth!G132="", "",Twelfth!G132)</f>
        <v/>
      </c>
      <c r="H2879" s="66" t="str">
        <f>IF(Twelfth!H132="", "",Twelfth!H132)</f>
        <v/>
      </c>
      <c r="I2879" s="66" t="str">
        <f>IF(Twelfth!I132="", "",Twelfth!I132)</f>
        <v/>
      </c>
      <c r="J2879" s="66" t="str">
        <f>IF(Twelfth!J132="", "",Twelfth!J132)</f>
        <v/>
      </c>
      <c r="K2879" s="86" t="str">
        <f>IF(Twelfth!K132="", "",Twelfth!K132)</f>
        <v/>
      </c>
      <c r="M2879" s="67" t="str">
        <f t="shared" si="134"/>
        <v/>
      </c>
      <c r="N2879" s="76" t="str">
        <f t="shared" si="135"/>
        <v/>
      </c>
      <c r="O2879" s="33">
        <f t="shared" si="133"/>
        <v>0</v>
      </c>
    </row>
    <row r="2880" spans="1:15" x14ac:dyDescent="0.25">
      <c r="A2880" s="93" t="s">
        <v>207</v>
      </c>
      <c r="B2880" s="79" t="str">
        <f>IF(Twelfth!B133="", "",Twelfth!B133)</f>
        <v/>
      </c>
      <c r="C2880" s="66" t="str">
        <f>IF(Twelfth!C133="", "",Twelfth!C133)</f>
        <v/>
      </c>
      <c r="D2880" s="66" t="str">
        <f>IF(Twelfth!D133="", "",Twelfth!D133)</f>
        <v/>
      </c>
      <c r="E2880" s="66" t="str">
        <f>IF(Twelfth!E133="", "",Twelfth!E133)</f>
        <v/>
      </c>
      <c r="F2880" s="66" t="str">
        <f>IF(Twelfth!F133="", "",Twelfth!F133)</f>
        <v/>
      </c>
      <c r="G2880" s="66" t="str">
        <f>IF(Twelfth!G133="", "",Twelfth!G133)</f>
        <v/>
      </c>
      <c r="H2880" s="66" t="str">
        <f>IF(Twelfth!H133="", "",Twelfth!H133)</f>
        <v/>
      </c>
      <c r="I2880" s="66" t="str">
        <f>IF(Twelfth!I133="", "",Twelfth!I133)</f>
        <v/>
      </c>
      <c r="J2880" s="66" t="str">
        <f>IF(Twelfth!J133="", "",Twelfth!J133)</f>
        <v/>
      </c>
      <c r="K2880" s="86" t="str">
        <f>IF(Twelfth!K133="", "",Twelfth!K133)</f>
        <v/>
      </c>
      <c r="M2880" s="67" t="str">
        <f t="shared" si="134"/>
        <v/>
      </c>
      <c r="N2880" s="76" t="str">
        <f t="shared" si="135"/>
        <v/>
      </c>
      <c r="O2880" s="33">
        <f t="shared" si="133"/>
        <v>0</v>
      </c>
    </row>
    <row r="2881" spans="1:15" x14ac:dyDescent="0.25">
      <c r="A2881" s="93" t="s">
        <v>207</v>
      </c>
      <c r="B2881" s="79" t="str">
        <f>IF(Twelfth!B134="", "",Twelfth!B134)</f>
        <v/>
      </c>
      <c r="C2881" s="66" t="str">
        <f>IF(Twelfth!C134="", "",Twelfth!C134)</f>
        <v/>
      </c>
      <c r="D2881" s="66" t="str">
        <f>IF(Twelfth!D134="", "",Twelfth!D134)</f>
        <v/>
      </c>
      <c r="E2881" s="66" t="str">
        <f>IF(Twelfth!E134="", "",Twelfth!E134)</f>
        <v/>
      </c>
      <c r="F2881" s="66" t="str">
        <f>IF(Twelfth!F134="", "",Twelfth!F134)</f>
        <v/>
      </c>
      <c r="G2881" s="66" t="str">
        <f>IF(Twelfth!G134="", "",Twelfth!G134)</f>
        <v/>
      </c>
      <c r="H2881" s="66" t="str">
        <f>IF(Twelfth!H134="", "",Twelfth!H134)</f>
        <v/>
      </c>
      <c r="I2881" s="66" t="str">
        <f>IF(Twelfth!I134="", "",Twelfth!I134)</f>
        <v/>
      </c>
      <c r="J2881" s="66" t="str">
        <f>IF(Twelfth!J134="", "",Twelfth!J134)</f>
        <v/>
      </c>
      <c r="K2881" s="86" t="str">
        <f>IF(Twelfth!K134="", "",Twelfth!K134)</f>
        <v/>
      </c>
      <c r="M2881" s="67" t="str">
        <f t="shared" si="134"/>
        <v/>
      </c>
      <c r="N2881" s="76" t="str">
        <f t="shared" si="135"/>
        <v/>
      </c>
      <c r="O2881" s="33">
        <f t="shared" si="133"/>
        <v>0</v>
      </c>
    </row>
    <row r="2882" spans="1:15" x14ac:dyDescent="0.25">
      <c r="A2882" s="93" t="s">
        <v>207</v>
      </c>
      <c r="B2882" s="79" t="str">
        <f>IF(Twelfth!B135="", "",Twelfth!B135)</f>
        <v/>
      </c>
      <c r="C2882" s="66" t="str">
        <f>IF(Twelfth!C135="", "",Twelfth!C135)</f>
        <v/>
      </c>
      <c r="D2882" s="66" t="str">
        <f>IF(Twelfth!D135="", "",Twelfth!D135)</f>
        <v/>
      </c>
      <c r="E2882" s="66" t="str">
        <f>IF(Twelfth!E135="", "",Twelfth!E135)</f>
        <v/>
      </c>
      <c r="F2882" s="66" t="str">
        <f>IF(Twelfth!F135="", "",Twelfth!F135)</f>
        <v/>
      </c>
      <c r="G2882" s="66" t="str">
        <f>IF(Twelfth!G135="", "",Twelfth!G135)</f>
        <v/>
      </c>
      <c r="H2882" s="66" t="str">
        <f>IF(Twelfth!H135="", "",Twelfth!H135)</f>
        <v/>
      </c>
      <c r="I2882" s="66" t="str">
        <f>IF(Twelfth!I135="", "",Twelfth!I135)</f>
        <v/>
      </c>
      <c r="J2882" s="66" t="str">
        <f>IF(Twelfth!J135="", "",Twelfth!J135)</f>
        <v/>
      </c>
      <c r="K2882" s="86" t="str">
        <f>IF(Twelfth!K135="", "",Twelfth!K135)</f>
        <v/>
      </c>
      <c r="M2882" s="67" t="str">
        <f t="shared" si="134"/>
        <v/>
      </c>
      <c r="N2882" s="76" t="str">
        <f t="shared" si="135"/>
        <v/>
      </c>
      <c r="O2882" s="33">
        <f t="shared" ref="O2882:O2945" si="136">SUM(M2882:N2882)</f>
        <v>0</v>
      </c>
    </row>
    <row r="2883" spans="1:15" x14ac:dyDescent="0.25">
      <c r="A2883" s="93" t="s">
        <v>207</v>
      </c>
      <c r="B2883" s="79" t="str">
        <f>IF(Twelfth!B136="", "",Twelfth!B136)</f>
        <v/>
      </c>
      <c r="C2883" s="66" t="str">
        <f>IF(Twelfth!C136="", "",Twelfth!C136)</f>
        <v/>
      </c>
      <c r="D2883" s="66" t="str">
        <f>IF(Twelfth!D136="", "",Twelfth!D136)</f>
        <v/>
      </c>
      <c r="E2883" s="66" t="str">
        <f>IF(Twelfth!E136="", "",Twelfth!E136)</f>
        <v/>
      </c>
      <c r="F2883" s="66" t="str">
        <f>IF(Twelfth!F136="", "",Twelfth!F136)</f>
        <v/>
      </c>
      <c r="G2883" s="66" t="str">
        <f>IF(Twelfth!G136="", "",Twelfth!G136)</f>
        <v/>
      </c>
      <c r="H2883" s="66" t="str">
        <f>IF(Twelfth!H136="", "",Twelfth!H136)</f>
        <v/>
      </c>
      <c r="I2883" s="66" t="str">
        <f>IF(Twelfth!I136="", "",Twelfth!I136)</f>
        <v/>
      </c>
      <c r="J2883" s="66" t="str">
        <f>IF(Twelfth!J136="", "",Twelfth!J136)</f>
        <v/>
      </c>
      <c r="K2883" s="86" t="str">
        <f>IF(Twelfth!K136="", "",Twelfth!K136)</f>
        <v/>
      </c>
      <c r="M2883" s="67" t="str">
        <f t="shared" ref="M2883:M2946" si="137">IF(C2883="PwC",(7-COUNTIF(B2883:H2883,"")),"")</f>
        <v/>
      </c>
      <c r="N2883" s="76" t="str">
        <f t="shared" ref="N2883:N2946" si="138">IF(C2883="Carer",(7-COUNTIF(B2883:H2883,"")),"")</f>
        <v/>
      </c>
      <c r="O2883" s="33">
        <f t="shared" si="136"/>
        <v>0</v>
      </c>
    </row>
    <row r="2884" spans="1:15" x14ac:dyDescent="0.25">
      <c r="A2884" s="93" t="s">
        <v>207</v>
      </c>
      <c r="B2884" s="79" t="str">
        <f>IF(Twelfth!B137="", "",Twelfth!B137)</f>
        <v/>
      </c>
      <c r="C2884" s="66" t="str">
        <f>IF(Twelfth!C137="", "",Twelfth!C137)</f>
        <v/>
      </c>
      <c r="D2884" s="66" t="str">
        <f>IF(Twelfth!D137="", "",Twelfth!D137)</f>
        <v/>
      </c>
      <c r="E2884" s="66" t="str">
        <f>IF(Twelfth!E137="", "",Twelfth!E137)</f>
        <v/>
      </c>
      <c r="F2884" s="66" t="str">
        <f>IF(Twelfth!F137="", "",Twelfth!F137)</f>
        <v/>
      </c>
      <c r="G2884" s="66" t="str">
        <f>IF(Twelfth!G137="", "",Twelfth!G137)</f>
        <v/>
      </c>
      <c r="H2884" s="66" t="str">
        <f>IF(Twelfth!H137="", "",Twelfth!H137)</f>
        <v/>
      </c>
      <c r="I2884" s="66" t="str">
        <f>IF(Twelfth!I137="", "",Twelfth!I137)</f>
        <v/>
      </c>
      <c r="J2884" s="66" t="str">
        <f>IF(Twelfth!J137="", "",Twelfth!J137)</f>
        <v/>
      </c>
      <c r="K2884" s="86" t="str">
        <f>IF(Twelfth!K137="", "",Twelfth!K137)</f>
        <v/>
      </c>
      <c r="M2884" s="67" t="str">
        <f t="shared" si="137"/>
        <v/>
      </c>
      <c r="N2884" s="76" t="str">
        <f t="shared" si="138"/>
        <v/>
      </c>
      <c r="O2884" s="33">
        <f t="shared" si="136"/>
        <v>0</v>
      </c>
    </row>
    <row r="2885" spans="1:15" x14ac:dyDescent="0.25">
      <c r="A2885" s="93" t="s">
        <v>207</v>
      </c>
      <c r="B2885" s="79" t="str">
        <f>IF(Twelfth!B138="", "",Twelfth!B138)</f>
        <v/>
      </c>
      <c r="C2885" s="66" t="str">
        <f>IF(Twelfth!C138="", "",Twelfth!C138)</f>
        <v/>
      </c>
      <c r="D2885" s="66" t="str">
        <f>IF(Twelfth!D138="", "",Twelfth!D138)</f>
        <v/>
      </c>
      <c r="E2885" s="66" t="str">
        <f>IF(Twelfth!E138="", "",Twelfth!E138)</f>
        <v/>
      </c>
      <c r="F2885" s="66" t="str">
        <f>IF(Twelfth!F138="", "",Twelfth!F138)</f>
        <v/>
      </c>
      <c r="G2885" s="66" t="str">
        <f>IF(Twelfth!G138="", "",Twelfth!G138)</f>
        <v/>
      </c>
      <c r="H2885" s="66" t="str">
        <f>IF(Twelfth!H138="", "",Twelfth!H138)</f>
        <v/>
      </c>
      <c r="I2885" s="66" t="str">
        <f>IF(Twelfth!I138="", "",Twelfth!I138)</f>
        <v/>
      </c>
      <c r="J2885" s="66" t="str">
        <f>IF(Twelfth!J138="", "",Twelfth!J138)</f>
        <v/>
      </c>
      <c r="K2885" s="86" t="str">
        <f>IF(Twelfth!K138="", "",Twelfth!K138)</f>
        <v/>
      </c>
      <c r="M2885" s="67" t="str">
        <f t="shared" si="137"/>
        <v/>
      </c>
      <c r="N2885" s="76" t="str">
        <f t="shared" si="138"/>
        <v/>
      </c>
      <c r="O2885" s="33">
        <f t="shared" si="136"/>
        <v>0</v>
      </c>
    </row>
    <row r="2886" spans="1:15" x14ac:dyDescent="0.25">
      <c r="A2886" s="93" t="s">
        <v>207</v>
      </c>
      <c r="B2886" s="79" t="str">
        <f>IF(Twelfth!B139="", "",Twelfth!B139)</f>
        <v/>
      </c>
      <c r="C2886" s="66" t="str">
        <f>IF(Twelfth!C139="", "",Twelfth!C139)</f>
        <v/>
      </c>
      <c r="D2886" s="66" t="str">
        <f>IF(Twelfth!D139="", "",Twelfth!D139)</f>
        <v/>
      </c>
      <c r="E2886" s="66" t="str">
        <f>IF(Twelfth!E139="", "",Twelfth!E139)</f>
        <v/>
      </c>
      <c r="F2886" s="66" t="str">
        <f>IF(Twelfth!F139="", "",Twelfth!F139)</f>
        <v/>
      </c>
      <c r="G2886" s="66" t="str">
        <f>IF(Twelfth!G139="", "",Twelfth!G139)</f>
        <v/>
      </c>
      <c r="H2886" s="66" t="str">
        <f>IF(Twelfth!H139="", "",Twelfth!H139)</f>
        <v/>
      </c>
      <c r="I2886" s="66" t="str">
        <f>IF(Twelfth!I139="", "",Twelfth!I139)</f>
        <v/>
      </c>
      <c r="J2886" s="66" t="str">
        <f>IF(Twelfth!J139="", "",Twelfth!J139)</f>
        <v/>
      </c>
      <c r="K2886" s="86" t="str">
        <f>IF(Twelfth!K139="", "",Twelfth!K139)</f>
        <v/>
      </c>
      <c r="M2886" s="67" t="str">
        <f t="shared" si="137"/>
        <v/>
      </c>
      <c r="N2886" s="76" t="str">
        <f t="shared" si="138"/>
        <v/>
      </c>
      <c r="O2886" s="33">
        <f t="shared" si="136"/>
        <v>0</v>
      </c>
    </row>
    <row r="2887" spans="1:15" x14ac:dyDescent="0.25">
      <c r="A2887" s="93" t="s">
        <v>207</v>
      </c>
      <c r="B2887" s="79" t="str">
        <f>IF(Twelfth!B140="", "",Twelfth!B140)</f>
        <v/>
      </c>
      <c r="C2887" s="66" t="str">
        <f>IF(Twelfth!C140="", "",Twelfth!C140)</f>
        <v/>
      </c>
      <c r="D2887" s="66" t="str">
        <f>IF(Twelfth!D140="", "",Twelfth!D140)</f>
        <v/>
      </c>
      <c r="E2887" s="66" t="str">
        <f>IF(Twelfth!E140="", "",Twelfth!E140)</f>
        <v/>
      </c>
      <c r="F2887" s="66" t="str">
        <f>IF(Twelfth!F140="", "",Twelfth!F140)</f>
        <v/>
      </c>
      <c r="G2887" s="66" t="str">
        <f>IF(Twelfth!G140="", "",Twelfth!G140)</f>
        <v/>
      </c>
      <c r="H2887" s="66" t="str">
        <f>IF(Twelfth!H140="", "",Twelfth!H140)</f>
        <v/>
      </c>
      <c r="I2887" s="66" t="str">
        <f>IF(Twelfth!I140="", "",Twelfth!I140)</f>
        <v/>
      </c>
      <c r="J2887" s="66" t="str">
        <f>IF(Twelfth!J140="", "",Twelfth!J140)</f>
        <v/>
      </c>
      <c r="K2887" s="86" t="str">
        <f>IF(Twelfth!K140="", "",Twelfth!K140)</f>
        <v/>
      </c>
      <c r="M2887" s="67" t="str">
        <f t="shared" si="137"/>
        <v/>
      </c>
      <c r="N2887" s="76" t="str">
        <f t="shared" si="138"/>
        <v/>
      </c>
      <c r="O2887" s="33">
        <f t="shared" si="136"/>
        <v>0</v>
      </c>
    </row>
    <row r="2888" spans="1:15" x14ac:dyDescent="0.25">
      <c r="A2888" s="93" t="s">
        <v>207</v>
      </c>
      <c r="B2888" s="79" t="str">
        <f>IF(Twelfth!B141="", "",Twelfth!B141)</f>
        <v/>
      </c>
      <c r="C2888" s="66" t="str">
        <f>IF(Twelfth!C141="", "",Twelfth!C141)</f>
        <v/>
      </c>
      <c r="D2888" s="66" t="str">
        <f>IF(Twelfth!D141="", "",Twelfth!D141)</f>
        <v/>
      </c>
      <c r="E2888" s="66" t="str">
        <f>IF(Twelfth!E141="", "",Twelfth!E141)</f>
        <v/>
      </c>
      <c r="F2888" s="66" t="str">
        <f>IF(Twelfth!F141="", "",Twelfth!F141)</f>
        <v/>
      </c>
      <c r="G2888" s="66" t="str">
        <f>IF(Twelfth!G141="", "",Twelfth!G141)</f>
        <v/>
      </c>
      <c r="H2888" s="66" t="str">
        <f>IF(Twelfth!H141="", "",Twelfth!H141)</f>
        <v/>
      </c>
      <c r="I2888" s="66" t="str">
        <f>IF(Twelfth!I141="", "",Twelfth!I141)</f>
        <v/>
      </c>
      <c r="J2888" s="66" t="str">
        <f>IF(Twelfth!J141="", "",Twelfth!J141)</f>
        <v/>
      </c>
      <c r="K2888" s="86" t="str">
        <f>IF(Twelfth!K141="", "",Twelfth!K141)</f>
        <v/>
      </c>
      <c r="M2888" s="67" t="str">
        <f t="shared" si="137"/>
        <v/>
      </c>
      <c r="N2888" s="76" t="str">
        <f t="shared" si="138"/>
        <v/>
      </c>
      <c r="O2888" s="33">
        <f t="shared" si="136"/>
        <v>0</v>
      </c>
    </row>
    <row r="2889" spans="1:15" x14ac:dyDescent="0.25">
      <c r="A2889" s="93" t="s">
        <v>207</v>
      </c>
      <c r="B2889" s="79" t="str">
        <f>IF(Twelfth!B142="", "",Twelfth!B142)</f>
        <v/>
      </c>
      <c r="C2889" s="66" t="str">
        <f>IF(Twelfth!C142="", "",Twelfth!C142)</f>
        <v/>
      </c>
      <c r="D2889" s="66" t="str">
        <f>IF(Twelfth!D142="", "",Twelfth!D142)</f>
        <v/>
      </c>
      <c r="E2889" s="66" t="str">
        <f>IF(Twelfth!E142="", "",Twelfth!E142)</f>
        <v/>
      </c>
      <c r="F2889" s="66" t="str">
        <f>IF(Twelfth!F142="", "",Twelfth!F142)</f>
        <v/>
      </c>
      <c r="G2889" s="66" t="str">
        <f>IF(Twelfth!G142="", "",Twelfth!G142)</f>
        <v/>
      </c>
      <c r="H2889" s="66" t="str">
        <f>IF(Twelfth!H142="", "",Twelfth!H142)</f>
        <v/>
      </c>
      <c r="I2889" s="66" t="str">
        <f>IF(Twelfth!I142="", "",Twelfth!I142)</f>
        <v/>
      </c>
      <c r="J2889" s="66" t="str">
        <f>IF(Twelfth!J142="", "",Twelfth!J142)</f>
        <v/>
      </c>
      <c r="K2889" s="86" t="str">
        <f>IF(Twelfth!K142="", "",Twelfth!K142)</f>
        <v/>
      </c>
      <c r="M2889" s="67" t="str">
        <f t="shared" si="137"/>
        <v/>
      </c>
      <c r="N2889" s="76" t="str">
        <f t="shared" si="138"/>
        <v/>
      </c>
      <c r="O2889" s="33">
        <f t="shared" si="136"/>
        <v>0</v>
      </c>
    </row>
    <row r="2890" spans="1:15" x14ac:dyDescent="0.25">
      <c r="A2890" s="93" t="s">
        <v>207</v>
      </c>
      <c r="B2890" s="79" t="str">
        <f>IF(Twelfth!B143="", "",Twelfth!B143)</f>
        <v/>
      </c>
      <c r="C2890" s="66" t="str">
        <f>IF(Twelfth!C143="", "",Twelfth!C143)</f>
        <v/>
      </c>
      <c r="D2890" s="66" t="str">
        <f>IF(Twelfth!D143="", "",Twelfth!D143)</f>
        <v/>
      </c>
      <c r="E2890" s="66" t="str">
        <f>IF(Twelfth!E143="", "",Twelfth!E143)</f>
        <v/>
      </c>
      <c r="F2890" s="66" t="str">
        <f>IF(Twelfth!F143="", "",Twelfth!F143)</f>
        <v/>
      </c>
      <c r="G2890" s="66" t="str">
        <f>IF(Twelfth!G143="", "",Twelfth!G143)</f>
        <v/>
      </c>
      <c r="H2890" s="66" t="str">
        <f>IF(Twelfth!H143="", "",Twelfth!H143)</f>
        <v/>
      </c>
      <c r="I2890" s="66" t="str">
        <f>IF(Twelfth!I143="", "",Twelfth!I143)</f>
        <v/>
      </c>
      <c r="J2890" s="66" t="str">
        <f>IF(Twelfth!J143="", "",Twelfth!J143)</f>
        <v/>
      </c>
      <c r="K2890" s="86" t="str">
        <f>IF(Twelfth!K143="", "",Twelfth!K143)</f>
        <v/>
      </c>
      <c r="M2890" s="67" t="str">
        <f t="shared" si="137"/>
        <v/>
      </c>
      <c r="N2890" s="76" t="str">
        <f t="shared" si="138"/>
        <v/>
      </c>
      <c r="O2890" s="33">
        <f t="shared" si="136"/>
        <v>0</v>
      </c>
    </row>
    <row r="2891" spans="1:15" x14ac:dyDescent="0.25">
      <c r="A2891" s="93" t="s">
        <v>207</v>
      </c>
      <c r="B2891" s="79" t="str">
        <f>IF(Twelfth!B144="", "",Twelfth!B144)</f>
        <v/>
      </c>
      <c r="C2891" s="66" t="str">
        <f>IF(Twelfth!C144="", "",Twelfth!C144)</f>
        <v/>
      </c>
      <c r="D2891" s="66" t="str">
        <f>IF(Twelfth!D144="", "",Twelfth!D144)</f>
        <v/>
      </c>
      <c r="E2891" s="66" t="str">
        <f>IF(Twelfth!E144="", "",Twelfth!E144)</f>
        <v/>
      </c>
      <c r="F2891" s="66" t="str">
        <f>IF(Twelfth!F144="", "",Twelfth!F144)</f>
        <v/>
      </c>
      <c r="G2891" s="66" t="str">
        <f>IF(Twelfth!G144="", "",Twelfth!G144)</f>
        <v/>
      </c>
      <c r="H2891" s="66" t="str">
        <f>IF(Twelfth!H144="", "",Twelfth!H144)</f>
        <v/>
      </c>
      <c r="I2891" s="66" t="str">
        <f>IF(Twelfth!I144="", "",Twelfth!I144)</f>
        <v/>
      </c>
      <c r="J2891" s="66" t="str">
        <f>IF(Twelfth!J144="", "",Twelfth!J144)</f>
        <v/>
      </c>
      <c r="K2891" s="86" t="str">
        <f>IF(Twelfth!K144="", "",Twelfth!K144)</f>
        <v/>
      </c>
      <c r="M2891" s="67" t="str">
        <f t="shared" si="137"/>
        <v/>
      </c>
      <c r="N2891" s="76" t="str">
        <f t="shared" si="138"/>
        <v/>
      </c>
      <c r="O2891" s="33">
        <f t="shared" si="136"/>
        <v>0</v>
      </c>
    </row>
    <row r="2892" spans="1:15" x14ac:dyDescent="0.25">
      <c r="A2892" s="93" t="s">
        <v>207</v>
      </c>
      <c r="B2892" s="79" t="str">
        <f>IF(Twelfth!B145="", "",Twelfth!B145)</f>
        <v/>
      </c>
      <c r="C2892" s="66" t="str">
        <f>IF(Twelfth!C145="", "",Twelfth!C145)</f>
        <v/>
      </c>
      <c r="D2892" s="66" t="str">
        <f>IF(Twelfth!D145="", "",Twelfth!D145)</f>
        <v/>
      </c>
      <c r="E2892" s="66" t="str">
        <f>IF(Twelfth!E145="", "",Twelfth!E145)</f>
        <v/>
      </c>
      <c r="F2892" s="66" t="str">
        <f>IF(Twelfth!F145="", "",Twelfth!F145)</f>
        <v/>
      </c>
      <c r="G2892" s="66" t="str">
        <f>IF(Twelfth!G145="", "",Twelfth!G145)</f>
        <v/>
      </c>
      <c r="H2892" s="66" t="str">
        <f>IF(Twelfth!H145="", "",Twelfth!H145)</f>
        <v/>
      </c>
      <c r="I2892" s="66" t="str">
        <f>IF(Twelfth!I145="", "",Twelfth!I145)</f>
        <v/>
      </c>
      <c r="J2892" s="66" t="str">
        <f>IF(Twelfth!J145="", "",Twelfth!J145)</f>
        <v/>
      </c>
      <c r="K2892" s="86" t="str">
        <f>IF(Twelfth!K145="", "",Twelfth!K145)</f>
        <v/>
      </c>
      <c r="M2892" s="67" t="str">
        <f t="shared" si="137"/>
        <v/>
      </c>
      <c r="N2892" s="76" t="str">
        <f t="shared" si="138"/>
        <v/>
      </c>
      <c r="O2892" s="33">
        <f t="shared" si="136"/>
        <v>0</v>
      </c>
    </row>
    <row r="2893" spans="1:15" x14ac:dyDescent="0.25">
      <c r="A2893" s="93" t="s">
        <v>207</v>
      </c>
      <c r="B2893" s="79" t="str">
        <f>IF(Twelfth!B146="", "",Twelfth!B146)</f>
        <v/>
      </c>
      <c r="C2893" s="66" t="str">
        <f>IF(Twelfth!C146="", "",Twelfth!C146)</f>
        <v/>
      </c>
      <c r="D2893" s="66" t="str">
        <f>IF(Twelfth!D146="", "",Twelfth!D146)</f>
        <v/>
      </c>
      <c r="E2893" s="66" t="str">
        <f>IF(Twelfth!E146="", "",Twelfth!E146)</f>
        <v/>
      </c>
      <c r="F2893" s="66" t="str">
        <f>IF(Twelfth!F146="", "",Twelfth!F146)</f>
        <v/>
      </c>
      <c r="G2893" s="66" t="str">
        <f>IF(Twelfth!G146="", "",Twelfth!G146)</f>
        <v/>
      </c>
      <c r="H2893" s="66" t="str">
        <f>IF(Twelfth!H146="", "",Twelfth!H146)</f>
        <v/>
      </c>
      <c r="I2893" s="66" t="str">
        <f>IF(Twelfth!I146="", "",Twelfth!I146)</f>
        <v/>
      </c>
      <c r="J2893" s="66" t="str">
        <f>IF(Twelfth!J146="", "",Twelfth!J146)</f>
        <v/>
      </c>
      <c r="K2893" s="86" t="str">
        <f>IF(Twelfth!K146="", "",Twelfth!K146)</f>
        <v/>
      </c>
      <c r="M2893" s="67" t="str">
        <f t="shared" si="137"/>
        <v/>
      </c>
      <c r="N2893" s="76" t="str">
        <f t="shared" si="138"/>
        <v/>
      </c>
      <c r="O2893" s="33">
        <f t="shared" si="136"/>
        <v>0</v>
      </c>
    </row>
    <row r="2894" spans="1:15" x14ac:dyDescent="0.25">
      <c r="A2894" s="93" t="s">
        <v>207</v>
      </c>
      <c r="B2894" s="79" t="str">
        <f>IF(Twelfth!B147="", "",Twelfth!B147)</f>
        <v/>
      </c>
      <c r="C2894" s="66" t="str">
        <f>IF(Twelfth!C147="", "",Twelfth!C147)</f>
        <v/>
      </c>
      <c r="D2894" s="66" t="str">
        <f>IF(Twelfth!D147="", "",Twelfth!D147)</f>
        <v/>
      </c>
      <c r="E2894" s="66" t="str">
        <f>IF(Twelfth!E147="", "",Twelfth!E147)</f>
        <v/>
      </c>
      <c r="F2894" s="66" t="str">
        <f>IF(Twelfth!F147="", "",Twelfth!F147)</f>
        <v/>
      </c>
      <c r="G2894" s="66" t="str">
        <f>IF(Twelfth!G147="", "",Twelfth!G147)</f>
        <v/>
      </c>
      <c r="H2894" s="66" t="str">
        <f>IF(Twelfth!H147="", "",Twelfth!H147)</f>
        <v/>
      </c>
      <c r="I2894" s="66" t="str">
        <f>IF(Twelfth!I147="", "",Twelfth!I147)</f>
        <v/>
      </c>
      <c r="J2894" s="66" t="str">
        <f>IF(Twelfth!J147="", "",Twelfth!J147)</f>
        <v/>
      </c>
      <c r="K2894" s="86" t="str">
        <f>IF(Twelfth!K147="", "",Twelfth!K147)</f>
        <v/>
      </c>
      <c r="M2894" s="67" t="str">
        <f t="shared" si="137"/>
        <v/>
      </c>
      <c r="N2894" s="76" t="str">
        <f t="shared" si="138"/>
        <v/>
      </c>
      <c r="O2894" s="33">
        <f t="shared" si="136"/>
        <v>0</v>
      </c>
    </row>
    <row r="2895" spans="1:15" x14ac:dyDescent="0.25">
      <c r="A2895" s="93" t="s">
        <v>207</v>
      </c>
      <c r="B2895" s="79" t="str">
        <f>IF(Twelfth!B148="", "",Twelfth!B148)</f>
        <v/>
      </c>
      <c r="C2895" s="66" t="str">
        <f>IF(Twelfth!C148="", "",Twelfth!C148)</f>
        <v/>
      </c>
      <c r="D2895" s="66" t="str">
        <f>IF(Twelfth!D148="", "",Twelfth!D148)</f>
        <v/>
      </c>
      <c r="E2895" s="66" t="str">
        <f>IF(Twelfth!E148="", "",Twelfth!E148)</f>
        <v/>
      </c>
      <c r="F2895" s="66" t="str">
        <f>IF(Twelfth!F148="", "",Twelfth!F148)</f>
        <v/>
      </c>
      <c r="G2895" s="66" t="str">
        <f>IF(Twelfth!G148="", "",Twelfth!G148)</f>
        <v/>
      </c>
      <c r="H2895" s="66" t="str">
        <f>IF(Twelfth!H148="", "",Twelfth!H148)</f>
        <v/>
      </c>
      <c r="I2895" s="66" t="str">
        <f>IF(Twelfth!I148="", "",Twelfth!I148)</f>
        <v/>
      </c>
      <c r="J2895" s="66" t="str">
        <f>IF(Twelfth!J148="", "",Twelfth!J148)</f>
        <v/>
      </c>
      <c r="K2895" s="86" t="str">
        <f>IF(Twelfth!K148="", "",Twelfth!K148)</f>
        <v/>
      </c>
      <c r="M2895" s="67" t="str">
        <f t="shared" si="137"/>
        <v/>
      </c>
      <c r="N2895" s="76" t="str">
        <f t="shared" si="138"/>
        <v/>
      </c>
      <c r="O2895" s="33">
        <f t="shared" si="136"/>
        <v>0</v>
      </c>
    </row>
    <row r="2896" spans="1:15" x14ac:dyDescent="0.25">
      <c r="A2896" s="93" t="s">
        <v>207</v>
      </c>
      <c r="B2896" s="79" t="str">
        <f>IF(Twelfth!B149="", "",Twelfth!B149)</f>
        <v/>
      </c>
      <c r="C2896" s="66" t="str">
        <f>IF(Twelfth!C149="", "",Twelfth!C149)</f>
        <v/>
      </c>
      <c r="D2896" s="66" t="str">
        <f>IF(Twelfth!D149="", "",Twelfth!D149)</f>
        <v/>
      </c>
      <c r="E2896" s="66" t="str">
        <f>IF(Twelfth!E149="", "",Twelfth!E149)</f>
        <v/>
      </c>
      <c r="F2896" s="66" t="str">
        <f>IF(Twelfth!F149="", "",Twelfth!F149)</f>
        <v/>
      </c>
      <c r="G2896" s="66" t="str">
        <f>IF(Twelfth!G149="", "",Twelfth!G149)</f>
        <v/>
      </c>
      <c r="H2896" s="66" t="str">
        <f>IF(Twelfth!H149="", "",Twelfth!H149)</f>
        <v/>
      </c>
      <c r="I2896" s="66" t="str">
        <f>IF(Twelfth!I149="", "",Twelfth!I149)</f>
        <v/>
      </c>
      <c r="J2896" s="66" t="str">
        <f>IF(Twelfth!J149="", "",Twelfth!J149)</f>
        <v/>
      </c>
      <c r="K2896" s="86" t="str">
        <f>IF(Twelfth!K149="", "",Twelfth!K149)</f>
        <v/>
      </c>
      <c r="M2896" s="67" t="str">
        <f t="shared" si="137"/>
        <v/>
      </c>
      <c r="N2896" s="76" t="str">
        <f t="shared" si="138"/>
        <v/>
      </c>
      <c r="O2896" s="33">
        <f t="shared" si="136"/>
        <v>0</v>
      </c>
    </row>
    <row r="2897" spans="1:15" x14ac:dyDescent="0.25">
      <c r="A2897" s="93" t="s">
        <v>207</v>
      </c>
      <c r="B2897" s="79" t="str">
        <f>IF(Twelfth!B150="", "",Twelfth!B150)</f>
        <v/>
      </c>
      <c r="C2897" s="66" t="str">
        <f>IF(Twelfth!C150="", "",Twelfth!C150)</f>
        <v/>
      </c>
      <c r="D2897" s="66" t="str">
        <f>IF(Twelfth!D150="", "",Twelfth!D150)</f>
        <v/>
      </c>
      <c r="E2897" s="66" t="str">
        <f>IF(Twelfth!E150="", "",Twelfth!E150)</f>
        <v/>
      </c>
      <c r="F2897" s="66" t="str">
        <f>IF(Twelfth!F150="", "",Twelfth!F150)</f>
        <v/>
      </c>
      <c r="G2897" s="66" t="str">
        <f>IF(Twelfth!G150="", "",Twelfth!G150)</f>
        <v/>
      </c>
      <c r="H2897" s="66" t="str">
        <f>IF(Twelfth!H150="", "",Twelfth!H150)</f>
        <v/>
      </c>
      <c r="I2897" s="66" t="str">
        <f>IF(Twelfth!I150="", "",Twelfth!I150)</f>
        <v/>
      </c>
      <c r="J2897" s="66" t="str">
        <f>IF(Twelfth!J150="", "",Twelfth!J150)</f>
        <v/>
      </c>
      <c r="K2897" s="86" t="str">
        <f>IF(Twelfth!K150="", "",Twelfth!K150)</f>
        <v/>
      </c>
      <c r="M2897" s="67" t="str">
        <f t="shared" si="137"/>
        <v/>
      </c>
      <c r="N2897" s="76" t="str">
        <f t="shared" si="138"/>
        <v/>
      </c>
      <c r="O2897" s="33">
        <f t="shared" si="136"/>
        <v>0</v>
      </c>
    </row>
    <row r="2898" spans="1:15" x14ac:dyDescent="0.25">
      <c r="A2898" s="93" t="s">
        <v>207</v>
      </c>
      <c r="B2898" s="79" t="str">
        <f>IF(Twelfth!B151="", "",Twelfth!B151)</f>
        <v/>
      </c>
      <c r="C2898" s="66" t="str">
        <f>IF(Twelfth!C151="", "",Twelfth!C151)</f>
        <v/>
      </c>
      <c r="D2898" s="66" t="str">
        <f>IF(Twelfth!D151="", "",Twelfth!D151)</f>
        <v/>
      </c>
      <c r="E2898" s="66" t="str">
        <f>IF(Twelfth!E151="", "",Twelfth!E151)</f>
        <v/>
      </c>
      <c r="F2898" s="66" t="str">
        <f>IF(Twelfth!F151="", "",Twelfth!F151)</f>
        <v/>
      </c>
      <c r="G2898" s="66" t="str">
        <f>IF(Twelfth!G151="", "",Twelfth!G151)</f>
        <v/>
      </c>
      <c r="H2898" s="66" t="str">
        <f>IF(Twelfth!H151="", "",Twelfth!H151)</f>
        <v/>
      </c>
      <c r="I2898" s="66" t="str">
        <f>IF(Twelfth!I151="", "",Twelfth!I151)</f>
        <v/>
      </c>
      <c r="J2898" s="66" t="str">
        <f>IF(Twelfth!J151="", "",Twelfth!J151)</f>
        <v/>
      </c>
      <c r="K2898" s="86" t="str">
        <f>IF(Twelfth!K151="", "",Twelfth!K151)</f>
        <v/>
      </c>
      <c r="M2898" s="67" t="str">
        <f t="shared" si="137"/>
        <v/>
      </c>
      <c r="N2898" s="76" t="str">
        <f t="shared" si="138"/>
        <v/>
      </c>
      <c r="O2898" s="33">
        <f t="shared" si="136"/>
        <v>0</v>
      </c>
    </row>
    <row r="2899" spans="1:15" x14ac:dyDescent="0.25">
      <c r="A2899" s="93" t="s">
        <v>207</v>
      </c>
      <c r="B2899" s="79" t="str">
        <f>IF(Twelfth!B152="", "",Twelfth!B152)</f>
        <v/>
      </c>
      <c r="C2899" s="66" t="str">
        <f>IF(Twelfth!C152="", "",Twelfth!C152)</f>
        <v/>
      </c>
      <c r="D2899" s="66" t="str">
        <f>IF(Twelfth!D152="", "",Twelfth!D152)</f>
        <v/>
      </c>
      <c r="E2899" s="66" t="str">
        <f>IF(Twelfth!E152="", "",Twelfth!E152)</f>
        <v/>
      </c>
      <c r="F2899" s="66" t="str">
        <f>IF(Twelfth!F152="", "",Twelfth!F152)</f>
        <v/>
      </c>
      <c r="G2899" s="66" t="str">
        <f>IF(Twelfth!G152="", "",Twelfth!G152)</f>
        <v/>
      </c>
      <c r="H2899" s="66" t="str">
        <f>IF(Twelfth!H152="", "",Twelfth!H152)</f>
        <v/>
      </c>
      <c r="I2899" s="66" t="str">
        <f>IF(Twelfth!I152="", "",Twelfth!I152)</f>
        <v/>
      </c>
      <c r="J2899" s="66" t="str">
        <f>IF(Twelfth!J152="", "",Twelfth!J152)</f>
        <v/>
      </c>
      <c r="K2899" s="86" t="str">
        <f>IF(Twelfth!K152="", "",Twelfth!K152)</f>
        <v/>
      </c>
      <c r="M2899" s="67" t="str">
        <f t="shared" si="137"/>
        <v/>
      </c>
      <c r="N2899" s="76" t="str">
        <f t="shared" si="138"/>
        <v/>
      </c>
      <c r="O2899" s="33">
        <f t="shared" si="136"/>
        <v>0</v>
      </c>
    </row>
    <row r="2900" spans="1:15" x14ac:dyDescent="0.25">
      <c r="A2900" s="93" t="s">
        <v>207</v>
      </c>
      <c r="B2900" s="79" t="str">
        <f>IF(Twelfth!B153="", "",Twelfth!B153)</f>
        <v/>
      </c>
      <c r="C2900" s="66" t="str">
        <f>IF(Twelfth!C153="", "",Twelfth!C153)</f>
        <v/>
      </c>
      <c r="D2900" s="66" t="str">
        <f>IF(Twelfth!D153="", "",Twelfth!D153)</f>
        <v/>
      </c>
      <c r="E2900" s="66" t="str">
        <f>IF(Twelfth!E153="", "",Twelfth!E153)</f>
        <v/>
      </c>
      <c r="F2900" s="66" t="str">
        <f>IF(Twelfth!F153="", "",Twelfth!F153)</f>
        <v/>
      </c>
      <c r="G2900" s="66" t="str">
        <f>IF(Twelfth!G153="", "",Twelfth!G153)</f>
        <v/>
      </c>
      <c r="H2900" s="66" t="str">
        <f>IF(Twelfth!H153="", "",Twelfth!H153)</f>
        <v/>
      </c>
      <c r="I2900" s="66" t="str">
        <f>IF(Twelfth!I153="", "",Twelfth!I153)</f>
        <v/>
      </c>
      <c r="J2900" s="66" t="str">
        <f>IF(Twelfth!J153="", "",Twelfth!J153)</f>
        <v/>
      </c>
      <c r="K2900" s="86" t="str">
        <f>IF(Twelfth!K153="", "",Twelfth!K153)</f>
        <v/>
      </c>
      <c r="M2900" s="67" t="str">
        <f t="shared" si="137"/>
        <v/>
      </c>
      <c r="N2900" s="76" t="str">
        <f t="shared" si="138"/>
        <v/>
      </c>
      <c r="O2900" s="33">
        <f t="shared" si="136"/>
        <v>0</v>
      </c>
    </row>
    <row r="2901" spans="1:15" x14ac:dyDescent="0.25">
      <c r="A2901" s="93" t="s">
        <v>207</v>
      </c>
      <c r="B2901" s="79" t="str">
        <f>IF(Twelfth!B154="", "",Twelfth!B154)</f>
        <v/>
      </c>
      <c r="C2901" s="66" t="str">
        <f>IF(Twelfth!C154="", "",Twelfth!C154)</f>
        <v/>
      </c>
      <c r="D2901" s="66" t="str">
        <f>IF(Twelfth!D154="", "",Twelfth!D154)</f>
        <v/>
      </c>
      <c r="E2901" s="66" t="str">
        <f>IF(Twelfth!E154="", "",Twelfth!E154)</f>
        <v/>
      </c>
      <c r="F2901" s="66" t="str">
        <f>IF(Twelfth!F154="", "",Twelfth!F154)</f>
        <v/>
      </c>
      <c r="G2901" s="66" t="str">
        <f>IF(Twelfth!G154="", "",Twelfth!G154)</f>
        <v/>
      </c>
      <c r="H2901" s="66" t="str">
        <f>IF(Twelfth!H154="", "",Twelfth!H154)</f>
        <v/>
      </c>
      <c r="I2901" s="66" t="str">
        <f>IF(Twelfth!I154="", "",Twelfth!I154)</f>
        <v/>
      </c>
      <c r="J2901" s="66" t="str">
        <f>IF(Twelfth!J154="", "",Twelfth!J154)</f>
        <v/>
      </c>
      <c r="K2901" s="86" t="str">
        <f>IF(Twelfth!K154="", "",Twelfth!K154)</f>
        <v/>
      </c>
      <c r="M2901" s="67" t="str">
        <f t="shared" si="137"/>
        <v/>
      </c>
      <c r="N2901" s="76" t="str">
        <f t="shared" si="138"/>
        <v/>
      </c>
      <c r="O2901" s="33">
        <f t="shared" si="136"/>
        <v>0</v>
      </c>
    </row>
    <row r="2902" spans="1:15" x14ac:dyDescent="0.25">
      <c r="A2902" s="93" t="s">
        <v>207</v>
      </c>
      <c r="B2902" s="79" t="str">
        <f>IF(Twelfth!B155="", "",Twelfth!B155)</f>
        <v/>
      </c>
      <c r="C2902" s="66" t="str">
        <f>IF(Twelfth!C155="", "",Twelfth!C155)</f>
        <v/>
      </c>
      <c r="D2902" s="66" t="str">
        <f>IF(Twelfth!D155="", "",Twelfth!D155)</f>
        <v/>
      </c>
      <c r="E2902" s="66" t="str">
        <f>IF(Twelfth!E155="", "",Twelfth!E155)</f>
        <v/>
      </c>
      <c r="F2902" s="66" t="str">
        <f>IF(Twelfth!F155="", "",Twelfth!F155)</f>
        <v/>
      </c>
      <c r="G2902" s="66" t="str">
        <f>IF(Twelfth!G155="", "",Twelfth!G155)</f>
        <v/>
      </c>
      <c r="H2902" s="66" t="str">
        <f>IF(Twelfth!H155="", "",Twelfth!H155)</f>
        <v/>
      </c>
      <c r="I2902" s="66" t="str">
        <f>IF(Twelfth!I155="", "",Twelfth!I155)</f>
        <v/>
      </c>
      <c r="J2902" s="66" t="str">
        <f>IF(Twelfth!J155="", "",Twelfth!J155)</f>
        <v/>
      </c>
      <c r="K2902" s="86" t="str">
        <f>IF(Twelfth!K155="", "",Twelfth!K155)</f>
        <v/>
      </c>
      <c r="M2902" s="67" t="str">
        <f t="shared" si="137"/>
        <v/>
      </c>
      <c r="N2902" s="76" t="str">
        <f t="shared" si="138"/>
        <v/>
      </c>
      <c r="O2902" s="33">
        <f t="shared" si="136"/>
        <v>0</v>
      </c>
    </row>
    <row r="2903" spans="1:15" x14ac:dyDescent="0.25">
      <c r="A2903" s="93" t="s">
        <v>207</v>
      </c>
      <c r="B2903" s="79" t="str">
        <f>IF(Twelfth!B156="", "",Twelfth!B156)</f>
        <v/>
      </c>
      <c r="C2903" s="66" t="str">
        <f>IF(Twelfth!C156="", "",Twelfth!C156)</f>
        <v/>
      </c>
      <c r="D2903" s="66" t="str">
        <f>IF(Twelfth!D156="", "",Twelfth!D156)</f>
        <v/>
      </c>
      <c r="E2903" s="66" t="str">
        <f>IF(Twelfth!E156="", "",Twelfth!E156)</f>
        <v/>
      </c>
      <c r="F2903" s="66" t="str">
        <f>IF(Twelfth!F156="", "",Twelfth!F156)</f>
        <v/>
      </c>
      <c r="G2903" s="66" t="str">
        <f>IF(Twelfth!G156="", "",Twelfth!G156)</f>
        <v/>
      </c>
      <c r="H2903" s="66" t="str">
        <f>IF(Twelfth!H156="", "",Twelfth!H156)</f>
        <v/>
      </c>
      <c r="I2903" s="66" t="str">
        <f>IF(Twelfth!I156="", "",Twelfth!I156)</f>
        <v/>
      </c>
      <c r="J2903" s="66" t="str">
        <f>IF(Twelfth!J156="", "",Twelfth!J156)</f>
        <v/>
      </c>
      <c r="K2903" s="86" t="str">
        <f>IF(Twelfth!K156="", "",Twelfth!K156)</f>
        <v/>
      </c>
      <c r="M2903" s="67" t="str">
        <f t="shared" si="137"/>
        <v/>
      </c>
      <c r="N2903" s="76" t="str">
        <f t="shared" si="138"/>
        <v/>
      </c>
      <c r="O2903" s="33">
        <f t="shared" si="136"/>
        <v>0</v>
      </c>
    </row>
    <row r="2904" spans="1:15" x14ac:dyDescent="0.25">
      <c r="A2904" s="93" t="s">
        <v>207</v>
      </c>
      <c r="B2904" s="79" t="str">
        <f>IF(Twelfth!B157="", "",Twelfth!B157)</f>
        <v/>
      </c>
      <c r="C2904" s="66" t="str">
        <f>IF(Twelfth!C157="", "",Twelfth!C157)</f>
        <v/>
      </c>
      <c r="D2904" s="66" t="str">
        <f>IF(Twelfth!D157="", "",Twelfth!D157)</f>
        <v/>
      </c>
      <c r="E2904" s="66" t="str">
        <f>IF(Twelfth!E157="", "",Twelfth!E157)</f>
        <v/>
      </c>
      <c r="F2904" s="66" t="str">
        <f>IF(Twelfth!F157="", "",Twelfth!F157)</f>
        <v/>
      </c>
      <c r="G2904" s="66" t="str">
        <f>IF(Twelfth!G157="", "",Twelfth!G157)</f>
        <v/>
      </c>
      <c r="H2904" s="66" t="str">
        <f>IF(Twelfth!H157="", "",Twelfth!H157)</f>
        <v/>
      </c>
      <c r="I2904" s="66" t="str">
        <f>IF(Twelfth!I157="", "",Twelfth!I157)</f>
        <v/>
      </c>
      <c r="J2904" s="66" t="str">
        <f>IF(Twelfth!J157="", "",Twelfth!J157)</f>
        <v/>
      </c>
      <c r="K2904" s="86" t="str">
        <f>IF(Twelfth!K157="", "",Twelfth!K157)</f>
        <v/>
      </c>
      <c r="M2904" s="67" t="str">
        <f t="shared" si="137"/>
        <v/>
      </c>
      <c r="N2904" s="76" t="str">
        <f t="shared" si="138"/>
        <v/>
      </c>
      <c r="O2904" s="33">
        <f t="shared" si="136"/>
        <v>0</v>
      </c>
    </row>
    <row r="2905" spans="1:15" x14ac:dyDescent="0.25">
      <c r="A2905" s="93" t="s">
        <v>207</v>
      </c>
      <c r="B2905" s="79" t="str">
        <f>IF(Twelfth!B158="", "",Twelfth!B158)</f>
        <v/>
      </c>
      <c r="C2905" s="66" t="str">
        <f>IF(Twelfth!C158="", "",Twelfth!C158)</f>
        <v/>
      </c>
      <c r="D2905" s="66" t="str">
        <f>IF(Twelfth!D158="", "",Twelfth!D158)</f>
        <v/>
      </c>
      <c r="E2905" s="66" t="str">
        <f>IF(Twelfth!E158="", "",Twelfth!E158)</f>
        <v/>
      </c>
      <c r="F2905" s="66" t="str">
        <f>IF(Twelfth!F158="", "",Twelfth!F158)</f>
        <v/>
      </c>
      <c r="G2905" s="66" t="str">
        <f>IF(Twelfth!G158="", "",Twelfth!G158)</f>
        <v/>
      </c>
      <c r="H2905" s="66" t="str">
        <f>IF(Twelfth!H158="", "",Twelfth!H158)</f>
        <v/>
      </c>
      <c r="I2905" s="66" t="str">
        <f>IF(Twelfth!I158="", "",Twelfth!I158)</f>
        <v/>
      </c>
      <c r="J2905" s="66" t="str">
        <f>IF(Twelfth!J158="", "",Twelfth!J158)</f>
        <v/>
      </c>
      <c r="K2905" s="86" t="str">
        <f>IF(Twelfth!K158="", "",Twelfth!K158)</f>
        <v/>
      </c>
      <c r="M2905" s="67" t="str">
        <f t="shared" si="137"/>
        <v/>
      </c>
      <c r="N2905" s="76" t="str">
        <f t="shared" si="138"/>
        <v/>
      </c>
      <c r="O2905" s="33">
        <f t="shared" si="136"/>
        <v>0</v>
      </c>
    </row>
    <row r="2906" spans="1:15" x14ac:dyDescent="0.25">
      <c r="A2906" s="93" t="s">
        <v>207</v>
      </c>
      <c r="B2906" s="79" t="str">
        <f>IF(Twelfth!B159="", "",Twelfth!B159)</f>
        <v/>
      </c>
      <c r="C2906" s="66" t="str">
        <f>IF(Twelfth!C159="", "",Twelfth!C159)</f>
        <v/>
      </c>
      <c r="D2906" s="66" t="str">
        <f>IF(Twelfth!D159="", "",Twelfth!D159)</f>
        <v/>
      </c>
      <c r="E2906" s="66" t="str">
        <f>IF(Twelfth!E159="", "",Twelfth!E159)</f>
        <v/>
      </c>
      <c r="F2906" s="66" t="str">
        <f>IF(Twelfth!F159="", "",Twelfth!F159)</f>
        <v/>
      </c>
      <c r="G2906" s="66" t="str">
        <f>IF(Twelfth!G159="", "",Twelfth!G159)</f>
        <v/>
      </c>
      <c r="H2906" s="66" t="str">
        <f>IF(Twelfth!H159="", "",Twelfth!H159)</f>
        <v/>
      </c>
      <c r="I2906" s="66" t="str">
        <f>IF(Twelfth!I159="", "",Twelfth!I159)</f>
        <v/>
      </c>
      <c r="J2906" s="66" t="str">
        <f>IF(Twelfth!J159="", "",Twelfth!J159)</f>
        <v/>
      </c>
      <c r="K2906" s="86" t="str">
        <f>IF(Twelfth!K159="", "",Twelfth!K159)</f>
        <v/>
      </c>
      <c r="M2906" s="67" t="str">
        <f t="shared" si="137"/>
        <v/>
      </c>
      <c r="N2906" s="76" t="str">
        <f t="shared" si="138"/>
        <v/>
      </c>
      <c r="O2906" s="33">
        <f t="shared" si="136"/>
        <v>0</v>
      </c>
    </row>
    <row r="2907" spans="1:15" x14ac:dyDescent="0.25">
      <c r="A2907" s="93" t="s">
        <v>207</v>
      </c>
      <c r="B2907" s="79" t="str">
        <f>IF(Twelfth!B160="", "",Twelfth!B160)</f>
        <v/>
      </c>
      <c r="C2907" s="66" t="str">
        <f>IF(Twelfth!C160="", "",Twelfth!C160)</f>
        <v/>
      </c>
      <c r="D2907" s="66" t="str">
        <f>IF(Twelfth!D160="", "",Twelfth!D160)</f>
        <v/>
      </c>
      <c r="E2907" s="66" t="str">
        <f>IF(Twelfth!E160="", "",Twelfth!E160)</f>
        <v/>
      </c>
      <c r="F2907" s="66" t="str">
        <f>IF(Twelfth!F160="", "",Twelfth!F160)</f>
        <v/>
      </c>
      <c r="G2907" s="66" t="str">
        <f>IF(Twelfth!G160="", "",Twelfth!G160)</f>
        <v/>
      </c>
      <c r="H2907" s="66" t="str">
        <f>IF(Twelfth!H160="", "",Twelfth!H160)</f>
        <v/>
      </c>
      <c r="I2907" s="66" t="str">
        <f>IF(Twelfth!I160="", "",Twelfth!I160)</f>
        <v/>
      </c>
      <c r="J2907" s="66" t="str">
        <f>IF(Twelfth!J160="", "",Twelfth!J160)</f>
        <v/>
      </c>
      <c r="K2907" s="86" t="str">
        <f>IF(Twelfth!K160="", "",Twelfth!K160)</f>
        <v/>
      </c>
      <c r="M2907" s="67" t="str">
        <f t="shared" si="137"/>
        <v/>
      </c>
      <c r="N2907" s="76" t="str">
        <f t="shared" si="138"/>
        <v/>
      </c>
      <c r="O2907" s="33">
        <f t="shared" si="136"/>
        <v>0</v>
      </c>
    </row>
    <row r="2908" spans="1:15" x14ac:dyDescent="0.25">
      <c r="A2908" s="93" t="s">
        <v>207</v>
      </c>
      <c r="B2908" s="79" t="str">
        <f>IF(Twelfth!B161="", "",Twelfth!B161)</f>
        <v/>
      </c>
      <c r="C2908" s="66" t="str">
        <f>IF(Twelfth!C161="", "",Twelfth!C161)</f>
        <v/>
      </c>
      <c r="D2908" s="66" t="str">
        <f>IF(Twelfth!D161="", "",Twelfth!D161)</f>
        <v/>
      </c>
      <c r="E2908" s="66" t="str">
        <f>IF(Twelfth!E161="", "",Twelfth!E161)</f>
        <v/>
      </c>
      <c r="F2908" s="66" t="str">
        <f>IF(Twelfth!F161="", "",Twelfth!F161)</f>
        <v/>
      </c>
      <c r="G2908" s="66" t="str">
        <f>IF(Twelfth!G161="", "",Twelfth!G161)</f>
        <v/>
      </c>
      <c r="H2908" s="66" t="str">
        <f>IF(Twelfth!H161="", "",Twelfth!H161)</f>
        <v/>
      </c>
      <c r="I2908" s="66" t="str">
        <f>IF(Twelfth!I161="", "",Twelfth!I161)</f>
        <v/>
      </c>
      <c r="J2908" s="66" t="str">
        <f>IF(Twelfth!J161="", "",Twelfth!J161)</f>
        <v/>
      </c>
      <c r="K2908" s="86" t="str">
        <f>IF(Twelfth!K161="", "",Twelfth!K161)</f>
        <v/>
      </c>
      <c r="M2908" s="67" t="str">
        <f t="shared" si="137"/>
        <v/>
      </c>
      <c r="N2908" s="76" t="str">
        <f t="shared" si="138"/>
        <v/>
      </c>
      <c r="O2908" s="33">
        <f t="shared" si="136"/>
        <v>0</v>
      </c>
    </row>
    <row r="2909" spans="1:15" x14ac:dyDescent="0.25">
      <c r="A2909" s="93" t="s">
        <v>207</v>
      </c>
      <c r="B2909" s="79" t="str">
        <f>IF(Twelfth!B162="", "",Twelfth!B162)</f>
        <v/>
      </c>
      <c r="C2909" s="66" t="str">
        <f>IF(Twelfth!C162="", "",Twelfth!C162)</f>
        <v/>
      </c>
      <c r="D2909" s="66" t="str">
        <f>IF(Twelfth!D162="", "",Twelfth!D162)</f>
        <v/>
      </c>
      <c r="E2909" s="66" t="str">
        <f>IF(Twelfth!E162="", "",Twelfth!E162)</f>
        <v/>
      </c>
      <c r="F2909" s="66" t="str">
        <f>IF(Twelfth!F162="", "",Twelfth!F162)</f>
        <v/>
      </c>
      <c r="G2909" s="66" t="str">
        <f>IF(Twelfth!G162="", "",Twelfth!G162)</f>
        <v/>
      </c>
      <c r="H2909" s="66" t="str">
        <f>IF(Twelfth!H162="", "",Twelfth!H162)</f>
        <v/>
      </c>
      <c r="I2909" s="66" t="str">
        <f>IF(Twelfth!I162="", "",Twelfth!I162)</f>
        <v/>
      </c>
      <c r="J2909" s="66" t="str">
        <f>IF(Twelfth!J162="", "",Twelfth!J162)</f>
        <v/>
      </c>
      <c r="K2909" s="86" t="str">
        <f>IF(Twelfth!K162="", "",Twelfth!K162)</f>
        <v/>
      </c>
      <c r="M2909" s="67" t="str">
        <f t="shared" si="137"/>
        <v/>
      </c>
      <c r="N2909" s="76" t="str">
        <f t="shared" si="138"/>
        <v/>
      </c>
      <c r="O2909" s="33">
        <f t="shared" si="136"/>
        <v>0</v>
      </c>
    </row>
    <row r="2910" spans="1:15" x14ac:dyDescent="0.25">
      <c r="A2910" s="93" t="s">
        <v>207</v>
      </c>
      <c r="B2910" s="79" t="str">
        <f>IF(Twelfth!B163="", "",Twelfth!B163)</f>
        <v/>
      </c>
      <c r="C2910" s="66" t="str">
        <f>IF(Twelfth!C163="", "",Twelfth!C163)</f>
        <v/>
      </c>
      <c r="D2910" s="66" t="str">
        <f>IF(Twelfth!D163="", "",Twelfth!D163)</f>
        <v/>
      </c>
      <c r="E2910" s="66" t="str">
        <f>IF(Twelfth!E163="", "",Twelfth!E163)</f>
        <v/>
      </c>
      <c r="F2910" s="66" t="str">
        <f>IF(Twelfth!F163="", "",Twelfth!F163)</f>
        <v/>
      </c>
      <c r="G2910" s="66" t="str">
        <f>IF(Twelfth!G163="", "",Twelfth!G163)</f>
        <v/>
      </c>
      <c r="H2910" s="66" t="str">
        <f>IF(Twelfth!H163="", "",Twelfth!H163)</f>
        <v/>
      </c>
      <c r="I2910" s="66" t="str">
        <f>IF(Twelfth!I163="", "",Twelfth!I163)</f>
        <v/>
      </c>
      <c r="J2910" s="66" t="str">
        <f>IF(Twelfth!J163="", "",Twelfth!J163)</f>
        <v/>
      </c>
      <c r="K2910" s="86" t="str">
        <f>IF(Twelfth!K163="", "",Twelfth!K163)</f>
        <v/>
      </c>
      <c r="M2910" s="67" t="str">
        <f t="shared" si="137"/>
        <v/>
      </c>
      <c r="N2910" s="76" t="str">
        <f t="shared" si="138"/>
        <v/>
      </c>
      <c r="O2910" s="33">
        <f t="shared" si="136"/>
        <v>0</v>
      </c>
    </row>
    <row r="2911" spans="1:15" x14ac:dyDescent="0.25">
      <c r="A2911" s="93" t="s">
        <v>207</v>
      </c>
      <c r="B2911" s="79" t="str">
        <f>IF(Twelfth!B164="", "",Twelfth!B164)</f>
        <v/>
      </c>
      <c r="C2911" s="66" t="str">
        <f>IF(Twelfth!C164="", "",Twelfth!C164)</f>
        <v/>
      </c>
      <c r="D2911" s="66" t="str">
        <f>IF(Twelfth!D164="", "",Twelfth!D164)</f>
        <v/>
      </c>
      <c r="E2911" s="66" t="str">
        <f>IF(Twelfth!E164="", "",Twelfth!E164)</f>
        <v/>
      </c>
      <c r="F2911" s="66" t="str">
        <f>IF(Twelfth!F164="", "",Twelfth!F164)</f>
        <v/>
      </c>
      <c r="G2911" s="66" t="str">
        <f>IF(Twelfth!G164="", "",Twelfth!G164)</f>
        <v/>
      </c>
      <c r="H2911" s="66" t="str">
        <f>IF(Twelfth!H164="", "",Twelfth!H164)</f>
        <v/>
      </c>
      <c r="I2911" s="66" t="str">
        <f>IF(Twelfth!I164="", "",Twelfth!I164)</f>
        <v/>
      </c>
      <c r="J2911" s="66" t="str">
        <f>IF(Twelfth!J164="", "",Twelfth!J164)</f>
        <v/>
      </c>
      <c r="K2911" s="86" t="str">
        <f>IF(Twelfth!K164="", "",Twelfth!K164)</f>
        <v/>
      </c>
      <c r="M2911" s="67" t="str">
        <f t="shared" si="137"/>
        <v/>
      </c>
      <c r="N2911" s="76" t="str">
        <f t="shared" si="138"/>
        <v/>
      </c>
      <c r="O2911" s="33">
        <f t="shared" si="136"/>
        <v>0</v>
      </c>
    </row>
    <row r="2912" spans="1:15" x14ac:dyDescent="0.25">
      <c r="A2912" s="93" t="s">
        <v>207</v>
      </c>
      <c r="B2912" s="79" t="str">
        <f>IF(Twelfth!B165="", "",Twelfth!B165)</f>
        <v/>
      </c>
      <c r="C2912" s="66" t="str">
        <f>IF(Twelfth!C165="", "",Twelfth!C165)</f>
        <v/>
      </c>
      <c r="D2912" s="66" t="str">
        <f>IF(Twelfth!D165="", "",Twelfth!D165)</f>
        <v/>
      </c>
      <c r="E2912" s="66" t="str">
        <f>IF(Twelfth!E165="", "",Twelfth!E165)</f>
        <v/>
      </c>
      <c r="F2912" s="66" t="str">
        <f>IF(Twelfth!F165="", "",Twelfth!F165)</f>
        <v/>
      </c>
      <c r="G2912" s="66" t="str">
        <f>IF(Twelfth!G165="", "",Twelfth!G165)</f>
        <v/>
      </c>
      <c r="H2912" s="66" t="str">
        <f>IF(Twelfth!H165="", "",Twelfth!H165)</f>
        <v/>
      </c>
      <c r="I2912" s="66" t="str">
        <f>IF(Twelfth!I165="", "",Twelfth!I165)</f>
        <v/>
      </c>
      <c r="J2912" s="66" t="str">
        <f>IF(Twelfth!J165="", "",Twelfth!J165)</f>
        <v/>
      </c>
      <c r="K2912" s="86" t="str">
        <f>IF(Twelfth!K165="", "",Twelfth!K165)</f>
        <v/>
      </c>
      <c r="M2912" s="67" t="str">
        <f t="shared" si="137"/>
        <v/>
      </c>
      <c r="N2912" s="76" t="str">
        <f t="shared" si="138"/>
        <v/>
      </c>
      <c r="O2912" s="33">
        <f t="shared" si="136"/>
        <v>0</v>
      </c>
    </row>
    <row r="2913" spans="1:15" x14ac:dyDescent="0.25">
      <c r="A2913" s="93" t="s">
        <v>207</v>
      </c>
      <c r="B2913" s="79" t="str">
        <f>IF(Twelfth!B166="", "",Twelfth!B166)</f>
        <v/>
      </c>
      <c r="C2913" s="66" t="str">
        <f>IF(Twelfth!C166="", "",Twelfth!C166)</f>
        <v/>
      </c>
      <c r="D2913" s="66" t="str">
        <f>IF(Twelfth!D166="", "",Twelfth!D166)</f>
        <v/>
      </c>
      <c r="E2913" s="66" t="str">
        <f>IF(Twelfth!E166="", "",Twelfth!E166)</f>
        <v/>
      </c>
      <c r="F2913" s="66" t="str">
        <f>IF(Twelfth!F166="", "",Twelfth!F166)</f>
        <v/>
      </c>
      <c r="G2913" s="66" t="str">
        <f>IF(Twelfth!G166="", "",Twelfth!G166)</f>
        <v/>
      </c>
      <c r="H2913" s="66" t="str">
        <f>IF(Twelfth!H166="", "",Twelfth!H166)</f>
        <v/>
      </c>
      <c r="I2913" s="66" t="str">
        <f>IF(Twelfth!I166="", "",Twelfth!I166)</f>
        <v/>
      </c>
      <c r="J2913" s="66" t="str">
        <f>IF(Twelfth!J166="", "",Twelfth!J166)</f>
        <v/>
      </c>
      <c r="K2913" s="86" t="str">
        <f>IF(Twelfth!K166="", "",Twelfth!K166)</f>
        <v/>
      </c>
      <c r="M2913" s="67" t="str">
        <f t="shared" si="137"/>
        <v/>
      </c>
      <c r="N2913" s="76" t="str">
        <f t="shared" si="138"/>
        <v/>
      </c>
      <c r="O2913" s="33">
        <f t="shared" si="136"/>
        <v>0</v>
      </c>
    </row>
    <row r="2914" spans="1:15" x14ac:dyDescent="0.25">
      <c r="A2914" s="93" t="s">
        <v>207</v>
      </c>
      <c r="B2914" s="79" t="str">
        <f>IF(Twelfth!B167="", "",Twelfth!B167)</f>
        <v/>
      </c>
      <c r="C2914" s="66" t="str">
        <f>IF(Twelfth!C167="", "",Twelfth!C167)</f>
        <v/>
      </c>
      <c r="D2914" s="66" t="str">
        <f>IF(Twelfth!D167="", "",Twelfth!D167)</f>
        <v/>
      </c>
      <c r="E2914" s="66" t="str">
        <f>IF(Twelfth!E167="", "",Twelfth!E167)</f>
        <v/>
      </c>
      <c r="F2914" s="66" t="str">
        <f>IF(Twelfth!F167="", "",Twelfth!F167)</f>
        <v/>
      </c>
      <c r="G2914" s="66" t="str">
        <f>IF(Twelfth!G167="", "",Twelfth!G167)</f>
        <v/>
      </c>
      <c r="H2914" s="66" t="str">
        <f>IF(Twelfth!H167="", "",Twelfth!H167)</f>
        <v/>
      </c>
      <c r="I2914" s="66" t="str">
        <f>IF(Twelfth!I167="", "",Twelfth!I167)</f>
        <v/>
      </c>
      <c r="J2914" s="66" t="str">
        <f>IF(Twelfth!J167="", "",Twelfth!J167)</f>
        <v/>
      </c>
      <c r="K2914" s="86" t="str">
        <f>IF(Twelfth!K167="", "",Twelfth!K167)</f>
        <v/>
      </c>
      <c r="M2914" s="67" t="str">
        <f t="shared" si="137"/>
        <v/>
      </c>
      <c r="N2914" s="76" t="str">
        <f t="shared" si="138"/>
        <v/>
      </c>
      <c r="O2914" s="33">
        <f t="shared" si="136"/>
        <v>0</v>
      </c>
    </row>
    <row r="2915" spans="1:15" x14ac:dyDescent="0.25">
      <c r="A2915" s="93" t="s">
        <v>207</v>
      </c>
      <c r="B2915" s="79" t="str">
        <f>IF(Twelfth!B168="", "",Twelfth!B168)</f>
        <v/>
      </c>
      <c r="C2915" s="66" t="str">
        <f>IF(Twelfth!C168="", "",Twelfth!C168)</f>
        <v/>
      </c>
      <c r="D2915" s="66" t="str">
        <f>IF(Twelfth!D168="", "",Twelfth!D168)</f>
        <v/>
      </c>
      <c r="E2915" s="66" t="str">
        <f>IF(Twelfth!E168="", "",Twelfth!E168)</f>
        <v/>
      </c>
      <c r="F2915" s="66" t="str">
        <f>IF(Twelfth!F168="", "",Twelfth!F168)</f>
        <v/>
      </c>
      <c r="G2915" s="66" t="str">
        <f>IF(Twelfth!G168="", "",Twelfth!G168)</f>
        <v/>
      </c>
      <c r="H2915" s="66" t="str">
        <f>IF(Twelfth!H168="", "",Twelfth!H168)</f>
        <v/>
      </c>
      <c r="I2915" s="66" t="str">
        <f>IF(Twelfth!I168="", "",Twelfth!I168)</f>
        <v/>
      </c>
      <c r="J2915" s="66" t="str">
        <f>IF(Twelfth!J168="", "",Twelfth!J168)</f>
        <v/>
      </c>
      <c r="K2915" s="86" t="str">
        <f>IF(Twelfth!K168="", "",Twelfth!K168)</f>
        <v/>
      </c>
      <c r="M2915" s="67" t="str">
        <f t="shared" si="137"/>
        <v/>
      </c>
      <c r="N2915" s="76" t="str">
        <f t="shared" si="138"/>
        <v/>
      </c>
      <c r="O2915" s="33">
        <f t="shared" si="136"/>
        <v>0</v>
      </c>
    </row>
    <row r="2916" spans="1:15" x14ac:dyDescent="0.25">
      <c r="A2916" s="93" t="s">
        <v>207</v>
      </c>
      <c r="B2916" s="79" t="str">
        <f>IF(Twelfth!B169="", "",Twelfth!B169)</f>
        <v/>
      </c>
      <c r="C2916" s="66" t="str">
        <f>IF(Twelfth!C169="", "",Twelfth!C169)</f>
        <v/>
      </c>
      <c r="D2916" s="66" t="str">
        <f>IF(Twelfth!D169="", "",Twelfth!D169)</f>
        <v/>
      </c>
      <c r="E2916" s="66" t="str">
        <f>IF(Twelfth!E169="", "",Twelfth!E169)</f>
        <v/>
      </c>
      <c r="F2916" s="66" t="str">
        <f>IF(Twelfth!F169="", "",Twelfth!F169)</f>
        <v/>
      </c>
      <c r="G2916" s="66" t="str">
        <f>IF(Twelfth!G169="", "",Twelfth!G169)</f>
        <v/>
      </c>
      <c r="H2916" s="66" t="str">
        <f>IF(Twelfth!H169="", "",Twelfth!H169)</f>
        <v/>
      </c>
      <c r="I2916" s="66" t="str">
        <f>IF(Twelfth!I169="", "",Twelfth!I169)</f>
        <v/>
      </c>
      <c r="J2916" s="66" t="str">
        <f>IF(Twelfth!J169="", "",Twelfth!J169)</f>
        <v/>
      </c>
      <c r="K2916" s="86" t="str">
        <f>IF(Twelfth!K169="", "",Twelfth!K169)</f>
        <v/>
      </c>
      <c r="M2916" s="67" t="str">
        <f t="shared" si="137"/>
        <v/>
      </c>
      <c r="N2916" s="76" t="str">
        <f t="shared" si="138"/>
        <v/>
      </c>
      <c r="O2916" s="33">
        <f t="shared" si="136"/>
        <v>0</v>
      </c>
    </row>
    <row r="2917" spans="1:15" x14ac:dyDescent="0.25">
      <c r="A2917" s="93" t="s">
        <v>207</v>
      </c>
      <c r="B2917" s="79" t="str">
        <f>IF(Twelfth!B170="", "",Twelfth!B170)</f>
        <v/>
      </c>
      <c r="C2917" s="66" t="str">
        <f>IF(Twelfth!C170="", "",Twelfth!C170)</f>
        <v/>
      </c>
      <c r="D2917" s="66" t="str">
        <f>IF(Twelfth!D170="", "",Twelfth!D170)</f>
        <v/>
      </c>
      <c r="E2917" s="66" t="str">
        <f>IF(Twelfth!E170="", "",Twelfth!E170)</f>
        <v/>
      </c>
      <c r="F2917" s="66" t="str">
        <f>IF(Twelfth!F170="", "",Twelfth!F170)</f>
        <v/>
      </c>
      <c r="G2917" s="66" t="str">
        <f>IF(Twelfth!G170="", "",Twelfth!G170)</f>
        <v/>
      </c>
      <c r="H2917" s="66" t="str">
        <f>IF(Twelfth!H170="", "",Twelfth!H170)</f>
        <v/>
      </c>
      <c r="I2917" s="66" t="str">
        <f>IF(Twelfth!I170="", "",Twelfth!I170)</f>
        <v/>
      </c>
      <c r="J2917" s="66" t="str">
        <f>IF(Twelfth!J170="", "",Twelfth!J170)</f>
        <v/>
      </c>
      <c r="K2917" s="86" t="str">
        <f>IF(Twelfth!K170="", "",Twelfth!K170)</f>
        <v/>
      </c>
      <c r="M2917" s="67" t="str">
        <f t="shared" si="137"/>
        <v/>
      </c>
      <c r="N2917" s="76" t="str">
        <f t="shared" si="138"/>
        <v/>
      </c>
      <c r="O2917" s="33">
        <f t="shared" si="136"/>
        <v>0</v>
      </c>
    </row>
    <row r="2918" spans="1:15" x14ac:dyDescent="0.25">
      <c r="A2918" s="93" t="s">
        <v>207</v>
      </c>
      <c r="B2918" s="79" t="str">
        <f>IF(Twelfth!B171="", "",Twelfth!B171)</f>
        <v/>
      </c>
      <c r="C2918" s="66" t="str">
        <f>IF(Twelfth!C171="", "",Twelfth!C171)</f>
        <v/>
      </c>
      <c r="D2918" s="66" t="str">
        <f>IF(Twelfth!D171="", "",Twelfth!D171)</f>
        <v/>
      </c>
      <c r="E2918" s="66" t="str">
        <f>IF(Twelfth!E171="", "",Twelfth!E171)</f>
        <v/>
      </c>
      <c r="F2918" s="66" t="str">
        <f>IF(Twelfth!F171="", "",Twelfth!F171)</f>
        <v/>
      </c>
      <c r="G2918" s="66" t="str">
        <f>IF(Twelfth!G171="", "",Twelfth!G171)</f>
        <v/>
      </c>
      <c r="H2918" s="66" t="str">
        <f>IF(Twelfth!H171="", "",Twelfth!H171)</f>
        <v/>
      </c>
      <c r="I2918" s="66" t="str">
        <f>IF(Twelfth!I171="", "",Twelfth!I171)</f>
        <v/>
      </c>
      <c r="J2918" s="66" t="str">
        <f>IF(Twelfth!J171="", "",Twelfth!J171)</f>
        <v/>
      </c>
      <c r="K2918" s="86" t="str">
        <f>IF(Twelfth!K171="", "",Twelfth!K171)</f>
        <v/>
      </c>
      <c r="M2918" s="67" t="str">
        <f t="shared" si="137"/>
        <v/>
      </c>
      <c r="N2918" s="76" t="str">
        <f t="shared" si="138"/>
        <v/>
      </c>
      <c r="O2918" s="33">
        <f t="shared" si="136"/>
        <v>0</v>
      </c>
    </row>
    <row r="2919" spans="1:15" x14ac:dyDescent="0.25">
      <c r="A2919" s="93" t="s">
        <v>207</v>
      </c>
      <c r="B2919" s="79" t="str">
        <f>IF(Twelfth!B172="", "",Twelfth!B172)</f>
        <v/>
      </c>
      <c r="C2919" s="66" t="str">
        <f>IF(Twelfth!C172="", "",Twelfth!C172)</f>
        <v/>
      </c>
      <c r="D2919" s="66" t="str">
        <f>IF(Twelfth!D172="", "",Twelfth!D172)</f>
        <v/>
      </c>
      <c r="E2919" s="66" t="str">
        <f>IF(Twelfth!E172="", "",Twelfth!E172)</f>
        <v/>
      </c>
      <c r="F2919" s="66" t="str">
        <f>IF(Twelfth!F172="", "",Twelfth!F172)</f>
        <v/>
      </c>
      <c r="G2919" s="66" t="str">
        <f>IF(Twelfth!G172="", "",Twelfth!G172)</f>
        <v/>
      </c>
      <c r="H2919" s="66" t="str">
        <f>IF(Twelfth!H172="", "",Twelfth!H172)</f>
        <v/>
      </c>
      <c r="I2919" s="66" t="str">
        <f>IF(Twelfth!I172="", "",Twelfth!I172)</f>
        <v/>
      </c>
      <c r="J2919" s="66" t="str">
        <f>IF(Twelfth!J172="", "",Twelfth!J172)</f>
        <v/>
      </c>
      <c r="K2919" s="86" t="str">
        <f>IF(Twelfth!K172="", "",Twelfth!K172)</f>
        <v/>
      </c>
      <c r="M2919" s="67" t="str">
        <f t="shared" si="137"/>
        <v/>
      </c>
      <c r="N2919" s="76" t="str">
        <f t="shared" si="138"/>
        <v/>
      </c>
      <c r="O2919" s="33">
        <f t="shared" si="136"/>
        <v>0</v>
      </c>
    </row>
    <row r="2920" spans="1:15" x14ac:dyDescent="0.25">
      <c r="A2920" s="93" t="s">
        <v>207</v>
      </c>
      <c r="B2920" s="79" t="str">
        <f>IF(Twelfth!B173="", "",Twelfth!B173)</f>
        <v/>
      </c>
      <c r="C2920" s="66" t="str">
        <f>IF(Twelfth!C173="", "",Twelfth!C173)</f>
        <v/>
      </c>
      <c r="D2920" s="66" t="str">
        <f>IF(Twelfth!D173="", "",Twelfth!D173)</f>
        <v/>
      </c>
      <c r="E2920" s="66" t="str">
        <f>IF(Twelfth!E173="", "",Twelfth!E173)</f>
        <v/>
      </c>
      <c r="F2920" s="66" t="str">
        <f>IF(Twelfth!F173="", "",Twelfth!F173)</f>
        <v/>
      </c>
      <c r="G2920" s="66" t="str">
        <f>IF(Twelfth!G173="", "",Twelfth!G173)</f>
        <v/>
      </c>
      <c r="H2920" s="66" t="str">
        <f>IF(Twelfth!H173="", "",Twelfth!H173)</f>
        <v/>
      </c>
      <c r="I2920" s="66" t="str">
        <f>IF(Twelfth!I173="", "",Twelfth!I173)</f>
        <v/>
      </c>
      <c r="J2920" s="66" t="str">
        <f>IF(Twelfth!J173="", "",Twelfth!J173)</f>
        <v/>
      </c>
      <c r="K2920" s="86" t="str">
        <f>IF(Twelfth!K173="", "",Twelfth!K173)</f>
        <v/>
      </c>
      <c r="M2920" s="67" t="str">
        <f t="shared" si="137"/>
        <v/>
      </c>
      <c r="N2920" s="76" t="str">
        <f t="shared" si="138"/>
        <v/>
      </c>
      <c r="O2920" s="33">
        <f t="shared" si="136"/>
        <v>0</v>
      </c>
    </row>
    <row r="2921" spans="1:15" x14ac:dyDescent="0.25">
      <c r="A2921" s="93" t="s">
        <v>207</v>
      </c>
      <c r="B2921" s="79" t="str">
        <f>IF(Twelfth!B174="", "",Twelfth!B174)</f>
        <v/>
      </c>
      <c r="C2921" s="66" t="str">
        <f>IF(Twelfth!C174="", "",Twelfth!C174)</f>
        <v/>
      </c>
      <c r="D2921" s="66" t="str">
        <f>IF(Twelfth!D174="", "",Twelfth!D174)</f>
        <v/>
      </c>
      <c r="E2921" s="66" t="str">
        <f>IF(Twelfth!E174="", "",Twelfth!E174)</f>
        <v/>
      </c>
      <c r="F2921" s="66" t="str">
        <f>IF(Twelfth!F174="", "",Twelfth!F174)</f>
        <v/>
      </c>
      <c r="G2921" s="66" t="str">
        <f>IF(Twelfth!G174="", "",Twelfth!G174)</f>
        <v/>
      </c>
      <c r="H2921" s="66" t="str">
        <f>IF(Twelfth!H174="", "",Twelfth!H174)</f>
        <v/>
      </c>
      <c r="I2921" s="66" t="str">
        <f>IF(Twelfth!I174="", "",Twelfth!I174)</f>
        <v/>
      </c>
      <c r="J2921" s="66" t="str">
        <f>IF(Twelfth!J174="", "",Twelfth!J174)</f>
        <v/>
      </c>
      <c r="K2921" s="86" t="str">
        <f>IF(Twelfth!K174="", "",Twelfth!K174)</f>
        <v/>
      </c>
      <c r="M2921" s="67" t="str">
        <f t="shared" si="137"/>
        <v/>
      </c>
      <c r="N2921" s="76" t="str">
        <f t="shared" si="138"/>
        <v/>
      </c>
      <c r="O2921" s="33">
        <f t="shared" si="136"/>
        <v>0</v>
      </c>
    </row>
    <row r="2922" spans="1:15" x14ac:dyDescent="0.25">
      <c r="A2922" s="93" t="s">
        <v>207</v>
      </c>
      <c r="B2922" s="79" t="str">
        <f>IF(Twelfth!B175="", "",Twelfth!B175)</f>
        <v/>
      </c>
      <c r="C2922" s="66" t="str">
        <f>IF(Twelfth!C175="", "",Twelfth!C175)</f>
        <v/>
      </c>
      <c r="D2922" s="66" t="str">
        <f>IF(Twelfth!D175="", "",Twelfth!D175)</f>
        <v/>
      </c>
      <c r="E2922" s="66" t="str">
        <f>IF(Twelfth!E175="", "",Twelfth!E175)</f>
        <v/>
      </c>
      <c r="F2922" s="66" t="str">
        <f>IF(Twelfth!F175="", "",Twelfth!F175)</f>
        <v/>
      </c>
      <c r="G2922" s="66" t="str">
        <f>IF(Twelfth!G175="", "",Twelfth!G175)</f>
        <v/>
      </c>
      <c r="H2922" s="66" t="str">
        <f>IF(Twelfth!H175="", "",Twelfth!H175)</f>
        <v/>
      </c>
      <c r="I2922" s="66" t="str">
        <f>IF(Twelfth!I175="", "",Twelfth!I175)</f>
        <v/>
      </c>
      <c r="J2922" s="66" t="str">
        <f>IF(Twelfth!J175="", "",Twelfth!J175)</f>
        <v/>
      </c>
      <c r="K2922" s="86" t="str">
        <f>IF(Twelfth!K175="", "",Twelfth!K175)</f>
        <v/>
      </c>
      <c r="M2922" s="67" t="str">
        <f t="shared" si="137"/>
        <v/>
      </c>
      <c r="N2922" s="76" t="str">
        <f t="shared" si="138"/>
        <v/>
      </c>
      <c r="O2922" s="33">
        <f t="shared" si="136"/>
        <v>0</v>
      </c>
    </row>
    <row r="2923" spans="1:15" x14ac:dyDescent="0.25">
      <c r="A2923" s="93" t="s">
        <v>207</v>
      </c>
      <c r="B2923" s="79" t="str">
        <f>IF(Twelfth!B176="", "",Twelfth!B176)</f>
        <v/>
      </c>
      <c r="C2923" s="66" t="str">
        <f>IF(Twelfth!C176="", "",Twelfth!C176)</f>
        <v/>
      </c>
      <c r="D2923" s="66" t="str">
        <f>IF(Twelfth!D176="", "",Twelfth!D176)</f>
        <v/>
      </c>
      <c r="E2923" s="66" t="str">
        <f>IF(Twelfth!E176="", "",Twelfth!E176)</f>
        <v/>
      </c>
      <c r="F2923" s="66" t="str">
        <f>IF(Twelfth!F176="", "",Twelfth!F176)</f>
        <v/>
      </c>
      <c r="G2923" s="66" t="str">
        <f>IF(Twelfth!G176="", "",Twelfth!G176)</f>
        <v/>
      </c>
      <c r="H2923" s="66" t="str">
        <f>IF(Twelfth!H176="", "",Twelfth!H176)</f>
        <v/>
      </c>
      <c r="I2923" s="66" t="str">
        <f>IF(Twelfth!I176="", "",Twelfth!I176)</f>
        <v/>
      </c>
      <c r="J2923" s="66" t="str">
        <f>IF(Twelfth!J176="", "",Twelfth!J176)</f>
        <v/>
      </c>
      <c r="K2923" s="86" t="str">
        <f>IF(Twelfth!K176="", "",Twelfth!K176)</f>
        <v/>
      </c>
      <c r="M2923" s="67" t="str">
        <f t="shared" si="137"/>
        <v/>
      </c>
      <c r="N2923" s="76" t="str">
        <f t="shared" si="138"/>
        <v/>
      </c>
      <c r="O2923" s="33">
        <f t="shared" si="136"/>
        <v>0</v>
      </c>
    </row>
    <row r="2924" spans="1:15" x14ac:dyDescent="0.25">
      <c r="A2924" s="93" t="s">
        <v>207</v>
      </c>
      <c r="B2924" s="79" t="str">
        <f>IF(Twelfth!B177="", "",Twelfth!B177)</f>
        <v/>
      </c>
      <c r="C2924" s="66" t="str">
        <f>IF(Twelfth!C177="", "",Twelfth!C177)</f>
        <v/>
      </c>
      <c r="D2924" s="66" t="str">
        <f>IF(Twelfth!D177="", "",Twelfth!D177)</f>
        <v/>
      </c>
      <c r="E2924" s="66" t="str">
        <f>IF(Twelfth!E177="", "",Twelfth!E177)</f>
        <v/>
      </c>
      <c r="F2924" s="66" t="str">
        <f>IF(Twelfth!F177="", "",Twelfth!F177)</f>
        <v/>
      </c>
      <c r="G2924" s="66" t="str">
        <f>IF(Twelfth!G177="", "",Twelfth!G177)</f>
        <v/>
      </c>
      <c r="H2924" s="66" t="str">
        <f>IF(Twelfth!H177="", "",Twelfth!H177)</f>
        <v/>
      </c>
      <c r="I2924" s="66" t="str">
        <f>IF(Twelfth!I177="", "",Twelfth!I177)</f>
        <v/>
      </c>
      <c r="J2924" s="66" t="str">
        <f>IF(Twelfth!J177="", "",Twelfth!J177)</f>
        <v/>
      </c>
      <c r="K2924" s="86" t="str">
        <f>IF(Twelfth!K177="", "",Twelfth!K177)</f>
        <v/>
      </c>
      <c r="M2924" s="67" t="str">
        <f t="shared" si="137"/>
        <v/>
      </c>
      <c r="N2924" s="76" t="str">
        <f t="shared" si="138"/>
        <v/>
      </c>
      <c r="O2924" s="33">
        <f t="shared" si="136"/>
        <v>0</v>
      </c>
    </row>
    <row r="2925" spans="1:15" x14ac:dyDescent="0.25">
      <c r="A2925" s="93" t="s">
        <v>207</v>
      </c>
      <c r="B2925" s="79" t="str">
        <f>IF(Twelfth!B178="", "",Twelfth!B178)</f>
        <v/>
      </c>
      <c r="C2925" s="66" t="str">
        <f>IF(Twelfth!C178="", "",Twelfth!C178)</f>
        <v/>
      </c>
      <c r="D2925" s="66" t="str">
        <f>IF(Twelfth!D178="", "",Twelfth!D178)</f>
        <v/>
      </c>
      <c r="E2925" s="66" t="str">
        <f>IF(Twelfth!E178="", "",Twelfth!E178)</f>
        <v/>
      </c>
      <c r="F2925" s="66" t="str">
        <f>IF(Twelfth!F178="", "",Twelfth!F178)</f>
        <v/>
      </c>
      <c r="G2925" s="66" t="str">
        <f>IF(Twelfth!G178="", "",Twelfth!G178)</f>
        <v/>
      </c>
      <c r="H2925" s="66" t="str">
        <f>IF(Twelfth!H178="", "",Twelfth!H178)</f>
        <v/>
      </c>
      <c r="I2925" s="66" t="str">
        <f>IF(Twelfth!I178="", "",Twelfth!I178)</f>
        <v/>
      </c>
      <c r="J2925" s="66" t="str">
        <f>IF(Twelfth!J178="", "",Twelfth!J178)</f>
        <v/>
      </c>
      <c r="K2925" s="86" t="str">
        <f>IF(Twelfth!K178="", "",Twelfth!K178)</f>
        <v/>
      </c>
      <c r="M2925" s="67" t="str">
        <f t="shared" si="137"/>
        <v/>
      </c>
      <c r="N2925" s="76" t="str">
        <f t="shared" si="138"/>
        <v/>
      </c>
      <c r="O2925" s="33">
        <f t="shared" si="136"/>
        <v>0</v>
      </c>
    </row>
    <row r="2926" spans="1:15" x14ac:dyDescent="0.25">
      <c r="A2926" s="93" t="s">
        <v>207</v>
      </c>
      <c r="B2926" s="79" t="str">
        <f>IF(Twelfth!B179="", "",Twelfth!B179)</f>
        <v/>
      </c>
      <c r="C2926" s="66" t="str">
        <f>IF(Twelfth!C179="", "",Twelfth!C179)</f>
        <v/>
      </c>
      <c r="D2926" s="66" t="str">
        <f>IF(Twelfth!D179="", "",Twelfth!D179)</f>
        <v/>
      </c>
      <c r="E2926" s="66" t="str">
        <f>IF(Twelfth!E179="", "",Twelfth!E179)</f>
        <v/>
      </c>
      <c r="F2926" s="66" t="str">
        <f>IF(Twelfth!F179="", "",Twelfth!F179)</f>
        <v/>
      </c>
      <c r="G2926" s="66" t="str">
        <f>IF(Twelfth!G179="", "",Twelfth!G179)</f>
        <v/>
      </c>
      <c r="H2926" s="66" t="str">
        <f>IF(Twelfth!H179="", "",Twelfth!H179)</f>
        <v/>
      </c>
      <c r="I2926" s="66" t="str">
        <f>IF(Twelfth!I179="", "",Twelfth!I179)</f>
        <v/>
      </c>
      <c r="J2926" s="66" t="str">
        <f>IF(Twelfth!J179="", "",Twelfth!J179)</f>
        <v/>
      </c>
      <c r="K2926" s="86" t="str">
        <f>IF(Twelfth!K179="", "",Twelfth!K179)</f>
        <v/>
      </c>
      <c r="M2926" s="67" t="str">
        <f t="shared" si="137"/>
        <v/>
      </c>
      <c r="N2926" s="76" t="str">
        <f t="shared" si="138"/>
        <v/>
      </c>
      <c r="O2926" s="33">
        <f t="shared" si="136"/>
        <v>0</v>
      </c>
    </row>
    <row r="2927" spans="1:15" x14ac:dyDescent="0.25">
      <c r="A2927" s="93" t="s">
        <v>207</v>
      </c>
      <c r="B2927" s="79" t="str">
        <f>IF(Twelfth!B180="", "",Twelfth!B180)</f>
        <v/>
      </c>
      <c r="C2927" s="66" t="str">
        <f>IF(Twelfth!C180="", "",Twelfth!C180)</f>
        <v/>
      </c>
      <c r="D2927" s="66" t="str">
        <f>IF(Twelfth!D180="", "",Twelfth!D180)</f>
        <v/>
      </c>
      <c r="E2927" s="66" t="str">
        <f>IF(Twelfth!E180="", "",Twelfth!E180)</f>
        <v/>
      </c>
      <c r="F2927" s="66" t="str">
        <f>IF(Twelfth!F180="", "",Twelfth!F180)</f>
        <v/>
      </c>
      <c r="G2927" s="66" t="str">
        <f>IF(Twelfth!G180="", "",Twelfth!G180)</f>
        <v/>
      </c>
      <c r="H2927" s="66" t="str">
        <f>IF(Twelfth!H180="", "",Twelfth!H180)</f>
        <v/>
      </c>
      <c r="I2927" s="66" t="str">
        <f>IF(Twelfth!I180="", "",Twelfth!I180)</f>
        <v/>
      </c>
      <c r="J2927" s="66" t="str">
        <f>IF(Twelfth!J180="", "",Twelfth!J180)</f>
        <v/>
      </c>
      <c r="K2927" s="86" t="str">
        <f>IF(Twelfth!K180="", "",Twelfth!K180)</f>
        <v/>
      </c>
      <c r="M2927" s="67" t="str">
        <f t="shared" si="137"/>
        <v/>
      </c>
      <c r="N2927" s="76" t="str">
        <f t="shared" si="138"/>
        <v/>
      </c>
      <c r="O2927" s="33">
        <f t="shared" si="136"/>
        <v>0</v>
      </c>
    </row>
    <row r="2928" spans="1:15" x14ac:dyDescent="0.25">
      <c r="A2928" s="93" t="s">
        <v>207</v>
      </c>
      <c r="B2928" s="79" t="str">
        <f>IF(Twelfth!B181="", "",Twelfth!B181)</f>
        <v/>
      </c>
      <c r="C2928" s="66" t="str">
        <f>IF(Twelfth!C181="", "",Twelfth!C181)</f>
        <v/>
      </c>
      <c r="D2928" s="66" t="str">
        <f>IF(Twelfth!D181="", "",Twelfth!D181)</f>
        <v/>
      </c>
      <c r="E2928" s="66" t="str">
        <f>IF(Twelfth!E181="", "",Twelfth!E181)</f>
        <v/>
      </c>
      <c r="F2928" s="66" t="str">
        <f>IF(Twelfth!F181="", "",Twelfth!F181)</f>
        <v/>
      </c>
      <c r="G2928" s="66" t="str">
        <f>IF(Twelfth!G181="", "",Twelfth!G181)</f>
        <v/>
      </c>
      <c r="H2928" s="66" t="str">
        <f>IF(Twelfth!H181="", "",Twelfth!H181)</f>
        <v/>
      </c>
      <c r="I2928" s="66" t="str">
        <f>IF(Twelfth!I181="", "",Twelfth!I181)</f>
        <v/>
      </c>
      <c r="J2928" s="66" t="str">
        <f>IF(Twelfth!J181="", "",Twelfth!J181)</f>
        <v/>
      </c>
      <c r="K2928" s="86" t="str">
        <f>IF(Twelfth!K181="", "",Twelfth!K181)</f>
        <v/>
      </c>
      <c r="M2928" s="67" t="str">
        <f t="shared" si="137"/>
        <v/>
      </c>
      <c r="N2928" s="76" t="str">
        <f t="shared" si="138"/>
        <v/>
      </c>
      <c r="O2928" s="33">
        <f t="shared" si="136"/>
        <v>0</v>
      </c>
    </row>
    <row r="2929" spans="1:15" x14ac:dyDescent="0.25">
      <c r="A2929" s="93" t="s">
        <v>207</v>
      </c>
      <c r="B2929" s="79" t="str">
        <f>IF(Twelfth!B182="", "",Twelfth!B182)</f>
        <v/>
      </c>
      <c r="C2929" s="66" t="str">
        <f>IF(Twelfth!C182="", "",Twelfth!C182)</f>
        <v/>
      </c>
      <c r="D2929" s="66" t="str">
        <f>IF(Twelfth!D182="", "",Twelfth!D182)</f>
        <v/>
      </c>
      <c r="E2929" s="66" t="str">
        <f>IF(Twelfth!E182="", "",Twelfth!E182)</f>
        <v/>
      </c>
      <c r="F2929" s="66" t="str">
        <f>IF(Twelfth!F182="", "",Twelfth!F182)</f>
        <v/>
      </c>
      <c r="G2929" s="66" t="str">
        <f>IF(Twelfth!G182="", "",Twelfth!G182)</f>
        <v/>
      </c>
      <c r="H2929" s="66" t="str">
        <f>IF(Twelfth!H182="", "",Twelfth!H182)</f>
        <v/>
      </c>
      <c r="I2929" s="66" t="str">
        <f>IF(Twelfth!I182="", "",Twelfth!I182)</f>
        <v/>
      </c>
      <c r="J2929" s="66" t="str">
        <f>IF(Twelfth!J182="", "",Twelfth!J182)</f>
        <v/>
      </c>
      <c r="K2929" s="86" t="str">
        <f>IF(Twelfth!K182="", "",Twelfth!K182)</f>
        <v/>
      </c>
      <c r="M2929" s="67" t="str">
        <f t="shared" si="137"/>
        <v/>
      </c>
      <c r="N2929" s="76" t="str">
        <f t="shared" si="138"/>
        <v/>
      </c>
      <c r="O2929" s="33">
        <f t="shared" si="136"/>
        <v>0</v>
      </c>
    </row>
    <row r="2930" spans="1:15" x14ac:dyDescent="0.25">
      <c r="A2930" s="93" t="s">
        <v>207</v>
      </c>
      <c r="B2930" s="79" t="str">
        <f>IF(Twelfth!B183="", "",Twelfth!B183)</f>
        <v/>
      </c>
      <c r="C2930" s="66" t="str">
        <f>IF(Twelfth!C183="", "",Twelfth!C183)</f>
        <v/>
      </c>
      <c r="D2930" s="66" t="str">
        <f>IF(Twelfth!D183="", "",Twelfth!D183)</f>
        <v/>
      </c>
      <c r="E2930" s="66" t="str">
        <f>IF(Twelfth!E183="", "",Twelfth!E183)</f>
        <v/>
      </c>
      <c r="F2930" s="66" t="str">
        <f>IF(Twelfth!F183="", "",Twelfth!F183)</f>
        <v/>
      </c>
      <c r="G2930" s="66" t="str">
        <f>IF(Twelfth!G183="", "",Twelfth!G183)</f>
        <v/>
      </c>
      <c r="H2930" s="66" t="str">
        <f>IF(Twelfth!H183="", "",Twelfth!H183)</f>
        <v/>
      </c>
      <c r="I2930" s="66" t="str">
        <f>IF(Twelfth!I183="", "",Twelfth!I183)</f>
        <v/>
      </c>
      <c r="J2930" s="66" t="str">
        <f>IF(Twelfth!J183="", "",Twelfth!J183)</f>
        <v/>
      </c>
      <c r="K2930" s="86" t="str">
        <f>IF(Twelfth!K183="", "",Twelfth!K183)</f>
        <v/>
      </c>
      <c r="M2930" s="67" t="str">
        <f t="shared" si="137"/>
        <v/>
      </c>
      <c r="N2930" s="76" t="str">
        <f t="shared" si="138"/>
        <v/>
      </c>
      <c r="O2930" s="33">
        <f t="shared" si="136"/>
        <v>0</v>
      </c>
    </row>
    <row r="2931" spans="1:15" x14ac:dyDescent="0.25">
      <c r="A2931" s="93" t="s">
        <v>207</v>
      </c>
      <c r="B2931" s="79" t="str">
        <f>IF(Twelfth!B184="", "",Twelfth!B184)</f>
        <v/>
      </c>
      <c r="C2931" s="66" t="str">
        <f>IF(Twelfth!C184="", "",Twelfth!C184)</f>
        <v/>
      </c>
      <c r="D2931" s="66" t="str">
        <f>IF(Twelfth!D184="", "",Twelfth!D184)</f>
        <v/>
      </c>
      <c r="E2931" s="66" t="str">
        <f>IF(Twelfth!E184="", "",Twelfth!E184)</f>
        <v/>
      </c>
      <c r="F2931" s="66" t="str">
        <f>IF(Twelfth!F184="", "",Twelfth!F184)</f>
        <v/>
      </c>
      <c r="G2931" s="66" t="str">
        <f>IF(Twelfth!G184="", "",Twelfth!G184)</f>
        <v/>
      </c>
      <c r="H2931" s="66" t="str">
        <f>IF(Twelfth!H184="", "",Twelfth!H184)</f>
        <v/>
      </c>
      <c r="I2931" s="66" t="str">
        <f>IF(Twelfth!I184="", "",Twelfth!I184)</f>
        <v/>
      </c>
      <c r="J2931" s="66" t="str">
        <f>IF(Twelfth!J184="", "",Twelfth!J184)</f>
        <v/>
      </c>
      <c r="K2931" s="86" t="str">
        <f>IF(Twelfth!K184="", "",Twelfth!K184)</f>
        <v/>
      </c>
      <c r="M2931" s="67" t="str">
        <f t="shared" si="137"/>
        <v/>
      </c>
      <c r="N2931" s="76" t="str">
        <f t="shared" si="138"/>
        <v/>
      </c>
      <c r="O2931" s="33">
        <f t="shared" si="136"/>
        <v>0</v>
      </c>
    </row>
    <row r="2932" spans="1:15" x14ac:dyDescent="0.25">
      <c r="A2932" s="93" t="s">
        <v>207</v>
      </c>
      <c r="B2932" s="79" t="str">
        <f>IF(Twelfth!B185="", "",Twelfth!B185)</f>
        <v/>
      </c>
      <c r="C2932" s="66" t="str">
        <f>IF(Twelfth!C185="", "",Twelfth!C185)</f>
        <v/>
      </c>
      <c r="D2932" s="66" t="str">
        <f>IF(Twelfth!D185="", "",Twelfth!D185)</f>
        <v/>
      </c>
      <c r="E2932" s="66" t="str">
        <f>IF(Twelfth!E185="", "",Twelfth!E185)</f>
        <v/>
      </c>
      <c r="F2932" s="66" t="str">
        <f>IF(Twelfth!F185="", "",Twelfth!F185)</f>
        <v/>
      </c>
      <c r="G2932" s="66" t="str">
        <f>IF(Twelfth!G185="", "",Twelfth!G185)</f>
        <v/>
      </c>
      <c r="H2932" s="66" t="str">
        <f>IF(Twelfth!H185="", "",Twelfth!H185)</f>
        <v/>
      </c>
      <c r="I2932" s="66" t="str">
        <f>IF(Twelfth!I185="", "",Twelfth!I185)</f>
        <v/>
      </c>
      <c r="J2932" s="66" t="str">
        <f>IF(Twelfth!J185="", "",Twelfth!J185)</f>
        <v/>
      </c>
      <c r="K2932" s="86" t="str">
        <f>IF(Twelfth!K185="", "",Twelfth!K185)</f>
        <v/>
      </c>
      <c r="M2932" s="67" t="str">
        <f t="shared" si="137"/>
        <v/>
      </c>
      <c r="N2932" s="76" t="str">
        <f t="shared" si="138"/>
        <v/>
      </c>
      <c r="O2932" s="33">
        <f t="shared" si="136"/>
        <v>0</v>
      </c>
    </row>
    <row r="2933" spans="1:15" x14ac:dyDescent="0.25">
      <c r="A2933" s="93" t="s">
        <v>207</v>
      </c>
      <c r="B2933" s="79" t="str">
        <f>IF(Twelfth!B186="", "",Twelfth!B186)</f>
        <v/>
      </c>
      <c r="C2933" s="66" t="str">
        <f>IF(Twelfth!C186="", "",Twelfth!C186)</f>
        <v/>
      </c>
      <c r="D2933" s="66" t="str">
        <f>IF(Twelfth!D186="", "",Twelfth!D186)</f>
        <v/>
      </c>
      <c r="E2933" s="66" t="str">
        <f>IF(Twelfth!E186="", "",Twelfth!E186)</f>
        <v/>
      </c>
      <c r="F2933" s="66" t="str">
        <f>IF(Twelfth!F186="", "",Twelfth!F186)</f>
        <v/>
      </c>
      <c r="G2933" s="66" t="str">
        <f>IF(Twelfth!G186="", "",Twelfth!G186)</f>
        <v/>
      </c>
      <c r="H2933" s="66" t="str">
        <f>IF(Twelfth!H186="", "",Twelfth!H186)</f>
        <v/>
      </c>
      <c r="I2933" s="66" t="str">
        <f>IF(Twelfth!I186="", "",Twelfth!I186)</f>
        <v/>
      </c>
      <c r="J2933" s="66" t="str">
        <f>IF(Twelfth!J186="", "",Twelfth!J186)</f>
        <v/>
      </c>
      <c r="K2933" s="86" t="str">
        <f>IF(Twelfth!K186="", "",Twelfth!K186)</f>
        <v/>
      </c>
      <c r="M2933" s="67" t="str">
        <f t="shared" si="137"/>
        <v/>
      </c>
      <c r="N2933" s="76" t="str">
        <f t="shared" si="138"/>
        <v/>
      </c>
      <c r="O2933" s="33">
        <f t="shared" si="136"/>
        <v>0</v>
      </c>
    </row>
    <row r="2934" spans="1:15" x14ac:dyDescent="0.25">
      <c r="A2934" s="93" t="s">
        <v>207</v>
      </c>
      <c r="B2934" s="79" t="str">
        <f>IF(Twelfth!B187="", "",Twelfth!B187)</f>
        <v/>
      </c>
      <c r="C2934" s="66" t="str">
        <f>IF(Twelfth!C187="", "",Twelfth!C187)</f>
        <v/>
      </c>
      <c r="D2934" s="66" t="str">
        <f>IF(Twelfth!D187="", "",Twelfth!D187)</f>
        <v/>
      </c>
      <c r="E2934" s="66" t="str">
        <f>IF(Twelfth!E187="", "",Twelfth!E187)</f>
        <v/>
      </c>
      <c r="F2934" s="66" t="str">
        <f>IF(Twelfth!F187="", "",Twelfth!F187)</f>
        <v/>
      </c>
      <c r="G2934" s="66" t="str">
        <f>IF(Twelfth!G187="", "",Twelfth!G187)</f>
        <v/>
      </c>
      <c r="H2934" s="66" t="str">
        <f>IF(Twelfth!H187="", "",Twelfth!H187)</f>
        <v/>
      </c>
      <c r="I2934" s="66" t="str">
        <f>IF(Twelfth!I187="", "",Twelfth!I187)</f>
        <v/>
      </c>
      <c r="J2934" s="66" t="str">
        <f>IF(Twelfth!J187="", "",Twelfth!J187)</f>
        <v/>
      </c>
      <c r="K2934" s="86" t="str">
        <f>IF(Twelfth!K187="", "",Twelfth!K187)</f>
        <v/>
      </c>
      <c r="M2934" s="67" t="str">
        <f t="shared" si="137"/>
        <v/>
      </c>
      <c r="N2934" s="76" t="str">
        <f t="shared" si="138"/>
        <v/>
      </c>
      <c r="O2934" s="33">
        <f t="shared" si="136"/>
        <v>0</v>
      </c>
    </row>
    <row r="2935" spans="1:15" x14ac:dyDescent="0.25">
      <c r="A2935" s="93" t="s">
        <v>207</v>
      </c>
      <c r="B2935" s="79" t="str">
        <f>IF(Twelfth!B188="", "",Twelfth!B188)</f>
        <v/>
      </c>
      <c r="C2935" s="66" t="str">
        <f>IF(Twelfth!C188="", "",Twelfth!C188)</f>
        <v/>
      </c>
      <c r="D2935" s="66" t="str">
        <f>IF(Twelfth!D188="", "",Twelfth!D188)</f>
        <v/>
      </c>
      <c r="E2935" s="66" t="str">
        <f>IF(Twelfth!E188="", "",Twelfth!E188)</f>
        <v/>
      </c>
      <c r="F2935" s="66" t="str">
        <f>IF(Twelfth!F188="", "",Twelfth!F188)</f>
        <v/>
      </c>
      <c r="G2935" s="66" t="str">
        <f>IF(Twelfth!G188="", "",Twelfth!G188)</f>
        <v/>
      </c>
      <c r="H2935" s="66" t="str">
        <f>IF(Twelfth!H188="", "",Twelfth!H188)</f>
        <v/>
      </c>
      <c r="I2935" s="66" t="str">
        <f>IF(Twelfth!I188="", "",Twelfth!I188)</f>
        <v/>
      </c>
      <c r="J2935" s="66" t="str">
        <f>IF(Twelfth!J188="", "",Twelfth!J188)</f>
        <v/>
      </c>
      <c r="K2935" s="86" t="str">
        <f>IF(Twelfth!K188="", "",Twelfth!K188)</f>
        <v/>
      </c>
      <c r="M2935" s="67" t="str">
        <f t="shared" si="137"/>
        <v/>
      </c>
      <c r="N2935" s="76" t="str">
        <f t="shared" si="138"/>
        <v/>
      </c>
      <c r="O2935" s="33">
        <f t="shared" si="136"/>
        <v>0</v>
      </c>
    </row>
    <row r="2936" spans="1:15" x14ac:dyDescent="0.25">
      <c r="A2936" s="93" t="s">
        <v>207</v>
      </c>
      <c r="B2936" s="79" t="str">
        <f>IF(Twelfth!B189="", "",Twelfth!B189)</f>
        <v/>
      </c>
      <c r="C2936" s="66" t="str">
        <f>IF(Twelfth!C189="", "",Twelfth!C189)</f>
        <v/>
      </c>
      <c r="D2936" s="66" t="str">
        <f>IF(Twelfth!D189="", "",Twelfth!D189)</f>
        <v/>
      </c>
      <c r="E2936" s="66" t="str">
        <f>IF(Twelfth!E189="", "",Twelfth!E189)</f>
        <v/>
      </c>
      <c r="F2936" s="66" t="str">
        <f>IF(Twelfth!F189="", "",Twelfth!F189)</f>
        <v/>
      </c>
      <c r="G2936" s="66" t="str">
        <f>IF(Twelfth!G189="", "",Twelfth!G189)</f>
        <v/>
      </c>
      <c r="H2936" s="66" t="str">
        <f>IF(Twelfth!H189="", "",Twelfth!H189)</f>
        <v/>
      </c>
      <c r="I2936" s="66" t="str">
        <f>IF(Twelfth!I189="", "",Twelfth!I189)</f>
        <v/>
      </c>
      <c r="J2936" s="66" t="str">
        <f>IF(Twelfth!J189="", "",Twelfth!J189)</f>
        <v/>
      </c>
      <c r="K2936" s="86" t="str">
        <f>IF(Twelfth!K189="", "",Twelfth!K189)</f>
        <v/>
      </c>
      <c r="M2936" s="67" t="str">
        <f t="shared" si="137"/>
        <v/>
      </c>
      <c r="N2936" s="76" t="str">
        <f t="shared" si="138"/>
        <v/>
      </c>
      <c r="O2936" s="33">
        <f t="shared" si="136"/>
        <v>0</v>
      </c>
    </row>
    <row r="2937" spans="1:15" x14ac:dyDescent="0.25">
      <c r="A2937" s="93" t="s">
        <v>207</v>
      </c>
      <c r="B2937" s="79" t="str">
        <f>IF(Twelfth!B190="", "",Twelfth!B190)</f>
        <v/>
      </c>
      <c r="C2937" s="66" t="str">
        <f>IF(Twelfth!C190="", "",Twelfth!C190)</f>
        <v/>
      </c>
      <c r="D2937" s="66" t="str">
        <f>IF(Twelfth!D190="", "",Twelfth!D190)</f>
        <v/>
      </c>
      <c r="E2937" s="66" t="str">
        <f>IF(Twelfth!E190="", "",Twelfth!E190)</f>
        <v/>
      </c>
      <c r="F2937" s="66" t="str">
        <f>IF(Twelfth!F190="", "",Twelfth!F190)</f>
        <v/>
      </c>
      <c r="G2937" s="66" t="str">
        <f>IF(Twelfth!G190="", "",Twelfth!G190)</f>
        <v/>
      </c>
      <c r="H2937" s="66" t="str">
        <f>IF(Twelfth!H190="", "",Twelfth!H190)</f>
        <v/>
      </c>
      <c r="I2937" s="66" t="str">
        <f>IF(Twelfth!I190="", "",Twelfth!I190)</f>
        <v/>
      </c>
      <c r="J2937" s="66" t="str">
        <f>IF(Twelfth!J190="", "",Twelfth!J190)</f>
        <v/>
      </c>
      <c r="K2937" s="86" t="str">
        <f>IF(Twelfth!K190="", "",Twelfth!K190)</f>
        <v/>
      </c>
      <c r="M2937" s="67" t="str">
        <f t="shared" si="137"/>
        <v/>
      </c>
      <c r="N2937" s="76" t="str">
        <f t="shared" si="138"/>
        <v/>
      </c>
      <c r="O2937" s="33">
        <f t="shared" si="136"/>
        <v>0</v>
      </c>
    </row>
    <row r="2938" spans="1:15" x14ac:dyDescent="0.25">
      <c r="A2938" s="93" t="s">
        <v>207</v>
      </c>
      <c r="B2938" s="79" t="str">
        <f>IF(Twelfth!B191="", "",Twelfth!B191)</f>
        <v/>
      </c>
      <c r="C2938" s="66" t="str">
        <f>IF(Twelfth!C191="", "",Twelfth!C191)</f>
        <v/>
      </c>
      <c r="D2938" s="66" t="str">
        <f>IF(Twelfth!D191="", "",Twelfth!D191)</f>
        <v/>
      </c>
      <c r="E2938" s="66" t="str">
        <f>IF(Twelfth!E191="", "",Twelfth!E191)</f>
        <v/>
      </c>
      <c r="F2938" s="66" t="str">
        <f>IF(Twelfth!F191="", "",Twelfth!F191)</f>
        <v/>
      </c>
      <c r="G2938" s="66" t="str">
        <f>IF(Twelfth!G191="", "",Twelfth!G191)</f>
        <v/>
      </c>
      <c r="H2938" s="66" t="str">
        <f>IF(Twelfth!H191="", "",Twelfth!H191)</f>
        <v/>
      </c>
      <c r="I2938" s="66" t="str">
        <f>IF(Twelfth!I191="", "",Twelfth!I191)</f>
        <v/>
      </c>
      <c r="J2938" s="66" t="str">
        <f>IF(Twelfth!J191="", "",Twelfth!J191)</f>
        <v/>
      </c>
      <c r="K2938" s="86" t="str">
        <f>IF(Twelfth!K191="", "",Twelfth!K191)</f>
        <v/>
      </c>
      <c r="M2938" s="67" t="str">
        <f t="shared" si="137"/>
        <v/>
      </c>
      <c r="N2938" s="76" t="str">
        <f t="shared" si="138"/>
        <v/>
      </c>
      <c r="O2938" s="33">
        <f t="shared" si="136"/>
        <v>0</v>
      </c>
    </row>
    <row r="2939" spans="1:15" x14ac:dyDescent="0.25">
      <c r="A2939" s="93" t="s">
        <v>207</v>
      </c>
      <c r="B2939" s="79" t="str">
        <f>IF(Twelfth!B192="", "",Twelfth!B192)</f>
        <v/>
      </c>
      <c r="C2939" s="66" t="str">
        <f>IF(Twelfth!C192="", "",Twelfth!C192)</f>
        <v/>
      </c>
      <c r="D2939" s="66" t="str">
        <f>IF(Twelfth!D192="", "",Twelfth!D192)</f>
        <v/>
      </c>
      <c r="E2939" s="66" t="str">
        <f>IF(Twelfth!E192="", "",Twelfth!E192)</f>
        <v/>
      </c>
      <c r="F2939" s="66" t="str">
        <f>IF(Twelfth!F192="", "",Twelfth!F192)</f>
        <v/>
      </c>
      <c r="G2939" s="66" t="str">
        <f>IF(Twelfth!G192="", "",Twelfth!G192)</f>
        <v/>
      </c>
      <c r="H2939" s="66" t="str">
        <f>IF(Twelfth!H192="", "",Twelfth!H192)</f>
        <v/>
      </c>
      <c r="I2939" s="66" t="str">
        <f>IF(Twelfth!I192="", "",Twelfth!I192)</f>
        <v/>
      </c>
      <c r="J2939" s="66" t="str">
        <f>IF(Twelfth!J192="", "",Twelfth!J192)</f>
        <v/>
      </c>
      <c r="K2939" s="86" t="str">
        <f>IF(Twelfth!K192="", "",Twelfth!K192)</f>
        <v/>
      </c>
      <c r="M2939" s="67" t="str">
        <f t="shared" si="137"/>
        <v/>
      </c>
      <c r="N2939" s="76" t="str">
        <f t="shared" si="138"/>
        <v/>
      </c>
      <c r="O2939" s="33">
        <f t="shared" si="136"/>
        <v>0</v>
      </c>
    </row>
    <row r="2940" spans="1:15" x14ac:dyDescent="0.25">
      <c r="A2940" s="93" t="s">
        <v>207</v>
      </c>
      <c r="B2940" s="79" t="str">
        <f>IF(Twelfth!B193="", "",Twelfth!B193)</f>
        <v/>
      </c>
      <c r="C2940" s="66" t="str">
        <f>IF(Twelfth!C193="", "",Twelfth!C193)</f>
        <v/>
      </c>
      <c r="D2940" s="66" t="str">
        <f>IF(Twelfth!D193="", "",Twelfth!D193)</f>
        <v/>
      </c>
      <c r="E2940" s="66" t="str">
        <f>IF(Twelfth!E193="", "",Twelfth!E193)</f>
        <v/>
      </c>
      <c r="F2940" s="66" t="str">
        <f>IF(Twelfth!F193="", "",Twelfth!F193)</f>
        <v/>
      </c>
      <c r="G2940" s="66" t="str">
        <f>IF(Twelfth!G193="", "",Twelfth!G193)</f>
        <v/>
      </c>
      <c r="H2940" s="66" t="str">
        <f>IF(Twelfth!H193="", "",Twelfth!H193)</f>
        <v/>
      </c>
      <c r="I2940" s="66" t="str">
        <f>IF(Twelfth!I193="", "",Twelfth!I193)</f>
        <v/>
      </c>
      <c r="J2940" s="66" t="str">
        <f>IF(Twelfth!J193="", "",Twelfth!J193)</f>
        <v/>
      </c>
      <c r="K2940" s="86" t="str">
        <f>IF(Twelfth!K193="", "",Twelfth!K193)</f>
        <v/>
      </c>
      <c r="M2940" s="67" t="str">
        <f t="shared" si="137"/>
        <v/>
      </c>
      <c r="N2940" s="76" t="str">
        <f t="shared" si="138"/>
        <v/>
      </c>
      <c r="O2940" s="33">
        <f t="shared" si="136"/>
        <v>0</v>
      </c>
    </row>
    <row r="2941" spans="1:15" x14ac:dyDescent="0.25">
      <c r="A2941" s="93" t="s">
        <v>207</v>
      </c>
      <c r="B2941" s="79" t="str">
        <f>IF(Twelfth!B194="", "",Twelfth!B194)</f>
        <v/>
      </c>
      <c r="C2941" s="66" t="str">
        <f>IF(Twelfth!C194="", "",Twelfth!C194)</f>
        <v/>
      </c>
      <c r="D2941" s="66" t="str">
        <f>IF(Twelfth!D194="", "",Twelfth!D194)</f>
        <v/>
      </c>
      <c r="E2941" s="66" t="str">
        <f>IF(Twelfth!E194="", "",Twelfth!E194)</f>
        <v/>
      </c>
      <c r="F2941" s="66" t="str">
        <f>IF(Twelfth!F194="", "",Twelfth!F194)</f>
        <v/>
      </c>
      <c r="G2941" s="66" t="str">
        <f>IF(Twelfth!G194="", "",Twelfth!G194)</f>
        <v/>
      </c>
      <c r="H2941" s="66" t="str">
        <f>IF(Twelfth!H194="", "",Twelfth!H194)</f>
        <v/>
      </c>
      <c r="I2941" s="66" t="str">
        <f>IF(Twelfth!I194="", "",Twelfth!I194)</f>
        <v/>
      </c>
      <c r="J2941" s="66" t="str">
        <f>IF(Twelfth!J194="", "",Twelfth!J194)</f>
        <v/>
      </c>
      <c r="K2941" s="86" t="str">
        <f>IF(Twelfth!K194="", "",Twelfth!K194)</f>
        <v/>
      </c>
      <c r="M2941" s="67" t="str">
        <f t="shared" si="137"/>
        <v/>
      </c>
      <c r="N2941" s="76" t="str">
        <f t="shared" si="138"/>
        <v/>
      </c>
      <c r="O2941" s="33">
        <f t="shared" si="136"/>
        <v>0</v>
      </c>
    </row>
    <row r="2942" spans="1:15" x14ac:dyDescent="0.25">
      <c r="A2942" s="93" t="s">
        <v>207</v>
      </c>
      <c r="B2942" s="79" t="str">
        <f>IF(Twelfth!B195="", "",Twelfth!B195)</f>
        <v/>
      </c>
      <c r="C2942" s="66" t="str">
        <f>IF(Twelfth!C195="", "",Twelfth!C195)</f>
        <v/>
      </c>
      <c r="D2942" s="66" t="str">
        <f>IF(Twelfth!D195="", "",Twelfth!D195)</f>
        <v/>
      </c>
      <c r="E2942" s="66" t="str">
        <f>IF(Twelfth!E195="", "",Twelfth!E195)</f>
        <v/>
      </c>
      <c r="F2942" s="66" t="str">
        <f>IF(Twelfth!F195="", "",Twelfth!F195)</f>
        <v/>
      </c>
      <c r="G2942" s="66" t="str">
        <f>IF(Twelfth!G195="", "",Twelfth!G195)</f>
        <v/>
      </c>
      <c r="H2942" s="66" t="str">
        <f>IF(Twelfth!H195="", "",Twelfth!H195)</f>
        <v/>
      </c>
      <c r="I2942" s="66" t="str">
        <f>IF(Twelfth!I195="", "",Twelfth!I195)</f>
        <v/>
      </c>
      <c r="J2942" s="66" t="str">
        <f>IF(Twelfth!J195="", "",Twelfth!J195)</f>
        <v/>
      </c>
      <c r="K2942" s="86" t="str">
        <f>IF(Twelfth!K195="", "",Twelfth!K195)</f>
        <v/>
      </c>
      <c r="M2942" s="67" t="str">
        <f t="shared" si="137"/>
        <v/>
      </c>
      <c r="N2942" s="76" t="str">
        <f t="shared" si="138"/>
        <v/>
      </c>
      <c r="O2942" s="33">
        <f t="shared" si="136"/>
        <v>0</v>
      </c>
    </row>
    <row r="2943" spans="1:15" x14ac:dyDescent="0.25">
      <c r="A2943" s="93" t="s">
        <v>207</v>
      </c>
      <c r="B2943" s="79" t="str">
        <f>IF(Twelfth!B196="", "",Twelfth!B196)</f>
        <v/>
      </c>
      <c r="C2943" s="66" t="str">
        <f>IF(Twelfth!C196="", "",Twelfth!C196)</f>
        <v/>
      </c>
      <c r="D2943" s="66" t="str">
        <f>IF(Twelfth!D196="", "",Twelfth!D196)</f>
        <v/>
      </c>
      <c r="E2943" s="66" t="str">
        <f>IF(Twelfth!E196="", "",Twelfth!E196)</f>
        <v/>
      </c>
      <c r="F2943" s="66" t="str">
        <f>IF(Twelfth!F196="", "",Twelfth!F196)</f>
        <v/>
      </c>
      <c r="G2943" s="66" t="str">
        <f>IF(Twelfth!G196="", "",Twelfth!G196)</f>
        <v/>
      </c>
      <c r="H2943" s="66" t="str">
        <f>IF(Twelfth!H196="", "",Twelfth!H196)</f>
        <v/>
      </c>
      <c r="I2943" s="66" t="str">
        <f>IF(Twelfth!I196="", "",Twelfth!I196)</f>
        <v/>
      </c>
      <c r="J2943" s="66" t="str">
        <f>IF(Twelfth!J196="", "",Twelfth!J196)</f>
        <v/>
      </c>
      <c r="K2943" s="86" t="str">
        <f>IF(Twelfth!K196="", "",Twelfth!K196)</f>
        <v/>
      </c>
      <c r="M2943" s="67" t="str">
        <f t="shared" si="137"/>
        <v/>
      </c>
      <c r="N2943" s="76" t="str">
        <f t="shared" si="138"/>
        <v/>
      </c>
      <c r="O2943" s="33">
        <f t="shared" si="136"/>
        <v>0</v>
      </c>
    </row>
    <row r="2944" spans="1:15" x14ac:dyDescent="0.25">
      <c r="A2944" s="93" t="s">
        <v>207</v>
      </c>
      <c r="B2944" s="79" t="str">
        <f>IF(Twelfth!B197="", "",Twelfth!B197)</f>
        <v/>
      </c>
      <c r="C2944" s="66" t="str">
        <f>IF(Twelfth!C197="", "",Twelfth!C197)</f>
        <v/>
      </c>
      <c r="D2944" s="66" t="str">
        <f>IF(Twelfth!D197="", "",Twelfth!D197)</f>
        <v/>
      </c>
      <c r="E2944" s="66" t="str">
        <f>IF(Twelfth!E197="", "",Twelfth!E197)</f>
        <v/>
      </c>
      <c r="F2944" s="66" t="str">
        <f>IF(Twelfth!F197="", "",Twelfth!F197)</f>
        <v/>
      </c>
      <c r="G2944" s="66" t="str">
        <f>IF(Twelfth!G197="", "",Twelfth!G197)</f>
        <v/>
      </c>
      <c r="H2944" s="66" t="str">
        <f>IF(Twelfth!H197="", "",Twelfth!H197)</f>
        <v/>
      </c>
      <c r="I2944" s="66" t="str">
        <f>IF(Twelfth!I197="", "",Twelfth!I197)</f>
        <v/>
      </c>
      <c r="J2944" s="66" t="str">
        <f>IF(Twelfth!J197="", "",Twelfth!J197)</f>
        <v/>
      </c>
      <c r="K2944" s="86" t="str">
        <f>IF(Twelfth!K197="", "",Twelfth!K197)</f>
        <v/>
      </c>
      <c r="M2944" s="67" t="str">
        <f t="shared" si="137"/>
        <v/>
      </c>
      <c r="N2944" s="76" t="str">
        <f t="shared" si="138"/>
        <v/>
      </c>
      <c r="O2944" s="33">
        <f t="shared" si="136"/>
        <v>0</v>
      </c>
    </row>
    <row r="2945" spans="1:15" x14ac:dyDescent="0.25">
      <c r="A2945" s="93" t="s">
        <v>207</v>
      </c>
      <c r="B2945" s="79" t="str">
        <f>IF(Twelfth!B198="", "",Twelfth!B198)</f>
        <v/>
      </c>
      <c r="C2945" s="66" t="str">
        <f>IF(Twelfth!C198="", "",Twelfth!C198)</f>
        <v/>
      </c>
      <c r="D2945" s="66" t="str">
        <f>IF(Twelfth!D198="", "",Twelfth!D198)</f>
        <v/>
      </c>
      <c r="E2945" s="66" t="str">
        <f>IF(Twelfth!E198="", "",Twelfth!E198)</f>
        <v/>
      </c>
      <c r="F2945" s="66" t="str">
        <f>IF(Twelfth!F198="", "",Twelfth!F198)</f>
        <v/>
      </c>
      <c r="G2945" s="66" t="str">
        <f>IF(Twelfth!G198="", "",Twelfth!G198)</f>
        <v/>
      </c>
      <c r="H2945" s="66" t="str">
        <f>IF(Twelfth!H198="", "",Twelfth!H198)</f>
        <v/>
      </c>
      <c r="I2945" s="66" t="str">
        <f>IF(Twelfth!I198="", "",Twelfth!I198)</f>
        <v/>
      </c>
      <c r="J2945" s="66" t="str">
        <f>IF(Twelfth!J198="", "",Twelfth!J198)</f>
        <v/>
      </c>
      <c r="K2945" s="86" t="str">
        <f>IF(Twelfth!K198="", "",Twelfth!K198)</f>
        <v/>
      </c>
      <c r="M2945" s="67" t="str">
        <f t="shared" si="137"/>
        <v/>
      </c>
      <c r="N2945" s="76" t="str">
        <f t="shared" si="138"/>
        <v/>
      </c>
      <c r="O2945" s="33">
        <f t="shared" si="136"/>
        <v>0</v>
      </c>
    </row>
    <row r="2946" spans="1:15" x14ac:dyDescent="0.25">
      <c r="A2946" s="93" t="s">
        <v>207</v>
      </c>
      <c r="B2946" s="79" t="str">
        <f>IF(Twelfth!B199="", "",Twelfth!B199)</f>
        <v/>
      </c>
      <c r="C2946" s="66" t="str">
        <f>IF(Twelfth!C199="", "",Twelfth!C199)</f>
        <v/>
      </c>
      <c r="D2946" s="66" t="str">
        <f>IF(Twelfth!D199="", "",Twelfth!D199)</f>
        <v/>
      </c>
      <c r="E2946" s="66" t="str">
        <f>IF(Twelfth!E199="", "",Twelfth!E199)</f>
        <v/>
      </c>
      <c r="F2946" s="66" t="str">
        <f>IF(Twelfth!F199="", "",Twelfth!F199)</f>
        <v/>
      </c>
      <c r="G2946" s="66" t="str">
        <f>IF(Twelfth!G199="", "",Twelfth!G199)</f>
        <v/>
      </c>
      <c r="H2946" s="66" t="str">
        <f>IF(Twelfth!H199="", "",Twelfth!H199)</f>
        <v/>
      </c>
      <c r="I2946" s="66" t="str">
        <f>IF(Twelfth!I199="", "",Twelfth!I199)</f>
        <v/>
      </c>
      <c r="J2946" s="66" t="str">
        <f>IF(Twelfth!J199="", "",Twelfth!J199)</f>
        <v/>
      </c>
      <c r="K2946" s="86" t="str">
        <f>IF(Twelfth!K199="", "",Twelfth!K199)</f>
        <v/>
      </c>
      <c r="M2946" s="67" t="str">
        <f t="shared" si="137"/>
        <v/>
      </c>
      <c r="N2946" s="76" t="str">
        <f t="shared" si="138"/>
        <v/>
      </c>
      <c r="O2946" s="33">
        <f t="shared" ref="O2946:O3009" si="139">SUM(M2946:N2946)</f>
        <v>0</v>
      </c>
    </row>
    <row r="2947" spans="1:15" x14ac:dyDescent="0.25">
      <c r="A2947" s="93" t="s">
        <v>207</v>
      </c>
      <c r="B2947" s="79" t="str">
        <f>IF(Twelfth!B200="", "",Twelfth!B200)</f>
        <v/>
      </c>
      <c r="C2947" s="66" t="str">
        <f>IF(Twelfth!C200="", "",Twelfth!C200)</f>
        <v/>
      </c>
      <c r="D2947" s="66" t="str">
        <f>IF(Twelfth!D200="", "",Twelfth!D200)</f>
        <v/>
      </c>
      <c r="E2947" s="66" t="str">
        <f>IF(Twelfth!E200="", "",Twelfth!E200)</f>
        <v/>
      </c>
      <c r="F2947" s="66" t="str">
        <f>IF(Twelfth!F200="", "",Twelfth!F200)</f>
        <v/>
      </c>
      <c r="G2947" s="66" t="str">
        <f>IF(Twelfth!G200="", "",Twelfth!G200)</f>
        <v/>
      </c>
      <c r="H2947" s="66" t="str">
        <f>IF(Twelfth!H200="", "",Twelfth!H200)</f>
        <v/>
      </c>
      <c r="I2947" s="66" t="str">
        <f>IF(Twelfth!I200="", "",Twelfth!I200)</f>
        <v/>
      </c>
      <c r="J2947" s="66" t="str">
        <f>IF(Twelfth!J200="", "",Twelfth!J200)</f>
        <v/>
      </c>
      <c r="K2947" s="86" t="str">
        <f>IF(Twelfth!K200="", "",Twelfth!K200)</f>
        <v/>
      </c>
      <c r="M2947" s="67" t="str">
        <f t="shared" ref="M2947:M3010" si="140">IF(C2947="PwC",(7-COUNTIF(B2947:H2947,"")),"")</f>
        <v/>
      </c>
      <c r="N2947" s="76" t="str">
        <f t="shared" ref="N2947:N3010" si="141">IF(C2947="Carer",(7-COUNTIF(B2947:H2947,"")),"")</f>
        <v/>
      </c>
      <c r="O2947" s="33">
        <f t="shared" si="139"/>
        <v>0</v>
      </c>
    </row>
    <row r="2948" spans="1:15" x14ac:dyDescent="0.25">
      <c r="A2948" s="93" t="s">
        <v>207</v>
      </c>
      <c r="B2948" s="79" t="str">
        <f>IF(Twelfth!B201="", "",Twelfth!B201)</f>
        <v/>
      </c>
      <c r="C2948" s="66" t="str">
        <f>IF(Twelfth!C201="", "",Twelfth!C201)</f>
        <v/>
      </c>
      <c r="D2948" s="66" t="str">
        <f>IF(Twelfth!D201="", "",Twelfth!D201)</f>
        <v/>
      </c>
      <c r="E2948" s="66" t="str">
        <f>IF(Twelfth!E201="", "",Twelfth!E201)</f>
        <v/>
      </c>
      <c r="F2948" s="66" t="str">
        <f>IF(Twelfth!F201="", "",Twelfth!F201)</f>
        <v/>
      </c>
      <c r="G2948" s="66" t="str">
        <f>IF(Twelfth!G201="", "",Twelfth!G201)</f>
        <v/>
      </c>
      <c r="H2948" s="66" t="str">
        <f>IF(Twelfth!H201="", "",Twelfth!H201)</f>
        <v/>
      </c>
      <c r="I2948" s="66" t="str">
        <f>IF(Twelfth!I201="", "",Twelfth!I201)</f>
        <v/>
      </c>
      <c r="J2948" s="66" t="str">
        <f>IF(Twelfth!J201="", "",Twelfth!J201)</f>
        <v/>
      </c>
      <c r="K2948" s="86" t="str">
        <f>IF(Twelfth!K201="", "",Twelfth!K201)</f>
        <v/>
      </c>
      <c r="M2948" s="67" t="str">
        <f t="shared" si="140"/>
        <v/>
      </c>
      <c r="N2948" s="76" t="str">
        <f t="shared" si="141"/>
        <v/>
      </c>
      <c r="O2948" s="33">
        <f t="shared" si="139"/>
        <v>0</v>
      </c>
    </row>
    <row r="2949" spans="1:15" x14ac:dyDescent="0.25">
      <c r="A2949" s="93" t="s">
        <v>207</v>
      </c>
      <c r="B2949" s="79" t="str">
        <f>IF(Twelfth!B202="", "",Twelfth!B202)</f>
        <v/>
      </c>
      <c r="C2949" s="66" t="str">
        <f>IF(Twelfth!C202="", "",Twelfth!C202)</f>
        <v/>
      </c>
      <c r="D2949" s="66" t="str">
        <f>IF(Twelfth!D202="", "",Twelfth!D202)</f>
        <v/>
      </c>
      <c r="E2949" s="66" t="str">
        <f>IF(Twelfth!E202="", "",Twelfth!E202)</f>
        <v/>
      </c>
      <c r="F2949" s="66" t="str">
        <f>IF(Twelfth!F202="", "",Twelfth!F202)</f>
        <v/>
      </c>
      <c r="G2949" s="66" t="str">
        <f>IF(Twelfth!G202="", "",Twelfth!G202)</f>
        <v/>
      </c>
      <c r="H2949" s="66" t="str">
        <f>IF(Twelfth!H202="", "",Twelfth!H202)</f>
        <v/>
      </c>
      <c r="I2949" s="66" t="str">
        <f>IF(Twelfth!I202="", "",Twelfth!I202)</f>
        <v/>
      </c>
      <c r="J2949" s="66" t="str">
        <f>IF(Twelfth!J202="", "",Twelfth!J202)</f>
        <v/>
      </c>
      <c r="K2949" s="86" t="str">
        <f>IF(Twelfth!K202="", "",Twelfth!K202)</f>
        <v/>
      </c>
      <c r="M2949" s="67" t="str">
        <f t="shared" si="140"/>
        <v/>
      </c>
      <c r="N2949" s="76" t="str">
        <f t="shared" si="141"/>
        <v/>
      </c>
      <c r="O2949" s="33">
        <f t="shared" si="139"/>
        <v>0</v>
      </c>
    </row>
    <row r="2950" spans="1:15" x14ac:dyDescent="0.25">
      <c r="A2950" s="93" t="s">
        <v>207</v>
      </c>
      <c r="B2950" s="79" t="str">
        <f>IF(Twelfth!B203="", "",Twelfth!B203)</f>
        <v/>
      </c>
      <c r="C2950" s="66" t="str">
        <f>IF(Twelfth!C203="", "",Twelfth!C203)</f>
        <v/>
      </c>
      <c r="D2950" s="66" t="str">
        <f>IF(Twelfth!D203="", "",Twelfth!D203)</f>
        <v/>
      </c>
      <c r="E2950" s="66" t="str">
        <f>IF(Twelfth!E203="", "",Twelfth!E203)</f>
        <v/>
      </c>
      <c r="F2950" s="66" t="str">
        <f>IF(Twelfth!F203="", "",Twelfth!F203)</f>
        <v/>
      </c>
      <c r="G2950" s="66" t="str">
        <f>IF(Twelfth!G203="", "",Twelfth!G203)</f>
        <v/>
      </c>
      <c r="H2950" s="66" t="str">
        <f>IF(Twelfth!H203="", "",Twelfth!H203)</f>
        <v/>
      </c>
      <c r="I2950" s="66" t="str">
        <f>IF(Twelfth!I203="", "",Twelfth!I203)</f>
        <v/>
      </c>
      <c r="J2950" s="66" t="str">
        <f>IF(Twelfth!J203="", "",Twelfth!J203)</f>
        <v/>
      </c>
      <c r="K2950" s="86" t="str">
        <f>IF(Twelfth!K203="", "",Twelfth!K203)</f>
        <v/>
      </c>
      <c r="M2950" s="67" t="str">
        <f t="shared" si="140"/>
        <v/>
      </c>
      <c r="N2950" s="76" t="str">
        <f t="shared" si="141"/>
        <v/>
      </c>
      <c r="O2950" s="33">
        <f t="shared" si="139"/>
        <v>0</v>
      </c>
    </row>
    <row r="2951" spans="1:15" x14ac:dyDescent="0.25">
      <c r="A2951" s="93" t="s">
        <v>207</v>
      </c>
      <c r="B2951" s="79" t="str">
        <f>IF(Twelfth!B204="", "",Twelfth!B204)</f>
        <v/>
      </c>
      <c r="C2951" s="66" t="str">
        <f>IF(Twelfth!C204="", "",Twelfth!C204)</f>
        <v/>
      </c>
      <c r="D2951" s="66" t="str">
        <f>IF(Twelfth!D204="", "",Twelfth!D204)</f>
        <v/>
      </c>
      <c r="E2951" s="66" t="str">
        <f>IF(Twelfth!E204="", "",Twelfth!E204)</f>
        <v/>
      </c>
      <c r="F2951" s="66" t="str">
        <f>IF(Twelfth!F204="", "",Twelfth!F204)</f>
        <v/>
      </c>
      <c r="G2951" s="66" t="str">
        <f>IF(Twelfth!G204="", "",Twelfth!G204)</f>
        <v/>
      </c>
      <c r="H2951" s="66" t="str">
        <f>IF(Twelfth!H204="", "",Twelfth!H204)</f>
        <v/>
      </c>
      <c r="I2951" s="66" t="str">
        <f>IF(Twelfth!I204="", "",Twelfth!I204)</f>
        <v/>
      </c>
      <c r="J2951" s="66" t="str">
        <f>IF(Twelfth!J204="", "",Twelfth!J204)</f>
        <v/>
      </c>
      <c r="K2951" s="86" t="str">
        <f>IF(Twelfth!K204="", "",Twelfth!K204)</f>
        <v/>
      </c>
      <c r="M2951" s="67" t="str">
        <f t="shared" si="140"/>
        <v/>
      </c>
      <c r="N2951" s="76" t="str">
        <f t="shared" si="141"/>
        <v/>
      </c>
      <c r="O2951" s="33">
        <f t="shared" si="139"/>
        <v>0</v>
      </c>
    </row>
    <row r="2952" spans="1:15" x14ac:dyDescent="0.25">
      <c r="A2952" s="93" t="s">
        <v>207</v>
      </c>
      <c r="B2952" s="79" t="str">
        <f>IF(Twelfth!B205="", "",Twelfth!B205)</f>
        <v/>
      </c>
      <c r="C2952" s="66" t="str">
        <f>IF(Twelfth!C205="", "",Twelfth!C205)</f>
        <v/>
      </c>
      <c r="D2952" s="66" t="str">
        <f>IF(Twelfth!D205="", "",Twelfth!D205)</f>
        <v/>
      </c>
      <c r="E2952" s="66" t="str">
        <f>IF(Twelfth!E205="", "",Twelfth!E205)</f>
        <v/>
      </c>
      <c r="F2952" s="66" t="str">
        <f>IF(Twelfth!F205="", "",Twelfth!F205)</f>
        <v/>
      </c>
      <c r="G2952" s="66" t="str">
        <f>IF(Twelfth!G205="", "",Twelfth!G205)</f>
        <v/>
      </c>
      <c r="H2952" s="66" t="str">
        <f>IF(Twelfth!H205="", "",Twelfth!H205)</f>
        <v/>
      </c>
      <c r="I2952" s="66" t="str">
        <f>IF(Twelfth!I205="", "",Twelfth!I205)</f>
        <v/>
      </c>
      <c r="J2952" s="66" t="str">
        <f>IF(Twelfth!J205="", "",Twelfth!J205)</f>
        <v/>
      </c>
      <c r="K2952" s="86" t="str">
        <f>IF(Twelfth!K205="", "",Twelfth!K205)</f>
        <v/>
      </c>
      <c r="M2952" s="67" t="str">
        <f t="shared" si="140"/>
        <v/>
      </c>
      <c r="N2952" s="76" t="str">
        <f t="shared" si="141"/>
        <v/>
      </c>
      <c r="O2952" s="33">
        <f t="shared" si="139"/>
        <v>0</v>
      </c>
    </row>
    <row r="2953" spans="1:15" x14ac:dyDescent="0.25">
      <c r="A2953" s="93" t="s">
        <v>207</v>
      </c>
      <c r="B2953" s="79" t="str">
        <f>IF(Twelfth!B206="", "",Twelfth!B206)</f>
        <v/>
      </c>
      <c r="C2953" s="66" t="str">
        <f>IF(Twelfth!C206="", "",Twelfth!C206)</f>
        <v/>
      </c>
      <c r="D2953" s="66" t="str">
        <f>IF(Twelfth!D206="", "",Twelfth!D206)</f>
        <v/>
      </c>
      <c r="E2953" s="66" t="str">
        <f>IF(Twelfth!E206="", "",Twelfth!E206)</f>
        <v/>
      </c>
      <c r="F2953" s="66" t="str">
        <f>IF(Twelfth!F206="", "",Twelfth!F206)</f>
        <v/>
      </c>
      <c r="G2953" s="66" t="str">
        <f>IF(Twelfth!G206="", "",Twelfth!G206)</f>
        <v/>
      </c>
      <c r="H2953" s="66" t="str">
        <f>IF(Twelfth!H206="", "",Twelfth!H206)</f>
        <v/>
      </c>
      <c r="I2953" s="66" t="str">
        <f>IF(Twelfth!I206="", "",Twelfth!I206)</f>
        <v/>
      </c>
      <c r="J2953" s="66" t="str">
        <f>IF(Twelfth!J206="", "",Twelfth!J206)</f>
        <v/>
      </c>
      <c r="K2953" s="86" t="str">
        <f>IF(Twelfth!K206="", "",Twelfth!K206)</f>
        <v/>
      </c>
      <c r="M2953" s="67" t="str">
        <f t="shared" si="140"/>
        <v/>
      </c>
      <c r="N2953" s="76" t="str">
        <f t="shared" si="141"/>
        <v/>
      </c>
      <c r="O2953" s="33">
        <f t="shared" si="139"/>
        <v>0</v>
      </c>
    </row>
    <row r="2954" spans="1:15" x14ac:dyDescent="0.25">
      <c r="A2954" s="93" t="s">
        <v>207</v>
      </c>
      <c r="B2954" s="79" t="str">
        <f>IF(Twelfth!B207="", "",Twelfth!B207)</f>
        <v/>
      </c>
      <c r="C2954" s="66" t="str">
        <f>IF(Twelfth!C207="", "",Twelfth!C207)</f>
        <v/>
      </c>
      <c r="D2954" s="66" t="str">
        <f>IF(Twelfth!D207="", "",Twelfth!D207)</f>
        <v/>
      </c>
      <c r="E2954" s="66" t="str">
        <f>IF(Twelfth!E207="", "",Twelfth!E207)</f>
        <v/>
      </c>
      <c r="F2954" s="66" t="str">
        <f>IF(Twelfth!F207="", "",Twelfth!F207)</f>
        <v/>
      </c>
      <c r="G2954" s="66" t="str">
        <f>IF(Twelfth!G207="", "",Twelfth!G207)</f>
        <v/>
      </c>
      <c r="H2954" s="66" t="str">
        <f>IF(Twelfth!H207="", "",Twelfth!H207)</f>
        <v/>
      </c>
      <c r="I2954" s="66" t="str">
        <f>IF(Twelfth!I207="", "",Twelfth!I207)</f>
        <v/>
      </c>
      <c r="J2954" s="66" t="str">
        <f>IF(Twelfth!J207="", "",Twelfth!J207)</f>
        <v/>
      </c>
      <c r="K2954" s="86" t="str">
        <f>IF(Twelfth!K207="", "",Twelfth!K207)</f>
        <v/>
      </c>
      <c r="M2954" s="67" t="str">
        <f t="shared" si="140"/>
        <v/>
      </c>
      <c r="N2954" s="76" t="str">
        <f t="shared" si="141"/>
        <v/>
      </c>
      <c r="O2954" s="33">
        <f t="shared" si="139"/>
        <v>0</v>
      </c>
    </row>
    <row r="2955" spans="1:15" x14ac:dyDescent="0.25">
      <c r="A2955" s="93" t="s">
        <v>207</v>
      </c>
      <c r="B2955" s="79" t="str">
        <f>IF(Twelfth!B208="", "",Twelfth!B208)</f>
        <v/>
      </c>
      <c r="C2955" s="66" t="str">
        <f>IF(Twelfth!C208="", "",Twelfth!C208)</f>
        <v/>
      </c>
      <c r="D2955" s="66" t="str">
        <f>IF(Twelfth!D208="", "",Twelfth!D208)</f>
        <v/>
      </c>
      <c r="E2955" s="66" t="str">
        <f>IF(Twelfth!E208="", "",Twelfth!E208)</f>
        <v/>
      </c>
      <c r="F2955" s="66" t="str">
        <f>IF(Twelfth!F208="", "",Twelfth!F208)</f>
        <v/>
      </c>
      <c r="G2955" s="66" t="str">
        <f>IF(Twelfth!G208="", "",Twelfth!G208)</f>
        <v/>
      </c>
      <c r="H2955" s="66" t="str">
        <f>IF(Twelfth!H208="", "",Twelfth!H208)</f>
        <v/>
      </c>
      <c r="I2955" s="66" t="str">
        <f>IF(Twelfth!I208="", "",Twelfth!I208)</f>
        <v/>
      </c>
      <c r="J2955" s="66" t="str">
        <f>IF(Twelfth!J208="", "",Twelfth!J208)</f>
        <v/>
      </c>
      <c r="K2955" s="86" t="str">
        <f>IF(Twelfth!K208="", "",Twelfth!K208)</f>
        <v/>
      </c>
      <c r="M2955" s="67" t="str">
        <f t="shared" si="140"/>
        <v/>
      </c>
      <c r="N2955" s="76" t="str">
        <f t="shared" si="141"/>
        <v/>
      </c>
      <c r="O2955" s="33">
        <f t="shared" si="139"/>
        <v>0</v>
      </c>
    </row>
    <row r="2956" spans="1:15" x14ac:dyDescent="0.25">
      <c r="A2956" s="93" t="s">
        <v>207</v>
      </c>
      <c r="B2956" s="79" t="str">
        <f>IF(Twelfth!B209="", "",Twelfth!B209)</f>
        <v/>
      </c>
      <c r="C2956" s="66" t="str">
        <f>IF(Twelfth!C209="", "",Twelfth!C209)</f>
        <v/>
      </c>
      <c r="D2956" s="66" t="str">
        <f>IF(Twelfth!D209="", "",Twelfth!D209)</f>
        <v/>
      </c>
      <c r="E2956" s="66" t="str">
        <f>IF(Twelfth!E209="", "",Twelfth!E209)</f>
        <v/>
      </c>
      <c r="F2956" s="66" t="str">
        <f>IF(Twelfth!F209="", "",Twelfth!F209)</f>
        <v/>
      </c>
      <c r="G2956" s="66" t="str">
        <f>IF(Twelfth!G209="", "",Twelfth!G209)</f>
        <v/>
      </c>
      <c r="H2956" s="66" t="str">
        <f>IF(Twelfth!H209="", "",Twelfth!H209)</f>
        <v/>
      </c>
      <c r="I2956" s="66" t="str">
        <f>IF(Twelfth!I209="", "",Twelfth!I209)</f>
        <v/>
      </c>
      <c r="J2956" s="66" t="str">
        <f>IF(Twelfth!J209="", "",Twelfth!J209)</f>
        <v/>
      </c>
      <c r="K2956" s="86" t="str">
        <f>IF(Twelfth!K209="", "",Twelfth!K209)</f>
        <v/>
      </c>
      <c r="M2956" s="67" t="str">
        <f t="shared" si="140"/>
        <v/>
      </c>
      <c r="N2956" s="76" t="str">
        <f t="shared" si="141"/>
        <v/>
      </c>
      <c r="O2956" s="33">
        <f t="shared" si="139"/>
        <v>0</v>
      </c>
    </row>
    <row r="2957" spans="1:15" x14ac:dyDescent="0.25">
      <c r="A2957" s="93" t="s">
        <v>207</v>
      </c>
      <c r="B2957" s="79" t="str">
        <f>IF(Twelfth!B210="", "",Twelfth!B210)</f>
        <v/>
      </c>
      <c r="C2957" s="66" t="str">
        <f>IF(Twelfth!C210="", "",Twelfth!C210)</f>
        <v/>
      </c>
      <c r="D2957" s="66" t="str">
        <f>IF(Twelfth!D210="", "",Twelfth!D210)</f>
        <v/>
      </c>
      <c r="E2957" s="66" t="str">
        <f>IF(Twelfth!E210="", "",Twelfth!E210)</f>
        <v/>
      </c>
      <c r="F2957" s="66" t="str">
        <f>IF(Twelfth!F210="", "",Twelfth!F210)</f>
        <v/>
      </c>
      <c r="G2957" s="66" t="str">
        <f>IF(Twelfth!G210="", "",Twelfth!G210)</f>
        <v/>
      </c>
      <c r="H2957" s="66" t="str">
        <f>IF(Twelfth!H210="", "",Twelfth!H210)</f>
        <v/>
      </c>
      <c r="I2957" s="66" t="str">
        <f>IF(Twelfth!I210="", "",Twelfth!I210)</f>
        <v/>
      </c>
      <c r="J2957" s="66" t="str">
        <f>IF(Twelfth!J210="", "",Twelfth!J210)</f>
        <v/>
      </c>
      <c r="K2957" s="86" t="str">
        <f>IF(Twelfth!K210="", "",Twelfth!K210)</f>
        <v/>
      </c>
      <c r="M2957" s="67" t="str">
        <f t="shared" si="140"/>
        <v/>
      </c>
      <c r="N2957" s="76" t="str">
        <f t="shared" si="141"/>
        <v/>
      </c>
      <c r="O2957" s="33">
        <f t="shared" si="139"/>
        <v>0</v>
      </c>
    </row>
    <row r="2958" spans="1:15" x14ac:dyDescent="0.25">
      <c r="A2958" s="93" t="s">
        <v>207</v>
      </c>
      <c r="B2958" s="79" t="str">
        <f>IF(Twelfth!B211="", "",Twelfth!B211)</f>
        <v/>
      </c>
      <c r="C2958" s="66" t="str">
        <f>IF(Twelfth!C211="", "",Twelfth!C211)</f>
        <v/>
      </c>
      <c r="D2958" s="66" t="str">
        <f>IF(Twelfth!D211="", "",Twelfth!D211)</f>
        <v/>
      </c>
      <c r="E2958" s="66" t="str">
        <f>IF(Twelfth!E211="", "",Twelfth!E211)</f>
        <v/>
      </c>
      <c r="F2958" s="66" t="str">
        <f>IF(Twelfth!F211="", "",Twelfth!F211)</f>
        <v/>
      </c>
      <c r="G2958" s="66" t="str">
        <f>IF(Twelfth!G211="", "",Twelfth!G211)</f>
        <v/>
      </c>
      <c r="H2958" s="66" t="str">
        <f>IF(Twelfth!H211="", "",Twelfth!H211)</f>
        <v/>
      </c>
      <c r="I2958" s="66" t="str">
        <f>IF(Twelfth!I211="", "",Twelfth!I211)</f>
        <v/>
      </c>
      <c r="J2958" s="66" t="str">
        <f>IF(Twelfth!J211="", "",Twelfth!J211)</f>
        <v/>
      </c>
      <c r="K2958" s="86" t="str">
        <f>IF(Twelfth!K211="", "",Twelfth!K211)</f>
        <v/>
      </c>
      <c r="M2958" s="67" t="str">
        <f t="shared" si="140"/>
        <v/>
      </c>
      <c r="N2958" s="76" t="str">
        <f t="shared" si="141"/>
        <v/>
      </c>
      <c r="O2958" s="33">
        <f t="shared" si="139"/>
        <v>0</v>
      </c>
    </row>
    <row r="2959" spans="1:15" x14ac:dyDescent="0.25">
      <c r="A2959" s="93" t="s">
        <v>207</v>
      </c>
      <c r="B2959" s="79" t="str">
        <f>IF(Twelfth!B212="", "",Twelfth!B212)</f>
        <v/>
      </c>
      <c r="C2959" s="66" t="str">
        <f>IF(Twelfth!C212="", "",Twelfth!C212)</f>
        <v/>
      </c>
      <c r="D2959" s="66" t="str">
        <f>IF(Twelfth!D212="", "",Twelfth!D212)</f>
        <v/>
      </c>
      <c r="E2959" s="66" t="str">
        <f>IF(Twelfth!E212="", "",Twelfth!E212)</f>
        <v/>
      </c>
      <c r="F2959" s="66" t="str">
        <f>IF(Twelfth!F212="", "",Twelfth!F212)</f>
        <v/>
      </c>
      <c r="G2959" s="66" t="str">
        <f>IF(Twelfth!G212="", "",Twelfth!G212)</f>
        <v/>
      </c>
      <c r="H2959" s="66" t="str">
        <f>IF(Twelfth!H212="", "",Twelfth!H212)</f>
        <v/>
      </c>
      <c r="I2959" s="66" t="str">
        <f>IF(Twelfth!I212="", "",Twelfth!I212)</f>
        <v/>
      </c>
      <c r="J2959" s="66" t="str">
        <f>IF(Twelfth!J212="", "",Twelfth!J212)</f>
        <v/>
      </c>
      <c r="K2959" s="86" t="str">
        <f>IF(Twelfth!K212="", "",Twelfth!K212)</f>
        <v/>
      </c>
      <c r="M2959" s="67" t="str">
        <f t="shared" si="140"/>
        <v/>
      </c>
      <c r="N2959" s="76" t="str">
        <f t="shared" si="141"/>
        <v/>
      </c>
      <c r="O2959" s="33">
        <f t="shared" si="139"/>
        <v>0</v>
      </c>
    </row>
    <row r="2960" spans="1:15" x14ac:dyDescent="0.25">
      <c r="A2960" s="93" t="s">
        <v>207</v>
      </c>
      <c r="B2960" s="79" t="str">
        <f>IF(Twelfth!B213="", "",Twelfth!B213)</f>
        <v/>
      </c>
      <c r="C2960" s="66" t="str">
        <f>IF(Twelfth!C213="", "",Twelfth!C213)</f>
        <v/>
      </c>
      <c r="D2960" s="66" t="str">
        <f>IF(Twelfth!D213="", "",Twelfth!D213)</f>
        <v/>
      </c>
      <c r="E2960" s="66" t="str">
        <f>IF(Twelfth!E213="", "",Twelfth!E213)</f>
        <v/>
      </c>
      <c r="F2960" s="66" t="str">
        <f>IF(Twelfth!F213="", "",Twelfth!F213)</f>
        <v/>
      </c>
      <c r="G2960" s="66" t="str">
        <f>IF(Twelfth!G213="", "",Twelfth!G213)</f>
        <v/>
      </c>
      <c r="H2960" s="66" t="str">
        <f>IF(Twelfth!H213="", "",Twelfth!H213)</f>
        <v/>
      </c>
      <c r="I2960" s="66" t="str">
        <f>IF(Twelfth!I213="", "",Twelfth!I213)</f>
        <v/>
      </c>
      <c r="J2960" s="66" t="str">
        <f>IF(Twelfth!J213="", "",Twelfth!J213)</f>
        <v/>
      </c>
      <c r="K2960" s="86" t="str">
        <f>IF(Twelfth!K213="", "",Twelfth!K213)</f>
        <v/>
      </c>
      <c r="M2960" s="67" t="str">
        <f t="shared" si="140"/>
        <v/>
      </c>
      <c r="N2960" s="76" t="str">
        <f t="shared" si="141"/>
        <v/>
      </c>
      <c r="O2960" s="33">
        <f t="shared" si="139"/>
        <v>0</v>
      </c>
    </row>
    <row r="2961" spans="1:15" x14ac:dyDescent="0.25">
      <c r="A2961" s="93" t="s">
        <v>207</v>
      </c>
      <c r="B2961" s="79" t="str">
        <f>IF(Twelfth!B214="", "",Twelfth!B214)</f>
        <v/>
      </c>
      <c r="C2961" s="66" t="str">
        <f>IF(Twelfth!C214="", "",Twelfth!C214)</f>
        <v/>
      </c>
      <c r="D2961" s="66" t="str">
        <f>IF(Twelfth!D214="", "",Twelfth!D214)</f>
        <v/>
      </c>
      <c r="E2961" s="66" t="str">
        <f>IF(Twelfth!E214="", "",Twelfth!E214)</f>
        <v/>
      </c>
      <c r="F2961" s="66" t="str">
        <f>IF(Twelfth!F214="", "",Twelfth!F214)</f>
        <v/>
      </c>
      <c r="G2961" s="66" t="str">
        <f>IF(Twelfth!G214="", "",Twelfth!G214)</f>
        <v/>
      </c>
      <c r="H2961" s="66" t="str">
        <f>IF(Twelfth!H214="", "",Twelfth!H214)</f>
        <v/>
      </c>
      <c r="I2961" s="66" t="str">
        <f>IF(Twelfth!I214="", "",Twelfth!I214)</f>
        <v/>
      </c>
      <c r="J2961" s="66" t="str">
        <f>IF(Twelfth!J214="", "",Twelfth!J214)</f>
        <v/>
      </c>
      <c r="K2961" s="86" t="str">
        <f>IF(Twelfth!K214="", "",Twelfth!K214)</f>
        <v/>
      </c>
      <c r="M2961" s="67" t="str">
        <f t="shared" si="140"/>
        <v/>
      </c>
      <c r="N2961" s="76" t="str">
        <f t="shared" si="141"/>
        <v/>
      </c>
      <c r="O2961" s="33">
        <f t="shared" si="139"/>
        <v>0</v>
      </c>
    </row>
    <row r="2962" spans="1:15" x14ac:dyDescent="0.25">
      <c r="A2962" s="93" t="s">
        <v>207</v>
      </c>
      <c r="B2962" s="79" t="str">
        <f>IF(Twelfth!B215="", "",Twelfth!B215)</f>
        <v/>
      </c>
      <c r="C2962" s="66" t="str">
        <f>IF(Twelfth!C215="", "",Twelfth!C215)</f>
        <v/>
      </c>
      <c r="D2962" s="66" t="str">
        <f>IF(Twelfth!D215="", "",Twelfth!D215)</f>
        <v/>
      </c>
      <c r="E2962" s="66" t="str">
        <f>IF(Twelfth!E215="", "",Twelfth!E215)</f>
        <v/>
      </c>
      <c r="F2962" s="66" t="str">
        <f>IF(Twelfth!F215="", "",Twelfth!F215)</f>
        <v/>
      </c>
      <c r="G2962" s="66" t="str">
        <f>IF(Twelfth!G215="", "",Twelfth!G215)</f>
        <v/>
      </c>
      <c r="H2962" s="66" t="str">
        <f>IF(Twelfth!H215="", "",Twelfth!H215)</f>
        <v/>
      </c>
      <c r="I2962" s="66" t="str">
        <f>IF(Twelfth!I215="", "",Twelfth!I215)</f>
        <v/>
      </c>
      <c r="J2962" s="66" t="str">
        <f>IF(Twelfth!J215="", "",Twelfth!J215)</f>
        <v/>
      </c>
      <c r="K2962" s="86" t="str">
        <f>IF(Twelfth!K215="", "",Twelfth!K215)</f>
        <v/>
      </c>
      <c r="M2962" s="67" t="str">
        <f t="shared" si="140"/>
        <v/>
      </c>
      <c r="N2962" s="76" t="str">
        <f t="shared" si="141"/>
        <v/>
      </c>
      <c r="O2962" s="33">
        <f t="shared" si="139"/>
        <v>0</v>
      </c>
    </row>
    <row r="2963" spans="1:15" x14ac:dyDescent="0.25">
      <c r="A2963" s="93" t="s">
        <v>207</v>
      </c>
      <c r="B2963" s="79" t="str">
        <f>IF(Twelfth!B216="", "",Twelfth!B216)</f>
        <v/>
      </c>
      <c r="C2963" s="66" t="str">
        <f>IF(Twelfth!C216="", "",Twelfth!C216)</f>
        <v/>
      </c>
      <c r="D2963" s="66" t="str">
        <f>IF(Twelfth!D216="", "",Twelfth!D216)</f>
        <v/>
      </c>
      <c r="E2963" s="66" t="str">
        <f>IF(Twelfth!E216="", "",Twelfth!E216)</f>
        <v/>
      </c>
      <c r="F2963" s="66" t="str">
        <f>IF(Twelfth!F216="", "",Twelfth!F216)</f>
        <v/>
      </c>
      <c r="G2963" s="66" t="str">
        <f>IF(Twelfth!G216="", "",Twelfth!G216)</f>
        <v/>
      </c>
      <c r="H2963" s="66" t="str">
        <f>IF(Twelfth!H216="", "",Twelfth!H216)</f>
        <v/>
      </c>
      <c r="I2963" s="66" t="str">
        <f>IF(Twelfth!I216="", "",Twelfth!I216)</f>
        <v/>
      </c>
      <c r="J2963" s="66" t="str">
        <f>IF(Twelfth!J216="", "",Twelfth!J216)</f>
        <v/>
      </c>
      <c r="K2963" s="86" t="str">
        <f>IF(Twelfth!K216="", "",Twelfth!K216)</f>
        <v/>
      </c>
      <c r="M2963" s="67" t="str">
        <f t="shared" si="140"/>
        <v/>
      </c>
      <c r="N2963" s="76" t="str">
        <f t="shared" si="141"/>
        <v/>
      </c>
      <c r="O2963" s="33">
        <f t="shared" si="139"/>
        <v>0</v>
      </c>
    </row>
    <row r="2964" spans="1:15" x14ac:dyDescent="0.25">
      <c r="A2964" s="93" t="s">
        <v>207</v>
      </c>
      <c r="B2964" s="79" t="str">
        <f>IF(Twelfth!B217="", "",Twelfth!B217)</f>
        <v/>
      </c>
      <c r="C2964" s="66" t="str">
        <f>IF(Twelfth!C217="", "",Twelfth!C217)</f>
        <v/>
      </c>
      <c r="D2964" s="66" t="str">
        <f>IF(Twelfth!D217="", "",Twelfth!D217)</f>
        <v/>
      </c>
      <c r="E2964" s="66" t="str">
        <f>IF(Twelfth!E217="", "",Twelfth!E217)</f>
        <v/>
      </c>
      <c r="F2964" s="66" t="str">
        <f>IF(Twelfth!F217="", "",Twelfth!F217)</f>
        <v/>
      </c>
      <c r="G2964" s="66" t="str">
        <f>IF(Twelfth!G217="", "",Twelfth!G217)</f>
        <v/>
      </c>
      <c r="H2964" s="66" t="str">
        <f>IF(Twelfth!H217="", "",Twelfth!H217)</f>
        <v/>
      </c>
      <c r="I2964" s="66" t="str">
        <f>IF(Twelfth!I217="", "",Twelfth!I217)</f>
        <v/>
      </c>
      <c r="J2964" s="66" t="str">
        <f>IF(Twelfth!J217="", "",Twelfth!J217)</f>
        <v/>
      </c>
      <c r="K2964" s="86" t="str">
        <f>IF(Twelfth!K217="", "",Twelfth!K217)</f>
        <v/>
      </c>
      <c r="M2964" s="67" t="str">
        <f t="shared" si="140"/>
        <v/>
      </c>
      <c r="N2964" s="76" t="str">
        <f t="shared" si="141"/>
        <v/>
      </c>
      <c r="O2964" s="33">
        <f t="shared" si="139"/>
        <v>0</v>
      </c>
    </row>
    <row r="2965" spans="1:15" x14ac:dyDescent="0.25">
      <c r="A2965" s="93" t="s">
        <v>207</v>
      </c>
      <c r="B2965" s="79" t="str">
        <f>IF(Twelfth!B218="", "",Twelfth!B218)</f>
        <v/>
      </c>
      <c r="C2965" s="66" t="str">
        <f>IF(Twelfth!C218="", "",Twelfth!C218)</f>
        <v/>
      </c>
      <c r="D2965" s="66" t="str">
        <f>IF(Twelfth!D218="", "",Twelfth!D218)</f>
        <v/>
      </c>
      <c r="E2965" s="66" t="str">
        <f>IF(Twelfth!E218="", "",Twelfth!E218)</f>
        <v/>
      </c>
      <c r="F2965" s="66" t="str">
        <f>IF(Twelfth!F218="", "",Twelfth!F218)</f>
        <v/>
      </c>
      <c r="G2965" s="66" t="str">
        <f>IF(Twelfth!G218="", "",Twelfth!G218)</f>
        <v/>
      </c>
      <c r="H2965" s="66" t="str">
        <f>IF(Twelfth!H218="", "",Twelfth!H218)</f>
        <v/>
      </c>
      <c r="I2965" s="66" t="str">
        <f>IF(Twelfth!I218="", "",Twelfth!I218)</f>
        <v/>
      </c>
      <c r="J2965" s="66" t="str">
        <f>IF(Twelfth!J218="", "",Twelfth!J218)</f>
        <v/>
      </c>
      <c r="K2965" s="86" t="str">
        <f>IF(Twelfth!K218="", "",Twelfth!K218)</f>
        <v/>
      </c>
      <c r="M2965" s="67" t="str">
        <f t="shared" si="140"/>
        <v/>
      </c>
      <c r="N2965" s="76" t="str">
        <f t="shared" si="141"/>
        <v/>
      </c>
      <c r="O2965" s="33">
        <f t="shared" si="139"/>
        <v>0</v>
      </c>
    </row>
    <row r="2966" spans="1:15" x14ac:dyDescent="0.25">
      <c r="A2966" s="93" t="s">
        <v>207</v>
      </c>
      <c r="B2966" s="79" t="str">
        <f>IF(Twelfth!B219="", "",Twelfth!B219)</f>
        <v/>
      </c>
      <c r="C2966" s="66" t="str">
        <f>IF(Twelfth!C219="", "",Twelfth!C219)</f>
        <v/>
      </c>
      <c r="D2966" s="66" t="str">
        <f>IF(Twelfth!D219="", "",Twelfth!D219)</f>
        <v/>
      </c>
      <c r="E2966" s="66" t="str">
        <f>IF(Twelfth!E219="", "",Twelfth!E219)</f>
        <v/>
      </c>
      <c r="F2966" s="66" t="str">
        <f>IF(Twelfth!F219="", "",Twelfth!F219)</f>
        <v/>
      </c>
      <c r="G2966" s="66" t="str">
        <f>IF(Twelfth!G219="", "",Twelfth!G219)</f>
        <v/>
      </c>
      <c r="H2966" s="66" t="str">
        <f>IF(Twelfth!H219="", "",Twelfth!H219)</f>
        <v/>
      </c>
      <c r="I2966" s="66" t="str">
        <f>IF(Twelfth!I219="", "",Twelfth!I219)</f>
        <v/>
      </c>
      <c r="J2966" s="66" t="str">
        <f>IF(Twelfth!J219="", "",Twelfth!J219)</f>
        <v/>
      </c>
      <c r="K2966" s="86" t="str">
        <f>IF(Twelfth!K219="", "",Twelfth!K219)</f>
        <v/>
      </c>
      <c r="M2966" s="67" t="str">
        <f t="shared" si="140"/>
        <v/>
      </c>
      <c r="N2966" s="76" t="str">
        <f t="shared" si="141"/>
        <v/>
      </c>
      <c r="O2966" s="33">
        <f t="shared" si="139"/>
        <v>0</v>
      </c>
    </row>
    <row r="2967" spans="1:15" x14ac:dyDescent="0.25">
      <c r="A2967" s="93" t="s">
        <v>207</v>
      </c>
      <c r="B2967" s="79" t="str">
        <f>IF(Twelfth!B220="", "",Twelfth!B220)</f>
        <v/>
      </c>
      <c r="C2967" s="66" t="str">
        <f>IF(Twelfth!C220="", "",Twelfth!C220)</f>
        <v/>
      </c>
      <c r="D2967" s="66" t="str">
        <f>IF(Twelfth!D220="", "",Twelfth!D220)</f>
        <v/>
      </c>
      <c r="E2967" s="66" t="str">
        <f>IF(Twelfth!E220="", "",Twelfth!E220)</f>
        <v/>
      </c>
      <c r="F2967" s="66" t="str">
        <f>IF(Twelfth!F220="", "",Twelfth!F220)</f>
        <v/>
      </c>
      <c r="G2967" s="66" t="str">
        <f>IF(Twelfth!G220="", "",Twelfth!G220)</f>
        <v/>
      </c>
      <c r="H2967" s="66" t="str">
        <f>IF(Twelfth!H220="", "",Twelfth!H220)</f>
        <v/>
      </c>
      <c r="I2967" s="66" t="str">
        <f>IF(Twelfth!I220="", "",Twelfth!I220)</f>
        <v/>
      </c>
      <c r="J2967" s="66" t="str">
        <f>IF(Twelfth!J220="", "",Twelfth!J220)</f>
        <v/>
      </c>
      <c r="K2967" s="86" t="str">
        <f>IF(Twelfth!K220="", "",Twelfth!K220)</f>
        <v/>
      </c>
      <c r="M2967" s="67" t="str">
        <f t="shared" si="140"/>
        <v/>
      </c>
      <c r="N2967" s="76" t="str">
        <f t="shared" si="141"/>
        <v/>
      </c>
      <c r="O2967" s="33">
        <f t="shared" si="139"/>
        <v>0</v>
      </c>
    </row>
    <row r="2968" spans="1:15" x14ac:dyDescent="0.25">
      <c r="A2968" s="93" t="s">
        <v>207</v>
      </c>
      <c r="B2968" s="79" t="str">
        <f>IF(Twelfth!B221="", "",Twelfth!B221)</f>
        <v/>
      </c>
      <c r="C2968" s="66" t="str">
        <f>IF(Twelfth!C221="", "",Twelfth!C221)</f>
        <v/>
      </c>
      <c r="D2968" s="66" t="str">
        <f>IF(Twelfth!D221="", "",Twelfth!D221)</f>
        <v/>
      </c>
      <c r="E2968" s="66" t="str">
        <f>IF(Twelfth!E221="", "",Twelfth!E221)</f>
        <v/>
      </c>
      <c r="F2968" s="66" t="str">
        <f>IF(Twelfth!F221="", "",Twelfth!F221)</f>
        <v/>
      </c>
      <c r="G2968" s="66" t="str">
        <f>IF(Twelfth!G221="", "",Twelfth!G221)</f>
        <v/>
      </c>
      <c r="H2968" s="66" t="str">
        <f>IF(Twelfth!H221="", "",Twelfth!H221)</f>
        <v/>
      </c>
      <c r="I2968" s="66" t="str">
        <f>IF(Twelfth!I221="", "",Twelfth!I221)</f>
        <v/>
      </c>
      <c r="J2968" s="66" t="str">
        <f>IF(Twelfth!J221="", "",Twelfth!J221)</f>
        <v/>
      </c>
      <c r="K2968" s="86" t="str">
        <f>IF(Twelfth!K221="", "",Twelfth!K221)</f>
        <v/>
      </c>
      <c r="M2968" s="67" t="str">
        <f t="shared" si="140"/>
        <v/>
      </c>
      <c r="N2968" s="76" t="str">
        <f t="shared" si="141"/>
        <v/>
      </c>
      <c r="O2968" s="33">
        <f t="shared" si="139"/>
        <v>0</v>
      </c>
    </row>
    <row r="2969" spans="1:15" x14ac:dyDescent="0.25">
      <c r="A2969" s="93" t="s">
        <v>207</v>
      </c>
      <c r="B2969" s="79" t="str">
        <f>IF(Twelfth!B222="", "",Twelfth!B222)</f>
        <v/>
      </c>
      <c r="C2969" s="66" t="str">
        <f>IF(Twelfth!C222="", "",Twelfth!C222)</f>
        <v/>
      </c>
      <c r="D2969" s="66" t="str">
        <f>IF(Twelfth!D222="", "",Twelfth!D222)</f>
        <v/>
      </c>
      <c r="E2969" s="66" t="str">
        <f>IF(Twelfth!E222="", "",Twelfth!E222)</f>
        <v/>
      </c>
      <c r="F2969" s="66" t="str">
        <f>IF(Twelfth!F222="", "",Twelfth!F222)</f>
        <v/>
      </c>
      <c r="G2969" s="66" t="str">
        <f>IF(Twelfth!G222="", "",Twelfth!G222)</f>
        <v/>
      </c>
      <c r="H2969" s="66" t="str">
        <f>IF(Twelfth!H222="", "",Twelfth!H222)</f>
        <v/>
      </c>
      <c r="I2969" s="66" t="str">
        <f>IF(Twelfth!I222="", "",Twelfth!I222)</f>
        <v/>
      </c>
      <c r="J2969" s="66" t="str">
        <f>IF(Twelfth!J222="", "",Twelfth!J222)</f>
        <v/>
      </c>
      <c r="K2969" s="86" t="str">
        <f>IF(Twelfth!K222="", "",Twelfth!K222)</f>
        <v/>
      </c>
      <c r="M2969" s="67" t="str">
        <f t="shared" si="140"/>
        <v/>
      </c>
      <c r="N2969" s="76" t="str">
        <f t="shared" si="141"/>
        <v/>
      </c>
      <c r="O2969" s="33">
        <f t="shared" si="139"/>
        <v>0</v>
      </c>
    </row>
    <row r="2970" spans="1:15" x14ac:dyDescent="0.25">
      <c r="A2970" s="93" t="s">
        <v>207</v>
      </c>
      <c r="B2970" s="79" t="str">
        <f>IF(Twelfth!B223="", "",Twelfth!B223)</f>
        <v/>
      </c>
      <c r="C2970" s="66" t="str">
        <f>IF(Twelfth!C223="", "",Twelfth!C223)</f>
        <v/>
      </c>
      <c r="D2970" s="66" t="str">
        <f>IF(Twelfth!D223="", "",Twelfth!D223)</f>
        <v/>
      </c>
      <c r="E2970" s="66" t="str">
        <f>IF(Twelfth!E223="", "",Twelfth!E223)</f>
        <v/>
      </c>
      <c r="F2970" s="66" t="str">
        <f>IF(Twelfth!F223="", "",Twelfth!F223)</f>
        <v/>
      </c>
      <c r="G2970" s="66" t="str">
        <f>IF(Twelfth!G223="", "",Twelfth!G223)</f>
        <v/>
      </c>
      <c r="H2970" s="66" t="str">
        <f>IF(Twelfth!H223="", "",Twelfth!H223)</f>
        <v/>
      </c>
      <c r="I2970" s="66" t="str">
        <f>IF(Twelfth!I223="", "",Twelfth!I223)</f>
        <v/>
      </c>
      <c r="J2970" s="66" t="str">
        <f>IF(Twelfth!J223="", "",Twelfth!J223)</f>
        <v/>
      </c>
      <c r="K2970" s="86" t="str">
        <f>IF(Twelfth!K223="", "",Twelfth!K223)</f>
        <v/>
      </c>
      <c r="M2970" s="67" t="str">
        <f t="shared" si="140"/>
        <v/>
      </c>
      <c r="N2970" s="76" t="str">
        <f t="shared" si="141"/>
        <v/>
      </c>
      <c r="O2970" s="33">
        <f t="shared" si="139"/>
        <v>0</v>
      </c>
    </row>
    <row r="2971" spans="1:15" x14ac:dyDescent="0.25">
      <c r="A2971" s="93" t="s">
        <v>207</v>
      </c>
      <c r="B2971" s="79" t="str">
        <f>IF(Twelfth!B224="", "",Twelfth!B224)</f>
        <v/>
      </c>
      <c r="C2971" s="66" t="str">
        <f>IF(Twelfth!C224="", "",Twelfth!C224)</f>
        <v/>
      </c>
      <c r="D2971" s="66" t="str">
        <f>IF(Twelfth!D224="", "",Twelfth!D224)</f>
        <v/>
      </c>
      <c r="E2971" s="66" t="str">
        <f>IF(Twelfth!E224="", "",Twelfth!E224)</f>
        <v/>
      </c>
      <c r="F2971" s="66" t="str">
        <f>IF(Twelfth!F224="", "",Twelfth!F224)</f>
        <v/>
      </c>
      <c r="G2971" s="66" t="str">
        <f>IF(Twelfth!G224="", "",Twelfth!G224)</f>
        <v/>
      </c>
      <c r="H2971" s="66" t="str">
        <f>IF(Twelfth!H224="", "",Twelfth!H224)</f>
        <v/>
      </c>
      <c r="I2971" s="66" t="str">
        <f>IF(Twelfth!I224="", "",Twelfth!I224)</f>
        <v/>
      </c>
      <c r="J2971" s="66" t="str">
        <f>IF(Twelfth!J224="", "",Twelfth!J224)</f>
        <v/>
      </c>
      <c r="K2971" s="86" t="str">
        <f>IF(Twelfth!K224="", "",Twelfth!K224)</f>
        <v/>
      </c>
      <c r="M2971" s="67" t="str">
        <f t="shared" si="140"/>
        <v/>
      </c>
      <c r="N2971" s="76" t="str">
        <f t="shared" si="141"/>
        <v/>
      </c>
      <c r="O2971" s="33">
        <f t="shared" si="139"/>
        <v>0</v>
      </c>
    </row>
    <row r="2972" spans="1:15" x14ac:dyDescent="0.25">
      <c r="A2972" s="93" t="s">
        <v>207</v>
      </c>
      <c r="B2972" s="79" t="str">
        <f>IF(Twelfth!B225="", "",Twelfth!B225)</f>
        <v/>
      </c>
      <c r="C2972" s="66" t="str">
        <f>IF(Twelfth!C225="", "",Twelfth!C225)</f>
        <v/>
      </c>
      <c r="D2972" s="66" t="str">
        <f>IF(Twelfth!D225="", "",Twelfth!D225)</f>
        <v/>
      </c>
      <c r="E2972" s="66" t="str">
        <f>IF(Twelfth!E225="", "",Twelfth!E225)</f>
        <v/>
      </c>
      <c r="F2972" s="66" t="str">
        <f>IF(Twelfth!F225="", "",Twelfth!F225)</f>
        <v/>
      </c>
      <c r="G2972" s="66" t="str">
        <f>IF(Twelfth!G225="", "",Twelfth!G225)</f>
        <v/>
      </c>
      <c r="H2972" s="66" t="str">
        <f>IF(Twelfth!H225="", "",Twelfth!H225)</f>
        <v/>
      </c>
      <c r="I2972" s="66" t="str">
        <f>IF(Twelfth!I225="", "",Twelfth!I225)</f>
        <v/>
      </c>
      <c r="J2972" s="66" t="str">
        <f>IF(Twelfth!J225="", "",Twelfth!J225)</f>
        <v/>
      </c>
      <c r="K2972" s="86" t="str">
        <f>IF(Twelfth!K225="", "",Twelfth!K225)</f>
        <v/>
      </c>
      <c r="M2972" s="67" t="str">
        <f t="shared" si="140"/>
        <v/>
      </c>
      <c r="N2972" s="76" t="str">
        <f t="shared" si="141"/>
        <v/>
      </c>
      <c r="O2972" s="33">
        <f t="shared" si="139"/>
        <v>0</v>
      </c>
    </row>
    <row r="2973" spans="1:15" x14ac:dyDescent="0.25">
      <c r="A2973" s="93" t="s">
        <v>207</v>
      </c>
      <c r="B2973" s="79" t="str">
        <f>IF(Twelfth!B226="", "",Twelfth!B226)</f>
        <v/>
      </c>
      <c r="C2973" s="66" t="str">
        <f>IF(Twelfth!C226="", "",Twelfth!C226)</f>
        <v/>
      </c>
      <c r="D2973" s="66" t="str">
        <f>IF(Twelfth!D226="", "",Twelfth!D226)</f>
        <v/>
      </c>
      <c r="E2973" s="66" t="str">
        <f>IF(Twelfth!E226="", "",Twelfth!E226)</f>
        <v/>
      </c>
      <c r="F2973" s="66" t="str">
        <f>IF(Twelfth!F226="", "",Twelfth!F226)</f>
        <v/>
      </c>
      <c r="G2973" s="66" t="str">
        <f>IF(Twelfth!G226="", "",Twelfth!G226)</f>
        <v/>
      </c>
      <c r="H2973" s="66" t="str">
        <f>IF(Twelfth!H226="", "",Twelfth!H226)</f>
        <v/>
      </c>
      <c r="I2973" s="66" t="str">
        <f>IF(Twelfth!I226="", "",Twelfth!I226)</f>
        <v/>
      </c>
      <c r="J2973" s="66" t="str">
        <f>IF(Twelfth!J226="", "",Twelfth!J226)</f>
        <v/>
      </c>
      <c r="K2973" s="86" t="str">
        <f>IF(Twelfth!K226="", "",Twelfth!K226)</f>
        <v/>
      </c>
      <c r="M2973" s="67" t="str">
        <f t="shared" si="140"/>
        <v/>
      </c>
      <c r="N2973" s="76" t="str">
        <f t="shared" si="141"/>
        <v/>
      </c>
      <c r="O2973" s="33">
        <f t="shared" si="139"/>
        <v>0</v>
      </c>
    </row>
    <row r="2974" spans="1:15" x14ac:dyDescent="0.25">
      <c r="A2974" s="93" t="s">
        <v>207</v>
      </c>
      <c r="B2974" s="79" t="str">
        <f>IF(Twelfth!B227="", "",Twelfth!B227)</f>
        <v/>
      </c>
      <c r="C2974" s="66" t="str">
        <f>IF(Twelfth!C227="", "",Twelfth!C227)</f>
        <v/>
      </c>
      <c r="D2974" s="66" t="str">
        <f>IF(Twelfth!D227="", "",Twelfth!D227)</f>
        <v/>
      </c>
      <c r="E2974" s="66" t="str">
        <f>IF(Twelfth!E227="", "",Twelfth!E227)</f>
        <v/>
      </c>
      <c r="F2974" s="66" t="str">
        <f>IF(Twelfth!F227="", "",Twelfth!F227)</f>
        <v/>
      </c>
      <c r="G2974" s="66" t="str">
        <f>IF(Twelfth!G227="", "",Twelfth!G227)</f>
        <v/>
      </c>
      <c r="H2974" s="66" t="str">
        <f>IF(Twelfth!H227="", "",Twelfth!H227)</f>
        <v/>
      </c>
      <c r="I2974" s="66" t="str">
        <f>IF(Twelfth!I227="", "",Twelfth!I227)</f>
        <v/>
      </c>
      <c r="J2974" s="66" t="str">
        <f>IF(Twelfth!J227="", "",Twelfth!J227)</f>
        <v/>
      </c>
      <c r="K2974" s="86" t="str">
        <f>IF(Twelfth!K227="", "",Twelfth!K227)</f>
        <v/>
      </c>
      <c r="M2974" s="67" t="str">
        <f t="shared" si="140"/>
        <v/>
      </c>
      <c r="N2974" s="76" t="str">
        <f t="shared" si="141"/>
        <v/>
      </c>
      <c r="O2974" s="33">
        <f t="shared" si="139"/>
        <v>0</v>
      </c>
    </row>
    <row r="2975" spans="1:15" x14ac:dyDescent="0.25">
      <c r="A2975" s="93" t="s">
        <v>207</v>
      </c>
      <c r="B2975" s="79" t="str">
        <f>IF(Twelfth!B228="", "",Twelfth!B228)</f>
        <v/>
      </c>
      <c r="C2975" s="66" t="str">
        <f>IF(Twelfth!C228="", "",Twelfth!C228)</f>
        <v/>
      </c>
      <c r="D2975" s="66" t="str">
        <f>IF(Twelfth!D228="", "",Twelfth!D228)</f>
        <v/>
      </c>
      <c r="E2975" s="66" t="str">
        <f>IF(Twelfth!E228="", "",Twelfth!E228)</f>
        <v/>
      </c>
      <c r="F2975" s="66" t="str">
        <f>IF(Twelfth!F228="", "",Twelfth!F228)</f>
        <v/>
      </c>
      <c r="G2975" s="66" t="str">
        <f>IF(Twelfth!G228="", "",Twelfth!G228)</f>
        <v/>
      </c>
      <c r="H2975" s="66" t="str">
        <f>IF(Twelfth!H228="", "",Twelfth!H228)</f>
        <v/>
      </c>
      <c r="I2975" s="66" t="str">
        <f>IF(Twelfth!I228="", "",Twelfth!I228)</f>
        <v/>
      </c>
      <c r="J2975" s="66" t="str">
        <f>IF(Twelfth!J228="", "",Twelfth!J228)</f>
        <v/>
      </c>
      <c r="K2975" s="86" t="str">
        <f>IF(Twelfth!K228="", "",Twelfth!K228)</f>
        <v/>
      </c>
      <c r="M2975" s="67" t="str">
        <f t="shared" si="140"/>
        <v/>
      </c>
      <c r="N2975" s="76" t="str">
        <f t="shared" si="141"/>
        <v/>
      </c>
      <c r="O2975" s="33">
        <f t="shared" si="139"/>
        <v>0</v>
      </c>
    </row>
    <row r="2976" spans="1:15" x14ac:dyDescent="0.25">
      <c r="A2976" s="93" t="s">
        <v>207</v>
      </c>
      <c r="B2976" s="79" t="str">
        <f>IF(Twelfth!B229="", "",Twelfth!B229)</f>
        <v/>
      </c>
      <c r="C2976" s="66" t="str">
        <f>IF(Twelfth!C229="", "",Twelfth!C229)</f>
        <v/>
      </c>
      <c r="D2976" s="66" t="str">
        <f>IF(Twelfth!D229="", "",Twelfth!D229)</f>
        <v/>
      </c>
      <c r="E2976" s="66" t="str">
        <f>IF(Twelfth!E229="", "",Twelfth!E229)</f>
        <v/>
      </c>
      <c r="F2976" s="66" t="str">
        <f>IF(Twelfth!F229="", "",Twelfth!F229)</f>
        <v/>
      </c>
      <c r="G2976" s="66" t="str">
        <f>IF(Twelfth!G229="", "",Twelfth!G229)</f>
        <v/>
      </c>
      <c r="H2976" s="66" t="str">
        <f>IF(Twelfth!H229="", "",Twelfth!H229)</f>
        <v/>
      </c>
      <c r="I2976" s="66" t="str">
        <f>IF(Twelfth!I229="", "",Twelfth!I229)</f>
        <v/>
      </c>
      <c r="J2976" s="66" t="str">
        <f>IF(Twelfth!J229="", "",Twelfth!J229)</f>
        <v/>
      </c>
      <c r="K2976" s="86" t="str">
        <f>IF(Twelfth!K229="", "",Twelfth!K229)</f>
        <v/>
      </c>
      <c r="M2976" s="67" t="str">
        <f t="shared" si="140"/>
        <v/>
      </c>
      <c r="N2976" s="76" t="str">
        <f t="shared" si="141"/>
        <v/>
      </c>
      <c r="O2976" s="33">
        <f t="shared" si="139"/>
        <v>0</v>
      </c>
    </row>
    <row r="2977" spans="1:15" x14ac:dyDescent="0.25">
      <c r="A2977" s="93" t="s">
        <v>207</v>
      </c>
      <c r="B2977" s="79" t="str">
        <f>IF(Twelfth!B230="", "",Twelfth!B230)</f>
        <v/>
      </c>
      <c r="C2977" s="66" t="str">
        <f>IF(Twelfth!C230="", "",Twelfth!C230)</f>
        <v/>
      </c>
      <c r="D2977" s="66" t="str">
        <f>IF(Twelfth!D230="", "",Twelfth!D230)</f>
        <v/>
      </c>
      <c r="E2977" s="66" t="str">
        <f>IF(Twelfth!E230="", "",Twelfth!E230)</f>
        <v/>
      </c>
      <c r="F2977" s="66" t="str">
        <f>IF(Twelfth!F230="", "",Twelfth!F230)</f>
        <v/>
      </c>
      <c r="G2977" s="66" t="str">
        <f>IF(Twelfth!G230="", "",Twelfth!G230)</f>
        <v/>
      </c>
      <c r="H2977" s="66" t="str">
        <f>IF(Twelfth!H230="", "",Twelfth!H230)</f>
        <v/>
      </c>
      <c r="I2977" s="66" t="str">
        <f>IF(Twelfth!I230="", "",Twelfth!I230)</f>
        <v/>
      </c>
      <c r="J2977" s="66" t="str">
        <f>IF(Twelfth!J230="", "",Twelfth!J230)</f>
        <v/>
      </c>
      <c r="K2977" s="86" t="str">
        <f>IF(Twelfth!K230="", "",Twelfth!K230)</f>
        <v/>
      </c>
      <c r="M2977" s="67" t="str">
        <f t="shared" si="140"/>
        <v/>
      </c>
      <c r="N2977" s="76" t="str">
        <f t="shared" si="141"/>
        <v/>
      </c>
      <c r="O2977" s="33">
        <f t="shared" si="139"/>
        <v>0</v>
      </c>
    </row>
    <row r="2978" spans="1:15" x14ac:dyDescent="0.25">
      <c r="A2978" s="93" t="s">
        <v>207</v>
      </c>
      <c r="B2978" s="79" t="str">
        <f>IF(Twelfth!B231="", "",Twelfth!B231)</f>
        <v/>
      </c>
      <c r="C2978" s="66" t="str">
        <f>IF(Twelfth!C231="", "",Twelfth!C231)</f>
        <v/>
      </c>
      <c r="D2978" s="66" t="str">
        <f>IF(Twelfth!D231="", "",Twelfth!D231)</f>
        <v/>
      </c>
      <c r="E2978" s="66" t="str">
        <f>IF(Twelfth!E231="", "",Twelfth!E231)</f>
        <v/>
      </c>
      <c r="F2978" s="66" t="str">
        <f>IF(Twelfth!F231="", "",Twelfth!F231)</f>
        <v/>
      </c>
      <c r="G2978" s="66" t="str">
        <f>IF(Twelfth!G231="", "",Twelfth!G231)</f>
        <v/>
      </c>
      <c r="H2978" s="66" t="str">
        <f>IF(Twelfth!H231="", "",Twelfth!H231)</f>
        <v/>
      </c>
      <c r="I2978" s="66" t="str">
        <f>IF(Twelfth!I231="", "",Twelfth!I231)</f>
        <v/>
      </c>
      <c r="J2978" s="66" t="str">
        <f>IF(Twelfth!J231="", "",Twelfth!J231)</f>
        <v/>
      </c>
      <c r="K2978" s="86" t="str">
        <f>IF(Twelfth!K231="", "",Twelfth!K231)</f>
        <v/>
      </c>
      <c r="M2978" s="67" t="str">
        <f t="shared" si="140"/>
        <v/>
      </c>
      <c r="N2978" s="76" t="str">
        <f t="shared" si="141"/>
        <v/>
      </c>
      <c r="O2978" s="33">
        <f t="shared" si="139"/>
        <v>0</v>
      </c>
    </row>
    <row r="2979" spans="1:15" x14ac:dyDescent="0.25">
      <c r="A2979" s="93" t="s">
        <v>207</v>
      </c>
      <c r="B2979" s="79" t="str">
        <f>IF(Twelfth!B232="", "",Twelfth!B232)</f>
        <v/>
      </c>
      <c r="C2979" s="66" t="str">
        <f>IF(Twelfth!C232="", "",Twelfth!C232)</f>
        <v/>
      </c>
      <c r="D2979" s="66" t="str">
        <f>IF(Twelfth!D232="", "",Twelfth!D232)</f>
        <v/>
      </c>
      <c r="E2979" s="66" t="str">
        <f>IF(Twelfth!E232="", "",Twelfth!E232)</f>
        <v/>
      </c>
      <c r="F2979" s="66" t="str">
        <f>IF(Twelfth!F232="", "",Twelfth!F232)</f>
        <v/>
      </c>
      <c r="G2979" s="66" t="str">
        <f>IF(Twelfth!G232="", "",Twelfth!G232)</f>
        <v/>
      </c>
      <c r="H2979" s="66" t="str">
        <f>IF(Twelfth!H232="", "",Twelfth!H232)</f>
        <v/>
      </c>
      <c r="I2979" s="66" t="str">
        <f>IF(Twelfth!I232="", "",Twelfth!I232)</f>
        <v/>
      </c>
      <c r="J2979" s="66" t="str">
        <f>IF(Twelfth!J232="", "",Twelfth!J232)</f>
        <v/>
      </c>
      <c r="K2979" s="86" t="str">
        <f>IF(Twelfth!K232="", "",Twelfth!K232)</f>
        <v/>
      </c>
      <c r="M2979" s="67" t="str">
        <f t="shared" si="140"/>
        <v/>
      </c>
      <c r="N2979" s="76" t="str">
        <f t="shared" si="141"/>
        <v/>
      </c>
      <c r="O2979" s="33">
        <f t="shared" si="139"/>
        <v>0</v>
      </c>
    </row>
    <row r="2980" spans="1:15" x14ac:dyDescent="0.25">
      <c r="A2980" s="93" t="s">
        <v>207</v>
      </c>
      <c r="B2980" s="79" t="str">
        <f>IF(Twelfth!B233="", "",Twelfth!B233)</f>
        <v/>
      </c>
      <c r="C2980" s="66" t="str">
        <f>IF(Twelfth!C233="", "",Twelfth!C233)</f>
        <v/>
      </c>
      <c r="D2980" s="66" t="str">
        <f>IF(Twelfth!D233="", "",Twelfth!D233)</f>
        <v/>
      </c>
      <c r="E2980" s="66" t="str">
        <f>IF(Twelfth!E233="", "",Twelfth!E233)</f>
        <v/>
      </c>
      <c r="F2980" s="66" t="str">
        <f>IF(Twelfth!F233="", "",Twelfth!F233)</f>
        <v/>
      </c>
      <c r="G2980" s="66" t="str">
        <f>IF(Twelfth!G233="", "",Twelfth!G233)</f>
        <v/>
      </c>
      <c r="H2980" s="66" t="str">
        <f>IF(Twelfth!H233="", "",Twelfth!H233)</f>
        <v/>
      </c>
      <c r="I2980" s="66" t="str">
        <f>IF(Twelfth!I233="", "",Twelfth!I233)</f>
        <v/>
      </c>
      <c r="J2980" s="66" t="str">
        <f>IF(Twelfth!J233="", "",Twelfth!J233)</f>
        <v/>
      </c>
      <c r="K2980" s="86" t="str">
        <f>IF(Twelfth!K233="", "",Twelfth!K233)</f>
        <v/>
      </c>
      <c r="M2980" s="67" t="str">
        <f t="shared" si="140"/>
        <v/>
      </c>
      <c r="N2980" s="76" t="str">
        <f t="shared" si="141"/>
        <v/>
      </c>
      <c r="O2980" s="33">
        <f t="shared" si="139"/>
        <v>0</v>
      </c>
    </row>
    <row r="2981" spans="1:15" x14ac:dyDescent="0.25">
      <c r="A2981" s="93" t="s">
        <v>207</v>
      </c>
      <c r="B2981" s="79" t="str">
        <f>IF(Twelfth!B234="", "",Twelfth!B234)</f>
        <v/>
      </c>
      <c r="C2981" s="66" t="str">
        <f>IF(Twelfth!C234="", "",Twelfth!C234)</f>
        <v/>
      </c>
      <c r="D2981" s="66" t="str">
        <f>IF(Twelfth!D234="", "",Twelfth!D234)</f>
        <v/>
      </c>
      <c r="E2981" s="66" t="str">
        <f>IF(Twelfth!E234="", "",Twelfth!E234)</f>
        <v/>
      </c>
      <c r="F2981" s="66" t="str">
        <f>IF(Twelfth!F234="", "",Twelfth!F234)</f>
        <v/>
      </c>
      <c r="G2981" s="66" t="str">
        <f>IF(Twelfth!G234="", "",Twelfth!G234)</f>
        <v/>
      </c>
      <c r="H2981" s="66" t="str">
        <f>IF(Twelfth!H234="", "",Twelfth!H234)</f>
        <v/>
      </c>
      <c r="I2981" s="66" t="str">
        <f>IF(Twelfth!I234="", "",Twelfth!I234)</f>
        <v/>
      </c>
      <c r="J2981" s="66" t="str">
        <f>IF(Twelfth!J234="", "",Twelfth!J234)</f>
        <v/>
      </c>
      <c r="K2981" s="86" t="str">
        <f>IF(Twelfth!K234="", "",Twelfth!K234)</f>
        <v/>
      </c>
      <c r="M2981" s="67" t="str">
        <f t="shared" si="140"/>
        <v/>
      </c>
      <c r="N2981" s="76" t="str">
        <f t="shared" si="141"/>
        <v/>
      </c>
      <c r="O2981" s="33">
        <f t="shared" si="139"/>
        <v>0</v>
      </c>
    </row>
    <row r="2982" spans="1:15" x14ac:dyDescent="0.25">
      <c r="A2982" s="93" t="s">
        <v>207</v>
      </c>
      <c r="B2982" s="79" t="str">
        <f>IF(Twelfth!B235="", "",Twelfth!B235)</f>
        <v/>
      </c>
      <c r="C2982" s="66" t="str">
        <f>IF(Twelfth!C235="", "",Twelfth!C235)</f>
        <v/>
      </c>
      <c r="D2982" s="66" t="str">
        <f>IF(Twelfth!D235="", "",Twelfth!D235)</f>
        <v/>
      </c>
      <c r="E2982" s="66" t="str">
        <f>IF(Twelfth!E235="", "",Twelfth!E235)</f>
        <v/>
      </c>
      <c r="F2982" s="66" t="str">
        <f>IF(Twelfth!F235="", "",Twelfth!F235)</f>
        <v/>
      </c>
      <c r="G2982" s="66" t="str">
        <f>IF(Twelfth!G235="", "",Twelfth!G235)</f>
        <v/>
      </c>
      <c r="H2982" s="66" t="str">
        <f>IF(Twelfth!H235="", "",Twelfth!H235)</f>
        <v/>
      </c>
      <c r="I2982" s="66" t="str">
        <f>IF(Twelfth!I235="", "",Twelfth!I235)</f>
        <v/>
      </c>
      <c r="J2982" s="66" t="str">
        <f>IF(Twelfth!J235="", "",Twelfth!J235)</f>
        <v/>
      </c>
      <c r="K2982" s="86" t="str">
        <f>IF(Twelfth!K235="", "",Twelfth!K235)</f>
        <v/>
      </c>
      <c r="M2982" s="67" t="str">
        <f t="shared" si="140"/>
        <v/>
      </c>
      <c r="N2982" s="76" t="str">
        <f t="shared" si="141"/>
        <v/>
      </c>
      <c r="O2982" s="33">
        <f t="shared" si="139"/>
        <v>0</v>
      </c>
    </row>
    <row r="2983" spans="1:15" x14ac:dyDescent="0.25">
      <c r="A2983" s="93" t="s">
        <v>207</v>
      </c>
      <c r="B2983" s="79" t="str">
        <f>IF(Twelfth!B236="", "",Twelfth!B236)</f>
        <v/>
      </c>
      <c r="C2983" s="66" t="str">
        <f>IF(Twelfth!C236="", "",Twelfth!C236)</f>
        <v/>
      </c>
      <c r="D2983" s="66" t="str">
        <f>IF(Twelfth!D236="", "",Twelfth!D236)</f>
        <v/>
      </c>
      <c r="E2983" s="66" t="str">
        <f>IF(Twelfth!E236="", "",Twelfth!E236)</f>
        <v/>
      </c>
      <c r="F2983" s="66" t="str">
        <f>IF(Twelfth!F236="", "",Twelfth!F236)</f>
        <v/>
      </c>
      <c r="G2983" s="66" t="str">
        <f>IF(Twelfth!G236="", "",Twelfth!G236)</f>
        <v/>
      </c>
      <c r="H2983" s="66" t="str">
        <f>IF(Twelfth!H236="", "",Twelfth!H236)</f>
        <v/>
      </c>
      <c r="I2983" s="66" t="str">
        <f>IF(Twelfth!I236="", "",Twelfth!I236)</f>
        <v/>
      </c>
      <c r="J2983" s="66" t="str">
        <f>IF(Twelfth!J236="", "",Twelfth!J236)</f>
        <v/>
      </c>
      <c r="K2983" s="86" t="str">
        <f>IF(Twelfth!K236="", "",Twelfth!K236)</f>
        <v/>
      </c>
      <c r="M2983" s="67" t="str">
        <f t="shared" si="140"/>
        <v/>
      </c>
      <c r="N2983" s="76" t="str">
        <f t="shared" si="141"/>
        <v/>
      </c>
      <c r="O2983" s="33">
        <f t="shared" si="139"/>
        <v>0</v>
      </c>
    </row>
    <row r="2984" spans="1:15" x14ac:dyDescent="0.25">
      <c r="A2984" s="93" t="s">
        <v>207</v>
      </c>
      <c r="B2984" s="79" t="str">
        <f>IF(Twelfth!B237="", "",Twelfth!B237)</f>
        <v/>
      </c>
      <c r="C2984" s="66" t="str">
        <f>IF(Twelfth!C237="", "",Twelfth!C237)</f>
        <v/>
      </c>
      <c r="D2984" s="66" t="str">
        <f>IF(Twelfth!D237="", "",Twelfth!D237)</f>
        <v/>
      </c>
      <c r="E2984" s="66" t="str">
        <f>IF(Twelfth!E237="", "",Twelfth!E237)</f>
        <v/>
      </c>
      <c r="F2984" s="66" t="str">
        <f>IF(Twelfth!F237="", "",Twelfth!F237)</f>
        <v/>
      </c>
      <c r="G2984" s="66" t="str">
        <f>IF(Twelfth!G237="", "",Twelfth!G237)</f>
        <v/>
      </c>
      <c r="H2984" s="66" t="str">
        <f>IF(Twelfth!H237="", "",Twelfth!H237)</f>
        <v/>
      </c>
      <c r="I2984" s="66" t="str">
        <f>IF(Twelfth!I237="", "",Twelfth!I237)</f>
        <v/>
      </c>
      <c r="J2984" s="66" t="str">
        <f>IF(Twelfth!J237="", "",Twelfth!J237)</f>
        <v/>
      </c>
      <c r="K2984" s="86" t="str">
        <f>IF(Twelfth!K237="", "",Twelfth!K237)</f>
        <v/>
      </c>
      <c r="M2984" s="67" t="str">
        <f t="shared" si="140"/>
        <v/>
      </c>
      <c r="N2984" s="76" t="str">
        <f t="shared" si="141"/>
        <v/>
      </c>
      <c r="O2984" s="33">
        <f t="shared" si="139"/>
        <v>0</v>
      </c>
    </row>
    <row r="2985" spans="1:15" x14ac:dyDescent="0.25">
      <c r="A2985" s="93" t="s">
        <v>207</v>
      </c>
      <c r="B2985" s="79" t="str">
        <f>IF(Twelfth!B238="", "",Twelfth!B238)</f>
        <v/>
      </c>
      <c r="C2985" s="66" t="str">
        <f>IF(Twelfth!C238="", "",Twelfth!C238)</f>
        <v/>
      </c>
      <c r="D2985" s="66" t="str">
        <f>IF(Twelfth!D238="", "",Twelfth!D238)</f>
        <v/>
      </c>
      <c r="E2985" s="66" t="str">
        <f>IF(Twelfth!E238="", "",Twelfth!E238)</f>
        <v/>
      </c>
      <c r="F2985" s="66" t="str">
        <f>IF(Twelfth!F238="", "",Twelfth!F238)</f>
        <v/>
      </c>
      <c r="G2985" s="66" t="str">
        <f>IF(Twelfth!G238="", "",Twelfth!G238)</f>
        <v/>
      </c>
      <c r="H2985" s="66" t="str">
        <f>IF(Twelfth!H238="", "",Twelfth!H238)</f>
        <v/>
      </c>
      <c r="I2985" s="66" t="str">
        <f>IF(Twelfth!I238="", "",Twelfth!I238)</f>
        <v/>
      </c>
      <c r="J2985" s="66" t="str">
        <f>IF(Twelfth!J238="", "",Twelfth!J238)</f>
        <v/>
      </c>
      <c r="K2985" s="86" t="str">
        <f>IF(Twelfth!K238="", "",Twelfth!K238)</f>
        <v/>
      </c>
      <c r="M2985" s="67" t="str">
        <f t="shared" si="140"/>
        <v/>
      </c>
      <c r="N2985" s="76" t="str">
        <f t="shared" si="141"/>
        <v/>
      </c>
      <c r="O2985" s="33">
        <f t="shared" si="139"/>
        <v>0</v>
      </c>
    </row>
    <row r="2986" spans="1:15" x14ac:dyDescent="0.25">
      <c r="A2986" s="93" t="s">
        <v>207</v>
      </c>
      <c r="B2986" s="79" t="str">
        <f>IF(Twelfth!B239="", "",Twelfth!B239)</f>
        <v/>
      </c>
      <c r="C2986" s="66" t="str">
        <f>IF(Twelfth!C239="", "",Twelfth!C239)</f>
        <v/>
      </c>
      <c r="D2986" s="66" t="str">
        <f>IF(Twelfth!D239="", "",Twelfth!D239)</f>
        <v/>
      </c>
      <c r="E2986" s="66" t="str">
        <f>IF(Twelfth!E239="", "",Twelfth!E239)</f>
        <v/>
      </c>
      <c r="F2986" s="66" t="str">
        <f>IF(Twelfth!F239="", "",Twelfth!F239)</f>
        <v/>
      </c>
      <c r="G2986" s="66" t="str">
        <f>IF(Twelfth!G239="", "",Twelfth!G239)</f>
        <v/>
      </c>
      <c r="H2986" s="66" t="str">
        <f>IF(Twelfth!H239="", "",Twelfth!H239)</f>
        <v/>
      </c>
      <c r="I2986" s="66" t="str">
        <f>IF(Twelfth!I239="", "",Twelfth!I239)</f>
        <v/>
      </c>
      <c r="J2986" s="66" t="str">
        <f>IF(Twelfth!J239="", "",Twelfth!J239)</f>
        <v/>
      </c>
      <c r="K2986" s="86" t="str">
        <f>IF(Twelfth!K239="", "",Twelfth!K239)</f>
        <v/>
      </c>
      <c r="M2986" s="67" t="str">
        <f t="shared" si="140"/>
        <v/>
      </c>
      <c r="N2986" s="76" t="str">
        <f t="shared" si="141"/>
        <v/>
      </c>
      <c r="O2986" s="33">
        <f t="shared" si="139"/>
        <v>0</v>
      </c>
    </row>
    <row r="2987" spans="1:15" x14ac:dyDescent="0.25">
      <c r="A2987" s="93" t="s">
        <v>207</v>
      </c>
      <c r="B2987" s="79" t="str">
        <f>IF(Twelfth!B240="", "",Twelfth!B240)</f>
        <v/>
      </c>
      <c r="C2987" s="66" t="str">
        <f>IF(Twelfth!C240="", "",Twelfth!C240)</f>
        <v/>
      </c>
      <c r="D2987" s="66" t="str">
        <f>IF(Twelfth!D240="", "",Twelfth!D240)</f>
        <v/>
      </c>
      <c r="E2987" s="66" t="str">
        <f>IF(Twelfth!E240="", "",Twelfth!E240)</f>
        <v/>
      </c>
      <c r="F2987" s="66" t="str">
        <f>IF(Twelfth!F240="", "",Twelfth!F240)</f>
        <v/>
      </c>
      <c r="G2987" s="66" t="str">
        <f>IF(Twelfth!G240="", "",Twelfth!G240)</f>
        <v/>
      </c>
      <c r="H2987" s="66" t="str">
        <f>IF(Twelfth!H240="", "",Twelfth!H240)</f>
        <v/>
      </c>
      <c r="I2987" s="66" t="str">
        <f>IF(Twelfth!I240="", "",Twelfth!I240)</f>
        <v/>
      </c>
      <c r="J2987" s="66" t="str">
        <f>IF(Twelfth!J240="", "",Twelfth!J240)</f>
        <v/>
      </c>
      <c r="K2987" s="86" t="str">
        <f>IF(Twelfth!K240="", "",Twelfth!K240)</f>
        <v/>
      </c>
      <c r="M2987" s="67" t="str">
        <f t="shared" si="140"/>
        <v/>
      </c>
      <c r="N2987" s="76" t="str">
        <f t="shared" si="141"/>
        <v/>
      </c>
      <c r="O2987" s="33">
        <f t="shared" si="139"/>
        <v>0</v>
      </c>
    </row>
    <row r="2988" spans="1:15" x14ac:dyDescent="0.25">
      <c r="A2988" s="93" t="s">
        <v>207</v>
      </c>
      <c r="B2988" s="79" t="str">
        <f>IF(Twelfth!B241="", "",Twelfth!B241)</f>
        <v/>
      </c>
      <c r="C2988" s="66" t="str">
        <f>IF(Twelfth!C241="", "",Twelfth!C241)</f>
        <v/>
      </c>
      <c r="D2988" s="66" t="str">
        <f>IF(Twelfth!D241="", "",Twelfth!D241)</f>
        <v/>
      </c>
      <c r="E2988" s="66" t="str">
        <f>IF(Twelfth!E241="", "",Twelfth!E241)</f>
        <v/>
      </c>
      <c r="F2988" s="66" t="str">
        <f>IF(Twelfth!F241="", "",Twelfth!F241)</f>
        <v/>
      </c>
      <c r="G2988" s="66" t="str">
        <f>IF(Twelfth!G241="", "",Twelfth!G241)</f>
        <v/>
      </c>
      <c r="H2988" s="66" t="str">
        <f>IF(Twelfth!H241="", "",Twelfth!H241)</f>
        <v/>
      </c>
      <c r="I2988" s="66" t="str">
        <f>IF(Twelfth!I241="", "",Twelfth!I241)</f>
        <v/>
      </c>
      <c r="J2988" s="66" t="str">
        <f>IF(Twelfth!J241="", "",Twelfth!J241)</f>
        <v/>
      </c>
      <c r="K2988" s="86" t="str">
        <f>IF(Twelfth!K241="", "",Twelfth!K241)</f>
        <v/>
      </c>
      <c r="M2988" s="67" t="str">
        <f t="shared" si="140"/>
        <v/>
      </c>
      <c r="N2988" s="76" t="str">
        <f t="shared" si="141"/>
        <v/>
      </c>
      <c r="O2988" s="33">
        <f t="shared" si="139"/>
        <v>0</v>
      </c>
    </row>
    <row r="2989" spans="1:15" x14ac:dyDescent="0.25">
      <c r="A2989" s="93" t="s">
        <v>207</v>
      </c>
      <c r="B2989" s="79" t="str">
        <f>IF(Twelfth!B242="", "",Twelfth!B242)</f>
        <v/>
      </c>
      <c r="C2989" s="66" t="str">
        <f>IF(Twelfth!C242="", "",Twelfth!C242)</f>
        <v/>
      </c>
      <c r="D2989" s="66" t="str">
        <f>IF(Twelfth!D242="", "",Twelfth!D242)</f>
        <v/>
      </c>
      <c r="E2989" s="66" t="str">
        <f>IF(Twelfth!E242="", "",Twelfth!E242)</f>
        <v/>
      </c>
      <c r="F2989" s="66" t="str">
        <f>IF(Twelfth!F242="", "",Twelfth!F242)</f>
        <v/>
      </c>
      <c r="G2989" s="66" t="str">
        <f>IF(Twelfth!G242="", "",Twelfth!G242)</f>
        <v/>
      </c>
      <c r="H2989" s="66" t="str">
        <f>IF(Twelfth!H242="", "",Twelfth!H242)</f>
        <v/>
      </c>
      <c r="I2989" s="66" t="str">
        <f>IF(Twelfth!I242="", "",Twelfth!I242)</f>
        <v/>
      </c>
      <c r="J2989" s="66" t="str">
        <f>IF(Twelfth!J242="", "",Twelfth!J242)</f>
        <v/>
      </c>
      <c r="K2989" s="86" t="str">
        <f>IF(Twelfth!K242="", "",Twelfth!K242)</f>
        <v/>
      </c>
      <c r="M2989" s="67" t="str">
        <f t="shared" si="140"/>
        <v/>
      </c>
      <c r="N2989" s="76" t="str">
        <f t="shared" si="141"/>
        <v/>
      </c>
      <c r="O2989" s="33">
        <f t="shared" si="139"/>
        <v>0</v>
      </c>
    </row>
    <row r="2990" spans="1:15" x14ac:dyDescent="0.25">
      <c r="A2990" s="93" t="s">
        <v>207</v>
      </c>
      <c r="B2990" s="79" t="str">
        <f>IF(Twelfth!B243="", "",Twelfth!B243)</f>
        <v/>
      </c>
      <c r="C2990" s="66" t="str">
        <f>IF(Twelfth!C243="", "",Twelfth!C243)</f>
        <v/>
      </c>
      <c r="D2990" s="66" t="str">
        <f>IF(Twelfth!D243="", "",Twelfth!D243)</f>
        <v/>
      </c>
      <c r="E2990" s="66" t="str">
        <f>IF(Twelfth!E243="", "",Twelfth!E243)</f>
        <v/>
      </c>
      <c r="F2990" s="66" t="str">
        <f>IF(Twelfth!F243="", "",Twelfth!F243)</f>
        <v/>
      </c>
      <c r="G2990" s="66" t="str">
        <f>IF(Twelfth!G243="", "",Twelfth!G243)</f>
        <v/>
      </c>
      <c r="H2990" s="66" t="str">
        <f>IF(Twelfth!H243="", "",Twelfth!H243)</f>
        <v/>
      </c>
      <c r="I2990" s="66" t="str">
        <f>IF(Twelfth!I243="", "",Twelfth!I243)</f>
        <v/>
      </c>
      <c r="J2990" s="66" t="str">
        <f>IF(Twelfth!J243="", "",Twelfth!J243)</f>
        <v/>
      </c>
      <c r="K2990" s="86" t="str">
        <f>IF(Twelfth!K243="", "",Twelfth!K243)</f>
        <v/>
      </c>
      <c r="M2990" s="67" t="str">
        <f t="shared" si="140"/>
        <v/>
      </c>
      <c r="N2990" s="76" t="str">
        <f t="shared" si="141"/>
        <v/>
      </c>
      <c r="O2990" s="33">
        <f t="shared" si="139"/>
        <v>0</v>
      </c>
    </row>
    <row r="2991" spans="1:15" x14ac:dyDescent="0.25">
      <c r="A2991" s="93" t="s">
        <v>207</v>
      </c>
      <c r="B2991" s="79" t="str">
        <f>IF(Twelfth!B244="", "",Twelfth!B244)</f>
        <v/>
      </c>
      <c r="C2991" s="66" t="str">
        <f>IF(Twelfth!C244="", "",Twelfth!C244)</f>
        <v/>
      </c>
      <c r="D2991" s="66" t="str">
        <f>IF(Twelfth!D244="", "",Twelfth!D244)</f>
        <v/>
      </c>
      <c r="E2991" s="66" t="str">
        <f>IF(Twelfth!E244="", "",Twelfth!E244)</f>
        <v/>
      </c>
      <c r="F2991" s="66" t="str">
        <f>IF(Twelfth!F244="", "",Twelfth!F244)</f>
        <v/>
      </c>
      <c r="G2991" s="66" t="str">
        <f>IF(Twelfth!G244="", "",Twelfth!G244)</f>
        <v/>
      </c>
      <c r="H2991" s="66" t="str">
        <f>IF(Twelfth!H244="", "",Twelfth!H244)</f>
        <v/>
      </c>
      <c r="I2991" s="66" t="str">
        <f>IF(Twelfth!I244="", "",Twelfth!I244)</f>
        <v/>
      </c>
      <c r="J2991" s="66" t="str">
        <f>IF(Twelfth!J244="", "",Twelfth!J244)</f>
        <v/>
      </c>
      <c r="K2991" s="86" t="str">
        <f>IF(Twelfth!K244="", "",Twelfth!K244)</f>
        <v/>
      </c>
      <c r="M2991" s="67" t="str">
        <f t="shared" si="140"/>
        <v/>
      </c>
      <c r="N2991" s="76" t="str">
        <f t="shared" si="141"/>
        <v/>
      </c>
      <c r="O2991" s="33">
        <f t="shared" si="139"/>
        <v>0</v>
      </c>
    </row>
    <row r="2992" spans="1:15" x14ac:dyDescent="0.25">
      <c r="A2992" s="93" t="s">
        <v>207</v>
      </c>
      <c r="B2992" s="79" t="str">
        <f>IF(Twelfth!B245="", "",Twelfth!B245)</f>
        <v/>
      </c>
      <c r="C2992" s="66" t="str">
        <f>IF(Twelfth!C245="", "",Twelfth!C245)</f>
        <v/>
      </c>
      <c r="D2992" s="66" t="str">
        <f>IF(Twelfth!D245="", "",Twelfth!D245)</f>
        <v/>
      </c>
      <c r="E2992" s="66" t="str">
        <f>IF(Twelfth!E245="", "",Twelfth!E245)</f>
        <v/>
      </c>
      <c r="F2992" s="66" t="str">
        <f>IF(Twelfth!F245="", "",Twelfth!F245)</f>
        <v/>
      </c>
      <c r="G2992" s="66" t="str">
        <f>IF(Twelfth!G245="", "",Twelfth!G245)</f>
        <v/>
      </c>
      <c r="H2992" s="66" t="str">
        <f>IF(Twelfth!H245="", "",Twelfth!H245)</f>
        <v/>
      </c>
      <c r="I2992" s="66" t="str">
        <f>IF(Twelfth!I245="", "",Twelfth!I245)</f>
        <v/>
      </c>
      <c r="J2992" s="66" t="str">
        <f>IF(Twelfth!J245="", "",Twelfth!J245)</f>
        <v/>
      </c>
      <c r="K2992" s="86" t="str">
        <f>IF(Twelfth!K245="", "",Twelfth!K245)</f>
        <v/>
      </c>
      <c r="M2992" s="67" t="str">
        <f t="shared" si="140"/>
        <v/>
      </c>
      <c r="N2992" s="76" t="str">
        <f t="shared" si="141"/>
        <v/>
      </c>
      <c r="O2992" s="33">
        <f t="shared" si="139"/>
        <v>0</v>
      </c>
    </row>
    <row r="2993" spans="1:15" x14ac:dyDescent="0.25">
      <c r="A2993" s="93" t="s">
        <v>207</v>
      </c>
      <c r="B2993" s="79" t="str">
        <f>IF(Twelfth!B246="", "",Twelfth!B246)</f>
        <v/>
      </c>
      <c r="C2993" s="66" t="str">
        <f>IF(Twelfth!C246="", "",Twelfth!C246)</f>
        <v/>
      </c>
      <c r="D2993" s="66" t="str">
        <f>IF(Twelfth!D246="", "",Twelfth!D246)</f>
        <v/>
      </c>
      <c r="E2993" s="66" t="str">
        <f>IF(Twelfth!E246="", "",Twelfth!E246)</f>
        <v/>
      </c>
      <c r="F2993" s="66" t="str">
        <f>IF(Twelfth!F246="", "",Twelfth!F246)</f>
        <v/>
      </c>
      <c r="G2993" s="66" t="str">
        <f>IF(Twelfth!G246="", "",Twelfth!G246)</f>
        <v/>
      </c>
      <c r="H2993" s="66" t="str">
        <f>IF(Twelfth!H246="", "",Twelfth!H246)</f>
        <v/>
      </c>
      <c r="I2993" s="66" t="str">
        <f>IF(Twelfth!I246="", "",Twelfth!I246)</f>
        <v/>
      </c>
      <c r="J2993" s="66" t="str">
        <f>IF(Twelfth!J246="", "",Twelfth!J246)</f>
        <v/>
      </c>
      <c r="K2993" s="86" t="str">
        <f>IF(Twelfth!K246="", "",Twelfth!K246)</f>
        <v/>
      </c>
      <c r="M2993" s="67" t="str">
        <f t="shared" si="140"/>
        <v/>
      </c>
      <c r="N2993" s="76" t="str">
        <f t="shared" si="141"/>
        <v/>
      </c>
      <c r="O2993" s="33">
        <f t="shared" si="139"/>
        <v>0</v>
      </c>
    </row>
    <row r="2994" spans="1:15" x14ac:dyDescent="0.25">
      <c r="A2994" s="93" t="s">
        <v>207</v>
      </c>
      <c r="B2994" s="79" t="str">
        <f>IF(Twelfth!B247="", "",Twelfth!B247)</f>
        <v/>
      </c>
      <c r="C2994" s="66" t="str">
        <f>IF(Twelfth!C247="", "",Twelfth!C247)</f>
        <v/>
      </c>
      <c r="D2994" s="66" t="str">
        <f>IF(Twelfth!D247="", "",Twelfth!D247)</f>
        <v/>
      </c>
      <c r="E2994" s="66" t="str">
        <f>IF(Twelfth!E247="", "",Twelfth!E247)</f>
        <v/>
      </c>
      <c r="F2994" s="66" t="str">
        <f>IF(Twelfth!F247="", "",Twelfth!F247)</f>
        <v/>
      </c>
      <c r="G2994" s="66" t="str">
        <f>IF(Twelfth!G247="", "",Twelfth!G247)</f>
        <v/>
      </c>
      <c r="H2994" s="66" t="str">
        <f>IF(Twelfth!H247="", "",Twelfth!H247)</f>
        <v/>
      </c>
      <c r="I2994" s="66" t="str">
        <f>IF(Twelfth!I247="", "",Twelfth!I247)</f>
        <v/>
      </c>
      <c r="J2994" s="66" t="str">
        <f>IF(Twelfth!J247="", "",Twelfth!J247)</f>
        <v/>
      </c>
      <c r="K2994" s="86" t="str">
        <f>IF(Twelfth!K247="", "",Twelfth!K247)</f>
        <v/>
      </c>
      <c r="M2994" s="67" t="str">
        <f t="shared" si="140"/>
        <v/>
      </c>
      <c r="N2994" s="76" t="str">
        <f t="shared" si="141"/>
        <v/>
      </c>
      <c r="O2994" s="33">
        <f t="shared" si="139"/>
        <v>0</v>
      </c>
    </row>
    <row r="2995" spans="1:15" x14ac:dyDescent="0.25">
      <c r="A2995" s="93" t="s">
        <v>207</v>
      </c>
      <c r="B2995" s="79" t="str">
        <f>IF(Twelfth!B248="", "",Twelfth!B248)</f>
        <v/>
      </c>
      <c r="C2995" s="66" t="str">
        <f>IF(Twelfth!C248="", "",Twelfth!C248)</f>
        <v/>
      </c>
      <c r="D2995" s="66" t="str">
        <f>IF(Twelfth!D248="", "",Twelfth!D248)</f>
        <v/>
      </c>
      <c r="E2995" s="66" t="str">
        <f>IF(Twelfth!E248="", "",Twelfth!E248)</f>
        <v/>
      </c>
      <c r="F2995" s="66" t="str">
        <f>IF(Twelfth!F248="", "",Twelfth!F248)</f>
        <v/>
      </c>
      <c r="G2995" s="66" t="str">
        <f>IF(Twelfth!G248="", "",Twelfth!G248)</f>
        <v/>
      </c>
      <c r="H2995" s="66" t="str">
        <f>IF(Twelfth!H248="", "",Twelfth!H248)</f>
        <v/>
      </c>
      <c r="I2995" s="66" t="str">
        <f>IF(Twelfth!I248="", "",Twelfth!I248)</f>
        <v/>
      </c>
      <c r="J2995" s="66" t="str">
        <f>IF(Twelfth!J248="", "",Twelfth!J248)</f>
        <v/>
      </c>
      <c r="K2995" s="86" t="str">
        <f>IF(Twelfth!K248="", "",Twelfth!K248)</f>
        <v/>
      </c>
      <c r="M2995" s="67" t="str">
        <f t="shared" si="140"/>
        <v/>
      </c>
      <c r="N2995" s="76" t="str">
        <f t="shared" si="141"/>
        <v/>
      </c>
      <c r="O2995" s="33">
        <f t="shared" si="139"/>
        <v>0</v>
      </c>
    </row>
    <row r="2996" spans="1:15" x14ac:dyDescent="0.25">
      <c r="A2996" s="93" t="s">
        <v>207</v>
      </c>
      <c r="B2996" s="79" t="str">
        <f>IF(Twelfth!B249="", "",Twelfth!B249)</f>
        <v/>
      </c>
      <c r="C2996" s="66" t="str">
        <f>IF(Twelfth!C249="", "",Twelfth!C249)</f>
        <v/>
      </c>
      <c r="D2996" s="66" t="str">
        <f>IF(Twelfth!D249="", "",Twelfth!D249)</f>
        <v/>
      </c>
      <c r="E2996" s="66" t="str">
        <f>IF(Twelfth!E249="", "",Twelfth!E249)</f>
        <v/>
      </c>
      <c r="F2996" s="66" t="str">
        <f>IF(Twelfth!F249="", "",Twelfth!F249)</f>
        <v/>
      </c>
      <c r="G2996" s="66" t="str">
        <f>IF(Twelfth!G249="", "",Twelfth!G249)</f>
        <v/>
      </c>
      <c r="H2996" s="66" t="str">
        <f>IF(Twelfth!H249="", "",Twelfth!H249)</f>
        <v/>
      </c>
      <c r="I2996" s="66" t="str">
        <f>IF(Twelfth!I249="", "",Twelfth!I249)</f>
        <v/>
      </c>
      <c r="J2996" s="66" t="str">
        <f>IF(Twelfth!J249="", "",Twelfth!J249)</f>
        <v/>
      </c>
      <c r="K2996" s="86" t="str">
        <f>IF(Twelfth!K249="", "",Twelfth!K249)</f>
        <v/>
      </c>
      <c r="M2996" s="67" t="str">
        <f t="shared" si="140"/>
        <v/>
      </c>
      <c r="N2996" s="76" t="str">
        <f t="shared" si="141"/>
        <v/>
      </c>
      <c r="O2996" s="33">
        <f t="shared" si="139"/>
        <v>0</v>
      </c>
    </row>
    <row r="2997" spans="1:15" x14ac:dyDescent="0.25">
      <c r="A2997" s="93" t="s">
        <v>207</v>
      </c>
      <c r="B2997" s="79" t="str">
        <f>IF(Twelfth!B250="", "",Twelfth!B250)</f>
        <v/>
      </c>
      <c r="C2997" s="66" t="str">
        <f>IF(Twelfth!C250="", "",Twelfth!C250)</f>
        <v/>
      </c>
      <c r="D2997" s="66" t="str">
        <f>IF(Twelfth!D250="", "",Twelfth!D250)</f>
        <v/>
      </c>
      <c r="E2997" s="66" t="str">
        <f>IF(Twelfth!E250="", "",Twelfth!E250)</f>
        <v/>
      </c>
      <c r="F2997" s="66" t="str">
        <f>IF(Twelfth!F250="", "",Twelfth!F250)</f>
        <v/>
      </c>
      <c r="G2997" s="66" t="str">
        <f>IF(Twelfth!G250="", "",Twelfth!G250)</f>
        <v/>
      </c>
      <c r="H2997" s="66" t="str">
        <f>IF(Twelfth!H250="", "",Twelfth!H250)</f>
        <v/>
      </c>
      <c r="I2997" s="66" t="str">
        <f>IF(Twelfth!I250="", "",Twelfth!I250)</f>
        <v/>
      </c>
      <c r="J2997" s="66" t="str">
        <f>IF(Twelfth!J250="", "",Twelfth!J250)</f>
        <v/>
      </c>
      <c r="K2997" s="86" t="str">
        <f>IF(Twelfth!K250="", "",Twelfth!K250)</f>
        <v/>
      </c>
      <c r="M2997" s="67" t="str">
        <f t="shared" si="140"/>
        <v/>
      </c>
      <c r="N2997" s="76" t="str">
        <f t="shared" si="141"/>
        <v/>
      </c>
      <c r="O2997" s="33">
        <f t="shared" si="139"/>
        <v>0</v>
      </c>
    </row>
    <row r="2998" spans="1:15" x14ac:dyDescent="0.25">
      <c r="A2998" s="93" t="s">
        <v>207</v>
      </c>
      <c r="B2998" s="79" t="str">
        <f>IF(Twelfth!B251="", "",Twelfth!B251)</f>
        <v/>
      </c>
      <c r="C2998" s="66" t="str">
        <f>IF(Twelfth!C251="", "",Twelfth!C251)</f>
        <v/>
      </c>
      <c r="D2998" s="66" t="str">
        <f>IF(Twelfth!D251="", "",Twelfth!D251)</f>
        <v/>
      </c>
      <c r="E2998" s="66" t="str">
        <f>IF(Twelfth!E251="", "",Twelfth!E251)</f>
        <v/>
      </c>
      <c r="F2998" s="66" t="str">
        <f>IF(Twelfth!F251="", "",Twelfth!F251)</f>
        <v/>
      </c>
      <c r="G2998" s="66" t="str">
        <f>IF(Twelfth!G251="", "",Twelfth!G251)</f>
        <v/>
      </c>
      <c r="H2998" s="66" t="str">
        <f>IF(Twelfth!H251="", "",Twelfth!H251)</f>
        <v/>
      </c>
      <c r="I2998" s="66" t="str">
        <f>IF(Twelfth!I251="", "",Twelfth!I251)</f>
        <v/>
      </c>
      <c r="J2998" s="66" t="str">
        <f>IF(Twelfth!J251="", "",Twelfth!J251)</f>
        <v/>
      </c>
      <c r="K2998" s="86" t="str">
        <f>IF(Twelfth!K251="", "",Twelfth!K251)</f>
        <v/>
      </c>
      <c r="M2998" s="67" t="str">
        <f t="shared" si="140"/>
        <v/>
      </c>
      <c r="N2998" s="76" t="str">
        <f t="shared" si="141"/>
        <v/>
      </c>
      <c r="O2998" s="33">
        <f t="shared" si="139"/>
        <v>0</v>
      </c>
    </row>
    <row r="2999" spans="1:15" x14ac:dyDescent="0.25">
      <c r="A2999" s="93" t="s">
        <v>207</v>
      </c>
      <c r="B2999" s="79" t="str">
        <f>IF(Twelfth!B252="", "",Twelfth!B252)</f>
        <v/>
      </c>
      <c r="C2999" s="66" t="str">
        <f>IF(Twelfth!C252="", "",Twelfth!C252)</f>
        <v/>
      </c>
      <c r="D2999" s="66" t="str">
        <f>IF(Twelfth!D252="", "",Twelfth!D252)</f>
        <v/>
      </c>
      <c r="E2999" s="66" t="str">
        <f>IF(Twelfth!E252="", "",Twelfth!E252)</f>
        <v/>
      </c>
      <c r="F2999" s="66" t="str">
        <f>IF(Twelfth!F252="", "",Twelfth!F252)</f>
        <v/>
      </c>
      <c r="G2999" s="66" t="str">
        <f>IF(Twelfth!G252="", "",Twelfth!G252)</f>
        <v/>
      </c>
      <c r="H2999" s="66" t="str">
        <f>IF(Twelfth!H252="", "",Twelfth!H252)</f>
        <v/>
      </c>
      <c r="I2999" s="66" t="str">
        <f>IF(Twelfth!I252="", "",Twelfth!I252)</f>
        <v/>
      </c>
      <c r="J2999" s="66" t="str">
        <f>IF(Twelfth!J252="", "",Twelfth!J252)</f>
        <v/>
      </c>
      <c r="K2999" s="86" t="str">
        <f>IF(Twelfth!K252="", "",Twelfth!K252)</f>
        <v/>
      </c>
      <c r="M2999" s="67" t="str">
        <f t="shared" si="140"/>
        <v/>
      </c>
      <c r="N2999" s="76" t="str">
        <f t="shared" si="141"/>
        <v/>
      </c>
      <c r="O2999" s="33">
        <f t="shared" si="139"/>
        <v>0</v>
      </c>
    </row>
    <row r="3000" spans="1:15" x14ac:dyDescent="0.25">
      <c r="A3000" s="93" t="s">
        <v>207</v>
      </c>
      <c r="B3000" s="79" t="str">
        <f>IF(Twelfth!B253="", "",Twelfth!B253)</f>
        <v/>
      </c>
      <c r="C3000" s="66" t="str">
        <f>IF(Twelfth!C253="", "",Twelfth!C253)</f>
        <v/>
      </c>
      <c r="D3000" s="66" t="str">
        <f>IF(Twelfth!D253="", "",Twelfth!D253)</f>
        <v/>
      </c>
      <c r="E3000" s="66" t="str">
        <f>IF(Twelfth!E253="", "",Twelfth!E253)</f>
        <v/>
      </c>
      <c r="F3000" s="66" t="str">
        <f>IF(Twelfth!F253="", "",Twelfth!F253)</f>
        <v/>
      </c>
      <c r="G3000" s="66" t="str">
        <f>IF(Twelfth!G253="", "",Twelfth!G253)</f>
        <v/>
      </c>
      <c r="H3000" s="66" t="str">
        <f>IF(Twelfth!H253="", "",Twelfth!H253)</f>
        <v/>
      </c>
      <c r="I3000" s="66" t="str">
        <f>IF(Twelfth!I253="", "",Twelfth!I253)</f>
        <v/>
      </c>
      <c r="J3000" s="66" t="str">
        <f>IF(Twelfth!J253="", "",Twelfth!J253)</f>
        <v/>
      </c>
      <c r="K3000" s="86" t="str">
        <f>IF(Twelfth!K253="", "",Twelfth!K253)</f>
        <v/>
      </c>
      <c r="M3000" s="67" t="str">
        <f t="shared" si="140"/>
        <v/>
      </c>
      <c r="N3000" s="76" t="str">
        <f t="shared" si="141"/>
        <v/>
      </c>
      <c r="O3000" s="33">
        <f t="shared" si="139"/>
        <v>0</v>
      </c>
    </row>
    <row r="3001" spans="1:15" ht="15.75" thickBot="1" x14ac:dyDescent="0.3">
      <c r="A3001" s="68" t="s">
        <v>207</v>
      </c>
      <c r="B3001" s="80" t="str">
        <f>IF(Twelfth!B254="", "",Twelfth!B254)</f>
        <v/>
      </c>
      <c r="C3001" s="70" t="str">
        <f>IF(Twelfth!C254="", "",Twelfth!C254)</f>
        <v/>
      </c>
      <c r="D3001" s="70" t="str">
        <f>IF(Twelfth!D254="", "",Twelfth!D254)</f>
        <v/>
      </c>
      <c r="E3001" s="70" t="str">
        <f>IF(Twelfth!E254="", "",Twelfth!E254)</f>
        <v/>
      </c>
      <c r="F3001" s="70" t="str">
        <f>IF(Twelfth!F254="", "",Twelfth!F254)</f>
        <v/>
      </c>
      <c r="G3001" s="70" t="str">
        <f>IF(Twelfth!G254="", "",Twelfth!G254)</f>
        <v/>
      </c>
      <c r="H3001" s="70" t="str">
        <f>IF(Twelfth!H254="", "",Twelfth!H254)</f>
        <v/>
      </c>
      <c r="I3001" s="70" t="str">
        <f>IF(Twelfth!I254="", "",Twelfth!I254)</f>
        <v/>
      </c>
      <c r="J3001" s="70" t="str">
        <f>IF(Twelfth!J254="", "",Twelfth!J254)</f>
        <v/>
      </c>
      <c r="K3001" s="90" t="str">
        <f>IF(Twelfth!K254="", "",Twelfth!K254)</f>
        <v/>
      </c>
      <c r="L3001" s="91"/>
      <c r="M3001" s="71" t="str">
        <f t="shared" si="140"/>
        <v/>
      </c>
      <c r="N3001" s="77" t="str">
        <f t="shared" si="141"/>
        <v/>
      </c>
      <c r="O3001" s="33">
        <f t="shared" si="139"/>
        <v>0</v>
      </c>
    </row>
    <row r="3002" spans="1:15" x14ac:dyDescent="0.25">
      <c r="A3002" s="64" t="s">
        <v>225</v>
      </c>
      <c r="B3002" s="79" t="str">
        <f>IF(Thirteenth!B5="", "",Thirteenth!B5)</f>
        <v>Sessional Staff</v>
      </c>
      <c r="C3002" s="66" t="str">
        <f>IF(Thirteenth!C5="", "",Thirteenth!C5)</f>
        <v>PwC</v>
      </c>
      <c r="D3002" s="66" t="str">
        <f>IF(Thirteenth!D5="", "",Thirteenth!D5)</f>
        <v>Returning</v>
      </c>
      <c r="E3002" s="66" t="str">
        <f>IF(Thirteenth!E5="", "",Thirteenth!E5)</f>
        <v>Male</v>
      </c>
      <c r="F3002" s="66" t="str">
        <f>IF(Thirteenth!F5="", "",Thirteenth!F5)</f>
        <v>Haemat</v>
      </c>
      <c r="G3002" s="66" t="str">
        <f>IF(Thirteenth!G5="", "",Thirteenth!G5)</f>
        <v>Not Stated</v>
      </c>
      <c r="H3002" s="66" t="str">
        <f>IF(Thirteenth!H5="", "",Thirteenth!H5)</f>
        <v>Programme</v>
      </c>
      <c r="I3002" s="66" t="str">
        <f>IF(Thirteenth!I5="", "",Thirteenth!I5)</f>
        <v>Nutrition</v>
      </c>
      <c r="J3002" s="66" t="str">
        <f>IF(Thirteenth!J5="", "",Thirteenth!J5)</f>
        <v/>
      </c>
      <c r="K3002" s="86" t="str">
        <f>IF(Thirteenth!K5="", "",Thirteenth!K5)</f>
        <v/>
      </c>
      <c r="M3002" s="67">
        <f t="shared" si="140"/>
        <v>7</v>
      </c>
      <c r="N3002" s="76" t="str">
        <f t="shared" si="141"/>
        <v/>
      </c>
      <c r="O3002" s="33">
        <f t="shared" si="139"/>
        <v>7</v>
      </c>
    </row>
    <row r="3003" spans="1:15" x14ac:dyDescent="0.25">
      <c r="A3003" s="64" t="s">
        <v>225</v>
      </c>
      <c r="B3003" s="79" t="str">
        <f>IF(Thirteenth!B6="", "",Thirteenth!B6)</f>
        <v>Sessional Staff</v>
      </c>
      <c r="C3003" s="66" t="str">
        <f>IF(Thirteenth!C6="", "",Thirteenth!C6)</f>
        <v>Carer</v>
      </c>
      <c r="D3003" s="66" t="str">
        <f>IF(Thirteenth!D6="", "",Thirteenth!D6)</f>
        <v>Returning</v>
      </c>
      <c r="E3003" s="66" t="str">
        <f>IF(Thirteenth!E6="", "",Thirteenth!E6)</f>
        <v>Female</v>
      </c>
      <c r="F3003" s="66" t="str">
        <f>IF(Thirteenth!F6="", "",Thirteenth!F6)</f>
        <v>Haemat</v>
      </c>
      <c r="G3003" s="66" t="str">
        <f>IF(Thirteenth!G6="", "",Thirteenth!G6)</f>
        <v>Not Stated</v>
      </c>
      <c r="H3003" s="66" t="str">
        <f>IF(Thirteenth!H6="", "",Thirteenth!H6)</f>
        <v>Programme</v>
      </c>
      <c r="I3003" s="66" t="str">
        <f>IF(Thirteenth!I6="", "",Thirteenth!I6)</f>
        <v>Nutrition</v>
      </c>
      <c r="J3003" s="66" t="str">
        <f>IF(Thirteenth!J6="", "",Thirteenth!J6)</f>
        <v/>
      </c>
      <c r="K3003" s="86" t="str">
        <f>IF(Thirteenth!K6="", "",Thirteenth!K6)</f>
        <v/>
      </c>
      <c r="M3003" s="67" t="str">
        <f t="shared" si="140"/>
        <v/>
      </c>
      <c r="N3003" s="76">
        <f t="shared" si="141"/>
        <v>7</v>
      </c>
      <c r="O3003" s="33">
        <f t="shared" si="139"/>
        <v>7</v>
      </c>
    </row>
    <row r="3004" spans="1:15" x14ac:dyDescent="0.25">
      <c r="A3004" s="64" t="s">
        <v>225</v>
      </c>
      <c r="B3004" s="79" t="str">
        <f>IF(Thirteenth!B7="", "",Thirteenth!B7)</f>
        <v>Sessional Staff</v>
      </c>
      <c r="C3004" s="66" t="str">
        <f>IF(Thirteenth!C7="", "",Thirteenth!C7)</f>
        <v>PwC</v>
      </c>
      <c r="D3004" s="66" t="str">
        <f>IF(Thirteenth!D7="", "",Thirteenth!D7)</f>
        <v>Returning</v>
      </c>
      <c r="E3004" s="66" t="str">
        <f>IF(Thirteenth!E7="", "",Thirteenth!E7)</f>
        <v>Male</v>
      </c>
      <c r="F3004" s="66" t="str">
        <f>IF(Thirteenth!F7="", "",Thirteenth!F7)</f>
        <v>Haemat</v>
      </c>
      <c r="G3004" s="66" t="str">
        <f>IF(Thirteenth!G7="", "",Thirteenth!G7)</f>
        <v>Not Stated</v>
      </c>
      <c r="H3004" s="66" t="str">
        <f>IF(Thirteenth!H7="", "",Thirteenth!H7)</f>
        <v>Programme</v>
      </c>
      <c r="I3004" s="66" t="str">
        <f>IF(Thirteenth!I7="", "",Thirteenth!I7)</f>
        <v>Nutrition</v>
      </c>
      <c r="J3004" s="66" t="str">
        <f>IF(Thirteenth!J7="", "",Thirteenth!J7)</f>
        <v/>
      </c>
      <c r="K3004" s="86" t="str">
        <f>IF(Thirteenth!K7="", "",Thirteenth!K7)</f>
        <v/>
      </c>
      <c r="M3004" s="67">
        <f t="shared" si="140"/>
        <v>7</v>
      </c>
      <c r="N3004" s="76" t="str">
        <f t="shared" si="141"/>
        <v/>
      </c>
      <c r="O3004" s="33">
        <f t="shared" si="139"/>
        <v>7</v>
      </c>
    </row>
    <row r="3005" spans="1:15" x14ac:dyDescent="0.25">
      <c r="A3005" s="64" t="s">
        <v>225</v>
      </c>
      <c r="B3005" s="79" t="str">
        <f>IF(Thirteenth!B8="", "",Thirteenth!B8)</f>
        <v>Sessional Staff</v>
      </c>
      <c r="C3005" s="66" t="str">
        <f>IF(Thirteenth!C8="", "",Thirteenth!C8)</f>
        <v>Carer</v>
      </c>
      <c r="D3005" s="66" t="str">
        <f>IF(Thirteenth!D8="", "",Thirteenth!D8)</f>
        <v>Returning</v>
      </c>
      <c r="E3005" s="66" t="str">
        <f>IF(Thirteenth!E8="", "",Thirteenth!E8)</f>
        <v>Female</v>
      </c>
      <c r="F3005" s="66" t="str">
        <f>IF(Thirteenth!F8="", "",Thirteenth!F8)</f>
        <v>Upper GI</v>
      </c>
      <c r="G3005" s="66" t="str">
        <f>IF(Thirteenth!G8="", "",Thirteenth!G8)</f>
        <v>Non-Curative Intent</v>
      </c>
      <c r="H3005" s="66" t="str">
        <f>IF(Thirteenth!H8="", "",Thirteenth!H8)</f>
        <v>Programme</v>
      </c>
      <c r="I3005" s="66" t="str">
        <f>IF(Thirteenth!I8="", "",Thirteenth!I8)</f>
        <v>Nutrition</v>
      </c>
      <c r="J3005" s="66" t="str">
        <f>IF(Thirteenth!J8="", "",Thirteenth!J8)</f>
        <v/>
      </c>
      <c r="K3005" s="86" t="str">
        <f>IF(Thirteenth!K8="", "",Thirteenth!K8)</f>
        <v/>
      </c>
      <c r="M3005" s="67" t="str">
        <f t="shared" si="140"/>
        <v/>
      </c>
      <c r="N3005" s="76">
        <f t="shared" si="141"/>
        <v>7</v>
      </c>
      <c r="O3005" s="33">
        <f t="shared" si="139"/>
        <v>7</v>
      </c>
    </row>
    <row r="3006" spans="1:15" x14ac:dyDescent="0.25">
      <c r="A3006" s="64" t="s">
        <v>225</v>
      </c>
      <c r="B3006" s="79" t="str">
        <f>IF(Thirteenth!B9="", "",Thirteenth!B9)</f>
        <v>Sessional Staff</v>
      </c>
      <c r="C3006" s="66" t="str">
        <f>IF(Thirteenth!C9="", "",Thirteenth!C9)</f>
        <v>PwC</v>
      </c>
      <c r="D3006" s="66" t="str">
        <f>IF(Thirteenth!D9="", "",Thirteenth!D9)</f>
        <v>Returning</v>
      </c>
      <c r="E3006" s="66" t="str">
        <f>IF(Thirteenth!E9="", "",Thirteenth!E9)</f>
        <v>Female</v>
      </c>
      <c r="F3006" s="66" t="str">
        <f>IF(Thirteenth!F9="", "",Thirteenth!F9)</f>
        <v>Head/Neck</v>
      </c>
      <c r="G3006" s="66" t="str">
        <f>IF(Thirteenth!G9="", "",Thirteenth!G9)</f>
        <v>Curative Intent</v>
      </c>
      <c r="H3006" s="66" t="str">
        <f>IF(Thirteenth!H9="", "",Thirteenth!H9)</f>
        <v>Programme</v>
      </c>
      <c r="I3006" s="66" t="str">
        <f>IF(Thirteenth!I9="", "",Thirteenth!I9)</f>
        <v>Nutrition</v>
      </c>
      <c r="J3006" s="66" t="str">
        <f>IF(Thirteenth!J9="", "",Thirteenth!J9)</f>
        <v/>
      </c>
      <c r="K3006" s="86" t="str">
        <f>IF(Thirteenth!K9="", "",Thirteenth!K9)</f>
        <v/>
      </c>
      <c r="M3006" s="67">
        <f t="shared" si="140"/>
        <v>7</v>
      </c>
      <c r="N3006" s="76" t="str">
        <f t="shared" si="141"/>
        <v/>
      </c>
      <c r="O3006" s="33">
        <f t="shared" si="139"/>
        <v>7</v>
      </c>
    </row>
    <row r="3007" spans="1:15" x14ac:dyDescent="0.25">
      <c r="A3007" s="64" t="s">
        <v>225</v>
      </c>
      <c r="B3007" s="79" t="str">
        <f>IF(Thirteenth!B10="", "",Thirteenth!B10)</f>
        <v>Sessional Staff</v>
      </c>
      <c r="C3007" s="66" t="str">
        <f>IF(Thirteenth!C10="", "",Thirteenth!C10)</f>
        <v>PwC</v>
      </c>
      <c r="D3007" s="66" t="str">
        <f>IF(Thirteenth!D10="", "",Thirteenth!D10)</f>
        <v>Returning</v>
      </c>
      <c r="E3007" s="66" t="str">
        <f>IF(Thirteenth!E10="", "",Thirteenth!E10)</f>
        <v>Female</v>
      </c>
      <c r="F3007" s="66" t="str">
        <f>IF(Thirteenth!F10="", "",Thirteenth!F10)</f>
        <v>Gynae</v>
      </c>
      <c r="G3007" s="66" t="str">
        <f>IF(Thirteenth!G10="", "",Thirteenth!G10)</f>
        <v>Not Stated</v>
      </c>
      <c r="H3007" s="66" t="str">
        <f>IF(Thirteenth!H10="", "",Thirteenth!H10)</f>
        <v>Programme</v>
      </c>
      <c r="I3007" s="66" t="str">
        <f>IF(Thirteenth!I10="", "",Thirteenth!I10)</f>
        <v>Nutrition</v>
      </c>
      <c r="J3007" s="66" t="str">
        <f>IF(Thirteenth!J10="", "",Thirteenth!J10)</f>
        <v/>
      </c>
      <c r="K3007" s="86" t="str">
        <f>IF(Thirteenth!K10="", "",Thirteenth!K10)</f>
        <v/>
      </c>
      <c r="M3007" s="67">
        <f t="shared" si="140"/>
        <v>7</v>
      </c>
      <c r="N3007" s="76" t="str">
        <f t="shared" si="141"/>
        <v/>
      </c>
      <c r="O3007" s="33">
        <f t="shared" si="139"/>
        <v>7</v>
      </c>
    </row>
    <row r="3008" spans="1:15" x14ac:dyDescent="0.25">
      <c r="A3008" s="64" t="s">
        <v>225</v>
      </c>
      <c r="B3008" s="79" t="str">
        <f>IF(Thirteenth!B11="", "",Thirteenth!B11)</f>
        <v>Sessional Staff</v>
      </c>
      <c r="C3008" s="66" t="str">
        <f>IF(Thirteenth!C11="", "",Thirteenth!C11)</f>
        <v>PwC</v>
      </c>
      <c r="D3008" s="66" t="str">
        <f>IF(Thirteenth!D11="", "",Thirteenth!D11)</f>
        <v>Returning</v>
      </c>
      <c r="E3008" s="66" t="str">
        <f>IF(Thirteenth!E11="", "",Thirteenth!E11)</f>
        <v>Female</v>
      </c>
      <c r="F3008" s="66" t="str">
        <f>IF(Thirteenth!F11="", "",Thirteenth!F11)</f>
        <v>Breast</v>
      </c>
      <c r="G3008" s="66" t="str">
        <f>IF(Thirteenth!G11="", "",Thirteenth!G11)</f>
        <v>Not Stated</v>
      </c>
      <c r="H3008" s="66" t="str">
        <f>IF(Thirteenth!H11="", "",Thirteenth!H11)</f>
        <v>Programme</v>
      </c>
      <c r="I3008" s="66" t="str">
        <f>IF(Thirteenth!I11="", "",Thirteenth!I11)</f>
        <v>Nutrition</v>
      </c>
      <c r="J3008" s="66" t="str">
        <f>IF(Thirteenth!J11="", "",Thirteenth!J11)</f>
        <v/>
      </c>
      <c r="K3008" s="86" t="str">
        <f>IF(Thirteenth!K11="", "",Thirteenth!K11)</f>
        <v/>
      </c>
      <c r="M3008" s="67">
        <f t="shared" si="140"/>
        <v>7</v>
      </c>
      <c r="N3008" s="76" t="str">
        <f t="shared" si="141"/>
        <v/>
      </c>
      <c r="O3008" s="33">
        <f t="shared" si="139"/>
        <v>7</v>
      </c>
    </row>
    <row r="3009" spans="1:15" x14ac:dyDescent="0.25">
      <c r="A3009" s="64" t="s">
        <v>225</v>
      </c>
      <c r="B3009" s="79" t="str">
        <f>IF(Thirteenth!B12="", "",Thirteenth!B12)</f>
        <v>Sessional Staff</v>
      </c>
      <c r="C3009" s="66" t="str">
        <f>IF(Thirteenth!C12="", "",Thirteenth!C12)</f>
        <v>PwC</v>
      </c>
      <c r="D3009" s="66" t="str">
        <f>IF(Thirteenth!D12="", "",Thirteenth!D12)</f>
        <v>New</v>
      </c>
      <c r="E3009" s="66" t="str">
        <f>IF(Thirteenth!E12="", "",Thirteenth!E12)</f>
        <v>Male</v>
      </c>
      <c r="F3009" s="66" t="str">
        <f>IF(Thirteenth!F12="", "",Thirteenth!F12)</f>
        <v>Upper GI</v>
      </c>
      <c r="G3009" s="66" t="str">
        <f>IF(Thirteenth!G12="", "",Thirteenth!G12)</f>
        <v>Not Stated</v>
      </c>
      <c r="H3009" s="66" t="str">
        <f>IF(Thirteenth!H12="", "",Thirteenth!H12)</f>
        <v>Programme</v>
      </c>
      <c r="I3009" s="66" t="str">
        <f>IF(Thirteenth!I12="", "",Thirteenth!I12)</f>
        <v>Nutrition</v>
      </c>
      <c r="J3009" s="66" t="str">
        <f>IF(Thirteenth!J12="", "",Thirteenth!J12)</f>
        <v/>
      </c>
      <c r="K3009" s="86" t="str">
        <f>IF(Thirteenth!K12="", "",Thirteenth!K12)</f>
        <v/>
      </c>
      <c r="M3009" s="67">
        <f t="shared" si="140"/>
        <v>7</v>
      </c>
      <c r="N3009" s="76" t="str">
        <f t="shared" si="141"/>
        <v/>
      </c>
      <c r="O3009" s="33">
        <f t="shared" si="139"/>
        <v>7</v>
      </c>
    </row>
    <row r="3010" spans="1:15" x14ac:dyDescent="0.25">
      <c r="A3010" s="64" t="s">
        <v>225</v>
      </c>
      <c r="B3010" s="79" t="str">
        <f>IF(Thirteenth!B13="", "",Thirteenth!B13)</f>
        <v>CSS</v>
      </c>
      <c r="C3010" s="66" t="str">
        <f>IF(Thirteenth!C13="", "",Thirteenth!C13)</f>
        <v>PwC</v>
      </c>
      <c r="D3010" s="66" t="str">
        <f>IF(Thirteenth!D13="", "",Thirteenth!D13)</f>
        <v>Returning</v>
      </c>
      <c r="E3010" s="66" t="str">
        <f>IF(Thirteenth!E13="", "",Thirteenth!E13)</f>
        <v>Female</v>
      </c>
      <c r="F3010" s="66" t="str">
        <f>IF(Thirteenth!F13="", "",Thirteenth!F13)</f>
        <v>Gynae</v>
      </c>
      <c r="G3010" s="66" t="str">
        <f>IF(Thirteenth!G13="", "",Thirteenth!G13)</f>
        <v>Post Treatment - Curative Intent</v>
      </c>
      <c r="H3010" s="66" t="str">
        <f>IF(Thirteenth!H13="", "",Thirteenth!H13)</f>
        <v>Drop-In</v>
      </c>
      <c r="I3010" s="66" t="str">
        <f>IF(Thirteenth!I13="", "",Thirteenth!I13)</f>
        <v/>
      </c>
      <c r="J3010" s="66" t="str">
        <f>IF(Thirteenth!J13="", "",Thirteenth!J13)</f>
        <v/>
      </c>
      <c r="K3010" s="86" t="str">
        <f>IF(Thirteenth!K13="", "",Thirteenth!K13)</f>
        <v/>
      </c>
      <c r="M3010" s="67">
        <f t="shared" si="140"/>
        <v>7</v>
      </c>
      <c r="N3010" s="76" t="str">
        <f t="shared" si="141"/>
        <v/>
      </c>
      <c r="O3010" s="33">
        <f t="shared" ref="O3010:O3073" si="142">SUM(M3010:N3010)</f>
        <v>7</v>
      </c>
    </row>
    <row r="3011" spans="1:15" x14ac:dyDescent="0.25">
      <c r="A3011" s="64" t="s">
        <v>225</v>
      </c>
      <c r="B3011" s="79" t="str">
        <f>IF(Thirteenth!B14="", "",Thirteenth!B14)</f>
        <v>CSS</v>
      </c>
      <c r="C3011" s="66" t="str">
        <f>IF(Thirteenth!C14="", "",Thirteenth!C14)</f>
        <v>PwC</v>
      </c>
      <c r="D3011" s="66" t="str">
        <f>IF(Thirteenth!D14="", "",Thirteenth!D14)</f>
        <v>Returning</v>
      </c>
      <c r="E3011" s="66" t="str">
        <f>IF(Thirteenth!E14="", "",Thirteenth!E14)</f>
        <v>Female</v>
      </c>
      <c r="F3011" s="66" t="str">
        <f>IF(Thirteenth!F14="", "",Thirteenth!F14)</f>
        <v>Gynae</v>
      </c>
      <c r="G3011" s="66" t="str">
        <f>IF(Thirteenth!G14="", "",Thirteenth!G14)</f>
        <v>Post Treatment - Curative Intent</v>
      </c>
      <c r="H3011" s="66" t="str">
        <f>IF(Thirteenth!H14="", "",Thirteenth!H14)</f>
        <v>Drop-In</v>
      </c>
      <c r="I3011" s="66" t="str">
        <f>IF(Thirteenth!I14="", "",Thirteenth!I14)</f>
        <v/>
      </c>
      <c r="J3011" s="66" t="str">
        <f>IF(Thirteenth!J14="", "",Thirteenth!J14)</f>
        <v/>
      </c>
      <c r="K3011" s="86" t="str">
        <f>IF(Thirteenth!K14="", "",Thirteenth!K14)</f>
        <v/>
      </c>
      <c r="M3011" s="67">
        <f t="shared" ref="M3011:M3074" si="143">IF(C3011="PwC",(7-COUNTIF(B3011:H3011,"")),"")</f>
        <v>7</v>
      </c>
      <c r="N3011" s="76" t="str">
        <f t="shared" ref="N3011:N3074" si="144">IF(C3011="Carer",(7-COUNTIF(B3011:H3011,"")),"")</f>
        <v/>
      </c>
      <c r="O3011" s="33">
        <f t="shared" si="142"/>
        <v>7</v>
      </c>
    </row>
    <row r="3012" spans="1:15" x14ac:dyDescent="0.25">
      <c r="A3012" s="64" t="s">
        <v>225</v>
      </c>
      <c r="B3012" s="79" t="str">
        <f>IF(Thirteenth!B15="", "",Thirteenth!B15)</f>
        <v>CSS</v>
      </c>
      <c r="C3012" s="66" t="str">
        <f>IF(Thirteenth!C15="", "",Thirteenth!C15)</f>
        <v>PwC</v>
      </c>
      <c r="D3012" s="66" t="str">
        <f>IF(Thirteenth!D15="", "",Thirteenth!D15)</f>
        <v>New</v>
      </c>
      <c r="E3012" s="66" t="str">
        <f>IF(Thirteenth!E15="", "",Thirteenth!E15)</f>
        <v>Female</v>
      </c>
      <c r="F3012" s="66" t="str">
        <f>IF(Thirteenth!F15="", "",Thirteenth!F15)</f>
        <v>Haemat</v>
      </c>
      <c r="G3012" s="66" t="str">
        <f>IF(Thirteenth!G15="", "",Thirteenth!G15)</f>
        <v>Non-Curative Intent</v>
      </c>
      <c r="H3012" s="66" t="str">
        <f>IF(Thirteenth!H15="", "",Thirteenth!H15)</f>
        <v>Drop-In</v>
      </c>
      <c r="I3012" s="66" t="str">
        <f>IF(Thirteenth!I15="", "",Thirteenth!I15)</f>
        <v/>
      </c>
      <c r="J3012" s="66" t="str">
        <f>IF(Thirteenth!J15="", "",Thirteenth!J15)</f>
        <v/>
      </c>
      <c r="K3012" s="86" t="str">
        <f>IF(Thirteenth!K15="", "",Thirteenth!K15)</f>
        <v/>
      </c>
      <c r="M3012" s="67">
        <f t="shared" si="143"/>
        <v>7</v>
      </c>
      <c r="N3012" s="76" t="str">
        <f t="shared" si="144"/>
        <v/>
      </c>
      <c r="O3012" s="33">
        <f t="shared" si="142"/>
        <v>7</v>
      </c>
    </row>
    <row r="3013" spans="1:15" x14ac:dyDescent="0.25">
      <c r="A3013" s="64" t="s">
        <v>225</v>
      </c>
      <c r="B3013" s="79" t="str">
        <f>IF(Thirteenth!B16="", "",Thirteenth!B16)</f>
        <v>CSS</v>
      </c>
      <c r="C3013" s="66" t="str">
        <f>IF(Thirteenth!C16="", "",Thirteenth!C16)</f>
        <v>PwC</v>
      </c>
      <c r="D3013" s="66" t="str">
        <f>IF(Thirteenth!D16="", "",Thirteenth!D16)</f>
        <v>New</v>
      </c>
      <c r="E3013" s="66" t="str">
        <f>IF(Thirteenth!E16="", "",Thirteenth!E16)</f>
        <v>Female</v>
      </c>
      <c r="F3013" s="66" t="str">
        <f>IF(Thirteenth!F16="", "",Thirteenth!F16)</f>
        <v>Lower GI</v>
      </c>
      <c r="G3013" s="66" t="str">
        <f>IF(Thirteenth!G16="", "",Thirteenth!G16)</f>
        <v>Non-Curative Intent</v>
      </c>
      <c r="H3013" s="66" t="str">
        <f>IF(Thirteenth!H16="", "",Thirteenth!H16)</f>
        <v>Drop-In</v>
      </c>
      <c r="I3013" s="66" t="str">
        <f>IF(Thirteenth!I16="", "",Thirteenth!I16)</f>
        <v/>
      </c>
      <c r="J3013" s="66" t="str">
        <f>IF(Thirteenth!J16="", "",Thirteenth!J16)</f>
        <v/>
      </c>
      <c r="K3013" s="86" t="str">
        <f>IF(Thirteenth!K16="", "",Thirteenth!K16)</f>
        <v/>
      </c>
      <c r="M3013" s="67">
        <f t="shared" si="143"/>
        <v>7</v>
      </c>
      <c r="N3013" s="76" t="str">
        <f t="shared" si="144"/>
        <v/>
      </c>
      <c r="O3013" s="33">
        <f t="shared" si="142"/>
        <v>7</v>
      </c>
    </row>
    <row r="3014" spans="1:15" x14ac:dyDescent="0.25">
      <c r="A3014" s="64" t="s">
        <v>225</v>
      </c>
      <c r="B3014" s="79" t="str">
        <f>IF(Thirteenth!B17="", "",Thirteenth!B17)</f>
        <v>CSS</v>
      </c>
      <c r="C3014" s="66" t="str">
        <f>IF(Thirteenth!C17="", "",Thirteenth!C17)</f>
        <v>PwC</v>
      </c>
      <c r="D3014" s="66" t="str">
        <f>IF(Thirteenth!D17="", "",Thirteenth!D17)</f>
        <v>Returning</v>
      </c>
      <c r="E3014" s="66" t="str">
        <f>IF(Thirteenth!E17="", "",Thirteenth!E17)</f>
        <v>Female</v>
      </c>
      <c r="F3014" s="66" t="str">
        <f>IF(Thirteenth!F17="", "",Thirteenth!F17)</f>
        <v>Brain/CNS</v>
      </c>
      <c r="G3014" s="66" t="str">
        <f>IF(Thirteenth!G17="", "",Thirteenth!G17)</f>
        <v>Non-Curative Intent</v>
      </c>
      <c r="H3014" s="66" t="str">
        <f>IF(Thirteenth!H17="", "",Thirteenth!H17)</f>
        <v>Drop-In</v>
      </c>
      <c r="I3014" s="66" t="str">
        <f>IF(Thirteenth!I17="", "",Thirteenth!I17)</f>
        <v/>
      </c>
      <c r="J3014" s="66" t="str">
        <f>IF(Thirteenth!J17="", "",Thirteenth!J17)</f>
        <v/>
      </c>
      <c r="K3014" s="86" t="str">
        <f>IF(Thirteenth!K17="", "",Thirteenth!K17)</f>
        <v/>
      </c>
      <c r="M3014" s="67">
        <f t="shared" si="143"/>
        <v>7</v>
      </c>
      <c r="N3014" s="76" t="str">
        <f t="shared" si="144"/>
        <v/>
      </c>
      <c r="O3014" s="33">
        <f t="shared" si="142"/>
        <v>7</v>
      </c>
    </row>
    <row r="3015" spans="1:15" x14ac:dyDescent="0.25">
      <c r="A3015" s="64" t="s">
        <v>225</v>
      </c>
      <c r="B3015" s="79" t="str">
        <f>IF(Thirteenth!B18="", "",Thirteenth!B18)</f>
        <v>CSS</v>
      </c>
      <c r="C3015" s="66" t="str">
        <f>IF(Thirteenth!C18="", "",Thirteenth!C18)</f>
        <v>Carer</v>
      </c>
      <c r="D3015" s="66" t="str">
        <f>IF(Thirteenth!D18="", "",Thirteenth!D18)</f>
        <v>Returning</v>
      </c>
      <c r="E3015" s="66" t="str">
        <f>IF(Thirteenth!E18="", "",Thirteenth!E18)</f>
        <v>Male</v>
      </c>
      <c r="F3015" s="66" t="str">
        <f>IF(Thirteenth!F18="", "",Thirteenth!F18)</f>
        <v>Brain/CNS</v>
      </c>
      <c r="G3015" s="66" t="str">
        <f>IF(Thirteenth!G18="", "",Thirteenth!G18)</f>
        <v>Non-Curative Intent</v>
      </c>
      <c r="H3015" s="66" t="str">
        <f>IF(Thirteenth!H18="", "",Thirteenth!H18)</f>
        <v>Drop-In</v>
      </c>
      <c r="I3015" s="66" t="str">
        <f>IF(Thirteenth!I18="", "",Thirteenth!I18)</f>
        <v/>
      </c>
      <c r="J3015" s="66" t="str">
        <f>IF(Thirteenth!J18="", "",Thirteenth!J18)</f>
        <v/>
      </c>
      <c r="K3015" s="86" t="str">
        <f>IF(Thirteenth!K18="", "",Thirteenth!K18)</f>
        <v/>
      </c>
      <c r="M3015" s="67" t="str">
        <f t="shared" si="143"/>
        <v/>
      </c>
      <c r="N3015" s="76">
        <f t="shared" si="144"/>
        <v>7</v>
      </c>
      <c r="O3015" s="33">
        <f t="shared" si="142"/>
        <v>7</v>
      </c>
    </row>
    <row r="3016" spans="1:15" x14ac:dyDescent="0.25">
      <c r="A3016" s="64" t="s">
        <v>225</v>
      </c>
      <c r="B3016" s="79" t="str">
        <f>IF(Thirteenth!B19="", "",Thirteenth!B19)</f>
        <v>CSS</v>
      </c>
      <c r="C3016" s="66" t="str">
        <f>IF(Thirteenth!C19="", "",Thirteenth!C19)</f>
        <v>Carer</v>
      </c>
      <c r="D3016" s="66" t="str">
        <f>IF(Thirteenth!D19="", "",Thirteenth!D19)</f>
        <v>Returning</v>
      </c>
      <c r="E3016" s="66" t="str">
        <f>IF(Thirteenth!E19="", "",Thirteenth!E19)</f>
        <v>Male</v>
      </c>
      <c r="F3016" s="66" t="str">
        <f>IF(Thirteenth!F19="", "",Thirteenth!F19)</f>
        <v>Brain/CNS</v>
      </c>
      <c r="G3016" s="66" t="str">
        <f>IF(Thirteenth!G19="", "",Thirteenth!G19)</f>
        <v>Non-Curative Intent</v>
      </c>
      <c r="H3016" s="66" t="str">
        <f>IF(Thirteenth!H19="", "",Thirteenth!H19)</f>
        <v>Drop-In</v>
      </c>
      <c r="I3016" s="66" t="str">
        <f>IF(Thirteenth!I19="", "",Thirteenth!I19)</f>
        <v/>
      </c>
      <c r="J3016" s="66" t="str">
        <f>IF(Thirteenth!J19="", "",Thirteenth!J19)</f>
        <v/>
      </c>
      <c r="K3016" s="86" t="str">
        <f>IF(Thirteenth!K19="", "",Thirteenth!K19)</f>
        <v/>
      </c>
      <c r="M3016" s="67" t="str">
        <f t="shared" si="143"/>
        <v/>
      </c>
      <c r="N3016" s="76">
        <f t="shared" si="144"/>
        <v>7</v>
      </c>
      <c r="O3016" s="33">
        <f t="shared" si="142"/>
        <v>7</v>
      </c>
    </row>
    <row r="3017" spans="1:15" x14ac:dyDescent="0.25">
      <c r="A3017" s="64" t="s">
        <v>225</v>
      </c>
      <c r="B3017" s="79" t="str">
        <f>IF(Thirteenth!B20="", "",Thirteenth!B20)</f>
        <v>CSS</v>
      </c>
      <c r="C3017" s="66" t="str">
        <f>IF(Thirteenth!C20="", "",Thirteenth!C20)</f>
        <v>PwC</v>
      </c>
      <c r="D3017" s="66" t="str">
        <f>IF(Thirteenth!D20="", "",Thirteenth!D20)</f>
        <v>Returning</v>
      </c>
      <c r="E3017" s="66" t="str">
        <f>IF(Thirteenth!E20="", "",Thirteenth!E20)</f>
        <v>Male</v>
      </c>
      <c r="F3017" s="66" t="str">
        <f>IF(Thirteenth!F20="", "",Thirteenth!F20)</f>
        <v>Haemat</v>
      </c>
      <c r="G3017" s="66" t="str">
        <f>IF(Thirteenth!G20="", "",Thirteenth!G20)</f>
        <v>Non-Curative Intent</v>
      </c>
      <c r="H3017" s="66" t="str">
        <f>IF(Thirteenth!H20="", "",Thirteenth!H20)</f>
        <v>Drop-In</v>
      </c>
      <c r="I3017" s="66" t="str">
        <f>IF(Thirteenth!I20="", "",Thirteenth!I20)</f>
        <v/>
      </c>
      <c r="J3017" s="66" t="str">
        <f>IF(Thirteenth!J20="", "",Thirteenth!J20)</f>
        <v/>
      </c>
      <c r="K3017" s="86" t="str">
        <f>IF(Thirteenth!K20="", "",Thirteenth!K20)</f>
        <v/>
      </c>
      <c r="M3017" s="67">
        <f t="shared" si="143"/>
        <v>7</v>
      </c>
      <c r="N3017" s="76" t="str">
        <f t="shared" si="144"/>
        <v/>
      </c>
      <c r="O3017" s="33">
        <f t="shared" si="142"/>
        <v>7</v>
      </c>
    </row>
    <row r="3018" spans="1:15" x14ac:dyDescent="0.25">
      <c r="A3018" s="64" t="s">
        <v>225</v>
      </c>
      <c r="B3018" s="79" t="str">
        <f>IF(Thirteenth!B21="", "",Thirteenth!B21)</f>
        <v>CSS</v>
      </c>
      <c r="C3018" s="66" t="str">
        <f>IF(Thirteenth!C21="", "",Thirteenth!C21)</f>
        <v>PwC</v>
      </c>
      <c r="D3018" s="66" t="str">
        <f>IF(Thirteenth!D21="", "",Thirteenth!D21)</f>
        <v>Returning</v>
      </c>
      <c r="E3018" s="66" t="str">
        <f>IF(Thirteenth!E21="", "",Thirteenth!E21)</f>
        <v>Male</v>
      </c>
      <c r="F3018" s="66" t="str">
        <f>IF(Thirteenth!F21="", "",Thirteenth!F21)</f>
        <v>Lower GI</v>
      </c>
      <c r="G3018" s="66" t="str">
        <f>IF(Thirteenth!G21="", "",Thirteenth!G21)</f>
        <v>Curative Intent</v>
      </c>
      <c r="H3018" s="66" t="str">
        <f>IF(Thirteenth!H21="", "",Thirteenth!H21)</f>
        <v>Drop-In</v>
      </c>
      <c r="I3018" s="66" t="str">
        <f>IF(Thirteenth!I21="", "",Thirteenth!I21)</f>
        <v/>
      </c>
      <c r="J3018" s="66" t="str">
        <f>IF(Thirteenth!J21="", "",Thirteenth!J21)</f>
        <v/>
      </c>
      <c r="K3018" s="86" t="str">
        <f>IF(Thirteenth!K21="", "",Thirteenth!K21)</f>
        <v/>
      </c>
      <c r="M3018" s="67">
        <f t="shared" si="143"/>
        <v>7</v>
      </c>
      <c r="N3018" s="76" t="str">
        <f t="shared" si="144"/>
        <v/>
      </c>
      <c r="O3018" s="33">
        <f t="shared" si="142"/>
        <v>7</v>
      </c>
    </row>
    <row r="3019" spans="1:15" x14ac:dyDescent="0.25">
      <c r="A3019" s="64" t="s">
        <v>225</v>
      </c>
      <c r="B3019" s="79" t="str">
        <f>IF(Thirteenth!B22="", "",Thirteenth!B22)</f>
        <v>CSS</v>
      </c>
      <c r="C3019" s="66" t="str">
        <f>IF(Thirteenth!C22="", "",Thirteenth!C22)</f>
        <v>PwC</v>
      </c>
      <c r="D3019" s="66" t="str">
        <f>IF(Thirteenth!D22="", "",Thirteenth!D22)</f>
        <v>Returning</v>
      </c>
      <c r="E3019" s="66" t="str">
        <f>IF(Thirteenth!E22="", "",Thirteenth!E22)</f>
        <v>Female</v>
      </c>
      <c r="F3019" s="66" t="str">
        <f>IF(Thirteenth!F22="", "",Thirteenth!F22)</f>
        <v>Breast</v>
      </c>
      <c r="G3019" s="66" t="str">
        <f>IF(Thirteenth!G22="", "",Thirteenth!G22)</f>
        <v>Non-Curative Intent</v>
      </c>
      <c r="H3019" s="66" t="str">
        <f>IF(Thirteenth!H22="", "",Thirteenth!H22)</f>
        <v>Booked</v>
      </c>
      <c r="I3019" s="66" t="str">
        <f>IF(Thirteenth!I22="", "",Thirteenth!I22)</f>
        <v>Psych Support - Individual</v>
      </c>
      <c r="J3019" s="66" t="str">
        <f>IF(Thirteenth!J22="", "",Thirteenth!J22)</f>
        <v/>
      </c>
      <c r="K3019" s="86" t="str">
        <f>IF(Thirteenth!K22="", "",Thirteenth!K22)</f>
        <v/>
      </c>
      <c r="M3019" s="67">
        <f t="shared" si="143"/>
        <v>7</v>
      </c>
      <c r="N3019" s="76" t="str">
        <f t="shared" si="144"/>
        <v/>
      </c>
      <c r="O3019" s="33">
        <f t="shared" si="142"/>
        <v>7</v>
      </c>
    </row>
    <row r="3020" spans="1:15" x14ac:dyDescent="0.25">
      <c r="A3020" s="64" t="s">
        <v>225</v>
      </c>
      <c r="B3020" s="79" t="str">
        <f>IF(Thirteenth!B23="", "",Thirteenth!B23)</f>
        <v>CSS</v>
      </c>
      <c r="C3020" s="66" t="str">
        <f>IF(Thirteenth!C23="", "",Thirteenth!C23)</f>
        <v>PwC</v>
      </c>
      <c r="D3020" s="66" t="str">
        <f>IF(Thirteenth!D23="", "",Thirteenth!D23)</f>
        <v>Returning</v>
      </c>
      <c r="E3020" s="66" t="str">
        <f>IF(Thirteenth!E23="", "",Thirteenth!E23)</f>
        <v>Female</v>
      </c>
      <c r="F3020" s="66" t="str">
        <f>IF(Thirteenth!F23="", "",Thirteenth!F23)</f>
        <v>Breast</v>
      </c>
      <c r="G3020" s="66" t="str">
        <f>IF(Thirteenth!G23="", "",Thirteenth!G23)</f>
        <v>Curative Intent</v>
      </c>
      <c r="H3020" s="66" t="str">
        <f>IF(Thirteenth!H23="", "",Thirteenth!H23)</f>
        <v>Programme</v>
      </c>
      <c r="I3020" s="66" t="str">
        <f>IF(Thirteenth!I23="", "",Thirteenth!I23)</f>
        <v>FSG Young Women's</v>
      </c>
      <c r="J3020" s="66" t="str">
        <f>IF(Thirteenth!J23="", "",Thirteenth!J23)</f>
        <v/>
      </c>
      <c r="K3020" s="86" t="str">
        <f>IF(Thirteenth!K23="", "",Thirteenth!K23)</f>
        <v/>
      </c>
      <c r="M3020" s="67">
        <f t="shared" si="143"/>
        <v>7</v>
      </c>
      <c r="N3020" s="76" t="str">
        <f t="shared" si="144"/>
        <v/>
      </c>
      <c r="O3020" s="33">
        <f t="shared" si="142"/>
        <v>7</v>
      </c>
    </row>
    <row r="3021" spans="1:15" x14ac:dyDescent="0.25">
      <c r="A3021" s="64" t="s">
        <v>225</v>
      </c>
      <c r="B3021" s="79" t="str">
        <f>IF(Thirteenth!B24="", "",Thirteenth!B24)</f>
        <v>CSS</v>
      </c>
      <c r="C3021" s="66" t="str">
        <f>IF(Thirteenth!C24="", "",Thirteenth!C24)</f>
        <v>PwC</v>
      </c>
      <c r="D3021" s="66" t="str">
        <f>IF(Thirteenth!D24="", "",Thirteenth!D24)</f>
        <v>Returning</v>
      </c>
      <c r="E3021" s="66" t="str">
        <f>IF(Thirteenth!E24="", "",Thirteenth!E24)</f>
        <v>Female</v>
      </c>
      <c r="F3021" s="66" t="str">
        <f>IF(Thirteenth!F24="", "",Thirteenth!F24)</f>
        <v>Breast</v>
      </c>
      <c r="G3021" s="66" t="str">
        <f>IF(Thirteenth!G24="", "",Thirteenth!G24)</f>
        <v>Curative Intent</v>
      </c>
      <c r="H3021" s="66" t="str">
        <f>IF(Thirteenth!H24="", "",Thirteenth!H24)</f>
        <v>Programme</v>
      </c>
      <c r="I3021" s="66" t="str">
        <f>IF(Thirteenth!I24="", "",Thirteenth!I24)</f>
        <v>FSG Young Women's</v>
      </c>
      <c r="J3021" s="66" t="str">
        <f>IF(Thirteenth!J24="", "",Thirteenth!J24)</f>
        <v>Expressive art</v>
      </c>
      <c r="K3021" s="86" t="str">
        <f>IF(Thirteenth!K24="", "",Thirteenth!K24)</f>
        <v/>
      </c>
      <c r="M3021" s="67">
        <f t="shared" si="143"/>
        <v>7</v>
      </c>
      <c r="N3021" s="76" t="str">
        <f t="shared" si="144"/>
        <v/>
      </c>
      <c r="O3021" s="33">
        <f t="shared" si="142"/>
        <v>7</v>
      </c>
    </row>
    <row r="3022" spans="1:15" x14ac:dyDescent="0.25">
      <c r="A3022" s="64" t="s">
        <v>225</v>
      </c>
      <c r="B3022" s="79" t="str">
        <f>IF(Thirteenth!B25="", "",Thirteenth!B25)</f>
        <v>CSS</v>
      </c>
      <c r="C3022" s="66" t="str">
        <f>IF(Thirteenth!C25="", "",Thirteenth!C25)</f>
        <v>PwC</v>
      </c>
      <c r="D3022" s="66" t="str">
        <f>IF(Thirteenth!D25="", "",Thirteenth!D25)</f>
        <v>Returning</v>
      </c>
      <c r="E3022" s="66" t="str">
        <f>IF(Thirteenth!E25="", "",Thirteenth!E25)</f>
        <v>Female</v>
      </c>
      <c r="F3022" s="66" t="str">
        <f>IF(Thirteenth!F25="", "",Thirteenth!F25)</f>
        <v>Haemat</v>
      </c>
      <c r="G3022" s="66" t="str">
        <f>IF(Thirteenth!G25="", "",Thirteenth!G25)</f>
        <v>Curative Intent</v>
      </c>
      <c r="H3022" s="66" t="str">
        <f>IF(Thirteenth!H25="", "",Thirteenth!H25)</f>
        <v>Programme</v>
      </c>
      <c r="I3022" s="66" t="str">
        <f>IF(Thirteenth!I25="", "",Thirteenth!I25)</f>
        <v>FSG Young Women's</v>
      </c>
      <c r="J3022" s="66" t="str">
        <f>IF(Thirteenth!J25="", "",Thirteenth!J25)</f>
        <v>Expressive art</v>
      </c>
      <c r="K3022" s="86" t="str">
        <f>IF(Thirteenth!K25="", "",Thirteenth!K25)</f>
        <v/>
      </c>
      <c r="M3022" s="67">
        <f t="shared" si="143"/>
        <v>7</v>
      </c>
      <c r="N3022" s="76" t="str">
        <f t="shared" si="144"/>
        <v/>
      </c>
      <c r="O3022" s="33">
        <f t="shared" si="142"/>
        <v>7</v>
      </c>
    </row>
    <row r="3023" spans="1:15" x14ac:dyDescent="0.25">
      <c r="A3023" s="64" t="s">
        <v>225</v>
      </c>
      <c r="B3023" s="79" t="str">
        <f>IF(Thirteenth!B26="", "",Thirteenth!B26)</f>
        <v>CSS</v>
      </c>
      <c r="C3023" s="66" t="str">
        <f>IF(Thirteenth!C26="", "",Thirteenth!C26)</f>
        <v>PwC</v>
      </c>
      <c r="D3023" s="66" t="str">
        <f>IF(Thirteenth!D26="", "",Thirteenth!D26)</f>
        <v>Returning</v>
      </c>
      <c r="E3023" s="66" t="str">
        <f>IF(Thirteenth!E26="", "",Thirteenth!E26)</f>
        <v>Female</v>
      </c>
      <c r="F3023" s="66" t="str">
        <f>IF(Thirteenth!F26="", "",Thirteenth!F26)</f>
        <v>Breast</v>
      </c>
      <c r="G3023" s="66" t="str">
        <f>IF(Thirteenth!G26="", "",Thirteenth!G26)</f>
        <v>Curative Intent</v>
      </c>
      <c r="H3023" s="66" t="str">
        <f>IF(Thirteenth!H26="", "",Thirteenth!H26)</f>
        <v>Programme</v>
      </c>
      <c r="I3023" s="66" t="str">
        <f>IF(Thirteenth!I26="", "",Thirteenth!I26)</f>
        <v>FSG Young Women's</v>
      </c>
      <c r="J3023" s="66" t="str">
        <f>IF(Thirteenth!J26="", "",Thirteenth!J26)</f>
        <v>Expressive art</v>
      </c>
      <c r="K3023" s="86" t="str">
        <f>IF(Thirteenth!K26="", "",Thirteenth!K26)</f>
        <v/>
      </c>
      <c r="M3023" s="67">
        <f t="shared" si="143"/>
        <v>7</v>
      </c>
      <c r="N3023" s="76" t="str">
        <f t="shared" si="144"/>
        <v/>
      </c>
      <c r="O3023" s="33">
        <f t="shared" si="142"/>
        <v>7</v>
      </c>
    </row>
    <row r="3024" spans="1:15" x14ac:dyDescent="0.25">
      <c r="A3024" s="64" t="s">
        <v>225</v>
      </c>
      <c r="B3024" s="79" t="str">
        <f>IF(Thirteenth!B27="", "",Thirteenth!B27)</f>
        <v>CSS</v>
      </c>
      <c r="C3024" s="66" t="str">
        <f>IF(Thirteenth!C27="", "",Thirteenth!C27)</f>
        <v>PwC</v>
      </c>
      <c r="D3024" s="66" t="str">
        <f>IF(Thirteenth!D27="", "",Thirteenth!D27)</f>
        <v>Returning</v>
      </c>
      <c r="E3024" s="66" t="str">
        <f>IF(Thirteenth!E27="", "",Thirteenth!E27)</f>
        <v>Female</v>
      </c>
      <c r="F3024" s="66" t="str">
        <f>IF(Thirteenth!F27="", "",Thirteenth!F27)</f>
        <v>Breast</v>
      </c>
      <c r="G3024" s="66" t="str">
        <f>IF(Thirteenth!G27="", "",Thirteenth!G27)</f>
        <v>Curative Intent</v>
      </c>
      <c r="H3024" s="66" t="str">
        <f>IF(Thirteenth!H27="", "",Thirteenth!H27)</f>
        <v>Programme</v>
      </c>
      <c r="I3024" s="66" t="str">
        <f>IF(Thirteenth!I27="", "",Thirteenth!I27)</f>
        <v>FSG Young Women's</v>
      </c>
      <c r="J3024" s="66" t="str">
        <f>IF(Thirteenth!J27="", "",Thirteenth!J27)</f>
        <v/>
      </c>
      <c r="K3024" s="86" t="str">
        <f>IF(Thirteenth!K27="", "",Thirteenth!K27)</f>
        <v/>
      </c>
      <c r="M3024" s="67">
        <f t="shared" si="143"/>
        <v>7</v>
      </c>
      <c r="N3024" s="76" t="str">
        <f t="shared" si="144"/>
        <v/>
      </c>
      <c r="O3024" s="33">
        <f t="shared" si="142"/>
        <v>7</v>
      </c>
    </row>
    <row r="3025" spans="1:15" x14ac:dyDescent="0.25">
      <c r="A3025" s="64" t="s">
        <v>225</v>
      </c>
      <c r="B3025" s="79" t="str">
        <f>IF(Thirteenth!B28="", "",Thirteenth!B28)</f>
        <v>CSS</v>
      </c>
      <c r="C3025" s="66" t="str">
        <f>IF(Thirteenth!C28="", "",Thirteenth!C28)</f>
        <v>Carer</v>
      </c>
      <c r="D3025" s="66" t="str">
        <f>IF(Thirteenth!D28="", "",Thirteenth!D28)</f>
        <v>Returning</v>
      </c>
      <c r="E3025" s="66" t="str">
        <f>IF(Thirteenth!E28="", "",Thirteenth!E28)</f>
        <v>Female</v>
      </c>
      <c r="F3025" s="66" t="str">
        <f>IF(Thirteenth!F28="", "",Thirteenth!F28)</f>
        <v>Upper GI</v>
      </c>
      <c r="G3025" s="66" t="str">
        <f>IF(Thirteenth!G28="", "",Thirteenth!G28)</f>
        <v>Bereaved</v>
      </c>
      <c r="H3025" s="66" t="str">
        <f>IF(Thirteenth!H28="", "",Thirteenth!H28)</f>
        <v>Booked</v>
      </c>
      <c r="I3025" s="66" t="str">
        <f>IF(Thirteenth!I28="", "",Thirteenth!I28)</f>
        <v>Psych Support - Individual</v>
      </c>
      <c r="J3025" s="66" t="str">
        <f>IF(Thirteenth!J28="", "",Thirteenth!J28)</f>
        <v/>
      </c>
      <c r="K3025" s="86" t="str">
        <f>IF(Thirteenth!K28="", "",Thirteenth!K28)</f>
        <v/>
      </c>
      <c r="M3025" s="67" t="str">
        <f t="shared" si="143"/>
        <v/>
      </c>
      <c r="N3025" s="76">
        <f t="shared" si="144"/>
        <v>7</v>
      </c>
      <c r="O3025" s="33">
        <f t="shared" si="142"/>
        <v>7</v>
      </c>
    </row>
    <row r="3026" spans="1:15" x14ac:dyDescent="0.25">
      <c r="A3026" s="64" t="s">
        <v>225</v>
      </c>
      <c r="B3026" s="79" t="str">
        <f>IF(Thirteenth!B29="", "",Thirteenth!B29)</f>
        <v>CSS</v>
      </c>
      <c r="C3026" s="66" t="str">
        <f>IF(Thirteenth!C29="", "",Thirteenth!C29)</f>
        <v>Carer</v>
      </c>
      <c r="D3026" s="66" t="str">
        <f>IF(Thirteenth!D29="", "",Thirteenth!D29)</f>
        <v>Returning</v>
      </c>
      <c r="E3026" s="66" t="str">
        <f>IF(Thirteenth!E29="", "",Thirteenth!E29)</f>
        <v>Female</v>
      </c>
      <c r="F3026" s="66" t="str">
        <f>IF(Thirteenth!F29="", "",Thirteenth!F29)</f>
        <v>Lung</v>
      </c>
      <c r="G3026" s="66" t="str">
        <f>IF(Thirteenth!G29="", "",Thirteenth!G29)</f>
        <v>Non-Curative Intent</v>
      </c>
      <c r="H3026" s="66" t="str">
        <f>IF(Thirteenth!H29="", "",Thirteenth!H29)</f>
        <v>Booked</v>
      </c>
      <c r="I3026" s="66" t="str">
        <f>IF(Thirteenth!I29="", "",Thirteenth!I29)</f>
        <v>Psych Support - Individual</v>
      </c>
      <c r="J3026" s="66" t="str">
        <f>IF(Thirteenth!J29="", "",Thirteenth!J29)</f>
        <v/>
      </c>
      <c r="K3026" s="86" t="str">
        <f>IF(Thirteenth!K29="", "",Thirteenth!K29)</f>
        <v/>
      </c>
      <c r="M3026" s="67" t="str">
        <f t="shared" si="143"/>
        <v/>
      </c>
      <c r="N3026" s="76">
        <f t="shared" si="144"/>
        <v>7</v>
      </c>
      <c r="O3026" s="33">
        <f t="shared" si="142"/>
        <v>7</v>
      </c>
    </row>
    <row r="3027" spans="1:15" x14ac:dyDescent="0.25">
      <c r="A3027" s="64" t="s">
        <v>225</v>
      </c>
      <c r="B3027" s="79" t="str">
        <f>IF(Thirteenth!B30="", "",Thirteenth!B30)</f>
        <v>CSS</v>
      </c>
      <c r="C3027" s="66" t="str">
        <f>IF(Thirteenth!C30="", "",Thirteenth!C30)</f>
        <v>PwC</v>
      </c>
      <c r="D3027" s="66" t="str">
        <f>IF(Thirteenth!D30="", "",Thirteenth!D30)</f>
        <v>New</v>
      </c>
      <c r="E3027" s="66" t="str">
        <f>IF(Thirteenth!E30="", "",Thirteenth!E30)</f>
        <v>Female</v>
      </c>
      <c r="F3027" s="66" t="str">
        <f>IF(Thirteenth!F30="", "",Thirteenth!F30)</f>
        <v>Breast</v>
      </c>
      <c r="G3027" s="66" t="str">
        <f>IF(Thirteenth!G30="", "",Thirteenth!G30)</f>
        <v>Curative Intent</v>
      </c>
      <c r="H3027" s="66" t="str">
        <f>IF(Thirteenth!H30="", "",Thirteenth!H30)</f>
        <v>Booked</v>
      </c>
      <c r="I3027" s="66" t="str">
        <f>IF(Thirteenth!I30="", "",Thirteenth!I30)</f>
        <v>Psych Support - Individual</v>
      </c>
      <c r="J3027" s="66" t="str">
        <f>IF(Thirteenth!J30="", "",Thirteenth!J30)</f>
        <v/>
      </c>
      <c r="K3027" s="86" t="str">
        <f>IF(Thirteenth!K30="", "",Thirteenth!K30)</f>
        <v/>
      </c>
      <c r="M3027" s="67">
        <f t="shared" si="143"/>
        <v>7</v>
      </c>
      <c r="N3027" s="76" t="str">
        <f t="shared" si="144"/>
        <v/>
      </c>
      <c r="O3027" s="33">
        <f t="shared" si="142"/>
        <v>7</v>
      </c>
    </row>
    <row r="3028" spans="1:15" x14ac:dyDescent="0.25">
      <c r="A3028" s="64" t="s">
        <v>225</v>
      </c>
      <c r="B3028" s="79" t="str">
        <f>IF(Thirteenth!B31="", "",Thirteenth!B31)</f>
        <v>CSS</v>
      </c>
      <c r="C3028" s="66" t="str">
        <f>IF(Thirteenth!C31="", "",Thirteenth!C31)</f>
        <v>Carer</v>
      </c>
      <c r="D3028" s="66" t="str">
        <f>IF(Thirteenth!D31="", "",Thirteenth!D31)</f>
        <v>New</v>
      </c>
      <c r="E3028" s="66" t="str">
        <f>IF(Thirteenth!E31="", "",Thirteenth!E31)</f>
        <v>Male</v>
      </c>
      <c r="F3028" s="66" t="str">
        <f>IF(Thirteenth!F31="", "",Thirteenth!F31)</f>
        <v>Breast</v>
      </c>
      <c r="G3028" s="66" t="str">
        <f>IF(Thirteenth!G31="", "",Thirteenth!G31)</f>
        <v>Curative Intent</v>
      </c>
      <c r="H3028" s="66" t="str">
        <f>IF(Thirteenth!H31="", "",Thirteenth!H31)</f>
        <v>Booked</v>
      </c>
      <c r="I3028" s="66" t="str">
        <f>IF(Thirteenth!I31="", "",Thirteenth!I31)</f>
        <v>Psych Support - Individual</v>
      </c>
      <c r="J3028" s="66" t="str">
        <f>IF(Thirteenth!J31="", "",Thirteenth!J31)</f>
        <v/>
      </c>
      <c r="K3028" s="86" t="str">
        <f>IF(Thirteenth!K31="", "",Thirteenth!K31)</f>
        <v/>
      </c>
      <c r="M3028" s="67" t="str">
        <f t="shared" si="143"/>
        <v/>
      </c>
      <c r="N3028" s="76">
        <f t="shared" si="144"/>
        <v>7</v>
      </c>
      <c r="O3028" s="33">
        <f t="shared" si="142"/>
        <v>7</v>
      </c>
    </row>
    <row r="3029" spans="1:15" x14ac:dyDescent="0.25">
      <c r="A3029" s="64" t="s">
        <v>225</v>
      </c>
      <c r="B3029" s="79" t="str">
        <f>IF(Thirteenth!B32="", "",Thirteenth!B32)</f>
        <v>CSS</v>
      </c>
      <c r="C3029" s="66" t="str">
        <f>IF(Thirteenth!C32="", "",Thirteenth!C32)</f>
        <v>PwC</v>
      </c>
      <c r="D3029" s="66" t="str">
        <f>IF(Thirteenth!D32="", "",Thirteenth!D32)</f>
        <v>New</v>
      </c>
      <c r="E3029" s="66" t="str">
        <f>IF(Thirteenth!E32="", "",Thirteenth!E32)</f>
        <v>Female</v>
      </c>
      <c r="F3029" s="66" t="str">
        <f>IF(Thirteenth!F32="", "",Thirteenth!F32)</f>
        <v>Skin/Mel</v>
      </c>
      <c r="G3029" s="66" t="str">
        <f>IF(Thirteenth!G32="", "",Thirteenth!G32)</f>
        <v>Curative Intent</v>
      </c>
      <c r="H3029" s="66" t="str">
        <f>IF(Thirteenth!H32="", "",Thirteenth!H32)</f>
        <v>Drop-In</v>
      </c>
      <c r="I3029" s="66" t="str">
        <f>IF(Thirteenth!I32="", "",Thirteenth!I32)</f>
        <v/>
      </c>
      <c r="J3029" s="66" t="str">
        <f>IF(Thirteenth!J32="", "",Thirteenth!J32)</f>
        <v/>
      </c>
      <c r="K3029" s="86" t="str">
        <f>IF(Thirteenth!K32="", "",Thirteenth!K32)</f>
        <v/>
      </c>
      <c r="M3029" s="67">
        <f t="shared" si="143"/>
        <v>7</v>
      </c>
      <c r="N3029" s="76" t="str">
        <f t="shared" si="144"/>
        <v/>
      </c>
      <c r="O3029" s="33">
        <f t="shared" si="142"/>
        <v>7</v>
      </c>
    </row>
    <row r="3030" spans="1:15" x14ac:dyDescent="0.25">
      <c r="A3030" s="64" t="s">
        <v>225</v>
      </c>
      <c r="B3030" s="79" t="str">
        <f>IF(Thirteenth!B33="", "",Thirteenth!B33)</f>
        <v>CSS</v>
      </c>
      <c r="C3030" s="66" t="str">
        <f>IF(Thirteenth!C33="", "",Thirteenth!C33)</f>
        <v>PwC</v>
      </c>
      <c r="D3030" s="66" t="str">
        <f>IF(Thirteenth!D33="", "",Thirteenth!D33)</f>
        <v>Returning</v>
      </c>
      <c r="E3030" s="66" t="str">
        <f>IF(Thirteenth!E33="", "",Thirteenth!E33)</f>
        <v>Female</v>
      </c>
      <c r="F3030" s="66" t="str">
        <f>IF(Thirteenth!F33="", "",Thirteenth!F33)</f>
        <v>Breast</v>
      </c>
      <c r="G3030" s="66" t="str">
        <f>IF(Thirteenth!G33="", "",Thirteenth!G33)</f>
        <v>Curative Intent</v>
      </c>
      <c r="H3030" s="66" t="str">
        <f>IF(Thirteenth!H33="", "",Thirteenth!H33)</f>
        <v>Drop-In</v>
      </c>
      <c r="I3030" s="66" t="str">
        <f>IF(Thirteenth!I33="", "",Thirteenth!I33)</f>
        <v/>
      </c>
      <c r="J3030" s="66" t="str">
        <f>IF(Thirteenth!J33="", "",Thirteenth!J33)</f>
        <v/>
      </c>
      <c r="K3030" s="86" t="str">
        <f>IF(Thirteenth!K33="", "",Thirteenth!K33)</f>
        <v/>
      </c>
      <c r="M3030" s="67">
        <f t="shared" si="143"/>
        <v>7</v>
      </c>
      <c r="N3030" s="76" t="str">
        <f t="shared" si="144"/>
        <v/>
      </c>
      <c r="O3030" s="33">
        <f t="shared" si="142"/>
        <v>7</v>
      </c>
    </row>
    <row r="3031" spans="1:15" x14ac:dyDescent="0.25">
      <c r="A3031" s="64" t="s">
        <v>225</v>
      </c>
      <c r="B3031" s="79" t="str">
        <f>IF(Thirteenth!B34="", "",Thirteenth!B34)</f>
        <v>CSS</v>
      </c>
      <c r="C3031" s="66" t="str">
        <f>IF(Thirteenth!C34="", "",Thirteenth!C34)</f>
        <v>PwC</v>
      </c>
      <c r="D3031" s="66" t="str">
        <f>IF(Thirteenth!D34="", "",Thirteenth!D34)</f>
        <v>Returning</v>
      </c>
      <c r="E3031" s="66" t="str">
        <f>IF(Thirteenth!E34="", "",Thirteenth!E34)</f>
        <v>Male</v>
      </c>
      <c r="F3031" s="66" t="str">
        <f>IF(Thirteenth!F34="", "",Thirteenth!F34)</f>
        <v>Prostate</v>
      </c>
      <c r="G3031" s="66" t="str">
        <f>IF(Thirteenth!G34="", "",Thirteenth!G34)</f>
        <v>Post Treatment - Curative Intent</v>
      </c>
      <c r="H3031" s="66" t="str">
        <f>IF(Thirteenth!H34="", "",Thirteenth!H34)</f>
        <v>Drop-In</v>
      </c>
      <c r="I3031" s="66" t="str">
        <f>IF(Thirteenth!I34="", "",Thirteenth!I34)</f>
        <v/>
      </c>
      <c r="J3031" s="66" t="str">
        <f>IF(Thirteenth!J34="", "",Thirteenth!J34)</f>
        <v/>
      </c>
      <c r="K3031" s="86" t="str">
        <f>IF(Thirteenth!K34="", "",Thirteenth!K34)</f>
        <v/>
      </c>
      <c r="M3031" s="67">
        <f t="shared" si="143"/>
        <v>7</v>
      </c>
      <c r="N3031" s="76" t="str">
        <f t="shared" si="144"/>
        <v/>
      </c>
      <c r="O3031" s="33">
        <f t="shared" si="142"/>
        <v>7</v>
      </c>
    </row>
    <row r="3032" spans="1:15" x14ac:dyDescent="0.25">
      <c r="A3032" s="64" t="s">
        <v>225</v>
      </c>
      <c r="B3032" s="79" t="str">
        <f>IF(Thirteenth!B35="", "",Thirteenth!B35)</f>
        <v>CSS</v>
      </c>
      <c r="C3032" s="66" t="str">
        <f>IF(Thirteenth!C35="", "",Thirteenth!C35)</f>
        <v>PwC</v>
      </c>
      <c r="D3032" s="66" t="str">
        <f>IF(Thirteenth!D35="", "",Thirteenth!D35)</f>
        <v>New</v>
      </c>
      <c r="E3032" s="66" t="str">
        <f>IF(Thirteenth!E35="", "",Thirteenth!E35)</f>
        <v>Female</v>
      </c>
      <c r="F3032" s="66" t="str">
        <f>IF(Thirteenth!F35="", "",Thirteenth!F35)</f>
        <v>Upper GI</v>
      </c>
      <c r="G3032" s="66" t="str">
        <f>IF(Thirteenth!G35="", "",Thirteenth!G35)</f>
        <v>Curative Intent</v>
      </c>
      <c r="H3032" s="66" t="str">
        <f>IF(Thirteenth!H35="", "",Thirteenth!H35)</f>
        <v>Drop-In</v>
      </c>
      <c r="I3032" s="66" t="str">
        <f>IF(Thirteenth!I35="", "",Thirteenth!I35)</f>
        <v/>
      </c>
      <c r="J3032" s="66" t="str">
        <f>IF(Thirteenth!J35="", "",Thirteenth!J35)</f>
        <v/>
      </c>
      <c r="K3032" s="86" t="str">
        <f>IF(Thirteenth!K35="", "",Thirteenth!K35)</f>
        <v/>
      </c>
      <c r="M3032" s="67">
        <f t="shared" si="143"/>
        <v>7</v>
      </c>
      <c r="N3032" s="76" t="str">
        <f t="shared" si="144"/>
        <v/>
      </c>
      <c r="O3032" s="33">
        <f t="shared" si="142"/>
        <v>7</v>
      </c>
    </row>
    <row r="3033" spans="1:15" x14ac:dyDescent="0.25">
      <c r="A3033" s="64" t="s">
        <v>225</v>
      </c>
      <c r="B3033" s="79" t="str">
        <f>IF(Thirteenth!B36="", "",Thirteenth!B36)</f>
        <v>CSS</v>
      </c>
      <c r="C3033" s="66" t="str">
        <f>IF(Thirteenth!C36="", "",Thirteenth!C36)</f>
        <v>Carer</v>
      </c>
      <c r="D3033" s="66" t="str">
        <f>IF(Thirteenth!D36="", "",Thirteenth!D36)</f>
        <v>New</v>
      </c>
      <c r="E3033" s="66" t="str">
        <f>IF(Thirteenth!E36="", "",Thirteenth!E36)</f>
        <v>Male</v>
      </c>
      <c r="F3033" s="66" t="str">
        <f>IF(Thirteenth!F36="", "",Thirteenth!F36)</f>
        <v>Upper GI</v>
      </c>
      <c r="G3033" s="66" t="str">
        <f>IF(Thirteenth!G36="", "",Thirteenth!G36)</f>
        <v>Curative Intent</v>
      </c>
      <c r="H3033" s="66" t="str">
        <f>IF(Thirteenth!H36="", "",Thirteenth!H36)</f>
        <v>Drop-In</v>
      </c>
      <c r="I3033" s="66" t="str">
        <f>IF(Thirteenth!I36="", "",Thirteenth!I36)</f>
        <v/>
      </c>
      <c r="J3033" s="66" t="str">
        <f>IF(Thirteenth!J36="", "",Thirteenth!J36)</f>
        <v/>
      </c>
      <c r="K3033" s="86" t="str">
        <f>IF(Thirteenth!K36="", "",Thirteenth!K36)</f>
        <v/>
      </c>
      <c r="M3033" s="67" t="str">
        <f t="shared" si="143"/>
        <v/>
      </c>
      <c r="N3033" s="76">
        <f t="shared" si="144"/>
        <v>7</v>
      </c>
      <c r="O3033" s="33">
        <f t="shared" si="142"/>
        <v>7</v>
      </c>
    </row>
    <row r="3034" spans="1:15" x14ac:dyDescent="0.25">
      <c r="A3034" s="64" t="s">
        <v>225</v>
      </c>
      <c r="B3034" s="79" t="str">
        <f>IF(Thirteenth!B37="", "",Thirteenth!B37)</f>
        <v>CSS</v>
      </c>
      <c r="C3034" s="66" t="str">
        <f>IF(Thirteenth!C37="", "",Thirteenth!C37)</f>
        <v>Carer</v>
      </c>
      <c r="D3034" s="66" t="str">
        <f>IF(Thirteenth!D37="", "",Thirteenth!D37)</f>
        <v>Returning</v>
      </c>
      <c r="E3034" s="66" t="str">
        <f>IF(Thirteenth!E37="", "",Thirteenth!E37)</f>
        <v>Under 18 Female</v>
      </c>
      <c r="F3034" s="66" t="str">
        <f>IF(Thirteenth!F37="", "",Thirteenth!F37)</f>
        <v>Haemat</v>
      </c>
      <c r="G3034" s="66" t="str">
        <f>IF(Thirteenth!G37="", "",Thirteenth!G37)</f>
        <v>Bereaved</v>
      </c>
      <c r="H3034" s="66" t="str">
        <f>IF(Thirteenth!H37="", "",Thirteenth!H37)</f>
        <v>Booked</v>
      </c>
      <c r="I3034" s="66" t="str">
        <f>IF(Thirteenth!I37="", "",Thirteenth!I37)</f>
        <v>Psych Support - Individual</v>
      </c>
      <c r="J3034" s="66" t="str">
        <f>IF(Thirteenth!J37="", "",Thirteenth!J37)</f>
        <v/>
      </c>
      <c r="K3034" s="86" t="str">
        <f>IF(Thirteenth!K37="", "",Thirteenth!K37)</f>
        <v/>
      </c>
      <c r="M3034" s="67" t="str">
        <f t="shared" si="143"/>
        <v/>
      </c>
      <c r="N3034" s="76">
        <f t="shared" si="144"/>
        <v>7</v>
      </c>
      <c r="O3034" s="33">
        <f t="shared" si="142"/>
        <v>7</v>
      </c>
    </row>
    <row r="3035" spans="1:15" x14ac:dyDescent="0.25">
      <c r="A3035" s="64" t="s">
        <v>225</v>
      </c>
      <c r="B3035" s="79" t="str">
        <f>IF(Thirteenth!B38="", "",Thirteenth!B38)</f>
        <v>CSS</v>
      </c>
      <c r="C3035" s="66" t="str">
        <f>IF(Thirteenth!C38="", "",Thirteenth!C38)</f>
        <v>Carer</v>
      </c>
      <c r="D3035" s="66" t="str">
        <f>IF(Thirteenth!D38="", "",Thirteenth!D38)</f>
        <v>New</v>
      </c>
      <c r="E3035" s="66" t="str">
        <f>IF(Thirteenth!E38="", "",Thirteenth!E38)</f>
        <v>Female</v>
      </c>
      <c r="F3035" s="66" t="str">
        <f>IF(Thirteenth!F38="", "",Thirteenth!F38)</f>
        <v>Haemat</v>
      </c>
      <c r="G3035" s="66" t="str">
        <f>IF(Thirteenth!G38="", "",Thirteenth!G38)</f>
        <v>Curative Intent</v>
      </c>
      <c r="H3035" s="66" t="str">
        <f>IF(Thirteenth!H38="", "",Thirteenth!H38)</f>
        <v>Drop-In</v>
      </c>
      <c r="I3035" s="66" t="str">
        <f>IF(Thirteenth!I38="", "",Thirteenth!I38)</f>
        <v/>
      </c>
      <c r="J3035" s="66" t="str">
        <f>IF(Thirteenth!J38="", "",Thirteenth!J38)</f>
        <v/>
      </c>
      <c r="K3035" s="86" t="str">
        <f>IF(Thirteenth!K38="", "",Thirteenth!K38)</f>
        <v/>
      </c>
      <c r="M3035" s="67" t="str">
        <f t="shared" si="143"/>
        <v/>
      </c>
      <c r="N3035" s="76">
        <f t="shared" si="144"/>
        <v>7</v>
      </c>
      <c r="O3035" s="33">
        <f t="shared" si="142"/>
        <v>7</v>
      </c>
    </row>
    <row r="3036" spans="1:15" x14ac:dyDescent="0.25">
      <c r="A3036" s="64" t="s">
        <v>225</v>
      </c>
      <c r="B3036" s="79" t="str">
        <f>IF(Thirteenth!B39="", "",Thirteenth!B39)</f>
        <v>CSS</v>
      </c>
      <c r="C3036" s="66" t="str">
        <f>IF(Thirteenth!C39="", "",Thirteenth!C39)</f>
        <v>Carer</v>
      </c>
      <c r="D3036" s="66" t="str">
        <f>IF(Thirteenth!D39="", "",Thirteenth!D39)</f>
        <v>Returning</v>
      </c>
      <c r="E3036" s="66" t="str">
        <f>IF(Thirteenth!E39="", "",Thirteenth!E39)</f>
        <v>Male</v>
      </c>
      <c r="F3036" s="66" t="str">
        <f>IF(Thirteenth!F39="", "",Thirteenth!F39)</f>
        <v>Lower GI</v>
      </c>
      <c r="G3036" s="66" t="str">
        <f>IF(Thirteenth!G39="", "",Thirteenth!G39)</f>
        <v>Bereaved</v>
      </c>
      <c r="H3036" s="66" t="str">
        <f>IF(Thirteenth!H39="", "",Thirteenth!H39)</f>
        <v>Booked</v>
      </c>
      <c r="I3036" s="66" t="str">
        <f>IF(Thirteenth!I39="", "",Thirteenth!I39)</f>
        <v>Psych Support - Individual</v>
      </c>
      <c r="J3036" s="66" t="str">
        <f>IF(Thirteenth!J39="", "",Thirteenth!J39)</f>
        <v/>
      </c>
      <c r="K3036" s="86" t="str">
        <f>IF(Thirteenth!K39="", "",Thirteenth!K39)</f>
        <v/>
      </c>
      <c r="M3036" s="67" t="str">
        <f t="shared" si="143"/>
        <v/>
      </c>
      <c r="N3036" s="76">
        <f t="shared" si="144"/>
        <v>7</v>
      </c>
      <c r="O3036" s="33">
        <f t="shared" si="142"/>
        <v>7</v>
      </c>
    </row>
    <row r="3037" spans="1:15" x14ac:dyDescent="0.25">
      <c r="A3037" s="64" t="s">
        <v>225</v>
      </c>
      <c r="B3037" s="79" t="str">
        <f>IF(Thirteenth!B40="", "",Thirteenth!B40)</f>
        <v>CSS</v>
      </c>
      <c r="C3037" s="66" t="str">
        <f>IF(Thirteenth!C40="", "",Thirteenth!C40)</f>
        <v>Carer</v>
      </c>
      <c r="D3037" s="66" t="str">
        <f>IF(Thirteenth!D40="", "",Thirteenth!D40)</f>
        <v>Returning</v>
      </c>
      <c r="E3037" s="66" t="str">
        <f>IF(Thirteenth!E40="", "",Thirteenth!E40)</f>
        <v>Female</v>
      </c>
      <c r="F3037" s="66" t="str">
        <f>IF(Thirteenth!F40="", "",Thirteenth!F40)</f>
        <v>Lower GI</v>
      </c>
      <c r="G3037" s="66" t="str">
        <f>IF(Thirteenth!G40="", "",Thirteenth!G40)</f>
        <v>Curative Intent</v>
      </c>
      <c r="H3037" s="66" t="str">
        <f>IF(Thirteenth!H40="", "",Thirteenth!H40)</f>
        <v>Booked</v>
      </c>
      <c r="I3037" s="66" t="str">
        <f>IF(Thirteenth!I40="", "",Thirteenth!I40)</f>
        <v>Psych Support - Individual</v>
      </c>
      <c r="J3037" s="66" t="str">
        <f>IF(Thirteenth!J40="", "",Thirteenth!J40)</f>
        <v/>
      </c>
      <c r="K3037" s="86" t="str">
        <f>IF(Thirteenth!K40="", "",Thirteenth!K40)</f>
        <v/>
      </c>
      <c r="M3037" s="67" t="str">
        <f t="shared" si="143"/>
        <v/>
      </c>
      <c r="N3037" s="76">
        <f t="shared" si="144"/>
        <v>7</v>
      </c>
      <c r="O3037" s="33">
        <f t="shared" si="142"/>
        <v>7</v>
      </c>
    </row>
    <row r="3038" spans="1:15" x14ac:dyDescent="0.25">
      <c r="A3038" s="64" t="s">
        <v>225</v>
      </c>
      <c r="B3038" s="79" t="str">
        <f>IF(Thirteenth!B41="", "",Thirteenth!B41)</f>
        <v>CSS</v>
      </c>
      <c r="C3038" s="66" t="str">
        <f>IF(Thirteenth!C41="", "",Thirteenth!C41)</f>
        <v>PwC</v>
      </c>
      <c r="D3038" s="66" t="str">
        <f>IF(Thirteenth!D41="", "",Thirteenth!D41)</f>
        <v>Returning</v>
      </c>
      <c r="E3038" s="66" t="str">
        <f>IF(Thirteenth!E41="", "",Thirteenth!E41)</f>
        <v>Female</v>
      </c>
      <c r="F3038" s="66" t="str">
        <f>IF(Thirteenth!F41="", "",Thirteenth!F41)</f>
        <v>Gynae</v>
      </c>
      <c r="G3038" s="66" t="str">
        <f>IF(Thirteenth!G41="", "",Thirteenth!G41)</f>
        <v>Curative Intent</v>
      </c>
      <c r="H3038" s="66" t="str">
        <f>IF(Thirteenth!H41="", "",Thirteenth!H41)</f>
        <v>Booked</v>
      </c>
      <c r="I3038" s="66" t="str">
        <f>IF(Thirteenth!I41="", "",Thirteenth!I41)</f>
        <v>Psych Support - Individual</v>
      </c>
      <c r="J3038" s="66" t="str">
        <f>IF(Thirteenth!J41="", "",Thirteenth!J41)</f>
        <v/>
      </c>
      <c r="K3038" s="86" t="str">
        <f>IF(Thirteenth!K41="", "",Thirteenth!K41)</f>
        <v/>
      </c>
      <c r="M3038" s="67">
        <f t="shared" si="143"/>
        <v>7</v>
      </c>
      <c r="N3038" s="76" t="str">
        <f t="shared" si="144"/>
        <v/>
      </c>
      <c r="O3038" s="33">
        <f t="shared" si="142"/>
        <v>7</v>
      </c>
    </row>
    <row r="3039" spans="1:15" x14ac:dyDescent="0.25">
      <c r="A3039" s="64" t="s">
        <v>225</v>
      </c>
      <c r="B3039" s="79" t="str">
        <f>IF(Thirteenth!B42="", "",Thirteenth!B42)</f>
        <v>CSS</v>
      </c>
      <c r="C3039" s="66" t="str">
        <f>IF(Thirteenth!C42="", "",Thirteenth!C42)</f>
        <v>PwC</v>
      </c>
      <c r="D3039" s="66" t="str">
        <f>IF(Thirteenth!D42="", "",Thirteenth!D42)</f>
        <v>Returning</v>
      </c>
      <c r="E3039" s="66" t="str">
        <f>IF(Thirteenth!E42="", "",Thirteenth!E42)</f>
        <v>Male</v>
      </c>
      <c r="F3039" s="66" t="str">
        <f>IF(Thirteenth!F42="", "",Thirteenth!F42)</f>
        <v>Haemat</v>
      </c>
      <c r="G3039" s="66" t="str">
        <f>IF(Thirteenth!G42="", "",Thirteenth!G42)</f>
        <v>Non-Curative Intent</v>
      </c>
      <c r="H3039" s="66" t="str">
        <f>IF(Thirteenth!H42="", "",Thirteenth!H42)</f>
        <v>Drop-In</v>
      </c>
      <c r="I3039" s="66" t="str">
        <f>IF(Thirteenth!I42="", "",Thirteenth!I42)</f>
        <v/>
      </c>
      <c r="J3039" s="66" t="str">
        <f>IF(Thirteenth!J42="", "",Thirteenth!J42)</f>
        <v/>
      </c>
      <c r="K3039" s="86" t="str">
        <f>IF(Thirteenth!K42="", "",Thirteenth!K42)</f>
        <v/>
      </c>
      <c r="M3039" s="67">
        <f t="shared" si="143"/>
        <v>7</v>
      </c>
      <c r="N3039" s="76" t="str">
        <f t="shared" si="144"/>
        <v/>
      </c>
      <c r="O3039" s="33">
        <f t="shared" si="142"/>
        <v>7</v>
      </c>
    </row>
    <row r="3040" spans="1:15" x14ac:dyDescent="0.25">
      <c r="A3040" s="64" t="s">
        <v>225</v>
      </c>
      <c r="B3040" s="79" t="str">
        <f>IF(Thirteenth!B43="", "",Thirteenth!B43)</f>
        <v>CSS</v>
      </c>
      <c r="C3040" s="66" t="str">
        <f>IF(Thirteenth!C43="", "",Thirteenth!C43)</f>
        <v>Carer</v>
      </c>
      <c r="D3040" s="66" t="str">
        <f>IF(Thirteenth!D43="", "",Thirteenth!D43)</f>
        <v>Returning</v>
      </c>
      <c r="E3040" s="66" t="str">
        <f>IF(Thirteenth!E43="", "",Thirteenth!E43)</f>
        <v>Female</v>
      </c>
      <c r="F3040" s="66" t="str">
        <f>IF(Thirteenth!F43="", "",Thirteenth!F43)</f>
        <v>Haemat</v>
      </c>
      <c r="G3040" s="66" t="str">
        <f>IF(Thirteenth!G43="", "",Thirteenth!G43)</f>
        <v>Non-Curative Intent</v>
      </c>
      <c r="H3040" s="66" t="str">
        <f>IF(Thirteenth!H43="", "",Thirteenth!H43)</f>
        <v>Drop-In</v>
      </c>
      <c r="I3040" s="66" t="str">
        <f>IF(Thirteenth!I43="", "",Thirteenth!I43)</f>
        <v/>
      </c>
      <c r="J3040" s="66" t="str">
        <f>IF(Thirteenth!J43="", "",Thirteenth!J43)</f>
        <v/>
      </c>
      <c r="K3040" s="86" t="str">
        <f>IF(Thirteenth!K43="", "",Thirteenth!K43)</f>
        <v/>
      </c>
      <c r="M3040" s="67" t="str">
        <f t="shared" si="143"/>
        <v/>
      </c>
      <c r="N3040" s="76">
        <f t="shared" si="144"/>
        <v>7</v>
      </c>
      <c r="O3040" s="33">
        <f t="shared" si="142"/>
        <v>7</v>
      </c>
    </row>
    <row r="3041" spans="1:15" x14ac:dyDescent="0.25">
      <c r="A3041" s="64" t="s">
        <v>225</v>
      </c>
      <c r="B3041" s="79" t="str">
        <f>IF(Thirteenth!B44="", "",Thirteenth!B44)</f>
        <v>Psychologist</v>
      </c>
      <c r="C3041" s="66" t="str">
        <f>IF(Thirteenth!C44="", "",Thirteenth!C44)</f>
        <v>PwC</v>
      </c>
      <c r="D3041" s="66" t="str">
        <f>IF(Thirteenth!D44="", "",Thirteenth!D44)</f>
        <v>Returning</v>
      </c>
      <c r="E3041" s="66" t="str">
        <f>IF(Thirteenth!E44="", "",Thirteenth!E44)</f>
        <v>Female</v>
      </c>
      <c r="F3041" s="66" t="str">
        <f>IF(Thirteenth!F44="", "",Thirteenth!F44)</f>
        <v>Breast</v>
      </c>
      <c r="G3041" s="66" t="str">
        <f>IF(Thirteenth!G44="", "",Thirteenth!G44)</f>
        <v>Non-Curative Intent</v>
      </c>
      <c r="H3041" s="66" t="str">
        <f>IF(Thirteenth!H44="", "",Thirteenth!H44)</f>
        <v>Booked</v>
      </c>
      <c r="I3041" s="66" t="str">
        <f>IF(Thirteenth!I44="", "",Thirteenth!I44)</f>
        <v>Psych Support - Individual</v>
      </c>
      <c r="J3041" s="66" t="str">
        <f>IF(Thirteenth!J44="", "",Thirteenth!J44)</f>
        <v/>
      </c>
      <c r="K3041" s="86" t="str">
        <f>IF(Thirteenth!K44="", "",Thirteenth!K44)</f>
        <v/>
      </c>
      <c r="M3041" s="67">
        <f t="shared" si="143"/>
        <v>7</v>
      </c>
      <c r="N3041" s="76" t="str">
        <f t="shared" si="144"/>
        <v/>
      </c>
      <c r="O3041" s="33">
        <f t="shared" si="142"/>
        <v>7</v>
      </c>
    </row>
    <row r="3042" spans="1:15" x14ac:dyDescent="0.25">
      <c r="A3042" s="64" t="s">
        <v>225</v>
      </c>
      <c r="B3042" s="79" t="str">
        <f>IF(Thirteenth!B45="", "",Thirteenth!B45)</f>
        <v>Psychologist</v>
      </c>
      <c r="C3042" s="66" t="str">
        <f>IF(Thirteenth!C45="", "",Thirteenth!C45)</f>
        <v>Carer</v>
      </c>
      <c r="D3042" s="66" t="str">
        <f>IF(Thirteenth!D45="", "",Thirteenth!D45)</f>
        <v>Returning</v>
      </c>
      <c r="E3042" s="66" t="str">
        <f>IF(Thirteenth!E45="", "",Thirteenth!E45)</f>
        <v>Female</v>
      </c>
      <c r="F3042" s="66" t="str">
        <f>IF(Thirteenth!F45="", "",Thirteenth!F45)</f>
        <v>Pancreatic</v>
      </c>
      <c r="G3042" s="66" t="str">
        <f>IF(Thirteenth!G45="", "",Thirteenth!G45)</f>
        <v>Bereaved</v>
      </c>
      <c r="H3042" s="66" t="str">
        <f>IF(Thirteenth!H45="", "",Thirteenth!H45)</f>
        <v>Booked</v>
      </c>
      <c r="I3042" s="66" t="str">
        <f>IF(Thirteenth!I45="", "",Thirteenth!I45)</f>
        <v>Psych Support - Individual</v>
      </c>
      <c r="J3042" s="66" t="str">
        <f>IF(Thirteenth!J45="", "",Thirteenth!J45)</f>
        <v>Benefits Workshop</v>
      </c>
      <c r="K3042" s="86" t="str">
        <f>IF(Thirteenth!K45="", "",Thirteenth!K45)</f>
        <v/>
      </c>
      <c r="M3042" s="67" t="str">
        <f t="shared" si="143"/>
        <v/>
      </c>
      <c r="N3042" s="76">
        <f t="shared" si="144"/>
        <v>7</v>
      </c>
      <c r="O3042" s="33">
        <f t="shared" si="142"/>
        <v>7</v>
      </c>
    </row>
    <row r="3043" spans="1:15" x14ac:dyDescent="0.25">
      <c r="A3043" s="64" t="s">
        <v>225</v>
      </c>
      <c r="B3043" s="79" t="str">
        <f>IF(Thirteenth!B46="", "",Thirteenth!B46)</f>
        <v>Psychologist</v>
      </c>
      <c r="C3043" s="66" t="str">
        <f>IF(Thirteenth!C46="", "",Thirteenth!C46)</f>
        <v>Carer</v>
      </c>
      <c r="D3043" s="66" t="str">
        <f>IF(Thirteenth!D46="", "",Thirteenth!D46)</f>
        <v>Returning</v>
      </c>
      <c r="E3043" s="66" t="str">
        <f>IF(Thirteenth!E46="", "",Thirteenth!E46)</f>
        <v>Female</v>
      </c>
      <c r="F3043" s="66" t="str">
        <f>IF(Thirteenth!F46="", "",Thirteenth!F46)</f>
        <v>Brain/CNS</v>
      </c>
      <c r="G3043" s="66" t="str">
        <f>IF(Thirteenth!G46="", "",Thirteenth!G46)</f>
        <v>Bereaved</v>
      </c>
      <c r="H3043" s="66" t="str">
        <f>IF(Thirteenth!H46="", "",Thirteenth!H46)</f>
        <v>Booked</v>
      </c>
      <c r="I3043" s="66" t="str">
        <f>IF(Thirteenth!I46="", "",Thirteenth!I46)</f>
        <v>Psych Support - Individual</v>
      </c>
      <c r="J3043" s="66" t="str">
        <f>IF(Thirteenth!J46="", "",Thirteenth!J46)</f>
        <v>Benefits Workshop</v>
      </c>
      <c r="K3043" s="86" t="str">
        <f>IF(Thirteenth!K46="", "",Thirteenth!K46)</f>
        <v/>
      </c>
      <c r="M3043" s="67" t="str">
        <f t="shared" si="143"/>
        <v/>
      </c>
      <c r="N3043" s="76">
        <f t="shared" si="144"/>
        <v>7</v>
      </c>
      <c r="O3043" s="33">
        <f t="shared" si="142"/>
        <v>7</v>
      </c>
    </row>
    <row r="3044" spans="1:15" x14ac:dyDescent="0.25">
      <c r="A3044" s="64" t="s">
        <v>225</v>
      </c>
      <c r="B3044" s="79" t="str">
        <f>IF(Thirteenth!B47="", "",Thirteenth!B47)</f>
        <v>Psychologist</v>
      </c>
      <c r="C3044" s="66" t="str">
        <f>IF(Thirteenth!C47="", "",Thirteenth!C47)</f>
        <v>PwC</v>
      </c>
      <c r="D3044" s="66" t="str">
        <f>IF(Thirteenth!D47="", "",Thirteenth!D47)</f>
        <v>Returning</v>
      </c>
      <c r="E3044" s="66" t="str">
        <f>IF(Thirteenth!E47="", "",Thirteenth!E47)</f>
        <v>Male</v>
      </c>
      <c r="F3044" s="66" t="str">
        <f>IF(Thirteenth!F47="", "",Thirteenth!F47)</f>
        <v>Upper GI</v>
      </c>
      <c r="G3044" s="66" t="str">
        <f>IF(Thirteenth!G47="", "",Thirteenth!G47)</f>
        <v>Non-Curative Intent</v>
      </c>
      <c r="H3044" s="66" t="str">
        <f>IF(Thirteenth!H47="", "",Thirteenth!H47)</f>
        <v>Booked</v>
      </c>
      <c r="I3044" s="66" t="str">
        <f>IF(Thirteenth!I47="", "",Thirteenth!I47)</f>
        <v>Psych Support - Individual</v>
      </c>
      <c r="J3044" s="66" t="str">
        <f>IF(Thirteenth!J47="", "",Thirteenth!J47)</f>
        <v>Benefits Workshop</v>
      </c>
      <c r="K3044" s="86" t="str">
        <f>IF(Thirteenth!K47="", "",Thirteenth!K47)</f>
        <v/>
      </c>
      <c r="M3044" s="67">
        <f t="shared" si="143"/>
        <v>7</v>
      </c>
      <c r="N3044" s="76" t="str">
        <f t="shared" si="144"/>
        <v/>
      </c>
      <c r="O3044" s="33">
        <f t="shared" si="142"/>
        <v>7</v>
      </c>
    </row>
    <row r="3045" spans="1:15" x14ac:dyDescent="0.25">
      <c r="A3045" s="64" t="s">
        <v>225</v>
      </c>
      <c r="B3045" s="79" t="str">
        <f>IF(Thirteenth!B48="", "",Thirteenth!B48)</f>
        <v>Psychologist</v>
      </c>
      <c r="C3045" s="66" t="str">
        <f>IF(Thirteenth!C48="", "",Thirteenth!C48)</f>
        <v>Carer</v>
      </c>
      <c r="D3045" s="66" t="str">
        <f>IF(Thirteenth!D48="", "",Thirteenth!D48)</f>
        <v>Returning</v>
      </c>
      <c r="E3045" s="66" t="str">
        <f>IF(Thirteenth!E48="", "",Thirteenth!E48)</f>
        <v>Male</v>
      </c>
      <c r="F3045" s="66" t="str">
        <f>IF(Thirteenth!F48="", "",Thirteenth!F48)</f>
        <v>Breast</v>
      </c>
      <c r="G3045" s="66" t="str">
        <f>IF(Thirteenth!G48="", "",Thirteenth!G48)</f>
        <v>Bereaved</v>
      </c>
      <c r="H3045" s="66" t="str">
        <f>IF(Thirteenth!H48="", "",Thirteenth!H48)</f>
        <v>Booked</v>
      </c>
      <c r="I3045" s="66" t="str">
        <f>IF(Thirteenth!I48="", "",Thirteenth!I48)</f>
        <v>Psych Support - Individual</v>
      </c>
      <c r="J3045" s="66" t="str">
        <f>IF(Thirteenth!J48="", "",Thirteenth!J48)</f>
        <v>Benefits Workshop</v>
      </c>
      <c r="K3045" s="86" t="str">
        <f>IF(Thirteenth!K48="", "",Thirteenth!K48)</f>
        <v>Expressive art</v>
      </c>
      <c r="M3045" s="67" t="str">
        <f t="shared" si="143"/>
        <v/>
      </c>
      <c r="N3045" s="76">
        <f t="shared" si="144"/>
        <v>7</v>
      </c>
      <c r="O3045" s="33">
        <f t="shared" si="142"/>
        <v>7</v>
      </c>
    </row>
    <row r="3046" spans="1:15" x14ac:dyDescent="0.25">
      <c r="A3046" s="64" t="s">
        <v>225</v>
      </c>
      <c r="B3046" s="79" t="str">
        <f>IF(Thirteenth!B49="", "",Thirteenth!B49)</f>
        <v>Psychologist</v>
      </c>
      <c r="C3046" s="66" t="str">
        <f>IF(Thirteenth!C49="", "",Thirteenth!C49)</f>
        <v>Carer</v>
      </c>
      <c r="D3046" s="66" t="str">
        <f>IF(Thirteenth!D49="", "",Thirteenth!D49)</f>
        <v>Returning</v>
      </c>
      <c r="E3046" s="66" t="str">
        <f>IF(Thirteenth!E49="", "",Thirteenth!E49)</f>
        <v>Female</v>
      </c>
      <c r="F3046" s="66" t="str">
        <f>IF(Thirteenth!F49="", "",Thirteenth!F49)</f>
        <v>Pancreatic</v>
      </c>
      <c r="G3046" s="66" t="str">
        <f>IF(Thirteenth!G49="", "",Thirteenth!G49)</f>
        <v>Bereaved</v>
      </c>
      <c r="H3046" s="66" t="str">
        <f>IF(Thirteenth!H49="", "",Thirteenth!H49)</f>
        <v>Booked</v>
      </c>
      <c r="I3046" s="66" t="str">
        <f>IF(Thirteenth!I49="", "",Thirteenth!I49)</f>
        <v>Psych Support - Individual</v>
      </c>
      <c r="J3046" s="66" t="str">
        <f>IF(Thirteenth!J49="", "",Thirteenth!J49)</f>
        <v>Benefits Workshop</v>
      </c>
      <c r="K3046" s="86" t="str">
        <f>IF(Thirteenth!K49="", "",Thirteenth!K49)</f>
        <v/>
      </c>
      <c r="M3046" s="67" t="str">
        <f t="shared" si="143"/>
        <v/>
      </c>
      <c r="N3046" s="76">
        <f t="shared" si="144"/>
        <v>7</v>
      </c>
      <c r="O3046" s="33">
        <f t="shared" si="142"/>
        <v>7</v>
      </c>
    </row>
    <row r="3047" spans="1:15" x14ac:dyDescent="0.25">
      <c r="A3047" s="64" t="s">
        <v>225</v>
      </c>
      <c r="B3047" s="79" t="str">
        <f>IF(Thirteenth!B50="", "",Thirteenth!B50)</f>
        <v>Psychologist</v>
      </c>
      <c r="C3047" s="66" t="str">
        <f>IF(Thirteenth!C50="", "",Thirteenth!C50)</f>
        <v>Carer</v>
      </c>
      <c r="D3047" s="66" t="str">
        <f>IF(Thirteenth!D50="", "",Thirteenth!D50)</f>
        <v>New</v>
      </c>
      <c r="E3047" s="66" t="str">
        <f>IF(Thirteenth!E50="", "",Thirteenth!E50)</f>
        <v>Female</v>
      </c>
      <c r="F3047" s="66" t="str">
        <f>IF(Thirteenth!F50="", "",Thirteenth!F50)</f>
        <v>Pancreatic</v>
      </c>
      <c r="G3047" s="66" t="str">
        <f>IF(Thirteenth!G50="", "",Thirteenth!G50)</f>
        <v>Bereaved</v>
      </c>
      <c r="H3047" s="66" t="str">
        <f>IF(Thirteenth!H50="", "",Thirteenth!H50)</f>
        <v>Booked</v>
      </c>
      <c r="I3047" s="66" t="str">
        <f>IF(Thirteenth!I50="", "",Thirteenth!I50)</f>
        <v>Psych Support - Individual</v>
      </c>
      <c r="J3047" s="66" t="str">
        <f>IF(Thirteenth!J50="", "",Thirteenth!J50)</f>
        <v>Benefits Workshop</v>
      </c>
      <c r="K3047" s="86" t="str">
        <f>IF(Thirteenth!K50="", "",Thirteenth!K50)</f>
        <v>Expressive art</v>
      </c>
      <c r="M3047" s="67" t="str">
        <f t="shared" si="143"/>
        <v/>
      </c>
      <c r="N3047" s="76">
        <f t="shared" si="144"/>
        <v>7</v>
      </c>
      <c r="O3047" s="33">
        <f t="shared" si="142"/>
        <v>7</v>
      </c>
    </row>
    <row r="3048" spans="1:15" x14ac:dyDescent="0.25">
      <c r="A3048" s="64" t="s">
        <v>225</v>
      </c>
      <c r="B3048" s="79" t="str">
        <f>IF(Thirteenth!B51="", "",Thirteenth!B51)</f>
        <v>Psychologist</v>
      </c>
      <c r="C3048" s="66" t="str">
        <f>IF(Thirteenth!C51="", "",Thirteenth!C51)</f>
        <v>PwC</v>
      </c>
      <c r="D3048" s="66" t="str">
        <f>IF(Thirteenth!D51="", "",Thirteenth!D51)</f>
        <v>Returning</v>
      </c>
      <c r="E3048" s="66" t="str">
        <f>IF(Thirteenth!E51="", "",Thirteenth!E51)</f>
        <v>Female</v>
      </c>
      <c r="F3048" s="66" t="str">
        <f>IF(Thirteenth!F51="", "",Thirteenth!F51)</f>
        <v>Breast</v>
      </c>
      <c r="G3048" s="66" t="str">
        <f>IF(Thirteenth!G51="", "",Thirteenth!G51)</f>
        <v>Post Treatment - Curative Intent</v>
      </c>
      <c r="H3048" s="66" t="str">
        <f>IF(Thirteenth!H51="", "",Thirteenth!H51)</f>
        <v>Programme</v>
      </c>
      <c r="I3048" s="66" t="str">
        <f>IF(Thirteenth!I51="", "",Thirteenth!I51)</f>
        <v>Where Now?</v>
      </c>
      <c r="J3048" s="66" t="str">
        <f>IF(Thirteenth!J51="", "",Thirteenth!J51)</f>
        <v>Benefits Workshop</v>
      </c>
      <c r="K3048" s="86" t="str">
        <f>IF(Thirteenth!K51="", "",Thirteenth!K51)</f>
        <v>Expressive art</v>
      </c>
      <c r="M3048" s="67">
        <f t="shared" si="143"/>
        <v>7</v>
      </c>
      <c r="N3048" s="76" t="str">
        <f t="shared" si="144"/>
        <v/>
      </c>
      <c r="O3048" s="33">
        <f t="shared" si="142"/>
        <v>7</v>
      </c>
    </row>
    <row r="3049" spans="1:15" x14ac:dyDescent="0.25">
      <c r="A3049" s="64" t="s">
        <v>225</v>
      </c>
      <c r="B3049" s="79" t="str">
        <f>IF(Thirteenth!B52="", "",Thirteenth!B52)</f>
        <v>Psychologist</v>
      </c>
      <c r="C3049" s="66" t="str">
        <f>IF(Thirteenth!C52="", "",Thirteenth!C52)</f>
        <v>PwC</v>
      </c>
      <c r="D3049" s="66" t="str">
        <f>IF(Thirteenth!D52="", "",Thirteenth!D52)</f>
        <v>Returning</v>
      </c>
      <c r="E3049" s="66" t="str">
        <f>IF(Thirteenth!E52="", "",Thirteenth!E52)</f>
        <v>Female</v>
      </c>
      <c r="F3049" s="66" t="str">
        <f>IF(Thirteenth!F52="", "",Thirteenth!F52)</f>
        <v>Breast</v>
      </c>
      <c r="G3049" s="66" t="str">
        <f>IF(Thirteenth!G52="", "",Thirteenth!G52)</f>
        <v>Post Treatment - Curative Intent</v>
      </c>
      <c r="H3049" s="66" t="str">
        <f>IF(Thirteenth!H52="", "",Thirteenth!H52)</f>
        <v>Programme</v>
      </c>
      <c r="I3049" s="66" t="str">
        <f>IF(Thirteenth!I52="", "",Thirteenth!I52)</f>
        <v>Where Now?</v>
      </c>
      <c r="J3049" s="66" t="str">
        <f>IF(Thirteenth!J52="", "",Thirteenth!J52)</f>
        <v>Benefits Workshop</v>
      </c>
      <c r="K3049" s="86" t="str">
        <f>IF(Thirteenth!K52="", "",Thirteenth!K52)</f>
        <v>Expressive art</v>
      </c>
      <c r="M3049" s="67">
        <f t="shared" si="143"/>
        <v>7</v>
      </c>
      <c r="N3049" s="76" t="str">
        <f t="shared" si="144"/>
        <v/>
      </c>
      <c r="O3049" s="33">
        <f t="shared" si="142"/>
        <v>7</v>
      </c>
    </row>
    <row r="3050" spans="1:15" x14ac:dyDescent="0.25">
      <c r="A3050" s="64" t="s">
        <v>225</v>
      </c>
      <c r="B3050" s="79" t="str">
        <f>IF(Thirteenth!B53="", "",Thirteenth!B53)</f>
        <v>Psychologist</v>
      </c>
      <c r="C3050" s="66" t="str">
        <f>IF(Thirteenth!C53="", "",Thirteenth!C53)</f>
        <v>PwC</v>
      </c>
      <c r="D3050" s="66" t="str">
        <f>IF(Thirteenth!D53="", "",Thirteenth!D53)</f>
        <v>Returning</v>
      </c>
      <c r="E3050" s="66" t="str">
        <f>IF(Thirteenth!E53="", "",Thirteenth!E53)</f>
        <v>Female</v>
      </c>
      <c r="F3050" s="66" t="str">
        <f>IF(Thirteenth!F53="", "",Thirteenth!F53)</f>
        <v>Breast</v>
      </c>
      <c r="G3050" s="66" t="str">
        <f>IF(Thirteenth!G53="", "",Thirteenth!G53)</f>
        <v>Post Treatment - Curative Intent</v>
      </c>
      <c r="H3050" s="66" t="str">
        <f>IF(Thirteenth!H53="", "",Thirteenth!H53)</f>
        <v>Programme</v>
      </c>
      <c r="I3050" s="66" t="str">
        <f>IF(Thirteenth!I53="", "",Thirteenth!I53)</f>
        <v>Where Now?</v>
      </c>
      <c r="J3050" s="66" t="str">
        <f>IF(Thirteenth!J53="", "",Thirteenth!J53)</f>
        <v>Benefits Workshop</v>
      </c>
      <c r="K3050" s="86" t="str">
        <f>IF(Thirteenth!K53="", "",Thirteenth!K53)</f>
        <v/>
      </c>
      <c r="M3050" s="67">
        <f t="shared" si="143"/>
        <v>7</v>
      </c>
      <c r="N3050" s="76" t="str">
        <f t="shared" si="144"/>
        <v/>
      </c>
      <c r="O3050" s="33">
        <f t="shared" si="142"/>
        <v>7</v>
      </c>
    </row>
    <row r="3051" spans="1:15" x14ac:dyDescent="0.25">
      <c r="A3051" s="64" t="s">
        <v>225</v>
      </c>
      <c r="B3051" s="79" t="str">
        <f>IF(Thirteenth!B54="", "",Thirteenth!B54)</f>
        <v>Psychologist</v>
      </c>
      <c r="C3051" s="66" t="str">
        <f>IF(Thirteenth!C54="", "",Thirteenth!C54)</f>
        <v>PwC</v>
      </c>
      <c r="D3051" s="66" t="str">
        <f>IF(Thirteenth!D54="", "",Thirteenth!D54)</f>
        <v>Returning</v>
      </c>
      <c r="E3051" s="66" t="str">
        <f>IF(Thirteenth!E54="", "",Thirteenth!E54)</f>
        <v>Female</v>
      </c>
      <c r="F3051" s="66" t="str">
        <f>IF(Thirteenth!F54="", "",Thirteenth!F54)</f>
        <v>Breast</v>
      </c>
      <c r="G3051" s="66" t="str">
        <f>IF(Thirteenth!G54="", "",Thirteenth!G54)</f>
        <v>Post Treatment - Curative Intent</v>
      </c>
      <c r="H3051" s="66" t="str">
        <f>IF(Thirteenth!H54="", "",Thirteenth!H54)</f>
        <v>Programme</v>
      </c>
      <c r="I3051" s="66" t="str">
        <f>IF(Thirteenth!I54="", "",Thirteenth!I54)</f>
        <v>Where Now?</v>
      </c>
      <c r="J3051" s="66" t="str">
        <f>IF(Thirteenth!J54="", "",Thirteenth!J54)</f>
        <v>Benefits Workshop</v>
      </c>
      <c r="K3051" s="86" t="str">
        <f>IF(Thirteenth!K54="", "",Thirteenth!K54)</f>
        <v/>
      </c>
      <c r="M3051" s="67">
        <f t="shared" si="143"/>
        <v>7</v>
      </c>
      <c r="N3051" s="76" t="str">
        <f t="shared" si="144"/>
        <v/>
      </c>
      <c r="O3051" s="33">
        <f t="shared" si="142"/>
        <v>7</v>
      </c>
    </row>
    <row r="3052" spans="1:15" x14ac:dyDescent="0.25">
      <c r="A3052" s="64" t="s">
        <v>225</v>
      </c>
      <c r="B3052" s="79" t="str">
        <f>IF(Thirteenth!B55="", "",Thirteenth!B55)</f>
        <v>Psychologist</v>
      </c>
      <c r="C3052" s="66" t="str">
        <f>IF(Thirteenth!C55="", "",Thirteenth!C55)</f>
        <v>PwC</v>
      </c>
      <c r="D3052" s="66" t="str">
        <f>IF(Thirteenth!D55="", "",Thirteenth!D55)</f>
        <v>Returning</v>
      </c>
      <c r="E3052" s="66" t="str">
        <f>IF(Thirteenth!E55="", "",Thirteenth!E55)</f>
        <v>Female</v>
      </c>
      <c r="F3052" s="66" t="str">
        <f>IF(Thirteenth!F55="", "",Thirteenth!F55)</f>
        <v>Breast</v>
      </c>
      <c r="G3052" s="66" t="str">
        <f>IF(Thirteenth!G55="", "",Thirteenth!G55)</f>
        <v>Post Treatment - Curative Intent</v>
      </c>
      <c r="H3052" s="66" t="str">
        <f>IF(Thirteenth!H55="", "",Thirteenth!H55)</f>
        <v>Programme</v>
      </c>
      <c r="I3052" s="66" t="str">
        <f>IF(Thirteenth!I55="", "",Thirteenth!I55)</f>
        <v>Where Now?</v>
      </c>
      <c r="J3052" s="66" t="str">
        <f>IF(Thirteenth!J55="", "",Thirteenth!J55)</f>
        <v>Benefits Workshop</v>
      </c>
      <c r="K3052" s="86" t="str">
        <f>IF(Thirteenth!K55="", "",Thirteenth!K55)</f>
        <v/>
      </c>
      <c r="M3052" s="67">
        <f t="shared" si="143"/>
        <v>7</v>
      </c>
      <c r="N3052" s="76" t="str">
        <f t="shared" si="144"/>
        <v/>
      </c>
      <c r="O3052" s="33">
        <f t="shared" si="142"/>
        <v>7</v>
      </c>
    </row>
    <row r="3053" spans="1:15" x14ac:dyDescent="0.25">
      <c r="A3053" s="64" t="s">
        <v>225</v>
      </c>
      <c r="B3053" s="79" t="str">
        <f>IF(Thirteenth!B56="", "",Thirteenth!B56)</f>
        <v>Centre Head</v>
      </c>
      <c r="C3053" s="66" t="str">
        <f>IF(Thirteenth!C56="", "",Thirteenth!C56)</f>
        <v>PwC</v>
      </c>
      <c r="D3053" s="66" t="str">
        <f>IF(Thirteenth!D56="", "",Thirteenth!D56)</f>
        <v>Returning</v>
      </c>
      <c r="E3053" s="66" t="str">
        <f>IF(Thirteenth!E56="", "",Thirteenth!E56)</f>
        <v>Male</v>
      </c>
      <c r="F3053" s="66" t="str">
        <f>IF(Thirteenth!F56="", "",Thirteenth!F56)</f>
        <v>Haemat</v>
      </c>
      <c r="G3053" s="66" t="str">
        <f>IF(Thirteenth!G56="", "",Thirteenth!G56)</f>
        <v>Post Treatment - Curative Intent</v>
      </c>
      <c r="H3053" s="66" t="str">
        <f>IF(Thirteenth!H56="", "",Thirteenth!H56)</f>
        <v>Drop-In</v>
      </c>
      <c r="I3053" s="66" t="str">
        <f>IF(Thirteenth!I56="", "",Thirteenth!I56)</f>
        <v/>
      </c>
      <c r="J3053" s="66" t="str">
        <f>IF(Thirteenth!J56="", "",Thirteenth!J56)</f>
        <v/>
      </c>
      <c r="K3053" s="86" t="str">
        <f>IF(Thirteenth!K56="", "",Thirteenth!K56)</f>
        <v/>
      </c>
      <c r="M3053" s="67">
        <f t="shared" si="143"/>
        <v>7</v>
      </c>
      <c r="N3053" s="76" t="str">
        <f t="shared" si="144"/>
        <v/>
      </c>
      <c r="O3053" s="33">
        <f t="shared" si="142"/>
        <v>7</v>
      </c>
    </row>
    <row r="3054" spans="1:15" x14ac:dyDescent="0.25">
      <c r="A3054" s="64" t="s">
        <v>225</v>
      </c>
      <c r="B3054" s="79" t="str">
        <f>IF(Thirteenth!B57="", "",Thirteenth!B57)</f>
        <v>Centre Head</v>
      </c>
      <c r="C3054" s="66" t="str">
        <f>IF(Thirteenth!C57="", "",Thirteenth!C57)</f>
        <v>Carer</v>
      </c>
      <c r="D3054" s="66" t="str">
        <f>IF(Thirteenth!D57="", "",Thirteenth!D57)</f>
        <v>Returning</v>
      </c>
      <c r="E3054" s="66" t="str">
        <f>IF(Thirteenth!E57="", "",Thirteenth!E57)</f>
        <v>Female</v>
      </c>
      <c r="F3054" s="66" t="str">
        <f>IF(Thirteenth!F57="", "",Thirteenth!F57)</f>
        <v>Haemat</v>
      </c>
      <c r="G3054" s="66" t="str">
        <f>IF(Thirteenth!G57="", "",Thirteenth!G57)</f>
        <v>Post Treatment - Curative Intent</v>
      </c>
      <c r="H3054" s="66" t="str">
        <f>IF(Thirteenth!H57="", "",Thirteenth!H57)</f>
        <v>Drop-In</v>
      </c>
      <c r="I3054" s="66" t="str">
        <f>IF(Thirteenth!I57="", "",Thirteenth!I57)</f>
        <v/>
      </c>
      <c r="J3054" s="66" t="str">
        <f>IF(Thirteenth!J57="", "",Thirteenth!J57)</f>
        <v/>
      </c>
      <c r="K3054" s="86" t="str">
        <f>IF(Thirteenth!K57="", "",Thirteenth!K57)</f>
        <v/>
      </c>
      <c r="M3054" s="67" t="str">
        <f t="shared" si="143"/>
        <v/>
      </c>
      <c r="N3054" s="76">
        <f t="shared" si="144"/>
        <v>7</v>
      </c>
      <c r="O3054" s="33">
        <f t="shared" si="142"/>
        <v>7</v>
      </c>
    </row>
    <row r="3055" spans="1:15" x14ac:dyDescent="0.25">
      <c r="A3055" s="64" t="s">
        <v>225</v>
      </c>
      <c r="B3055" s="79" t="str">
        <f>IF(Thirteenth!B58="", "",Thirteenth!B58)</f>
        <v>Centre Head</v>
      </c>
      <c r="C3055" s="66" t="str">
        <f>IF(Thirteenth!C58="", "",Thirteenth!C58)</f>
        <v>PwC</v>
      </c>
      <c r="D3055" s="66" t="str">
        <f>IF(Thirteenth!D58="", "",Thirteenth!D58)</f>
        <v>New</v>
      </c>
      <c r="E3055" s="66" t="str">
        <f>IF(Thirteenth!E58="", "",Thirteenth!E58)</f>
        <v>Male</v>
      </c>
      <c r="F3055" s="66" t="str">
        <f>IF(Thirteenth!F58="", "",Thirteenth!F58)</f>
        <v>Lung</v>
      </c>
      <c r="G3055" s="66" t="str">
        <f>IF(Thirteenth!G58="", "",Thirteenth!G58)</f>
        <v>Non-Curative Intent</v>
      </c>
      <c r="H3055" s="66" t="str">
        <f>IF(Thirteenth!H58="", "",Thirteenth!H58)</f>
        <v>Drop-In</v>
      </c>
      <c r="I3055" s="66" t="str">
        <f>IF(Thirteenth!I58="", "",Thirteenth!I58)</f>
        <v/>
      </c>
      <c r="J3055" s="66" t="str">
        <f>IF(Thirteenth!J58="", "",Thirteenth!J58)</f>
        <v/>
      </c>
      <c r="K3055" s="86" t="str">
        <f>IF(Thirteenth!K58="", "",Thirteenth!K58)</f>
        <v/>
      </c>
      <c r="M3055" s="67">
        <f t="shared" si="143"/>
        <v>7</v>
      </c>
      <c r="N3055" s="76" t="str">
        <f t="shared" si="144"/>
        <v/>
      </c>
      <c r="O3055" s="33">
        <f t="shared" si="142"/>
        <v>7</v>
      </c>
    </row>
    <row r="3056" spans="1:15" x14ac:dyDescent="0.25">
      <c r="A3056" s="64" t="s">
        <v>225</v>
      </c>
      <c r="B3056" s="79" t="str">
        <f>IF(Thirteenth!B59="", "",Thirteenth!B59)</f>
        <v>Centre Head</v>
      </c>
      <c r="C3056" s="66" t="str">
        <f>IF(Thirteenth!C59="", "",Thirteenth!C59)</f>
        <v>Carer</v>
      </c>
      <c r="D3056" s="66" t="str">
        <f>IF(Thirteenth!D59="", "",Thirteenth!D59)</f>
        <v>New</v>
      </c>
      <c r="E3056" s="66" t="str">
        <f>IF(Thirteenth!E59="", "",Thirteenth!E59)</f>
        <v>Female</v>
      </c>
      <c r="F3056" s="66" t="str">
        <f>IF(Thirteenth!F59="", "",Thirteenth!F59)</f>
        <v>Lung</v>
      </c>
      <c r="G3056" s="66" t="str">
        <f>IF(Thirteenth!G59="", "",Thirteenth!G59)</f>
        <v>Non-Curative Intent</v>
      </c>
      <c r="H3056" s="66" t="str">
        <f>IF(Thirteenth!H59="", "",Thirteenth!H59)</f>
        <v>Drop-In</v>
      </c>
      <c r="I3056" s="66" t="str">
        <f>IF(Thirteenth!I59="", "",Thirteenth!I59)</f>
        <v/>
      </c>
      <c r="J3056" s="66" t="str">
        <f>IF(Thirteenth!J59="", "",Thirteenth!J59)</f>
        <v/>
      </c>
      <c r="K3056" s="86" t="str">
        <f>IF(Thirteenth!K59="", "",Thirteenth!K59)</f>
        <v/>
      </c>
      <c r="M3056" s="67" t="str">
        <f t="shared" si="143"/>
        <v/>
      </c>
      <c r="N3056" s="76">
        <f t="shared" si="144"/>
        <v>7</v>
      </c>
      <c r="O3056" s="33">
        <f t="shared" si="142"/>
        <v>7</v>
      </c>
    </row>
    <row r="3057" spans="1:15" x14ac:dyDescent="0.25">
      <c r="A3057" s="64" t="s">
        <v>225</v>
      </c>
      <c r="B3057" s="79" t="str">
        <f>IF(Thirteenth!B60="", "",Thirteenth!B60)</f>
        <v>Centre Head</v>
      </c>
      <c r="C3057" s="66" t="str">
        <f>IF(Thirteenth!C60="", "",Thirteenth!C60)</f>
        <v>Carer</v>
      </c>
      <c r="D3057" s="66" t="str">
        <f>IF(Thirteenth!D60="", "",Thirteenth!D60)</f>
        <v>New</v>
      </c>
      <c r="E3057" s="66" t="str">
        <f>IF(Thirteenth!E60="", "",Thirteenth!E60)</f>
        <v>Female</v>
      </c>
      <c r="F3057" s="66" t="str">
        <f>IF(Thirteenth!F60="", "",Thirteenth!F60)</f>
        <v>Lung</v>
      </c>
      <c r="G3057" s="66" t="str">
        <f>IF(Thirteenth!G60="", "",Thirteenth!G60)</f>
        <v>Non-Curative Intent</v>
      </c>
      <c r="H3057" s="66" t="str">
        <f>IF(Thirteenth!H60="", "",Thirteenth!H60)</f>
        <v>Drop-In</v>
      </c>
      <c r="I3057" s="66" t="str">
        <f>IF(Thirteenth!I60="", "",Thirteenth!I60)</f>
        <v/>
      </c>
      <c r="J3057" s="66" t="str">
        <f>IF(Thirteenth!J60="", "",Thirteenth!J60)</f>
        <v/>
      </c>
      <c r="K3057" s="86" t="str">
        <f>IF(Thirteenth!K60="", "",Thirteenth!K60)</f>
        <v/>
      </c>
      <c r="M3057" s="67" t="str">
        <f t="shared" si="143"/>
        <v/>
      </c>
      <c r="N3057" s="76">
        <f t="shared" si="144"/>
        <v>7</v>
      </c>
      <c r="O3057" s="33">
        <f t="shared" si="142"/>
        <v>7</v>
      </c>
    </row>
    <row r="3058" spans="1:15" x14ac:dyDescent="0.25">
      <c r="A3058" s="64" t="s">
        <v>225</v>
      </c>
      <c r="B3058" s="79" t="str">
        <f>IF(Thirteenth!B61="", "",Thirteenth!B61)</f>
        <v>Centre Head</v>
      </c>
      <c r="C3058" s="66" t="str">
        <f>IF(Thirteenth!C61="", "",Thirteenth!C61)</f>
        <v>PwC</v>
      </c>
      <c r="D3058" s="66" t="str">
        <f>IF(Thirteenth!D61="", "",Thirteenth!D61)</f>
        <v>Returning</v>
      </c>
      <c r="E3058" s="66" t="str">
        <f>IF(Thirteenth!E61="", "",Thirteenth!E61)</f>
        <v>Male</v>
      </c>
      <c r="F3058" s="66" t="str">
        <f>IF(Thirteenth!F61="", "",Thirteenth!F61)</f>
        <v>Pancreatic</v>
      </c>
      <c r="G3058" s="66" t="str">
        <f>IF(Thirteenth!G61="", "",Thirteenth!G61)</f>
        <v>Post Treatment - Curative Intent</v>
      </c>
      <c r="H3058" s="66" t="str">
        <f>IF(Thirteenth!H61="", "",Thirteenth!H61)</f>
        <v>Drop-In</v>
      </c>
      <c r="I3058" s="66" t="str">
        <f>IF(Thirteenth!I61="", "",Thirteenth!I61)</f>
        <v/>
      </c>
      <c r="J3058" s="66" t="str">
        <f>IF(Thirteenth!J61="", "",Thirteenth!J61)</f>
        <v/>
      </c>
      <c r="K3058" s="86" t="str">
        <f>IF(Thirteenth!K61="", "",Thirteenth!K61)</f>
        <v/>
      </c>
      <c r="M3058" s="67">
        <f t="shared" si="143"/>
        <v>7</v>
      </c>
      <c r="N3058" s="76" t="str">
        <f t="shared" si="144"/>
        <v/>
      </c>
      <c r="O3058" s="33">
        <f t="shared" si="142"/>
        <v>7</v>
      </c>
    </row>
    <row r="3059" spans="1:15" x14ac:dyDescent="0.25">
      <c r="A3059" s="64" t="s">
        <v>225</v>
      </c>
      <c r="B3059" s="79" t="str">
        <f>IF(Thirteenth!B62="", "",Thirteenth!B62)</f>
        <v>Centre Head</v>
      </c>
      <c r="C3059" s="66" t="str">
        <f>IF(Thirteenth!C62="", "",Thirteenth!C62)</f>
        <v>Carer</v>
      </c>
      <c r="D3059" s="66" t="str">
        <f>IF(Thirteenth!D62="", "",Thirteenth!D62)</f>
        <v>Returning</v>
      </c>
      <c r="E3059" s="66" t="str">
        <f>IF(Thirteenth!E62="", "",Thirteenth!E62)</f>
        <v>Female</v>
      </c>
      <c r="F3059" s="66" t="str">
        <f>IF(Thirteenth!F62="", "",Thirteenth!F62)</f>
        <v>Pancreatic</v>
      </c>
      <c r="G3059" s="66" t="str">
        <f>IF(Thirteenth!G62="", "",Thirteenth!G62)</f>
        <v>Post Treatment - Curative Intent</v>
      </c>
      <c r="H3059" s="66" t="str">
        <f>IF(Thirteenth!H62="", "",Thirteenth!H62)</f>
        <v>Drop-In</v>
      </c>
      <c r="I3059" s="66" t="str">
        <f>IF(Thirteenth!I62="", "",Thirteenth!I62)</f>
        <v/>
      </c>
      <c r="J3059" s="66" t="str">
        <f>IF(Thirteenth!J62="", "",Thirteenth!J62)</f>
        <v/>
      </c>
      <c r="K3059" s="86" t="str">
        <f>IF(Thirteenth!K62="", "",Thirteenth!K62)</f>
        <v/>
      </c>
      <c r="M3059" s="67" t="str">
        <f t="shared" si="143"/>
        <v/>
      </c>
      <c r="N3059" s="76">
        <f t="shared" si="144"/>
        <v>7</v>
      </c>
      <c r="O3059" s="33">
        <f t="shared" si="142"/>
        <v>7</v>
      </c>
    </row>
    <row r="3060" spans="1:15" x14ac:dyDescent="0.25">
      <c r="A3060" s="64" t="s">
        <v>225</v>
      </c>
      <c r="B3060" s="79" t="str">
        <f>IF(Thirteenth!B63="", "",Thirteenth!B63)</f>
        <v>Centre Head</v>
      </c>
      <c r="C3060" s="66" t="str">
        <f>IF(Thirteenth!C63="", "",Thirteenth!C63)</f>
        <v>PwC</v>
      </c>
      <c r="D3060" s="66" t="str">
        <f>IF(Thirteenth!D63="", "",Thirteenth!D63)</f>
        <v>Returning</v>
      </c>
      <c r="E3060" s="66" t="str">
        <f>IF(Thirteenth!E63="", "",Thirteenth!E63)</f>
        <v>Female</v>
      </c>
      <c r="F3060" s="66" t="str">
        <f>IF(Thirteenth!F63="", "",Thirteenth!F63)</f>
        <v>Breast</v>
      </c>
      <c r="G3060" s="66" t="str">
        <f>IF(Thirteenth!G63="", "",Thirteenth!G63)</f>
        <v>Non-Curative Intent</v>
      </c>
      <c r="H3060" s="66" t="str">
        <f>IF(Thirteenth!H63="", "",Thirteenth!H63)</f>
        <v>Booked</v>
      </c>
      <c r="I3060" s="66" t="str">
        <f>IF(Thirteenth!I63="", "",Thirteenth!I63)</f>
        <v>Psych Support - Individual</v>
      </c>
      <c r="J3060" s="66" t="str">
        <f>IF(Thirteenth!J63="", "",Thirteenth!J63)</f>
        <v/>
      </c>
      <c r="K3060" s="86" t="str">
        <f>IF(Thirteenth!K63="", "",Thirteenth!K63)</f>
        <v/>
      </c>
      <c r="M3060" s="67">
        <f t="shared" si="143"/>
        <v>7</v>
      </c>
      <c r="N3060" s="76" t="str">
        <f t="shared" si="144"/>
        <v/>
      </c>
      <c r="O3060" s="33">
        <f t="shared" si="142"/>
        <v>7</v>
      </c>
    </row>
    <row r="3061" spans="1:15" x14ac:dyDescent="0.25">
      <c r="A3061" s="64" t="s">
        <v>225</v>
      </c>
      <c r="B3061" s="79" t="str">
        <f>IF(Thirteenth!B64="", "",Thirteenth!B64)</f>
        <v>Centre Head</v>
      </c>
      <c r="C3061" s="66" t="str">
        <f>IF(Thirteenth!C64="", "",Thirteenth!C64)</f>
        <v>PwC</v>
      </c>
      <c r="D3061" s="66" t="str">
        <f>IF(Thirteenth!D64="", "",Thirteenth!D64)</f>
        <v>Returning</v>
      </c>
      <c r="E3061" s="66" t="str">
        <f>IF(Thirteenth!E64="", "",Thirteenth!E64)</f>
        <v>Male</v>
      </c>
      <c r="F3061" s="66" t="str">
        <f>IF(Thirteenth!F64="", "",Thirteenth!F64)</f>
        <v>Lung</v>
      </c>
      <c r="G3061" s="66" t="str">
        <f>IF(Thirteenth!G64="", "",Thirteenth!G64)</f>
        <v>Non-Curative Intent</v>
      </c>
      <c r="H3061" s="66" t="str">
        <f>IF(Thirteenth!H64="", "",Thirteenth!H64)</f>
        <v>Booked</v>
      </c>
      <c r="I3061" s="66" t="str">
        <f>IF(Thirteenth!I64="", "",Thirteenth!I64)</f>
        <v>Psych Support - Individual</v>
      </c>
      <c r="J3061" s="66" t="str">
        <f>IF(Thirteenth!J64="", "",Thirteenth!J64)</f>
        <v/>
      </c>
      <c r="K3061" s="86" t="str">
        <f>IF(Thirteenth!K64="", "",Thirteenth!K64)</f>
        <v/>
      </c>
      <c r="M3061" s="67">
        <f t="shared" si="143"/>
        <v>7</v>
      </c>
      <c r="N3061" s="76" t="str">
        <f t="shared" si="144"/>
        <v/>
      </c>
      <c r="O3061" s="33">
        <f t="shared" si="142"/>
        <v>7</v>
      </c>
    </row>
    <row r="3062" spans="1:15" x14ac:dyDescent="0.25">
      <c r="A3062" s="64" t="s">
        <v>225</v>
      </c>
      <c r="B3062" s="79" t="str">
        <f>IF(Thirteenth!B65="", "",Thirteenth!B65)</f>
        <v>Centre Head</v>
      </c>
      <c r="C3062" s="66" t="str">
        <f>IF(Thirteenth!C65="", "",Thirteenth!C65)</f>
        <v>Carer</v>
      </c>
      <c r="D3062" s="66" t="str">
        <f>IF(Thirteenth!D65="", "",Thirteenth!D65)</f>
        <v>Returning</v>
      </c>
      <c r="E3062" s="66" t="str">
        <f>IF(Thirteenth!E65="", "",Thirteenth!E65)</f>
        <v>Female</v>
      </c>
      <c r="F3062" s="66" t="str">
        <f>IF(Thirteenth!F65="", "",Thirteenth!F65)</f>
        <v>Lung</v>
      </c>
      <c r="G3062" s="66" t="str">
        <f>IF(Thirteenth!G65="", "",Thirteenth!G65)</f>
        <v>Non-Curative Intent</v>
      </c>
      <c r="H3062" s="66" t="str">
        <f>IF(Thirteenth!H65="", "",Thirteenth!H65)</f>
        <v>Booked</v>
      </c>
      <c r="I3062" s="66" t="str">
        <f>IF(Thirteenth!I65="", "",Thirteenth!I65)</f>
        <v>Psych Support - Individual</v>
      </c>
      <c r="J3062" s="66" t="str">
        <f>IF(Thirteenth!J65="", "",Thirteenth!J65)</f>
        <v>Benefits Workshop</v>
      </c>
      <c r="K3062" s="86" t="str">
        <f>IF(Thirteenth!K65="", "",Thirteenth!K65)</f>
        <v>Expressive art</v>
      </c>
      <c r="M3062" s="67" t="str">
        <f t="shared" si="143"/>
        <v/>
      </c>
      <c r="N3062" s="76">
        <f t="shared" si="144"/>
        <v>7</v>
      </c>
      <c r="O3062" s="33">
        <f t="shared" si="142"/>
        <v>7</v>
      </c>
    </row>
    <row r="3063" spans="1:15" x14ac:dyDescent="0.25">
      <c r="A3063" s="64" t="s">
        <v>225</v>
      </c>
      <c r="B3063" s="79" t="str">
        <f>IF(Thirteenth!B66="", "",Thirteenth!B66)</f>
        <v>Centre Head</v>
      </c>
      <c r="C3063" s="66" t="str">
        <f>IF(Thirteenth!C66="", "",Thirteenth!C66)</f>
        <v>Carer</v>
      </c>
      <c r="D3063" s="66" t="str">
        <f>IF(Thirteenth!D66="", "",Thirteenth!D66)</f>
        <v>Returning</v>
      </c>
      <c r="E3063" s="66" t="str">
        <f>IF(Thirteenth!E66="", "",Thirteenth!E66)</f>
        <v>Female</v>
      </c>
      <c r="F3063" s="66" t="str">
        <f>IF(Thirteenth!F66="", "",Thirteenth!F66)</f>
        <v>Brain/CNS</v>
      </c>
      <c r="G3063" s="66" t="str">
        <f>IF(Thirteenth!G66="", "",Thirteenth!G66)</f>
        <v>Non-Curative Intent</v>
      </c>
      <c r="H3063" s="66" t="str">
        <f>IF(Thirteenth!H66="", "",Thirteenth!H66)</f>
        <v>Booked</v>
      </c>
      <c r="I3063" s="66" t="str">
        <f>IF(Thirteenth!I66="", "",Thirteenth!I66)</f>
        <v>Psych Support - Individual</v>
      </c>
      <c r="J3063" s="66" t="str">
        <f>IF(Thirteenth!J66="", "",Thirteenth!J66)</f>
        <v/>
      </c>
      <c r="K3063" s="86" t="str">
        <f>IF(Thirteenth!K66="", "",Thirteenth!K66)</f>
        <v/>
      </c>
      <c r="M3063" s="67" t="str">
        <f t="shared" si="143"/>
        <v/>
      </c>
      <c r="N3063" s="76">
        <f t="shared" si="144"/>
        <v>7</v>
      </c>
      <c r="O3063" s="33">
        <f t="shared" si="142"/>
        <v>7</v>
      </c>
    </row>
    <row r="3064" spans="1:15" x14ac:dyDescent="0.25">
      <c r="A3064" s="64" t="s">
        <v>225</v>
      </c>
      <c r="B3064" s="79" t="str">
        <f>IF(Thirteenth!B67="", "",Thirteenth!B67)</f>
        <v>Centre Head</v>
      </c>
      <c r="C3064" s="66" t="str">
        <f>IF(Thirteenth!C67="", "",Thirteenth!C67)</f>
        <v>Carer</v>
      </c>
      <c r="D3064" s="66" t="str">
        <f>IF(Thirteenth!D67="", "",Thirteenth!D67)</f>
        <v>Returning</v>
      </c>
      <c r="E3064" s="66" t="str">
        <f>IF(Thirteenth!E67="", "",Thirteenth!E67)</f>
        <v>Male</v>
      </c>
      <c r="F3064" s="66" t="str">
        <f>IF(Thirteenth!F67="", "",Thirteenth!F67)</f>
        <v>Breast</v>
      </c>
      <c r="G3064" s="66" t="str">
        <f>IF(Thirteenth!G67="", "",Thirteenth!G67)</f>
        <v>Bereaved</v>
      </c>
      <c r="H3064" s="66" t="str">
        <f>IF(Thirteenth!H67="", "",Thirteenth!H67)</f>
        <v>Booked</v>
      </c>
      <c r="I3064" s="66" t="str">
        <f>IF(Thirteenth!I67="", "",Thirteenth!I67)</f>
        <v>Psych Support - Individual</v>
      </c>
      <c r="J3064" s="66" t="str">
        <f>IF(Thirteenth!J67="", "",Thirteenth!J67)</f>
        <v/>
      </c>
      <c r="K3064" s="86" t="str">
        <f>IF(Thirteenth!K67="", "",Thirteenth!K67)</f>
        <v/>
      </c>
      <c r="M3064" s="67" t="str">
        <f t="shared" si="143"/>
        <v/>
      </c>
      <c r="N3064" s="76">
        <f t="shared" si="144"/>
        <v>7</v>
      </c>
      <c r="O3064" s="33">
        <f t="shared" si="142"/>
        <v>7</v>
      </c>
    </row>
    <row r="3065" spans="1:15" x14ac:dyDescent="0.25">
      <c r="A3065" s="64" t="s">
        <v>225</v>
      </c>
      <c r="B3065" s="79" t="str">
        <f>IF(Thirteenth!B68="", "",Thirteenth!B68)</f>
        <v>Centre Head</v>
      </c>
      <c r="C3065" s="66" t="str">
        <f>IF(Thirteenth!C68="", "",Thirteenth!C68)</f>
        <v>PwC</v>
      </c>
      <c r="D3065" s="66" t="str">
        <f>IF(Thirteenth!D68="", "",Thirteenth!D68)</f>
        <v>New</v>
      </c>
      <c r="E3065" s="66" t="str">
        <f>IF(Thirteenth!E68="", "",Thirteenth!E68)</f>
        <v>Male</v>
      </c>
      <c r="F3065" s="66" t="str">
        <f>IF(Thirteenth!F68="", "",Thirteenth!F68)</f>
        <v>Prostate</v>
      </c>
      <c r="G3065" s="66" t="str">
        <f>IF(Thirteenth!G68="", "",Thirteenth!G68)</f>
        <v>Non-Curative Intent</v>
      </c>
      <c r="H3065" s="66" t="str">
        <f>IF(Thirteenth!H68="", "",Thirteenth!H68)</f>
        <v>Drop-In</v>
      </c>
      <c r="I3065" s="66" t="str">
        <f>IF(Thirteenth!I68="", "",Thirteenth!I68)</f>
        <v/>
      </c>
      <c r="J3065" s="66" t="str">
        <f>IF(Thirteenth!J68="", "",Thirteenth!J68)</f>
        <v/>
      </c>
      <c r="K3065" s="86" t="str">
        <f>IF(Thirteenth!K68="", "",Thirteenth!K68)</f>
        <v/>
      </c>
      <c r="M3065" s="67">
        <f t="shared" si="143"/>
        <v>7</v>
      </c>
      <c r="N3065" s="76" t="str">
        <f t="shared" si="144"/>
        <v/>
      </c>
      <c r="O3065" s="33">
        <f t="shared" si="142"/>
        <v>7</v>
      </c>
    </row>
    <row r="3066" spans="1:15" x14ac:dyDescent="0.25">
      <c r="A3066" s="64" t="s">
        <v>225</v>
      </c>
      <c r="B3066" s="79" t="str">
        <f>IF(Thirteenth!B69="", "",Thirteenth!B69)</f>
        <v>Centre Head</v>
      </c>
      <c r="C3066" s="66" t="str">
        <f>IF(Thirteenth!C69="", "",Thirteenth!C69)</f>
        <v>Carer</v>
      </c>
      <c r="D3066" s="66" t="str">
        <f>IF(Thirteenth!D69="", "",Thirteenth!D69)</f>
        <v>New</v>
      </c>
      <c r="E3066" s="66" t="str">
        <f>IF(Thirteenth!E69="", "",Thirteenth!E69)</f>
        <v>Female</v>
      </c>
      <c r="F3066" s="66" t="str">
        <f>IF(Thirteenth!F69="", "",Thirteenth!F69)</f>
        <v>Prostate</v>
      </c>
      <c r="G3066" s="66" t="str">
        <f>IF(Thirteenth!G69="", "",Thirteenth!G69)</f>
        <v>Non-Curative Intent</v>
      </c>
      <c r="H3066" s="66" t="str">
        <f>IF(Thirteenth!H69="", "",Thirteenth!H69)</f>
        <v>Drop-In</v>
      </c>
      <c r="I3066" s="66" t="str">
        <f>IF(Thirteenth!I69="", "",Thirteenth!I69)</f>
        <v/>
      </c>
      <c r="J3066" s="66" t="str">
        <f>IF(Thirteenth!J69="", "",Thirteenth!J69)</f>
        <v/>
      </c>
      <c r="K3066" s="86" t="str">
        <f>IF(Thirteenth!K69="", "",Thirteenth!K69)</f>
        <v/>
      </c>
      <c r="M3066" s="67" t="str">
        <f t="shared" si="143"/>
        <v/>
      </c>
      <c r="N3066" s="76">
        <f t="shared" si="144"/>
        <v>7</v>
      </c>
      <c r="O3066" s="33">
        <f t="shared" si="142"/>
        <v>7</v>
      </c>
    </row>
    <row r="3067" spans="1:15" x14ac:dyDescent="0.25">
      <c r="A3067" s="64" t="s">
        <v>225</v>
      </c>
      <c r="B3067" s="79" t="str">
        <f>IF(Thirteenth!B70="", "",Thirteenth!B70)</f>
        <v>Centre Head</v>
      </c>
      <c r="C3067" s="66" t="str">
        <f>IF(Thirteenth!C70="", "",Thirteenth!C70)</f>
        <v>Carer</v>
      </c>
      <c r="D3067" s="66" t="str">
        <f>IF(Thirteenth!D70="", "",Thirteenth!D70)</f>
        <v>New</v>
      </c>
      <c r="E3067" s="66" t="str">
        <f>IF(Thirteenth!E70="", "",Thirteenth!E70)</f>
        <v>Female</v>
      </c>
      <c r="F3067" s="66" t="str">
        <f>IF(Thirteenth!F70="", "",Thirteenth!F70)</f>
        <v>Prostate</v>
      </c>
      <c r="G3067" s="66" t="str">
        <f>IF(Thirteenth!G70="", "",Thirteenth!G70)</f>
        <v>Non-Curative Intent</v>
      </c>
      <c r="H3067" s="66" t="str">
        <f>IF(Thirteenth!H70="", "",Thirteenth!H70)</f>
        <v>Drop-In</v>
      </c>
      <c r="I3067" s="66" t="str">
        <f>IF(Thirteenth!I70="", "",Thirteenth!I70)</f>
        <v/>
      </c>
      <c r="J3067" s="66" t="str">
        <f>IF(Thirteenth!J70="", "",Thirteenth!J70)</f>
        <v/>
      </c>
      <c r="K3067" s="86" t="str">
        <f>IF(Thirteenth!K70="", "",Thirteenth!K70)</f>
        <v/>
      </c>
      <c r="M3067" s="67" t="str">
        <f t="shared" si="143"/>
        <v/>
      </c>
      <c r="N3067" s="76">
        <f t="shared" si="144"/>
        <v>7</v>
      </c>
      <c r="O3067" s="33">
        <f t="shared" si="142"/>
        <v>7</v>
      </c>
    </row>
    <row r="3068" spans="1:15" x14ac:dyDescent="0.25">
      <c r="A3068" s="64" t="s">
        <v>225</v>
      </c>
      <c r="B3068" s="79" t="str">
        <f>IF(Thirteenth!B71="", "",Thirteenth!B71)</f>
        <v>Centre Head</v>
      </c>
      <c r="C3068" s="66" t="str">
        <f>IF(Thirteenth!C71="", "",Thirteenth!C71)</f>
        <v>PwC</v>
      </c>
      <c r="D3068" s="66" t="str">
        <f>IF(Thirteenth!D71="", "",Thirteenth!D71)</f>
        <v>Returning</v>
      </c>
      <c r="E3068" s="66" t="str">
        <f>IF(Thirteenth!E71="", "",Thirteenth!E71)</f>
        <v>Female</v>
      </c>
      <c r="F3068" s="66" t="str">
        <f>IF(Thirteenth!F71="", "",Thirteenth!F71)</f>
        <v>Breast</v>
      </c>
      <c r="G3068" s="66" t="str">
        <f>IF(Thirteenth!G71="", "",Thirteenth!G71)</f>
        <v>Curative Intent</v>
      </c>
      <c r="H3068" s="66" t="str">
        <f>IF(Thirteenth!H71="", "",Thirteenth!H71)</f>
        <v>Drop-In</v>
      </c>
      <c r="I3068" s="66" t="str">
        <f>IF(Thirteenth!I71="", "",Thirteenth!I71)</f>
        <v/>
      </c>
      <c r="J3068" s="66" t="str">
        <f>IF(Thirteenth!J71="", "",Thirteenth!J71)</f>
        <v xml:space="preserve">                 </v>
      </c>
      <c r="K3068" s="86" t="str">
        <f>IF(Thirteenth!K71="", "",Thirteenth!K71)</f>
        <v/>
      </c>
      <c r="M3068" s="67">
        <f t="shared" si="143"/>
        <v>7</v>
      </c>
      <c r="N3068" s="76" t="str">
        <f t="shared" si="144"/>
        <v/>
      </c>
      <c r="O3068" s="33">
        <f t="shared" si="142"/>
        <v>7</v>
      </c>
    </row>
    <row r="3069" spans="1:15" x14ac:dyDescent="0.25">
      <c r="A3069" s="64" t="s">
        <v>225</v>
      </c>
      <c r="B3069" s="79" t="str">
        <f>IF(Thirteenth!B72="", "",Thirteenth!B72)</f>
        <v>Centre Head</v>
      </c>
      <c r="C3069" s="66" t="str">
        <f>IF(Thirteenth!C72="", "",Thirteenth!C72)</f>
        <v>PwC</v>
      </c>
      <c r="D3069" s="66" t="str">
        <f>IF(Thirteenth!D72="", "",Thirteenth!D72)</f>
        <v>Returning</v>
      </c>
      <c r="E3069" s="66" t="str">
        <f>IF(Thirteenth!E72="", "",Thirteenth!E72)</f>
        <v>Female</v>
      </c>
      <c r="F3069" s="66" t="str">
        <f>IF(Thirteenth!F72="", "",Thirteenth!F72)</f>
        <v>Lower GI</v>
      </c>
      <c r="G3069" s="66" t="str">
        <f>IF(Thirteenth!G72="", "",Thirteenth!G72)</f>
        <v>Curative Intent</v>
      </c>
      <c r="H3069" s="66" t="str">
        <f>IF(Thirteenth!H72="", "",Thirteenth!H72)</f>
        <v>Drop-In</v>
      </c>
      <c r="I3069" s="66" t="str">
        <f>IF(Thirteenth!I72="", "",Thirteenth!I72)</f>
        <v/>
      </c>
      <c r="J3069" s="66" t="str">
        <f>IF(Thirteenth!J72="", "",Thirteenth!J72)</f>
        <v/>
      </c>
      <c r="K3069" s="86" t="str">
        <f>IF(Thirteenth!K72="", "",Thirteenth!K72)</f>
        <v/>
      </c>
      <c r="M3069" s="67">
        <f t="shared" si="143"/>
        <v>7</v>
      </c>
      <c r="N3069" s="76" t="str">
        <f t="shared" si="144"/>
        <v/>
      </c>
      <c r="O3069" s="33">
        <f t="shared" si="142"/>
        <v>7</v>
      </c>
    </row>
    <row r="3070" spans="1:15" x14ac:dyDescent="0.25">
      <c r="A3070" s="64" t="s">
        <v>225</v>
      </c>
      <c r="B3070" s="79" t="str">
        <f>IF(Thirteenth!B73="", "",Thirteenth!B73)</f>
        <v>Centre Head</v>
      </c>
      <c r="C3070" s="66" t="str">
        <f>IF(Thirteenth!C73="", "",Thirteenth!C73)</f>
        <v>PwC</v>
      </c>
      <c r="D3070" s="66" t="str">
        <f>IF(Thirteenth!D73="", "",Thirteenth!D73)</f>
        <v>Returning</v>
      </c>
      <c r="E3070" s="66" t="str">
        <f>IF(Thirteenth!E73="", "",Thirteenth!E73)</f>
        <v>Female</v>
      </c>
      <c r="F3070" s="66" t="str">
        <f>IF(Thirteenth!F73="", "",Thirteenth!F73)</f>
        <v>Haemat</v>
      </c>
      <c r="G3070" s="66" t="str">
        <f>IF(Thirteenth!G73="", "",Thirteenth!G73)</f>
        <v>Post Treatment - Curative Intent</v>
      </c>
      <c r="H3070" s="66" t="str">
        <f>IF(Thirteenth!H73="", "",Thirteenth!H73)</f>
        <v>Drop-In</v>
      </c>
      <c r="I3070" s="66" t="str">
        <f>IF(Thirteenth!I73="", "",Thirteenth!I73)</f>
        <v/>
      </c>
      <c r="J3070" s="66" t="str">
        <f>IF(Thirteenth!J73="", "",Thirteenth!J73)</f>
        <v/>
      </c>
      <c r="K3070" s="86" t="str">
        <f>IF(Thirteenth!K73="", "",Thirteenth!K73)</f>
        <v/>
      </c>
      <c r="M3070" s="67">
        <f t="shared" si="143"/>
        <v>7</v>
      </c>
      <c r="N3070" s="76" t="str">
        <f t="shared" si="144"/>
        <v/>
      </c>
      <c r="O3070" s="33">
        <f t="shared" si="142"/>
        <v>7</v>
      </c>
    </row>
    <row r="3071" spans="1:15" x14ac:dyDescent="0.25">
      <c r="A3071" s="64" t="s">
        <v>225</v>
      </c>
      <c r="B3071" s="79" t="str">
        <f>IF(Thirteenth!B74="", "",Thirteenth!B74)</f>
        <v>Centre Head</v>
      </c>
      <c r="C3071" s="66" t="str">
        <f>IF(Thirteenth!C74="", "",Thirteenth!C74)</f>
        <v>Carer</v>
      </c>
      <c r="D3071" s="66" t="str">
        <f>IF(Thirteenth!D74="", "",Thirteenth!D74)</f>
        <v>Returning</v>
      </c>
      <c r="E3071" s="66" t="str">
        <f>IF(Thirteenth!E74="", "",Thirteenth!E74)</f>
        <v>Male</v>
      </c>
      <c r="F3071" s="66" t="str">
        <f>IF(Thirteenth!F74="", "",Thirteenth!F74)</f>
        <v>Haemat</v>
      </c>
      <c r="G3071" s="66" t="str">
        <f>IF(Thirteenth!G74="", "",Thirteenth!G74)</f>
        <v>Post Treatment - Curative Intent</v>
      </c>
      <c r="H3071" s="66" t="str">
        <f>IF(Thirteenth!H74="", "",Thirteenth!H74)</f>
        <v>Drop-In</v>
      </c>
      <c r="I3071" s="66" t="str">
        <f>IF(Thirteenth!I74="", "",Thirteenth!I74)</f>
        <v/>
      </c>
      <c r="J3071" s="66" t="str">
        <f>IF(Thirteenth!J74="", "",Thirteenth!J74)</f>
        <v/>
      </c>
      <c r="K3071" s="86" t="str">
        <f>IF(Thirteenth!K74="", "",Thirteenth!K74)</f>
        <v/>
      </c>
      <c r="M3071" s="67" t="str">
        <f t="shared" si="143"/>
        <v/>
      </c>
      <c r="N3071" s="76">
        <f t="shared" si="144"/>
        <v>7</v>
      </c>
      <c r="O3071" s="33">
        <f t="shared" si="142"/>
        <v>7</v>
      </c>
    </row>
    <row r="3072" spans="1:15" x14ac:dyDescent="0.25">
      <c r="A3072" s="64" t="s">
        <v>225</v>
      </c>
      <c r="B3072" s="79" t="str">
        <f>IF(Thirteenth!B75="", "",Thirteenth!B75)</f>
        <v>Centre Head</v>
      </c>
      <c r="C3072" s="66" t="str">
        <f>IF(Thirteenth!C75="", "",Thirteenth!C75)</f>
        <v>Carer</v>
      </c>
      <c r="D3072" s="66" t="str">
        <f>IF(Thirteenth!D75="", "",Thirteenth!D75)</f>
        <v>Returning</v>
      </c>
      <c r="E3072" s="66" t="str">
        <f>IF(Thirteenth!E75="", "",Thirteenth!E75)</f>
        <v>Male</v>
      </c>
      <c r="F3072" s="66" t="str">
        <f>IF(Thirteenth!F75="", "",Thirteenth!F75)</f>
        <v>Haemat</v>
      </c>
      <c r="G3072" s="66" t="str">
        <f>IF(Thirteenth!G75="", "",Thirteenth!G75)</f>
        <v>Post Treatment - Curative Intent</v>
      </c>
      <c r="H3072" s="66" t="str">
        <f>IF(Thirteenth!H75="", "",Thirteenth!H75)</f>
        <v>Drop-In</v>
      </c>
      <c r="I3072" s="66" t="str">
        <f>IF(Thirteenth!I75="", "",Thirteenth!I75)</f>
        <v/>
      </c>
      <c r="J3072" s="66" t="str">
        <f>IF(Thirteenth!J75="", "",Thirteenth!J75)</f>
        <v/>
      </c>
      <c r="K3072" s="86" t="str">
        <f>IF(Thirteenth!K75="", "",Thirteenth!K75)</f>
        <v/>
      </c>
      <c r="M3072" s="67" t="str">
        <f t="shared" si="143"/>
        <v/>
      </c>
      <c r="N3072" s="76">
        <f t="shared" si="144"/>
        <v>7</v>
      </c>
      <c r="O3072" s="33">
        <f t="shared" si="142"/>
        <v>7</v>
      </c>
    </row>
    <row r="3073" spans="1:15" x14ac:dyDescent="0.25">
      <c r="A3073" s="64" t="s">
        <v>225</v>
      </c>
      <c r="B3073" s="79" t="str">
        <f>IF(Thirteenth!B76="", "",Thirteenth!B76)</f>
        <v>Centre Head</v>
      </c>
      <c r="C3073" s="66" t="str">
        <f>IF(Thirteenth!C76="", "",Thirteenth!C76)</f>
        <v>Carer</v>
      </c>
      <c r="D3073" s="66" t="str">
        <f>IF(Thirteenth!D76="", "",Thirteenth!D76)</f>
        <v>Returning</v>
      </c>
      <c r="E3073" s="66" t="str">
        <f>IF(Thirteenth!E76="", "",Thirteenth!E76)</f>
        <v>Male</v>
      </c>
      <c r="F3073" s="66" t="str">
        <f>IF(Thirteenth!F76="", "",Thirteenth!F76)</f>
        <v>Haemat</v>
      </c>
      <c r="G3073" s="66" t="str">
        <f>IF(Thirteenth!G76="", "",Thirteenth!G76)</f>
        <v>Post Treatment - Curative Intent</v>
      </c>
      <c r="H3073" s="66" t="str">
        <f>IF(Thirteenth!H76="", "",Thirteenth!H76)</f>
        <v>Drop-In</v>
      </c>
      <c r="I3073" s="66" t="str">
        <f>IF(Thirteenth!I76="", "",Thirteenth!I76)</f>
        <v/>
      </c>
      <c r="J3073" s="66" t="str">
        <f>IF(Thirteenth!J76="", "",Thirteenth!J76)</f>
        <v/>
      </c>
      <c r="K3073" s="86" t="str">
        <f>IF(Thirteenth!K76="", "",Thirteenth!K76)</f>
        <v/>
      </c>
      <c r="M3073" s="67" t="str">
        <f t="shared" si="143"/>
        <v/>
      </c>
      <c r="N3073" s="76">
        <f t="shared" si="144"/>
        <v>7</v>
      </c>
      <c r="O3073" s="33">
        <f t="shared" si="142"/>
        <v>7</v>
      </c>
    </row>
    <row r="3074" spans="1:15" x14ac:dyDescent="0.25">
      <c r="A3074" s="64" t="s">
        <v>225</v>
      </c>
      <c r="B3074" s="79" t="str">
        <f>IF(Thirteenth!B77="", "",Thirteenth!B77)</f>
        <v>Centre Head</v>
      </c>
      <c r="C3074" s="66" t="str">
        <f>IF(Thirteenth!C77="", "",Thirteenth!C77)</f>
        <v>PwC</v>
      </c>
      <c r="D3074" s="66" t="str">
        <f>IF(Thirteenth!D77="", "",Thirteenth!D77)</f>
        <v>Returning</v>
      </c>
      <c r="E3074" s="66" t="str">
        <f>IF(Thirteenth!E77="", "",Thirteenth!E77)</f>
        <v>Male</v>
      </c>
      <c r="F3074" s="66" t="str">
        <f>IF(Thirteenth!F77="", "",Thirteenth!F77)</f>
        <v>Lung</v>
      </c>
      <c r="G3074" s="66" t="str">
        <f>IF(Thirteenth!G77="", "",Thirteenth!G77)</f>
        <v>Non-Curative Intent</v>
      </c>
      <c r="H3074" s="66" t="str">
        <f>IF(Thirteenth!H77="", "",Thirteenth!H77)</f>
        <v>Drop-In</v>
      </c>
      <c r="I3074" s="66" t="str">
        <f>IF(Thirteenth!I77="", "",Thirteenth!I77)</f>
        <v/>
      </c>
      <c r="J3074" s="66" t="str">
        <f>IF(Thirteenth!J77="", "",Thirteenth!J77)</f>
        <v/>
      </c>
      <c r="K3074" s="86" t="str">
        <f>IF(Thirteenth!K77="", "",Thirteenth!K77)</f>
        <v/>
      </c>
      <c r="M3074" s="67">
        <f t="shared" si="143"/>
        <v>7</v>
      </c>
      <c r="N3074" s="76" t="str">
        <f t="shared" si="144"/>
        <v/>
      </c>
      <c r="O3074" s="33">
        <f t="shared" ref="O3074:O3137" si="145">SUM(M3074:N3074)</f>
        <v>7</v>
      </c>
    </row>
    <row r="3075" spans="1:15" x14ac:dyDescent="0.25">
      <c r="A3075" s="64" t="s">
        <v>225</v>
      </c>
      <c r="B3075" s="79" t="str">
        <f>IF(Thirteenth!B78="", "",Thirteenth!B78)</f>
        <v>Centre Head</v>
      </c>
      <c r="C3075" s="66" t="str">
        <f>IF(Thirteenth!C78="", "",Thirteenth!C78)</f>
        <v>Carer</v>
      </c>
      <c r="D3075" s="66" t="str">
        <f>IF(Thirteenth!D78="", "",Thirteenth!D78)</f>
        <v>Returning</v>
      </c>
      <c r="E3075" s="66" t="str">
        <f>IF(Thirteenth!E78="", "",Thirteenth!E78)</f>
        <v>Female</v>
      </c>
      <c r="F3075" s="66" t="str">
        <f>IF(Thirteenth!F78="", "",Thirteenth!F78)</f>
        <v>Lung</v>
      </c>
      <c r="G3075" s="66" t="str">
        <f>IF(Thirteenth!G78="", "",Thirteenth!G78)</f>
        <v>Non-Curative Intent</v>
      </c>
      <c r="H3075" s="66" t="str">
        <f>IF(Thirteenth!H78="", "",Thirteenth!H78)</f>
        <v>Drop-In</v>
      </c>
      <c r="I3075" s="66" t="str">
        <f>IF(Thirteenth!I78="", "",Thirteenth!I78)</f>
        <v/>
      </c>
      <c r="J3075" s="66" t="str">
        <f>IF(Thirteenth!J78="", "",Thirteenth!J78)</f>
        <v/>
      </c>
      <c r="K3075" s="86" t="str">
        <f>IF(Thirteenth!K78="", "",Thirteenth!K78)</f>
        <v/>
      </c>
      <c r="M3075" s="67" t="str">
        <f t="shared" ref="M3075:M3138" si="146">IF(C3075="PwC",(7-COUNTIF(B3075:H3075,"")),"")</f>
        <v/>
      </c>
      <c r="N3075" s="76">
        <f t="shared" ref="N3075:N3138" si="147">IF(C3075="Carer",(7-COUNTIF(B3075:H3075,"")),"")</f>
        <v>7</v>
      </c>
      <c r="O3075" s="33">
        <f t="shared" si="145"/>
        <v>7</v>
      </c>
    </row>
    <row r="3076" spans="1:15" x14ac:dyDescent="0.25">
      <c r="A3076" s="64" t="s">
        <v>225</v>
      </c>
      <c r="B3076" s="79" t="str">
        <f>IF(Thirteenth!B79="", "",Thirteenth!B79)</f>
        <v>Centre Head</v>
      </c>
      <c r="C3076" s="66" t="str">
        <f>IF(Thirteenth!C79="", "",Thirteenth!C79)</f>
        <v>PwC</v>
      </c>
      <c r="D3076" s="66" t="str">
        <f>IF(Thirteenth!D79="", "",Thirteenth!D79)</f>
        <v>New</v>
      </c>
      <c r="E3076" s="66" t="str">
        <f>IF(Thirteenth!E79="", "",Thirteenth!E79)</f>
        <v>Female</v>
      </c>
      <c r="F3076" s="66" t="str">
        <f>IF(Thirteenth!F79="", "",Thirteenth!F79)</f>
        <v>Urolog</v>
      </c>
      <c r="G3076" s="66" t="str">
        <f>IF(Thirteenth!G79="", "",Thirteenth!G79)</f>
        <v>Non-Curative Intent</v>
      </c>
      <c r="H3076" s="66" t="str">
        <f>IF(Thirteenth!H79="", "",Thirteenth!H79)</f>
        <v>Drop-In</v>
      </c>
      <c r="I3076" s="66" t="str">
        <f>IF(Thirteenth!I79="", "",Thirteenth!I79)</f>
        <v/>
      </c>
      <c r="J3076" s="66" t="str">
        <f>IF(Thirteenth!J79="", "",Thirteenth!J79)</f>
        <v/>
      </c>
      <c r="K3076" s="86" t="str">
        <f>IF(Thirteenth!K79="", "",Thirteenth!K79)</f>
        <v/>
      </c>
      <c r="M3076" s="67">
        <f t="shared" si="146"/>
        <v>7</v>
      </c>
      <c r="N3076" s="76" t="str">
        <f t="shared" si="147"/>
        <v/>
      </c>
      <c r="O3076" s="33">
        <f t="shared" si="145"/>
        <v>7</v>
      </c>
    </row>
    <row r="3077" spans="1:15" x14ac:dyDescent="0.25">
      <c r="A3077" s="64" t="s">
        <v>225</v>
      </c>
      <c r="B3077" s="79" t="str">
        <f>IF(Thirteenth!B80="", "",Thirteenth!B80)</f>
        <v>Centre Head</v>
      </c>
      <c r="C3077" s="66" t="str">
        <f>IF(Thirteenth!C80="", "",Thirteenth!C80)</f>
        <v>PwC</v>
      </c>
      <c r="D3077" s="66" t="str">
        <f>IF(Thirteenth!D80="", "",Thirteenth!D80)</f>
        <v>New</v>
      </c>
      <c r="E3077" s="66" t="str">
        <f>IF(Thirteenth!E80="", "",Thirteenth!E80)</f>
        <v>Female</v>
      </c>
      <c r="F3077" s="66" t="str">
        <f>IF(Thirteenth!F80="", "",Thirteenth!F80)</f>
        <v>Rare</v>
      </c>
      <c r="G3077" s="66" t="str">
        <f>IF(Thirteenth!G80="", "",Thirteenth!G80)</f>
        <v>Non-Curative Intent</v>
      </c>
      <c r="H3077" s="66" t="str">
        <f>IF(Thirteenth!H80="", "",Thirteenth!H80)</f>
        <v>Drop-In</v>
      </c>
      <c r="I3077" s="66" t="str">
        <f>IF(Thirteenth!I80="", "",Thirteenth!I80)</f>
        <v/>
      </c>
      <c r="J3077" s="66" t="str">
        <f>IF(Thirteenth!J80="", "",Thirteenth!J80)</f>
        <v/>
      </c>
      <c r="K3077" s="86" t="str">
        <f>IF(Thirteenth!K80="", "",Thirteenth!K80)</f>
        <v/>
      </c>
      <c r="M3077" s="67">
        <f t="shared" si="146"/>
        <v>7</v>
      </c>
      <c r="N3077" s="76" t="str">
        <f t="shared" si="147"/>
        <v/>
      </c>
      <c r="O3077" s="33">
        <f t="shared" si="145"/>
        <v>7</v>
      </c>
    </row>
    <row r="3078" spans="1:15" x14ac:dyDescent="0.25">
      <c r="A3078" s="64" t="s">
        <v>225</v>
      </c>
      <c r="B3078" s="79" t="str">
        <f>IF(Thirteenth!B81="", "",Thirteenth!B81)</f>
        <v>CSS</v>
      </c>
      <c r="C3078" s="66" t="str">
        <f>IF(Thirteenth!C81="", "",Thirteenth!C81)</f>
        <v>PwC</v>
      </c>
      <c r="D3078" s="66" t="str">
        <f>IF(Thirteenth!D81="", "",Thirteenth!D81)</f>
        <v>New</v>
      </c>
      <c r="E3078" s="66" t="str">
        <f>IF(Thirteenth!E81="", "",Thirteenth!E81)</f>
        <v>Female</v>
      </c>
      <c r="F3078" s="66" t="str">
        <f>IF(Thirteenth!F81="", "",Thirteenth!F81)</f>
        <v>Skin/Mel</v>
      </c>
      <c r="G3078" s="66" t="str">
        <f>IF(Thirteenth!G81="", "",Thirteenth!G81)</f>
        <v>Curative Intent</v>
      </c>
      <c r="H3078" s="66" t="str">
        <f>IF(Thirteenth!H81="", "",Thirteenth!H81)</f>
        <v>Drop-In</v>
      </c>
      <c r="I3078" s="66" t="str">
        <f>IF(Thirteenth!I81="", "",Thirteenth!I81)</f>
        <v/>
      </c>
      <c r="J3078" s="66" t="str">
        <f>IF(Thirteenth!J81="", "",Thirteenth!J81)</f>
        <v/>
      </c>
      <c r="K3078" s="86" t="str">
        <f>IF(Thirteenth!K81="", "",Thirteenth!K81)</f>
        <v/>
      </c>
      <c r="M3078" s="67">
        <f t="shared" si="146"/>
        <v>7</v>
      </c>
      <c r="N3078" s="76" t="str">
        <f t="shared" si="147"/>
        <v/>
      </c>
      <c r="O3078" s="33">
        <f t="shared" si="145"/>
        <v>7</v>
      </c>
    </row>
    <row r="3079" spans="1:15" x14ac:dyDescent="0.25">
      <c r="A3079" s="64" t="s">
        <v>225</v>
      </c>
      <c r="B3079" s="79" t="str">
        <f>IF(Thirteenth!B82="", "",Thirteenth!B82)</f>
        <v>CSS</v>
      </c>
      <c r="C3079" s="66" t="str">
        <f>IF(Thirteenth!C82="", "",Thirteenth!C82)</f>
        <v>PwC</v>
      </c>
      <c r="D3079" s="66" t="str">
        <f>IF(Thirteenth!D82="", "",Thirteenth!D82)</f>
        <v>New</v>
      </c>
      <c r="E3079" s="66" t="str">
        <f>IF(Thirteenth!E82="", "",Thirteenth!E82)</f>
        <v>Female</v>
      </c>
      <c r="F3079" s="66" t="str">
        <f>IF(Thirteenth!F82="", "",Thirteenth!F82)</f>
        <v>Breast</v>
      </c>
      <c r="G3079" s="66" t="str">
        <f>IF(Thirteenth!G82="", "",Thirteenth!G82)</f>
        <v>Curative Intent</v>
      </c>
      <c r="H3079" s="66" t="str">
        <f>IF(Thirteenth!H82="", "",Thirteenth!H82)</f>
        <v>Drop-In</v>
      </c>
      <c r="I3079" s="66" t="str">
        <f>IF(Thirteenth!I82="", "",Thirteenth!I82)</f>
        <v/>
      </c>
      <c r="J3079" s="66" t="str">
        <f>IF(Thirteenth!J82="", "",Thirteenth!J82)</f>
        <v/>
      </c>
      <c r="K3079" s="86" t="str">
        <f>IF(Thirteenth!K82="", "",Thirteenth!K82)</f>
        <v/>
      </c>
      <c r="M3079" s="67">
        <f t="shared" si="146"/>
        <v>7</v>
      </c>
      <c r="N3079" s="76" t="str">
        <f t="shared" si="147"/>
        <v/>
      </c>
      <c r="O3079" s="33">
        <f t="shared" si="145"/>
        <v>7</v>
      </c>
    </row>
    <row r="3080" spans="1:15" x14ac:dyDescent="0.25">
      <c r="A3080" s="64" t="s">
        <v>225</v>
      </c>
      <c r="B3080" s="79" t="str">
        <f>IF(Thirteenth!B83="", "",Thirteenth!B83)</f>
        <v>CSS</v>
      </c>
      <c r="C3080" s="66" t="str">
        <f>IF(Thirteenth!C83="", "",Thirteenth!C83)</f>
        <v>PwC</v>
      </c>
      <c r="D3080" s="66" t="str">
        <f>IF(Thirteenth!D83="", "",Thirteenth!D83)</f>
        <v>New</v>
      </c>
      <c r="E3080" s="66" t="str">
        <f>IF(Thirteenth!E83="", "",Thirteenth!E83)</f>
        <v>Male</v>
      </c>
      <c r="F3080" s="66" t="str">
        <f>IF(Thirteenth!F83="", "",Thirteenth!F83)</f>
        <v>Lower GI</v>
      </c>
      <c r="G3080" s="66" t="str">
        <f>IF(Thirteenth!G83="", "",Thirteenth!G83)</f>
        <v>Post Treatment - Curative Intent</v>
      </c>
      <c r="H3080" s="66" t="str">
        <f>IF(Thirteenth!H83="", "",Thirteenth!H83)</f>
        <v>Drop-In</v>
      </c>
      <c r="I3080" s="66" t="str">
        <f>IF(Thirteenth!I83="", "",Thirteenth!I83)</f>
        <v/>
      </c>
      <c r="J3080" s="66" t="str">
        <f>IF(Thirteenth!J83="", "",Thirteenth!J83)</f>
        <v/>
      </c>
      <c r="K3080" s="86" t="str">
        <f>IF(Thirteenth!K83="", "",Thirteenth!K83)</f>
        <v/>
      </c>
      <c r="M3080" s="67">
        <f t="shared" si="146"/>
        <v>7</v>
      </c>
      <c r="N3080" s="76" t="str">
        <f t="shared" si="147"/>
        <v/>
      </c>
      <c r="O3080" s="33">
        <f t="shared" si="145"/>
        <v>7</v>
      </c>
    </row>
    <row r="3081" spans="1:15" x14ac:dyDescent="0.25">
      <c r="A3081" s="64" t="s">
        <v>225</v>
      </c>
      <c r="B3081" s="79" t="str">
        <f>IF(Thirteenth!B84="", "",Thirteenth!B84)</f>
        <v>CSS</v>
      </c>
      <c r="C3081" s="66" t="str">
        <f>IF(Thirteenth!C84="", "",Thirteenth!C84)</f>
        <v>PwC</v>
      </c>
      <c r="D3081" s="66" t="str">
        <f>IF(Thirteenth!D84="", "",Thirteenth!D84)</f>
        <v>New</v>
      </c>
      <c r="E3081" s="66" t="str">
        <f>IF(Thirteenth!E84="", "",Thirteenth!E84)</f>
        <v>Female</v>
      </c>
      <c r="F3081" s="66" t="str">
        <f>IF(Thirteenth!F84="", "",Thirteenth!F84)</f>
        <v>Lower GI</v>
      </c>
      <c r="G3081" s="66" t="str">
        <f>IF(Thirteenth!G84="", "",Thirteenth!G84)</f>
        <v>Curative Intent</v>
      </c>
      <c r="H3081" s="66" t="str">
        <f>IF(Thirteenth!H84="", "",Thirteenth!H84)</f>
        <v>Drop-In</v>
      </c>
      <c r="I3081" s="66" t="str">
        <f>IF(Thirteenth!I84="", "",Thirteenth!I84)</f>
        <v/>
      </c>
      <c r="J3081" s="66" t="str">
        <f>IF(Thirteenth!J84="", "",Thirteenth!J84)</f>
        <v/>
      </c>
      <c r="K3081" s="86" t="str">
        <f>IF(Thirteenth!K84="", "",Thirteenth!K84)</f>
        <v/>
      </c>
      <c r="M3081" s="67">
        <f t="shared" si="146"/>
        <v>7</v>
      </c>
      <c r="N3081" s="76" t="str">
        <f t="shared" si="147"/>
        <v/>
      </c>
      <c r="O3081" s="33">
        <f t="shared" si="145"/>
        <v>7</v>
      </c>
    </row>
    <row r="3082" spans="1:15" x14ac:dyDescent="0.25">
      <c r="A3082" s="64" t="s">
        <v>225</v>
      </c>
      <c r="B3082" s="79" t="str">
        <f>IF(Thirteenth!B85="", "",Thirteenth!B85)</f>
        <v>CSS</v>
      </c>
      <c r="C3082" s="66" t="str">
        <f>IF(Thirteenth!C85="", "",Thirteenth!C85)</f>
        <v>Carer</v>
      </c>
      <c r="D3082" s="66" t="str">
        <f>IF(Thirteenth!D85="", "",Thirteenth!D85)</f>
        <v>New</v>
      </c>
      <c r="E3082" s="66" t="str">
        <f>IF(Thirteenth!E85="", "",Thirteenth!E85)</f>
        <v>Male</v>
      </c>
      <c r="F3082" s="66" t="str">
        <f>IF(Thirteenth!F85="", "",Thirteenth!F85)</f>
        <v>Lower GI</v>
      </c>
      <c r="G3082" s="66" t="str">
        <f>IF(Thirteenth!G85="", "",Thirteenth!G85)</f>
        <v>Curative Intent</v>
      </c>
      <c r="H3082" s="66" t="str">
        <f>IF(Thirteenth!H85="", "",Thirteenth!H85)</f>
        <v>Drop-In</v>
      </c>
      <c r="I3082" s="66" t="str">
        <f>IF(Thirteenth!I85="", "",Thirteenth!I85)</f>
        <v/>
      </c>
      <c r="J3082" s="66" t="str">
        <f>IF(Thirteenth!J85="", "",Thirteenth!J85)</f>
        <v/>
      </c>
      <c r="K3082" s="86" t="str">
        <f>IF(Thirteenth!K85="", "",Thirteenth!K85)</f>
        <v/>
      </c>
      <c r="M3082" s="67" t="str">
        <f t="shared" si="146"/>
        <v/>
      </c>
      <c r="N3082" s="76">
        <f t="shared" si="147"/>
        <v>7</v>
      </c>
      <c r="O3082" s="33">
        <f t="shared" si="145"/>
        <v>7</v>
      </c>
    </row>
    <row r="3083" spans="1:15" x14ac:dyDescent="0.25">
      <c r="A3083" s="64" t="s">
        <v>225</v>
      </c>
      <c r="B3083" s="79" t="str">
        <f>IF(Thirteenth!B86="", "",Thirteenth!B86)</f>
        <v>CSS</v>
      </c>
      <c r="C3083" s="66" t="str">
        <f>IF(Thirteenth!C86="", "",Thirteenth!C86)</f>
        <v>Carer</v>
      </c>
      <c r="D3083" s="66" t="str">
        <f>IF(Thirteenth!D86="", "",Thirteenth!D86)</f>
        <v>New</v>
      </c>
      <c r="E3083" s="66" t="str">
        <f>IF(Thirteenth!E86="", "",Thirteenth!E86)</f>
        <v>Under 18 Female</v>
      </c>
      <c r="F3083" s="66" t="str">
        <f>IF(Thirteenth!F86="", "",Thirteenth!F86)</f>
        <v>Lower GI</v>
      </c>
      <c r="G3083" s="66" t="str">
        <f>IF(Thirteenth!G86="", "",Thirteenth!G86)</f>
        <v>Curative Intent</v>
      </c>
      <c r="H3083" s="66" t="str">
        <f>IF(Thirteenth!H86="", "",Thirteenth!H86)</f>
        <v>Drop-In</v>
      </c>
      <c r="I3083" s="66" t="str">
        <f>IF(Thirteenth!I86="", "",Thirteenth!I86)</f>
        <v/>
      </c>
      <c r="J3083" s="66" t="str">
        <f>IF(Thirteenth!J86="", "",Thirteenth!J86)</f>
        <v/>
      </c>
      <c r="K3083" s="86" t="str">
        <f>IF(Thirteenth!K86="", "",Thirteenth!K86)</f>
        <v/>
      </c>
      <c r="M3083" s="67" t="str">
        <f t="shared" si="146"/>
        <v/>
      </c>
      <c r="N3083" s="76">
        <f t="shared" si="147"/>
        <v>7</v>
      </c>
      <c r="O3083" s="33">
        <f t="shared" si="145"/>
        <v>7</v>
      </c>
    </row>
    <row r="3084" spans="1:15" x14ac:dyDescent="0.25">
      <c r="A3084" s="64" t="s">
        <v>225</v>
      </c>
      <c r="B3084" s="79" t="str">
        <f>IF(Thirteenth!B87="", "",Thirteenth!B87)</f>
        <v>CSS</v>
      </c>
      <c r="C3084" s="66" t="str">
        <f>IF(Thirteenth!C87="", "",Thirteenth!C87)</f>
        <v>PwC</v>
      </c>
      <c r="D3084" s="66" t="str">
        <f>IF(Thirteenth!D87="", "",Thirteenth!D87)</f>
        <v>New</v>
      </c>
      <c r="E3084" s="66" t="str">
        <f>IF(Thirteenth!E87="", "",Thirteenth!E87)</f>
        <v>Female</v>
      </c>
      <c r="F3084" s="66" t="str">
        <f>IF(Thirteenth!F87="", "",Thirteenth!F87)</f>
        <v>Haemat</v>
      </c>
      <c r="G3084" s="66" t="str">
        <f>IF(Thirteenth!G87="", "",Thirteenth!G87)</f>
        <v>Curative Intent</v>
      </c>
      <c r="H3084" s="66" t="str">
        <f>IF(Thirteenth!H87="", "",Thirteenth!H87)</f>
        <v>Drop-In</v>
      </c>
      <c r="I3084" s="66" t="str">
        <f>IF(Thirteenth!I87="", "",Thirteenth!I87)</f>
        <v/>
      </c>
      <c r="J3084" s="66" t="str">
        <f>IF(Thirteenth!J87="", "",Thirteenth!J87)</f>
        <v/>
      </c>
      <c r="K3084" s="86" t="str">
        <f>IF(Thirteenth!K87="", "",Thirteenth!K87)</f>
        <v/>
      </c>
      <c r="M3084" s="67">
        <f t="shared" si="146"/>
        <v>7</v>
      </c>
      <c r="N3084" s="76" t="str">
        <f t="shared" si="147"/>
        <v/>
      </c>
      <c r="O3084" s="33">
        <f t="shared" si="145"/>
        <v>7</v>
      </c>
    </row>
    <row r="3085" spans="1:15" x14ac:dyDescent="0.25">
      <c r="A3085" s="64" t="s">
        <v>225</v>
      </c>
      <c r="B3085" s="79" t="str">
        <f>IF(Thirteenth!B88="", "",Thirteenth!B88)</f>
        <v>CSS</v>
      </c>
      <c r="C3085" s="66" t="str">
        <f>IF(Thirteenth!C88="", "",Thirteenth!C88)</f>
        <v>Carer</v>
      </c>
      <c r="D3085" s="66" t="str">
        <f>IF(Thirteenth!D88="", "",Thirteenth!D88)</f>
        <v>New</v>
      </c>
      <c r="E3085" s="66" t="str">
        <f>IF(Thirteenth!E88="", "",Thirteenth!E88)</f>
        <v>Male</v>
      </c>
      <c r="F3085" s="66" t="str">
        <f>IF(Thirteenth!F88="", "",Thirteenth!F88)</f>
        <v>Haemat</v>
      </c>
      <c r="G3085" s="66" t="str">
        <f>IF(Thirteenth!G88="", "",Thirteenth!G88)</f>
        <v>Bereaved</v>
      </c>
      <c r="H3085" s="66" t="str">
        <f>IF(Thirteenth!H88="", "",Thirteenth!H88)</f>
        <v>Drop-In</v>
      </c>
      <c r="I3085" s="66" t="str">
        <f>IF(Thirteenth!I88="", "",Thirteenth!I88)</f>
        <v/>
      </c>
      <c r="J3085" s="66" t="str">
        <f>IF(Thirteenth!J88="", "",Thirteenth!J88)</f>
        <v/>
      </c>
      <c r="K3085" s="86" t="str">
        <f>IF(Thirteenth!K88="", "",Thirteenth!K88)</f>
        <v/>
      </c>
      <c r="M3085" s="67" t="str">
        <f t="shared" si="146"/>
        <v/>
      </c>
      <c r="N3085" s="76">
        <f t="shared" si="147"/>
        <v>7</v>
      </c>
      <c r="O3085" s="33">
        <f t="shared" si="145"/>
        <v>7</v>
      </c>
    </row>
    <row r="3086" spans="1:15" x14ac:dyDescent="0.25">
      <c r="A3086" s="64" t="s">
        <v>225</v>
      </c>
      <c r="B3086" s="79" t="str">
        <f>IF(Thirteenth!B89="", "",Thirteenth!B89)</f>
        <v>CSS</v>
      </c>
      <c r="C3086" s="66" t="str">
        <f>IF(Thirteenth!C89="", "",Thirteenth!C89)</f>
        <v>Carer</v>
      </c>
      <c r="D3086" s="66" t="str">
        <f>IF(Thirteenth!D89="", "",Thirteenth!D89)</f>
        <v>New</v>
      </c>
      <c r="E3086" s="66" t="str">
        <f>IF(Thirteenth!E89="", "",Thirteenth!E89)</f>
        <v>Female</v>
      </c>
      <c r="F3086" s="66" t="str">
        <f>IF(Thirteenth!F89="", "",Thirteenth!F89)</f>
        <v>Haemat</v>
      </c>
      <c r="G3086" s="66" t="str">
        <f>IF(Thirteenth!G89="", "",Thirteenth!G89)</f>
        <v>Curative Intent</v>
      </c>
      <c r="H3086" s="66" t="str">
        <f>IF(Thirteenth!H89="", "",Thirteenth!H89)</f>
        <v>Drop-In</v>
      </c>
      <c r="I3086" s="66" t="str">
        <f>IF(Thirteenth!I89="", "",Thirteenth!I89)</f>
        <v/>
      </c>
      <c r="J3086" s="66" t="str">
        <f>IF(Thirteenth!J89="", "",Thirteenth!J89)</f>
        <v/>
      </c>
      <c r="K3086" s="86" t="str">
        <f>IF(Thirteenth!K89="", "",Thirteenth!K89)</f>
        <v/>
      </c>
      <c r="M3086" s="67" t="str">
        <f t="shared" si="146"/>
        <v/>
      </c>
      <c r="N3086" s="76">
        <f t="shared" si="147"/>
        <v>7</v>
      </c>
      <c r="O3086" s="33">
        <f t="shared" si="145"/>
        <v>7</v>
      </c>
    </row>
    <row r="3087" spans="1:15" x14ac:dyDescent="0.25">
      <c r="A3087" s="64" t="s">
        <v>225</v>
      </c>
      <c r="B3087" s="79" t="str">
        <f>IF(Thirteenth!B90="", "",Thirteenth!B90)</f>
        <v>CSS</v>
      </c>
      <c r="C3087" s="66" t="str">
        <f>IF(Thirteenth!C90="", "",Thirteenth!C90)</f>
        <v>PwC</v>
      </c>
      <c r="D3087" s="66" t="str">
        <f>IF(Thirteenth!D90="", "",Thirteenth!D90)</f>
        <v>New</v>
      </c>
      <c r="E3087" s="66" t="str">
        <f>IF(Thirteenth!E90="", "",Thirteenth!E90)</f>
        <v>Female</v>
      </c>
      <c r="F3087" s="66" t="str">
        <f>IF(Thirteenth!F90="", "",Thirteenth!F90)</f>
        <v>Gynae</v>
      </c>
      <c r="G3087" s="66" t="str">
        <f>IF(Thirteenth!G90="", "",Thirteenth!G90)</f>
        <v>Curative Intent</v>
      </c>
      <c r="H3087" s="66" t="str">
        <f>IF(Thirteenth!H90="", "",Thirteenth!H90)</f>
        <v>Drop-In</v>
      </c>
      <c r="I3087" s="66" t="str">
        <f>IF(Thirteenth!I90="", "",Thirteenth!I90)</f>
        <v/>
      </c>
      <c r="J3087" s="66" t="str">
        <f>IF(Thirteenth!J90="", "",Thirteenth!J90)</f>
        <v/>
      </c>
      <c r="K3087" s="86" t="str">
        <f>IF(Thirteenth!K90="", "",Thirteenth!K90)</f>
        <v/>
      </c>
      <c r="M3087" s="67">
        <f t="shared" si="146"/>
        <v>7</v>
      </c>
      <c r="N3087" s="76" t="str">
        <f t="shared" si="147"/>
        <v/>
      </c>
      <c r="O3087" s="33">
        <f t="shared" si="145"/>
        <v>7</v>
      </c>
    </row>
    <row r="3088" spans="1:15" x14ac:dyDescent="0.25">
      <c r="A3088" s="64" t="s">
        <v>225</v>
      </c>
      <c r="B3088" s="79" t="str">
        <f>IF(Thirteenth!B91="", "",Thirteenth!B91)</f>
        <v/>
      </c>
      <c r="C3088" s="66" t="str">
        <f>IF(Thirteenth!C91="", "",Thirteenth!C91)</f>
        <v/>
      </c>
      <c r="D3088" s="66" t="str">
        <f>IF(Thirteenth!D91="", "",Thirteenth!D91)</f>
        <v/>
      </c>
      <c r="E3088" s="66" t="str">
        <f>IF(Thirteenth!E91="", "",Thirteenth!E91)</f>
        <v/>
      </c>
      <c r="F3088" s="66" t="str">
        <f>IF(Thirteenth!F91="", "",Thirteenth!F91)</f>
        <v/>
      </c>
      <c r="G3088" s="66" t="str">
        <f>IF(Thirteenth!G91="", "",Thirteenth!G91)</f>
        <v/>
      </c>
      <c r="H3088" s="66" t="str">
        <f>IF(Thirteenth!H91="", "",Thirteenth!H91)</f>
        <v/>
      </c>
      <c r="I3088" s="66" t="str">
        <f>IF(Thirteenth!I91="", "",Thirteenth!I91)</f>
        <v/>
      </c>
      <c r="J3088" s="66" t="str">
        <f>IF(Thirteenth!J91="", "",Thirteenth!J91)</f>
        <v/>
      </c>
      <c r="K3088" s="86" t="str">
        <f>IF(Thirteenth!K91="", "",Thirteenth!K91)</f>
        <v/>
      </c>
      <c r="M3088" s="67" t="str">
        <f t="shared" si="146"/>
        <v/>
      </c>
      <c r="N3088" s="76" t="str">
        <f t="shared" si="147"/>
        <v/>
      </c>
      <c r="O3088" s="33">
        <f t="shared" si="145"/>
        <v>0</v>
      </c>
    </row>
    <row r="3089" spans="1:15" x14ac:dyDescent="0.25">
      <c r="A3089" s="64" t="s">
        <v>225</v>
      </c>
      <c r="B3089" s="79" t="str">
        <f>IF(Thirteenth!B92="", "",Thirteenth!B92)</f>
        <v/>
      </c>
      <c r="C3089" s="66" t="str">
        <f>IF(Thirteenth!C92="", "",Thirteenth!C92)</f>
        <v/>
      </c>
      <c r="D3089" s="66" t="str">
        <f>IF(Thirteenth!D92="", "",Thirteenth!D92)</f>
        <v/>
      </c>
      <c r="E3089" s="66" t="str">
        <f>IF(Thirteenth!E92="", "",Thirteenth!E92)</f>
        <v/>
      </c>
      <c r="F3089" s="66" t="str">
        <f>IF(Thirteenth!F92="", "",Thirteenth!F92)</f>
        <v/>
      </c>
      <c r="G3089" s="66" t="str">
        <f>IF(Thirteenth!G92="", "",Thirteenth!G92)</f>
        <v/>
      </c>
      <c r="H3089" s="66" t="str">
        <f>IF(Thirteenth!H92="", "",Thirteenth!H92)</f>
        <v/>
      </c>
      <c r="I3089" s="66" t="str">
        <f>IF(Thirteenth!I92="", "",Thirteenth!I92)</f>
        <v/>
      </c>
      <c r="J3089" s="66" t="str">
        <f>IF(Thirteenth!J92="", "",Thirteenth!J92)</f>
        <v/>
      </c>
      <c r="K3089" s="86" t="str">
        <f>IF(Thirteenth!K92="", "",Thirteenth!K92)</f>
        <v/>
      </c>
      <c r="M3089" s="67" t="str">
        <f t="shared" si="146"/>
        <v/>
      </c>
      <c r="N3089" s="76" t="str">
        <f t="shared" si="147"/>
        <v/>
      </c>
      <c r="O3089" s="33">
        <f t="shared" si="145"/>
        <v>0</v>
      </c>
    </row>
    <row r="3090" spans="1:15" x14ac:dyDescent="0.25">
      <c r="A3090" s="64" t="s">
        <v>225</v>
      </c>
      <c r="B3090" s="79" t="str">
        <f>IF(Thirteenth!B93="", "",Thirteenth!B93)</f>
        <v/>
      </c>
      <c r="C3090" s="66" t="str">
        <f>IF(Thirteenth!C93="", "",Thirteenth!C93)</f>
        <v/>
      </c>
      <c r="D3090" s="66" t="str">
        <f>IF(Thirteenth!D93="", "",Thirteenth!D93)</f>
        <v/>
      </c>
      <c r="E3090" s="66" t="str">
        <f>IF(Thirteenth!E93="", "",Thirteenth!E93)</f>
        <v/>
      </c>
      <c r="F3090" s="66" t="str">
        <f>IF(Thirteenth!F93="", "",Thirteenth!F93)</f>
        <v/>
      </c>
      <c r="G3090" s="66" t="str">
        <f>IF(Thirteenth!G93="", "",Thirteenth!G93)</f>
        <v/>
      </c>
      <c r="H3090" s="66" t="str">
        <f>IF(Thirteenth!H93="", "",Thirteenth!H93)</f>
        <v/>
      </c>
      <c r="I3090" s="66" t="str">
        <f>IF(Thirteenth!I93="", "",Thirteenth!I93)</f>
        <v/>
      </c>
      <c r="J3090" s="66" t="str">
        <f>IF(Thirteenth!J93="", "",Thirteenth!J93)</f>
        <v/>
      </c>
      <c r="K3090" s="86" t="str">
        <f>IF(Thirteenth!K93="", "",Thirteenth!K93)</f>
        <v/>
      </c>
      <c r="M3090" s="67" t="str">
        <f t="shared" si="146"/>
        <v/>
      </c>
      <c r="N3090" s="76" t="str">
        <f t="shared" si="147"/>
        <v/>
      </c>
      <c r="O3090" s="33">
        <f t="shared" si="145"/>
        <v>0</v>
      </c>
    </row>
    <row r="3091" spans="1:15" x14ac:dyDescent="0.25">
      <c r="A3091" s="64" t="s">
        <v>225</v>
      </c>
      <c r="B3091" s="79" t="str">
        <f>IF(Thirteenth!B94="", "",Thirteenth!B94)</f>
        <v/>
      </c>
      <c r="C3091" s="66" t="str">
        <f>IF(Thirteenth!C94="", "",Thirteenth!C94)</f>
        <v/>
      </c>
      <c r="D3091" s="66" t="str">
        <f>IF(Thirteenth!D94="", "",Thirteenth!D94)</f>
        <v/>
      </c>
      <c r="E3091" s="66" t="str">
        <f>IF(Thirteenth!E94="", "",Thirteenth!E94)</f>
        <v/>
      </c>
      <c r="F3091" s="66" t="str">
        <f>IF(Thirteenth!F94="", "",Thirteenth!F94)</f>
        <v/>
      </c>
      <c r="G3091" s="66" t="str">
        <f>IF(Thirteenth!G94="", "",Thirteenth!G94)</f>
        <v/>
      </c>
      <c r="H3091" s="66" t="str">
        <f>IF(Thirteenth!H94="", "",Thirteenth!H94)</f>
        <v/>
      </c>
      <c r="I3091" s="66" t="str">
        <f>IF(Thirteenth!I94="", "",Thirteenth!I94)</f>
        <v/>
      </c>
      <c r="J3091" s="66" t="str">
        <f>IF(Thirteenth!J94="", "",Thirteenth!J94)</f>
        <v/>
      </c>
      <c r="K3091" s="86" t="str">
        <f>IF(Thirteenth!K94="", "",Thirteenth!K94)</f>
        <v/>
      </c>
      <c r="M3091" s="67" t="str">
        <f t="shared" si="146"/>
        <v/>
      </c>
      <c r="N3091" s="76" t="str">
        <f t="shared" si="147"/>
        <v/>
      </c>
      <c r="O3091" s="33">
        <f t="shared" si="145"/>
        <v>0</v>
      </c>
    </row>
    <row r="3092" spans="1:15" x14ac:dyDescent="0.25">
      <c r="A3092" s="64" t="s">
        <v>225</v>
      </c>
      <c r="B3092" s="79" t="str">
        <f>IF(Thirteenth!B95="", "",Thirteenth!B95)</f>
        <v/>
      </c>
      <c r="C3092" s="66" t="str">
        <f>IF(Thirteenth!C95="", "",Thirteenth!C95)</f>
        <v/>
      </c>
      <c r="D3092" s="66" t="str">
        <f>IF(Thirteenth!D95="", "",Thirteenth!D95)</f>
        <v/>
      </c>
      <c r="E3092" s="66" t="str">
        <f>IF(Thirteenth!E95="", "",Thirteenth!E95)</f>
        <v/>
      </c>
      <c r="F3092" s="66" t="str">
        <f>IF(Thirteenth!F95="", "",Thirteenth!F95)</f>
        <v/>
      </c>
      <c r="G3092" s="66" t="str">
        <f>IF(Thirteenth!G95="", "",Thirteenth!G95)</f>
        <v/>
      </c>
      <c r="H3092" s="66" t="str">
        <f>IF(Thirteenth!H95="", "",Thirteenth!H95)</f>
        <v/>
      </c>
      <c r="I3092" s="66" t="str">
        <f>IF(Thirteenth!I95="", "",Thirteenth!I95)</f>
        <v/>
      </c>
      <c r="J3092" s="66" t="str">
        <f>IF(Thirteenth!J95="", "",Thirteenth!J95)</f>
        <v/>
      </c>
      <c r="K3092" s="86" t="str">
        <f>IF(Thirteenth!K95="", "",Thirteenth!K95)</f>
        <v/>
      </c>
      <c r="M3092" s="67" t="str">
        <f t="shared" si="146"/>
        <v/>
      </c>
      <c r="N3092" s="76" t="str">
        <f t="shared" si="147"/>
        <v/>
      </c>
      <c r="O3092" s="33">
        <f t="shared" si="145"/>
        <v>0</v>
      </c>
    </row>
    <row r="3093" spans="1:15" x14ac:dyDescent="0.25">
      <c r="A3093" s="64" t="s">
        <v>225</v>
      </c>
      <c r="B3093" s="79" t="str">
        <f>IF(Thirteenth!B96="", "",Thirteenth!B96)</f>
        <v/>
      </c>
      <c r="C3093" s="66" t="str">
        <f>IF(Thirteenth!C96="", "",Thirteenth!C96)</f>
        <v/>
      </c>
      <c r="D3093" s="66" t="str">
        <f>IF(Thirteenth!D96="", "",Thirteenth!D96)</f>
        <v/>
      </c>
      <c r="E3093" s="66" t="str">
        <f>IF(Thirteenth!E96="", "",Thirteenth!E96)</f>
        <v/>
      </c>
      <c r="F3093" s="66" t="str">
        <f>IF(Thirteenth!F96="", "",Thirteenth!F96)</f>
        <v/>
      </c>
      <c r="G3093" s="66" t="str">
        <f>IF(Thirteenth!G96="", "",Thirteenth!G96)</f>
        <v/>
      </c>
      <c r="H3093" s="66" t="str">
        <f>IF(Thirteenth!H96="", "",Thirteenth!H96)</f>
        <v/>
      </c>
      <c r="I3093" s="66" t="str">
        <f>IF(Thirteenth!I96="", "",Thirteenth!I96)</f>
        <v/>
      </c>
      <c r="J3093" s="66" t="str">
        <f>IF(Thirteenth!J96="", "",Thirteenth!J96)</f>
        <v/>
      </c>
      <c r="K3093" s="86" t="str">
        <f>IF(Thirteenth!K96="", "",Thirteenth!K96)</f>
        <v/>
      </c>
      <c r="M3093" s="67" t="str">
        <f t="shared" si="146"/>
        <v/>
      </c>
      <c r="N3093" s="76" t="str">
        <f t="shared" si="147"/>
        <v/>
      </c>
      <c r="O3093" s="33">
        <f t="shared" si="145"/>
        <v>0</v>
      </c>
    </row>
    <row r="3094" spans="1:15" x14ac:dyDescent="0.25">
      <c r="A3094" s="64" t="s">
        <v>225</v>
      </c>
      <c r="B3094" s="79" t="str">
        <f>IF(Thirteenth!B97="", "",Thirteenth!B97)</f>
        <v/>
      </c>
      <c r="C3094" s="66" t="str">
        <f>IF(Thirteenth!C97="", "",Thirteenth!C97)</f>
        <v/>
      </c>
      <c r="D3094" s="66" t="str">
        <f>IF(Thirteenth!D97="", "",Thirteenth!D97)</f>
        <v/>
      </c>
      <c r="E3094" s="66" t="str">
        <f>IF(Thirteenth!E97="", "",Thirteenth!E97)</f>
        <v/>
      </c>
      <c r="F3094" s="66" t="str">
        <f>IF(Thirteenth!F97="", "",Thirteenth!F97)</f>
        <v/>
      </c>
      <c r="G3094" s="66" t="str">
        <f>IF(Thirteenth!G97="", "",Thirteenth!G97)</f>
        <v/>
      </c>
      <c r="H3094" s="66" t="str">
        <f>IF(Thirteenth!H97="", "",Thirteenth!H97)</f>
        <v/>
      </c>
      <c r="I3094" s="66" t="str">
        <f>IF(Thirteenth!I97="", "",Thirteenth!I97)</f>
        <v/>
      </c>
      <c r="J3094" s="66" t="str">
        <f>IF(Thirteenth!J97="", "",Thirteenth!J97)</f>
        <v/>
      </c>
      <c r="K3094" s="86" t="str">
        <f>IF(Thirteenth!K97="", "",Thirteenth!K97)</f>
        <v/>
      </c>
      <c r="M3094" s="67" t="str">
        <f t="shared" si="146"/>
        <v/>
      </c>
      <c r="N3094" s="76" t="str">
        <f t="shared" si="147"/>
        <v/>
      </c>
      <c r="O3094" s="33">
        <f t="shared" si="145"/>
        <v>0</v>
      </c>
    </row>
    <row r="3095" spans="1:15" x14ac:dyDescent="0.25">
      <c r="A3095" s="64" t="s">
        <v>225</v>
      </c>
      <c r="B3095" s="79" t="str">
        <f>IF(Thirteenth!B98="", "",Thirteenth!B98)</f>
        <v/>
      </c>
      <c r="C3095" s="66" t="str">
        <f>IF(Thirteenth!C98="", "",Thirteenth!C98)</f>
        <v/>
      </c>
      <c r="D3095" s="66" t="str">
        <f>IF(Thirteenth!D98="", "",Thirteenth!D98)</f>
        <v/>
      </c>
      <c r="E3095" s="66" t="str">
        <f>IF(Thirteenth!E98="", "",Thirteenth!E98)</f>
        <v/>
      </c>
      <c r="F3095" s="66" t="str">
        <f>IF(Thirteenth!F98="", "",Thirteenth!F98)</f>
        <v/>
      </c>
      <c r="G3095" s="66" t="str">
        <f>IF(Thirteenth!G98="", "",Thirteenth!G98)</f>
        <v/>
      </c>
      <c r="H3095" s="66" t="str">
        <f>IF(Thirteenth!H98="", "",Thirteenth!H98)</f>
        <v/>
      </c>
      <c r="I3095" s="66" t="str">
        <f>IF(Thirteenth!I98="", "",Thirteenth!I98)</f>
        <v/>
      </c>
      <c r="J3095" s="66" t="str">
        <f>IF(Thirteenth!J98="", "",Thirteenth!J98)</f>
        <v/>
      </c>
      <c r="K3095" s="86" t="str">
        <f>IF(Thirteenth!K98="", "",Thirteenth!K98)</f>
        <v/>
      </c>
      <c r="M3095" s="67" t="str">
        <f t="shared" si="146"/>
        <v/>
      </c>
      <c r="N3095" s="76" t="str">
        <f t="shared" si="147"/>
        <v/>
      </c>
      <c r="O3095" s="33">
        <f t="shared" si="145"/>
        <v>0</v>
      </c>
    </row>
    <row r="3096" spans="1:15" x14ac:dyDescent="0.25">
      <c r="A3096" s="64" t="s">
        <v>225</v>
      </c>
      <c r="B3096" s="79" t="str">
        <f>IF(Thirteenth!B99="", "",Thirteenth!B99)</f>
        <v/>
      </c>
      <c r="C3096" s="66" t="str">
        <f>IF(Thirteenth!C99="", "",Thirteenth!C99)</f>
        <v/>
      </c>
      <c r="D3096" s="66" t="str">
        <f>IF(Thirteenth!D99="", "",Thirteenth!D99)</f>
        <v/>
      </c>
      <c r="E3096" s="66" t="str">
        <f>IF(Thirteenth!E99="", "",Thirteenth!E99)</f>
        <v/>
      </c>
      <c r="F3096" s="66" t="str">
        <f>IF(Thirteenth!F99="", "",Thirteenth!F99)</f>
        <v/>
      </c>
      <c r="G3096" s="66" t="str">
        <f>IF(Thirteenth!G99="", "",Thirteenth!G99)</f>
        <v/>
      </c>
      <c r="H3096" s="66" t="str">
        <f>IF(Thirteenth!H99="", "",Thirteenth!H99)</f>
        <v/>
      </c>
      <c r="I3096" s="66" t="str">
        <f>IF(Thirteenth!I99="", "",Thirteenth!I99)</f>
        <v/>
      </c>
      <c r="J3096" s="66" t="str">
        <f>IF(Thirteenth!J99="", "",Thirteenth!J99)</f>
        <v/>
      </c>
      <c r="K3096" s="86" t="str">
        <f>IF(Thirteenth!K99="", "",Thirteenth!K99)</f>
        <v/>
      </c>
      <c r="M3096" s="67" t="str">
        <f t="shared" si="146"/>
        <v/>
      </c>
      <c r="N3096" s="76" t="str">
        <f t="shared" si="147"/>
        <v/>
      </c>
      <c r="O3096" s="33">
        <f t="shared" si="145"/>
        <v>0</v>
      </c>
    </row>
    <row r="3097" spans="1:15" x14ac:dyDescent="0.25">
      <c r="A3097" s="64" t="s">
        <v>225</v>
      </c>
      <c r="B3097" s="79" t="str">
        <f>IF(Thirteenth!B100="", "",Thirteenth!B100)</f>
        <v/>
      </c>
      <c r="C3097" s="66" t="str">
        <f>IF(Thirteenth!C100="", "",Thirteenth!C100)</f>
        <v/>
      </c>
      <c r="D3097" s="66" t="str">
        <f>IF(Thirteenth!D100="", "",Thirteenth!D100)</f>
        <v/>
      </c>
      <c r="E3097" s="66" t="str">
        <f>IF(Thirteenth!E100="", "",Thirteenth!E100)</f>
        <v/>
      </c>
      <c r="F3097" s="66" t="str">
        <f>IF(Thirteenth!F100="", "",Thirteenth!F100)</f>
        <v/>
      </c>
      <c r="G3097" s="66" t="str">
        <f>IF(Thirteenth!G100="", "",Thirteenth!G100)</f>
        <v/>
      </c>
      <c r="H3097" s="66" t="str">
        <f>IF(Thirteenth!H100="", "",Thirteenth!H100)</f>
        <v/>
      </c>
      <c r="I3097" s="66" t="str">
        <f>IF(Thirteenth!I100="", "",Thirteenth!I100)</f>
        <v/>
      </c>
      <c r="J3097" s="66" t="str">
        <f>IF(Thirteenth!J100="", "",Thirteenth!J100)</f>
        <v/>
      </c>
      <c r="K3097" s="86" t="str">
        <f>IF(Thirteenth!K100="", "",Thirteenth!K100)</f>
        <v/>
      </c>
      <c r="M3097" s="67" t="str">
        <f t="shared" si="146"/>
        <v/>
      </c>
      <c r="N3097" s="76" t="str">
        <f t="shared" si="147"/>
        <v/>
      </c>
      <c r="O3097" s="33">
        <f t="shared" si="145"/>
        <v>0</v>
      </c>
    </row>
    <row r="3098" spans="1:15" x14ac:dyDescent="0.25">
      <c r="A3098" s="64" t="s">
        <v>225</v>
      </c>
      <c r="B3098" s="79" t="str">
        <f>IF(Thirteenth!B101="", "",Thirteenth!B101)</f>
        <v/>
      </c>
      <c r="C3098" s="66" t="str">
        <f>IF(Thirteenth!C101="", "",Thirteenth!C101)</f>
        <v/>
      </c>
      <c r="D3098" s="66" t="str">
        <f>IF(Thirteenth!D101="", "",Thirteenth!D101)</f>
        <v/>
      </c>
      <c r="E3098" s="66" t="str">
        <f>IF(Thirteenth!E101="", "",Thirteenth!E101)</f>
        <v/>
      </c>
      <c r="F3098" s="66" t="str">
        <f>IF(Thirteenth!F101="", "",Thirteenth!F101)</f>
        <v/>
      </c>
      <c r="G3098" s="66" t="str">
        <f>IF(Thirteenth!G101="", "",Thirteenth!G101)</f>
        <v/>
      </c>
      <c r="H3098" s="66" t="str">
        <f>IF(Thirteenth!H101="", "",Thirteenth!H101)</f>
        <v/>
      </c>
      <c r="I3098" s="66" t="str">
        <f>IF(Thirteenth!I101="", "",Thirteenth!I101)</f>
        <v/>
      </c>
      <c r="J3098" s="66" t="str">
        <f>IF(Thirteenth!J101="", "",Thirteenth!J101)</f>
        <v/>
      </c>
      <c r="K3098" s="86" t="str">
        <f>IF(Thirteenth!K101="", "",Thirteenth!K101)</f>
        <v/>
      </c>
      <c r="M3098" s="67" t="str">
        <f t="shared" si="146"/>
        <v/>
      </c>
      <c r="N3098" s="76" t="str">
        <f t="shared" si="147"/>
        <v/>
      </c>
      <c r="O3098" s="33">
        <f t="shared" si="145"/>
        <v>0</v>
      </c>
    </row>
    <row r="3099" spans="1:15" x14ac:dyDescent="0.25">
      <c r="A3099" s="64" t="s">
        <v>225</v>
      </c>
      <c r="B3099" s="79" t="str">
        <f>IF(Thirteenth!B102="", "",Thirteenth!B102)</f>
        <v/>
      </c>
      <c r="C3099" s="66" t="str">
        <f>IF(Thirteenth!C102="", "",Thirteenth!C102)</f>
        <v/>
      </c>
      <c r="D3099" s="66" t="str">
        <f>IF(Thirteenth!D102="", "",Thirteenth!D102)</f>
        <v/>
      </c>
      <c r="E3099" s="66" t="str">
        <f>IF(Thirteenth!E102="", "",Thirteenth!E102)</f>
        <v/>
      </c>
      <c r="F3099" s="66" t="str">
        <f>IF(Thirteenth!F102="", "",Thirteenth!F102)</f>
        <v/>
      </c>
      <c r="G3099" s="66" t="str">
        <f>IF(Thirteenth!G102="", "",Thirteenth!G102)</f>
        <v/>
      </c>
      <c r="H3099" s="66" t="str">
        <f>IF(Thirteenth!H102="", "",Thirteenth!H102)</f>
        <v/>
      </c>
      <c r="I3099" s="66" t="str">
        <f>IF(Thirteenth!I102="", "",Thirteenth!I102)</f>
        <v/>
      </c>
      <c r="J3099" s="66" t="str">
        <f>IF(Thirteenth!J102="", "",Thirteenth!J102)</f>
        <v/>
      </c>
      <c r="K3099" s="86" t="str">
        <f>IF(Thirteenth!K102="", "",Thirteenth!K102)</f>
        <v/>
      </c>
      <c r="M3099" s="67" t="str">
        <f t="shared" si="146"/>
        <v/>
      </c>
      <c r="N3099" s="76" t="str">
        <f t="shared" si="147"/>
        <v/>
      </c>
      <c r="O3099" s="33">
        <f t="shared" si="145"/>
        <v>0</v>
      </c>
    </row>
    <row r="3100" spans="1:15" x14ac:dyDescent="0.25">
      <c r="A3100" s="64" t="s">
        <v>225</v>
      </c>
      <c r="B3100" s="79" t="str">
        <f>IF(Thirteenth!B103="", "",Thirteenth!B103)</f>
        <v/>
      </c>
      <c r="C3100" s="66" t="str">
        <f>IF(Thirteenth!C103="", "",Thirteenth!C103)</f>
        <v/>
      </c>
      <c r="D3100" s="66" t="str">
        <f>IF(Thirteenth!D103="", "",Thirteenth!D103)</f>
        <v/>
      </c>
      <c r="E3100" s="66" t="str">
        <f>IF(Thirteenth!E103="", "",Thirteenth!E103)</f>
        <v/>
      </c>
      <c r="F3100" s="66" t="str">
        <f>IF(Thirteenth!F103="", "",Thirteenth!F103)</f>
        <v/>
      </c>
      <c r="G3100" s="66" t="str">
        <f>IF(Thirteenth!G103="", "",Thirteenth!G103)</f>
        <v/>
      </c>
      <c r="H3100" s="66" t="str">
        <f>IF(Thirteenth!H103="", "",Thirteenth!H103)</f>
        <v/>
      </c>
      <c r="I3100" s="66" t="str">
        <f>IF(Thirteenth!I103="", "",Thirteenth!I103)</f>
        <v/>
      </c>
      <c r="J3100" s="66" t="str">
        <f>IF(Thirteenth!J103="", "",Thirteenth!J103)</f>
        <v/>
      </c>
      <c r="K3100" s="86" t="str">
        <f>IF(Thirteenth!K103="", "",Thirteenth!K103)</f>
        <v/>
      </c>
      <c r="M3100" s="67" t="str">
        <f t="shared" si="146"/>
        <v/>
      </c>
      <c r="N3100" s="76" t="str">
        <f t="shared" si="147"/>
        <v/>
      </c>
      <c r="O3100" s="33">
        <f t="shared" si="145"/>
        <v>0</v>
      </c>
    </row>
    <row r="3101" spans="1:15" x14ac:dyDescent="0.25">
      <c r="A3101" s="64" t="s">
        <v>225</v>
      </c>
      <c r="B3101" s="79" t="str">
        <f>IF(Thirteenth!B104="", "",Thirteenth!B104)</f>
        <v/>
      </c>
      <c r="C3101" s="66" t="str">
        <f>IF(Thirteenth!C104="", "",Thirteenth!C104)</f>
        <v/>
      </c>
      <c r="D3101" s="66" t="str">
        <f>IF(Thirteenth!D104="", "",Thirteenth!D104)</f>
        <v/>
      </c>
      <c r="E3101" s="66" t="str">
        <f>IF(Thirteenth!E104="", "",Thirteenth!E104)</f>
        <v/>
      </c>
      <c r="F3101" s="66" t="str">
        <f>IF(Thirteenth!F104="", "",Thirteenth!F104)</f>
        <v/>
      </c>
      <c r="G3101" s="66" t="str">
        <f>IF(Thirteenth!G104="", "",Thirteenth!G104)</f>
        <v/>
      </c>
      <c r="H3101" s="66" t="str">
        <f>IF(Thirteenth!H104="", "",Thirteenth!H104)</f>
        <v/>
      </c>
      <c r="I3101" s="66" t="str">
        <f>IF(Thirteenth!I104="", "",Thirteenth!I104)</f>
        <v/>
      </c>
      <c r="J3101" s="66" t="str">
        <f>IF(Thirteenth!J104="", "",Thirteenth!J104)</f>
        <v/>
      </c>
      <c r="K3101" s="86" t="str">
        <f>IF(Thirteenth!K104="", "",Thirteenth!K104)</f>
        <v/>
      </c>
      <c r="M3101" s="67" t="str">
        <f t="shared" si="146"/>
        <v/>
      </c>
      <c r="N3101" s="76" t="str">
        <f t="shared" si="147"/>
        <v/>
      </c>
      <c r="O3101" s="33">
        <f t="shared" si="145"/>
        <v>0</v>
      </c>
    </row>
    <row r="3102" spans="1:15" x14ac:dyDescent="0.25">
      <c r="A3102" s="64" t="s">
        <v>225</v>
      </c>
      <c r="B3102" s="79" t="str">
        <f>IF(Thirteenth!B105="", "",Thirteenth!B105)</f>
        <v/>
      </c>
      <c r="C3102" s="66" t="str">
        <f>IF(Thirteenth!C105="", "",Thirteenth!C105)</f>
        <v/>
      </c>
      <c r="D3102" s="66" t="str">
        <f>IF(Thirteenth!D105="", "",Thirteenth!D105)</f>
        <v/>
      </c>
      <c r="E3102" s="66" t="str">
        <f>IF(Thirteenth!E105="", "",Thirteenth!E105)</f>
        <v/>
      </c>
      <c r="F3102" s="66" t="str">
        <f>IF(Thirteenth!F105="", "",Thirteenth!F105)</f>
        <v/>
      </c>
      <c r="G3102" s="66" t="str">
        <f>IF(Thirteenth!G105="", "",Thirteenth!G105)</f>
        <v/>
      </c>
      <c r="H3102" s="66" t="str">
        <f>IF(Thirteenth!H105="", "",Thirteenth!H105)</f>
        <v/>
      </c>
      <c r="I3102" s="66" t="str">
        <f>IF(Thirteenth!I105="", "",Thirteenth!I105)</f>
        <v/>
      </c>
      <c r="J3102" s="66" t="str">
        <f>IF(Thirteenth!J105="", "",Thirteenth!J105)</f>
        <v/>
      </c>
      <c r="K3102" s="86" t="str">
        <f>IF(Thirteenth!K105="", "",Thirteenth!K105)</f>
        <v/>
      </c>
      <c r="M3102" s="67" t="str">
        <f t="shared" si="146"/>
        <v/>
      </c>
      <c r="N3102" s="76" t="str">
        <f t="shared" si="147"/>
        <v/>
      </c>
      <c r="O3102" s="33">
        <f t="shared" si="145"/>
        <v>0</v>
      </c>
    </row>
    <row r="3103" spans="1:15" x14ac:dyDescent="0.25">
      <c r="A3103" s="64" t="s">
        <v>225</v>
      </c>
      <c r="B3103" s="79" t="str">
        <f>IF(Thirteenth!B106="", "",Thirteenth!B106)</f>
        <v/>
      </c>
      <c r="C3103" s="66" t="str">
        <f>IF(Thirteenth!C106="", "",Thirteenth!C106)</f>
        <v/>
      </c>
      <c r="D3103" s="66" t="str">
        <f>IF(Thirteenth!D106="", "",Thirteenth!D106)</f>
        <v/>
      </c>
      <c r="E3103" s="66" t="str">
        <f>IF(Thirteenth!E106="", "",Thirteenth!E106)</f>
        <v/>
      </c>
      <c r="F3103" s="66" t="str">
        <f>IF(Thirteenth!F106="", "",Thirteenth!F106)</f>
        <v/>
      </c>
      <c r="G3103" s="66" t="str">
        <f>IF(Thirteenth!G106="", "",Thirteenth!G106)</f>
        <v/>
      </c>
      <c r="H3103" s="66" t="str">
        <f>IF(Thirteenth!H106="", "",Thirteenth!H106)</f>
        <v/>
      </c>
      <c r="I3103" s="66" t="str">
        <f>IF(Thirteenth!I106="", "",Thirteenth!I106)</f>
        <v/>
      </c>
      <c r="J3103" s="66" t="str">
        <f>IF(Thirteenth!J106="", "",Thirteenth!J106)</f>
        <v/>
      </c>
      <c r="K3103" s="86" t="str">
        <f>IF(Thirteenth!K106="", "",Thirteenth!K106)</f>
        <v/>
      </c>
      <c r="M3103" s="67" t="str">
        <f t="shared" si="146"/>
        <v/>
      </c>
      <c r="N3103" s="76" t="str">
        <f t="shared" si="147"/>
        <v/>
      </c>
      <c r="O3103" s="33">
        <f t="shared" si="145"/>
        <v>0</v>
      </c>
    </row>
    <row r="3104" spans="1:15" x14ac:dyDescent="0.25">
      <c r="A3104" s="64" t="s">
        <v>225</v>
      </c>
      <c r="B3104" s="79" t="str">
        <f>IF(Thirteenth!B107="", "",Thirteenth!B107)</f>
        <v/>
      </c>
      <c r="C3104" s="66" t="str">
        <f>IF(Thirteenth!C107="", "",Thirteenth!C107)</f>
        <v/>
      </c>
      <c r="D3104" s="66" t="str">
        <f>IF(Thirteenth!D107="", "",Thirteenth!D107)</f>
        <v/>
      </c>
      <c r="E3104" s="66" t="str">
        <f>IF(Thirteenth!E107="", "",Thirteenth!E107)</f>
        <v/>
      </c>
      <c r="F3104" s="66" t="str">
        <f>IF(Thirteenth!F107="", "",Thirteenth!F107)</f>
        <v/>
      </c>
      <c r="G3104" s="66" t="str">
        <f>IF(Thirteenth!G107="", "",Thirteenth!G107)</f>
        <v/>
      </c>
      <c r="H3104" s="66" t="str">
        <f>IF(Thirteenth!H107="", "",Thirteenth!H107)</f>
        <v/>
      </c>
      <c r="I3104" s="66" t="str">
        <f>IF(Thirteenth!I107="", "",Thirteenth!I107)</f>
        <v/>
      </c>
      <c r="J3104" s="66" t="str">
        <f>IF(Thirteenth!J107="", "",Thirteenth!J107)</f>
        <v/>
      </c>
      <c r="K3104" s="86" t="str">
        <f>IF(Thirteenth!K107="", "",Thirteenth!K107)</f>
        <v/>
      </c>
      <c r="M3104" s="67" t="str">
        <f t="shared" si="146"/>
        <v/>
      </c>
      <c r="N3104" s="76" t="str">
        <f t="shared" si="147"/>
        <v/>
      </c>
      <c r="O3104" s="33">
        <f t="shared" si="145"/>
        <v>0</v>
      </c>
    </row>
    <row r="3105" spans="1:15" x14ac:dyDescent="0.25">
      <c r="A3105" s="64" t="s">
        <v>225</v>
      </c>
      <c r="B3105" s="79" t="str">
        <f>IF(Thirteenth!B108="", "",Thirteenth!B108)</f>
        <v/>
      </c>
      <c r="C3105" s="66" t="str">
        <f>IF(Thirteenth!C108="", "",Thirteenth!C108)</f>
        <v/>
      </c>
      <c r="D3105" s="66" t="str">
        <f>IF(Thirteenth!D108="", "",Thirteenth!D108)</f>
        <v/>
      </c>
      <c r="E3105" s="66" t="str">
        <f>IF(Thirteenth!E108="", "",Thirteenth!E108)</f>
        <v/>
      </c>
      <c r="F3105" s="66" t="str">
        <f>IF(Thirteenth!F108="", "",Thirteenth!F108)</f>
        <v/>
      </c>
      <c r="G3105" s="66" t="str">
        <f>IF(Thirteenth!G108="", "",Thirteenth!G108)</f>
        <v/>
      </c>
      <c r="H3105" s="66" t="str">
        <f>IF(Thirteenth!H108="", "",Thirteenth!H108)</f>
        <v/>
      </c>
      <c r="I3105" s="66" t="str">
        <f>IF(Thirteenth!I108="", "",Thirteenth!I108)</f>
        <v/>
      </c>
      <c r="J3105" s="66" t="str">
        <f>IF(Thirteenth!J108="", "",Thirteenth!J108)</f>
        <v/>
      </c>
      <c r="K3105" s="86" t="str">
        <f>IF(Thirteenth!K108="", "",Thirteenth!K108)</f>
        <v/>
      </c>
      <c r="M3105" s="67" t="str">
        <f t="shared" si="146"/>
        <v/>
      </c>
      <c r="N3105" s="76" t="str">
        <f t="shared" si="147"/>
        <v/>
      </c>
      <c r="O3105" s="33">
        <f t="shared" si="145"/>
        <v>0</v>
      </c>
    </row>
    <row r="3106" spans="1:15" x14ac:dyDescent="0.25">
      <c r="A3106" s="64" t="s">
        <v>225</v>
      </c>
      <c r="B3106" s="79" t="str">
        <f>IF(Thirteenth!B109="", "",Thirteenth!B109)</f>
        <v/>
      </c>
      <c r="C3106" s="66" t="str">
        <f>IF(Thirteenth!C109="", "",Thirteenth!C109)</f>
        <v/>
      </c>
      <c r="D3106" s="66" t="str">
        <f>IF(Thirteenth!D109="", "",Thirteenth!D109)</f>
        <v/>
      </c>
      <c r="E3106" s="66" t="str">
        <f>IF(Thirteenth!E109="", "",Thirteenth!E109)</f>
        <v/>
      </c>
      <c r="F3106" s="66" t="str">
        <f>IF(Thirteenth!F109="", "",Thirteenth!F109)</f>
        <v/>
      </c>
      <c r="G3106" s="66" t="str">
        <f>IF(Thirteenth!G109="", "",Thirteenth!G109)</f>
        <v/>
      </c>
      <c r="H3106" s="66" t="str">
        <f>IF(Thirteenth!H109="", "",Thirteenth!H109)</f>
        <v/>
      </c>
      <c r="I3106" s="66" t="str">
        <f>IF(Thirteenth!I109="", "",Thirteenth!I109)</f>
        <v/>
      </c>
      <c r="J3106" s="66" t="str">
        <f>IF(Thirteenth!J109="", "",Thirteenth!J109)</f>
        <v/>
      </c>
      <c r="K3106" s="86" t="str">
        <f>IF(Thirteenth!K109="", "",Thirteenth!K109)</f>
        <v/>
      </c>
      <c r="M3106" s="67" t="str">
        <f t="shared" si="146"/>
        <v/>
      </c>
      <c r="N3106" s="76" t="str">
        <f t="shared" si="147"/>
        <v/>
      </c>
      <c r="O3106" s="33">
        <f t="shared" si="145"/>
        <v>0</v>
      </c>
    </row>
    <row r="3107" spans="1:15" x14ac:dyDescent="0.25">
      <c r="A3107" s="64" t="s">
        <v>225</v>
      </c>
      <c r="B3107" s="79" t="str">
        <f>IF(Thirteenth!B110="", "",Thirteenth!B110)</f>
        <v/>
      </c>
      <c r="C3107" s="66" t="str">
        <f>IF(Thirteenth!C110="", "",Thirteenth!C110)</f>
        <v/>
      </c>
      <c r="D3107" s="66" t="str">
        <f>IF(Thirteenth!D110="", "",Thirteenth!D110)</f>
        <v/>
      </c>
      <c r="E3107" s="66" t="str">
        <f>IF(Thirteenth!E110="", "",Thirteenth!E110)</f>
        <v/>
      </c>
      <c r="F3107" s="66" t="str">
        <f>IF(Thirteenth!F110="", "",Thirteenth!F110)</f>
        <v/>
      </c>
      <c r="G3107" s="66" t="str">
        <f>IF(Thirteenth!G110="", "",Thirteenth!G110)</f>
        <v/>
      </c>
      <c r="H3107" s="66" t="str">
        <f>IF(Thirteenth!H110="", "",Thirteenth!H110)</f>
        <v/>
      </c>
      <c r="I3107" s="66" t="str">
        <f>IF(Thirteenth!I110="", "",Thirteenth!I110)</f>
        <v/>
      </c>
      <c r="J3107" s="66" t="str">
        <f>IF(Thirteenth!J110="", "",Thirteenth!J110)</f>
        <v/>
      </c>
      <c r="K3107" s="86" t="str">
        <f>IF(Thirteenth!K110="", "",Thirteenth!K110)</f>
        <v/>
      </c>
      <c r="M3107" s="67" t="str">
        <f t="shared" si="146"/>
        <v/>
      </c>
      <c r="N3107" s="76" t="str">
        <f t="shared" si="147"/>
        <v/>
      </c>
      <c r="O3107" s="33">
        <f t="shared" si="145"/>
        <v>0</v>
      </c>
    </row>
    <row r="3108" spans="1:15" x14ac:dyDescent="0.25">
      <c r="A3108" s="64" t="s">
        <v>225</v>
      </c>
      <c r="B3108" s="79" t="str">
        <f>IF(Thirteenth!B111="", "",Thirteenth!B111)</f>
        <v/>
      </c>
      <c r="C3108" s="66" t="str">
        <f>IF(Thirteenth!C111="", "",Thirteenth!C111)</f>
        <v/>
      </c>
      <c r="D3108" s="66" t="str">
        <f>IF(Thirteenth!D111="", "",Thirteenth!D111)</f>
        <v/>
      </c>
      <c r="E3108" s="66" t="str">
        <f>IF(Thirteenth!E111="", "",Thirteenth!E111)</f>
        <v/>
      </c>
      <c r="F3108" s="66" t="str">
        <f>IF(Thirteenth!F111="", "",Thirteenth!F111)</f>
        <v/>
      </c>
      <c r="G3108" s="66" t="str">
        <f>IF(Thirteenth!G111="", "",Thirteenth!G111)</f>
        <v/>
      </c>
      <c r="H3108" s="66" t="str">
        <f>IF(Thirteenth!H111="", "",Thirteenth!H111)</f>
        <v/>
      </c>
      <c r="I3108" s="66" t="str">
        <f>IF(Thirteenth!I111="", "",Thirteenth!I111)</f>
        <v/>
      </c>
      <c r="J3108" s="66" t="str">
        <f>IF(Thirteenth!J111="", "",Thirteenth!J111)</f>
        <v/>
      </c>
      <c r="K3108" s="86" t="str">
        <f>IF(Thirteenth!K111="", "",Thirteenth!K111)</f>
        <v/>
      </c>
      <c r="M3108" s="67" t="str">
        <f t="shared" si="146"/>
        <v/>
      </c>
      <c r="N3108" s="76" t="str">
        <f t="shared" si="147"/>
        <v/>
      </c>
      <c r="O3108" s="33">
        <f t="shared" si="145"/>
        <v>0</v>
      </c>
    </row>
    <row r="3109" spans="1:15" x14ac:dyDescent="0.25">
      <c r="A3109" s="64" t="s">
        <v>225</v>
      </c>
      <c r="B3109" s="79" t="str">
        <f>IF(Thirteenth!B112="", "",Thirteenth!B112)</f>
        <v/>
      </c>
      <c r="C3109" s="66" t="str">
        <f>IF(Thirteenth!C112="", "",Thirteenth!C112)</f>
        <v/>
      </c>
      <c r="D3109" s="66" t="str">
        <f>IF(Thirteenth!D112="", "",Thirteenth!D112)</f>
        <v/>
      </c>
      <c r="E3109" s="66" t="str">
        <f>IF(Thirteenth!E112="", "",Thirteenth!E112)</f>
        <v/>
      </c>
      <c r="F3109" s="66" t="str">
        <f>IF(Thirteenth!F112="", "",Thirteenth!F112)</f>
        <v/>
      </c>
      <c r="G3109" s="66" t="str">
        <f>IF(Thirteenth!G112="", "",Thirteenth!G112)</f>
        <v/>
      </c>
      <c r="H3109" s="66" t="str">
        <f>IF(Thirteenth!H112="", "",Thirteenth!H112)</f>
        <v/>
      </c>
      <c r="I3109" s="66" t="str">
        <f>IF(Thirteenth!I112="", "",Thirteenth!I112)</f>
        <v/>
      </c>
      <c r="J3109" s="66" t="str">
        <f>IF(Thirteenth!J112="", "",Thirteenth!J112)</f>
        <v/>
      </c>
      <c r="K3109" s="86" t="str">
        <f>IF(Thirteenth!K112="", "",Thirteenth!K112)</f>
        <v/>
      </c>
      <c r="M3109" s="67" t="str">
        <f t="shared" si="146"/>
        <v/>
      </c>
      <c r="N3109" s="76" t="str">
        <f t="shared" si="147"/>
        <v/>
      </c>
      <c r="O3109" s="33">
        <f t="shared" si="145"/>
        <v>0</v>
      </c>
    </row>
    <row r="3110" spans="1:15" x14ac:dyDescent="0.25">
      <c r="A3110" s="64" t="s">
        <v>225</v>
      </c>
      <c r="B3110" s="79" t="str">
        <f>IF(Thirteenth!B113="", "",Thirteenth!B113)</f>
        <v/>
      </c>
      <c r="C3110" s="66" t="str">
        <f>IF(Thirteenth!C113="", "",Thirteenth!C113)</f>
        <v/>
      </c>
      <c r="D3110" s="66" t="str">
        <f>IF(Thirteenth!D113="", "",Thirteenth!D113)</f>
        <v/>
      </c>
      <c r="E3110" s="66" t="str">
        <f>IF(Thirteenth!E113="", "",Thirteenth!E113)</f>
        <v/>
      </c>
      <c r="F3110" s="66" t="str">
        <f>IF(Thirteenth!F113="", "",Thirteenth!F113)</f>
        <v/>
      </c>
      <c r="G3110" s="66" t="str">
        <f>IF(Thirteenth!G113="", "",Thirteenth!G113)</f>
        <v/>
      </c>
      <c r="H3110" s="66" t="str">
        <f>IF(Thirteenth!H113="", "",Thirteenth!H113)</f>
        <v/>
      </c>
      <c r="I3110" s="66" t="str">
        <f>IF(Thirteenth!I113="", "",Thirteenth!I113)</f>
        <v/>
      </c>
      <c r="J3110" s="66" t="str">
        <f>IF(Thirteenth!J113="", "",Thirteenth!J113)</f>
        <v/>
      </c>
      <c r="K3110" s="86" t="str">
        <f>IF(Thirteenth!K113="", "",Thirteenth!K113)</f>
        <v/>
      </c>
      <c r="M3110" s="67" t="str">
        <f t="shared" si="146"/>
        <v/>
      </c>
      <c r="N3110" s="76" t="str">
        <f t="shared" si="147"/>
        <v/>
      </c>
      <c r="O3110" s="33">
        <f t="shared" si="145"/>
        <v>0</v>
      </c>
    </row>
    <row r="3111" spans="1:15" x14ac:dyDescent="0.25">
      <c r="A3111" s="64" t="s">
        <v>225</v>
      </c>
      <c r="B3111" s="79" t="str">
        <f>IF(Thirteenth!B114="", "",Thirteenth!B114)</f>
        <v/>
      </c>
      <c r="C3111" s="66" t="str">
        <f>IF(Thirteenth!C114="", "",Thirteenth!C114)</f>
        <v/>
      </c>
      <c r="D3111" s="66" t="str">
        <f>IF(Thirteenth!D114="", "",Thirteenth!D114)</f>
        <v/>
      </c>
      <c r="E3111" s="66" t="str">
        <f>IF(Thirteenth!E114="", "",Thirteenth!E114)</f>
        <v/>
      </c>
      <c r="F3111" s="66" t="str">
        <f>IF(Thirteenth!F114="", "",Thirteenth!F114)</f>
        <v/>
      </c>
      <c r="G3111" s="66" t="str">
        <f>IF(Thirteenth!G114="", "",Thirteenth!G114)</f>
        <v/>
      </c>
      <c r="H3111" s="66" t="str">
        <f>IF(Thirteenth!H114="", "",Thirteenth!H114)</f>
        <v/>
      </c>
      <c r="I3111" s="66" t="str">
        <f>IF(Thirteenth!I114="", "",Thirteenth!I114)</f>
        <v/>
      </c>
      <c r="J3111" s="66" t="str">
        <f>IF(Thirteenth!J114="", "",Thirteenth!J114)</f>
        <v/>
      </c>
      <c r="K3111" s="86" t="str">
        <f>IF(Thirteenth!K114="", "",Thirteenth!K114)</f>
        <v/>
      </c>
      <c r="M3111" s="67" t="str">
        <f t="shared" si="146"/>
        <v/>
      </c>
      <c r="N3111" s="76" t="str">
        <f t="shared" si="147"/>
        <v/>
      </c>
      <c r="O3111" s="33">
        <f t="shared" si="145"/>
        <v>0</v>
      </c>
    </row>
    <row r="3112" spans="1:15" x14ac:dyDescent="0.25">
      <c r="A3112" s="64" t="s">
        <v>225</v>
      </c>
      <c r="B3112" s="79" t="str">
        <f>IF(Thirteenth!B115="", "",Thirteenth!B115)</f>
        <v/>
      </c>
      <c r="C3112" s="66" t="str">
        <f>IF(Thirteenth!C115="", "",Thirteenth!C115)</f>
        <v/>
      </c>
      <c r="D3112" s="66" t="str">
        <f>IF(Thirteenth!D115="", "",Thirteenth!D115)</f>
        <v/>
      </c>
      <c r="E3112" s="66" t="str">
        <f>IF(Thirteenth!E115="", "",Thirteenth!E115)</f>
        <v/>
      </c>
      <c r="F3112" s="66" t="str">
        <f>IF(Thirteenth!F115="", "",Thirteenth!F115)</f>
        <v/>
      </c>
      <c r="G3112" s="66" t="str">
        <f>IF(Thirteenth!G115="", "",Thirteenth!G115)</f>
        <v/>
      </c>
      <c r="H3112" s="66" t="str">
        <f>IF(Thirteenth!H115="", "",Thirteenth!H115)</f>
        <v/>
      </c>
      <c r="I3112" s="66" t="str">
        <f>IF(Thirteenth!I115="", "",Thirteenth!I115)</f>
        <v/>
      </c>
      <c r="J3112" s="66" t="str">
        <f>IF(Thirteenth!J115="", "",Thirteenth!J115)</f>
        <v/>
      </c>
      <c r="K3112" s="86" t="str">
        <f>IF(Thirteenth!K115="", "",Thirteenth!K115)</f>
        <v/>
      </c>
      <c r="M3112" s="67" t="str">
        <f t="shared" si="146"/>
        <v/>
      </c>
      <c r="N3112" s="76" t="str">
        <f t="shared" si="147"/>
        <v/>
      </c>
      <c r="O3112" s="33">
        <f t="shared" si="145"/>
        <v>0</v>
      </c>
    </row>
    <row r="3113" spans="1:15" x14ac:dyDescent="0.25">
      <c r="A3113" s="64" t="s">
        <v>225</v>
      </c>
      <c r="B3113" s="79" t="str">
        <f>IF(Thirteenth!B116="", "",Thirteenth!B116)</f>
        <v/>
      </c>
      <c r="C3113" s="66" t="str">
        <f>IF(Thirteenth!C116="", "",Thirteenth!C116)</f>
        <v/>
      </c>
      <c r="D3113" s="66" t="str">
        <f>IF(Thirteenth!D116="", "",Thirteenth!D116)</f>
        <v/>
      </c>
      <c r="E3113" s="66" t="str">
        <f>IF(Thirteenth!E116="", "",Thirteenth!E116)</f>
        <v/>
      </c>
      <c r="F3113" s="66" t="str">
        <f>IF(Thirteenth!F116="", "",Thirteenth!F116)</f>
        <v/>
      </c>
      <c r="G3113" s="66" t="str">
        <f>IF(Thirteenth!G116="", "",Thirteenth!G116)</f>
        <v/>
      </c>
      <c r="H3113" s="66" t="str">
        <f>IF(Thirteenth!H116="", "",Thirteenth!H116)</f>
        <v/>
      </c>
      <c r="I3113" s="66" t="str">
        <f>IF(Thirteenth!I116="", "",Thirteenth!I116)</f>
        <v/>
      </c>
      <c r="J3113" s="66" t="str">
        <f>IF(Thirteenth!J116="", "",Thirteenth!J116)</f>
        <v/>
      </c>
      <c r="K3113" s="86" t="str">
        <f>IF(Thirteenth!K116="", "",Thirteenth!K116)</f>
        <v/>
      </c>
      <c r="M3113" s="67" t="str">
        <f t="shared" si="146"/>
        <v/>
      </c>
      <c r="N3113" s="76" t="str">
        <f t="shared" si="147"/>
        <v/>
      </c>
      <c r="O3113" s="33">
        <f t="shared" si="145"/>
        <v>0</v>
      </c>
    </row>
    <row r="3114" spans="1:15" x14ac:dyDescent="0.25">
      <c r="A3114" s="64" t="s">
        <v>225</v>
      </c>
      <c r="B3114" s="79" t="str">
        <f>IF(Thirteenth!B117="", "",Thirteenth!B117)</f>
        <v/>
      </c>
      <c r="C3114" s="66" t="str">
        <f>IF(Thirteenth!C117="", "",Thirteenth!C117)</f>
        <v/>
      </c>
      <c r="D3114" s="66" t="str">
        <f>IF(Thirteenth!D117="", "",Thirteenth!D117)</f>
        <v/>
      </c>
      <c r="E3114" s="66" t="str">
        <f>IF(Thirteenth!E117="", "",Thirteenth!E117)</f>
        <v/>
      </c>
      <c r="F3114" s="66" t="str">
        <f>IF(Thirteenth!F117="", "",Thirteenth!F117)</f>
        <v/>
      </c>
      <c r="G3114" s="66" t="str">
        <f>IF(Thirteenth!G117="", "",Thirteenth!G117)</f>
        <v/>
      </c>
      <c r="H3114" s="66" t="str">
        <f>IF(Thirteenth!H117="", "",Thirteenth!H117)</f>
        <v/>
      </c>
      <c r="I3114" s="66" t="str">
        <f>IF(Thirteenth!I117="", "",Thirteenth!I117)</f>
        <v/>
      </c>
      <c r="J3114" s="66" t="str">
        <f>IF(Thirteenth!J117="", "",Thirteenth!J117)</f>
        <v/>
      </c>
      <c r="K3114" s="86" t="str">
        <f>IF(Thirteenth!K117="", "",Thirteenth!K117)</f>
        <v/>
      </c>
      <c r="M3114" s="67" t="str">
        <f t="shared" si="146"/>
        <v/>
      </c>
      <c r="N3114" s="76" t="str">
        <f t="shared" si="147"/>
        <v/>
      </c>
      <c r="O3114" s="33">
        <f t="shared" si="145"/>
        <v>0</v>
      </c>
    </row>
    <row r="3115" spans="1:15" x14ac:dyDescent="0.25">
      <c r="A3115" s="64" t="s">
        <v>225</v>
      </c>
      <c r="B3115" s="79" t="str">
        <f>IF(Thirteenth!B118="", "",Thirteenth!B118)</f>
        <v/>
      </c>
      <c r="C3115" s="66" t="str">
        <f>IF(Thirteenth!C118="", "",Thirteenth!C118)</f>
        <v/>
      </c>
      <c r="D3115" s="66" t="str">
        <f>IF(Thirteenth!D118="", "",Thirteenth!D118)</f>
        <v/>
      </c>
      <c r="E3115" s="66" t="str">
        <f>IF(Thirteenth!E118="", "",Thirteenth!E118)</f>
        <v/>
      </c>
      <c r="F3115" s="66" t="str">
        <f>IF(Thirteenth!F118="", "",Thirteenth!F118)</f>
        <v/>
      </c>
      <c r="G3115" s="66" t="str">
        <f>IF(Thirteenth!G118="", "",Thirteenth!G118)</f>
        <v/>
      </c>
      <c r="H3115" s="66" t="str">
        <f>IF(Thirteenth!H118="", "",Thirteenth!H118)</f>
        <v/>
      </c>
      <c r="I3115" s="66" t="str">
        <f>IF(Thirteenth!I118="", "",Thirteenth!I118)</f>
        <v/>
      </c>
      <c r="J3115" s="66" t="str">
        <f>IF(Thirteenth!J118="", "",Thirteenth!J118)</f>
        <v/>
      </c>
      <c r="K3115" s="86" t="str">
        <f>IF(Thirteenth!K118="", "",Thirteenth!K118)</f>
        <v/>
      </c>
      <c r="M3115" s="67" t="str">
        <f t="shared" si="146"/>
        <v/>
      </c>
      <c r="N3115" s="76" t="str">
        <f t="shared" si="147"/>
        <v/>
      </c>
      <c r="O3115" s="33">
        <f t="shared" si="145"/>
        <v>0</v>
      </c>
    </row>
    <row r="3116" spans="1:15" x14ac:dyDescent="0.25">
      <c r="A3116" s="64" t="s">
        <v>225</v>
      </c>
      <c r="B3116" s="79" t="str">
        <f>IF(Thirteenth!B119="", "",Thirteenth!B119)</f>
        <v/>
      </c>
      <c r="C3116" s="66" t="str">
        <f>IF(Thirteenth!C119="", "",Thirteenth!C119)</f>
        <v/>
      </c>
      <c r="D3116" s="66" t="str">
        <f>IF(Thirteenth!D119="", "",Thirteenth!D119)</f>
        <v/>
      </c>
      <c r="E3116" s="66" t="str">
        <f>IF(Thirteenth!E119="", "",Thirteenth!E119)</f>
        <v/>
      </c>
      <c r="F3116" s="66" t="str">
        <f>IF(Thirteenth!F119="", "",Thirteenth!F119)</f>
        <v/>
      </c>
      <c r="G3116" s="66" t="str">
        <f>IF(Thirteenth!G119="", "",Thirteenth!G119)</f>
        <v/>
      </c>
      <c r="H3116" s="66" t="str">
        <f>IF(Thirteenth!H119="", "",Thirteenth!H119)</f>
        <v/>
      </c>
      <c r="I3116" s="66" t="str">
        <f>IF(Thirteenth!I119="", "",Thirteenth!I119)</f>
        <v/>
      </c>
      <c r="J3116" s="66" t="str">
        <f>IF(Thirteenth!J119="", "",Thirteenth!J119)</f>
        <v/>
      </c>
      <c r="K3116" s="86" t="str">
        <f>IF(Thirteenth!K119="", "",Thirteenth!K119)</f>
        <v/>
      </c>
      <c r="M3116" s="67" t="str">
        <f t="shared" si="146"/>
        <v/>
      </c>
      <c r="N3116" s="76" t="str">
        <f t="shared" si="147"/>
        <v/>
      </c>
      <c r="O3116" s="33">
        <f t="shared" si="145"/>
        <v>0</v>
      </c>
    </row>
    <row r="3117" spans="1:15" x14ac:dyDescent="0.25">
      <c r="A3117" s="64" t="s">
        <v>225</v>
      </c>
      <c r="B3117" s="79" t="str">
        <f>IF(Thirteenth!B120="", "",Thirteenth!B120)</f>
        <v/>
      </c>
      <c r="C3117" s="66" t="str">
        <f>IF(Thirteenth!C120="", "",Thirteenth!C120)</f>
        <v/>
      </c>
      <c r="D3117" s="66" t="str">
        <f>IF(Thirteenth!D120="", "",Thirteenth!D120)</f>
        <v/>
      </c>
      <c r="E3117" s="66" t="str">
        <f>IF(Thirteenth!E120="", "",Thirteenth!E120)</f>
        <v/>
      </c>
      <c r="F3117" s="66" t="str">
        <f>IF(Thirteenth!F120="", "",Thirteenth!F120)</f>
        <v/>
      </c>
      <c r="G3117" s="66" t="str">
        <f>IF(Thirteenth!G120="", "",Thirteenth!G120)</f>
        <v/>
      </c>
      <c r="H3117" s="66" t="str">
        <f>IF(Thirteenth!H120="", "",Thirteenth!H120)</f>
        <v/>
      </c>
      <c r="I3117" s="66" t="str">
        <f>IF(Thirteenth!I120="", "",Thirteenth!I120)</f>
        <v/>
      </c>
      <c r="J3117" s="66" t="str">
        <f>IF(Thirteenth!J120="", "",Thirteenth!J120)</f>
        <v/>
      </c>
      <c r="K3117" s="86" t="str">
        <f>IF(Thirteenth!K120="", "",Thirteenth!K120)</f>
        <v/>
      </c>
      <c r="M3117" s="67" t="str">
        <f t="shared" si="146"/>
        <v/>
      </c>
      <c r="N3117" s="76" t="str">
        <f t="shared" si="147"/>
        <v/>
      </c>
      <c r="O3117" s="33">
        <f t="shared" si="145"/>
        <v>0</v>
      </c>
    </row>
    <row r="3118" spans="1:15" x14ac:dyDescent="0.25">
      <c r="A3118" s="64" t="s">
        <v>225</v>
      </c>
      <c r="B3118" s="79" t="str">
        <f>IF(Thirteenth!B121="", "",Thirteenth!B121)</f>
        <v/>
      </c>
      <c r="C3118" s="66" t="str">
        <f>IF(Thirteenth!C121="", "",Thirteenth!C121)</f>
        <v/>
      </c>
      <c r="D3118" s="66" t="str">
        <f>IF(Thirteenth!D121="", "",Thirteenth!D121)</f>
        <v/>
      </c>
      <c r="E3118" s="66" t="str">
        <f>IF(Thirteenth!E121="", "",Thirteenth!E121)</f>
        <v/>
      </c>
      <c r="F3118" s="66" t="str">
        <f>IF(Thirteenth!F121="", "",Thirteenth!F121)</f>
        <v/>
      </c>
      <c r="G3118" s="66" t="str">
        <f>IF(Thirteenth!G121="", "",Thirteenth!G121)</f>
        <v/>
      </c>
      <c r="H3118" s="66" t="str">
        <f>IF(Thirteenth!H121="", "",Thirteenth!H121)</f>
        <v/>
      </c>
      <c r="I3118" s="66" t="str">
        <f>IF(Thirteenth!I121="", "",Thirteenth!I121)</f>
        <v/>
      </c>
      <c r="J3118" s="66" t="str">
        <f>IF(Thirteenth!J121="", "",Thirteenth!J121)</f>
        <v/>
      </c>
      <c r="K3118" s="86" t="str">
        <f>IF(Thirteenth!K121="", "",Thirteenth!K121)</f>
        <v/>
      </c>
      <c r="M3118" s="67" t="str">
        <f t="shared" si="146"/>
        <v/>
      </c>
      <c r="N3118" s="76" t="str">
        <f t="shared" si="147"/>
        <v/>
      </c>
      <c r="O3118" s="33">
        <f t="shared" si="145"/>
        <v>0</v>
      </c>
    </row>
    <row r="3119" spans="1:15" x14ac:dyDescent="0.25">
      <c r="A3119" s="64" t="s">
        <v>225</v>
      </c>
      <c r="B3119" s="79" t="str">
        <f>IF(Thirteenth!B122="", "",Thirteenth!B122)</f>
        <v/>
      </c>
      <c r="C3119" s="66" t="str">
        <f>IF(Thirteenth!C122="", "",Thirteenth!C122)</f>
        <v/>
      </c>
      <c r="D3119" s="66" t="str">
        <f>IF(Thirteenth!D122="", "",Thirteenth!D122)</f>
        <v/>
      </c>
      <c r="E3119" s="66" t="str">
        <f>IF(Thirteenth!E122="", "",Thirteenth!E122)</f>
        <v/>
      </c>
      <c r="F3119" s="66" t="str">
        <f>IF(Thirteenth!F122="", "",Thirteenth!F122)</f>
        <v/>
      </c>
      <c r="G3119" s="66" t="str">
        <f>IF(Thirteenth!G122="", "",Thirteenth!G122)</f>
        <v/>
      </c>
      <c r="H3119" s="66" t="str">
        <f>IF(Thirteenth!H122="", "",Thirteenth!H122)</f>
        <v/>
      </c>
      <c r="I3119" s="66" t="str">
        <f>IF(Thirteenth!I122="", "",Thirteenth!I122)</f>
        <v/>
      </c>
      <c r="J3119" s="66" t="str">
        <f>IF(Thirteenth!J122="", "",Thirteenth!J122)</f>
        <v/>
      </c>
      <c r="K3119" s="86" t="str">
        <f>IF(Thirteenth!K122="", "",Thirteenth!K122)</f>
        <v/>
      </c>
      <c r="M3119" s="67" t="str">
        <f t="shared" si="146"/>
        <v/>
      </c>
      <c r="N3119" s="76" t="str">
        <f t="shared" si="147"/>
        <v/>
      </c>
      <c r="O3119" s="33">
        <f t="shared" si="145"/>
        <v>0</v>
      </c>
    </row>
    <row r="3120" spans="1:15" x14ac:dyDescent="0.25">
      <c r="A3120" s="64" t="s">
        <v>225</v>
      </c>
      <c r="B3120" s="79" t="str">
        <f>IF(Thirteenth!B123="", "",Thirteenth!B123)</f>
        <v/>
      </c>
      <c r="C3120" s="66" t="str">
        <f>IF(Thirteenth!C123="", "",Thirteenth!C123)</f>
        <v/>
      </c>
      <c r="D3120" s="66" t="str">
        <f>IF(Thirteenth!D123="", "",Thirteenth!D123)</f>
        <v/>
      </c>
      <c r="E3120" s="66" t="str">
        <f>IF(Thirteenth!E123="", "",Thirteenth!E123)</f>
        <v/>
      </c>
      <c r="F3120" s="66" t="str">
        <f>IF(Thirteenth!F123="", "",Thirteenth!F123)</f>
        <v/>
      </c>
      <c r="G3120" s="66" t="str">
        <f>IF(Thirteenth!G123="", "",Thirteenth!G123)</f>
        <v/>
      </c>
      <c r="H3120" s="66" t="str">
        <f>IF(Thirteenth!H123="", "",Thirteenth!H123)</f>
        <v/>
      </c>
      <c r="I3120" s="66" t="str">
        <f>IF(Thirteenth!I123="", "",Thirteenth!I123)</f>
        <v/>
      </c>
      <c r="J3120" s="66" t="str">
        <f>IF(Thirteenth!J123="", "",Thirteenth!J123)</f>
        <v/>
      </c>
      <c r="K3120" s="86" t="str">
        <f>IF(Thirteenth!K123="", "",Thirteenth!K123)</f>
        <v/>
      </c>
      <c r="M3120" s="67" t="str">
        <f t="shared" si="146"/>
        <v/>
      </c>
      <c r="N3120" s="76" t="str">
        <f t="shared" si="147"/>
        <v/>
      </c>
      <c r="O3120" s="33">
        <f t="shared" si="145"/>
        <v>0</v>
      </c>
    </row>
    <row r="3121" spans="1:15" x14ac:dyDescent="0.25">
      <c r="A3121" s="64" t="s">
        <v>225</v>
      </c>
      <c r="B3121" s="79" t="str">
        <f>IF(Thirteenth!B124="", "",Thirteenth!B124)</f>
        <v/>
      </c>
      <c r="C3121" s="66" t="str">
        <f>IF(Thirteenth!C124="", "",Thirteenth!C124)</f>
        <v/>
      </c>
      <c r="D3121" s="66" t="str">
        <f>IF(Thirteenth!D124="", "",Thirteenth!D124)</f>
        <v/>
      </c>
      <c r="E3121" s="66" t="str">
        <f>IF(Thirteenth!E124="", "",Thirteenth!E124)</f>
        <v/>
      </c>
      <c r="F3121" s="66" t="str">
        <f>IF(Thirteenth!F124="", "",Thirteenth!F124)</f>
        <v/>
      </c>
      <c r="G3121" s="66" t="str">
        <f>IF(Thirteenth!G124="", "",Thirteenth!G124)</f>
        <v/>
      </c>
      <c r="H3121" s="66" t="str">
        <f>IF(Thirteenth!H124="", "",Thirteenth!H124)</f>
        <v/>
      </c>
      <c r="I3121" s="66" t="str">
        <f>IF(Thirteenth!I124="", "",Thirteenth!I124)</f>
        <v/>
      </c>
      <c r="J3121" s="66" t="str">
        <f>IF(Thirteenth!J124="", "",Thirteenth!J124)</f>
        <v/>
      </c>
      <c r="K3121" s="86" t="str">
        <f>IF(Thirteenth!K124="", "",Thirteenth!K124)</f>
        <v/>
      </c>
      <c r="M3121" s="67" t="str">
        <f t="shared" si="146"/>
        <v/>
      </c>
      <c r="N3121" s="76" t="str">
        <f t="shared" si="147"/>
        <v/>
      </c>
      <c r="O3121" s="33">
        <f t="shared" si="145"/>
        <v>0</v>
      </c>
    </row>
    <row r="3122" spans="1:15" x14ac:dyDescent="0.25">
      <c r="A3122" s="64" t="s">
        <v>225</v>
      </c>
      <c r="B3122" s="79" t="str">
        <f>IF(Thirteenth!B125="", "",Thirteenth!B125)</f>
        <v/>
      </c>
      <c r="C3122" s="66" t="str">
        <f>IF(Thirteenth!C125="", "",Thirteenth!C125)</f>
        <v/>
      </c>
      <c r="D3122" s="66" t="str">
        <f>IF(Thirteenth!D125="", "",Thirteenth!D125)</f>
        <v/>
      </c>
      <c r="E3122" s="66" t="str">
        <f>IF(Thirteenth!E125="", "",Thirteenth!E125)</f>
        <v/>
      </c>
      <c r="F3122" s="66" t="str">
        <f>IF(Thirteenth!F125="", "",Thirteenth!F125)</f>
        <v/>
      </c>
      <c r="G3122" s="66" t="str">
        <f>IF(Thirteenth!G125="", "",Thirteenth!G125)</f>
        <v/>
      </c>
      <c r="H3122" s="66" t="str">
        <f>IF(Thirteenth!H125="", "",Thirteenth!H125)</f>
        <v/>
      </c>
      <c r="I3122" s="66" t="str">
        <f>IF(Thirteenth!I125="", "",Thirteenth!I125)</f>
        <v/>
      </c>
      <c r="J3122" s="66" t="str">
        <f>IF(Thirteenth!J125="", "",Thirteenth!J125)</f>
        <v/>
      </c>
      <c r="K3122" s="86" t="str">
        <f>IF(Thirteenth!K125="", "",Thirteenth!K125)</f>
        <v/>
      </c>
      <c r="M3122" s="67" t="str">
        <f t="shared" si="146"/>
        <v/>
      </c>
      <c r="N3122" s="76" t="str">
        <f t="shared" si="147"/>
        <v/>
      </c>
      <c r="O3122" s="33">
        <f t="shared" si="145"/>
        <v>0</v>
      </c>
    </row>
    <row r="3123" spans="1:15" x14ac:dyDescent="0.25">
      <c r="A3123" s="64" t="s">
        <v>225</v>
      </c>
      <c r="B3123" s="79" t="str">
        <f>IF(Thirteenth!B126="", "",Thirteenth!B126)</f>
        <v/>
      </c>
      <c r="C3123" s="66" t="str">
        <f>IF(Thirteenth!C126="", "",Thirteenth!C126)</f>
        <v/>
      </c>
      <c r="D3123" s="66" t="str">
        <f>IF(Thirteenth!D126="", "",Thirteenth!D126)</f>
        <v/>
      </c>
      <c r="E3123" s="66" t="str">
        <f>IF(Thirteenth!E126="", "",Thirteenth!E126)</f>
        <v/>
      </c>
      <c r="F3123" s="66" t="str">
        <f>IF(Thirteenth!F126="", "",Thirteenth!F126)</f>
        <v/>
      </c>
      <c r="G3123" s="66" t="str">
        <f>IF(Thirteenth!G126="", "",Thirteenth!G126)</f>
        <v/>
      </c>
      <c r="H3123" s="66" t="str">
        <f>IF(Thirteenth!H126="", "",Thirteenth!H126)</f>
        <v/>
      </c>
      <c r="I3123" s="66" t="str">
        <f>IF(Thirteenth!I126="", "",Thirteenth!I126)</f>
        <v/>
      </c>
      <c r="J3123" s="66" t="str">
        <f>IF(Thirteenth!J126="", "",Thirteenth!J126)</f>
        <v/>
      </c>
      <c r="K3123" s="86" t="str">
        <f>IF(Thirteenth!K126="", "",Thirteenth!K126)</f>
        <v/>
      </c>
      <c r="M3123" s="67" t="str">
        <f t="shared" si="146"/>
        <v/>
      </c>
      <c r="N3123" s="76" t="str">
        <f t="shared" si="147"/>
        <v/>
      </c>
      <c r="O3123" s="33">
        <f t="shared" si="145"/>
        <v>0</v>
      </c>
    </row>
    <row r="3124" spans="1:15" x14ac:dyDescent="0.25">
      <c r="A3124" s="64" t="s">
        <v>225</v>
      </c>
      <c r="B3124" s="79" t="str">
        <f>IF(Thirteenth!B127="", "",Thirteenth!B127)</f>
        <v/>
      </c>
      <c r="C3124" s="66" t="str">
        <f>IF(Thirteenth!C127="", "",Thirteenth!C127)</f>
        <v/>
      </c>
      <c r="D3124" s="66" t="str">
        <f>IF(Thirteenth!D127="", "",Thirteenth!D127)</f>
        <v/>
      </c>
      <c r="E3124" s="66" t="str">
        <f>IF(Thirteenth!E127="", "",Thirteenth!E127)</f>
        <v/>
      </c>
      <c r="F3124" s="66" t="str">
        <f>IF(Thirteenth!F127="", "",Thirteenth!F127)</f>
        <v/>
      </c>
      <c r="G3124" s="66" t="str">
        <f>IF(Thirteenth!G127="", "",Thirteenth!G127)</f>
        <v/>
      </c>
      <c r="H3124" s="66" t="str">
        <f>IF(Thirteenth!H127="", "",Thirteenth!H127)</f>
        <v/>
      </c>
      <c r="I3124" s="66" t="str">
        <f>IF(Thirteenth!I127="", "",Thirteenth!I127)</f>
        <v/>
      </c>
      <c r="J3124" s="66" t="str">
        <f>IF(Thirteenth!J127="", "",Thirteenth!J127)</f>
        <v/>
      </c>
      <c r="K3124" s="86" t="str">
        <f>IF(Thirteenth!K127="", "",Thirteenth!K127)</f>
        <v/>
      </c>
      <c r="M3124" s="67" t="str">
        <f t="shared" si="146"/>
        <v/>
      </c>
      <c r="N3124" s="76" t="str">
        <f t="shared" si="147"/>
        <v/>
      </c>
      <c r="O3124" s="33">
        <f t="shared" si="145"/>
        <v>0</v>
      </c>
    </row>
    <row r="3125" spans="1:15" x14ac:dyDescent="0.25">
      <c r="A3125" s="64" t="s">
        <v>225</v>
      </c>
      <c r="B3125" s="79" t="str">
        <f>IF(Thirteenth!B128="", "",Thirteenth!B128)</f>
        <v/>
      </c>
      <c r="C3125" s="66" t="str">
        <f>IF(Thirteenth!C128="", "",Thirteenth!C128)</f>
        <v/>
      </c>
      <c r="D3125" s="66" t="str">
        <f>IF(Thirteenth!D128="", "",Thirteenth!D128)</f>
        <v/>
      </c>
      <c r="E3125" s="66" t="str">
        <f>IF(Thirteenth!E128="", "",Thirteenth!E128)</f>
        <v/>
      </c>
      <c r="F3125" s="66" t="str">
        <f>IF(Thirteenth!F128="", "",Thirteenth!F128)</f>
        <v/>
      </c>
      <c r="G3125" s="66" t="str">
        <f>IF(Thirteenth!G128="", "",Thirteenth!G128)</f>
        <v/>
      </c>
      <c r="H3125" s="66" t="str">
        <f>IF(Thirteenth!H128="", "",Thirteenth!H128)</f>
        <v/>
      </c>
      <c r="I3125" s="66" t="str">
        <f>IF(Thirteenth!I128="", "",Thirteenth!I128)</f>
        <v/>
      </c>
      <c r="J3125" s="66" t="str">
        <f>IF(Thirteenth!J128="", "",Thirteenth!J128)</f>
        <v/>
      </c>
      <c r="K3125" s="86" t="str">
        <f>IF(Thirteenth!K128="", "",Thirteenth!K128)</f>
        <v/>
      </c>
      <c r="M3125" s="67" t="str">
        <f t="shared" si="146"/>
        <v/>
      </c>
      <c r="N3125" s="76" t="str">
        <f t="shared" si="147"/>
        <v/>
      </c>
      <c r="O3125" s="33">
        <f t="shared" si="145"/>
        <v>0</v>
      </c>
    </row>
    <row r="3126" spans="1:15" x14ac:dyDescent="0.25">
      <c r="A3126" s="64" t="s">
        <v>225</v>
      </c>
      <c r="B3126" s="79" t="str">
        <f>IF(Thirteenth!B129="", "",Thirteenth!B129)</f>
        <v/>
      </c>
      <c r="C3126" s="66" t="str">
        <f>IF(Thirteenth!C129="", "",Thirteenth!C129)</f>
        <v/>
      </c>
      <c r="D3126" s="66" t="str">
        <f>IF(Thirteenth!D129="", "",Thirteenth!D129)</f>
        <v/>
      </c>
      <c r="E3126" s="66" t="str">
        <f>IF(Thirteenth!E129="", "",Thirteenth!E129)</f>
        <v/>
      </c>
      <c r="F3126" s="66" t="str">
        <f>IF(Thirteenth!F129="", "",Thirteenth!F129)</f>
        <v/>
      </c>
      <c r="G3126" s="66" t="str">
        <f>IF(Thirteenth!G129="", "",Thirteenth!G129)</f>
        <v/>
      </c>
      <c r="H3126" s="66" t="str">
        <f>IF(Thirteenth!H129="", "",Thirteenth!H129)</f>
        <v/>
      </c>
      <c r="I3126" s="66" t="str">
        <f>IF(Thirteenth!I129="", "",Thirteenth!I129)</f>
        <v/>
      </c>
      <c r="J3126" s="66" t="str">
        <f>IF(Thirteenth!J129="", "",Thirteenth!J129)</f>
        <v/>
      </c>
      <c r="K3126" s="86" t="str">
        <f>IF(Thirteenth!K129="", "",Thirteenth!K129)</f>
        <v/>
      </c>
      <c r="M3126" s="67" t="str">
        <f t="shared" si="146"/>
        <v/>
      </c>
      <c r="N3126" s="76" t="str">
        <f t="shared" si="147"/>
        <v/>
      </c>
      <c r="O3126" s="33">
        <f t="shared" si="145"/>
        <v>0</v>
      </c>
    </row>
    <row r="3127" spans="1:15" x14ac:dyDescent="0.25">
      <c r="A3127" s="64" t="s">
        <v>225</v>
      </c>
      <c r="B3127" s="79" t="str">
        <f>IF(Thirteenth!B130="", "",Thirteenth!B130)</f>
        <v/>
      </c>
      <c r="C3127" s="66" t="str">
        <f>IF(Thirteenth!C130="", "",Thirteenth!C130)</f>
        <v/>
      </c>
      <c r="D3127" s="66" t="str">
        <f>IF(Thirteenth!D130="", "",Thirteenth!D130)</f>
        <v/>
      </c>
      <c r="E3127" s="66" t="str">
        <f>IF(Thirteenth!E130="", "",Thirteenth!E130)</f>
        <v/>
      </c>
      <c r="F3127" s="66" t="str">
        <f>IF(Thirteenth!F130="", "",Thirteenth!F130)</f>
        <v/>
      </c>
      <c r="G3127" s="66" t="str">
        <f>IF(Thirteenth!G130="", "",Thirteenth!G130)</f>
        <v/>
      </c>
      <c r="H3127" s="66" t="str">
        <f>IF(Thirteenth!H130="", "",Thirteenth!H130)</f>
        <v/>
      </c>
      <c r="I3127" s="66" t="str">
        <f>IF(Thirteenth!I130="", "",Thirteenth!I130)</f>
        <v/>
      </c>
      <c r="J3127" s="66" t="str">
        <f>IF(Thirteenth!J130="", "",Thirteenth!J130)</f>
        <v/>
      </c>
      <c r="K3127" s="86" t="str">
        <f>IF(Thirteenth!K130="", "",Thirteenth!K130)</f>
        <v/>
      </c>
      <c r="M3127" s="67" t="str">
        <f t="shared" si="146"/>
        <v/>
      </c>
      <c r="N3127" s="76" t="str">
        <f t="shared" si="147"/>
        <v/>
      </c>
      <c r="O3127" s="33">
        <f t="shared" si="145"/>
        <v>0</v>
      </c>
    </row>
    <row r="3128" spans="1:15" x14ac:dyDescent="0.25">
      <c r="A3128" s="64" t="s">
        <v>225</v>
      </c>
      <c r="B3128" s="79" t="str">
        <f>IF(Thirteenth!B131="", "",Thirteenth!B131)</f>
        <v/>
      </c>
      <c r="C3128" s="66" t="str">
        <f>IF(Thirteenth!C131="", "",Thirteenth!C131)</f>
        <v/>
      </c>
      <c r="D3128" s="66" t="str">
        <f>IF(Thirteenth!D131="", "",Thirteenth!D131)</f>
        <v/>
      </c>
      <c r="E3128" s="66" t="str">
        <f>IF(Thirteenth!E131="", "",Thirteenth!E131)</f>
        <v/>
      </c>
      <c r="F3128" s="66" t="str">
        <f>IF(Thirteenth!F131="", "",Thirteenth!F131)</f>
        <v/>
      </c>
      <c r="G3128" s="66" t="str">
        <f>IF(Thirteenth!G131="", "",Thirteenth!G131)</f>
        <v/>
      </c>
      <c r="H3128" s="66" t="str">
        <f>IF(Thirteenth!H131="", "",Thirteenth!H131)</f>
        <v/>
      </c>
      <c r="I3128" s="66" t="str">
        <f>IF(Thirteenth!I131="", "",Thirteenth!I131)</f>
        <v/>
      </c>
      <c r="J3128" s="66" t="str">
        <f>IF(Thirteenth!J131="", "",Thirteenth!J131)</f>
        <v/>
      </c>
      <c r="K3128" s="86" t="str">
        <f>IF(Thirteenth!K131="", "",Thirteenth!K131)</f>
        <v/>
      </c>
      <c r="M3128" s="67" t="str">
        <f t="shared" si="146"/>
        <v/>
      </c>
      <c r="N3128" s="76" t="str">
        <f t="shared" si="147"/>
        <v/>
      </c>
      <c r="O3128" s="33">
        <f t="shared" si="145"/>
        <v>0</v>
      </c>
    </row>
    <row r="3129" spans="1:15" x14ac:dyDescent="0.25">
      <c r="A3129" s="64" t="s">
        <v>225</v>
      </c>
      <c r="B3129" s="79" t="str">
        <f>IF(Thirteenth!B132="", "",Thirteenth!B132)</f>
        <v/>
      </c>
      <c r="C3129" s="66" t="str">
        <f>IF(Thirteenth!C132="", "",Thirteenth!C132)</f>
        <v/>
      </c>
      <c r="D3129" s="66" t="str">
        <f>IF(Thirteenth!D132="", "",Thirteenth!D132)</f>
        <v/>
      </c>
      <c r="E3129" s="66" t="str">
        <f>IF(Thirteenth!E132="", "",Thirteenth!E132)</f>
        <v/>
      </c>
      <c r="F3129" s="66" t="str">
        <f>IF(Thirteenth!F132="", "",Thirteenth!F132)</f>
        <v/>
      </c>
      <c r="G3129" s="66" t="str">
        <f>IF(Thirteenth!G132="", "",Thirteenth!G132)</f>
        <v/>
      </c>
      <c r="H3129" s="66" t="str">
        <f>IF(Thirteenth!H132="", "",Thirteenth!H132)</f>
        <v/>
      </c>
      <c r="I3129" s="66" t="str">
        <f>IF(Thirteenth!I132="", "",Thirteenth!I132)</f>
        <v/>
      </c>
      <c r="J3129" s="66" t="str">
        <f>IF(Thirteenth!J132="", "",Thirteenth!J132)</f>
        <v/>
      </c>
      <c r="K3129" s="86" t="str">
        <f>IF(Thirteenth!K132="", "",Thirteenth!K132)</f>
        <v/>
      </c>
      <c r="M3129" s="67" t="str">
        <f t="shared" si="146"/>
        <v/>
      </c>
      <c r="N3129" s="76" t="str">
        <f t="shared" si="147"/>
        <v/>
      </c>
      <c r="O3129" s="33">
        <f t="shared" si="145"/>
        <v>0</v>
      </c>
    </row>
    <row r="3130" spans="1:15" x14ac:dyDescent="0.25">
      <c r="A3130" s="64" t="s">
        <v>225</v>
      </c>
      <c r="B3130" s="79" t="str">
        <f>IF(Thirteenth!B133="", "",Thirteenth!B133)</f>
        <v/>
      </c>
      <c r="C3130" s="66" t="str">
        <f>IF(Thirteenth!C133="", "",Thirteenth!C133)</f>
        <v/>
      </c>
      <c r="D3130" s="66" t="str">
        <f>IF(Thirteenth!D133="", "",Thirteenth!D133)</f>
        <v/>
      </c>
      <c r="E3130" s="66" t="str">
        <f>IF(Thirteenth!E133="", "",Thirteenth!E133)</f>
        <v/>
      </c>
      <c r="F3130" s="66" t="str">
        <f>IF(Thirteenth!F133="", "",Thirteenth!F133)</f>
        <v/>
      </c>
      <c r="G3130" s="66" t="str">
        <f>IF(Thirteenth!G133="", "",Thirteenth!G133)</f>
        <v/>
      </c>
      <c r="H3130" s="66" t="str">
        <f>IF(Thirteenth!H133="", "",Thirteenth!H133)</f>
        <v/>
      </c>
      <c r="I3130" s="66" t="str">
        <f>IF(Thirteenth!I133="", "",Thirteenth!I133)</f>
        <v/>
      </c>
      <c r="J3130" s="66" t="str">
        <f>IF(Thirteenth!J133="", "",Thirteenth!J133)</f>
        <v/>
      </c>
      <c r="K3130" s="86" t="str">
        <f>IF(Thirteenth!K133="", "",Thirteenth!K133)</f>
        <v/>
      </c>
      <c r="M3130" s="67" t="str">
        <f t="shared" si="146"/>
        <v/>
      </c>
      <c r="N3130" s="76" t="str">
        <f t="shared" si="147"/>
        <v/>
      </c>
      <c r="O3130" s="33">
        <f t="shared" si="145"/>
        <v>0</v>
      </c>
    </row>
    <row r="3131" spans="1:15" x14ac:dyDescent="0.25">
      <c r="A3131" s="64" t="s">
        <v>225</v>
      </c>
      <c r="B3131" s="79" t="str">
        <f>IF(Thirteenth!B134="", "",Thirteenth!B134)</f>
        <v/>
      </c>
      <c r="C3131" s="66" t="str">
        <f>IF(Thirteenth!C134="", "",Thirteenth!C134)</f>
        <v/>
      </c>
      <c r="D3131" s="66" t="str">
        <f>IF(Thirteenth!D134="", "",Thirteenth!D134)</f>
        <v/>
      </c>
      <c r="E3131" s="66" t="str">
        <f>IF(Thirteenth!E134="", "",Thirteenth!E134)</f>
        <v/>
      </c>
      <c r="F3131" s="66" t="str">
        <f>IF(Thirteenth!F134="", "",Thirteenth!F134)</f>
        <v/>
      </c>
      <c r="G3131" s="66" t="str">
        <f>IF(Thirteenth!G134="", "",Thirteenth!G134)</f>
        <v/>
      </c>
      <c r="H3131" s="66" t="str">
        <f>IF(Thirteenth!H134="", "",Thirteenth!H134)</f>
        <v/>
      </c>
      <c r="I3131" s="66" t="str">
        <f>IF(Thirteenth!I134="", "",Thirteenth!I134)</f>
        <v/>
      </c>
      <c r="J3131" s="66" t="str">
        <f>IF(Thirteenth!J134="", "",Thirteenth!J134)</f>
        <v/>
      </c>
      <c r="K3131" s="86" t="str">
        <f>IF(Thirteenth!K134="", "",Thirteenth!K134)</f>
        <v/>
      </c>
      <c r="M3131" s="67" t="str">
        <f t="shared" si="146"/>
        <v/>
      </c>
      <c r="N3131" s="76" t="str">
        <f t="shared" si="147"/>
        <v/>
      </c>
      <c r="O3131" s="33">
        <f t="shared" si="145"/>
        <v>0</v>
      </c>
    </row>
    <row r="3132" spans="1:15" x14ac:dyDescent="0.25">
      <c r="A3132" s="64" t="s">
        <v>225</v>
      </c>
      <c r="B3132" s="79" t="str">
        <f>IF(Thirteenth!B135="", "",Thirteenth!B135)</f>
        <v/>
      </c>
      <c r="C3132" s="66" t="str">
        <f>IF(Thirteenth!C135="", "",Thirteenth!C135)</f>
        <v/>
      </c>
      <c r="D3132" s="66" t="str">
        <f>IF(Thirteenth!D135="", "",Thirteenth!D135)</f>
        <v/>
      </c>
      <c r="E3132" s="66" t="str">
        <f>IF(Thirteenth!E135="", "",Thirteenth!E135)</f>
        <v/>
      </c>
      <c r="F3132" s="66" t="str">
        <f>IF(Thirteenth!F135="", "",Thirteenth!F135)</f>
        <v/>
      </c>
      <c r="G3132" s="66" t="str">
        <f>IF(Thirteenth!G135="", "",Thirteenth!G135)</f>
        <v/>
      </c>
      <c r="H3132" s="66" t="str">
        <f>IF(Thirteenth!H135="", "",Thirteenth!H135)</f>
        <v/>
      </c>
      <c r="I3132" s="66" t="str">
        <f>IF(Thirteenth!I135="", "",Thirteenth!I135)</f>
        <v/>
      </c>
      <c r="J3132" s="66" t="str">
        <f>IF(Thirteenth!J135="", "",Thirteenth!J135)</f>
        <v/>
      </c>
      <c r="K3132" s="86" t="str">
        <f>IF(Thirteenth!K135="", "",Thirteenth!K135)</f>
        <v/>
      </c>
      <c r="M3132" s="67" t="str">
        <f t="shared" si="146"/>
        <v/>
      </c>
      <c r="N3132" s="76" t="str">
        <f t="shared" si="147"/>
        <v/>
      </c>
      <c r="O3132" s="33">
        <f t="shared" si="145"/>
        <v>0</v>
      </c>
    </row>
    <row r="3133" spans="1:15" x14ac:dyDescent="0.25">
      <c r="A3133" s="64" t="s">
        <v>225</v>
      </c>
      <c r="B3133" s="79" t="str">
        <f>IF(Thirteenth!B136="", "",Thirteenth!B136)</f>
        <v/>
      </c>
      <c r="C3133" s="66" t="str">
        <f>IF(Thirteenth!C136="", "",Thirteenth!C136)</f>
        <v/>
      </c>
      <c r="D3133" s="66" t="str">
        <f>IF(Thirteenth!D136="", "",Thirteenth!D136)</f>
        <v/>
      </c>
      <c r="E3133" s="66" t="str">
        <f>IF(Thirteenth!E136="", "",Thirteenth!E136)</f>
        <v/>
      </c>
      <c r="F3133" s="66" t="str">
        <f>IF(Thirteenth!F136="", "",Thirteenth!F136)</f>
        <v/>
      </c>
      <c r="G3133" s="66" t="str">
        <f>IF(Thirteenth!G136="", "",Thirteenth!G136)</f>
        <v/>
      </c>
      <c r="H3133" s="66" t="str">
        <f>IF(Thirteenth!H136="", "",Thirteenth!H136)</f>
        <v/>
      </c>
      <c r="I3133" s="66" t="str">
        <f>IF(Thirteenth!I136="", "",Thirteenth!I136)</f>
        <v/>
      </c>
      <c r="J3133" s="66" t="str">
        <f>IF(Thirteenth!J136="", "",Thirteenth!J136)</f>
        <v/>
      </c>
      <c r="K3133" s="86" t="str">
        <f>IF(Thirteenth!K136="", "",Thirteenth!K136)</f>
        <v/>
      </c>
      <c r="M3133" s="67" t="str">
        <f t="shared" si="146"/>
        <v/>
      </c>
      <c r="N3133" s="76" t="str">
        <f t="shared" si="147"/>
        <v/>
      </c>
      <c r="O3133" s="33">
        <f t="shared" si="145"/>
        <v>0</v>
      </c>
    </row>
    <row r="3134" spans="1:15" x14ac:dyDescent="0.25">
      <c r="A3134" s="64" t="s">
        <v>225</v>
      </c>
      <c r="B3134" s="79" t="str">
        <f>IF(Thirteenth!B137="", "",Thirteenth!B137)</f>
        <v/>
      </c>
      <c r="C3134" s="66" t="str">
        <f>IF(Thirteenth!C137="", "",Thirteenth!C137)</f>
        <v/>
      </c>
      <c r="D3134" s="66" t="str">
        <f>IF(Thirteenth!D137="", "",Thirteenth!D137)</f>
        <v/>
      </c>
      <c r="E3134" s="66" t="str">
        <f>IF(Thirteenth!E137="", "",Thirteenth!E137)</f>
        <v/>
      </c>
      <c r="F3134" s="66" t="str">
        <f>IF(Thirteenth!F137="", "",Thirteenth!F137)</f>
        <v/>
      </c>
      <c r="G3134" s="66" t="str">
        <f>IF(Thirteenth!G137="", "",Thirteenth!G137)</f>
        <v/>
      </c>
      <c r="H3134" s="66" t="str">
        <f>IF(Thirteenth!H137="", "",Thirteenth!H137)</f>
        <v/>
      </c>
      <c r="I3134" s="66" t="str">
        <f>IF(Thirteenth!I137="", "",Thirteenth!I137)</f>
        <v/>
      </c>
      <c r="J3134" s="66" t="str">
        <f>IF(Thirteenth!J137="", "",Thirteenth!J137)</f>
        <v/>
      </c>
      <c r="K3134" s="86" t="str">
        <f>IF(Thirteenth!K137="", "",Thirteenth!K137)</f>
        <v/>
      </c>
      <c r="M3134" s="67" t="str">
        <f t="shared" si="146"/>
        <v/>
      </c>
      <c r="N3134" s="76" t="str">
        <f t="shared" si="147"/>
        <v/>
      </c>
      <c r="O3134" s="33">
        <f t="shared" si="145"/>
        <v>0</v>
      </c>
    </row>
    <row r="3135" spans="1:15" x14ac:dyDescent="0.25">
      <c r="A3135" s="64" t="s">
        <v>225</v>
      </c>
      <c r="B3135" s="79" t="str">
        <f>IF(Thirteenth!B138="", "",Thirteenth!B138)</f>
        <v/>
      </c>
      <c r="C3135" s="66" t="str">
        <f>IF(Thirteenth!C138="", "",Thirteenth!C138)</f>
        <v/>
      </c>
      <c r="D3135" s="66" t="str">
        <f>IF(Thirteenth!D138="", "",Thirteenth!D138)</f>
        <v/>
      </c>
      <c r="E3135" s="66" t="str">
        <f>IF(Thirteenth!E138="", "",Thirteenth!E138)</f>
        <v/>
      </c>
      <c r="F3135" s="66" t="str">
        <f>IF(Thirteenth!F138="", "",Thirteenth!F138)</f>
        <v/>
      </c>
      <c r="G3135" s="66" t="str">
        <f>IF(Thirteenth!G138="", "",Thirteenth!G138)</f>
        <v/>
      </c>
      <c r="H3135" s="66" t="str">
        <f>IF(Thirteenth!H138="", "",Thirteenth!H138)</f>
        <v/>
      </c>
      <c r="I3135" s="66" t="str">
        <f>IF(Thirteenth!I138="", "",Thirteenth!I138)</f>
        <v/>
      </c>
      <c r="J3135" s="66" t="str">
        <f>IF(Thirteenth!J138="", "",Thirteenth!J138)</f>
        <v/>
      </c>
      <c r="K3135" s="86" t="str">
        <f>IF(Thirteenth!K138="", "",Thirteenth!K138)</f>
        <v/>
      </c>
      <c r="M3135" s="67" t="str">
        <f t="shared" si="146"/>
        <v/>
      </c>
      <c r="N3135" s="76" t="str">
        <f t="shared" si="147"/>
        <v/>
      </c>
      <c r="O3135" s="33">
        <f t="shared" si="145"/>
        <v>0</v>
      </c>
    </row>
    <row r="3136" spans="1:15" x14ac:dyDescent="0.25">
      <c r="A3136" s="64" t="s">
        <v>225</v>
      </c>
      <c r="B3136" s="79" t="str">
        <f>IF(Thirteenth!B139="", "",Thirteenth!B139)</f>
        <v/>
      </c>
      <c r="C3136" s="66" t="str">
        <f>IF(Thirteenth!C139="", "",Thirteenth!C139)</f>
        <v/>
      </c>
      <c r="D3136" s="66" t="str">
        <f>IF(Thirteenth!D139="", "",Thirteenth!D139)</f>
        <v/>
      </c>
      <c r="E3136" s="66" t="str">
        <f>IF(Thirteenth!E139="", "",Thirteenth!E139)</f>
        <v/>
      </c>
      <c r="F3136" s="66" t="str">
        <f>IF(Thirteenth!F139="", "",Thirteenth!F139)</f>
        <v/>
      </c>
      <c r="G3136" s="66" t="str">
        <f>IF(Thirteenth!G139="", "",Thirteenth!G139)</f>
        <v/>
      </c>
      <c r="H3136" s="66" t="str">
        <f>IF(Thirteenth!H139="", "",Thirteenth!H139)</f>
        <v/>
      </c>
      <c r="I3136" s="66" t="str">
        <f>IF(Thirteenth!I139="", "",Thirteenth!I139)</f>
        <v/>
      </c>
      <c r="J3136" s="66" t="str">
        <f>IF(Thirteenth!J139="", "",Thirteenth!J139)</f>
        <v/>
      </c>
      <c r="K3136" s="86" t="str">
        <f>IF(Thirteenth!K139="", "",Thirteenth!K139)</f>
        <v/>
      </c>
      <c r="M3136" s="67" t="str">
        <f t="shared" si="146"/>
        <v/>
      </c>
      <c r="N3136" s="76" t="str">
        <f t="shared" si="147"/>
        <v/>
      </c>
      <c r="O3136" s="33">
        <f t="shared" si="145"/>
        <v>0</v>
      </c>
    </row>
    <row r="3137" spans="1:15" x14ac:dyDescent="0.25">
      <c r="A3137" s="64" t="s">
        <v>225</v>
      </c>
      <c r="B3137" s="79" t="str">
        <f>IF(Thirteenth!B140="", "",Thirteenth!B140)</f>
        <v/>
      </c>
      <c r="C3137" s="66" t="str">
        <f>IF(Thirteenth!C140="", "",Thirteenth!C140)</f>
        <v/>
      </c>
      <c r="D3137" s="66" t="str">
        <f>IF(Thirteenth!D140="", "",Thirteenth!D140)</f>
        <v/>
      </c>
      <c r="E3137" s="66" t="str">
        <f>IF(Thirteenth!E140="", "",Thirteenth!E140)</f>
        <v/>
      </c>
      <c r="F3137" s="66" t="str">
        <f>IF(Thirteenth!F140="", "",Thirteenth!F140)</f>
        <v/>
      </c>
      <c r="G3137" s="66" t="str">
        <f>IF(Thirteenth!G140="", "",Thirteenth!G140)</f>
        <v/>
      </c>
      <c r="H3137" s="66" t="str">
        <f>IF(Thirteenth!H140="", "",Thirteenth!H140)</f>
        <v/>
      </c>
      <c r="I3137" s="66" t="str">
        <f>IF(Thirteenth!I140="", "",Thirteenth!I140)</f>
        <v/>
      </c>
      <c r="J3137" s="66" t="str">
        <f>IF(Thirteenth!J140="", "",Thirteenth!J140)</f>
        <v/>
      </c>
      <c r="K3137" s="86" t="str">
        <f>IF(Thirteenth!K140="", "",Thirteenth!K140)</f>
        <v/>
      </c>
      <c r="M3137" s="67" t="str">
        <f t="shared" si="146"/>
        <v/>
      </c>
      <c r="N3137" s="76" t="str">
        <f t="shared" si="147"/>
        <v/>
      </c>
      <c r="O3137" s="33">
        <f t="shared" si="145"/>
        <v>0</v>
      </c>
    </row>
    <row r="3138" spans="1:15" x14ac:dyDescent="0.25">
      <c r="A3138" s="64" t="s">
        <v>225</v>
      </c>
      <c r="B3138" s="79" t="str">
        <f>IF(Thirteenth!B141="", "",Thirteenth!B141)</f>
        <v/>
      </c>
      <c r="C3138" s="66" t="str">
        <f>IF(Thirteenth!C141="", "",Thirteenth!C141)</f>
        <v/>
      </c>
      <c r="D3138" s="66" t="str">
        <f>IF(Thirteenth!D141="", "",Thirteenth!D141)</f>
        <v/>
      </c>
      <c r="E3138" s="66" t="str">
        <f>IF(Thirteenth!E141="", "",Thirteenth!E141)</f>
        <v/>
      </c>
      <c r="F3138" s="66" t="str">
        <f>IF(Thirteenth!F141="", "",Thirteenth!F141)</f>
        <v/>
      </c>
      <c r="G3138" s="66" t="str">
        <f>IF(Thirteenth!G141="", "",Thirteenth!G141)</f>
        <v/>
      </c>
      <c r="H3138" s="66" t="str">
        <f>IF(Thirteenth!H141="", "",Thirteenth!H141)</f>
        <v/>
      </c>
      <c r="I3138" s="66" t="str">
        <f>IF(Thirteenth!I141="", "",Thirteenth!I141)</f>
        <v/>
      </c>
      <c r="J3138" s="66" t="str">
        <f>IF(Thirteenth!J141="", "",Thirteenth!J141)</f>
        <v/>
      </c>
      <c r="K3138" s="86" t="str">
        <f>IF(Thirteenth!K141="", "",Thirteenth!K141)</f>
        <v/>
      </c>
      <c r="M3138" s="67" t="str">
        <f t="shared" si="146"/>
        <v/>
      </c>
      <c r="N3138" s="76" t="str">
        <f t="shared" si="147"/>
        <v/>
      </c>
      <c r="O3138" s="33">
        <f t="shared" ref="O3138:O3201" si="148">SUM(M3138:N3138)</f>
        <v>0</v>
      </c>
    </row>
    <row r="3139" spans="1:15" x14ac:dyDescent="0.25">
      <c r="A3139" s="64" t="s">
        <v>225</v>
      </c>
      <c r="B3139" s="79" t="str">
        <f>IF(Thirteenth!B142="", "",Thirteenth!B142)</f>
        <v/>
      </c>
      <c r="C3139" s="66" t="str">
        <f>IF(Thirteenth!C142="", "",Thirteenth!C142)</f>
        <v/>
      </c>
      <c r="D3139" s="66" t="str">
        <f>IF(Thirteenth!D142="", "",Thirteenth!D142)</f>
        <v/>
      </c>
      <c r="E3139" s="66" t="str">
        <f>IF(Thirteenth!E142="", "",Thirteenth!E142)</f>
        <v/>
      </c>
      <c r="F3139" s="66" t="str">
        <f>IF(Thirteenth!F142="", "",Thirteenth!F142)</f>
        <v/>
      </c>
      <c r="G3139" s="66" t="str">
        <f>IF(Thirteenth!G142="", "",Thirteenth!G142)</f>
        <v/>
      </c>
      <c r="H3139" s="66" t="str">
        <f>IF(Thirteenth!H142="", "",Thirteenth!H142)</f>
        <v/>
      </c>
      <c r="I3139" s="66" t="str">
        <f>IF(Thirteenth!I142="", "",Thirteenth!I142)</f>
        <v/>
      </c>
      <c r="J3139" s="66" t="str">
        <f>IF(Thirteenth!J142="", "",Thirteenth!J142)</f>
        <v/>
      </c>
      <c r="K3139" s="86" t="str">
        <f>IF(Thirteenth!K142="", "",Thirteenth!K142)</f>
        <v/>
      </c>
      <c r="M3139" s="67" t="str">
        <f t="shared" ref="M3139:M3202" si="149">IF(C3139="PwC",(7-COUNTIF(B3139:H3139,"")),"")</f>
        <v/>
      </c>
      <c r="N3139" s="76" t="str">
        <f t="shared" ref="N3139:N3202" si="150">IF(C3139="Carer",(7-COUNTIF(B3139:H3139,"")),"")</f>
        <v/>
      </c>
      <c r="O3139" s="33">
        <f t="shared" si="148"/>
        <v>0</v>
      </c>
    </row>
    <row r="3140" spans="1:15" x14ac:dyDescent="0.25">
      <c r="A3140" s="64" t="s">
        <v>225</v>
      </c>
      <c r="B3140" s="79" t="str">
        <f>IF(Thirteenth!B143="", "",Thirteenth!B143)</f>
        <v/>
      </c>
      <c r="C3140" s="66" t="str">
        <f>IF(Thirteenth!C143="", "",Thirteenth!C143)</f>
        <v/>
      </c>
      <c r="D3140" s="66" t="str">
        <f>IF(Thirteenth!D143="", "",Thirteenth!D143)</f>
        <v/>
      </c>
      <c r="E3140" s="66" t="str">
        <f>IF(Thirteenth!E143="", "",Thirteenth!E143)</f>
        <v/>
      </c>
      <c r="F3140" s="66" t="str">
        <f>IF(Thirteenth!F143="", "",Thirteenth!F143)</f>
        <v/>
      </c>
      <c r="G3140" s="66" t="str">
        <f>IF(Thirteenth!G143="", "",Thirteenth!G143)</f>
        <v/>
      </c>
      <c r="H3140" s="66" t="str">
        <f>IF(Thirteenth!H143="", "",Thirteenth!H143)</f>
        <v/>
      </c>
      <c r="I3140" s="66" t="str">
        <f>IF(Thirteenth!I143="", "",Thirteenth!I143)</f>
        <v/>
      </c>
      <c r="J3140" s="66" t="str">
        <f>IF(Thirteenth!J143="", "",Thirteenth!J143)</f>
        <v/>
      </c>
      <c r="K3140" s="86" t="str">
        <f>IF(Thirteenth!K143="", "",Thirteenth!K143)</f>
        <v/>
      </c>
      <c r="M3140" s="67" t="str">
        <f t="shared" si="149"/>
        <v/>
      </c>
      <c r="N3140" s="76" t="str">
        <f t="shared" si="150"/>
        <v/>
      </c>
      <c r="O3140" s="33">
        <f t="shared" si="148"/>
        <v>0</v>
      </c>
    </row>
    <row r="3141" spans="1:15" x14ac:dyDescent="0.25">
      <c r="A3141" s="64" t="s">
        <v>225</v>
      </c>
      <c r="B3141" s="79" t="str">
        <f>IF(Thirteenth!B144="", "",Thirteenth!B144)</f>
        <v/>
      </c>
      <c r="C3141" s="66" t="str">
        <f>IF(Thirteenth!C144="", "",Thirteenth!C144)</f>
        <v/>
      </c>
      <c r="D3141" s="66" t="str">
        <f>IF(Thirteenth!D144="", "",Thirteenth!D144)</f>
        <v/>
      </c>
      <c r="E3141" s="66" t="str">
        <f>IF(Thirteenth!E144="", "",Thirteenth!E144)</f>
        <v/>
      </c>
      <c r="F3141" s="66" t="str">
        <f>IF(Thirteenth!F144="", "",Thirteenth!F144)</f>
        <v/>
      </c>
      <c r="G3141" s="66" t="str">
        <f>IF(Thirteenth!G144="", "",Thirteenth!G144)</f>
        <v/>
      </c>
      <c r="H3141" s="66" t="str">
        <f>IF(Thirteenth!H144="", "",Thirteenth!H144)</f>
        <v/>
      </c>
      <c r="I3141" s="66" t="str">
        <f>IF(Thirteenth!I144="", "",Thirteenth!I144)</f>
        <v/>
      </c>
      <c r="J3141" s="66" t="str">
        <f>IF(Thirteenth!J144="", "",Thirteenth!J144)</f>
        <v/>
      </c>
      <c r="K3141" s="86" t="str">
        <f>IF(Thirteenth!K144="", "",Thirteenth!K144)</f>
        <v/>
      </c>
      <c r="M3141" s="67" t="str">
        <f t="shared" si="149"/>
        <v/>
      </c>
      <c r="N3141" s="76" t="str">
        <f t="shared" si="150"/>
        <v/>
      </c>
      <c r="O3141" s="33">
        <f t="shared" si="148"/>
        <v>0</v>
      </c>
    </row>
    <row r="3142" spans="1:15" x14ac:dyDescent="0.25">
      <c r="A3142" s="64" t="s">
        <v>225</v>
      </c>
      <c r="B3142" s="79" t="str">
        <f>IF(Thirteenth!B145="", "",Thirteenth!B145)</f>
        <v/>
      </c>
      <c r="C3142" s="66" t="str">
        <f>IF(Thirteenth!C145="", "",Thirteenth!C145)</f>
        <v/>
      </c>
      <c r="D3142" s="66" t="str">
        <f>IF(Thirteenth!D145="", "",Thirteenth!D145)</f>
        <v/>
      </c>
      <c r="E3142" s="66" t="str">
        <f>IF(Thirteenth!E145="", "",Thirteenth!E145)</f>
        <v/>
      </c>
      <c r="F3142" s="66" t="str">
        <f>IF(Thirteenth!F145="", "",Thirteenth!F145)</f>
        <v/>
      </c>
      <c r="G3142" s="66" t="str">
        <f>IF(Thirteenth!G145="", "",Thirteenth!G145)</f>
        <v/>
      </c>
      <c r="H3142" s="66" t="str">
        <f>IF(Thirteenth!H145="", "",Thirteenth!H145)</f>
        <v/>
      </c>
      <c r="I3142" s="66" t="str">
        <f>IF(Thirteenth!I145="", "",Thirteenth!I145)</f>
        <v/>
      </c>
      <c r="J3142" s="66" t="str">
        <f>IF(Thirteenth!J145="", "",Thirteenth!J145)</f>
        <v/>
      </c>
      <c r="K3142" s="86" t="str">
        <f>IF(Thirteenth!K145="", "",Thirteenth!K145)</f>
        <v/>
      </c>
      <c r="M3142" s="67" t="str">
        <f t="shared" si="149"/>
        <v/>
      </c>
      <c r="N3142" s="76" t="str">
        <f t="shared" si="150"/>
        <v/>
      </c>
      <c r="O3142" s="33">
        <f t="shared" si="148"/>
        <v>0</v>
      </c>
    </row>
    <row r="3143" spans="1:15" x14ac:dyDescent="0.25">
      <c r="A3143" s="64" t="s">
        <v>225</v>
      </c>
      <c r="B3143" s="79" t="str">
        <f>IF(Thirteenth!B146="", "",Thirteenth!B146)</f>
        <v/>
      </c>
      <c r="C3143" s="66" t="str">
        <f>IF(Thirteenth!C146="", "",Thirteenth!C146)</f>
        <v/>
      </c>
      <c r="D3143" s="66" t="str">
        <f>IF(Thirteenth!D146="", "",Thirteenth!D146)</f>
        <v/>
      </c>
      <c r="E3143" s="66" t="str">
        <f>IF(Thirteenth!E146="", "",Thirteenth!E146)</f>
        <v/>
      </c>
      <c r="F3143" s="66" t="str">
        <f>IF(Thirteenth!F146="", "",Thirteenth!F146)</f>
        <v/>
      </c>
      <c r="G3143" s="66" t="str">
        <f>IF(Thirteenth!G146="", "",Thirteenth!G146)</f>
        <v/>
      </c>
      <c r="H3143" s="66" t="str">
        <f>IF(Thirteenth!H146="", "",Thirteenth!H146)</f>
        <v/>
      </c>
      <c r="I3143" s="66" t="str">
        <f>IF(Thirteenth!I146="", "",Thirteenth!I146)</f>
        <v/>
      </c>
      <c r="J3143" s="66" t="str">
        <f>IF(Thirteenth!J146="", "",Thirteenth!J146)</f>
        <v/>
      </c>
      <c r="K3143" s="86" t="str">
        <f>IF(Thirteenth!K146="", "",Thirteenth!K146)</f>
        <v/>
      </c>
      <c r="M3143" s="67" t="str">
        <f t="shared" si="149"/>
        <v/>
      </c>
      <c r="N3143" s="76" t="str">
        <f t="shared" si="150"/>
        <v/>
      </c>
      <c r="O3143" s="33">
        <f t="shared" si="148"/>
        <v>0</v>
      </c>
    </row>
    <row r="3144" spans="1:15" x14ac:dyDescent="0.25">
      <c r="A3144" s="64" t="s">
        <v>225</v>
      </c>
      <c r="B3144" s="79" t="str">
        <f>IF(Thirteenth!B147="", "",Thirteenth!B147)</f>
        <v/>
      </c>
      <c r="C3144" s="66" t="str">
        <f>IF(Thirteenth!C147="", "",Thirteenth!C147)</f>
        <v/>
      </c>
      <c r="D3144" s="66" t="str">
        <f>IF(Thirteenth!D147="", "",Thirteenth!D147)</f>
        <v/>
      </c>
      <c r="E3144" s="66" t="str">
        <f>IF(Thirteenth!E147="", "",Thirteenth!E147)</f>
        <v/>
      </c>
      <c r="F3144" s="66" t="str">
        <f>IF(Thirteenth!F147="", "",Thirteenth!F147)</f>
        <v/>
      </c>
      <c r="G3144" s="66" t="str">
        <f>IF(Thirteenth!G147="", "",Thirteenth!G147)</f>
        <v/>
      </c>
      <c r="H3144" s="66" t="str">
        <f>IF(Thirteenth!H147="", "",Thirteenth!H147)</f>
        <v/>
      </c>
      <c r="I3144" s="66" t="str">
        <f>IF(Thirteenth!I147="", "",Thirteenth!I147)</f>
        <v/>
      </c>
      <c r="J3144" s="66" t="str">
        <f>IF(Thirteenth!J147="", "",Thirteenth!J147)</f>
        <v/>
      </c>
      <c r="K3144" s="86" t="str">
        <f>IF(Thirteenth!K147="", "",Thirteenth!K147)</f>
        <v/>
      </c>
      <c r="M3144" s="67" t="str">
        <f t="shared" si="149"/>
        <v/>
      </c>
      <c r="N3144" s="76" t="str">
        <f t="shared" si="150"/>
        <v/>
      </c>
      <c r="O3144" s="33">
        <f t="shared" si="148"/>
        <v>0</v>
      </c>
    </row>
    <row r="3145" spans="1:15" x14ac:dyDescent="0.25">
      <c r="A3145" s="64" t="s">
        <v>225</v>
      </c>
      <c r="B3145" s="79" t="str">
        <f>IF(Thirteenth!B148="", "",Thirteenth!B148)</f>
        <v/>
      </c>
      <c r="C3145" s="66" t="str">
        <f>IF(Thirteenth!C148="", "",Thirteenth!C148)</f>
        <v/>
      </c>
      <c r="D3145" s="66" t="str">
        <f>IF(Thirteenth!D148="", "",Thirteenth!D148)</f>
        <v/>
      </c>
      <c r="E3145" s="66" t="str">
        <f>IF(Thirteenth!E148="", "",Thirteenth!E148)</f>
        <v/>
      </c>
      <c r="F3145" s="66" t="str">
        <f>IF(Thirteenth!F148="", "",Thirteenth!F148)</f>
        <v/>
      </c>
      <c r="G3145" s="66" t="str">
        <f>IF(Thirteenth!G148="", "",Thirteenth!G148)</f>
        <v/>
      </c>
      <c r="H3145" s="66" t="str">
        <f>IF(Thirteenth!H148="", "",Thirteenth!H148)</f>
        <v/>
      </c>
      <c r="I3145" s="66" t="str">
        <f>IF(Thirteenth!I148="", "",Thirteenth!I148)</f>
        <v/>
      </c>
      <c r="J3145" s="66" t="str">
        <f>IF(Thirteenth!J148="", "",Thirteenth!J148)</f>
        <v/>
      </c>
      <c r="K3145" s="86" t="str">
        <f>IF(Thirteenth!K148="", "",Thirteenth!K148)</f>
        <v/>
      </c>
      <c r="M3145" s="67" t="str">
        <f t="shared" si="149"/>
        <v/>
      </c>
      <c r="N3145" s="76" t="str">
        <f t="shared" si="150"/>
        <v/>
      </c>
      <c r="O3145" s="33">
        <f t="shared" si="148"/>
        <v>0</v>
      </c>
    </row>
    <row r="3146" spans="1:15" x14ac:dyDescent="0.25">
      <c r="A3146" s="64" t="s">
        <v>225</v>
      </c>
      <c r="B3146" s="79" t="str">
        <f>IF(Thirteenth!B149="", "",Thirteenth!B149)</f>
        <v/>
      </c>
      <c r="C3146" s="66" t="str">
        <f>IF(Thirteenth!C149="", "",Thirteenth!C149)</f>
        <v/>
      </c>
      <c r="D3146" s="66" t="str">
        <f>IF(Thirteenth!D149="", "",Thirteenth!D149)</f>
        <v/>
      </c>
      <c r="E3146" s="66" t="str">
        <f>IF(Thirteenth!E149="", "",Thirteenth!E149)</f>
        <v/>
      </c>
      <c r="F3146" s="66" t="str">
        <f>IF(Thirteenth!F149="", "",Thirteenth!F149)</f>
        <v/>
      </c>
      <c r="G3146" s="66" t="str">
        <f>IF(Thirteenth!G149="", "",Thirteenth!G149)</f>
        <v/>
      </c>
      <c r="H3146" s="66" t="str">
        <f>IF(Thirteenth!H149="", "",Thirteenth!H149)</f>
        <v/>
      </c>
      <c r="I3146" s="66" t="str">
        <f>IF(Thirteenth!I149="", "",Thirteenth!I149)</f>
        <v/>
      </c>
      <c r="J3146" s="66" t="str">
        <f>IF(Thirteenth!J149="", "",Thirteenth!J149)</f>
        <v/>
      </c>
      <c r="K3146" s="86" t="str">
        <f>IF(Thirteenth!K149="", "",Thirteenth!K149)</f>
        <v/>
      </c>
      <c r="M3146" s="67" t="str">
        <f t="shared" si="149"/>
        <v/>
      </c>
      <c r="N3146" s="76" t="str">
        <f t="shared" si="150"/>
        <v/>
      </c>
      <c r="O3146" s="33">
        <f t="shared" si="148"/>
        <v>0</v>
      </c>
    </row>
    <row r="3147" spans="1:15" x14ac:dyDescent="0.25">
      <c r="A3147" s="64" t="s">
        <v>225</v>
      </c>
      <c r="B3147" s="79" t="str">
        <f>IF(Thirteenth!B150="", "",Thirteenth!B150)</f>
        <v/>
      </c>
      <c r="C3147" s="66" t="str">
        <f>IF(Thirteenth!C150="", "",Thirteenth!C150)</f>
        <v/>
      </c>
      <c r="D3147" s="66" t="str">
        <f>IF(Thirteenth!D150="", "",Thirteenth!D150)</f>
        <v/>
      </c>
      <c r="E3147" s="66" t="str">
        <f>IF(Thirteenth!E150="", "",Thirteenth!E150)</f>
        <v/>
      </c>
      <c r="F3147" s="66" t="str">
        <f>IF(Thirteenth!F150="", "",Thirteenth!F150)</f>
        <v/>
      </c>
      <c r="G3147" s="66" t="str">
        <f>IF(Thirteenth!G150="", "",Thirteenth!G150)</f>
        <v/>
      </c>
      <c r="H3147" s="66" t="str">
        <f>IF(Thirteenth!H150="", "",Thirteenth!H150)</f>
        <v/>
      </c>
      <c r="I3147" s="66" t="str">
        <f>IF(Thirteenth!I150="", "",Thirteenth!I150)</f>
        <v/>
      </c>
      <c r="J3147" s="66" t="str">
        <f>IF(Thirteenth!J150="", "",Thirteenth!J150)</f>
        <v/>
      </c>
      <c r="K3147" s="86" t="str">
        <f>IF(Thirteenth!K150="", "",Thirteenth!K150)</f>
        <v/>
      </c>
      <c r="M3147" s="67" t="str">
        <f t="shared" si="149"/>
        <v/>
      </c>
      <c r="N3147" s="76" t="str">
        <f t="shared" si="150"/>
        <v/>
      </c>
      <c r="O3147" s="33">
        <f t="shared" si="148"/>
        <v>0</v>
      </c>
    </row>
    <row r="3148" spans="1:15" x14ac:dyDescent="0.25">
      <c r="A3148" s="64" t="s">
        <v>225</v>
      </c>
      <c r="B3148" s="79" t="str">
        <f>IF(Thirteenth!B151="", "",Thirteenth!B151)</f>
        <v/>
      </c>
      <c r="C3148" s="66" t="str">
        <f>IF(Thirteenth!C151="", "",Thirteenth!C151)</f>
        <v/>
      </c>
      <c r="D3148" s="66" t="str">
        <f>IF(Thirteenth!D151="", "",Thirteenth!D151)</f>
        <v/>
      </c>
      <c r="E3148" s="66" t="str">
        <f>IF(Thirteenth!E151="", "",Thirteenth!E151)</f>
        <v/>
      </c>
      <c r="F3148" s="66" t="str">
        <f>IF(Thirteenth!F151="", "",Thirteenth!F151)</f>
        <v/>
      </c>
      <c r="G3148" s="66" t="str">
        <f>IF(Thirteenth!G151="", "",Thirteenth!G151)</f>
        <v/>
      </c>
      <c r="H3148" s="66" t="str">
        <f>IF(Thirteenth!H151="", "",Thirteenth!H151)</f>
        <v/>
      </c>
      <c r="I3148" s="66" t="str">
        <f>IF(Thirteenth!I151="", "",Thirteenth!I151)</f>
        <v/>
      </c>
      <c r="J3148" s="66" t="str">
        <f>IF(Thirteenth!J151="", "",Thirteenth!J151)</f>
        <v/>
      </c>
      <c r="K3148" s="86" t="str">
        <f>IF(Thirteenth!K151="", "",Thirteenth!K151)</f>
        <v/>
      </c>
      <c r="M3148" s="67" t="str">
        <f t="shared" si="149"/>
        <v/>
      </c>
      <c r="N3148" s="76" t="str">
        <f t="shared" si="150"/>
        <v/>
      </c>
      <c r="O3148" s="33">
        <f t="shared" si="148"/>
        <v>0</v>
      </c>
    </row>
    <row r="3149" spans="1:15" x14ac:dyDescent="0.25">
      <c r="A3149" s="64" t="s">
        <v>225</v>
      </c>
      <c r="B3149" s="79" t="str">
        <f>IF(Thirteenth!B152="", "",Thirteenth!B152)</f>
        <v/>
      </c>
      <c r="C3149" s="66" t="str">
        <f>IF(Thirteenth!C152="", "",Thirteenth!C152)</f>
        <v/>
      </c>
      <c r="D3149" s="66" t="str">
        <f>IF(Thirteenth!D152="", "",Thirteenth!D152)</f>
        <v/>
      </c>
      <c r="E3149" s="66" t="str">
        <f>IF(Thirteenth!E152="", "",Thirteenth!E152)</f>
        <v/>
      </c>
      <c r="F3149" s="66" t="str">
        <f>IF(Thirteenth!F152="", "",Thirteenth!F152)</f>
        <v/>
      </c>
      <c r="G3149" s="66" t="str">
        <f>IF(Thirteenth!G152="", "",Thirteenth!G152)</f>
        <v/>
      </c>
      <c r="H3149" s="66" t="str">
        <f>IF(Thirteenth!H152="", "",Thirteenth!H152)</f>
        <v/>
      </c>
      <c r="I3149" s="66" t="str">
        <f>IF(Thirteenth!I152="", "",Thirteenth!I152)</f>
        <v/>
      </c>
      <c r="J3149" s="66" t="str">
        <f>IF(Thirteenth!J152="", "",Thirteenth!J152)</f>
        <v/>
      </c>
      <c r="K3149" s="86" t="str">
        <f>IF(Thirteenth!K152="", "",Thirteenth!K152)</f>
        <v/>
      </c>
      <c r="M3149" s="67" t="str">
        <f t="shared" si="149"/>
        <v/>
      </c>
      <c r="N3149" s="76" t="str">
        <f t="shared" si="150"/>
        <v/>
      </c>
      <c r="O3149" s="33">
        <f t="shared" si="148"/>
        <v>0</v>
      </c>
    </row>
    <row r="3150" spans="1:15" x14ac:dyDescent="0.25">
      <c r="A3150" s="64" t="s">
        <v>225</v>
      </c>
      <c r="B3150" s="79" t="str">
        <f>IF(Thirteenth!B153="", "",Thirteenth!B153)</f>
        <v/>
      </c>
      <c r="C3150" s="66" t="str">
        <f>IF(Thirteenth!C153="", "",Thirteenth!C153)</f>
        <v/>
      </c>
      <c r="D3150" s="66" t="str">
        <f>IF(Thirteenth!D153="", "",Thirteenth!D153)</f>
        <v/>
      </c>
      <c r="E3150" s="66" t="str">
        <f>IF(Thirteenth!E153="", "",Thirteenth!E153)</f>
        <v/>
      </c>
      <c r="F3150" s="66" t="str">
        <f>IF(Thirteenth!F153="", "",Thirteenth!F153)</f>
        <v/>
      </c>
      <c r="G3150" s="66" t="str">
        <f>IF(Thirteenth!G153="", "",Thirteenth!G153)</f>
        <v/>
      </c>
      <c r="H3150" s="66" t="str">
        <f>IF(Thirteenth!H153="", "",Thirteenth!H153)</f>
        <v/>
      </c>
      <c r="I3150" s="66" t="str">
        <f>IF(Thirteenth!I153="", "",Thirteenth!I153)</f>
        <v/>
      </c>
      <c r="J3150" s="66" t="str">
        <f>IF(Thirteenth!J153="", "",Thirteenth!J153)</f>
        <v/>
      </c>
      <c r="K3150" s="86" t="str">
        <f>IF(Thirteenth!K153="", "",Thirteenth!K153)</f>
        <v/>
      </c>
      <c r="M3150" s="67" t="str">
        <f t="shared" si="149"/>
        <v/>
      </c>
      <c r="N3150" s="76" t="str">
        <f t="shared" si="150"/>
        <v/>
      </c>
      <c r="O3150" s="33">
        <f t="shared" si="148"/>
        <v>0</v>
      </c>
    </row>
    <row r="3151" spans="1:15" x14ac:dyDescent="0.25">
      <c r="A3151" s="64" t="s">
        <v>225</v>
      </c>
      <c r="B3151" s="79" t="str">
        <f>IF(Thirteenth!B154="", "",Thirteenth!B154)</f>
        <v/>
      </c>
      <c r="C3151" s="66" t="str">
        <f>IF(Thirteenth!C154="", "",Thirteenth!C154)</f>
        <v/>
      </c>
      <c r="D3151" s="66" t="str">
        <f>IF(Thirteenth!D154="", "",Thirteenth!D154)</f>
        <v/>
      </c>
      <c r="E3151" s="66" t="str">
        <f>IF(Thirteenth!E154="", "",Thirteenth!E154)</f>
        <v/>
      </c>
      <c r="F3151" s="66" t="str">
        <f>IF(Thirteenth!F154="", "",Thirteenth!F154)</f>
        <v/>
      </c>
      <c r="G3151" s="66" t="str">
        <f>IF(Thirteenth!G154="", "",Thirteenth!G154)</f>
        <v/>
      </c>
      <c r="H3151" s="66" t="str">
        <f>IF(Thirteenth!H154="", "",Thirteenth!H154)</f>
        <v/>
      </c>
      <c r="I3151" s="66" t="str">
        <f>IF(Thirteenth!I154="", "",Thirteenth!I154)</f>
        <v/>
      </c>
      <c r="J3151" s="66" t="str">
        <f>IF(Thirteenth!J154="", "",Thirteenth!J154)</f>
        <v/>
      </c>
      <c r="K3151" s="86" t="str">
        <f>IF(Thirteenth!K154="", "",Thirteenth!K154)</f>
        <v/>
      </c>
      <c r="M3151" s="67" t="str">
        <f t="shared" si="149"/>
        <v/>
      </c>
      <c r="N3151" s="76" t="str">
        <f t="shared" si="150"/>
        <v/>
      </c>
      <c r="O3151" s="33">
        <f t="shared" si="148"/>
        <v>0</v>
      </c>
    </row>
    <row r="3152" spans="1:15" x14ac:dyDescent="0.25">
      <c r="A3152" s="64" t="s">
        <v>225</v>
      </c>
      <c r="B3152" s="79" t="str">
        <f>IF(Thirteenth!B155="", "",Thirteenth!B155)</f>
        <v/>
      </c>
      <c r="C3152" s="66" t="str">
        <f>IF(Thirteenth!C155="", "",Thirteenth!C155)</f>
        <v/>
      </c>
      <c r="D3152" s="66" t="str">
        <f>IF(Thirteenth!D155="", "",Thirteenth!D155)</f>
        <v/>
      </c>
      <c r="E3152" s="66" t="str">
        <f>IF(Thirteenth!E155="", "",Thirteenth!E155)</f>
        <v/>
      </c>
      <c r="F3152" s="66" t="str">
        <f>IF(Thirteenth!F155="", "",Thirteenth!F155)</f>
        <v/>
      </c>
      <c r="G3152" s="66" t="str">
        <f>IF(Thirteenth!G155="", "",Thirteenth!G155)</f>
        <v/>
      </c>
      <c r="H3152" s="66" t="str">
        <f>IF(Thirteenth!H155="", "",Thirteenth!H155)</f>
        <v/>
      </c>
      <c r="I3152" s="66" t="str">
        <f>IF(Thirteenth!I155="", "",Thirteenth!I155)</f>
        <v/>
      </c>
      <c r="J3152" s="66" t="str">
        <f>IF(Thirteenth!J155="", "",Thirteenth!J155)</f>
        <v/>
      </c>
      <c r="K3152" s="86" t="str">
        <f>IF(Thirteenth!K155="", "",Thirteenth!K155)</f>
        <v/>
      </c>
      <c r="M3152" s="67" t="str">
        <f t="shared" si="149"/>
        <v/>
      </c>
      <c r="N3152" s="76" t="str">
        <f t="shared" si="150"/>
        <v/>
      </c>
      <c r="O3152" s="33">
        <f t="shared" si="148"/>
        <v>0</v>
      </c>
    </row>
    <row r="3153" spans="1:15" x14ac:dyDescent="0.25">
      <c r="A3153" s="64" t="s">
        <v>225</v>
      </c>
      <c r="B3153" s="79" t="str">
        <f>IF(Thirteenth!B156="", "",Thirteenth!B156)</f>
        <v/>
      </c>
      <c r="C3153" s="66" t="str">
        <f>IF(Thirteenth!C156="", "",Thirteenth!C156)</f>
        <v/>
      </c>
      <c r="D3153" s="66" t="str">
        <f>IF(Thirteenth!D156="", "",Thirteenth!D156)</f>
        <v/>
      </c>
      <c r="E3153" s="66" t="str">
        <f>IF(Thirteenth!E156="", "",Thirteenth!E156)</f>
        <v/>
      </c>
      <c r="F3153" s="66" t="str">
        <f>IF(Thirteenth!F156="", "",Thirteenth!F156)</f>
        <v/>
      </c>
      <c r="G3153" s="66" t="str">
        <f>IF(Thirteenth!G156="", "",Thirteenth!G156)</f>
        <v/>
      </c>
      <c r="H3153" s="66" t="str">
        <f>IF(Thirteenth!H156="", "",Thirteenth!H156)</f>
        <v/>
      </c>
      <c r="I3153" s="66" t="str">
        <f>IF(Thirteenth!I156="", "",Thirteenth!I156)</f>
        <v/>
      </c>
      <c r="J3153" s="66" t="str">
        <f>IF(Thirteenth!J156="", "",Thirteenth!J156)</f>
        <v/>
      </c>
      <c r="K3153" s="86" t="str">
        <f>IF(Thirteenth!K156="", "",Thirteenth!K156)</f>
        <v/>
      </c>
      <c r="M3153" s="67" t="str">
        <f t="shared" si="149"/>
        <v/>
      </c>
      <c r="N3153" s="76" t="str">
        <f t="shared" si="150"/>
        <v/>
      </c>
      <c r="O3153" s="33">
        <f t="shared" si="148"/>
        <v>0</v>
      </c>
    </row>
    <row r="3154" spans="1:15" x14ac:dyDescent="0.25">
      <c r="A3154" s="64" t="s">
        <v>225</v>
      </c>
      <c r="B3154" s="79" t="str">
        <f>IF(Thirteenth!B157="", "",Thirteenth!B157)</f>
        <v/>
      </c>
      <c r="C3154" s="66" t="str">
        <f>IF(Thirteenth!C157="", "",Thirteenth!C157)</f>
        <v/>
      </c>
      <c r="D3154" s="66" t="str">
        <f>IF(Thirteenth!D157="", "",Thirteenth!D157)</f>
        <v/>
      </c>
      <c r="E3154" s="66" t="str">
        <f>IF(Thirteenth!E157="", "",Thirteenth!E157)</f>
        <v/>
      </c>
      <c r="F3154" s="66" t="str">
        <f>IF(Thirteenth!F157="", "",Thirteenth!F157)</f>
        <v/>
      </c>
      <c r="G3154" s="66" t="str">
        <f>IF(Thirteenth!G157="", "",Thirteenth!G157)</f>
        <v/>
      </c>
      <c r="H3154" s="66" t="str">
        <f>IF(Thirteenth!H157="", "",Thirteenth!H157)</f>
        <v/>
      </c>
      <c r="I3154" s="66" t="str">
        <f>IF(Thirteenth!I157="", "",Thirteenth!I157)</f>
        <v/>
      </c>
      <c r="J3154" s="66" t="str">
        <f>IF(Thirteenth!J157="", "",Thirteenth!J157)</f>
        <v/>
      </c>
      <c r="K3154" s="86" t="str">
        <f>IF(Thirteenth!K157="", "",Thirteenth!K157)</f>
        <v/>
      </c>
      <c r="M3154" s="67" t="str">
        <f t="shared" si="149"/>
        <v/>
      </c>
      <c r="N3154" s="76" t="str">
        <f t="shared" si="150"/>
        <v/>
      </c>
      <c r="O3154" s="33">
        <f t="shared" si="148"/>
        <v>0</v>
      </c>
    </row>
    <row r="3155" spans="1:15" x14ac:dyDescent="0.25">
      <c r="A3155" s="64" t="s">
        <v>225</v>
      </c>
      <c r="B3155" s="79" t="str">
        <f>IF(Thirteenth!B158="", "",Thirteenth!B158)</f>
        <v/>
      </c>
      <c r="C3155" s="66" t="str">
        <f>IF(Thirteenth!C158="", "",Thirteenth!C158)</f>
        <v/>
      </c>
      <c r="D3155" s="66" t="str">
        <f>IF(Thirteenth!D158="", "",Thirteenth!D158)</f>
        <v/>
      </c>
      <c r="E3155" s="66" t="str">
        <f>IF(Thirteenth!E158="", "",Thirteenth!E158)</f>
        <v/>
      </c>
      <c r="F3155" s="66" t="str">
        <f>IF(Thirteenth!F158="", "",Thirteenth!F158)</f>
        <v/>
      </c>
      <c r="G3155" s="66" t="str">
        <f>IF(Thirteenth!G158="", "",Thirteenth!G158)</f>
        <v/>
      </c>
      <c r="H3155" s="66" t="str">
        <f>IF(Thirteenth!H158="", "",Thirteenth!H158)</f>
        <v/>
      </c>
      <c r="I3155" s="66" t="str">
        <f>IF(Thirteenth!I158="", "",Thirteenth!I158)</f>
        <v/>
      </c>
      <c r="J3155" s="66" t="str">
        <f>IF(Thirteenth!J158="", "",Thirteenth!J158)</f>
        <v/>
      </c>
      <c r="K3155" s="86" t="str">
        <f>IF(Thirteenth!K158="", "",Thirteenth!K158)</f>
        <v/>
      </c>
      <c r="M3155" s="67" t="str">
        <f t="shared" si="149"/>
        <v/>
      </c>
      <c r="N3155" s="76" t="str">
        <f t="shared" si="150"/>
        <v/>
      </c>
      <c r="O3155" s="33">
        <f t="shared" si="148"/>
        <v>0</v>
      </c>
    </row>
    <row r="3156" spans="1:15" x14ac:dyDescent="0.25">
      <c r="A3156" s="64" t="s">
        <v>225</v>
      </c>
      <c r="B3156" s="79" t="str">
        <f>IF(Thirteenth!B159="", "",Thirteenth!B159)</f>
        <v/>
      </c>
      <c r="C3156" s="66" t="str">
        <f>IF(Thirteenth!C159="", "",Thirteenth!C159)</f>
        <v/>
      </c>
      <c r="D3156" s="66" t="str">
        <f>IF(Thirteenth!D159="", "",Thirteenth!D159)</f>
        <v/>
      </c>
      <c r="E3156" s="66" t="str">
        <f>IF(Thirteenth!E159="", "",Thirteenth!E159)</f>
        <v/>
      </c>
      <c r="F3156" s="66" t="str">
        <f>IF(Thirteenth!F159="", "",Thirteenth!F159)</f>
        <v/>
      </c>
      <c r="G3156" s="66" t="str">
        <f>IF(Thirteenth!G159="", "",Thirteenth!G159)</f>
        <v/>
      </c>
      <c r="H3156" s="66" t="str">
        <f>IF(Thirteenth!H159="", "",Thirteenth!H159)</f>
        <v/>
      </c>
      <c r="I3156" s="66" t="str">
        <f>IF(Thirteenth!I159="", "",Thirteenth!I159)</f>
        <v/>
      </c>
      <c r="J3156" s="66" t="str">
        <f>IF(Thirteenth!J159="", "",Thirteenth!J159)</f>
        <v/>
      </c>
      <c r="K3156" s="86" t="str">
        <f>IF(Thirteenth!K159="", "",Thirteenth!K159)</f>
        <v/>
      </c>
      <c r="M3156" s="67" t="str">
        <f t="shared" si="149"/>
        <v/>
      </c>
      <c r="N3156" s="76" t="str">
        <f t="shared" si="150"/>
        <v/>
      </c>
      <c r="O3156" s="33">
        <f t="shared" si="148"/>
        <v>0</v>
      </c>
    </row>
    <row r="3157" spans="1:15" x14ac:dyDescent="0.25">
      <c r="A3157" s="64" t="s">
        <v>225</v>
      </c>
      <c r="B3157" s="79" t="str">
        <f>IF(Thirteenth!B160="", "",Thirteenth!B160)</f>
        <v/>
      </c>
      <c r="C3157" s="66" t="str">
        <f>IF(Thirteenth!C160="", "",Thirteenth!C160)</f>
        <v/>
      </c>
      <c r="D3157" s="66" t="str">
        <f>IF(Thirteenth!D160="", "",Thirteenth!D160)</f>
        <v/>
      </c>
      <c r="E3157" s="66" t="str">
        <f>IF(Thirteenth!E160="", "",Thirteenth!E160)</f>
        <v/>
      </c>
      <c r="F3157" s="66" t="str">
        <f>IF(Thirteenth!F160="", "",Thirteenth!F160)</f>
        <v/>
      </c>
      <c r="G3157" s="66" t="str">
        <f>IF(Thirteenth!G160="", "",Thirteenth!G160)</f>
        <v/>
      </c>
      <c r="H3157" s="66" t="str">
        <f>IF(Thirteenth!H160="", "",Thirteenth!H160)</f>
        <v/>
      </c>
      <c r="I3157" s="66" t="str">
        <f>IF(Thirteenth!I160="", "",Thirteenth!I160)</f>
        <v/>
      </c>
      <c r="J3157" s="66" t="str">
        <f>IF(Thirteenth!J160="", "",Thirteenth!J160)</f>
        <v/>
      </c>
      <c r="K3157" s="86" t="str">
        <f>IF(Thirteenth!K160="", "",Thirteenth!K160)</f>
        <v/>
      </c>
      <c r="M3157" s="67" t="str">
        <f t="shared" si="149"/>
        <v/>
      </c>
      <c r="N3157" s="76" t="str">
        <f t="shared" si="150"/>
        <v/>
      </c>
      <c r="O3157" s="33">
        <f t="shared" si="148"/>
        <v>0</v>
      </c>
    </row>
    <row r="3158" spans="1:15" x14ac:dyDescent="0.25">
      <c r="A3158" s="64" t="s">
        <v>225</v>
      </c>
      <c r="B3158" s="79" t="str">
        <f>IF(Thirteenth!B161="", "",Thirteenth!B161)</f>
        <v/>
      </c>
      <c r="C3158" s="66" t="str">
        <f>IF(Thirteenth!C161="", "",Thirteenth!C161)</f>
        <v/>
      </c>
      <c r="D3158" s="66" t="str">
        <f>IF(Thirteenth!D161="", "",Thirteenth!D161)</f>
        <v/>
      </c>
      <c r="E3158" s="66" t="str">
        <f>IF(Thirteenth!E161="", "",Thirteenth!E161)</f>
        <v/>
      </c>
      <c r="F3158" s="66" t="str">
        <f>IF(Thirteenth!F161="", "",Thirteenth!F161)</f>
        <v/>
      </c>
      <c r="G3158" s="66" t="str">
        <f>IF(Thirteenth!G161="", "",Thirteenth!G161)</f>
        <v/>
      </c>
      <c r="H3158" s="66" t="str">
        <f>IF(Thirteenth!H161="", "",Thirteenth!H161)</f>
        <v/>
      </c>
      <c r="I3158" s="66" t="str">
        <f>IF(Thirteenth!I161="", "",Thirteenth!I161)</f>
        <v/>
      </c>
      <c r="J3158" s="66" t="str">
        <f>IF(Thirteenth!J161="", "",Thirteenth!J161)</f>
        <v/>
      </c>
      <c r="K3158" s="86" t="str">
        <f>IF(Thirteenth!K161="", "",Thirteenth!K161)</f>
        <v/>
      </c>
      <c r="M3158" s="67" t="str">
        <f t="shared" si="149"/>
        <v/>
      </c>
      <c r="N3158" s="76" t="str">
        <f t="shared" si="150"/>
        <v/>
      </c>
      <c r="O3158" s="33">
        <f t="shared" si="148"/>
        <v>0</v>
      </c>
    </row>
    <row r="3159" spans="1:15" x14ac:dyDescent="0.25">
      <c r="A3159" s="64" t="s">
        <v>225</v>
      </c>
      <c r="B3159" s="79" t="str">
        <f>IF(Thirteenth!B162="", "",Thirteenth!B162)</f>
        <v/>
      </c>
      <c r="C3159" s="66" t="str">
        <f>IF(Thirteenth!C162="", "",Thirteenth!C162)</f>
        <v/>
      </c>
      <c r="D3159" s="66" t="str">
        <f>IF(Thirteenth!D162="", "",Thirteenth!D162)</f>
        <v/>
      </c>
      <c r="E3159" s="66" t="str">
        <f>IF(Thirteenth!E162="", "",Thirteenth!E162)</f>
        <v/>
      </c>
      <c r="F3159" s="66" t="str">
        <f>IF(Thirteenth!F162="", "",Thirteenth!F162)</f>
        <v/>
      </c>
      <c r="G3159" s="66" t="str">
        <f>IF(Thirteenth!G162="", "",Thirteenth!G162)</f>
        <v/>
      </c>
      <c r="H3159" s="66" t="str">
        <f>IF(Thirteenth!H162="", "",Thirteenth!H162)</f>
        <v/>
      </c>
      <c r="I3159" s="66" t="str">
        <f>IF(Thirteenth!I162="", "",Thirteenth!I162)</f>
        <v/>
      </c>
      <c r="J3159" s="66" t="str">
        <f>IF(Thirteenth!J162="", "",Thirteenth!J162)</f>
        <v/>
      </c>
      <c r="K3159" s="86" t="str">
        <f>IF(Thirteenth!K162="", "",Thirteenth!K162)</f>
        <v/>
      </c>
      <c r="M3159" s="67" t="str">
        <f t="shared" si="149"/>
        <v/>
      </c>
      <c r="N3159" s="76" t="str">
        <f t="shared" si="150"/>
        <v/>
      </c>
      <c r="O3159" s="33">
        <f t="shared" si="148"/>
        <v>0</v>
      </c>
    </row>
    <row r="3160" spans="1:15" x14ac:dyDescent="0.25">
      <c r="A3160" s="64" t="s">
        <v>225</v>
      </c>
      <c r="B3160" s="79" t="str">
        <f>IF(Thirteenth!B163="", "",Thirteenth!B163)</f>
        <v/>
      </c>
      <c r="C3160" s="66" t="str">
        <f>IF(Thirteenth!C163="", "",Thirteenth!C163)</f>
        <v/>
      </c>
      <c r="D3160" s="66" t="str">
        <f>IF(Thirteenth!D163="", "",Thirteenth!D163)</f>
        <v/>
      </c>
      <c r="E3160" s="66" t="str">
        <f>IF(Thirteenth!E163="", "",Thirteenth!E163)</f>
        <v/>
      </c>
      <c r="F3160" s="66" t="str">
        <f>IF(Thirteenth!F163="", "",Thirteenth!F163)</f>
        <v/>
      </c>
      <c r="G3160" s="66" t="str">
        <f>IF(Thirteenth!G163="", "",Thirteenth!G163)</f>
        <v/>
      </c>
      <c r="H3160" s="66" t="str">
        <f>IF(Thirteenth!H163="", "",Thirteenth!H163)</f>
        <v/>
      </c>
      <c r="I3160" s="66" t="str">
        <f>IF(Thirteenth!I163="", "",Thirteenth!I163)</f>
        <v/>
      </c>
      <c r="J3160" s="66" t="str">
        <f>IF(Thirteenth!J163="", "",Thirteenth!J163)</f>
        <v/>
      </c>
      <c r="K3160" s="86" t="str">
        <f>IF(Thirteenth!K163="", "",Thirteenth!K163)</f>
        <v/>
      </c>
      <c r="M3160" s="67" t="str">
        <f t="shared" si="149"/>
        <v/>
      </c>
      <c r="N3160" s="76" t="str">
        <f t="shared" si="150"/>
        <v/>
      </c>
      <c r="O3160" s="33">
        <f t="shared" si="148"/>
        <v>0</v>
      </c>
    </row>
    <row r="3161" spans="1:15" x14ac:dyDescent="0.25">
      <c r="A3161" s="64" t="s">
        <v>225</v>
      </c>
      <c r="B3161" s="79" t="str">
        <f>IF(Thirteenth!B164="", "",Thirteenth!B164)</f>
        <v/>
      </c>
      <c r="C3161" s="66" t="str">
        <f>IF(Thirteenth!C164="", "",Thirteenth!C164)</f>
        <v/>
      </c>
      <c r="D3161" s="66" t="str">
        <f>IF(Thirteenth!D164="", "",Thirteenth!D164)</f>
        <v/>
      </c>
      <c r="E3161" s="66" t="str">
        <f>IF(Thirteenth!E164="", "",Thirteenth!E164)</f>
        <v/>
      </c>
      <c r="F3161" s="66" t="str">
        <f>IF(Thirteenth!F164="", "",Thirteenth!F164)</f>
        <v/>
      </c>
      <c r="G3161" s="66" t="str">
        <f>IF(Thirteenth!G164="", "",Thirteenth!G164)</f>
        <v/>
      </c>
      <c r="H3161" s="66" t="str">
        <f>IF(Thirteenth!H164="", "",Thirteenth!H164)</f>
        <v/>
      </c>
      <c r="I3161" s="66" t="str">
        <f>IF(Thirteenth!I164="", "",Thirteenth!I164)</f>
        <v/>
      </c>
      <c r="J3161" s="66" t="str">
        <f>IF(Thirteenth!J164="", "",Thirteenth!J164)</f>
        <v/>
      </c>
      <c r="K3161" s="86" t="str">
        <f>IF(Thirteenth!K164="", "",Thirteenth!K164)</f>
        <v/>
      </c>
      <c r="M3161" s="67" t="str">
        <f t="shared" si="149"/>
        <v/>
      </c>
      <c r="N3161" s="76" t="str">
        <f t="shared" si="150"/>
        <v/>
      </c>
      <c r="O3161" s="33">
        <f t="shared" si="148"/>
        <v>0</v>
      </c>
    </row>
    <row r="3162" spans="1:15" x14ac:dyDescent="0.25">
      <c r="A3162" s="64" t="s">
        <v>225</v>
      </c>
      <c r="B3162" s="79" t="str">
        <f>IF(Thirteenth!B165="", "",Thirteenth!B165)</f>
        <v/>
      </c>
      <c r="C3162" s="66" t="str">
        <f>IF(Thirteenth!C165="", "",Thirteenth!C165)</f>
        <v/>
      </c>
      <c r="D3162" s="66" t="str">
        <f>IF(Thirteenth!D165="", "",Thirteenth!D165)</f>
        <v/>
      </c>
      <c r="E3162" s="66" t="str">
        <f>IF(Thirteenth!E165="", "",Thirteenth!E165)</f>
        <v/>
      </c>
      <c r="F3162" s="66" t="str">
        <f>IF(Thirteenth!F165="", "",Thirteenth!F165)</f>
        <v/>
      </c>
      <c r="G3162" s="66" t="str">
        <f>IF(Thirteenth!G165="", "",Thirteenth!G165)</f>
        <v/>
      </c>
      <c r="H3162" s="66" t="str">
        <f>IF(Thirteenth!H165="", "",Thirteenth!H165)</f>
        <v/>
      </c>
      <c r="I3162" s="66" t="str">
        <f>IF(Thirteenth!I165="", "",Thirteenth!I165)</f>
        <v/>
      </c>
      <c r="J3162" s="66" t="str">
        <f>IF(Thirteenth!J165="", "",Thirteenth!J165)</f>
        <v/>
      </c>
      <c r="K3162" s="86" t="str">
        <f>IF(Thirteenth!K165="", "",Thirteenth!K165)</f>
        <v/>
      </c>
      <c r="M3162" s="67" t="str">
        <f t="shared" si="149"/>
        <v/>
      </c>
      <c r="N3162" s="76" t="str">
        <f t="shared" si="150"/>
        <v/>
      </c>
      <c r="O3162" s="33">
        <f t="shared" si="148"/>
        <v>0</v>
      </c>
    </row>
    <row r="3163" spans="1:15" x14ac:dyDescent="0.25">
      <c r="A3163" s="64" t="s">
        <v>225</v>
      </c>
      <c r="B3163" s="79" t="str">
        <f>IF(Thirteenth!B166="", "",Thirteenth!B166)</f>
        <v/>
      </c>
      <c r="C3163" s="66" t="str">
        <f>IF(Thirteenth!C166="", "",Thirteenth!C166)</f>
        <v/>
      </c>
      <c r="D3163" s="66" t="str">
        <f>IF(Thirteenth!D166="", "",Thirteenth!D166)</f>
        <v/>
      </c>
      <c r="E3163" s="66" t="str">
        <f>IF(Thirteenth!E166="", "",Thirteenth!E166)</f>
        <v/>
      </c>
      <c r="F3163" s="66" t="str">
        <f>IF(Thirteenth!F166="", "",Thirteenth!F166)</f>
        <v/>
      </c>
      <c r="G3163" s="66" t="str">
        <f>IF(Thirteenth!G166="", "",Thirteenth!G166)</f>
        <v/>
      </c>
      <c r="H3163" s="66" t="str">
        <f>IF(Thirteenth!H166="", "",Thirteenth!H166)</f>
        <v/>
      </c>
      <c r="I3163" s="66" t="str">
        <f>IF(Thirteenth!I166="", "",Thirteenth!I166)</f>
        <v/>
      </c>
      <c r="J3163" s="66" t="str">
        <f>IF(Thirteenth!J166="", "",Thirteenth!J166)</f>
        <v/>
      </c>
      <c r="K3163" s="86" t="str">
        <f>IF(Thirteenth!K166="", "",Thirteenth!K166)</f>
        <v/>
      </c>
      <c r="M3163" s="67" t="str">
        <f t="shared" si="149"/>
        <v/>
      </c>
      <c r="N3163" s="76" t="str">
        <f t="shared" si="150"/>
        <v/>
      </c>
      <c r="O3163" s="33">
        <f t="shared" si="148"/>
        <v>0</v>
      </c>
    </row>
    <row r="3164" spans="1:15" x14ac:dyDescent="0.25">
      <c r="A3164" s="64" t="s">
        <v>225</v>
      </c>
      <c r="B3164" s="79" t="str">
        <f>IF(Thirteenth!B167="", "",Thirteenth!B167)</f>
        <v/>
      </c>
      <c r="C3164" s="66" t="str">
        <f>IF(Thirteenth!C167="", "",Thirteenth!C167)</f>
        <v/>
      </c>
      <c r="D3164" s="66" t="str">
        <f>IF(Thirteenth!D167="", "",Thirteenth!D167)</f>
        <v/>
      </c>
      <c r="E3164" s="66" t="str">
        <f>IF(Thirteenth!E167="", "",Thirteenth!E167)</f>
        <v/>
      </c>
      <c r="F3164" s="66" t="str">
        <f>IF(Thirteenth!F167="", "",Thirteenth!F167)</f>
        <v/>
      </c>
      <c r="G3164" s="66" t="str">
        <f>IF(Thirteenth!G167="", "",Thirteenth!G167)</f>
        <v/>
      </c>
      <c r="H3164" s="66" t="str">
        <f>IF(Thirteenth!H167="", "",Thirteenth!H167)</f>
        <v/>
      </c>
      <c r="I3164" s="66" t="str">
        <f>IF(Thirteenth!I167="", "",Thirteenth!I167)</f>
        <v/>
      </c>
      <c r="J3164" s="66" t="str">
        <f>IF(Thirteenth!J167="", "",Thirteenth!J167)</f>
        <v/>
      </c>
      <c r="K3164" s="86" t="str">
        <f>IF(Thirteenth!K167="", "",Thirteenth!K167)</f>
        <v/>
      </c>
      <c r="M3164" s="67" t="str">
        <f t="shared" si="149"/>
        <v/>
      </c>
      <c r="N3164" s="76" t="str">
        <f t="shared" si="150"/>
        <v/>
      </c>
      <c r="O3164" s="33">
        <f t="shared" si="148"/>
        <v>0</v>
      </c>
    </row>
    <row r="3165" spans="1:15" x14ac:dyDescent="0.25">
      <c r="A3165" s="64" t="s">
        <v>225</v>
      </c>
      <c r="B3165" s="79" t="str">
        <f>IF(Thirteenth!B168="", "",Thirteenth!B168)</f>
        <v/>
      </c>
      <c r="C3165" s="66" t="str">
        <f>IF(Thirteenth!C168="", "",Thirteenth!C168)</f>
        <v/>
      </c>
      <c r="D3165" s="66" t="str">
        <f>IF(Thirteenth!D168="", "",Thirteenth!D168)</f>
        <v/>
      </c>
      <c r="E3165" s="66" t="str">
        <f>IF(Thirteenth!E168="", "",Thirteenth!E168)</f>
        <v/>
      </c>
      <c r="F3165" s="66" t="str">
        <f>IF(Thirteenth!F168="", "",Thirteenth!F168)</f>
        <v/>
      </c>
      <c r="G3165" s="66" t="str">
        <f>IF(Thirteenth!G168="", "",Thirteenth!G168)</f>
        <v/>
      </c>
      <c r="H3165" s="66" t="str">
        <f>IF(Thirteenth!H168="", "",Thirteenth!H168)</f>
        <v/>
      </c>
      <c r="I3165" s="66" t="str">
        <f>IF(Thirteenth!I168="", "",Thirteenth!I168)</f>
        <v/>
      </c>
      <c r="J3165" s="66" t="str">
        <f>IF(Thirteenth!J168="", "",Thirteenth!J168)</f>
        <v/>
      </c>
      <c r="K3165" s="86" t="str">
        <f>IF(Thirteenth!K168="", "",Thirteenth!K168)</f>
        <v/>
      </c>
      <c r="M3165" s="67" t="str">
        <f t="shared" si="149"/>
        <v/>
      </c>
      <c r="N3165" s="76" t="str">
        <f t="shared" si="150"/>
        <v/>
      </c>
      <c r="O3165" s="33">
        <f t="shared" si="148"/>
        <v>0</v>
      </c>
    </row>
    <row r="3166" spans="1:15" x14ac:dyDescent="0.25">
      <c r="A3166" s="64" t="s">
        <v>225</v>
      </c>
      <c r="B3166" s="79" t="str">
        <f>IF(Thirteenth!B169="", "",Thirteenth!B169)</f>
        <v/>
      </c>
      <c r="C3166" s="66" t="str">
        <f>IF(Thirteenth!C169="", "",Thirteenth!C169)</f>
        <v/>
      </c>
      <c r="D3166" s="66" t="str">
        <f>IF(Thirteenth!D169="", "",Thirteenth!D169)</f>
        <v/>
      </c>
      <c r="E3166" s="66" t="str">
        <f>IF(Thirteenth!E169="", "",Thirteenth!E169)</f>
        <v/>
      </c>
      <c r="F3166" s="66" t="str">
        <f>IF(Thirteenth!F169="", "",Thirteenth!F169)</f>
        <v/>
      </c>
      <c r="G3166" s="66" t="str">
        <f>IF(Thirteenth!G169="", "",Thirteenth!G169)</f>
        <v/>
      </c>
      <c r="H3166" s="66" t="str">
        <f>IF(Thirteenth!H169="", "",Thirteenth!H169)</f>
        <v/>
      </c>
      <c r="I3166" s="66" t="str">
        <f>IF(Thirteenth!I169="", "",Thirteenth!I169)</f>
        <v/>
      </c>
      <c r="J3166" s="66" t="str">
        <f>IF(Thirteenth!J169="", "",Thirteenth!J169)</f>
        <v/>
      </c>
      <c r="K3166" s="86" t="str">
        <f>IF(Thirteenth!K169="", "",Thirteenth!K169)</f>
        <v/>
      </c>
      <c r="M3166" s="67" t="str">
        <f t="shared" si="149"/>
        <v/>
      </c>
      <c r="N3166" s="76" t="str">
        <f t="shared" si="150"/>
        <v/>
      </c>
      <c r="O3166" s="33">
        <f t="shared" si="148"/>
        <v>0</v>
      </c>
    </row>
    <row r="3167" spans="1:15" x14ac:dyDescent="0.25">
      <c r="A3167" s="64" t="s">
        <v>225</v>
      </c>
      <c r="B3167" s="79" t="str">
        <f>IF(Thirteenth!B170="", "",Thirteenth!B170)</f>
        <v/>
      </c>
      <c r="C3167" s="66" t="str">
        <f>IF(Thirteenth!C170="", "",Thirteenth!C170)</f>
        <v/>
      </c>
      <c r="D3167" s="66" t="str">
        <f>IF(Thirteenth!D170="", "",Thirteenth!D170)</f>
        <v/>
      </c>
      <c r="E3167" s="66" t="str">
        <f>IF(Thirteenth!E170="", "",Thirteenth!E170)</f>
        <v/>
      </c>
      <c r="F3167" s="66" t="str">
        <f>IF(Thirteenth!F170="", "",Thirteenth!F170)</f>
        <v/>
      </c>
      <c r="G3167" s="66" t="str">
        <f>IF(Thirteenth!G170="", "",Thirteenth!G170)</f>
        <v/>
      </c>
      <c r="H3167" s="66" t="str">
        <f>IF(Thirteenth!H170="", "",Thirteenth!H170)</f>
        <v/>
      </c>
      <c r="I3167" s="66" t="str">
        <f>IF(Thirteenth!I170="", "",Thirteenth!I170)</f>
        <v/>
      </c>
      <c r="J3167" s="66" t="str">
        <f>IF(Thirteenth!J170="", "",Thirteenth!J170)</f>
        <v/>
      </c>
      <c r="K3167" s="86" t="str">
        <f>IF(Thirteenth!K170="", "",Thirteenth!K170)</f>
        <v/>
      </c>
      <c r="M3167" s="67" t="str">
        <f t="shared" si="149"/>
        <v/>
      </c>
      <c r="N3167" s="76" t="str">
        <f t="shared" si="150"/>
        <v/>
      </c>
      <c r="O3167" s="33">
        <f t="shared" si="148"/>
        <v>0</v>
      </c>
    </row>
    <row r="3168" spans="1:15" x14ac:dyDescent="0.25">
      <c r="A3168" s="64" t="s">
        <v>225</v>
      </c>
      <c r="B3168" s="79" t="str">
        <f>IF(Thirteenth!B171="", "",Thirteenth!B171)</f>
        <v/>
      </c>
      <c r="C3168" s="66" t="str">
        <f>IF(Thirteenth!C171="", "",Thirteenth!C171)</f>
        <v/>
      </c>
      <c r="D3168" s="66" t="str">
        <f>IF(Thirteenth!D171="", "",Thirteenth!D171)</f>
        <v/>
      </c>
      <c r="E3168" s="66" t="str">
        <f>IF(Thirteenth!E171="", "",Thirteenth!E171)</f>
        <v/>
      </c>
      <c r="F3168" s="66" t="str">
        <f>IF(Thirteenth!F171="", "",Thirteenth!F171)</f>
        <v/>
      </c>
      <c r="G3168" s="66" t="str">
        <f>IF(Thirteenth!G171="", "",Thirteenth!G171)</f>
        <v/>
      </c>
      <c r="H3168" s="66" t="str">
        <f>IF(Thirteenth!H171="", "",Thirteenth!H171)</f>
        <v/>
      </c>
      <c r="I3168" s="66" t="str">
        <f>IF(Thirteenth!I171="", "",Thirteenth!I171)</f>
        <v/>
      </c>
      <c r="J3168" s="66" t="str">
        <f>IF(Thirteenth!J171="", "",Thirteenth!J171)</f>
        <v/>
      </c>
      <c r="K3168" s="86" t="str">
        <f>IF(Thirteenth!K171="", "",Thirteenth!K171)</f>
        <v/>
      </c>
      <c r="M3168" s="67" t="str">
        <f t="shared" si="149"/>
        <v/>
      </c>
      <c r="N3168" s="76" t="str">
        <f t="shared" si="150"/>
        <v/>
      </c>
      <c r="O3168" s="33">
        <f t="shared" si="148"/>
        <v>0</v>
      </c>
    </row>
    <row r="3169" spans="1:15" x14ac:dyDescent="0.25">
      <c r="A3169" s="64" t="s">
        <v>225</v>
      </c>
      <c r="B3169" s="79" t="str">
        <f>IF(Thirteenth!B172="", "",Thirteenth!B172)</f>
        <v/>
      </c>
      <c r="C3169" s="66" t="str">
        <f>IF(Thirteenth!C172="", "",Thirteenth!C172)</f>
        <v/>
      </c>
      <c r="D3169" s="66" t="str">
        <f>IF(Thirteenth!D172="", "",Thirteenth!D172)</f>
        <v/>
      </c>
      <c r="E3169" s="66" t="str">
        <f>IF(Thirteenth!E172="", "",Thirteenth!E172)</f>
        <v/>
      </c>
      <c r="F3169" s="66" t="str">
        <f>IF(Thirteenth!F172="", "",Thirteenth!F172)</f>
        <v/>
      </c>
      <c r="G3169" s="66" t="str">
        <f>IF(Thirteenth!G172="", "",Thirteenth!G172)</f>
        <v/>
      </c>
      <c r="H3169" s="66" t="str">
        <f>IF(Thirteenth!H172="", "",Thirteenth!H172)</f>
        <v/>
      </c>
      <c r="I3169" s="66" t="str">
        <f>IF(Thirteenth!I172="", "",Thirteenth!I172)</f>
        <v/>
      </c>
      <c r="J3169" s="66" t="str">
        <f>IF(Thirteenth!J172="", "",Thirteenth!J172)</f>
        <v/>
      </c>
      <c r="K3169" s="86" t="str">
        <f>IF(Thirteenth!K172="", "",Thirteenth!K172)</f>
        <v/>
      </c>
      <c r="M3169" s="67" t="str">
        <f t="shared" si="149"/>
        <v/>
      </c>
      <c r="N3169" s="76" t="str">
        <f t="shared" si="150"/>
        <v/>
      </c>
      <c r="O3169" s="33">
        <f t="shared" si="148"/>
        <v>0</v>
      </c>
    </row>
    <row r="3170" spans="1:15" x14ac:dyDescent="0.25">
      <c r="A3170" s="64" t="s">
        <v>225</v>
      </c>
      <c r="B3170" s="79" t="str">
        <f>IF(Thirteenth!B173="", "",Thirteenth!B173)</f>
        <v/>
      </c>
      <c r="C3170" s="66" t="str">
        <f>IF(Thirteenth!C173="", "",Thirteenth!C173)</f>
        <v/>
      </c>
      <c r="D3170" s="66" t="str">
        <f>IF(Thirteenth!D173="", "",Thirteenth!D173)</f>
        <v/>
      </c>
      <c r="E3170" s="66" t="str">
        <f>IF(Thirteenth!E173="", "",Thirteenth!E173)</f>
        <v/>
      </c>
      <c r="F3170" s="66" t="str">
        <f>IF(Thirteenth!F173="", "",Thirteenth!F173)</f>
        <v/>
      </c>
      <c r="G3170" s="66" t="str">
        <f>IF(Thirteenth!G173="", "",Thirteenth!G173)</f>
        <v/>
      </c>
      <c r="H3170" s="66" t="str">
        <f>IF(Thirteenth!H173="", "",Thirteenth!H173)</f>
        <v/>
      </c>
      <c r="I3170" s="66" t="str">
        <f>IF(Thirteenth!I173="", "",Thirteenth!I173)</f>
        <v/>
      </c>
      <c r="J3170" s="66" t="str">
        <f>IF(Thirteenth!J173="", "",Thirteenth!J173)</f>
        <v/>
      </c>
      <c r="K3170" s="86" t="str">
        <f>IF(Thirteenth!K173="", "",Thirteenth!K173)</f>
        <v/>
      </c>
      <c r="M3170" s="67" t="str">
        <f t="shared" si="149"/>
        <v/>
      </c>
      <c r="N3170" s="76" t="str">
        <f t="shared" si="150"/>
        <v/>
      </c>
      <c r="O3170" s="33">
        <f t="shared" si="148"/>
        <v>0</v>
      </c>
    </row>
    <row r="3171" spans="1:15" x14ac:dyDescent="0.25">
      <c r="A3171" s="64" t="s">
        <v>225</v>
      </c>
      <c r="B3171" s="79" t="str">
        <f>IF(Thirteenth!B174="", "",Thirteenth!B174)</f>
        <v/>
      </c>
      <c r="C3171" s="66" t="str">
        <f>IF(Thirteenth!C174="", "",Thirteenth!C174)</f>
        <v/>
      </c>
      <c r="D3171" s="66" t="str">
        <f>IF(Thirteenth!D174="", "",Thirteenth!D174)</f>
        <v/>
      </c>
      <c r="E3171" s="66" t="str">
        <f>IF(Thirteenth!E174="", "",Thirteenth!E174)</f>
        <v/>
      </c>
      <c r="F3171" s="66" t="str">
        <f>IF(Thirteenth!F174="", "",Thirteenth!F174)</f>
        <v/>
      </c>
      <c r="G3171" s="66" t="str">
        <f>IF(Thirteenth!G174="", "",Thirteenth!G174)</f>
        <v/>
      </c>
      <c r="H3171" s="66" t="str">
        <f>IF(Thirteenth!H174="", "",Thirteenth!H174)</f>
        <v/>
      </c>
      <c r="I3171" s="66" t="str">
        <f>IF(Thirteenth!I174="", "",Thirteenth!I174)</f>
        <v/>
      </c>
      <c r="J3171" s="66" t="str">
        <f>IF(Thirteenth!J174="", "",Thirteenth!J174)</f>
        <v/>
      </c>
      <c r="K3171" s="86" t="str">
        <f>IF(Thirteenth!K174="", "",Thirteenth!K174)</f>
        <v/>
      </c>
      <c r="M3171" s="67" t="str">
        <f t="shared" si="149"/>
        <v/>
      </c>
      <c r="N3171" s="76" t="str">
        <f t="shared" si="150"/>
        <v/>
      </c>
      <c r="O3171" s="33">
        <f t="shared" si="148"/>
        <v>0</v>
      </c>
    </row>
    <row r="3172" spans="1:15" x14ac:dyDescent="0.25">
      <c r="A3172" s="64" t="s">
        <v>225</v>
      </c>
      <c r="B3172" s="79" t="str">
        <f>IF(Thirteenth!B175="", "",Thirteenth!B175)</f>
        <v/>
      </c>
      <c r="C3172" s="66" t="str">
        <f>IF(Thirteenth!C175="", "",Thirteenth!C175)</f>
        <v/>
      </c>
      <c r="D3172" s="66" t="str">
        <f>IF(Thirteenth!D175="", "",Thirteenth!D175)</f>
        <v/>
      </c>
      <c r="E3172" s="66" t="str">
        <f>IF(Thirteenth!E175="", "",Thirteenth!E175)</f>
        <v/>
      </c>
      <c r="F3172" s="66" t="str">
        <f>IF(Thirteenth!F175="", "",Thirteenth!F175)</f>
        <v/>
      </c>
      <c r="G3172" s="66" t="str">
        <f>IF(Thirteenth!G175="", "",Thirteenth!G175)</f>
        <v/>
      </c>
      <c r="H3172" s="66" t="str">
        <f>IF(Thirteenth!H175="", "",Thirteenth!H175)</f>
        <v/>
      </c>
      <c r="I3172" s="66" t="str">
        <f>IF(Thirteenth!I175="", "",Thirteenth!I175)</f>
        <v/>
      </c>
      <c r="J3172" s="66" t="str">
        <f>IF(Thirteenth!J175="", "",Thirteenth!J175)</f>
        <v/>
      </c>
      <c r="K3172" s="86" t="str">
        <f>IF(Thirteenth!K175="", "",Thirteenth!K175)</f>
        <v/>
      </c>
      <c r="M3172" s="67" t="str">
        <f t="shared" si="149"/>
        <v/>
      </c>
      <c r="N3172" s="76" t="str">
        <f t="shared" si="150"/>
        <v/>
      </c>
      <c r="O3172" s="33">
        <f t="shared" si="148"/>
        <v>0</v>
      </c>
    </row>
    <row r="3173" spans="1:15" x14ac:dyDescent="0.25">
      <c r="A3173" s="64" t="s">
        <v>225</v>
      </c>
      <c r="B3173" s="79" t="str">
        <f>IF(Thirteenth!B176="", "",Thirteenth!B176)</f>
        <v/>
      </c>
      <c r="C3173" s="66" t="str">
        <f>IF(Thirteenth!C176="", "",Thirteenth!C176)</f>
        <v/>
      </c>
      <c r="D3173" s="66" t="str">
        <f>IF(Thirteenth!D176="", "",Thirteenth!D176)</f>
        <v/>
      </c>
      <c r="E3173" s="66" t="str">
        <f>IF(Thirteenth!E176="", "",Thirteenth!E176)</f>
        <v/>
      </c>
      <c r="F3173" s="66" t="str">
        <f>IF(Thirteenth!F176="", "",Thirteenth!F176)</f>
        <v/>
      </c>
      <c r="G3173" s="66" t="str">
        <f>IF(Thirteenth!G176="", "",Thirteenth!G176)</f>
        <v/>
      </c>
      <c r="H3173" s="66" t="str">
        <f>IF(Thirteenth!H176="", "",Thirteenth!H176)</f>
        <v/>
      </c>
      <c r="I3173" s="66" t="str">
        <f>IF(Thirteenth!I176="", "",Thirteenth!I176)</f>
        <v/>
      </c>
      <c r="J3173" s="66" t="str">
        <f>IF(Thirteenth!J176="", "",Thirteenth!J176)</f>
        <v/>
      </c>
      <c r="K3173" s="86" t="str">
        <f>IF(Thirteenth!K176="", "",Thirteenth!K176)</f>
        <v/>
      </c>
      <c r="M3173" s="67" t="str">
        <f t="shared" si="149"/>
        <v/>
      </c>
      <c r="N3173" s="76" t="str">
        <f t="shared" si="150"/>
        <v/>
      </c>
      <c r="O3173" s="33">
        <f t="shared" si="148"/>
        <v>0</v>
      </c>
    </row>
    <row r="3174" spans="1:15" x14ac:dyDescent="0.25">
      <c r="A3174" s="64" t="s">
        <v>225</v>
      </c>
      <c r="B3174" s="79" t="str">
        <f>IF(Thirteenth!B177="", "",Thirteenth!B177)</f>
        <v/>
      </c>
      <c r="C3174" s="66" t="str">
        <f>IF(Thirteenth!C177="", "",Thirteenth!C177)</f>
        <v/>
      </c>
      <c r="D3174" s="66" t="str">
        <f>IF(Thirteenth!D177="", "",Thirteenth!D177)</f>
        <v/>
      </c>
      <c r="E3174" s="66" t="str">
        <f>IF(Thirteenth!E177="", "",Thirteenth!E177)</f>
        <v/>
      </c>
      <c r="F3174" s="66" t="str">
        <f>IF(Thirteenth!F177="", "",Thirteenth!F177)</f>
        <v/>
      </c>
      <c r="G3174" s="66" t="str">
        <f>IF(Thirteenth!G177="", "",Thirteenth!G177)</f>
        <v/>
      </c>
      <c r="H3174" s="66" t="str">
        <f>IF(Thirteenth!H177="", "",Thirteenth!H177)</f>
        <v/>
      </c>
      <c r="I3174" s="66" t="str">
        <f>IF(Thirteenth!I177="", "",Thirteenth!I177)</f>
        <v/>
      </c>
      <c r="J3174" s="66" t="str">
        <f>IF(Thirteenth!J177="", "",Thirteenth!J177)</f>
        <v/>
      </c>
      <c r="K3174" s="86" t="str">
        <f>IF(Thirteenth!K177="", "",Thirteenth!K177)</f>
        <v/>
      </c>
      <c r="M3174" s="67" t="str">
        <f t="shared" si="149"/>
        <v/>
      </c>
      <c r="N3174" s="76" t="str">
        <f t="shared" si="150"/>
        <v/>
      </c>
      <c r="O3174" s="33">
        <f t="shared" si="148"/>
        <v>0</v>
      </c>
    </row>
    <row r="3175" spans="1:15" x14ac:dyDescent="0.25">
      <c r="A3175" s="64" t="s">
        <v>225</v>
      </c>
      <c r="B3175" s="79" t="str">
        <f>IF(Thirteenth!B178="", "",Thirteenth!B178)</f>
        <v/>
      </c>
      <c r="C3175" s="66" t="str">
        <f>IF(Thirteenth!C178="", "",Thirteenth!C178)</f>
        <v/>
      </c>
      <c r="D3175" s="66" t="str">
        <f>IF(Thirteenth!D178="", "",Thirteenth!D178)</f>
        <v/>
      </c>
      <c r="E3175" s="66" t="str">
        <f>IF(Thirteenth!E178="", "",Thirteenth!E178)</f>
        <v/>
      </c>
      <c r="F3175" s="66" t="str">
        <f>IF(Thirteenth!F178="", "",Thirteenth!F178)</f>
        <v/>
      </c>
      <c r="G3175" s="66" t="str">
        <f>IF(Thirteenth!G178="", "",Thirteenth!G178)</f>
        <v/>
      </c>
      <c r="H3175" s="66" t="str">
        <f>IF(Thirteenth!H178="", "",Thirteenth!H178)</f>
        <v/>
      </c>
      <c r="I3175" s="66" t="str">
        <f>IF(Thirteenth!I178="", "",Thirteenth!I178)</f>
        <v/>
      </c>
      <c r="J3175" s="66" t="str">
        <f>IF(Thirteenth!J178="", "",Thirteenth!J178)</f>
        <v/>
      </c>
      <c r="K3175" s="86" t="str">
        <f>IF(Thirteenth!K178="", "",Thirteenth!K178)</f>
        <v/>
      </c>
      <c r="M3175" s="67" t="str">
        <f t="shared" si="149"/>
        <v/>
      </c>
      <c r="N3175" s="76" t="str">
        <f t="shared" si="150"/>
        <v/>
      </c>
      <c r="O3175" s="33">
        <f t="shared" si="148"/>
        <v>0</v>
      </c>
    </row>
    <row r="3176" spans="1:15" x14ac:dyDescent="0.25">
      <c r="A3176" s="64" t="s">
        <v>225</v>
      </c>
      <c r="B3176" s="79" t="str">
        <f>IF(Thirteenth!B179="", "",Thirteenth!B179)</f>
        <v/>
      </c>
      <c r="C3176" s="66" t="str">
        <f>IF(Thirteenth!C179="", "",Thirteenth!C179)</f>
        <v/>
      </c>
      <c r="D3176" s="66" t="str">
        <f>IF(Thirteenth!D179="", "",Thirteenth!D179)</f>
        <v/>
      </c>
      <c r="E3176" s="66" t="str">
        <f>IF(Thirteenth!E179="", "",Thirteenth!E179)</f>
        <v/>
      </c>
      <c r="F3176" s="66" t="str">
        <f>IF(Thirteenth!F179="", "",Thirteenth!F179)</f>
        <v/>
      </c>
      <c r="G3176" s="66" t="str">
        <f>IF(Thirteenth!G179="", "",Thirteenth!G179)</f>
        <v/>
      </c>
      <c r="H3176" s="66" t="str">
        <f>IF(Thirteenth!H179="", "",Thirteenth!H179)</f>
        <v/>
      </c>
      <c r="I3176" s="66" t="str">
        <f>IF(Thirteenth!I179="", "",Thirteenth!I179)</f>
        <v/>
      </c>
      <c r="J3176" s="66" t="str">
        <f>IF(Thirteenth!J179="", "",Thirteenth!J179)</f>
        <v/>
      </c>
      <c r="K3176" s="86" t="str">
        <f>IF(Thirteenth!K179="", "",Thirteenth!K179)</f>
        <v/>
      </c>
      <c r="M3176" s="67" t="str">
        <f t="shared" si="149"/>
        <v/>
      </c>
      <c r="N3176" s="76" t="str">
        <f t="shared" si="150"/>
        <v/>
      </c>
      <c r="O3176" s="33">
        <f t="shared" si="148"/>
        <v>0</v>
      </c>
    </row>
    <row r="3177" spans="1:15" x14ac:dyDescent="0.25">
      <c r="A3177" s="64" t="s">
        <v>225</v>
      </c>
      <c r="B3177" s="79" t="str">
        <f>IF(Thirteenth!B180="", "",Thirteenth!B180)</f>
        <v/>
      </c>
      <c r="C3177" s="66" t="str">
        <f>IF(Thirteenth!C180="", "",Thirteenth!C180)</f>
        <v/>
      </c>
      <c r="D3177" s="66" t="str">
        <f>IF(Thirteenth!D180="", "",Thirteenth!D180)</f>
        <v/>
      </c>
      <c r="E3177" s="66" t="str">
        <f>IF(Thirteenth!E180="", "",Thirteenth!E180)</f>
        <v/>
      </c>
      <c r="F3177" s="66" t="str">
        <f>IF(Thirteenth!F180="", "",Thirteenth!F180)</f>
        <v/>
      </c>
      <c r="G3177" s="66" t="str">
        <f>IF(Thirteenth!G180="", "",Thirteenth!G180)</f>
        <v/>
      </c>
      <c r="H3177" s="66" t="str">
        <f>IF(Thirteenth!H180="", "",Thirteenth!H180)</f>
        <v/>
      </c>
      <c r="I3177" s="66" t="str">
        <f>IF(Thirteenth!I180="", "",Thirteenth!I180)</f>
        <v/>
      </c>
      <c r="J3177" s="66" t="str">
        <f>IF(Thirteenth!J180="", "",Thirteenth!J180)</f>
        <v/>
      </c>
      <c r="K3177" s="86" t="str">
        <f>IF(Thirteenth!K180="", "",Thirteenth!K180)</f>
        <v/>
      </c>
      <c r="M3177" s="67" t="str">
        <f t="shared" si="149"/>
        <v/>
      </c>
      <c r="N3177" s="76" t="str">
        <f t="shared" si="150"/>
        <v/>
      </c>
      <c r="O3177" s="33">
        <f t="shared" si="148"/>
        <v>0</v>
      </c>
    </row>
    <row r="3178" spans="1:15" x14ac:dyDescent="0.25">
      <c r="A3178" s="64" t="s">
        <v>225</v>
      </c>
      <c r="B3178" s="79" t="str">
        <f>IF(Thirteenth!B181="", "",Thirteenth!B181)</f>
        <v/>
      </c>
      <c r="C3178" s="66" t="str">
        <f>IF(Thirteenth!C181="", "",Thirteenth!C181)</f>
        <v/>
      </c>
      <c r="D3178" s="66" t="str">
        <f>IF(Thirteenth!D181="", "",Thirteenth!D181)</f>
        <v/>
      </c>
      <c r="E3178" s="66" t="str">
        <f>IF(Thirteenth!E181="", "",Thirteenth!E181)</f>
        <v/>
      </c>
      <c r="F3178" s="66" t="str">
        <f>IF(Thirteenth!F181="", "",Thirteenth!F181)</f>
        <v/>
      </c>
      <c r="G3178" s="66" t="str">
        <f>IF(Thirteenth!G181="", "",Thirteenth!G181)</f>
        <v/>
      </c>
      <c r="H3178" s="66" t="str">
        <f>IF(Thirteenth!H181="", "",Thirteenth!H181)</f>
        <v/>
      </c>
      <c r="I3178" s="66" t="str">
        <f>IF(Thirteenth!I181="", "",Thirteenth!I181)</f>
        <v/>
      </c>
      <c r="J3178" s="66" t="str">
        <f>IF(Thirteenth!J181="", "",Thirteenth!J181)</f>
        <v/>
      </c>
      <c r="K3178" s="86" t="str">
        <f>IF(Thirteenth!K181="", "",Thirteenth!K181)</f>
        <v/>
      </c>
      <c r="M3178" s="67" t="str">
        <f t="shared" si="149"/>
        <v/>
      </c>
      <c r="N3178" s="76" t="str">
        <f t="shared" si="150"/>
        <v/>
      </c>
      <c r="O3178" s="33">
        <f t="shared" si="148"/>
        <v>0</v>
      </c>
    </row>
    <row r="3179" spans="1:15" x14ac:dyDescent="0.25">
      <c r="A3179" s="64" t="s">
        <v>225</v>
      </c>
      <c r="B3179" s="79" t="str">
        <f>IF(Thirteenth!B182="", "",Thirteenth!B182)</f>
        <v/>
      </c>
      <c r="C3179" s="66" t="str">
        <f>IF(Thirteenth!C182="", "",Thirteenth!C182)</f>
        <v/>
      </c>
      <c r="D3179" s="66" t="str">
        <f>IF(Thirteenth!D182="", "",Thirteenth!D182)</f>
        <v/>
      </c>
      <c r="E3179" s="66" t="str">
        <f>IF(Thirteenth!E182="", "",Thirteenth!E182)</f>
        <v/>
      </c>
      <c r="F3179" s="66" t="str">
        <f>IF(Thirteenth!F182="", "",Thirteenth!F182)</f>
        <v/>
      </c>
      <c r="G3179" s="66" t="str">
        <f>IF(Thirteenth!G182="", "",Thirteenth!G182)</f>
        <v/>
      </c>
      <c r="H3179" s="66" t="str">
        <f>IF(Thirteenth!H182="", "",Thirteenth!H182)</f>
        <v/>
      </c>
      <c r="I3179" s="66" t="str">
        <f>IF(Thirteenth!I182="", "",Thirteenth!I182)</f>
        <v/>
      </c>
      <c r="J3179" s="66" t="str">
        <f>IF(Thirteenth!J182="", "",Thirteenth!J182)</f>
        <v/>
      </c>
      <c r="K3179" s="86" t="str">
        <f>IF(Thirteenth!K182="", "",Thirteenth!K182)</f>
        <v/>
      </c>
      <c r="M3179" s="67" t="str">
        <f t="shared" si="149"/>
        <v/>
      </c>
      <c r="N3179" s="76" t="str">
        <f t="shared" si="150"/>
        <v/>
      </c>
      <c r="O3179" s="33">
        <f t="shared" si="148"/>
        <v>0</v>
      </c>
    </row>
    <row r="3180" spans="1:15" x14ac:dyDescent="0.25">
      <c r="A3180" s="64" t="s">
        <v>225</v>
      </c>
      <c r="B3180" s="79" t="str">
        <f>IF(Thirteenth!B183="", "",Thirteenth!B183)</f>
        <v/>
      </c>
      <c r="C3180" s="66" t="str">
        <f>IF(Thirteenth!C183="", "",Thirteenth!C183)</f>
        <v/>
      </c>
      <c r="D3180" s="66" t="str">
        <f>IF(Thirteenth!D183="", "",Thirteenth!D183)</f>
        <v/>
      </c>
      <c r="E3180" s="66" t="str">
        <f>IF(Thirteenth!E183="", "",Thirteenth!E183)</f>
        <v/>
      </c>
      <c r="F3180" s="66" t="str">
        <f>IF(Thirteenth!F183="", "",Thirteenth!F183)</f>
        <v/>
      </c>
      <c r="G3180" s="66" t="str">
        <f>IF(Thirteenth!G183="", "",Thirteenth!G183)</f>
        <v/>
      </c>
      <c r="H3180" s="66" t="str">
        <f>IF(Thirteenth!H183="", "",Thirteenth!H183)</f>
        <v/>
      </c>
      <c r="I3180" s="66" t="str">
        <f>IF(Thirteenth!I183="", "",Thirteenth!I183)</f>
        <v/>
      </c>
      <c r="J3180" s="66" t="str">
        <f>IF(Thirteenth!J183="", "",Thirteenth!J183)</f>
        <v/>
      </c>
      <c r="K3180" s="86" t="str">
        <f>IF(Thirteenth!K183="", "",Thirteenth!K183)</f>
        <v/>
      </c>
      <c r="M3180" s="67" t="str">
        <f t="shared" si="149"/>
        <v/>
      </c>
      <c r="N3180" s="76" t="str">
        <f t="shared" si="150"/>
        <v/>
      </c>
      <c r="O3180" s="33">
        <f t="shared" si="148"/>
        <v>0</v>
      </c>
    </row>
    <row r="3181" spans="1:15" x14ac:dyDescent="0.25">
      <c r="A3181" s="64" t="s">
        <v>225</v>
      </c>
      <c r="B3181" s="79" t="str">
        <f>IF(Thirteenth!B184="", "",Thirteenth!B184)</f>
        <v/>
      </c>
      <c r="C3181" s="66" t="str">
        <f>IF(Thirteenth!C184="", "",Thirteenth!C184)</f>
        <v/>
      </c>
      <c r="D3181" s="66" t="str">
        <f>IF(Thirteenth!D184="", "",Thirteenth!D184)</f>
        <v/>
      </c>
      <c r="E3181" s="66" t="str">
        <f>IF(Thirteenth!E184="", "",Thirteenth!E184)</f>
        <v/>
      </c>
      <c r="F3181" s="66" t="str">
        <f>IF(Thirteenth!F184="", "",Thirteenth!F184)</f>
        <v/>
      </c>
      <c r="G3181" s="66" t="str">
        <f>IF(Thirteenth!G184="", "",Thirteenth!G184)</f>
        <v/>
      </c>
      <c r="H3181" s="66" t="str">
        <f>IF(Thirteenth!H184="", "",Thirteenth!H184)</f>
        <v/>
      </c>
      <c r="I3181" s="66" t="str">
        <f>IF(Thirteenth!I184="", "",Thirteenth!I184)</f>
        <v/>
      </c>
      <c r="J3181" s="66" t="str">
        <f>IF(Thirteenth!J184="", "",Thirteenth!J184)</f>
        <v/>
      </c>
      <c r="K3181" s="86" t="str">
        <f>IF(Thirteenth!K184="", "",Thirteenth!K184)</f>
        <v/>
      </c>
      <c r="M3181" s="67" t="str">
        <f t="shared" si="149"/>
        <v/>
      </c>
      <c r="N3181" s="76" t="str">
        <f t="shared" si="150"/>
        <v/>
      </c>
      <c r="O3181" s="33">
        <f t="shared" si="148"/>
        <v>0</v>
      </c>
    </row>
    <row r="3182" spans="1:15" x14ac:dyDescent="0.25">
      <c r="A3182" s="64" t="s">
        <v>225</v>
      </c>
      <c r="B3182" s="79" t="str">
        <f>IF(Thirteenth!B185="", "",Thirteenth!B185)</f>
        <v/>
      </c>
      <c r="C3182" s="66" t="str">
        <f>IF(Thirteenth!C185="", "",Thirteenth!C185)</f>
        <v/>
      </c>
      <c r="D3182" s="66" t="str">
        <f>IF(Thirteenth!D185="", "",Thirteenth!D185)</f>
        <v/>
      </c>
      <c r="E3182" s="66" t="str">
        <f>IF(Thirteenth!E185="", "",Thirteenth!E185)</f>
        <v/>
      </c>
      <c r="F3182" s="66" t="str">
        <f>IF(Thirteenth!F185="", "",Thirteenth!F185)</f>
        <v/>
      </c>
      <c r="G3182" s="66" t="str">
        <f>IF(Thirteenth!G185="", "",Thirteenth!G185)</f>
        <v/>
      </c>
      <c r="H3182" s="66" t="str">
        <f>IF(Thirteenth!H185="", "",Thirteenth!H185)</f>
        <v/>
      </c>
      <c r="I3182" s="66" t="str">
        <f>IF(Thirteenth!I185="", "",Thirteenth!I185)</f>
        <v/>
      </c>
      <c r="J3182" s="66" t="str">
        <f>IF(Thirteenth!J185="", "",Thirteenth!J185)</f>
        <v/>
      </c>
      <c r="K3182" s="86" t="str">
        <f>IF(Thirteenth!K185="", "",Thirteenth!K185)</f>
        <v/>
      </c>
      <c r="M3182" s="67" t="str">
        <f t="shared" si="149"/>
        <v/>
      </c>
      <c r="N3182" s="76" t="str">
        <f t="shared" si="150"/>
        <v/>
      </c>
      <c r="O3182" s="33">
        <f t="shared" si="148"/>
        <v>0</v>
      </c>
    </row>
    <row r="3183" spans="1:15" x14ac:dyDescent="0.25">
      <c r="A3183" s="64" t="s">
        <v>225</v>
      </c>
      <c r="B3183" s="79" t="str">
        <f>IF(Thirteenth!B186="", "",Thirteenth!B186)</f>
        <v/>
      </c>
      <c r="C3183" s="66" t="str">
        <f>IF(Thirteenth!C186="", "",Thirteenth!C186)</f>
        <v/>
      </c>
      <c r="D3183" s="66" t="str">
        <f>IF(Thirteenth!D186="", "",Thirteenth!D186)</f>
        <v/>
      </c>
      <c r="E3183" s="66" t="str">
        <f>IF(Thirteenth!E186="", "",Thirteenth!E186)</f>
        <v/>
      </c>
      <c r="F3183" s="66" t="str">
        <f>IF(Thirteenth!F186="", "",Thirteenth!F186)</f>
        <v/>
      </c>
      <c r="G3183" s="66" t="str">
        <f>IF(Thirteenth!G186="", "",Thirteenth!G186)</f>
        <v/>
      </c>
      <c r="H3183" s="66" t="str">
        <f>IF(Thirteenth!H186="", "",Thirteenth!H186)</f>
        <v/>
      </c>
      <c r="I3183" s="66" t="str">
        <f>IF(Thirteenth!I186="", "",Thirteenth!I186)</f>
        <v/>
      </c>
      <c r="J3183" s="66" t="str">
        <f>IF(Thirteenth!J186="", "",Thirteenth!J186)</f>
        <v/>
      </c>
      <c r="K3183" s="86" t="str">
        <f>IF(Thirteenth!K186="", "",Thirteenth!K186)</f>
        <v/>
      </c>
      <c r="M3183" s="67" t="str">
        <f t="shared" si="149"/>
        <v/>
      </c>
      <c r="N3183" s="76" t="str">
        <f t="shared" si="150"/>
        <v/>
      </c>
      <c r="O3183" s="33">
        <f t="shared" si="148"/>
        <v>0</v>
      </c>
    </row>
    <row r="3184" spans="1:15" x14ac:dyDescent="0.25">
      <c r="A3184" s="64" t="s">
        <v>225</v>
      </c>
      <c r="B3184" s="79" t="str">
        <f>IF(Thirteenth!B187="", "",Thirteenth!B187)</f>
        <v/>
      </c>
      <c r="C3184" s="66" t="str">
        <f>IF(Thirteenth!C187="", "",Thirteenth!C187)</f>
        <v/>
      </c>
      <c r="D3184" s="66" t="str">
        <f>IF(Thirteenth!D187="", "",Thirteenth!D187)</f>
        <v/>
      </c>
      <c r="E3184" s="66" t="str">
        <f>IF(Thirteenth!E187="", "",Thirteenth!E187)</f>
        <v/>
      </c>
      <c r="F3184" s="66" t="str">
        <f>IF(Thirteenth!F187="", "",Thirteenth!F187)</f>
        <v/>
      </c>
      <c r="G3184" s="66" t="str">
        <f>IF(Thirteenth!G187="", "",Thirteenth!G187)</f>
        <v/>
      </c>
      <c r="H3184" s="66" t="str">
        <f>IF(Thirteenth!H187="", "",Thirteenth!H187)</f>
        <v/>
      </c>
      <c r="I3184" s="66" t="str">
        <f>IF(Thirteenth!I187="", "",Thirteenth!I187)</f>
        <v/>
      </c>
      <c r="J3184" s="66" t="str">
        <f>IF(Thirteenth!J187="", "",Thirteenth!J187)</f>
        <v/>
      </c>
      <c r="K3184" s="86" t="str">
        <f>IF(Thirteenth!K187="", "",Thirteenth!K187)</f>
        <v/>
      </c>
      <c r="M3184" s="67" t="str">
        <f t="shared" si="149"/>
        <v/>
      </c>
      <c r="N3184" s="76" t="str">
        <f t="shared" si="150"/>
        <v/>
      </c>
      <c r="O3184" s="33">
        <f t="shared" si="148"/>
        <v>0</v>
      </c>
    </row>
    <row r="3185" spans="1:15" x14ac:dyDescent="0.25">
      <c r="A3185" s="64" t="s">
        <v>225</v>
      </c>
      <c r="B3185" s="79" t="str">
        <f>IF(Thirteenth!B188="", "",Thirteenth!B188)</f>
        <v/>
      </c>
      <c r="C3185" s="66" t="str">
        <f>IF(Thirteenth!C188="", "",Thirteenth!C188)</f>
        <v/>
      </c>
      <c r="D3185" s="66" t="str">
        <f>IF(Thirteenth!D188="", "",Thirteenth!D188)</f>
        <v/>
      </c>
      <c r="E3185" s="66" t="str">
        <f>IF(Thirteenth!E188="", "",Thirteenth!E188)</f>
        <v/>
      </c>
      <c r="F3185" s="66" t="str">
        <f>IF(Thirteenth!F188="", "",Thirteenth!F188)</f>
        <v/>
      </c>
      <c r="G3185" s="66" t="str">
        <f>IF(Thirteenth!G188="", "",Thirteenth!G188)</f>
        <v/>
      </c>
      <c r="H3185" s="66" t="str">
        <f>IF(Thirteenth!H188="", "",Thirteenth!H188)</f>
        <v/>
      </c>
      <c r="I3185" s="66" t="str">
        <f>IF(Thirteenth!I188="", "",Thirteenth!I188)</f>
        <v/>
      </c>
      <c r="J3185" s="66" t="str">
        <f>IF(Thirteenth!J188="", "",Thirteenth!J188)</f>
        <v/>
      </c>
      <c r="K3185" s="86" t="str">
        <f>IF(Thirteenth!K188="", "",Thirteenth!K188)</f>
        <v/>
      </c>
      <c r="M3185" s="67" t="str">
        <f t="shared" si="149"/>
        <v/>
      </c>
      <c r="N3185" s="76" t="str">
        <f t="shared" si="150"/>
        <v/>
      </c>
      <c r="O3185" s="33">
        <f t="shared" si="148"/>
        <v>0</v>
      </c>
    </row>
    <row r="3186" spans="1:15" x14ac:dyDescent="0.25">
      <c r="A3186" s="64" t="s">
        <v>225</v>
      </c>
      <c r="B3186" s="79" t="str">
        <f>IF(Thirteenth!B189="", "",Thirteenth!B189)</f>
        <v/>
      </c>
      <c r="C3186" s="66" t="str">
        <f>IF(Thirteenth!C189="", "",Thirteenth!C189)</f>
        <v/>
      </c>
      <c r="D3186" s="66" t="str">
        <f>IF(Thirteenth!D189="", "",Thirteenth!D189)</f>
        <v/>
      </c>
      <c r="E3186" s="66" t="str">
        <f>IF(Thirteenth!E189="", "",Thirteenth!E189)</f>
        <v/>
      </c>
      <c r="F3186" s="66" t="str">
        <f>IF(Thirteenth!F189="", "",Thirteenth!F189)</f>
        <v/>
      </c>
      <c r="G3186" s="66" t="str">
        <f>IF(Thirteenth!G189="", "",Thirteenth!G189)</f>
        <v/>
      </c>
      <c r="H3186" s="66" t="str">
        <f>IF(Thirteenth!H189="", "",Thirteenth!H189)</f>
        <v/>
      </c>
      <c r="I3186" s="66" t="str">
        <f>IF(Thirteenth!I189="", "",Thirteenth!I189)</f>
        <v/>
      </c>
      <c r="J3186" s="66" t="str">
        <f>IF(Thirteenth!J189="", "",Thirteenth!J189)</f>
        <v/>
      </c>
      <c r="K3186" s="86" t="str">
        <f>IF(Thirteenth!K189="", "",Thirteenth!K189)</f>
        <v/>
      </c>
      <c r="M3186" s="67" t="str">
        <f t="shared" si="149"/>
        <v/>
      </c>
      <c r="N3186" s="76" t="str">
        <f t="shared" si="150"/>
        <v/>
      </c>
      <c r="O3186" s="33">
        <f t="shared" si="148"/>
        <v>0</v>
      </c>
    </row>
    <row r="3187" spans="1:15" x14ac:dyDescent="0.25">
      <c r="A3187" s="64" t="s">
        <v>225</v>
      </c>
      <c r="B3187" s="79" t="str">
        <f>IF(Thirteenth!B190="", "",Thirteenth!B190)</f>
        <v/>
      </c>
      <c r="C3187" s="66" t="str">
        <f>IF(Thirteenth!C190="", "",Thirteenth!C190)</f>
        <v/>
      </c>
      <c r="D3187" s="66" t="str">
        <f>IF(Thirteenth!D190="", "",Thirteenth!D190)</f>
        <v/>
      </c>
      <c r="E3187" s="66" t="str">
        <f>IF(Thirteenth!E190="", "",Thirteenth!E190)</f>
        <v/>
      </c>
      <c r="F3187" s="66" t="str">
        <f>IF(Thirteenth!F190="", "",Thirteenth!F190)</f>
        <v/>
      </c>
      <c r="G3187" s="66" t="str">
        <f>IF(Thirteenth!G190="", "",Thirteenth!G190)</f>
        <v/>
      </c>
      <c r="H3187" s="66" t="str">
        <f>IF(Thirteenth!H190="", "",Thirteenth!H190)</f>
        <v/>
      </c>
      <c r="I3187" s="66" t="str">
        <f>IF(Thirteenth!I190="", "",Thirteenth!I190)</f>
        <v/>
      </c>
      <c r="J3187" s="66" t="str">
        <f>IF(Thirteenth!J190="", "",Thirteenth!J190)</f>
        <v/>
      </c>
      <c r="K3187" s="86" t="str">
        <f>IF(Thirteenth!K190="", "",Thirteenth!K190)</f>
        <v/>
      </c>
      <c r="M3187" s="67" t="str">
        <f t="shared" si="149"/>
        <v/>
      </c>
      <c r="N3187" s="76" t="str">
        <f t="shared" si="150"/>
        <v/>
      </c>
      <c r="O3187" s="33">
        <f t="shared" si="148"/>
        <v>0</v>
      </c>
    </row>
    <row r="3188" spans="1:15" x14ac:dyDescent="0.25">
      <c r="A3188" s="64" t="s">
        <v>225</v>
      </c>
      <c r="B3188" s="79" t="str">
        <f>IF(Thirteenth!B191="", "",Thirteenth!B191)</f>
        <v/>
      </c>
      <c r="C3188" s="66" t="str">
        <f>IF(Thirteenth!C191="", "",Thirteenth!C191)</f>
        <v/>
      </c>
      <c r="D3188" s="66" t="str">
        <f>IF(Thirteenth!D191="", "",Thirteenth!D191)</f>
        <v/>
      </c>
      <c r="E3188" s="66" t="str">
        <f>IF(Thirteenth!E191="", "",Thirteenth!E191)</f>
        <v/>
      </c>
      <c r="F3188" s="66" t="str">
        <f>IF(Thirteenth!F191="", "",Thirteenth!F191)</f>
        <v/>
      </c>
      <c r="G3188" s="66" t="str">
        <f>IF(Thirteenth!G191="", "",Thirteenth!G191)</f>
        <v/>
      </c>
      <c r="H3188" s="66" t="str">
        <f>IF(Thirteenth!H191="", "",Thirteenth!H191)</f>
        <v/>
      </c>
      <c r="I3188" s="66" t="str">
        <f>IF(Thirteenth!I191="", "",Thirteenth!I191)</f>
        <v/>
      </c>
      <c r="J3188" s="66" t="str">
        <f>IF(Thirteenth!J191="", "",Thirteenth!J191)</f>
        <v/>
      </c>
      <c r="K3188" s="86" t="str">
        <f>IF(Thirteenth!K191="", "",Thirteenth!K191)</f>
        <v/>
      </c>
      <c r="M3188" s="67" t="str">
        <f t="shared" si="149"/>
        <v/>
      </c>
      <c r="N3188" s="76" t="str">
        <f t="shared" si="150"/>
        <v/>
      </c>
      <c r="O3188" s="33">
        <f t="shared" si="148"/>
        <v>0</v>
      </c>
    </row>
    <row r="3189" spans="1:15" x14ac:dyDescent="0.25">
      <c r="A3189" s="64" t="s">
        <v>225</v>
      </c>
      <c r="B3189" s="79" t="str">
        <f>IF(Thirteenth!B192="", "",Thirteenth!B192)</f>
        <v/>
      </c>
      <c r="C3189" s="66" t="str">
        <f>IF(Thirteenth!C192="", "",Thirteenth!C192)</f>
        <v/>
      </c>
      <c r="D3189" s="66" t="str">
        <f>IF(Thirteenth!D192="", "",Thirteenth!D192)</f>
        <v/>
      </c>
      <c r="E3189" s="66" t="str">
        <f>IF(Thirteenth!E192="", "",Thirteenth!E192)</f>
        <v/>
      </c>
      <c r="F3189" s="66" t="str">
        <f>IF(Thirteenth!F192="", "",Thirteenth!F192)</f>
        <v/>
      </c>
      <c r="G3189" s="66" t="str">
        <f>IF(Thirteenth!G192="", "",Thirteenth!G192)</f>
        <v/>
      </c>
      <c r="H3189" s="66" t="str">
        <f>IF(Thirteenth!H192="", "",Thirteenth!H192)</f>
        <v/>
      </c>
      <c r="I3189" s="66" t="str">
        <f>IF(Thirteenth!I192="", "",Thirteenth!I192)</f>
        <v/>
      </c>
      <c r="J3189" s="66" t="str">
        <f>IF(Thirteenth!J192="", "",Thirteenth!J192)</f>
        <v/>
      </c>
      <c r="K3189" s="86" t="str">
        <f>IF(Thirteenth!K192="", "",Thirteenth!K192)</f>
        <v/>
      </c>
      <c r="M3189" s="67" t="str">
        <f t="shared" si="149"/>
        <v/>
      </c>
      <c r="N3189" s="76" t="str">
        <f t="shared" si="150"/>
        <v/>
      </c>
      <c r="O3189" s="33">
        <f t="shared" si="148"/>
        <v>0</v>
      </c>
    </row>
    <row r="3190" spans="1:15" x14ac:dyDescent="0.25">
      <c r="A3190" s="64" t="s">
        <v>225</v>
      </c>
      <c r="B3190" s="79" t="str">
        <f>IF(Thirteenth!B193="", "",Thirteenth!B193)</f>
        <v/>
      </c>
      <c r="C3190" s="66" t="str">
        <f>IF(Thirteenth!C193="", "",Thirteenth!C193)</f>
        <v/>
      </c>
      <c r="D3190" s="66" t="str">
        <f>IF(Thirteenth!D193="", "",Thirteenth!D193)</f>
        <v/>
      </c>
      <c r="E3190" s="66" t="str">
        <f>IF(Thirteenth!E193="", "",Thirteenth!E193)</f>
        <v/>
      </c>
      <c r="F3190" s="66" t="str">
        <f>IF(Thirteenth!F193="", "",Thirteenth!F193)</f>
        <v/>
      </c>
      <c r="G3190" s="66" t="str">
        <f>IF(Thirteenth!G193="", "",Thirteenth!G193)</f>
        <v/>
      </c>
      <c r="H3190" s="66" t="str">
        <f>IF(Thirteenth!H193="", "",Thirteenth!H193)</f>
        <v/>
      </c>
      <c r="I3190" s="66" t="str">
        <f>IF(Thirteenth!I193="", "",Thirteenth!I193)</f>
        <v/>
      </c>
      <c r="J3190" s="66" t="str">
        <f>IF(Thirteenth!J193="", "",Thirteenth!J193)</f>
        <v/>
      </c>
      <c r="K3190" s="86" t="str">
        <f>IF(Thirteenth!K193="", "",Thirteenth!K193)</f>
        <v/>
      </c>
      <c r="M3190" s="67" t="str">
        <f t="shared" si="149"/>
        <v/>
      </c>
      <c r="N3190" s="76" t="str">
        <f t="shared" si="150"/>
        <v/>
      </c>
      <c r="O3190" s="33">
        <f t="shared" si="148"/>
        <v>0</v>
      </c>
    </row>
    <row r="3191" spans="1:15" x14ac:dyDescent="0.25">
      <c r="A3191" s="64" t="s">
        <v>225</v>
      </c>
      <c r="B3191" s="79" t="str">
        <f>IF(Thirteenth!B194="", "",Thirteenth!B194)</f>
        <v/>
      </c>
      <c r="C3191" s="66" t="str">
        <f>IF(Thirteenth!C194="", "",Thirteenth!C194)</f>
        <v/>
      </c>
      <c r="D3191" s="66" t="str">
        <f>IF(Thirteenth!D194="", "",Thirteenth!D194)</f>
        <v/>
      </c>
      <c r="E3191" s="66" t="str">
        <f>IF(Thirteenth!E194="", "",Thirteenth!E194)</f>
        <v/>
      </c>
      <c r="F3191" s="66" t="str">
        <f>IF(Thirteenth!F194="", "",Thirteenth!F194)</f>
        <v/>
      </c>
      <c r="G3191" s="66" t="str">
        <f>IF(Thirteenth!G194="", "",Thirteenth!G194)</f>
        <v/>
      </c>
      <c r="H3191" s="66" t="str">
        <f>IF(Thirteenth!H194="", "",Thirteenth!H194)</f>
        <v/>
      </c>
      <c r="I3191" s="66" t="str">
        <f>IF(Thirteenth!I194="", "",Thirteenth!I194)</f>
        <v/>
      </c>
      <c r="J3191" s="66" t="str">
        <f>IF(Thirteenth!J194="", "",Thirteenth!J194)</f>
        <v/>
      </c>
      <c r="K3191" s="86" t="str">
        <f>IF(Thirteenth!K194="", "",Thirteenth!K194)</f>
        <v/>
      </c>
      <c r="M3191" s="67" t="str">
        <f t="shared" si="149"/>
        <v/>
      </c>
      <c r="N3191" s="76" t="str">
        <f t="shared" si="150"/>
        <v/>
      </c>
      <c r="O3191" s="33">
        <f t="shared" si="148"/>
        <v>0</v>
      </c>
    </row>
    <row r="3192" spans="1:15" x14ac:dyDescent="0.25">
      <c r="A3192" s="64" t="s">
        <v>225</v>
      </c>
      <c r="B3192" s="79" t="str">
        <f>IF(Thirteenth!B195="", "",Thirteenth!B195)</f>
        <v/>
      </c>
      <c r="C3192" s="66" t="str">
        <f>IF(Thirteenth!C195="", "",Thirteenth!C195)</f>
        <v/>
      </c>
      <c r="D3192" s="66" t="str">
        <f>IF(Thirteenth!D195="", "",Thirteenth!D195)</f>
        <v/>
      </c>
      <c r="E3192" s="66" t="str">
        <f>IF(Thirteenth!E195="", "",Thirteenth!E195)</f>
        <v/>
      </c>
      <c r="F3192" s="66" t="str">
        <f>IF(Thirteenth!F195="", "",Thirteenth!F195)</f>
        <v/>
      </c>
      <c r="G3192" s="66" t="str">
        <f>IF(Thirteenth!G195="", "",Thirteenth!G195)</f>
        <v/>
      </c>
      <c r="H3192" s="66" t="str">
        <f>IF(Thirteenth!H195="", "",Thirteenth!H195)</f>
        <v/>
      </c>
      <c r="I3192" s="66" t="str">
        <f>IF(Thirteenth!I195="", "",Thirteenth!I195)</f>
        <v/>
      </c>
      <c r="J3192" s="66" t="str">
        <f>IF(Thirteenth!J195="", "",Thirteenth!J195)</f>
        <v/>
      </c>
      <c r="K3192" s="86" t="str">
        <f>IF(Thirteenth!K195="", "",Thirteenth!K195)</f>
        <v/>
      </c>
      <c r="M3192" s="67" t="str">
        <f t="shared" si="149"/>
        <v/>
      </c>
      <c r="N3192" s="76" t="str">
        <f t="shared" si="150"/>
        <v/>
      </c>
      <c r="O3192" s="33">
        <f t="shared" si="148"/>
        <v>0</v>
      </c>
    </row>
    <row r="3193" spans="1:15" x14ac:dyDescent="0.25">
      <c r="A3193" s="64" t="s">
        <v>225</v>
      </c>
      <c r="B3193" s="79" t="str">
        <f>IF(Thirteenth!B196="", "",Thirteenth!B196)</f>
        <v/>
      </c>
      <c r="C3193" s="66" t="str">
        <f>IF(Thirteenth!C196="", "",Thirteenth!C196)</f>
        <v/>
      </c>
      <c r="D3193" s="66" t="str">
        <f>IF(Thirteenth!D196="", "",Thirteenth!D196)</f>
        <v/>
      </c>
      <c r="E3193" s="66" t="str">
        <f>IF(Thirteenth!E196="", "",Thirteenth!E196)</f>
        <v/>
      </c>
      <c r="F3193" s="66" t="str">
        <f>IF(Thirteenth!F196="", "",Thirteenth!F196)</f>
        <v/>
      </c>
      <c r="G3193" s="66" t="str">
        <f>IF(Thirteenth!G196="", "",Thirteenth!G196)</f>
        <v/>
      </c>
      <c r="H3193" s="66" t="str">
        <f>IF(Thirteenth!H196="", "",Thirteenth!H196)</f>
        <v/>
      </c>
      <c r="I3193" s="66" t="str">
        <f>IF(Thirteenth!I196="", "",Thirteenth!I196)</f>
        <v/>
      </c>
      <c r="J3193" s="66" t="str">
        <f>IF(Thirteenth!J196="", "",Thirteenth!J196)</f>
        <v/>
      </c>
      <c r="K3193" s="86" t="str">
        <f>IF(Thirteenth!K196="", "",Thirteenth!K196)</f>
        <v/>
      </c>
      <c r="M3193" s="67" t="str">
        <f t="shared" si="149"/>
        <v/>
      </c>
      <c r="N3193" s="76" t="str">
        <f t="shared" si="150"/>
        <v/>
      </c>
      <c r="O3193" s="33">
        <f t="shared" si="148"/>
        <v>0</v>
      </c>
    </row>
    <row r="3194" spans="1:15" x14ac:dyDescent="0.25">
      <c r="A3194" s="64" t="s">
        <v>225</v>
      </c>
      <c r="B3194" s="79" t="str">
        <f>IF(Thirteenth!B197="", "",Thirteenth!B197)</f>
        <v/>
      </c>
      <c r="C3194" s="66" t="str">
        <f>IF(Thirteenth!C197="", "",Thirteenth!C197)</f>
        <v/>
      </c>
      <c r="D3194" s="66" t="str">
        <f>IF(Thirteenth!D197="", "",Thirteenth!D197)</f>
        <v/>
      </c>
      <c r="E3194" s="66" t="str">
        <f>IF(Thirteenth!E197="", "",Thirteenth!E197)</f>
        <v/>
      </c>
      <c r="F3194" s="66" t="str">
        <f>IF(Thirteenth!F197="", "",Thirteenth!F197)</f>
        <v/>
      </c>
      <c r="G3194" s="66" t="str">
        <f>IF(Thirteenth!G197="", "",Thirteenth!G197)</f>
        <v/>
      </c>
      <c r="H3194" s="66" t="str">
        <f>IF(Thirteenth!H197="", "",Thirteenth!H197)</f>
        <v/>
      </c>
      <c r="I3194" s="66" t="str">
        <f>IF(Thirteenth!I197="", "",Thirteenth!I197)</f>
        <v/>
      </c>
      <c r="J3194" s="66" t="str">
        <f>IF(Thirteenth!J197="", "",Thirteenth!J197)</f>
        <v/>
      </c>
      <c r="K3194" s="86" t="str">
        <f>IF(Thirteenth!K197="", "",Thirteenth!K197)</f>
        <v/>
      </c>
      <c r="M3194" s="67" t="str">
        <f t="shared" si="149"/>
        <v/>
      </c>
      <c r="N3194" s="76" t="str">
        <f t="shared" si="150"/>
        <v/>
      </c>
      <c r="O3194" s="33">
        <f t="shared" si="148"/>
        <v>0</v>
      </c>
    </row>
    <row r="3195" spans="1:15" x14ac:dyDescent="0.25">
      <c r="A3195" s="64" t="s">
        <v>225</v>
      </c>
      <c r="B3195" s="79" t="str">
        <f>IF(Thirteenth!B198="", "",Thirteenth!B198)</f>
        <v/>
      </c>
      <c r="C3195" s="66" t="str">
        <f>IF(Thirteenth!C198="", "",Thirteenth!C198)</f>
        <v/>
      </c>
      <c r="D3195" s="66" t="str">
        <f>IF(Thirteenth!D198="", "",Thirteenth!D198)</f>
        <v/>
      </c>
      <c r="E3195" s="66" t="str">
        <f>IF(Thirteenth!E198="", "",Thirteenth!E198)</f>
        <v/>
      </c>
      <c r="F3195" s="66" t="str">
        <f>IF(Thirteenth!F198="", "",Thirteenth!F198)</f>
        <v/>
      </c>
      <c r="G3195" s="66" t="str">
        <f>IF(Thirteenth!G198="", "",Thirteenth!G198)</f>
        <v/>
      </c>
      <c r="H3195" s="66" t="str">
        <f>IF(Thirteenth!H198="", "",Thirteenth!H198)</f>
        <v/>
      </c>
      <c r="I3195" s="66" t="str">
        <f>IF(Thirteenth!I198="", "",Thirteenth!I198)</f>
        <v/>
      </c>
      <c r="J3195" s="66" t="str">
        <f>IF(Thirteenth!J198="", "",Thirteenth!J198)</f>
        <v/>
      </c>
      <c r="K3195" s="86" t="str">
        <f>IF(Thirteenth!K198="", "",Thirteenth!K198)</f>
        <v/>
      </c>
      <c r="M3195" s="67" t="str">
        <f t="shared" si="149"/>
        <v/>
      </c>
      <c r="N3195" s="76" t="str">
        <f t="shared" si="150"/>
        <v/>
      </c>
      <c r="O3195" s="33">
        <f t="shared" si="148"/>
        <v>0</v>
      </c>
    </row>
    <row r="3196" spans="1:15" x14ac:dyDescent="0.25">
      <c r="A3196" s="64" t="s">
        <v>225</v>
      </c>
      <c r="B3196" s="79" t="str">
        <f>IF(Thirteenth!B199="", "",Thirteenth!B199)</f>
        <v/>
      </c>
      <c r="C3196" s="66" t="str">
        <f>IF(Thirteenth!C199="", "",Thirteenth!C199)</f>
        <v/>
      </c>
      <c r="D3196" s="66" t="str">
        <f>IF(Thirteenth!D199="", "",Thirteenth!D199)</f>
        <v/>
      </c>
      <c r="E3196" s="66" t="str">
        <f>IF(Thirteenth!E199="", "",Thirteenth!E199)</f>
        <v/>
      </c>
      <c r="F3196" s="66" t="str">
        <f>IF(Thirteenth!F199="", "",Thirteenth!F199)</f>
        <v/>
      </c>
      <c r="G3196" s="66" t="str">
        <f>IF(Thirteenth!G199="", "",Thirteenth!G199)</f>
        <v/>
      </c>
      <c r="H3196" s="66" t="str">
        <f>IF(Thirteenth!H199="", "",Thirteenth!H199)</f>
        <v/>
      </c>
      <c r="I3196" s="66" t="str">
        <f>IF(Thirteenth!I199="", "",Thirteenth!I199)</f>
        <v/>
      </c>
      <c r="J3196" s="66" t="str">
        <f>IF(Thirteenth!J199="", "",Thirteenth!J199)</f>
        <v/>
      </c>
      <c r="K3196" s="86" t="str">
        <f>IF(Thirteenth!K199="", "",Thirteenth!K199)</f>
        <v/>
      </c>
      <c r="M3196" s="67" t="str">
        <f t="shared" si="149"/>
        <v/>
      </c>
      <c r="N3196" s="76" t="str">
        <f t="shared" si="150"/>
        <v/>
      </c>
      <c r="O3196" s="33">
        <f t="shared" si="148"/>
        <v>0</v>
      </c>
    </row>
    <row r="3197" spans="1:15" x14ac:dyDescent="0.25">
      <c r="A3197" s="64" t="s">
        <v>225</v>
      </c>
      <c r="B3197" s="79" t="str">
        <f>IF(Thirteenth!B200="", "",Thirteenth!B200)</f>
        <v/>
      </c>
      <c r="C3197" s="66" t="str">
        <f>IF(Thirteenth!C200="", "",Thirteenth!C200)</f>
        <v/>
      </c>
      <c r="D3197" s="66" t="str">
        <f>IF(Thirteenth!D200="", "",Thirteenth!D200)</f>
        <v/>
      </c>
      <c r="E3197" s="66" t="str">
        <f>IF(Thirteenth!E200="", "",Thirteenth!E200)</f>
        <v/>
      </c>
      <c r="F3197" s="66" t="str">
        <f>IF(Thirteenth!F200="", "",Thirteenth!F200)</f>
        <v/>
      </c>
      <c r="G3197" s="66" t="str">
        <f>IF(Thirteenth!G200="", "",Thirteenth!G200)</f>
        <v/>
      </c>
      <c r="H3197" s="66" t="str">
        <f>IF(Thirteenth!H200="", "",Thirteenth!H200)</f>
        <v/>
      </c>
      <c r="I3197" s="66" t="str">
        <f>IF(Thirteenth!I200="", "",Thirteenth!I200)</f>
        <v/>
      </c>
      <c r="J3197" s="66" t="str">
        <f>IF(Thirteenth!J200="", "",Thirteenth!J200)</f>
        <v/>
      </c>
      <c r="K3197" s="86" t="str">
        <f>IF(Thirteenth!K200="", "",Thirteenth!K200)</f>
        <v/>
      </c>
      <c r="M3197" s="67" t="str">
        <f t="shared" si="149"/>
        <v/>
      </c>
      <c r="N3197" s="76" t="str">
        <f t="shared" si="150"/>
        <v/>
      </c>
      <c r="O3197" s="33">
        <f t="shared" si="148"/>
        <v>0</v>
      </c>
    </row>
    <row r="3198" spans="1:15" x14ac:dyDescent="0.25">
      <c r="A3198" s="64" t="s">
        <v>225</v>
      </c>
      <c r="B3198" s="79" t="str">
        <f>IF(Thirteenth!B201="", "",Thirteenth!B201)</f>
        <v/>
      </c>
      <c r="C3198" s="66" t="str">
        <f>IF(Thirteenth!C201="", "",Thirteenth!C201)</f>
        <v/>
      </c>
      <c r="D3198" s="66" t="str">
        <f>IF(Thirteenth!D201="", "",Thirteenth!D201)</f>
        <v/>
      </c>
      <c r="E3198" s="66" t="str">
        <f>IF(Thirteenth!E201="", "",Thirteenth!E201)</f>
        <v/>
      </c>
      <c r="F3198" s="66" t="str">
        <f>IF(Thirteenth!F201="", "",Thirteenth!F201)</f>
        <v/>
      </c>
      <c r="G3198" s="66" t="str">
        <f>IF(Thirteenth!G201="", "",Thirteenth!G201)</f>
        <v/>
      </c>
      <c r="H3198" s="66" t="str">
        <f>IF(Thirteenth!H201="", "",Thirteenth!H201)</f>
        <v/>
      </c>
      <c r="I3198" s="66" t="str">
        <f>IF(Thirteenth!I201="", "",Thirteenth!I201)</f>
        <v/>
      </c>
      <c r="J3198" s="66" t="str">
        <f>IF(Thirteenth!J201="", "",Thirteenth!J201)</f>
        <v/>
      </c>
      <c r="K3198" s="86" t="str">
        <f>IF(Thirteenth!K201="", "",Thirteenth!K201)</f>
        <v/>
      </c>
      <c r="M3198" s="67" t="str">
        <f t="shared" si="149"/>
        <v/>
      </c>
      <c r="N3198" s="76" t="str">
        <f t="shared" si="150"/>
        <v/>
      </c>
      <c r="O3198" s="33">
        <f t="shared" si="148"/>
        <v>0</v>
      </c>
    </row>
    <row r="3199" spans="1:15" x14ac:dyDescent="0.25">
      <c r="A3199" s="64" t="s">
        <v>225</v>
      </c>
      <c r="B3199" s="79" t="str">
        <f>IF(Thirteenth!B202="", "",Thirteenth!B202)</f>
        <v/>
      </c>
      <c r="C3199" s="66" t="str">
        <f>IF(Thirteenth!C202="", "",Thirteenth!C202)</f>
        <v/>
      </c>
      <c r="D3199" s="66" t="str">
        <f>IF(Thirteenth!D202="", "",Thirteenth!D202)</f>
        <v/>
      </c>
      <c r="E3199" s="66" t="str">
        <f>IF(Thirteenth!E202="", "",Thirteenth!E202)</f>
        <v/>
      </c>
      <c r="F3199" s="66" t="str">
        <f>IF(Thirteenth!F202="", "",Thirteenth!F202)</f>
        <v/>
      </c>
      <c r="G3199" s="66" t="str">
        <f>IF(Thirteenth!G202="", "",Thirteenth!G202)</f>
        <v/>
      </c>
      <c r="H3199" s="66" t="str">
        <f>IF(Thirteenth!H202="", "",Thirteenth!H202)</f>
        <v/>
      </c>
      <c r="I3199" s="66" t="str">
        <f>IF(Thirteenth!I202="", "",Thirteenth!I202)</f>
        <v/>
      </c>
      <c r="J3199" s="66" t="str">
        <f>IF(Thirteenth!J202="", "",Thirteenth!J202)</f>
        <v/>
      </c>
      <c r="K3199" s="86" t="str">
        <f>IF(Thirteenth!K202="", "",Thirteenth!K202)</f>
        <v/>
      </c>
      <c r="M3199" s="67" t="str">
        <f t="shared" si="149"/>
        <v/>
      </c>
      <c r="N3199" s="76" t="str">
        <f t="shared" si="150"/>
        <v/>
      </c>
      <c r="O3199" s="33">
        <f t="shared" si="148"/>
        <v>0</v>
      </c>
    </row>
    <row r="3200" spans="1:15" x14ac:dyDescent="0.25">
      <c r="A3200" s="64" t="s">
        <v>225</v>
      </c>
      <c r="B3200" s="79" t="str">
        <f>IF(Thirteenth!B203="", "",Thirteenth!B203)</f>
        <v/>
      </c>
      <c r="C3200" s="66" t="str">
        <f>IF(Thirteenth!C203="", "",Thirteenth!C203)</f>
        <v/>
      </c>
      <c r="D3200" s="66" t="str">
        <f>IF(Thirteenth!D203="", "",Thirteenth!D203)</f>
        <v/>
      </c>
      <c r="E3200" s="66" t="str">
        <f>IF(Thirteenth!E203="", "",Thirteenth!E203)</f>
        <v/>
      </c>
      <c r="F3200" s="66" t="str">
        <f>IF(Thirteenth!F203="", "",Thirteenth!F203)</f>
        <v/>
      </c>
      <c r="G3200" s="66" t="str">
        <f>IF(Thirteenth!G203="", "",Thirteenth!G203)</f>
        <v/>
      </c>
      <c r="H3200" s="66" t="str">
        <f>IF(Thirteenth!H203="", "",Thirteenth!H203)</f>
        <v/>
      </c>
      <c r="I3200" s="66" t="str">
        <f>IF(Thirteenth!I203="", "",Thirteenth!I203)</f>
        <v/>
      </c>
      <c r="J3200" s="66" t="str">
        <f>IF(Thirteenth!J203="", "",Thirteenth!J203)</f>
        <v/>
      </c>
      <c r="K3200" s="86" t="str">
        <f>IF(Thirteenth!K203="", "",Thirteenth!K203)</f>
        <v/>
      </c>
      <c r="M3200" s="67" t="str">
        <f t="shared" si="149"/>
        <v/>
      </c>
      <c r="N3200" s="76" t="str">
        <f t="shared" si="150"/>
        <v/>
      </c>
      <c r="O3200" s="33">
        <f t="shared" si="148"/>
        <v>0</v>
      </c>
    </row>
    <row r="3201" spans="1:15" x14ac:dyDescent="0.25">
      <c r="A3201" s="64" t="s">
        <v>225</v>
      </c>
      <c r="B3201" s="79" t="str">
        <f>IF(Thirteenth!B204="", "",Thirteenth!B204)</f>
        <v/>
      </c>
      <c r="C3201" s="66" t="str">
        <f>IF(Thirteenth!C204="", "",Thirteenth!C204)</f>
        <v/>
      </c>
      <c r="D3201" s="66" t="str">
        <f>IF(Thirteenth!D204="", "",Thirteenth!D204)</f>
        <v/>
      </c>
      <c r="E3201" s="66" t="str">
        <f>IF(Thirteenth!E204="", "",Thirteenth!E204)</f>
        <v/>
      </c>
      <c r="F3201" s="66" t="str">
        <f>IF(Thirteenth!F204="", "",Thirteenth!F204)</f>
        <v/>
      </c>
      <c r="G3201" s="66" t="str">
        <f>IF(Thirteenth!G204="", "",Thirteenth!G204)</f>
        <v/>
      </c>
      <c r="H3201" s="66" t="str">
        <f>IF(Thirteenth!H204="", "",Thirteenth!H204)</f>
        <v/>
      </c>
      <c r="I3201" s="66" t="str">
        <f>IF(Thirteenth!I204="", "",Thirteenth!I204)</f>
        <v/>
      </c>
      <c r="J3201" s="66" t="str">
        <f>IF(Thirteenth!J204="", "",Thirteenth!J204)</f>
        <v/>
      </c>
      <c r="K3201" s="86" t="str">
        <f>IF(Thirteenth!K204="", "",Thirteenth!K204)</f>
        <v/>
      </c>
      <c r="M3201" s="67" t="str">
        <f t="shared" si="149"/>
        <v/>
      </c>
      <c r="N3201" s="76" t="str">
        <f t="shared" si="150"/>
        <v/>
      </c>
      <c r="O3201" s="33">
        <f t="shared" si="148"/>
        <v>0</v>
      </c>
    </row>
    <row r="3202" spans="1:15" x14ac:dyDescent="0.25">
      <c r="A3202" s="64" t="s">
        <v>225</v>
      </c>
      <c r="B3202" s="79" t="str">
        <f>IF(Thirteenth!B205="", "",Thirteenth!B205)</f>
        <v/>
      </c>
      <c r="C3202" s="66" t="str">
        <f>IF(Thirteenth!C205="", "",Thirteenth!C205)</f>
        <v/>
      </c>
      <c r="D3202" s="66" t="str">
        <f>IF(Thirteenth!D205="", "",Thirteenth!D205)</f>
        <v/>
      </c>
      <c r="E3202" s="66" t="str">
        <f>IF(Thirteenth!E205="", "",Thirteenth!E205)</f>
        <v/>
      </c>
      <c r="F3202" s="66" t="str">
        <f>IF(Thirteenth!F205="", "",Thirteenth!F205)</f>
        <v/>
      </c>
      <c r="G3202" s="66" t="str">
        <f>IF(Thirteenth!G205="", "",Thirteenth!G205)</f>
        <v/>
      </c>
      <c r="H3202" s="66" t="str">
        <f>IF(Thirteenth!H205="", "",Thirteenth!H205)</f>
        <v/>
      </c>
      <c r="I3202" s="66" t="str">
        <f>IF(Thirteenth!I205="", "",Thirteenth!I205)</f>
        <v/>
      </c>
      <c r="J3202" s="66" t="str">
        <f>IF(Thirteenth!J205="", "",Thirteenth!J205)</f>
        <v/>
      </c>
      <c r="K3202" s="86" t="str">
        <f>IF(Thirteenth!K205="", "",Thirteenth!K205)</f>
        <v/>
      </c>
      <c r="M3202" s="67" t="str">
        <f t="shared" si="149"/>
        <v/>
      </c>
      <c r="N3202" s="76" t="str">
        <f t="shared" si="150"/>
        <v/>
      </c>
      <c r="O3202" s="33">
        <f t="shared" ref="O3202:O3265" si="151">SUM(M3202:N3202)</f>
        <v>0</v>
      </c>
    </row>
    <row r="3203" spans="1:15" x14ac:dyDescent="0.25">
      <c r="A3203" s="64" t="s">
        <v>225</v>
      </c>
      <c r="B3203" s="79" t="str">
        <f>IF(Thirteenth!B206="", "",Thirteenth!B206)</f>
        <v/>
      </c>
      <c r="C3203" s="66" t="str">
        <f>IF(Thirteenth!C206="", "",Thirteenth!C206)</f>
        <v/>
      </c>
      <c r="D3203" s="66" t="str">
        <f>IF(Thirteenth!D206="", "",Thirteenth!D206)</f>
        <v/>
      </c>
      <c r="E3203" s="66" t="str">
        <f>IF(Thirteenth!E206="", "",Thirteenth!E206)</f>
        <v/>
      </c>
      <c r="F3203" s="66" t="str">
        <f>IF(Thirteenth!F206="", "",Thirteenth!F206)</f>
        <v/>
      </c>
      <c r="G3203" s="66" t="str">
        <f>IF(Thirteenth!G206="", "",Thirteenth!G206)</f>
        <v/>
      </c>
      <c r="H3203" s="66" t="str">
        <f>IF(Thirteenth!H206="", "",Thirteenth!H206)</f>
        <v/>
      </c>
      <c r="I3203" s="66" t="str">
        <f>IF(Thirteenth!I206="", "",Thirteenth!I206)</f>
        <v/>
      </c>
      <c r="J3203" s="66" t="str">
        <f>IF(Thirteenth!J206="", "",Thirteenth!J206)</f>
        <v/>
      </c>
      <c r="K3203" s="86" t="str">
        <f>IF(Thirteenth!K206="", "",Thirteenth!K206)</f>
        <v/>
      </c>
      <c r="M3203" s="67" t="str">
        <f t="shared" ref="M3203:M3266" si="152">IF(C3203="PwC",(7-COUNTIF(B3203:H3203,"")),"")</f>
        <v/>
      </c>
      <c r="N3203" s="76" t="str">
        <f t="shared" ref="N3203:N3266" si="153">IF(C3203="Carer",(7-COUNTIF(B3203:H3203,"")),"")</f>
        <v/>
      </c>
      <c r="O3203" s="33">
        <f t="shared" si="151"/>
        <v>0</v>
      </c>
    </row>
    <row r="3204" spans="1:15" x14ac:dyDescent="0.25">
      <c r="A3204" s="64" t="s">
        <v>225</v>
      </c>
      <c r="B3204" s="79" t="str">
        <f>IF(Thirteenth!B207="", "",Thirteenth!B207)</f>
        <v/>
      </c>
      <c r="C3204" s="66" t="str">
        <f>IF(Thirteenth!C207="", "",Thirteenth!C207)</f>
        <v/>
      </c>
      <c r="D3204" s="66" t="str">
        <f>IF(Thirteenth!D207="", "",Thirteenth!D207)</f>
        <v/>
      </c>
      <c r="E3204" s="66" t="str">
        <f>IF(Thirteenth!E207="", "",Thirteenth!E207)</f>
        <v/>
      </c>
      <c r="F3204" s="66" t="str">
        <f>IF(Thirteenth!F207="", "",Thirteenth!F207)</f>
        <v/>
      </c>
      <c r="G3204" s="66" t="str">
        <f>IF(Thirteenth!G207="", "",Thirteenth!G207)</f>
        <v/>
      </c>
      <c r="H3204" s="66" t="str">
        <f>IF(Thirteenth!H207="", "",Thirteenth!H207)</f>
        <v/>
      </c>
      <c r="I3204" s="66" t="str">
        <f>IF(Thirteenth!I207="", "",Thirteenth!I207)</f>
        <v/>
      </c>
      <c r="J3204" s="66" t="str">
        <f>IF(Thirteenth!J207="", "",Thirteenth!J207)</f>
        <v/>
      </c>
      <c r="K3204" s="86" t="str">
        <f>IF(Thirteenth!K207="", "",Thirteenth!K207)</f>
        <v/>
      </c>
      <c r="M3204" s="67" t="str">
        <f t="shared" si="152"/>
        <v/>
      </c>
      <c r="N3204" s="76" t="str">
        <f t="shared" si="153"/>
        <v/>
      </c>
      <c r="O3204" s="33">
        <f t="shared" si="151"/>
        <v>0</v>
      </c>
    </row>
    <row r="3205" spans="1:15" x14ac:dyDescent="0.25">
      <c r="A3205" s="64" t="s">
        <v>225</v>
      </c>
      <c r="B3205" s="79" t="str">
        <f>IF(Thirteenth!B208="", "",Thirteenth!B208)</f>
        <v/>
      </c>
      <c r="C3205" s="66" t="str">
        <f>IF(Thirteenth!C208="", "",Thirteenth!C208)</f>
        <v/>
      </c>
      <c r="D3205" s="66" t="str">
        <f>IF(Thirteenth!D208="", "",Thirteenth!D208)</f>
        <v/>
      </c>
      <c r="E3205" s="66" t="str">
        <f>IF(Thirteenth!E208="", "",Thirteenth!E208)</f>
        <v/>
      </c>
      <c r="F3205" s="66" t="str">
        <f>IF(Thirteenth!F208="", "",Thirteenth!F208)</f>
        <v/>
      </c>
      <c r="G3205" s="66" t="str">
        <f>IF(Thirteenth!G208="", "",Thirteenth!G208)</f>
        <v/>
      </c>
      <c r="H3205" s="66" t="str">
        <f>IF(Thirteenth!H208="", "",Thirteenth!H208)</f>
        <v/>
      </c>
      <c r="I3205" s="66" t="str">
        <f>IF(Thirteenth!I208="", "",Thirteenth!I208)</f>
        <v/>
      </c>
      <c r="J3205" s="66" t="str">
        <f>IF(Thirteenth!J208="", "",Thirteenth!J208)</f>
        <v/>
      </c>
      <c r="K3205" s="86" t="str">
        <f>IF(Thirteenth!K208="", "",Thirteenth!K208)</f>
        <v/>
      </c>
      <c r="M3205" s="67" t="str">
        <f t="shared" si="152"/>
        <v/>
      </c>
      <c r="N3205" s="76" t="str">
        <f t="shared" si="153"/>
        <v/>
      </c>
      <c r="O3205" s="33">
        <f t="shared" si="151"/>
        <v>0</v>
      </c>
    </row>
    <row r="3206" spans="1:15" x14ac:dyDescent="0.25">
      <c r="A3206" s="64" t="s">
        <v>225</v>
      </c>
      <c r="B3206" s="79" t="str">
        <f>IF(Thirteenth!B209="", "",Thirteenth!B209)</f>
        <v/>
      </c>
      <c r="C3206" s="66" t="str">
        <f>IF(Thirteenth!C209="", "",Thirteenth!C209)</f>
        <v/>
      </c>
      <c r="D3206" s="66" t="str">
        <f>IF(Thirteenth!D209="", "",Thirteenth!D209)</f>
        <v/>
      </c>
      <c r="E3206" s="66" t="str">
        <f>IF(Thirteenth!E209="", "",Thirteenth!E209)</f>
        <v/>
      </c>
      <c r="F3206" s="66" t="str">
        <f>IF(Thirteenth!F209="", "",Thirteenth!F209)</f>
        <v/>
      </c>
      <c r="G3206" s="66" t="str">
        <f>IF(Thirteenth!G209="", "",Thirteenth!G209)</f>
        <v/>
      </c>
      <c r="H3206" s="66" t="str">
        <f>IF(Thirteenth!H209="", "",Thirteenth!H209)</f>
        <v/>
      </c>
      <c r="I3206" s="66" t="str">
        <f>IF(Thirteenth!I209="", "",Thirteenth!I209)</f>
        <v/>
      </c>
      <c r="J3206" s="66" t="str">
        <f>IF(Thirteenth!J209="", "",Thirteenth!J209)</f>
        <v/>
      </c>
      <c r="K3206" s="86" t="str">
        <f>IF(Thirteenth!K209="", "",Thirteenth!K209)</f>
        <v/>
      </c>
      <c r="M3206" s="67" t="str">
        <f t="shared" si="152"/>
        <v/>
      </c>
      <c r="N3206" s="76" t="str">
        <f t="shared" si="153"/>
        <v/>
      </c>
      <c r="O3206" s="33">
        <f t="shared" si="151"/>
        <v>0</v>
      </c>
    </row>
    <row r="3207" spans="1:15" x14ac:dyDescent="0.25">
      <c r="A3207" s="64" t="s">
        <v>225</v>
      </c>
      <c r="B3207" s="79" t="str">
        <f>IF(Thirteenth!B210="", "",Thirteenth!B210)</f>
        <v/>
      </c>
      <c r="C3207" s="66" t="str">
        <f>IF(Thirteenth!C210="", "",Thirteenth!C210)</f>
        <v/>
      </c>
      <c r="D3207" s="66" t="str">
        <f>IF(Thirteenth!D210="", "",Thirteenth!D210)</f>
        <v/>
      </c>
      <c r="E3207" s="66" t="str">
        <f>IF(Thirteenth!E210="", "",Thirteenth!E210)</f>
        <v/>
      </c>
      <c r="F3207" s="66" t="str">
        <f>IF(Thirteenth!F210="", "",Thirteenth!F210)</f>
        <v/>
      </c>
      <c r="G3207" s="66" t="str">
        <f>IF(Thirteenth!G210="", "",Thirteenth!G210)</f>
        <v/>
      </c>
      <c r="H3207" s="66" t="str">
        <f>IF(Thirteenth!H210="", "",Thirteenth!H210)</f>
        <v/>
      </c>
      <c r="I3207" s="66" t="str">
        <f>IF(Thirteenth!I210="", "",Thirteenth!I210)</f>
        <v/>
      </c>
      <c r="J3207" s="66" t="str">
        <f>IF(Thirteenth!J210="", "",Thirteenth!J210)</f>
        <v/>
      </c>
      <c r="K3207" s="86" t="str">
        <f>IF(Thirteenth!K210="", "",Thirteenth!K210)</f>
        <v/>
      </c>
      <c r="M3207" s="67" t="str">
        <f t="shared" si="152"/>
        <v/>
      </c>
      <c r="N3207" s="76" t="str">
        <f t="shared" si="153"/>
        <v/>
      </c>
      <c r="O3207" s="33">
        <f t="shared" si="151"/>
        <v>0</v>
      </c>
    </row>
    <row r="3208" spans="1:15" x14ac:dyDescent="0.25">
      <c r="A3208" s="64" t="s">
        <v>225</v>
      </c>
      <c r="B3208" s="79" t="str">
        <f>IF(Thirteenth!B211="", "",Thirteenth!B211)</f>
        <v/>
      </c>
      <c r="C3208" s="66" t="str">
        <f>IF(Thirteenth!C211="", "",Thirteenth!C211)</f>
        <v/>
      </c>
      <c r="D3208" s="66" t="str">
        <f>IF(Thirteenth!D211="", "",Thirteenth!D211)</f>
        <v/>
      </c>
      <c r="E3208" s="66" t="str">
        <f>IF(Thirteenth!E211="", "",Thirteenth!E211)</f>
        <v/>
      </c>
      <c r="F3208" s="66" t="str">
        <f>IF(Thirteenth!F211="", "",Thirteenth!F211)</f>
        <v/>
      </c>
      <c r="G3208" s="66" t="str">
        <f>IF(Thirteenth!G211="", "",Thirteenth!G211)</f>
        <v/>
      </c>
      <c r="H3208" s="66" t="str">
        <f>IF(Thirteenth!H211="", "",Thirteenth!H211)</f>
        <v/>
      </c>
      <c r="I3208" s="66" t="str">
        <f>IF(Thirteenth!I211="", "",Thirteenth!I211)</f>
        <v/>
      </c>
      <c r="J3208" s="66" t="str">
        <f>IF(Thirteenth!J211="", "",Thirteenth!J211)</f>
        <v/>
      </c>
      <c r="K3208" s="86" t="str">
        <f>IF(Thirteenth!K211="", "",Thirteenth!K211)</f>
        <v/>
      </c>
      <c r="M3208" s="67" t="str">
        <f t="shared" si="152"/>
        <v/>
      </c>
      <c r="N3208" s="76" t="str">
        <f t="shared" si="153"/>
        <v/>
      </c>
      <c r="O3208" s="33">
        <f t="shared" si="151"/>
        <v>0</v>
      </c>
    </row>
    <row r="3209" spans="1:15" x14ac:dyDescent="0.25">
      <c r="A3209" s="64" t="s">
        <v>225</v>
      </c>
      <c r="B3209" s="79" t="str">
        <f>IF(Thirteenth!B212="", "",Thirteenth!B212)</f>
        <v/>
      </c>
      <c r="C3209" s="66" t="str">
        <f>IF(Thirteenth!C212="", "",Thirteenth!C212)</f>
        <v/>
      </c>
      <c r="D3209" s="66" t="str">
        <f>IF(Thirteenth!D212="", "",Thirteenth!D212)</f>
        <v/>
      </c>
      <c r="E3209" s="66" t="str">
        <f>IF(Thirteenth!E212="", "",Thirteenth!E212)</f>
        <v/>
      </c>
      <c r="F3209" s="66" t="str">
        <f>IF(Thirteenth!F212="", "",Thirteenth!F212)</f>
        <v/>
      </c>
      <c r="G3209" s="66" t="str">
        <f>IF(Thirteenth!G212="", "",Thirteenth!G212)</f>
        <v/>
      </c>
      <c r="H3209" s="66" t="str">
        <f>IF(Thirteenth!H212="", "",Thirteenth!H212)</f>
        <v/>
      </c>
      <c r="I3209" s="66" t="str">
        <f>IF(Thirteenth!I212="", "",Thirteenth!I212)</f>
        <v/>
      </c>
      <c r="J3209" s="66" t="str">
        <f>IF(Thirteenth!J212="", "",Thirteenth!J212)</f>
        <v/>
      </c>
      <c r="K3209" s="86" t="str">
        <f>IF(Thirteenth!K212="", "",Thirteenth!K212)</f>
        <v/>
      </c>
      <c r="M3209" s="67" t="str">
        <f t="shared" si="152"/>
        <v/>
      </c>
      <c r="N3209" s="76" t="str">
        <f t="shared" si="153"/>
        <v/>
      </c>
      <c r="O3209" s="33">
        <f t="shared" si="151"/>
        <v>0</v>
      </c>
    </row>
    <row r="3210" spans="1:15" x14ac:dyDescent="0.25">
      <c r="A3210" s="64" t="s">
        <v>225</v>
      </c>
      <c r="B3210" s="79" t="str">
        <f>IF(Thirteenth!B213="", "",Thirteenth!B213)</f>
        <v/>
      </c>
      <c r="C3210" s="66" t="str">
        <f>IF(Thirteenth!C213="", "",Thirteenth!C213)</f>
        <v/>
      </c>
      <c r="D3210" s="66" t="str">
        <f>IF(Thirteenth!D213="", "",Thirteenth!D213)</f>
        <v/>
      </c>
      <c r="E3210" s="66" t="str">
        <f>IF(Thirteenth!E213="", "",Thirteenth!E213)</f>
        <v/>
      </c>
      <c r="F3210" s="66" t="str">
        <f>IF(Thirteenth!F213="", "",Thirteenth!F213)</f>
        <v/>
      </c>
      <c r="G3210" s="66" t="str">
        <f>IF(Thirteenth!G213="", "",Thirteenth!G213)</f>
        <v/>
      </c>
      <c r="H3210" s="66" t="str">
        <f>IF(Thirteenth!H213="", "",Thirteenth!H213)</f>
        <v/>
      </c>
      <c r="I3210" s="66" t="str">
        <f>IF(Thirteenth!I213="", "",Thirteenth!I213)</f>
        <v/>
      </c>
      <c r="J3210" s="66" t="str">
        <f>IF(Thirteenth!J213="", "",Thirteenth!J213)</f>
        <v/>
      </c>
      <c r="K3210" s="86" t="str">
        <f>IF(Thirteenth!K213="", "",Thirteenth!K213)</f>
        <v/>
      </c>
      <c r="M3210" s="67" t="str">
        <f t="shared" si="152"/>
        <v/>
      </c>
      <c r="N3210" s="76" t="str">
        <f t="shared" si="153"/>
        <v/>
      </c>
      <c r="O3210" s="33">
        <f t="shared" si="151"/>
        <v>0</v>
      </c>
    </row>
    <row r="3211" spans="1:15" x14ac:dyDescent="0.25">
      <c r="A3211" s="64" t="s">
        <v>225</v>
      </c>
      <c r="B3211" s="79" t="str">
        <f>IF(Thirteenth!B214="", "",Thirteenth!B214)</f>
        <v/>
      </c>
      <c r="C3211" s="66" t="str">
        <f>IF(Thirteenth!C214="", "",Thirteenth!C214)</f>
        <v/>
      </c>
      <c r="D3211" s="66" t="str">
        <f>IF(Thirteenth!D214="", "",Thirteenth!D214)</f>
        <v/>
      </c>
      <c r="E3211" s="66" t="str">
        <f>IF(Thirteenth!E214="", "",Thirteenth!E214)</f>
        <v/>
      </c>
      <c r="F3211" s="66" t="str">
        <f>IF(Thirteenth!F214="", "",Thirteenth!F214)</f>
        <v/>
      </c>
      <c r="G3211" s="66" t="str">
        <f>IF(Thirteenth!G214="", "",Thirteenth!G214)</f>
        <v/>
      </c>
      <c r="H3211" s="66" t="str">
        <f>IF(Thirteenth!H214="", "",Thirteenth!H214)</f>
        <v/>
      </c>
      <c r="I3211" s="66" t="str">
        <f>IF(Thirteenth!I214="", "",Thirteenth!I214)</f>
        <v/>
      </c>
      <c r="J3211" s="66" t="str">
        <f>IF(Thirteenth!J214="", "",Thirteenth!J214)</f>
        <v/>
      </c>
      <c r="K3211" s="86" t="str">
        <f>IF(Thirteenth!K214="", "",Thirteenth!K214)</f>
        <v/>
      </c>
      <c r="M3211" s="67" t="str">
        <f t="shared" si="152"/>
        <v/>
      </c>
      <c r="N3211" s="76" t="str">
        <f t="shared" si="153"/>
        <v/>
      </c>
      <c r="O3211" s="33">
        <f t="shared" si="151"/>
        <v>0</v>
      </c>
    </row>
    <row r="3212" spans="1:15" x14ac:dyDescent="0.25">
      <c r="A3212" s="64" t="s">
        <v>225</v>
      </c>
      <c r="B3212" s="79" t="str">
        <f>IF(Thirteenth!B215="", "",Thirteenth!B215)</f>
        <v/>
      </c>
      <c r="C3212" s="66" t="str">
        <f>IF(Thirteenth!C215="", "",Thirteenth!C215)</f>
        <v/>
      </c>
      <c r="D3212" s="66" t="str">
        <f>IF(Thirteenth!D215="", "",Thirteenth!D215)</f>
        <v/>
      </c>
      <c r="E3212" s="66" t="str">
        <f>IF(Thirteenth!E215="", "",Thirteenth!E215)</f>
        <v/>
      </c>
      <c r="F3212" s="66" t="str">
        <f>IF(Thirteenth!F215="", "",Thirteenth!F215)</f>
        <v/>
      </c>
      <c r="G3212" s="66" t="str">
        <f>IF(Thirteenth!G215="", "",Thirteenth!G215)</f>
        <v/>
      </c>
      <c r="H3212" s="66" t="str">
        <f>IF(Thirteenth!H215="", "",Thirteenth!H215)</f>
        <v/>
      </c>
      <c r="I3212" s="66" t="str">
        <f>IF(Thirteenth!I215="", "",Thirteenth!I215)</f>
        <v/>
      </c>
      <c r="J3212" s="66" t="str">
        <f>IF(Thirteenth!J215="", "",Thirteenth!J215)</f>
        <v/>
      </c>
      <c r="K3212" s="86" t="str">
        <f>IF(Thirteenth!K215="", "",Thirteenth!K215)</f>
        <v/>
      </c>
      <c r="M3212" s="67" t="str">
        <f t="shared" si="152"/>
        <v/>
      </c>
      <c r="N3212" s="76" t="str">
        <f t="shared" si="153"/>
        <v/>
      </c>
      <c r="O3212" s="33">
        <f t="shared" si="151"/>
        <v>0</v>
      </c>
    </row>
    <row r="3213" spans="1:15" x14ac:dyDescent="0.25">
      <c r="A3213" s="64" t="s">
        <v>225</v>
      </c>
      <c r="B3213" s="79" t="str">
        <f>IF(Thirteenth!B216="", "",Thirteenth!B216)</f>
        <v/>
      </c>
      <c r="C3213" s="66" t="str">
        <f>IF(Thirteenth!C216="", "",Thirteenth!C216)</f>
        <v/>
      </c>
      <c r="D3213" s="66" t="str">
        <f>IF(Thirteenth!D216="", "",Thirteenth!D216)</f>
        <v/>
      </c>
      <c r="E3213" s="66" t="str">
        <f>IF(Thirteenth!E216="", "",Thirteenth!E216)</f>
        <v/>
      </c>
      <c r="F3213" s="66" t="str">
        <f>IF(Thirteenth!F216="", "",Thirteenth!F216)</f>
        <v/>
      </c>
      <c r="G3213" s="66" t="str">
        <f>IF(Thirteenth!G216="", "",Thirteenth!G216)</f>
        <v/>
      </c>
      <c r="H3213" s="66" t="str">
        <f>IF(Thirteenth!H216="", "",Thirteenth!H216)</f>
        <v/>
      </c>
      <c r="I3213" s="66" t="str">
        <f>IF(Thirteenth!I216="", "",Thirteenth!I216)</f>
        <v/>
      </c>
      <c r="J3213" s="66" t="str">
        <f>IF(Thirteenth!J216="", "",Thirteenth!J216)</f>
        <v/>
      </c>
      <c r="K3213" s="86" t="str">
        <f>IF(Thirteenth!K216="", "",Thirteenth!K216)</f>
        <v/>
      </c>
      <c r="M3213" s="67" t="str">
        <f t="shared" si="152"/>
        <v/>
      </c>
      <c r="N3213" s="76" t="str">
        <f t="shared" si="153"/>
        <v/>
      </c>
      <c r="O3213" s="33">
        <f t="shared" si="151"/>
        <v>0</v>
      </c>
    </row>
    <row r="3214" spans="1:15" x14ac:dyDescent="0.25">
      <c r="A3214" s="64" t="s">
        <v>225</v>
      </c>
      <c r="B3214" s="79" t="str">
        <f>IF(Thirteenth!B217="", "",Thirteenth!B217)</f>
        <v/>
      </c>
      <c r="C3214" s="66" t="str">
        <f>IF(Thirteenth!C217="", "",Thirteenth!C217)</f>
        <v/>
      </c>
      <c r="D3214" s="66" t="str">
        <f>IF(Thirteenth!D217="", "",Thirteenth!D217)</f>
        <v/>
      </c>
      <c r="E3214" s="66" t="str">
        <f>IF(Thirteenth!E217="", "",Thirteenth!E217)</f>
        <v/>
      </c>
      <c r="F3214" s="66" t="str">
        <f>IF(Thirteenth!F217="", "",Thirteenth!F217)</f>
        <v/>
      </c>
      <c r="G3214" s="66" t="str">
        <f>IF(Thirteenth!G217="", "",Thirteenth!G217)</f>
        <v/>
      </c>
      <c r="H3214" s="66" t="str">
        <f>IF(Thirteenth!H217="", "",Thirteenth!H217)</f>
        <v/>
      </c>
      <c r="I3214" s="66" t="str">
        <f>IF(Thirteenth!I217="", "",Thirteenth!I217)</f>
        <v/>
      </c>
      <c r="J3214" s="66" t="str">
        <f>IF(Thirteenth!J217="", "",Thirteenth!J217)</f>
        <v/>
      </c>
      <c r="K3214" s="86" t="str">
        <f>IF(Thirteenth!K217="", "",Thirteenth!K217)</f>
        <v/>
      </c>
      <c r="M3214" s="67" t="str">
        <f t="shared" si="152"/>
        <v/>
      </c>
      <c r="N3214" s="76" t="str">
        <f t="shared" si="153"/>
        <v/>
      </c>
      <c r="O3214" s="33">
        <f t="shared" si="151"/>
        <v>0</v>
      </c>
    </row>
    <row r="3215" spans="1:15" x14ac:dyDescent="0.25">
      <c r="A3215" s="64" t="s">
        <v>225</v>
      </c>
      <c r="B3215" s="79" t="str">
        <f>IF(Thirteenth!B218="", "",Thirteenth!B218)</f>
        <v/>
      </c>
      <c r="C3215" s="66" t="str">
        <f>IF(Thirteenth!C218="", "",Thirteenth!C218)</f>
        <v/>
      </c>
      <c r="D3215" s="66" t="str">
        <f>IF(Thirteenth!D218="", "",Thirteenth!D218)</f>
        <v/>
      </c>
      <c r="E3215" s="66" t="str">
        <f>IF(Thirteenth!E218="", "",Thirteenth!E218)</f>
        <v/>
      </c>
      <c r="F3215" s="66" t="str">
        <f>IF(Thirteenth!F218="", "",Thirteenth!F218)</f>
        <v/>
      </c>
      <c r="G3215" s="66" t="str">
        <f>IF(Thirteenth!G218="", "",Thirteenth!G218)</f>
        <v/>
      </c>
      <c r="H3215" s="66" t="str">
        <f>IF(Thirteenth!H218="", "",Thirteenth!H218)</f>
        <v/>
      </c>
      <c r="I3215" s="66" t="str">
        <f>IF(Thirteenth!I218="", "",Thirteenth!I218)</f>
        <v/>
      </c>
      <c r="J3215" s="66" t="str">
        <f>IF(Thirteenth!J218="", "",Thirteenth!J218)</f>
        <v/>
      </c>
      <c r="K3215" s="86" t="str">
        <f>IF(Thirteenth!K218="", "",Thirteenth!K218)</f>
        <v/>
      </c>
      <c r="M3215" s="67" t="str">
        <f t="shared" si="152"/>
        <v/>
      </c>
      <c r="N3215" s="76" t="str">
        <f t="shared" si="153"/>
        <v/>
      </c>
      <c r="O3215" s="33">
        <f t="shared" si="151"/>
        <v>0</v>
      </c>
    </row>
    <row r="3216" spans="1:15" x14ac:dyDescent="0.25">
      <c r="A3216" s="64" t="s">
        <v>225</v>
      </c>
      <c r="B3216" s="79" t="str">
        <f>IF(Thirteenth!B219="", "",Thirteenth!B219)</f>
        <v/>
      </c>
      <c r="C3216" s="66" t="str">
        <f>IF(Thirteenth!C219="", "",Thirteenth!C219)</f>
        <v/>
      </c>
      <c r="D3216" s="66" t="str">
        <f>IF(Thirteenth!D219="", "",Thirteenth!D219)</f>
        <v/>
      </c>
      <c r="E3216" s="66" t="str">
        <f>IF(Thirteenth!E219="", "",Thirteenth!E219)</f>
        <v/>
      </c>
      <c r="F3216" s="66" t="str">
        <f>IF(Thirteenth!F219="", "",Thirteenth!F219)</f>
        <v/>
      </c>
      <c r="G3216" s="66" t="str">
        <f>IF(Thirteenth!G219="", "",Thirteenth!G219)</f>
        <v/>
      </c>
      <c r="H3216" s="66" t="str">
        <f>IF(Thirteenth!H219="", "",Thirteenth!H219)</f>
        <v/>
      </c>
      <c r="I3216" s="66" t="str">
        <f>IF(Thirteenth!I219="", "",Thirteenth!I219)</f>
        <v/>
      </c>
      <c r="J3216" s="66" t="str">
        <f>IF(Thirteenth!J219="", "",Thirteenth!J219)</f>
        <v/>
      </c>
      <c r="K3216" s="86" t="str">
        <f>IF(Thirteenth!K219="", "",Thirteenth!K219)</f>
        <v/>
      </c>
      <c r="M3216" s="67" t="str">
        <f t="shared" si="152"/>
        <v/>
      </c>
      <c r="N3216" s="76" t="str">
        <f t="shared" si="153"/>
        <v/>
      </c>
      <c r="O3216" s="33">
        <f t="shared" si="151"/>
        <v>0</v>
      </c>
    </row>
    <row r="3217" spans="1:15" x14ac:dyDescent="0.25">
      <c r="A3217" s="64" t="s">
        <v>225</v>
      </c>
      <c r="B3217" s="79" t="str">
        <f>IF(Thirteenth!B220="", "",Thirteenth!B220)</f>
        <v/>
      </c>
      <c r="C3217" s="66" t="str">
        <f>IF(Thirteenth!C220="", "",Thirteenth!C220)</f>
        <v/>
      </c>
      <c r="D3217" s="66" t="str">
        <f>IF(Thirteenth!D220="", "",Thirteenth!D220)</f>
        <v/>
      </c>
      <c r="E3217" s="66" t="str">
        <f>IF(Thirteenth!E220="", "",Thirteenth!E220)</f>
        <v/>
      </c>
      <c r="F3217" s="66" t="str">
        <f>IF(Thirteenth!F220="", "",Thirteenth!F220)</f>
        <v/>
      </c>
      <c r="G3217" s="66" t="str">
        <f>IF(Thirteenth!G220="", "",Thirteenth!G220)</f>
        <v/>
      </c>
      <c r="H3217" s="66" t="str">
        <f>IF(Thirteenth!H220="", "",Thirteenth!H220)</f>
        <v/>
      </c>
      <c r="I3217" s="66" t="str">
        <f>IF(Thirteenth!I220="", "",Thirteenth!I220)</f>
        <v/>
      </c>
      <c r="J3217" s="66" t="str">
        <f>IF(Thirteenth!J220="", "",Thirteenth!J220)</f>
        <v/>
      </c>
      <c r="K3217" s="86" t="str">
        <f>IF(Thirteenth!K220="", "",Thirteenth!K220)</f>
        <v/>
      </c>
      <c r="M3217" s="67" t="str">
        <f t="shared" si="152"/>
        <v/>
      </c>
      <c r="N3217" s="76" t="str">
        <f t="shared" si="153"/>
        <v/>
      </c>
      <c r="O3217" s="33">
        <f t="shared" si="151"/>
        <v>0</v>
      </c>
    </row>
    <row r="3218" spans="1:15" x14ac:dyDescent="0.25">
      <c r="A3218" s="64" t="s">
        <v>225</v>
      </c>
      <c r="B3218" s="79" t="str">
        <f>IF(Thirteenth!B221="", "",Thirteenth!B221)</f>
        <v/>
      </c>
      <c r="C3218" s="66" t="str">
        <f>IF(Thirteenth!C221="", "",Thirteenth!C221)</f>
        <v/>
      </c>
      <c r="D3218" s="66" t="str">
        <f>IF(Thirteenth!D221="", "",Thirteenth!D221)</f>
        <v/>
      </c>
      <c r="E3218" s="66" t="str">
        <f>IF(Thirteenth!E221="", "",Thirteenth!E221)</f>
        <v/>
      </c>
      <c r="F3218" s="66" t="str">
        <f>IF(Thirteenth!F221="", "",Thirteenth!F221)</f>
        <v/>
      </c>
      <c r="G3218" s="66" t="str">
        <f>IF(Thirteenth!G221="", "",Thirteenth!G221)</f>
        <v/>
      </c>
      <c r="H3218" s="66" t="str">
        <f>IF(Thirteenth!H221="", "",Thirteenth!H221)</f>
        <v/>
      </c>
      <c r="I3218" s="66" t="str">
        <f>IF(Thirteenth!I221="", "",Thirteenth!I221)</f>
        <v/>
      </c>
      <c r="J3218" s="66" t="str">
        <f>IF(Thirteenth!J221="", "",Thirteenth!J221)</f>
        <v/>
      </c>
      <c r="K3218" s="86" t="str">
        <f>IF(Thirteenth!K221="", "",Thirteenth!K221)</f>
        <v/>
      </c>
      <c r="M3218" s="67" t="str">
        <f t="shared" si="152"/>
        <v/>
      </c>
      <c r="N3218" s="76" t="str">
        <f t="shared" si="153"/>
        <v/>
      </c>
      <c r="O3218" s="33">
        <f t="shared" si="151"/>
        <v>0</v>
      </c>
    </row>
    <row r="3219" spans="1:15" x14ac:dyDescent="0.25">
      <c r="A3219" s="64" t="s">
        <v>225</v>
      </c>
      <c r="B3219" s="79" t="str">
        <f>IF(Thirteenth!B222="", "",Thirteenth!B222)</f>
        <v/>
      </c>
      <c r="C3219" s="66" t="str">
        <f>IF(Thirteenth!C222="", "",Thirteenth!C222)</f>
        <v/>
      </c>
      <c r="D3219" s="66" t="str">
        <f>IF(Thirteenth!D222="", "",Thirteenth!D222)</f>
        <v/>
      </c>
      <c r="E3219" s="66" t="str">
        <f>IF(Thirteenth!E222="", "",Thirteenth!E222)</f>
        <v/>
      </c>
      <c r="F3219" s="66" t="str">
        <f>IF(Thirteenth!F222="", "",Thirteenth!F222)</f>
        <v/>
      </c>
      <c r="G3219" s="66" t="str">
        <f>IF(Thirteenth!G222="", "",Thirteenth!G222)</f>
        <v/>
      </c>
      <c r="H3219" s="66" t="str">
        <f>IF(Thirteenth!H222="", "",Thirteenth!H222)</f>
        <v/>
      </c>
      <c r="I3219" s="66" t="str">
        <f>IF(Thirteenth!I222="", "",Thirteenth!I222)</f>
        <v/>
      </c>
      <c r="J3219" s="66" t="str">
        <f>IF(Thirteenth!J222="", "",Thirteenth!J222)</f>
        <v/>
      </c>
      <c r="K3219" s="86" t="str">
        <f>IF(Thirteenth!K222="", "",Thirteenth!K222)</f>
        <v/>
      </c>
      <c r="M3219" s="67" t="str">
        <f t="shared" si="152"/>
        <v/>
      </c>
      <c r="N3219" s="76" t="str">
        <f t="shared" si="153"/>
        <v/>
      </c>
      <c r="O3219" s="33">
        <f t="shared" si="151"/>
        <v>0</v>
      </c>
    </row>
    <row r="3220" spans="1:15" x14ac:dyDescent="0.25">
      <c r="A3220" s="64" t="s">
        <v>225</v>
      </c>
      <c r="B3220" s="79" t="str">
        <f>IF(Thirteenth!B223="", "",Thirteenth!B223)</f>
        <v/>
      </c>
      <c r="C3220" s="66" t="str">
        <f>IF(Thirteenth!C223="", "",Thirteenth!C223)</f>
        <v/>
      </c>
      <c r="D3220" s="66" t="str">
        <f>IF(Thirteenth!D223="", "",Thirteenth!D223)</f>
        <v/>
      </c>
      <c r="E3220" s="66" t="str">
        <f>IF(Thirteenth!E223="", "",Thirteenth!E223)</f>
        <v/>
      </c>
      <c r="F3220" s="66" t="str">
        <f>IF(Thirteenth!F223="", "",Thirteenth!F223)</f>
        <v/>
      </c>
      <c r="G3220" s="66" t="str">
        <f>IF(Thirteenth!G223="", "",Thirteenth!G223)</f>
        <v/>
      </c>
      <c r="H3220" s="66" t="str">
        <f>IF(Thirteenth!H223="", "",Thirteenth!H223)</f>
        <v/>
      </c>
      <c r="I3220" s="66" t="str">
        <f>IF(Thirteenth!I223="", "",Thirteenth!I223)</f>
        <v/>
      </c>
      <c r="J3220" s="66" t="str">
        <f>IF(Thirteenth!J223="", "",Thirteenth!J223)</f>
        <v/>
      </c>
      <c r="K3220" s="86" t="str">
        <f>IF(Thirteenth!K223="", "",Thirteenth!K223)</f>
        <v/>
      </c>
      <c r="M3220" s="67" t="str">
        <f t="shared" si="152"/>
        <v/>
      </c>
      <c r="N3220" s="76" t="str">
        <f t="shared" si="153"/>
        <v/>
      </c>
      <c r="O3220" s="33">
        <f t="shared" si="151"/>
        <v>0</v>
      </c>
    </row>
    <row r="3221" spans="1:15" x14ac:dyDescent="0.25">
      <c r="A3221" s="64" t="s">
        <v>225</v>
      </c>
      <c r="B3221" s="79" t="str">
        <f>IF(Thirteenth!B224="", "",Thirteenth!B224)</f>
        <v/>
      </c>
      <c r="C3221" s="66" t="str">
        <f>IF(Thirteenth!C224="", "",Thirteenth!C224)</f>
        <v/>
      </c>
      <c r="D3221" s="66" t="str">
        <f>IF(Thirteenth!D224="", "",Thirteenth!D224)</f>
        <v/>
      </c>
      <c r="E3221" s="66" t="str">
        <f>IF(Thirteenth!E224="", "",Thirteenth!E224)</f>
        <v/>
      </c>
      <c r="F3221" s="66" t="str">
        <f>IF(Thirteenth!F224="", "",Thirteenth!F224)</f>
        <v/>
      </c>
      <c r="G3221" s="66" t="str">
        <f>IF(Thirteenth!G224="", "",Thirteenth!G224)</f>
        <v/>
      </c>
      <c r="H3221" s="66" t="str">
        <f>IF(Thirteenth!H224="", "",Thirteenth!H224)</f>
        <v/>
      </c>
      <c r="I3221" s="66" t="str">
        <f>IF(Thirteenth!I224="", "",Thirteenth!I224)</f>
        <v/>
      </c>
      <c r="J3221" s="66" t="str">
        <f>IF(Thirteenth!J224="", "",Thirteenth!J224)</f>
        <v/>
      </c>
      <c r="K3221" s="86" t="str">
        <f>IF(Thirteenth!K224="", "",Thirteenth!K224)</f>
        <v/>
      </c>
      <c r="M3221" s="67" t="str">
        <f t="shared" si="152"/>
        <v/>
      </c>
      <c r="N3221" s="76" t="str">
        <f t="shared" si="153"/>
        <v/>
      </c>
      <c r="O3221" s="33">
        <f t="shared" si="151"/>
        <v>0</v>
      </c>
    </row>
    <row r="3222" spans="1:15" x14ac:dyDescent="0.25">
      <c r="A3222" s="64" t="s">
        <v>225</v>
      </c>
      <c r="B3222" s="79" t="str">
        <f>IF(Thirteenth!B225="", "",Thirteenth!B225)</f>
        <v/>
      </c>
      <c r="C3222" s="66" t="str">
        <f>IF(Thirteenth!C225="", "",Thirteenth!C225)</f>
        <v/>
      </c>
      <c r="D3222" s="66" t="str">
        <f>IF(Thirteenth!D225="", "",Thirteenth!D225)</f>
        <v/>
      </c>
      <c r="E3222" s="66" t="str">
        <f>IF(Thirteenth!E225="", "",Thirteenth!E225)</f>
        <v/>
      </c>
      <c r="F3222" s="66" t="str">
        <f>IF(Thirteenth!F225="", "",Thirteenth!F225)</f>
        <v/>
      </c>
      <c r="G3222" s="66" t="str">
        <f>IF(Thirteenth!G225="", "",Thirteenth!G225)</f>
        <v/>
      </c>
      <c r="H3222" s="66" t="str">
        <f>IF(Thirteenth!H225="", "",Thirteenth!H225)</f>
        <v/>
      </c>
      <c r="I3222" s="66" t="str">
        <f>IF(Thirteenth!I225="", "",Thirteenth!I225)</f>
        <v/>
      </c>
      <c r="J3222" s="66" t="str">
        <f>IF(Thirteenth!J225="", "",Thirteenth!J225)</f>
        <v/>
      </c>
      <c r="K3222" s="86" t="str">
        <f>IF(Thirteenth!K225="", "",Thirteenth!K225)</f>
        <v/>
      </c>
      <c r="M3222" s="67" t="str">
        <f t="shared" si="152"/>
        <v/>
      </c>
      <c r="N3222" s="76" t="str">
        <f t="shared" si="153"/>
        <v/>
      </c>
      <c r="O3222" s="33">
        <f t="shared" si="151"/>
        <v>0</v>
      </c>
    </row>
    <row r="3223" spans="1:15" x14ac:dyDescent="0.25">
      <c r="A3223" s="64" t="s">
        <v>225</v>
      </c>
      <c r="B3223" s="79" t="str">
        <f>IF(Thirteenth!B226="", "",Thirteenth!B226)</f>
        <v/>
      </c>
      <c r="C3223" s="66" t="str">
        <f>IF(Thirteenth!C226="", "",Thirteenth!C226)</f>
        <v/>
      </c>
      <c r="D3223" s="66" t="str">
        <f>IF(Thirteenth!D226="", "",Thirteenth!D226)</f>
        <v/>
      </c>
      <c r="E3223" s="66" t="str">
        <f>IF(Thirteenth!E226="", "",Thirteenth!E226)</f>
        <v/>
      </c>
      <c r="F3223" s="66" t="str">
        <f>IF(Thirteenth!F226="", "",Thirteenth!F226)</f>
        <v/>
      </c>
      <c r="G3223" s="66" t="str">
        <f>IF(Thirteenth!G226="", "",Thirteenth!G226)</f>
        <v/>
      </c>
      <c r="H3223" s="66" t="str">
        <f>IF(Thirteenth!H226="", "",Thirteenth!H226)</f>
        <v/>
      </c>
      <c r="I3223" s="66" t="str">
        <f>IF(Thirteenth!I226="", "",Thirteenth!I226)</f>
        <v/>
      </c>
      <c r="J3223" s="66" t="str">
        <f>IF(Thirteenth!J226="", "",Thirteenth!J226)</f>
        <v/>
      </c>
      <c r="K3223" s="86" t="str">
        <f>IF(Thirteenth!K226="", "",Thirteenth!K226)</f>
        <v/>
      </c>
      <c r="M3223" s="67" t="str">
        <f t="shared" si="152"/>
        <v/>
      </c>
      <c r="N3223" s="76" t="str">
        <f t="shared" si="153"/>
        <v/>
      </c>
      <c r="O3223" s="33">
        <f t="shared" si="151"/>
        <v>0</v>
      </c>
    </row>
    <row r="3224" spans="1:15" x14ac:dyDescent="0.25">
      <c r="A3224" s="64" t="s">
        <v>225</v>
      </c>
      <c r="B3224" s="79" t="str">
        <f>IF(Thirteenth!B227="", "",Thirteenth!B227)</f>
        <v/>
      </c>
      <c r="C3224" s="66" t="str">
        <f>IF(Thirteenth!C227="", "",Thirteenth!C227)</f>
        <v/>
      </c>
      <c r="D3224" s="66" t="str">
        <f>IF(Thirteenth!D227="", "",Thirteenth!D227)</f>
        <v/>
      </c>
      <c r="E3224" s="66" t="str">
        <f>IF(Thirteenth!E227="", "",Thirteenth!E227)</f>
        <v/>
      </c>
      <c r="F3224" s="66" t="str">
        <f>IF(Thirteenth!F227="", "",Thirteenth!F227)</f>
        <v/>
      </c>
      <c r="G3224" s="66" t="str">
        <f>IF(Thirteenth!G227="", "",Thirteenth!G227)</f>
        <v/>
      </c>
      <c r="H3224" s="66" t="str">
        <f>IF(Thirteenth!H227="", "",Thirteenth!H227)</f>
        <v/>
      </c>
      <c r="I3224" s="66" t="str">
        <f>IF(Thirteenth!I227="", "",Thirteenth!I227)</f>
        <v/>
      </c>
      <c r="J3224" s="66" t="str">
        <f>IF(Thirteenth!J227="", "",Thirteenth!J227)</f>
        <v/>
      </c>
      <c r="K3224" s="86" t="str">
        <f>IF(Thirteenth!K227="", "",Thirteenth!K227)</f>
        <v/>
      </c>
      <c r="M3224" s="67" t="str">
        <f t="shared" si="152"/>
        <v/>
      </c>
      <c r="N3224" s="76" t="str">
        <f t="shared" si="153"/>
        <v/>
      </c>
      <c r="O3224" s="33">
        <f t="shared" si="151"/>
        <v>0</v>
      </c>
    </row>
    <row r="3225" spans="1:15" x14ac:dyDescent="0.25">
      <c r="A3225" s="64" t="s">
        <v>225</v>
      </c>
      <c r="B3225" s="79" t="str">
        <f>IF(Thirteenth!B228="", "",Thirteenth!B228)</f>
        <v/>
      </c>
      <c r="C3225" s="66" t="str">
        <f>IF(Thirteenth!C228="", "",Thirteenth!C228)</f>
        <v/>
      </c>
      <c r="D3225" s="66" t="str">
        <f>IF(Thirteenth!D228="", "",Thirteenth!D228)</f>
        <v/>
      </c>
      <c r="E3225" s="66" t="str">
        <f>IF(Thirteenth!E228="", "",Thirteenth!E228)</f>
        <v/>
      </c>
      <c r="F3225" s="66" t="str">
        <f>IF(Thirteenth!F228="", "",Thirteenth!F228)</f>
        <v/>
      </c>
      <c r="G3225" s="66" t="str">
        <f>IF(Thirteenth!G228="", "",Thirteenth!G228)</f>
        <v/>
      </c>
      <c r="H3225" s="66" t="str">
        <f>IF(Thirteenth!H228="", "",Thirteenth!H228)</f>
        <v/>
      </c>
      <c r="I3225" s="66" t="str">
        <f>IF(Thirteenth!I228="", "",Thirteenth!I228)</f>
        <v/>
      </c>
      <c r="J3225" s="66" t="str">
        <f>IF(Thirteenth!J228="", "",Thirteenth!J228)</f>
        <v/>
      </c>
      <c r="K3225" s="86" t="str">
        <f>IF(Thirteenth!K228="", "",Thirteenth!K228)</f>
        <v/>
      </c>
      <c r="M3225" s="67" t="str">
        <f t="shared" si="152"/>
        <v/>
      </c>
      <c r="N3225" s="76" t="str">
        <f t="shared" si="153"/>
        <v/>
      </c>
      <c r="O3225" s="33">
        <f t="shared" si="151"/>
        <v>0</v>
      </c>
    </row>
    <row r="3226" spans="1:15" x14ac:dyDescent="0.25">
      <c r="A3226" s="64" t="s">
        <v>225</v>
      </c>
      <c r="B3226" s="79" t="str">
        <f>IF(Thirteenth!B229="", "",Thirteenth!B229)</f>
        <v/>
      </c>
      <c r="C3226" s="66" t="str">
        <f>IF(Thirteenth!C229="", "",Thirteenth!C229)</f>
        <v/>
      </c>
      <c r="D3226" s="66" t="str">
        <f>IF(Thirteenth!D229="", "",Thirteenth!D229)</f>
        <v/>
      </c>
      <c r="E3226" s="66" t="str">
        <f>IF(Thirteenth!E229="", "",Thirteenth!E229)</f>
        <v/>
      </c>
      <c r="F3226" s="66" t="str">
        <f>IF(Thirteenth!F229="", "",Thirteenth!F229)</f>
        <v/>
      </c>
      <c r="G3226" s="66" t="str">
        <f>IF(Thirteenth!G229="", "",Thirteenth!G229)</f>
        <v/>
      </c>
      <c r="H3226" s="66" t="str">
        <f>IF(Thirteenth!H229="", "",Thirteenth!H229)</f>
        <v/>
      </c>
      <c r="I3226" s="66" t="str">
        <f>IF(Thirteenth!I229="", "",Thirteenth!I229)</f>
        <v/>
      </c>
      <c r="J3226" s="66" t="str">
        <f>IF(Thirteenth!J229="", "",Thirteenth!J229)</f>
        <v/>
      </c>
      <c r="K3226" s="86" t="str">
        <f>IF(Thirteenth!K229="", "",Thirteenth!K229)</f>
        <v/>
      </c>
      <c r="M3226" s="67" t="str">
        <f t="shared" si="152"/>
        <v/>
      </c>
      <c r="N3226" s="76" t="str">
        <f t="shared" si="153"/>
        <v/>
      </c>
      <c r="O3226" s="33">
        <f t="shared" si="151"/>
        <v>0</v>
      </c>
    </row>
    <row r="3227" spans="1:15" x14ac:dyDescent="0.25">
      <c r="A3227" s="64" t="s">
        <v>225</v>
      </c>
      <c r="B3227" s="79" t="str">
        <f>IF(Thirteenth!B230="", "",Thirteenth!B230)</f>
        <v/>
      </c>
      <c r="C3227" s="66" t="str">
        <f>IF(Thirteenth!C230="", "",Thirteenth!C230)</f>
        <v/>
      </c>
      <c r="D3227" s="66" t="str">
        <f>IF(Thirteenth!D230="", "",Thirteenth!D230)</f>
        <v/>
      </c>
      <c r="E3227" s="66" t="str">
        <f>IF(Thirteenth!E230="", "",Thirteenth!E230)</f>
        <v/>
      </c>
      <c r="F3227" s="66" t="str">
        <f>IF(Thirteenth!F230="", "",Thirteenth!F230)</f>
        <v/>
      </c>
      <c r="G3227" s="66" t="str">
        <f>IF(Thirteenth!G230="", "",Thirteenth!G230)</f>
        <v/>
      </c>
      <c r="H3227" s="66" t="str">
        <f>IF(Thirteenth!H230="", "",Thirteenth!H230)</f>
        <v/>
      </c>
      <c r="I3227" s="66" t="str">
        <f>IF(Thirteenth!I230="", "",Thirteenth!I230)</f>
        <v/>
      </c>
      <c r="J3227" s="66" t="str">
        <f>IF(Thirteenth!J230="", "",Thirteenth!J230)</f>
        <v/>
      </c>
      <c r="K3227" s="86" t="str">
        <f>IF(Thirteenth!K230="", "",Thirteenth!K230)</f>
        <v/>
      </c>
      <c r="M3227" s="67" t="str">
        <f t="shared" si="152"/>
        <v/>
      </c>
      <c r="N3227" s="76" t="str">
        <f t="shared" si="153"/>
        <v/>
      </c>
      <c r="O3227" s="33">
        <f t="shared" si="151"/>
        <v>0</v>
      </c>
    </row>
    <row r="3228" spans="1:15" x14ac:dyDescent="0.25">
      <c r="A3228" s="64" t="s">
        <v>225</v>
      </c>
      <c r="B3228" s="79" t="str">
        <f>IF(Thirteenth!B231="", "",Thirteenth!B231)</f>
        <v/>
      </c>
      <c r="C3228" s="66" t="str">
        <f>IF(Thirteenth!C231="", "",Thirteenth!C231)</f>
        <v/>
      </c>
      <c r="D3228" s="66" t="str">
        <f>IF(Thirteenth!D231="", "",Thirteenth!D231)</f>
        <v/>
      </c>
      <c r="E3228" s="66" t="str">
        <f>IF(Thirteenth!E231="", "",Thirteenth!E231)</f>
        <v/>
      </c>
      <c r="F3228" s="66" t="str">
        <f>IF(Thirteenth!F231="", "",Thirteenth!F231)</f>
        <v/>
      </c>
      <c r="G3228" s="66" t="str">
        <f>IF(Thirteenth!G231="", "",Thirteenth!G231)</f>
        <v/>
      </c>
      <c r="H3228" s="66" t="str">
        <f>IF(Thirteenth!H231="", "",Thirteenth!H231)</f>
        <v/>
      </c>
      <c r="I3228" s="66" t="str">
        <f>IF(Thirteenth!I231="", "",Thirteenth!I231)</f>
        <v/>
      </c>
      <c r="J3228" s="66" t="str">
        <f>IF(Thirteenth!J231="", "",Thirteenth!J231)</f>
        <v/>
      </c>
      <c r="K3228" s="86" t="str">
        <f>IF(Thirteenth!K231="", "",Thirteenth!K231)</f>
        <v/>
      </c>
      <c r="M3228" s="67" t="str">
        <f t="shared" si="152"/>
        <v/>
      </c>
      <c r="N3228" s="76" t="str">
        <f t="shared" si="153"/>
        <v/>
      </c>
      <c r="O3228" s="33">
        <f t="shared" si="151"/>
        <v>0</v>
      </c>
    </row>
    <row r="3229" spans="1:15" x14ac:dyDescent="0.25">
      <c r="A3229" s="64" t="s">
        <v>225</v>
      </c>
      <c r="B3229" s="79" t="str">
        <f>IF(Thirteenth!B232="", "",Thirteenth!B232)</f>
        <v/>
      </c>
      <c r="C3229" s="66" t="str">
        <f>IF(Thirteenth!C232="", "",Thirteenth!C232)</f>
        <v/>
      </c>
      <c r="D3229" s="66" t="str">
        <f>IF(Thirteenth!D232="", "",Thirteenth!D232)</f>
        <v/>
      </c>
      <c r="E3229" s="66" t="str">
        <f>IF(Thirteenth!E232="", "",Thirteenth!E232)</f>
        <v/>
      </c>
      <c r="F3229" s="66" t="str">
        <f>IF(Thirteenth!F232="", "",Thirteenth!F232)</f>
        <v/>
      </c>
      <c r="G3229" s="66" t="str">
        <f>IF(Thirteenth!G232="", "",Thirteenth!G232)</f>
        <v/>
      </c>
      <c r="H3229" s="66" t="str">
        <f>IF(Thirteenth!H232="", "",Thirteenth!H232)</f>
        <v/>
      </c>
      <c r="I3229" s="66" t="str">
        <f>IF(Thirteenth!I232="", "",Thirteenth!I232)</f>
        <v/>
      </c>
      <c r="J3229" s="66" t="str">
        <f>IF(Thirteenth!J232="", "",Thirteenth!J232)</f>
        <v/>
      </c>
      <c r="K3229" s="86" t="str">
        <f>IF(Thirteenth!K232="", "",Thirteenth!K232)</f>
        <v/>
      </c>
      <c r="M3229" s="67" t="str">
        <f t="shared" si="152"/>
        <v/>
      </c>
      <c r="N3229" s="76" t="str">
        <f t="shared" si="153"/>
        <v/>
      </c>
      <c r="O3229" s="33">
        <f t="shared" si="151"/>
        <v>0</v>
      </c>
    </row>
    <row r="3230" spans="1:15" x14ac:dyDescent="0.25">
      <c r="A3230" s="64" t="s">
        <v>225</v>
      </c>
      <c r="B3230" s="79" t="str">
        <f>IF(Thirteenth!B233="", "",Thirteenth!B233)</f>
        <v/>
      </c>
      <c r="C3230" s="66" t="str">
        <f>IF(Thirteenth!C233="", "",Thirteenth!C233)</f>
        <v/>
      </c>
      <c r="D3230" s="66" t="str">
        <f>IF(Thirteenth!D233="", "",Thirteenth!D233)</f>
        <v/>
      </c>
      <c r="E3230" s="66" t="str">
        <f>IF(Thirteenth!E233="", "",Thirteenth!E233)</f>
        <v/>
      </c>
      <c r="F3230" s="66" t="str">
        <f>IF(Thirteenth!F233="", "",Thirteenth!F233)</f>
        <v/>
      </c>
      <c r="G3230" s="66" t="str">
        <f>IF(Thirteenth!G233="", "",Thirteenth!G233)</f>
        <v/>
      </c>
      <c r="H3230" s="66" t="str">
        <f>IF(Thirteenth!H233="", "",Thirteenth!H233)</f>
        <v/>
      </c>
      <c r="I3230" s="66" t="str">
        <f>IF(Thirteenth!I233="", "",Thirteenth!I233)</f>
        <v/>
      </c>
      <c r="J3230" s="66" t="str">
        <f>IF(Thirteenth!J233="", "",Thirteenth!J233)</f>
        <v/>
      </c>
      <c r="K3230" s="86" t="str">
        <f>IF(Thirteenth!K233="", "",Thirteenth!K233)</f>
        <v/>
      </c>
      <c r="M3230" s="67" t="str">
        <f t="shared" si="152"/>
        <v/>
      </c>
      <c r="N3230" s="76" t="str">
        <f t="shared" si="153"/>
        <v/>
      </c>
      <c r="O3230" s="33">
        <f t="shared" si="151"/>
        <v>0</v>
      </c>
    </row>
    <row r="3231" spans="1:15" x14ac:dyDescent="0.25">
      <c r="A3231" s="64" t="s">
        <v>225</v>
      </c>
      <c r="B3231" s="79" t="str">
        <f>IF(Thirteenth!B234="", "",Thirteenth!B234)</f>
        <v/>
      </c>
      <c r="C3231" s="66" t="str">
        <f>IF(Thirteenth!C234="", "",Thirteenth!C234)</f>
        <v/>
      </c>
      <c r="D3231" s="66" t="str">
        <f>IF(Thirteenth!D234="", "",Thirteenth!D234)</f>
        <v/>
      </c>
      <c r="E3231" s="66" t="str">
        <f>IF(Thirteenth!E234="", "",Thirteenth!E234)</f>
        <v/>
      </c>
      <c r="F3231" s="66" t="str">
        <f>IF(Thirteenth!F234="", "",Thirteenth!F234)</f>
        <v/>
      </c>
      <c r="G3231" s="66" t="str">
        <f>IF(Thirteenth!G234="", "",Thirteenth!G234)</f>
        <v/>
      </c>
      <c r="H3231" s="66" t="str">
        <f>IF(Thirteenth!H234="", "",Thirteenth!H234)</f>
        <v/>
      </c>
      <c r="I3231" s="66" t="str">
        <f>IF(Thirteenth!I234="", "",Thirteenth!I234)</f>
        <v/>
      </c>
      <c r="J3231" s="66" t="str">
        <f>IF(Thirteenth!J234="", "",Thirteenth!J234)</f>
        <v/>
      </c>
      <c r="K3231" s="86" t="str">
        <f>IF(Thirteenth!K234="", "",Thirteenth!K234)</f>
        <v/>
      </c>
      <c r="M3231" s="67" t="str">
        <f t="shared" si="152"/>
        <v/>
      </c>
      <c r="N3231" s="76" t="str">
        <f t="shared" si="153"/>
        <v/>
      </c>
      <c r="O3231" s="33">
        <f t="shared" si="151"/>
        <v>0</v>
      </c>
    </row>
    <row r="3232" spans="1:15" x14ac:dyDescent="0.25">
      <c r="A3232" s="64" t="s">
        <v>225</v>
      </c>
      <c r="B3232" s="79" t="str">
        <f>IF(Thirteenth!B235="", "",Thirteenth!B235)</f>
        <v/>
      </c>
      <c r="C3232" s="66" t="str">
        <f>IF(Thirteenth!C235="", "",Thirteenth!C235)</f>
        <v/>
      </c>
      <c r="D3232" s="66" t="str">
        <f>IF(Thirteenth!D235="", "",Thirteenth!D235)</f>
        <v/>
      </c>
      <c r="E3232" s="66" t="str">
        <f>IF(Thirteenth!E235="", "",Thirteenth!E235)</f>
        <v/>
      </c>
      <c r="F3232" s="66" t="str">
        <f>IF(Thirteenth!F235="", "",Thirteenth!F235)</f>
        <v/>
      </c>
      <c r="G3232" s="66" t="str">
        <f>IF(Thirteenth!G235="", "",Thirteenth!G235)</f>
        <v/>
      </c>
      <c r="H3232" s="66" t="str">
        <f>IF(Thirteenth!H235="", "",Thirteenth!H235)</f>
        <v/>
      </c>
      <c r="I3232" s="66" t="str">
        <f>IF(Thirteenth!I235="", "",Thirteenth!I235)</f>
        <v/>
      </c>
      <c r="J3232" s="66" t="str">
        <f>IF(Thirteenth!J235="", "",Thirteenth!J235)</f>
        <v/>
      </c>
      <c r="K3232" s="86" t="str">
        <f>IF(Thirteenth!K235="", "",Thirteenth!K235)</f>
        <v/>
      </c>
      <c r="M3232" s="67" t="str">
        <f t="shared" si="152"/>
        <v/>
      </c>
      <c r="N3232" s="76" t="str">
        <f t="shared" si="153"/>
        <v/>
      </c>
      <c r="O3232" s="33">
        <f t="shared" si="151"/>
        <v>0</v>
      </c>
    </row>
    <row r="3233" spans="1:15" x14ac:dyDescent="0.25">
      <c r="A3233" s="64" t="s">
        <v>225</v>
      </c>
      <c r="B3233" s="79" t="str">
        <f>IF(Thirteenth!B236="", "",Thirteenth!B236)</f>
        <v/>
      </c>
      <c r="C3233" s="66" t="str">
        <f>IF(Thirteenth!C236="", "",Thirteenth!C236)</f>
        <v/>
      </c>
      <c r="D3233" s="66" t="str">
        <f>IF(Thirteenth!D236="", "",Thirteenth!D236)</f>
        <v/>
      </c>
      <c r="E3233" s="66" t="str">
        <f>IF(Thirteenth!E236="", "",Thirteenth!E236)</f>
        <v/>
      </c>
      <c r="F3233" s="66" t="str">
        <f>IF(Thirteenth!F236="", "",Thirteenth!F236)</f>
        <v/>
      </c>
      <c r="G3233" s="66" t="str">
        <f>IF(Thirteenth!G236="", "",Thirteenth!G236)</f>
        <v/>
      </c>
      <c r="H3233" s="66" t="str">
        <f>IF(Thirteenth!H236="", "",Thirteenth!H236)</f>
        <v/>
      </c>
      <c r="I3233" s="66" t="str">
        <f>IF(Thirteenth!I236="", "",Thirteenth!I236)</f>
        <v/>
      </c>
      <c r="J3233" s="66" t="str">
        <f>IF(Thirteenth!J236="", "",Thirteenth!J236)</f>
        <v/>
      </c>
      <c r="K3233" s="86" t="str">
        <f>IF(Thirteenth!K236="", "",Thirteenth!K236)</f>
        <v/>
      </c>
      <c r="M3233" s="67" t="str">
        <f t="shared" si="152"/>
        <v/>
      </c>
      <c r="N3233" s="76" t="str">
        <f t="shared" si="153"/>
        <v/>
      </c>
      <c r="O3233" s="33">
        <f t="shared" si="151"/>
        <v>0</v>
      </c>
    </row>
    <row r="3234" spans="1:15" x14ac:dyDescent="0.25">
      <c r="A3234" s="64" t="s">
        <v>225</v>
      </c>
      <c r="B3234" s="79" t="str">
        <f>IF(Thirteenth!B237="", "",Thirteenth!B237)</f>
        <v/>
      </c>
      <c r="C3234" s="66" t="str">
        <f>IF(Thirteenth!C237="", "",Thirteenth!C237)</f>
        <v/>
      </c>
      <c r="D3234" s="66" t="str">
        <f>IF(Thirteenth!D237="", "",Thirteenth!D237)</f>
        <v/>
      </c>
      <c r="E3234" s="66" t="str">
        <f>IF(Thirteenth!E237="", "",Thirteenth!E237)</f>
        <v/>
      </c>
      <c r="F3234" s="66" t="str">
        <f>IF(Thirteenth!F237="", "",Thirteenth!F237)</f>
        <v/>
      </c>
      <c r="G3234" s="66" t="str">
        <f>IF(Thirteenth!G237="", "",Thirteenth!G237)</f>
        <v/>
      </c>
      <c r="H3234" s="66" t="str">
        <f>IF(Thirteenth!H237="", "",Thirteenth!H237)</f>
        <v/>
      </c>
      <c r="I3234" s="66" t="str">
        <f>IF(Thirteenth!I237="", "",Thirteenth!I237)</f>
        <v/>
      </c>
      <c r="J3234" s="66" t="str">
        <f>IF(Thirteenth!J237="", "",Thirteenth!J237)</f>
        <v/>
      </c>
      <c r="K3234" s="86" t="str">
        <f>IF(Thirteenth!K237="", "",Thirteenth!K237)</f>
        <v/>
      </c>
      <c r="M3234" s="67" t="str">
        <f t="shared" si="152"/>
        <v/>
      </c>
      <c r="N3234" s="76" t="str">
        <f t="shared" si="153"/>
        <v/>
      </c>
      <c r="O3234" s="33">
        <f t="shared" si="151"/>
        <v>0</v>
      </c>
    </row>
    <row r="3235" spans="1:15" x14ac:dyDescent="0.25">
      <c r="A3235" s="64" t="s">
        <v>225</v>
      </c>
      <c r="B3235" s="79" t="str">
        <f>IF(Thirteenth!B238="", "",Thirteenth!B238)</f>
        <v/>
      </c>
      <c r="C3235" s="66" t="str">
        <f>IF(Thirteenth!C238="", "",Thirteenth!C238)</f>
        <v/>
      </c>
      <c r="D3235" s="66" t="str">
        <f>IF(Thirteenth!D238="", "",Thirteenth!D238)</f>
        <v/>
      </c>
      <c r="E3235" s="66" t="str">
        <f>IF(Thirteenth!E238="", "",Thirteenth!E238)</f>
        <v/>
      </c>
      <c r="F3235" s="66" t="str">
        <f>IF(Thirteenth!F238="", "",Thirteenth!F238)</f>
        <v/>
      </c>
      <c r="G3235" s="66" t="str">
        <f>IF(Thirteenth!G238="", "",Thirteenth!G238)</f>
        <v/>
      </c>
      <c r="H3235" s="66" t="str">
        <f>IF(Thirteenth!H238="", "",Thirteenth!H238)</f>
        <v/>
      </c>
      <c r="I3235" s="66" t="str">
        <f>IF(Thirteenth!I238="", "",Thirteenth!I238)</f>
        <v/>
      </c>
      <c r="J3235" s="66" t="str">
        <f>IF(Thirteenth!J238="", "",Thirteenth!J238)</f>
        <v/>
      </c>
      <c r="K3235" s="86" t="str">
        <f>IF(Thirteenth!K238="", "",Thirteenth!K238)</f>
        <v/>
      </c>
      <c r="M3235" s="67" t="str">
        <f t="shared" si="152"/>
        <v/>
      </c>
      <c r="N3235" s="76" t="str">
        <f t="shared" si="153"/>
        <v/>
      </c>
      <c r="O3235" s="33">
        <f t="shared" si="151"/>
        <v>0</v>
      </c>
    </row>
    <row r="3236" spans="1:15" x14ac:dyDescent="0.25">
      <c r="A3236" s="64" t="s">
        <v>225</v>
      </c>
      <c r="B3236" s="79" t="str">
        <f>IF(Thirteenth!B239="", "",Thirteenth!B239)</f>
        <v/>
      </c>
      <c r="C3236" s="66" t="str">
        <f>IF(Thirteenth!C239="", "",Thirteenth!C239)</f>
        <v/>
      </c>
      <c r="D3236" s="66" t="str">
        <f>IF(Thirteenth!D239="", "",Thirteenth!D239)</f>
        <v/>
      </c>
      <c r="E3236" s="66" t="str">
        <f>IF(Thirteenth!E239="", "",Thirteenth!E239)</f>
        <v/>
      </c>
      <c r="F3236" s="66" t="str">
        <f>IF(Thirteenth!F239="", "",Thirteenth!F239)</f>
        <v/>
      </c>
      <c r="G3236" s="66" t="str">
        <f>IF(Thirteenth!G239="", "",Thirteenth!G239)</f>
        <v/>
      </c>
      <c r="H3236" s="66" t="str">
        <f>IF(Thirteenth!H239="", "",Thirteenth!H239)</f>
        <v/>
      </c>
      <c r="I3236" s="66" t="str">
        <f>IF(Thirteenth!I239="", "",Thirteenth!I239)</f>
        <v/>
      </c>
      <c r="J3236" s="66" t="str">
        <f>IF(Thirteenth!J239="", "",Thirteenth!J239)</f>
        <v/>
      </c>
      <c r="K3236" s="86" t="str">
        <f>IF(Thirteenth!K239="", "",Thirteenth!K239)</f>
        <v/>
      </c>
      <c r="M3236" s="67" t="str">
        <f t="shared" si="152"/>
        <v/>
      </c>
      <c r="N3236" s="76" t="str">
        <f t="shared" si="153"/>
        <v/>
      </c>
      <c r="O3236" s="33">
        <f t="shared" si="151"/>
        <v>0</v>
      </c>
    </row>
    <row r="3237" spans="1:15" x14ac:dyDescent="0.25">
      <c r="A3237" s="64" t="s">
        <v>225</v>
      </c>
      <c r="B3237" s="79" t="str">
        <f>IF(Thirteenth!B240="", "",Thirteenth!B240)</f>
        <v/>
      </c>
      <c r="C3237" s="66" t="str">
        <f>IF(Thirteenth!C240="", "",Thirteenth!C240)</f>
        <v/>
      </c>
      <c r="D3237" s="66" t="str">
        <f>IF(Thirteenth!D240="", "",Thirteenth!D240)</f>
        <v/>
      </c>
      <c r="E3237" s="66" t="str">
        <f>IF(Thirteenth!E240="", "",Thirteenth!E240)</f>
        <v/>
      </c>
      <c r="F3237" s="66" t="str">
        <f>IF(Thirteenth!F240="", "",Thirteenth!F240)</f>
        <v/>
      </c>
      <c r="G3237" s="66" t="str">
        <f>IF(Thirteenth!G240="", "",Thirteenth!G240)</f>
        <v/>
      </c>
      <c r="H3237" s="66" t="str">
        <f>IF(Thirteenth!H240="", "",Thirteenth!H240)</f>
        <v/>
      </c>
      <c r="I3237" s="66" t="str">
        <f>IF(Thirteenth!I240="", "",Thirteenth!I240)</f>
        <v/>
      </c>
      <c r="J3237" s="66" t="str">
        <f>IF(Thirteenth!J240="", "",Thirteenth!J240)</f>
        <v/>
      </c>
      <c r="K3237" s="86" t="str">
        <f>IF(Thirteenth!K240="", "",Thirteenth!K240)</f>
        <v/>
      </c>
      <c r="M3237" s="67" t="str">
        <f t="shared" si="152"/>
        <v/>
      </c>
      <c r="N3237" s="76" t="str">
        <f t="shared" si="153"/>
        <v/>
      </c>
      <c r="O3237" s="33">
        <f t="shared" si="151"/>
        <v>0</v>
      </c>
    </row>
    <row r="3238" spans="1:15" x14ac:dyDescent="0.25">
      <c r="A3238" s="64" t="s">
        <v>225</v>
      </c>
      <c r="B3238" s="79" t="str">
        <f>IF(Thirteenth!B241="", "",Thirteenth!B241)</f>
        <v/>
      </c>
      <c r="C3238" s="66" t="str">
        <f>IF(Thirteenth!C241="", "",Thirteenth!C241)</f>
        <v/>
      </c>
      <c r="D3238" s="66" t="str">
        <f>IF(Thirteenth!D241="", "",Thirteenth!D241)</f>
        <v/>
      </c>
      <c r="E3238" s="66" t="str">
        <f>IF(Thirteenth!E241="", "",Thirteenth!E241)</f>
        <v/>
      </c>
      <c r="F3238" s="66" t="str">
        <f>IF(Thirteenth!F241="", "",Thirteenth!F241)</f>
        <v/>
      </c>
      <c r="G3238" s="66" t="str">
        <f>IF(Thirteenth!G241="", "",Thirteenth!G241)</f>
        <v/>
      </c>
      <c r="H3238" s="66" t="str">
        <f>IF(Thirteenth!H241="", "",Thirteenth!H241)</f>
        <v/>
      </c>
      <c r="I3238" s="66" t="str">
        <f>IF(Thirteenth!I241="", "",Thirteenth!I241)</f>
        <v/>
      </c>
      <c r="J3238" s="66" t="str">
        <f>IF(Thirteenth!J241="", "",Thirteenth!J241)</f>
        <v/>
      </c>
      <c r="K3238" s="86" t="str">
        <f>IF(Thirteenth!K241="", "",Thirteenth!K241)</f>
        <v/>
      </c>
      <c r="M3238" s="67" t="str">
        <f t="shared" si="152"/>
        <v/>
      </c>
      <c r="N3238" s="76" t="str">
        <f t="shared" si="153"/>
        <v/>
      </c>
      <c r="O3238" s="33">
        <f t="shared" si="151"/>
        <v>0</v>
      </c>
    </row>
    <row r="3239" spans="1:15" x14ac:dyDescent="0.25">
      <c r="A3239" s="64" t="s">
        <v>225</v>
      </c>
      <c r="B3239" s="79" t="str">
        <f>IF(Thirteenth!B242="", "",Thirteenth!B242)</f>
        <v/>
      </c>
      <c r="C3239" s="66" t="str">
        <f>IF(Thirteenth!C242="", "",Thirteenth!C242)</f>
        <v/>
      </c>
      <c r="D3239" s="66" t="str">
        <f>IF(Thirteenth!D242="", "",Thirteenth!D242)</f>
        <v/>
      </c>
      <c r="E3239" s="66" t="str">
        <f>IF(Thirteenth!E242="", "",Thirteenth!E242)</f>
        <v/>
      </c>
      <c r="F3239" s="66" t="str">
        <f>IF(Thirteenth!F242="", "",Thirteenth!F242)</f>
        <v/>
      </c>
      <c r="G3239" s="66" t="str">
        <f>IF(Thirteenth!G242="", "",Thirteenth!G242)</f>
        <v/>
      </c>
      <c r="H3239" s="66" t="str">
        <f>IF(Thirteenth!H242="", "",Thirteenth!H242)</f>
        <v/>
      </c>
      <c r="I3239" s="66" t="str">
        <f>IF(Thirteenth!I242="", "",Thirteenth!I242)</f>
        <v/>
      </c>
      <c r="J3239" s="66" t="str">
        <f>IF(Thirteenth!J242="", "",Thirteenth!J242)</f>
        <v/>
      </c>
      <c r="K3239" s="86" t="str">
        <f>IF(Thirteenth!K242="", "",Thirteenth!K242)</f>
        <v/>
      </c>
      <c r="M3239" s="67" t="str">
        <f t="shared" si="152"/>
        <v/>
      </c>
      <c r="N3239" s="76" t="str">
        <f t="shared" si="153"/>
        <v/>
      </c>
      <c r="O3239" s="33">
        <f t="shared" si="151"/>
        <v>0</v>
      </c>
    </row>
    <row r="3240" spans="1:15" x14ac:dyDescent="0.25">
      <c r="A3240" s="64" t="s">
        <v>225</v>
      </c>
      <c r="B3240" s="79" t="str">
        <f>IF(Thirteenth!B243="", "",Thirteenth!B243)</f>
        <v/>
      </c>
      <c r="C3240" s="66" t="str">
        <f>IF(Thirteenth!C243="", "",Thirteenth!C243)</f>
        <v/>
      </c>
      <c r="D3240" s="66" t="str">
        <f>IF(Thirteenth!D243="", "",Thirteenth!D243)</f>
        <v/>
      </c>
      <c r="E3240" s="66" t="str">
        <f>IF(Thirteenth!E243="", "",Thirteenth!E243)</f>
        <v/>
      </c>
      <c r="F3240" s="66" t="str">
        <f>IF(Thirteenth!F243="", "",Thirteenth!F243)</f>
        <v/>
      </c>
      <c r="G3240" s="66" t="str">
        <f>IF(Thirteenth!G243="", "",Thirteenth!G243)</f>
        <v/>
      </c>
      <c r="H3240" s="66" t="str">
        <f>IF(Thirteenth!H243="", "",Thirteenth!H243)</f>
        <v/>
      </c>
      <c r="I3240" s="66" t="str">
        <f>IF(Thirteenth!I243="", "",Thirteenth!I243)</f>
        <v/>
      </c>
      <c r="J3240" s="66" t="str">
        <f>IF(Thirteenth!J243="", "",Thirteenth!J243)</f>
        <v/>
      </c>
      <c r="K3240" s="86" t="str">
        <f>IF(Thirteenth!K243="", "",Thirteenth!K243)</f>
        <v/>
      </c>
      <c r="M3240" s="67" t="str">
        <f t="shared" si="152"/>
        <v/>
      </c>
      <c r="N3240" s="76" t="str">
        <f t="shared" si="153"/>
        <v/>
      </c>
      <c r="O3240" s="33">
        <f t="shared" si="151"/>
        <v>0</v>
      </c>
    </row>
    <row r="3241" spans="1:15" x14ac:dyDescent="0.25">
      <c r="A3241" s="64" t="s">
        <v>225</v>
      </c>
      <c r="B3241" s="79" t="str">
        <f>IF(Thirteenth!B244="", "",Thirteenth!B244)</f>
        <v/>
      </c>
      <c r="C3241" s="66" t="str">
        <f>IF(Thirteenth!C244="", "",Thirteenth!C244)</f>
        <v/>
      </c>
      <c r="D3241" s="66" t="str">
        <f>IF(Thirteenth!D244="", "",Thirteenth!D244)</f>
        <v/>
      </c>
      <c r="E3241" s="66" t="str">
        <f>IF(Thirteenth!E244="", "",Thirteenth!E244)</f>
        <v/>
      </c>
      <c r="F3241" s="66" t="str">
        <f>IF(Thirteenth!F244="", "",Thirteenth!F244)</f>
        <v/>
      </c>
      <c r="G3241" s="66" t="str">
        <f>IF(Thirteenth!G244="", "",Thirteenth!G244)</f>
        <v/>
      </c>
      <c r="H3241" s="66" t="str">
        <f>IF(Thirteenth!H244="", "",Thirteenth!H244)</f>
        <v/>
      </c>
      <c r="I3241" s="66" t="str">
        <f>IF(Thirteenth!I244="", "",Thirteenth!I244)</f>
        <v/>
      </c>
      <c r="J3241" s="66" t="str">
        <f>IF(Thirteenth!J244="", "",Thirteenth!J244)</f>
        <v/>
      </c>
      <c r="K3241" s="86" t="str">
        <f>IF(Thirteenth!K244="", "",Thirteenth!K244)</f>
        <v/>
      </c>
      <c r="M3241" s="67" t="str">
        <f t="shared" si="152"/>
        <v/>
      </c>
      <c r="N3241" s="76" t="str">
        <f t="shared" si="153"/>
        <v/>
      </c>
      <c r="O3241" s="33">
        <f t="shared" si="151"/>
        <v>0</v>
      </c>
    </row>
    <row r="3242" spans="1:15" x14ac:dyDescent="0.25">
      <c r="A3242" s="64" t="s">
        <v>225</v>
      </c>
      <c r="B3242" s="79" t="str">
        <f>IF(Thirteenth!B245="", "",Thirteenth!B245)</f>
        <v/>
      </c>
      <c r="C3242" s="66" t="str">
        <f>IF(Thirteenth!C245="", "",Thirteenth!C245)</f>
        <v/>
      </c>
      <c r="D3242" s="66" t="str">
        <f>IF(Thirteenth!D245="", "",Thirteenth!D245)</f>
        <v/>
      </c>
      <c r="E3242" s="66" t="str">
        <f>IF(Thirteenth!E245="", "",Thirteenth!E245)</f>
        <v/>
      </c>
      <c r="F3242" s="66" t="str">
        <f>IF(Thirteenth!F245="", "",Thirteenth!F245)</f>
        <v/>
      </c>
      <c r="G3242" s="66" t="str">
        <f>IF(Thirteenth!G245="", "",Thirteenth!G245)</f>
        <v/>
      </c>
      <c r="H3242" s="66" t="str">
        <f>IF(Thirteenth!H245="", "",Thirteenth!H245)</f>
        <v/>
      </c>
      <c r="I3242" s="66" t="str">
        <f>IF(Thirteenth!I245="", "",Thirteenth!I245)</f>
        <v/>
      </c>
      <c r="J3242" s="66" t="str">
        <f>IF(Thirteenth!J245="", "",Thirteenth!J245)</f>
        <v/>
      </c>
      <c r="K3242" s="86" t="str">
        <f>IF(Thirteenth!K245="", "",Thirteenth!K245)</f>
        <v/>
      </c>
      <c r="M3242" s="67" t="str">
        <f t="shared" si="152"/>
        <v/>
      </c>
      <c r="N3242" s="76" t="str">
        <f t="shared" si="153"/>
        <v/>
      </c>
      <c r="O3242" s="33">
        <f t="shared" si="151"/>
        <v>0</v>
      </c>
    </row>
    <row r="3243" spans="1:15" x14ac:dyDescent="0.25">
      <c r="A3243" s="64" t="s">
        <v>225</v>
      </c>
      <c r="B3243" s="79" t="str">
        <f>IF(Thirteenth!B246="", "",Thirteenth!B246)</f>
        <v/>
      </c>
      <c r="C3243" s="66" t="str">
        <f>IF(Thirteenth!C246="", "",Thirteenth!C246)</f>
        <v/>
      </c>
      <c r="D3243" s="66" t="str">
        <f>IF(Thirteenth!D246="", "",Thirteenth!D246)</f>
        <v/>
      </c>
      <c r="E3243" s="66" t="str">
        <f>IF(Thirteenth!E246="", "",Thirteenth!E246)</f>
        <v/>
      </c>
      <c r="F3243" s="66" t="str">
        <f>IF(Thirteenth!F246="", "",Thirteenth!F246)</f>
        <v/>
      </c>
      <c r="G3243" s="66" t="str">
        <f>IF(Thirteenth!G246="", "",Thirteenth!G246)</f>
        <v/>
      </c>
      <c r="H3243" s="66" t="str">
        <f>IF(Thirteenth!H246="", "",Thirteenth!H246)</f>
        <v/>
      </c>
      <c r="I3243" s="66" t="str">
        <f>IF(Thirteenth!I246="", "",Thirteenth!I246)</f>
        <v/>
      </c>
      <c r="J3243" s="66" t="str">
        <f>IF(Thirteenth!J246="", "",Thirteenth!J246)</f>
        <v/>
      </c>
      <c r="K3243" s="86" t="str">
        <f>IF(Thirteenth!K246="", "",Thirteenth!K246)</f>
        <v/>
      </c>
      <c r="M3243" s="67" t="str">
        <f t="shared" si="152"/>
        <v/>
      </c>
      <c r="N3243" s="76" t="str">
        <f t="shared" si="153"/>
        <v/>
      </c>
      <c r="O3243" s="33">
        <f t="shared" si="151"/>
        <v>0</v>
      </c>
    </row>
    <row r="3244" spans="1:15" x14ac:dyDescent="0.25">
      <c r="A3244" s="64" t="s">
        <v>225</v>
      </c>
      <c r="B3244" s="79" t="str">
        <f>IF(Thirteenth!B247="", "",Thirteenth!B247)</f>
        <v/>
      </c>
      <c r="C3244" s="66" t="str">
        <f>IF(Thirteenth!C247="", "",Thirteenth!C247)</f>
        <v/>
      </c>
      <c r="D3244" s="66" t="str">
        <f>IF(Thirteenth!D247="", "",Thirteenth!D247)</f>
        <v/>
      </c>
      <c r="E3244" s="66" t="str">
        <f>IF(Thirteenth!E247="", "",Thirteenth!E247)</f>
        <v/>
      </c>
      <c r="F3244" s="66" t="str">
        <f>IF(Thirteenth!F247="", "",Thirteenth!F247)</f>
        <v/>
      </c>
      <c r="G3244" s="66" t="str">
        <f>IF(Thirteenth!G247="", "",Thirteenth!G247)</f>
        <v/>
      </c>
      <c r="H3244" s="66" t="str">
        <f>IF(Thirteenth!H247="", "",Thirteenth!H247)</f>
        <v/>
      </c>
      <c r="I3244" s="66" t="str">
        <f>IF(Thirteenth!I247="", "",Thirteenth!I247)</f>
        <v/>
      </c>
      <c r="J3244" s="66" t="str">
        <f>IF(Thirteenth!J247="", "",Thirteenth!J247)</f>
        <v/>
      </c>
      <c r="K3244" s="86" t="str">
        <f>IF(Thirteenth!K247="", "",Thirteenth!K247)</f>
        <v/>
      </c>
      <c r="M3244" s="67" t="str">
        <f t="shared" si="152"/>
        <v/>
      </c>
      <c r="N3244" s="76" t="str">
        <f t="shared" si="153"/>
        <v/>
      </c>
      <c r="O3244" s="33">
        <f t="shared" si="151"/>
        <v>0</v>
      </c>
    </row>
    <row r="3245" spans="1:15" x14ac:dyDescent="0.25">
      <c r="A3245" s="64" t="s">
        <v>225</v>
      </c>
      <c r="B3245" s="79" t="str">
        <f>IF(Thirteenth!B248="", "",Thirteenth!B248)</f>
        <v/>
      </c>
      <c r="C3245" s="66" t="str">
        <f>IF(Thirteenth!C248="", "",Thirteenth!C248)</f>
        <v/>
      </c>
      <c r="D3245" s="66" t="str">
        <f>IF(Thirteenth!D248="", "",Thirteenth!D248)</f>
        <v/>
      </c>
      <c r="E3245" s="66" t="str">
        <f>IF(Thirteenth!E248="", "",Thirteenth!E248)</f>
        <v/>
      </c>
      <c r="F3245" s="66" t="str">
        <f>IF(Thirteenth!F248="", "",Thirteenth!F248)</f>
        <v/>
      </c>
      <c r="G3245" s="66" t="str">
        <f>IF(Thirteenth!G248="", "",Thirteenth!G248)</f>
        <v/>
      </c>
      <c r="H3245" s="66" t="str">
        <f>IF(Thirteenth!H248="", "",Thirteenth!H248)</f>
        <v/>
      </c>
      <c r="I3245" s="66" t="str">
        <f>IF(Thirteenth!I248="", "",Thirteenth!I248)</f>
        <v/>
      </c>
      <c r="J3245" s="66" t="str">
        <f>IF(Thirteenth!J248="", "",Thirteenth!J248)</f>
        <v/>
      </c>
      <c r="K3245" s="86" t="str">
        <f>IF(Thirteenth!K248="", "",Thirteenth!K248)</f>
        <v/>
      </c>
      <c r="M3245" s="67" t="str">
        <f t="shared" si="152"/>
        <v/>
      </c>
      <c r="N3245" s="76" t="str">
        <f t="shared" si="153"/>
        <v/>
      </c>
      <c r="O3245" s="33">
        <f t="shared" si="151"/>
        <v>0</v>
      </c>
    </row>
    <row r="3246" spans="1:15" x14ac:dyDescent="0.25">
      <c r="A3246" s="64" t="s">
        <v>225</v>
      </c>
      <c r="B3246" s="79" t="str">
        <f>IF(Thirteenth!B249="", "",Thirteenth!B249)</f>
        <v/>
      </c>
      <c r="C3246" s="66" t="str">
        <f>IF(Thirteenth!C249="", "",Thirteenth!C249)</f>
        <v/>
      </c>
      <c r="D3246" s="66" t="str">
        <f>IF(Thirteenth!D249="", "",Thirteenth!D249)</f>
        <v/>
      </c>
      <c r="E3246" s="66" t="str">
        <f>IF(Thirteenth!E249="", "",Thirteenth!E249)</f>
        <v/>
      </c>
      <c r="F3246" s="66" t="str">
        <f>IF(Thirteenth!F249="", "",Thirteenth!F249)</f>
        <v/>
      </c>
      <c r="G3246" s="66" t="str">
        <f>IF(Thirteenth!G249="", "",Thirteenth!G249)</f>
        <v/>
      </c>
      <c r="H3246" s="66" t="str">
        <f>IF(Thirteenth!H249="", "",Thirteenth!H249)</f>
        <v/>
      </c>
      <c r="I3246" s="66" t="str">
        <f>IF(Thirteenth!I249="", "",Thirteenth!I249)</f>
        <v/>
      </c>
      <c r="J3246" s="66" t="str">
        <f>IF(Thirteenth!J249="", "",Thirteenth!J249)</f>
        <v/>
      </c>
      <c r="K3246" s="86" t="str">
        <f>IF(Thirteenth!K249="", "",Thirteenth!K249)</f>
        <v/>
      </c>
      <c r="M3246" s="67" t="str">
        <f t="shared" si="152"/>
        <v/>
      </c>
      <c r="N3246" s="76" t="str">
        <f t="shared" si="153"/>
        <v/>
      </c>
      <c r="O3246" s="33">
        <f t="shared" si="151"/>
        <v>0</v>
      </c>
    </row>
    <row r="3247" spans="1:15" x14ac:dyDescent="0.25">
      <c r="A3247" s="64" t="s">
        <v>225</v>
      </c>
      <c r="B3247" s="79" t="str">
        <f>IF(Thirteenth!B250="", "",Thirteenth!B250)</f>
        <v/>
      </c>
      <c r="C3247" s="66" t="str">
        <f>IF(Thirteenth!C250="", "",Thirteenth!C250)</f>
        <v/>
      </c>
      <c r="D3247" s="66" t="str">
        <f>IF(Thirteenth!D250="", "",Thirteenth!D250)</f>
        <v/>
      </c>
      <c r="E3247" s="66" t="str">
        <f>IF(Thirteenth!E250="", "",Thirteenth!E250)</f>
        <v/>
      </c>
      <c r="F3247" s="66" t="str">
        <f>IF(Thirteenth!F250="", "",Thirteenth!F250)</f>
        <v/>
      </c>
      <c r="G3247" s="66" t="str">
        <f>IF(Thirteenth!G250="", "",Thirteenth!G250)</f>
        <v/>
      </c>
      <c r="H3247" s="66" t="str">
        <f>IF(Thirteenth!H250="", "",Thirteenth!H250)</f>
        <v/>
      </c>
      <c r="I3247" s="66" t="str">
        <f>IF(Thirteenth!I250="", "",Thirteenth!I250)</f>
        <v/>
      </c>
      <c r="J3247" s="66" t="str">
        <f>IF(Thirteenth!J250="", "",Thirteenth!J250)</f>
        <v/>
      </c>
      <c r="K3247" s="86" t="str">
        <f>IF(Thirteenth!K250="", "",Thirteenth!K250)</f>
        <v/>
      </c>
      <c r="M3247" s="67" t="str">
        <f t="shared" si="152"/>
        <v/>
      </c>
      <c r="N3247" s="76" t="str">
        <f t="shared" si="153"/>
        <v/>
      </c>
      <c r="O3247" s="33">
        <f t="shared" si="151"/>
        <v>0</v>
      </c>
    </row>
    <row r="3248" spans="1:15" x14ac:dyDescent="0.25">
      <c r="A3248" s="64" t="s">
        <v>225</v>
      </c>
      <c r="B3248" s="79" t="str">
        <f>IF(Thirteenth!B251="", "",Thirteenth!B251)</f>
        <v/>
      </c>
      <c r="C3248" s="66" t="str">
        <f>IF(Thirteenth!C251="", "",Thirteenth!C251)</f>
        <v/>
      </c>
      <c r="D3248" s="66" t="str">
        <f>IF(Thirteenth!D251="", "",Thirteenth!D251)</f>
        <v/>
      </c>
      <c r="E3248" s="66" t="str">
        <f>IF(Thirteenth!E251="", "",Thirteenth!E251)</f>
        <v/>
      </c>
      <c r="F3248" s="66" t="str">
        <f>IF(Thirteenth!F251="", "",Thirteenth!F251)</f>
        <v/>
      </c>
      <c r="G3248" s="66" t="str">
        <f>IF(Thirteenth!G251="", "",Thirteenth!G251)</f>
        <v/>
      </c>
      <c r="H3248" s="66" t="str">
        <f>IF(Thirteenth!H251="", "",Thirteenth!H251)</f>
        <v/>
      </c>
      <c r="I3248" s="66" t="str">
        <f>IF(Thirteenth!I251="", "",Thirteenth!I251)</f>
        <v/>
      </c>
      <c r="J3248" s="66" t="str">
        <f>IF(Thirteenth!J251="", "",Thirteenth!J251)</f>
        <v/>
      </c>
      <c r="K3248" s="86" t="str">
        <f>IF(Thirteenth!K251="", "",Thirteenth!K251)</f>
        <v/>
      </c>
      <c r="M3248" s="67" t="str">
        <f t="shared" si="152"/>
        <v/>
      </c>
      <c r="N3248" s="76" t="str">
        <f t="shared" si="153"/>
        <v/>
      </c>
      <c r="O3248" s="33">
        <f t="shared" si="151"/>
        <v>0</v>
      </c>
    </row>
    <row r="3249" spans="1:15" x14ac:dyDescent="0.25">
      <c r="A3249" s="64" t="s">
        <v>225</v>
      </c>
      <c r="B3249" s="79" t="str">
        <f>IF(Thirteenth!B252="", "",Thirteenth!B252)</f>
        <v/>
      </c>
      <c r="C3249" s="66" t="str">
        <f>IF(Thirteenth!C252="", "",Thirteenth!C252)</f>
        <v/>
      </c>
      <c r="D3249" s="66" t="str">
        <f>IF(Thirteenth!D252="", "",Thirteenth!D252)</f>
        <v/>
      </c>
      <c r="E3249" s="66" t="str">
        <f>IF(Thirteenth!E252="", "",Thirteenth!E252)</f>
        <v/>
      </c>
      <c r="F3249" s="66" t="str">
        <f>IF(Thirteenth!F252="", "",Thirteenth!F252)</f>
        <v/>
      </c>
      <c r="G3249" s="66" t="str">
        <f>IF(Thirteenth!G252="", "",Thirteenth!G252)</f>
        <v/>
      </c>
      <c r="H3249" s="66" t="str">
        <f>IF(Thirteenth!H252="", "",Thirteenth!H252)</f>
        <v/>
      </c>
      <c r="I3249" s="66" t="str">
        <f>IF(Thirteenth!I252="", "",Thirteenth!I252)</f>
        <v/>
      </c>
      <c r="J3249" s="66" t="str">
        <f>IF(Thirteenth!J252="", "",Thirteenth!J252)</f>
        <v/>
      </c>
      <c r="K3249" s="86" t="str">
        <f>IF(Thirteenth!K252="", "",Thirteenth!K252)</f>
        <v/>
      </c>
      <c r="M3249" s="67" t="str">
        <f t="shared" si="152"/>
        <v/>
      </c>
      <c r="N3249" s="76" t="str">
        <f t="shared" si="153"/>
        <v/>
      </c>
      <c r="O3249" s="33">
        <f t="shared" si="151"/>
        <v>0</v>
      </c>
    </row>
    <row r="3250" spans="1:15" x14ac:dyDescent="0.25">
      <c r="A3250" s="64" t="s">
        <v>225</v>
      </c>
      <c r="B3250" s="79" t="str">
        <f>IF(Thirteenth!B253="", "",Thirteenth!B253)</f>
        <v/>
      </c>
      <c r="C3250" s="66" t="str">
        <f>IF(Thirteenth!C253="", "",Thirteenth!C253)</f>
        <v/>
      </c>
      <c r="D3250" s="66" t="str">
        <f>IF(Thirteenth!D253="", "",Thirteenth!D253)</f>
        <v/>
      </c>
      <c r="E3250" s="66" t="str">
        <f>IF(Thirteenth!E253="", "",Thirteenth!E253)</f>
        <v/>
      </c>
      <c r="F3250" s="66" t="str">
        <f>IF(Thirteenth!F253="", "",Thirteenth!F253)</f>
        <v/>
      </c>
      <c r="G3250" s="66" t="str">
        <f>IF(Thirteenth!G253="", "",Thirteenth!G253)</f>
        <v/>
      </c>
      <c r="H3250" s="66" t="str">
        <f>IF(Thirteenth!H253="", "",Thirteenth!H253)</f>
        <v/>
      </c>
      <c r="I3250" s="66" t="str">
        <f>IF(Thirteenth!I253="", "",Thirteenth!I253)</f>
        <v/>
      </c>
      <c r="J3250" s="66" t="str">
        <f>IF(Thirteenth!J253="", "",Thirteenth!J253)</f>
        <v/>
      </c>
      <c r="K3250" s="86" t="str">
        <f>IF(Thirteenth!K253="", "",Thirteenth!K253)</f>
        <v/>
      </c>
      <c r="M3250" s="67" t="str">
        <f t="shared" si="152"/>
        <v/>
      </c>
      <c r="N3250" s="76" t="str">
        <f t="shared" si="153"/>
        <v/>
      </c>
      <c r="O3250" s="33">
        <f t="shared" si="151"/>
        <v>0</v>
      </c>
    </row>
    <row r="3251" spans="1:15" ht="15.75" thickBot="1" x14ac:dyDescent="0.3">
      <c r="A3251" s="68" t="s">
        <v>225</v>
      </c>
      <c r="B3251" s="80" t="str">
        <f>IF(Thirteenth!B254="", "",Thirteenth!B254)</f>
        <v/>
      </c>
      <c r="C3251" s="70" t="str">
        <f>IF(Thirteenth!C254="", "",Thirteenth!C254)</f>
        <v/>
      </c>
      <c r="D3251" s="70" t="str">
        <f>IF(Thirteenth!D254="", "",Thirteenth!D254)</f>
        <v/>
      </c>
      <c r="E3251" s="70" t="str">
        <f>IF(Thirteenth!E254="", "",Thirteenth!E254)</f>
        <v/>
      </c>
      <c r="F3251" s="70" t="str">
        <f>IF(Thirteenth!F254="", "",Thirteenth!F254)</f>
        <v/>
      </c>
      <c r="G3251" s="70" t="str">
        <f>IF(Thirteenth!G254="", "",Thirteenth!G254)</f>
        <v/>
      </c>
      <c r="H3251" s="70" t="str">
        <f>IF(Thirteenth!H254="", "",Thirteenth!H254)</f>
        <v/>
      </c>
      <c r="I3251" s="70" t="str">
        <f>IF(Thirteenth!I254="", "",Thirteenth!I254)</f>
        <v/>
      </c>
      <c r="J3251" s="70" t="str">
        <f>IF(Thirteenth!J254="", "",Thirteenth!J254)</f>
        <v/>
      </c>
      <c r="K3251" s="90" t="str">
        <f>IF(Thirteenth!K254="", "",Thirteenth!K254)</f>
        <v/>
      </c>
      <c r="L3251" s="91"/>
      <c r="M3251" s="71" t="str">
        <f t="shared" si="152"/>
        <v/>
      </c>
      <c r="N3251" s="77" t="str">
        <f t="shared" si="153"/>
        <v/>
      </c>
      <c r="O3251" s="33">
        <f t="shared" si="151"/>
        <v>0</v>
      </c>
    </row>
    <row r="3252" spans="1:15" x14ac:dyDescent="0.25">
      <c r="A3252" s="64" t="s">
        <v>185</v>
      </c>
      <c r="B3252" s="79" t="str">
        <f>IF(Fourteenth!B5="", "",Fourteenth!B5)</f>
        <v>Psychologist</v>
      </c>
      <c r="C3252" s="66" t="str">
        <f>IF(Fourteenth!C5="", "",Fourteenth!C5)</f>
        <v>PwC</v>
      </c>
      <c r="D3252" s="66" t="str">
        <f>IF(Fourteenth!D5="", "",Fourteenth!D5)</f>
        <v>Returning</v>
      </c>
      <c r="E3252" s="66" t="str">
        <f>IF(Fourteenth!E5="", "",Fourteenth!E5)</f>
        <v>Female</v>
      </c>
      <c r="F3252" s="66" t="str">
        <f>IF(Fourteenth!F5="", "",Fourteenth!F5)</f>
        <v>Lower GI</v>
      </c>
      <c r="G3252" s="66" t="str">
        <f>IF(Fourteenth!G5="", "",Fourteenth!G5)</f>
        <v>Post Treatment - Curative Intent</v>
      </c>
      <c r="H3252" s="66" t="str">
        <f>IF(Fourteenth!H5="", "",Fourteenth!H5)</f>
        <v>Booked</v>
      </c>
      <c r="I3252" s="66" t="str">
        <f>IF(Fourteenth!I5="", "",Fourteenth!I5)</f>
        <v>Psych Support - Individual</v>
      </c>
      <c r="J3252" s="66" t="str">
        <f>IF(Fourteenth!J5="", "",Fourteenth!J5)</f>
        <v/>
      </c>
      <c r="K3252" s="86" t="str">
        <f>IF(Fourteenth!K5="", "",Fourteenth!K5)</f>
        <v/>
      </c>
      <c r="M3252" s="67">
        <f t="shared" si="152"/>
        <v>7</v>
      </c>
      <c r="N3252" s="76" t="str">
        <f t="shared" si="153"/>
        <v/>
      </c>
      <c r="O3252" s="33">
        <f t="shared" si="151"/>
        <v>7</v>
      </c>
    </row>
    <row r="3253" spans="1:15" x14ac:dyDescent="0.25">
      <c r="A3253" s="64" t="s">
        <v>185</v>
      </c>
      <c r="B3253" s="79" t="str">
        <f>IF(Fourteenth!B6="", "",Fourteenth!B6)</f>
        <v>Psychologist</v>
      </c>
      <c r="C3253" s="66" t="str">
        <f>IF(Fourteenth!C6="", "",Fourteenth!C6)</f>
        <v>Carer</v>
      </c>
      <c r="D3253" s="66" t="str">
        <f>IF(Fourteenth!D6="", "",Fourteenth!D6)</f>
        <v>Returning</v>
      </c>
      <c r="E3253" s="66" t="str">
        <f>IF(Fourteenth!E6="", "",Fourteenth!E6)</f>
        <v>Female</v>
      </c>
      <c r="F3253" s="66" t="str">
        <f>IF(Fourteenth!F6="", "",Fourteenth!F6)</f>
        <v>Lower GI</v>
      </c>
      <c r="G3253" s="66" t="str">
        <f>IF(Fourteenth!G6="", "",Fourteenth!G6)</f>
        <v>Bereaved</v>
      </c>
      <c r="H3253" s="66" t="str">
        <f>IF(Fourteenth!H6="", "",Fourteenth!H6)</f>
        <v>Booked</v>
      </c>
      <c r="I3253" s="66" t="str">
        <f>IF(Fourteenth!I6="", "",Fourteenth!I6)</f>
        <v>Psych Support - Individual</v>
      </c>
      <c r="J3253" s="66" t="str">
        <f>IF(Fourteenth!J6="", "",Fourteenth!J6)</f>
        <v/>
      </c>
      <c r="K3253" s="86" t="str">
        <f>IF(Fourteenth!K6="", "",Fourteenth!K6)</f>
        <v/>
      </c>
      <c r="M3253" s="67" t="str">
        <f t="shared" si="152"/>
        <v/>
      </c>
      <c r="N3253" s="76">
        <f t="shared" si="153"/>
        <v>7</v>
      </c>
      <c r="O3253" s="33">
        <f t="shared" si="151"/>
        <v>7</v>
      </c>
    </row>
    <row r="3254" spans="1:15" x14ac:dyDescent="0.25">
      <c r="A3254" s="64" t="s">
        <v>185</v>
      </c>
      <c r="B3254" s="79" t="str">
        <f>IF(Fourteenth!B7="", "",Fourteenth!B7)</f>
        <v>Psychologist</v>
      </c>
      <c r="C3254" s="66" t="str">
        <f>IF(Fourteenth!C7="", "",Fourteenth!C7)</f>
        <v>Carer</v>
      </c>
      <c r="D3254" s="66" t="str">
        <f>IF(Fourteenth!D7="", "",Fourteenth!D7)</f>
        <v>New</v>
      </c>
      <c r="E3254" s="66" t="str">
        <f>IF(Fourteenth!E7="", "",Fourteenth!E7)</f>
        <v>Female</v>
      </c>
      <c r="F3254" s="66" t="str">
        <f>IF(Fourteenth!F7="", "",Fourteenth!F7)</f>
        <v>Breast</v>
      </c>
      <c r="G3254" s="66" t="str">
        <f>IF(Fourteenth!G7="", "",Fourteenth!G7)</f>
        <v>Post Treatment - Curative Intent</v>
      </c>
      <c r="H3254" s="66" t="str">
        <f>IF(Fourteenth!H7="", "",Fourteenth!H7)</f>
        <v>Booked</v>
      </c>
      <c r="I3254" s="66" t="str">
        <f>IF(Fourteenth!I7="", "",Fourteenth!I7)</f>
        <v>Psych Support - Individual</v>
      </c>
      <c r="J3254" s="66" t="str">
        <f>IF(Fourteenth!J7="", "",Fourteenth!J7)</f>
        <v/>
      </c>
      <c r="K3254" s="86" t="str">
        <f>IF(Fourteenth!K7="", "",Fourteenth!K7)</f>
        <v/>
      </c>
      <c r="M3254" s="67" t="str">
        <f t="shared" si="152"/>
        <v/>
      </c>
      <c r="N3254" s="76">
        <f t="shared" si="153"/>
        <v>7</v>
      </c>
      <c r="O3254" s="33">
        <f t="shared" si="151"/>
        <v>7</v>
      </c>
    </row>
    <row r="3255" spans="1:15" x14ac:dyDescent="0.25">
      <c r="A3255" s="64" t="s">
        <v>185</v>
      </c>
      <c r="B3255" s="79" t="str">
        <f>IF(Fourteenth!B8="", "",Fourteenth!B8)</f>
        <v>Psychologist</v>
      </c>
      <c r="C3255" s="66" t="str">
        <f>IF(Fourteenth!C8="", "",Fourteenth!C8)</f>
        <v>PwC</v>
      </c>
      <c r="D3255" s="66" t="str">
        <f>IF(Fourteenth!D8="", "",Fourteenth!D8)</f>
        <v>Returning</v>
      </c>
      <c r="E3255" s="66" t="str">
        <f>IF(Fourteenth!E8="", "",Fourteenth!E8)</f>
        <v>Female</v>
      </c>
      <c r="F3255" s="66" t="str">
        <f>IF(Fourteenth!F8="", "",Fourteenth!F8)</f>
        <v>Lung</v>
      </c>
      <c r="G3255" s="66" t="str">
        <f>IF(Fourteenth!G8="", "",Fourteenth!G8)</f>
        <v>Post Treatment - Curative Intent</v>
      </c>
      <c r="H3255" s="66" t="str">
        <f>IF(Fourteenth!H8="", "",Fourteenth!H8)</f>
        <v>Booked</v>
      </c>
      <c r="I3255" s="66" t="str">
        <f>IF(Fourteenth!I8="", "",Fourteenth!I8)</f>
        <v>Psych Support - Individual</v>
      </c>
      <c r="J3255" s="66" t="str">
        <f>IF(Fourteenth!J8="", "",Fourteenth!J8)</f>
        <v/>
      </c>
      <c r="K3255" s="86" t="str">
        <f>IF(Fourteenth!K8="", "",Fourteenth!K8)</f>
        <v/>
      </c>
      <c r="M3255" s="67">
        <f t="shared" si="152"/>
        <v>7</v>
      </c>
      <c r="N3255" s="76" t="str">
        <f t="shared" si="153"/>
        <v/>
      </c>
      <c r="O3255" s="33">
        <f t="shared" si="151"/>
        <v>7</v>
      </c>
    </row>
    <row r="3256" spans="1:15" x14ac:dyDescent="0.25">
      <c r="A3256" s="64" t="s">
        <v>185</v>
      </c>
      <c r="B3256" s="79" t="str">
        <f>IF(Fourteenth!B9="", "",Fourteenth!B9)</f>
        <v>CSS</v>
      </c>
      <c r="C3256" s="66" t="str">
        <f>IF(Fourteenth!C9="", "",Fourteenth!C9)</f>
        <v>PwC</v>
      </c>
      <c r="D3256" s="66" t="str">
        <f>IF(Fourteenth!D9="", "",Fourteenth!D9)</f>
        <v>Returning</v>
      </c>
      <c r="E3256" s="66" t="str">
        <f>IF(Fourteenth!E9="", "",Fourteenth!E9)</f>
        <v>Male</v>
      </c>
      <c r="F3256" s="66" t="str">
        <f>IF(Fourteenth!F9="", "",Fourteenth!F9)</f>
        <v>Lower GI</v>
      </c>
      <c r="G3256" s="66" t="str">
        <f>IF(Fourteenth!G9="", "",Fourteenth!G9)</f>
        <v>Curative Intent</v>
      </c>
      <c r="H3256" s="66" t="str">
        <f>IF(Fourteenth!H9="", "",Fourteenth!H9)</f>
        <v>Programme</v>
      </c>
      <c r="I3256" s="66" t="str">
        <f>IF(Fourteenth!I9="", "",Fourteenth!I9)</f>
        <v>Managing Stress</v>
      </c>
      <c r="J3256" s="66" t="str">
        <f>IF(Fourteenth!J9="", "",Fourteenth!J9)</f>
        <v/>
      </c>
      <c r="K3256" s="86" t="str">
        <f>IF(Fourteenth!K9="", "",Fourteenth!K9)</f>
        <v/>
      </c>
      <c r="M3256" s="67">
        <f t="shared" si="152"/>
        <v>7</v>
      </c>
      <c r="N3256" s="76" t="str">
        <f t="shared" si="153"/>
        <v/>
      </c>
      <c r="O3256" s="33">
        <f t="shared" si="151"/>
        <v>7</v>
      </c>
    </row>
    <row r="3257" spans="1:15" x14ac:dyDescent="0.25">
      <c r="A3257" s="64" t="s">
        <v>185</v>
      </c>
      <c r="B3257" s="79" t="str">
        <f>IF(Fourteenth!B10="", "",Fourteenth!B10)</f>
        <v>CSS</v>
      </c>
      <c r="C3257" s="66" t="str">
        <f>IF(Fourteenth!C10="", "",Fourteenth!C10)</f>
        <v>PwC</v>
      </c>
      <c r="D3257" s="66" t="str">
        <f>IF(Fourteenth!D10="", "",Fourteenth!D10)</f>
        <v>Returning</v>
      </c>
      <c r="E3257" s="66" t="str">
        <f>IF(Fourteenth!E10="", "",Fourteenth!E10)</f>
        <v>Male</v>
      </c>
      <c r="F3257" s="66" t="str">
        <f>IF(Fourteenth!F10="", "",Fourteenth!F10)</f>
        <v>Head/Neck</v>
      </c>
      <c r="G3257" s="66" t="str">
        <f>IF(Fourteenth!G10="", "",Fourteenth!G10)</f>
        <v>Post Treatment - Curative Intent</v>
      </c>
      <c r="H3257" s="66" t="str">
        <f>IF(Fourteenth!H10="", "",Fourteenth!H10)</f>
        <v>Programme</v>
      </c>
      <c r="I3257" s="66" t="str">
        <f>IF(Fourteenth!I10="", "",Fourteenth!I10)</f>
        <v>Managing Stress</v>
      </c>
      <c r="J3257" s="66" t="str">
        <f>IF(Fourteenth!J10="", "",Fourteenth!J10)</f>
        <v/>
      </c>
      <c r="K3257" s="86" t="str">
        <f>IF(Fourteenth!K10="", "",Fourteenth!K10)</f>
        <v/>
      </c>
      <c r="M3257" s="67">
        <f t="shared" si="152"/>
        <v>7</v>
      </c>
      <c r="N3257" s="76" t="str">
        <f t="shared" si="153"/>
        <v/>
      </c>
      <c r="O3257" s="33">
        <f t="shared" si="151"/>
        <v>7</v>
      </c>
    </row>
    <row r="3258" spans="1:15" x14ac:dyDescent="0.25">
      <c r="A3258" s="64" t="s">
        <v>185</v>
      </c>
      <c r="B3258" s="79" t="str">
        <f>IF(Fourteenth!B11="", "",Fourteenth!B11)</f>
        <v>CSS</v>
      </c>
      <c r="C3258" s="66" t="str">
        <f>IF(Fourteenth!C11="", "",Fourteenth!C11)</f>
        <v>PwC</v>
      </c>
      <c r="D3258" s="66" t="str">
        <f>IF(Fourteenth!D11="", "",Fourteenth!D11)</f>
        <v>Returning</v>
      </c>
      <c r="E3258" s="66" t="str">
        <f>IF(Fourteenth!E11="", "",Fourteenth!E11)</f>
        <v>Female</v>
      </c>
      <c r="F3258" s="66" t="str">
        <f>IF(Fourteenth!F11="", "",Fourteenth!F11)</f>
        <v>Haemat</v>
      </c>
      <c r="G3258" s="66" t="str">
        <f>IF(Fourteenth!G11="", "",Fourteenth!G11)</f>
        <v>Non-Curative Intent</v>
      </c>
      <c r="H3258" s="66" t="str">
        <f>IF(Fourteenth!H11="", "",Fourteenth!H11)</f>
        <v>Programme</v>
      </c>
      <c r="I3258" s="66" t="str">
        <f>IF(Fourteenth!I11="", "",Fourteenth!I11)</f>
        <v>Managing Stress</v>
      </c>
      <c r="J3258" s="66" t="str">
        <f>IF(Fourteenth!J11="", "",Fourteenth!J11)</f>
        <v/>
      </c>
      <c r="K3258" s="86" t="str">
        <f>IF(Fourteenth!K11="", "",Fourteenth!K11)</f>
        <v/>
      </c>
      <c r="M3258" s="67">
        <f t="shared" si="152"/>
        <v>7</v>
      </c>
      <c r="N3258" s="76" t="str">
        <f t="shared" si="153"/>
        <v/>
      </c>
      <c r="O3258" s="33">
        <f t="shared" si="151"/>
        <v>7</v>
      </c>
    </row>
    <row r="3259" spans="1:15" x14ac:dyDescent="0.25">
      <c r="A3259" s="64" t="s">
        <v>185</v>
      </c>
      <c r="B3259" s="79" t="str">
        <f>IF(Fourteenth!B12="", "",Fourteenth!B12)</f>
        <v>CSS</v>
      </c>
      <c r="C3259" s="66" t="str">
        <f>IF(Fourteenth!C12="", "",Fourteenth!C12)</f>
        <v>PwC</v>
      </c>
      <c r="D3259" s="66" t="str">
        <f>IF(Fourteenth!D12="", "",Fourteenth!D12)</f>
        <v>Returning</v>
      </c>
      <c r="E3259" s="66" t="str">
        <f>IF(Fourteenth!E12="", "",Fourteenth!E12)</f>
        <v>Female</v>
      </c>
      <c r="F3259" s="66" t="str">
        <f>IF(Fourteenth!F12="", "",Fourteenth!F12)</f>
        <v>Breast</v>
      </c>
      <c r="G3259" s="66" t="str">
        <f>IF(Fourteenth!G12="", "",Fourteenth!G12)</f>
        <v>Post Treatment - Curative Intent</v>
      </c>
      <c r="H3259" s="66" t="str">
        <f>IF(Fourteenth!H12="", "",Fourteenth!H12)</f>
        <v>Programme</v>
      </c>
      <c r="I3259" s="66" t="str">
        <f>IF(Fourteenth!I12="", "",Fourteenth!I12)</f>
        <v>Managing Stress</v>
      </c>
      <c r="J3259" s="66" t="str">
        <f>IF(Fourteenth!J12="", "",Fourteenth!J12)</f>
        <v/>
      </c>
      <c r="K3259" s="86" t="str">
        <f>IF(Fourteenth!K12="", "",Fourteenth!K12)</f>
        <v/>
      </c>
      <c r="M3259" s="67">
        <f t="shared" si="152"/>
        <v>7</v>
      </c>
      <c r="N3259" s="76" t="str">
        <f t="shared" si="153"/>
        <v/>
      </c>
      <c r="O3259" s="33">
        <f t="shared" si="151"/>
        <v>7</v>
      </c>
    </row>
    <row r="3260" spans="1:15" x14ac:dyDescent="0.25">
      <c r="A3260" s="64" t="s">
        <v>185</v>
      </c>
      <c r="B3260" s="79" t="str">
        <f>IF(Fourteenth!B13="", "",Fourteenth!B13)</f>
        <v>CSS</v>
      </c>
      <c r="C3260" s="66" t="str">
        <f>IF(Fourteenth!C13="", "",Fourteenth!C13)</f>
        <v>PwC</v>
      </c>
      <c r="D3260" s="66" t="str">
        <f>IF(Fourteenth!D13="", "",Fourteenth!D13)</f>
        <v>Returning</v>
      </c>
      <c r="E3260" s="66" t="str">
        <f>IF(Fourteenth!E13="", "",Fourteenth!E13)</f>
        <v>Female</v>
      </c>
      <c r="F3260" s="66" t="str">
        <f>IF(Fourteenth!F13="", "",Fourteenth!F13)</f>
        <v>Breast</v>
      </c>
      <c r="G3260" s="66" t="str">
        <f>IF(Fourteenth!G13="", "",Fourteenth!G13)</f>
        <v>Post Treatment - Curative Intent</v>
      </c>
      <c r="H3260" s="66" t="str">
        <f>IF(Fourteenth!H13="", "",Fourteenth!H13)</f>
        <v>Programme</v>
      </c>
      <c r="I3260" s="66" t="str">
        <f>IF(Fourteenth!I13="", "",Fourteenth!I13)</f>
        <v>Managing Stress</v>
      </c>
      <c r="J3260" s="66" t="str">
        <f>IF(Fourteenth!J13="", "",Fourteenth!J13)</f>
        <v/>
      </c>
      <c r="K3260" s="86" t="str">
        <f>IF(Fourteenth!K13="", "",Fourteenth!K13)</f>
        <v/>
      </c>
      <c r="M3260" s="67">
        <f t="shared" si="152"/>
        <v>7</v>
      </c>
      <c r="N3260" s="76" t="str">
        <f t="shared" si="153"/>
        <v/>
      </c>
      <c r="O3260" s="33">
        <f t="shared" si="151"/>
        <v>7</v>
      </c>
    </row>
    <row r="3261" spans="1:15" x14ac:dyDescent="0.25">
      <c r="A3261" s="64" t="s">
        <v>185</v>
      </c>
      <c r="B3261" s="79" t="str">
        <f>IF(Fourteenth!B14="", "",Fourteenth!B14)</f>
        <v>CSS</v>
      </c>
      <c r="C3261" s="66" t="str">
        <f>IF(Fourteenth!C14="", "",Fourteenth!C14)</f>
        <v>PwC</v>
      </c>
      <c r="D3261" s="66" t="str">
        <f>IF(Fourteenth!D14="", "",Fourteenth!D14)</f>
        <v>Returning</v>
      </c>
      <c r="E3261" s="66" t="str">
        <f>IF(Fourteenth!E14="", "",Fourteenth!E14)</f>
        <v>Female</v>
      </c>
      <c r="F3261" s="66" t="str">
        <f>IF(Fourteenth!F14="", "",Fourteenth!F14)</f>
        <v>Breast</v>
      </c>
      <c r="G3261" s="66" t="str">
        <f>IF(Fourteenth!G14="", "",Fourteenth!G14)</f>
        <v>Curative Intent</v>
      </c>
      <c r="H3261" s="66" t="str">
        <f>IF(Fourteenth!H14="", "",Fourteenth!H14)</f>
        <v>Programme</v>
      </c>
      <c r="I3261" s="66" t="str">
        <f>IF(Fourteenth!I14="", "",Fourteenth!I14)</f>
        <v>Managing Stress</v>
      </c>
      <c r="J3261" s="66" t="str">
        <f>IF(Fourteenth!J14="", "",Fourteenth!J14)</f>
        <v/>
      </c>
      <c r="K3261" s="86" t="str">
        <f>IF(Fourteenth!K14="", "",Fourteenth!K14)</f>
        <v/>
      </c>
      <c r="M3261" s="67">
        <f t="shared" si="152"/>
        <v>7</v>
      </c>
      <c r="N3261" s="76" t="str">
        <f t="shared" si="153"/>
        <v/>
      </c>
      <c r="O3261" s="33">
        <f t="shared" si="151"/>
        <v>7</v>
      </c>
    </row>
    <row r="3262" spans="1:15" x14ac:dyDescent="0.25">
      <c r="A3262" s="64" t="s">
        <v>185</v>
      </c>
      <c r="B3262" s="79" t="str">
        <f>IF(Fourteenth!B15="", "",Fourteenth!B15)</f>
        <v>CSS</v>
      </c>
      <c r="C3262" s="66" t="str">
        <f>IF(Fourteenth!C15="", "",Fourteenth!C15)</f>
        <v>PwC</v>
      </c>
      <c r="D3262" s="66" t="str">
        <f>IF(Fourteenth!D15="", "",Fourteenth!D15)</f>
        <v>Returning</v>
      </c>
      <c r="E3262" s="66" t="str">
        <f>IF(Fourteenth!E15="", "",Fourteenth!E15)</f>
        <v>Male</v>
      </c>
      <c r="F3262" s="66" t="str">
        <f>IF(Fourteenth!F15="", "",Fourteenth!F15)</f>
        <v>Haemat</v>
      </c>
      <c r="G3262" s="66" t="str">
        <f>IF(Fourteenth!G15="", "",Fourteenth!G15)</f>
        <v>Post Treatment - Curative Intent</v>
      </c>
      <c r="H3262" s="66" t="str">
        <f>IF(Fourteenth!H15="", "",Fourteenth!H15)</f>
        <v>Programme</v>
      </c>
      <c r="I3262" s="66" t="str">
        <f>IF(Fourteenth!I15="", "",Fourteenth!I15)</f>
        <v>Managing Stress</v>
      </c>
      <c r="J3262" s="66" t="str">
        <f>IF(Fourteenth!J15="", "",Fourteenth!J15)</f>
        <v/>
      </c>
      <c r="K3262" s="86" t="str">
        <f>IF(Fourteenth!K15="", "",Fourteenth!K15)</f>
        <v/>
      </c>
      <c r="M3262" s="67">
        <f t="shared" si="152"/>
        <v>7</v>
      </c>
      <c r="N3262" s="76" t="str">
        <f t="shared" si="153"/>
        <v/>
      </c>
      <c r="O3262" s="33">
        <f t="shared" si="151"/>
        <v>7</v>
      </c>
    </row>
    <row r="3263" spans="1:15" x14ac:dyDescent="0.25">
      <c r="A3263" s="64" t="s">
        <v>185</v>
      </c>
      <c r="B3263" s="79" t="str">
        <f>IF(Fourteenth!B16="", "",Fourteenth!B16)</f>
        <v>Psychologist</v>
      </c>
      <c r="C3263" s="66" t="str">
        <f>IF(Fourteenth!C16="", "",Fourteenth!C16)</f>
        <v>Professional</v>
      </c>
      <c r="D3263" s="66" t="str">
        <f>IF(Fourteenth!D16="", "",Fourteenth!D16)</f>
        <v>New</v>
      </c>
      <c r="E3263" s="66" t="str">
        <f>IF(Fourteenth!E16="", "",Fourteenth!E16)</f>
        <v>Male</v>
      </c>
      <c r="F3263" s="66" t="str">
        <f>IF(Fourteenth!F16="", "",Fourteenth!F16)</f>
        <v/>
      </c>
      <c r="G3263" s="66" t="str">
        <f>IF(Fourteenth!G16="", "",Fourteenth!G16)</f>
        <v/>
      </c>
      <c r="H3263" s="66" t="str">
        <f>IF(Fourteenth!H16="", "",Fourteenth!H16)</f>
        <v>Booked</v>
      </c>
      <c r="I3263" s="66" t="str">
        <f>IF(Fourteenth!I16="", "",Fourteenth!I16)</f>
        <v>Psych Support - Individual</v>
      </c>
      <c r="J3263" s="66" t="str">
        <f>IF(Fourteenth!J16="", "",Fourteenth!J16)</f>
        <v/>
      </c>
      <c r="K3263" s="86" t="str">
        <f>IF(Fourteenth!K16="", "",Fourteenth!K16)</f>
        <v/>
      </c>
      <c r="M3263" s="67" t="str">
        <f t="shared" si="152"/>
        <v/>
      </c>
      <c r="N3263" s="76" t="str">
        <f t="shared" si="153"/>
        <v/>
      </c>
      <c r="O3263" s="33">
        <f t="shared" si="151"/>
        <v>0</v>
      </c>
    </row>
    <row r="3264" spans="1:15" x14ac:dyDescent="0.25">
      <c r="A3264" s="64" t="s">
        <v>185</v>
      </c>
      <c r="B3264" s="79" t="str">
        <f>IF(Fourteenth!B17="", "",Fourteenth!B17)</f>
        <v>Psychologist</v>
      </c>
      <c r="C3264" s="66" t="str">
        <f>IF(Fourteenth!C17="", "",Fourteenth!C17)</f>
        <v>PwC</v>
      </c>
      <c r="D3264" s="66" t="str">
        <f>IF(Fourteenth!D17="", "",Fourteenth!D17)</f>
        <v>Returning</v>
      </c>
      <c r="E3264" s="66" t="str">
        <f>IF(Fourteenth!E17="", "",Fourteenth!E17)</f>
        <v>Male</v>
      </c>
      <c r="F3264" s="66" t="str">
        <f>IF(Fourteenth!F17="", "",Fourteenth!F17)</f>
        <v>Lower GI</v>
      </c>
      <c r="G3264" s="66" t="str">
        <f>IF(Fourteenth!G17="", "",Fourteenth!G17)</f>
        <v>Non-Curative Intent</v>
      </c>
      <c r="H3264" s="66" t="str">
        <f>IF(Fourteenth!H17="", "",Fourteenth!H17)</f>
        <v>Booked</v>
      </c>
      <c r="I3264" s="66" t="str">
        <f>IF(Fourteenth!I17="", "",Fourteenth!I17)</f>
        <v>Psych Support - Individual</v>
      </c>
      <c r="J3264" s="66" t="str">
        <f>IF(Fourteenth!J17="", "",Fourteenth!J17)</f>
        <v/>
      </c>
      <c r="K3264" s="86" t="str">
        <f>IF(Fourteenth!K17="", "",Fourteenth!K17)</f>
        <v/>
      </c>
      <c r="M3264" s="67">
        <f t="shared" si="152"/>
        <v>7</v>
      </c>
      <c r="N3264" s="76" t="str">
        <f t="shared" si="153"/>
        <v/>
      </c>
      <c r="O3264" s="33">
        <f t="shared" si="151"/>
        <v>7</v>
      </c>
    </row>
    <row r="3265" spans="1:15" x14ac:dyDescent="0.25">
      <c r="A3265" s="64" t="s">
        <v>185</v>
      </c>
      <c r="B3265" s="79" t="str">
        <f>IF(Fourteenth!B18="", "",Fourteenth!B18)</f>
        <v>Psychologist</v>
      </c>
      <c r="C3265" s="66" t="str">
        <f>IF(Fourteenth!C18="", "",Fourteenth!C18)</f>
        <v>Carer</v>
      </c>
      <c r="D3265" s="66" t="str">
        <f>IF(Fourteenth!D18="", "",Fourteenth!D18)</f>
        <v>Returning</v>
      </c>
      <c r="E3265" s="66" t="str">
        <f>IF(Fourteenth!E18="", "",Fourteenth!E18)</f>
        <v>Female</v>
      </c>
      <c r="F3265" s="66" t="str">
        <f>IF(Fourteenth!F18="", "",Fourteenth!F18)</f>
        <v>Breast</v>
      </c>
      <c r="G3265" s="66" t="str">
        <f>IF(Fourteenth!G18="", "",Fourteenth!G18)</f>
        <v>Bereaved</v>
      </c>
      <c r="H3265" s="66" t="str">
        <f>IF(Fourteenth!H18="", "",Fourteenth!H18)</f>
        <v>Booked</v>
      </c>
      <c r="I3265" s="66" t="str">
        <f>IF(Fourteenth!I18="", "",Fourteenth!I18)</f>
        <v>Psych Support - Individual</v>
      </c>
      <c r="J3265" s="66" t="str">
        <f>IF(Fourteenth!J18="", "",Fourteenth!J18)</f>
        <v/>
      </c>
      <c r="K3265" s="86" t="str">
        <f>IF(Fourteenth!K18="", "",Fourteenth!K18)</f>
        <v/>
      </c>
      <c r="M3265" s="67" t="str">
        <f t="shared" si="152"/>
        <v/>
      </c>
      <c r="N3265" s="76">
        <f t="shared" si="153"/>
        <v>7</v>
      </c>
      <c r="O3265" s="33">
        <f t="shared" si="151"/>
        <v>7</v>
      </c>
    </row>
    <row r="3266" spans="1:15" x14ac:dyDescent="0.25">
      <c r="A3266" s="64" t="s">
        <v>185</v>
      </c>
      <c r="B3266" s="79" t="str">
        <f>IF(Fourteenth!B19="", "",Fourteenth!B19)</f>
        <v>CSS</v>
      </c>
      <c r="C3266" s="66" t="str">
        <f>IF(Fourteenth!C19="", "",Fourteenth!C19)</f>
        <v>Carer</v>
      </c>
      <c r="D3266" s="66" t="str">
        <f>IF(Fourteenth!D19="", "",Fourteenth!D19)</f>
        <v>Returning</v>
      </c>
      <c r="E3266" s="66" t="str">
        <f>IF(Fourteenth!E19="", "",Fourteenth!E19)</f>
        <v>Male</v>
      </c>
      <c r="F3266" s="66" t="str">
        <f>IF(Fourteenth!F19="", "",Fourteenth!F19)</f>
        <v>Upper GI</v>
      </c>
      <c r="G3266" s="66" t="str">
        <f>IF(Fourteenth!G19="", "",Fourteenth!G19)</f>
        <v>Bereaved</v>
      </c>
      <c r="H3266" s="66" t="str">
        <f>IF(Fourteenth!H19="", "",Fourteenth!H19)</f>
        <v>Booked</v>
      </c>
      <c r="I3266" s="66" t="str">
        <f>IF(Fourteenth!I19="", "",Fourteenth!I19)</f>
        <v>Psych Support - Individual</v>
      </c>
      <c r="J3266" s="66" t="str">
        <f>IF(Fourteenth!J19="", "",Fourteenth!J19)</f>
        <v/>
      </c>
      <c r="K3266" s="86" t="str">
        <f>IF(Fourteenth!K19="", "",Fourteenth!K19)</f>
        <v/>
      </c>
      <c r="M3266" s="67" t="str">
        <f t="shared" si="152"/>
        <v/>
      </c>
      <c r="N3266" s="76">
        <f t="shared" si="153"/>
        <v>7</v>
      </c>
      <c r="O3266" s="33">
        <f t="shared" ref="O3266:O3329" si="154">SUM(M3266:N3266)</f>
        <v>7</v>
      </c>
    </row>
    <row r="3267" spans="1:15" x14ac:dyDescent="0.25">
      <c r="A3267" s="64" t="s">
        <v>185</v>
      </c>
      <c r="B3267" s="79" t="str">
        <f>IF(Fourteenth!B20="", "",Fourteenth!B20)</f>
        <v>CSS</v>
      </c>
      <c r="C3267" s="66" t="str">
        <f>IF(Fourteenth!C20="", "",Fourteenth!C20)</f>
        <v>Carer</v>
      </c>
      <c r="D3267" s="66" t="str">
        <f>IF(Fourteenth!D20="", "",Fourteenth!D20)</f>
        <v>Returning</v>
      </c>
      <c r="E3267" s="66" t="str">
        <f>IF(Fourteenth!E20="", "",Fourteenth!E20)</f>
        <v>Female</v>
      </c>
      <c r="F3267" s="66" t="str">
        <f>IF(Fourteenth!F20="", "",Fourteenth!F20)</f>
        <v>Upper GI</v>
      </c>
      <c r="G3267" s="66" t="str">
        <f>IF(Fourteenth!G20="", "",Fourteenth!G20)</f>
        <v>Bereaved</v>
      </c>
      <c r="H3267" s="66" t="str">
        <f>IF(Fourteenth!H20="", "",Fourteenth!H20)</f>
        <v>Drop-In</v>
      </c>
      <c r="I3267" s="66" t="str">
        <f>IF(Fourteenth!I20="", "",Fourteenth!I20)</f>
        <v/>
      </c>
      <c r="J3267" s="66" t="str">
        <f>IF(Fourteenth!J20="", "",Fourteenth!J20)</f>
        <v/>
      </c>
      <c r="K3267" s="86" t="str">
        <f>IF(Fourteenth!K20="", "",Fourteenth!K20)</f>
        <v/>
      </c>
      <c r="M3267" s="67" t="str">
        <f t="shared" ref="M3267:M3330" si="155">IF(C3267="PwC",(7-COUNTIF(B3267:H3267,"")),"")</f>
        <v/>
      </c>
      <c r="N3267" s="76">
        <f t="shared" ref="N3267:N3330" si="156">IF(C3267="Carer",(7-COUNTIF(B3267:H3267,"")),"")</f>
        <v>7</v>
      </c>
      <c r="O3267" s="33">
        <f t="shared" si="154"/>
        <v>7</v>
      </c>
    </row>
    <row r="3268" spans="1:15" x14ac:dyDescent="0.25">
      <c r="A3268" s="64" t="s">
        <v>185</v>
      </c>
      <c r="B3268" s="79" t="str">
        <f>IF(Fourteenth!B21="", "",Fourteenth!B21)</f>
        <v>CSS</v>
      </c>
      <c r="C3268" s="66" t="str">
        <f>IF(Fourteenth!C21="", "",Fourteenth!C21)</f>
        <v>PwC</v>
      </c>
      <c r="D3268" s="66" t="str">
        <f>IF(Fourteenth!D21="", "",Fourteenth!D21)</f>
        <v>Returning</v>
      </c>
      <c r="E3268" s="66" t="str">
        <f>IF(Fourteenth!E21="", "",Fourteenth!E21)</f>
        <v>Female</v>
      </c>
      <c r="F3268" s="66" t="str">
        <f>IF(Fourteenth!F21="", "",Fourteenth!F21)</f>
        <v>Brain/CNS</v>
      </c>
      <c r="G3268" s="66" t="str">
        <f>IF(Fourteenth!G21="", "",Fourteenth!G21)</f>
        <v>Non-Curative Intent</v>
      </c>
      <c r="H3268" s="66" t="str">
        <f>IF(Fourteenth!H21="", "",Fourteenth!H21)</f>
        <v>Booked</v>
      </c>
      <c r="I3268" s="66" t="str">
        <f>IF(Fourteenth!I21="", "",Fourteenth!I21)</f>
        <v>Psych Support - Individual</v>
      </c>
      <c r="J3268" s="66" t="str">
        <f>IF(Fourteenth!J21="", "",Fourteenth!J21)</f>
        <v/>
      </c>
      <c r="K3268" s="86" t="str">
        <f>IF(Fourteenth!K21="", "",Fourteenth!K21)</f>
        <v/>
      </c>
      <c r="M3268" s="67">
        <f t="shared" si="155"/>
        <v>7</v>
      </c>
      <c r="N3268" s="76" t="str">
        <f t="shared" si="156"/>
        <v/>
      </c>
      <c r="O3268" s="33">
        <f t="shared" si="154"/>
        <v>7</v>
      </c>
    </row>
    <row r="3269" spans="1:15" x14ac:dyDescent="0.25">
      <c r="A3269" s="64" t="s">
        <v>185</v>
      </c>
      <c r="B3269" s="79" t="str">
        <f>IF(Fourteenth!B22="", "",Fourteenth!B22)</f>
        <v>CSS</v>
      </c>
      <c r="C3269" s="66" t="str">
        <f>IF(Fourteenth!C22="", "",Fourteenth!C22)</f>
        <v>Carer</v>
      </c>
      <c r="D3269" s="66" t="str">
        <f>IF(Fourteenth!D22="", "",Fourteenth!D22)</f>
        <v>New</v>
      </c>
      <c r="E3269" s="66" t="str">
        <f>IF(Fourteenth!E22="", "",Fourteenth!E22)</f>
        <v>Male</v>
      </c>
      <c r="F3269" s="66" t="str">
        <f>IF(Fourteenth!F22="", "",Fourteenth!F22)</f>
        <v>Brain/CNS</v>
      </c>
      <c r="G3269" s="66" t="str">
        <f>IF(Fourteenth!G22="", "",Fourteenth!G22)</f>
        <v>Non-Curative Intent</v>
      </c>
      <c r="H3269" s="66" t="str">
        <f>IF(Fourteenth!H22="", "",Fourteenth!H22)</f>
        <v>Drop-In</v>
      </c>
      <c r="I3269" s="66" t="str">
        <f>IF(Fourteenth!I22="", "",Fourteenth!I22)</f>
        <v/>
      </c>
      <c r="J3269" s="66" t="str">
        <f>IF(Fourteenth!J22="", "",Fourteenth!J22)</f>
        <v/>
      </c>
      <c r="K3269" s="86" t="str">
        <f>IF(Fourteenth!K22="", "",Fourteenth!K22)</f>
        <v/>
      </c>
      <c r="M3269" s="67" t="str">
        <f t="shared" si="155"/>
        <v/>
      </c>
      <c r="N3269" s="76">
        <f t="shared" si="156"/>
        <v>7</v>
      </c>
      <c r="O3269" s="33">
        <f t="shared" si="154"/>
        <v>7</v>
      </c>
    </row>
    <row r="3270" spans="1:15" x14ac:dyDescent="0.25">
      <c r="A3270" s="64" t="s">
        <v>185</v>
      </c>
      <c r="B3270" s="79" t="str">
        <f>IF(Fourteenth!B23="", "",Fourteenth!B23)</f>
        <v>CSS</v>
      </c>
      <c r="C3270" s="66" t="str">
        <f>IF(Fourteenth!C23="", "",Fourteenth!C23)</f>
        <v>Carer</v>
      </c>
      <c r="D3270" s="66" t="str">
        <f>IF(Fourteenth!D23="", "",Fourteenth!D23)</f>
        <v>New</v>
      </c>
      <c r="E3270" s="66" t="str">
        <f>IF(Fourteenth!E23="", "",Fourteenth!E23)</f>
        <v>Under 18 Male</v>
      </c>
      <c r="F3270" s="66" t="str">
        <f>IF(Fourteenth!F23="", "",Fourteenth!F23)</f>
        <v>Brain/CNS</v>
      </c>
      <c r="G3270" s="66" t="str">
        <f>IF(Fourteenth!G23="", "",Fourteenth!G23)</f>
        <v>Non-Curative Intent</v>
      </c>
      <c r="H3270" s="66" t="str">
        <f>IF(Fourteenth!H23="", "",Fourteenth!H23)</f>
        <v>Drop-In</v>
      </c>
      <c r="I3270" s="66" t="str">
        <f>IF(Fourteenth!I23="", "",Fourteenth!I23)</f>
        <v/>
      </c>
      <c r="J3270" s="66" t="str">
        <f>IF(Fourteenth!J23="", "",Fourteenth!J23)</f>
        <v/>
      </c>
      <c r="K3270" s="86" t="str">
        <f>IF(Fourteenth!K23="", "",Fourteenth!K23)</f>
        <v/>
      </c>
      <c r="M3270" s="67" t="str">
        <f t="shared" si="155"/>
        <v/>
      </c>
      <c r="N3270" s="76">
        <f t="shared" si="156"/>
        <v>7</v>
      </c>
      <c r="O3270" s="33">
        <f t="shared" si="154"/>
        <v>7</v>
      </c>
    </row>
    <row r="3271" spans="1:15" x14ac:dyDescent="0.25">
      <c r="A3271" s="64" t="s">
        <v>185</v>
      </c>
      <c r="B3271" s="79" t="str">
        <f>IF(Fourteenth!B24="", "",Fourteenth!B24)</f>
        <v>CSS</v>
      </c>
      <c r="C3271" s="66" t="str">
        <f>IF(Fourteenth!C24="", "",Fourteenth!C24)</f>
        <v>Carer</v>
      </c>
      <c r="D3271" s="66" t="str">
        <f>IF(Fourteenth!D24="", "",Fourteenth!D24)</f>
        <v>New</v>
      </c>
      <c r="E3271" s="66" t="str">
        <f>IF(Fourteenth!E24="", "",Fourteenth!E24)</f>
        <v>Under 18 Female</v>
      </c>
      <c r="F3271" s="66" t="str">
        <f>IF(Fourteenth!F24="", "",Fourteenth!F24)</f>
        <v>Brain/CNS</v>
      </c>
      <c r="G3271" s="66" t="str">
        <f>IF(Fourteenth!G24="", "",Fourteenth!G24)</f>
        <v>Non-Curative Intent</v>
      </c>
      <c r="H3271" s="66" t="str">
        <f>IF(Fourteenth!H24="", "",Fourteenth!H24)</f>
        <v>Drop-In</v>
      </c>
      <c r="I3271" s="66" t="str">
        <f>IF(Fourteenth!I24="", "",Fourteenth!I24)</f>
        <v/>
      </c>
      <c r="J3271" s="66" t="str">
        <f>IF(Fourteenth!J24="", "",Fourteenth!J24)</f>
        <v/>
      </c>
      <c r="K3271" s="86" t="str">
        <f>IF(Fourteenth!K24="", "",Fourteenth!K24)</f>
        <v/>
      </c>
      <c r="M3271" s="67" t="str">
        <f t="shared" si="155"/>
        <v/>
      </c>
      <c r="N3271" s="76">
        <f t="shared" si="156"/>
        <v>7</v>
      </c>
      <c r="O3271" s="33">
        <f t="shared" si="154"/>
        <v>7</v>
      </c>
    </row>
    <row r="3272" spans="1:15" x14ac:dyDescent="0.25">
      <c r="A3272" s="64" t="s">
        <v>185</v>
      </c>
      <c r="B3272" s="79" t="str">
        <f>IF(Fourteenth!B25="", "",Fourteenth!B25)</f>
        <v>CSS</v>
      </c>
      <c r="C3272" s="66" t="str">
        <f>IF(Fourteenth!C25="", "",Fourteenth!C25)</f>
        <v>PwC</v>
      </c>
      <c r="D3272" s="66" t="str">
        <f>IF(Fourteenth!D25="", "",Fourteenth!D25)</f>
        <v>New</v>
      </c>
      <c r="E3272" s="66" t="str">
        <f>IF(Fourteenth!E25="", "",Fourteenth!E25)</f>
        <v>Male</v>
      </c>
      <c r="F3272" s="66" t="str">
        <f>IF(Fourteenth!F25="", "",Fourteenth!F25)</f>
        <v>Prostate</v>
      </c>
      <c r="G3272" s="66" t="str">
        <f>IF(Fourteenth!G25="", "",Fourteenth!G25)</f>
        <v>Curative Intent</v>
      </c>
      <c r="H3272" s="66" t="str">
        <f>IF(Fourteenth!H25="", "",Fourteenth!H25)</f>
        <v>Drop-In</v>
      </c>
      <c r="I3272" s="66" t="str">
        <f>IF(Fourteenth!I25="", "",Fourteenth!I25)</f>
        <v/>
      </c>
      <c r="J3272" s="66" t="str">
        <f>IF(Fourteenth!J25="", "",Fourteenth!J25)</f>
        <v/>
      </c>
      <c r="K3272" s="86" t="str">
        <f>IF(Fourteenth!K25="", "",Fourteenth!K25)</f>
        <v/>
      </c>
      <c r="M3272" s="67">
        <f t="shared" si="155"/>
        <v>7</v>
      </c>
      <c r="N3272" s="76" t="str">
        <f t="shared" si="156"/>
        <v/>
      </c>
      <c r="O3272" s="33">
        <f t="shared" si="154"/>
        <v>7</v>
      </c>
    </row>
    <row r="3273" spans="1:15" x14ac:dyDescent="0.25">
      <c r="A3273" s="64" t="s">
        <v>185</v>
      </c>
      <c r="B3273" s="79" t="str">
        <f>IF(Fourteenth!B26="", "",Fourteenth!B26)</f>
        <v>CSS</v>
      </c>
      <c r="C3273" s="66" t="str">
        <f>IF(Fourteenth!C26="", "",Fourteenth!C26)</f>
        <v>Carer</v>
      </c>
      <c r="D3273" s="66" t="str">
        <f>IF(Fourteenth!D26="", "",Fourteenth!D26)</f>
        <v>New</v>
      </c>
      <c r="E3273" s="66" t="str">
        <f>IF(Fourteenth!E26="", "",Fourteenth!E26)</f>
        <v>Female</v>
      </c>
      <c r="F3273" s="66" t="str">
        <f>IF(Fourteenth!F26="", "",Fourteenth!F26)</f>
        <v>Prostate</v>
      </c>
      <c r="G3273" s="66" t="str">
        <f>IF(Fourteenth!G26="", "",Fourteenth!G26)</f>
        <v>Curative Intent</v>
      </c>
      <c r="H3273" s="66" t="str">
        <f>IF(Fourteenth!H26="", "",Fourteenth!H26)</f>
        <v>Drop-In</v>
      </c>
      <c r="I3273" s="66" t="str">
        <f>IF(Fourteenth!I26="", "",Fourteenth!I26)</f>
        <v/>
      </c>
      <c r="J3273" s="66" t="str">
        <f>IF(Fourteenth!J26="", "",Fourteenth!J26)</f>
        <v/>
      </c>
      <c r="K3273" s="86" t="str">
        <f>IF(Fourteenth!K26="", "",Fourteenth!K26)</f>
        <v/>
      </c>
      <c r="M3273" s="67" t="str">
        <f t="shared" si="155"/>
        <v/>
      </c>
      <c r="N3273" s="76">
        <f t="shared" si="156"/>
        <v>7</v>
      </c>
      <c r="O3273" s="33">
        <f t="shared" si="154"/>
        <v>7</v>
      </c>
    </row>
    <row r="3274" spans="1:15" x14ac:dyDescent="0.25">
      <c r="A3274" s="64" t="s">
        <v>185</v>
      </c>
      <c r="B3274" s="79" t="str">
        <f>IF(Fourteenth!B27="", "",Fourteenth!B27)</f>
        <v>CSS</v>
      </c>
      <c r="C3274" s="66" t="str">
        <f>IF(Fourteenth!C27="", "",Fourteenth!C27)</f>
        <v>Carer</v>
      </c>
      <c r="D3274" s="66" t="str">
        <f>IF(Fourteenth!D27="", "",Fourteenth!D27)</f>
        <v>Returning</v>
      </c>
      <c r="E3274" s="66" t="str">
        <f>IF(Fourteenth!E27="", "",Fourteenth!E27)</f>
        <v>Male</v>
      </c>
      <c r="F3274" s="66" t="str">
        <f>IF(Fourteenth!F27="", "",Fourteenth!F27)</f>
        <v>Gynae</v>
      </c>
      <c r="G3274" s="66" t="str">
        <f>IF(Fourteenth!G27="", "",Fourteenth!G27)</f>
        <v>Curative Intent</v>
      </c>
      <c r="H3274" s="66" t="str">
        <f>IF(Fourteenth!H27="", "",Fourteenth!H27)</f>
        <v>Drop-In</v>
      </c>
      <c r="I3274" s="66" t="str">
        <f>IF(Fourteenth!I27="", "",Fourteenth!I27)</f>
        <v/>
      </c>
      <c r="J3274" s="66" t="str">
        <f>IF(Fourteenth!J27="", "",Fourteenth!J27)</f>
        <v/>
      </c>
      <c r="K3274" s="86" t="str">
        <f>IF(Fourteenth!K27="", "",Fourteenth!K27)</f>
        <v/>
      </c>
      <c r="M3274" s="67" t="str">
        <f t="shared" si="155"/>
        <v/>
      </c>
      <c r="N3274" s="76">
        <f t="shared" si="156"/>
        <v>7</v>
      </c>
      <c r="O3274" s="33">
        <f t="shared" si="154"/>
        <v>7</v>
      </c>
    </row>
    <row r="3275" spans="1:15" x14ac:dyDescent="0.25">
      <c r="A3275" s="64" t="s">
        <v>185</v>
      </c>
      <c r="B3275" s="79" t="str">
        <f>IF(Fourteenth!B28="", "",Fourteenth!B28)</f>
        <v>CSS</v>
      </c>
      <c r="C3275" s="66" t="str">
        <f>IF(Fourteenth!C28="", "",Fourteenth!C28)</f>
        <v>PwC</v>
      </c>
      <c r="D3275" s="66" t="str">
        <f>IF(Fourteenth!D28="", "",Fourteenth!D28)</f>
        <v>Returning</v>
      </c>
      <c r="E3275" s="66" t="str">
        <f>IF(Fourteenth!E28="", "",Fourteenth!E28)</f>
        <v>Female</v>
      </c>
      <c r="F3275" s="66" t="str">
        <f>IF(Fourteenth!F28="", "",Fourteenth!F28)</f>
        <v>Breast</v>
      </c>
      <c r="G3275" s="66" t="str">
        <f>IF(Fourteenth!G28="", "",Fourteenth!G28)</f>
        <v>Post Treatment - Curative Intent</v>
      </c>
      <c r="H3275" s="66" t="str">
        <f>IF(Fourteenth!H28="", "",Fourteenth!H28)</f>
        <v>Programme</v>
      </c>
      <c r="I3275" s="66" t="str">
        <f>IF(Fourteenth!I28="", "",Fourteenth!I28)</f>
        <v>Relaxation</v>
      </c>
      <c r="J3275" s="66" t="str">
        <f>IF(Fourteenth!J28="", "",Fourteenth!J28)</f>
        <v/>
      </c>
      <c r="K3275" s="86" t="str">
        <f>IF(Fourteenth!K28="", "",Fourteenth!K28)</f>
        <v/>
      </c>
      <c r="M3275" s="67">
        <f t="shared" si="155"/>
        <v>7</v>
      </c>
      <c r="N3275" s="76" t="str">
        <f t="shared" si="156"/>
        <v/>
      </c>
      <c r="O3275" s="33">
        <f t="shared" si="154"/>
        <v>7</v>
      </c>
    </row>
    <row r="3276" spans="1:15" x14ac:dyDescent="0.25">
      <c r="A3276" s="64" t="s">
        <v>185</v>
      </c>
      <c r="B3276" s="79" t="str">
        <f>IF(Fourteenth!B29="", "",Fourteenth!B29)</f>
        <v>CSS</v>
      </c>
      <c r="C3276" s="66" t="str">
        <f>IF(Fourteenth!C29="", "",Fourteenth!C29)</f>
        <v>Carer</v>
      </c>
      <c r="D3276" s="66" t="str">
        <f>IF(Fourteenth!D29="", "",Fourteenth!D29)</f>
        <v>Returning</v>
      </c>
      <c r="E3276" s="66" t="str">
        <f>IF(Fourteenth!E29="", "",Fourteenth!E29)</f>
        <v>Male</v>
      </c>
      <c r="F3276" s="66" t="str">
        <f>IF(Fourteenth!F29="", "",Fourteenth!F29)</f>
        <v>Breast</v>
      </c>
      <c r="G3276" s="66" t="str">
        <f>IF(Fourteenth!G29="", "",Fourteenth!G29)</f>
        <v>Post Treatment - Curative Intent</v>
      </c>
      <c r="H3276" s="66" t="str">
        <f>IF(Fourteenth!H29="", "",Fourteenth!H29)</f>
        <v>Programme</v>
      </c>
      <c r="I3276" s="66" t="str">
        <f>IF(Fourteenth!I29="", "",Fourteenth!I29)</f>
        <v>Relaxation</v>
      </c>
      <c r="J3276" s="66" t="str">
        <f>IF(Fourteenth!J29="", "",Fourteenth!J29)</f>
        <v/>
      </c>
      <c r="K3276" s="86" t="str">
        <f>IF(Fourteenth!K29="", "",Fourteenth!K29)</f>
        <v/>
      </c>
      <c r="M3276" s="67" t="str">
        <f t="shared" si="155"/>
        <v/>
      </c>
      <c r="N3276" s="76">
        <f t="shared" si="156"/>
        <v>7</v>
      </c>
      <c r="O3276" s="33">
        <f t="shared" si="154"/>
        <v>7</v>
      </c>
    </row>
    <row r="3277" spans="1:15" x14ac:dyDescent="0.25">
      <c r="A3277" s="64" t="s">
        <v>185</v>
      </c>
      <c r="B3277" s="79" t="str">
        <f>IF(Fourteenth!B30="", "",Fourteenth!B30)</f>
        <v>CSS</v>
      </c>
      <c r="C3277" s="66" t="str">
        <f>IF(Fourteenth!C30="", "",Fourteenth!C30)</f>
        <v>PwC</v>
      </c>
      <c r="D3277" s="66" t="str">
        <f>IF(Fourteenth!D30="", "",Fourteenth!D30)</f>
        <v>Returning</v>
      </c>
      <c r="E3277" s="66" t="str">
        <f>IF(Fourteenth!E30="", "",Fourteenth!E30)</f>
        <v>Female</v>
      </c>
      <c r="F3277" s="66" t="str">
        <f>IF(Fourteenth!F30="", "",Fourteenth!F30)</f>
        <v>Breast</v>
      </c>
      <c r="G3277" s="66" t="str">
        <f>IF(Fourteenth!G30="", "",Fourteenth!G30)</f>
        <v>Non-Curative Intent</v>
      </c>
      <c r="H3277" s="66" t="str">
        <f>IF(Fourteenth!H30="", "",Fourteenth!H30)</f>
        <v>Programme</v>
      </c>
      <c r="I3277" s="66" t="str">
        <f>IF(Fourteenth!I30="", "",Fourteenth!I30)</f>
        <v>Relaxation</v>
      </c>
      <c r="J3277" s="66" t="str">
        <f>IF(Fourteenth!J30="", "",Fourteenth!J30)</f>
        <v/>
      </c>
      <c r="K3277" s="86" t="str">
        <f>IF(Fourteenth!K30="", "",Fourteenth!K30)</f>
        <v/>
      </c>
      <c r="M3277" s="67">
        <f t="shared" si="155"/>
        <v>7</v>
      </c>
      <c r="N3277" s="76" t="str">
        <f t="shared" si="156"/>
        <v/>
      </c>
      <c r="O3277" s="33">
        <f t="shared" si="154"/>
        <v>7</v>
      </c>
    </row>
    <row r="3278" spans="1:15" x14ac:dyDescent="0.25">
      <c r="A3278" s="64" t="s">
        <v>185</v>
      </c>
      <c r="B3278" s="79" t="str">
        <f>IF(Fourteenth!B31="", "",Fourteenth!B31)</f>
        <v>CSS</v>
      </c>
      <c r="C3278" s="66" t="str">
        <f>IF(Fourteenth!C31="", "",Fourteenth!C31)</f>
        <v>PwC</v>
      </c>
      <c r="D3278" s="66" t="str">
        <f>IF(Fourteenth!D31="", "",Fourteenth!D31)</f>
        <v>Returning</v>
      </c>
      <c r="E3278" s="66" t="str">
        <f>IF(Fourteenth!E31="", "",Fourteenth!E31)</f>
        <v>Female</v>
      </c>
      <c r="F3278" s="66" t="str">
        <f>IF(Fourteenth!F31="", "",Fourteenth!F31)</f>
        <v>Breast</v>
      </c>
      <c r="G3278" s="66" t="str">
        <f>IF(Fourteenth!G31="", "",Fourteenth!G31)</f>
        <v>Post Treatment - Curative Intent</v>
      </c>
      <c r="H3278" s="66" t="str">
        <f>IF(Fourteenth!H31="", "",Fourteenth!H31)</f>
        <v>Programme</v>
      </c>
      <c r="I3278" s="66" t="str">
        <f>IF(Fourteenth!I31="", "",Fourteenth!I31)</f>
        <v>Relaxation</v>
      </c>
      <c r="J3278" s="66" t="str">
        <f>IF(Fourteenth!J31="", "",Fourteenth!J31)</f>
        <v/>
      </c>
      <c r="K3278" s="86" t="str">
        <f>IF(Fourteenth!K31="", "",Fourteenth!K31)</f>
        <v/>
      </c>
      <c r="M3278" s="67">
        <f t="shared" si="155"/>
        <v>7</v>
      </c>
      <c r="N3278" s="76" t="str">
        <f t="shared" si="156"/>
        <v/>
      </c>
      <c r="O3278" s="33">
        <f t="shared" si="154"/>
        <v>7</v>
      </c>
    </row>
    <row r="3279" spans="1:15" x14ac:dyDescent="0.25">
      <c r="A3279" s="64" t="s">
        <v>185</v>
      </c>
      <c r="B3279" s="79" t="str">
        <f>IF(Fourteenth!B32="", "",Fourteenth!B32)</f>
        <v>CSS</v>
      </c>
      <c r="C3279" s="66" t="str">
        <f>IF(Fourteenth!C32="", "",Fourteenth!C32)</f>
        <v>PwC</v>
      </c>
      <c r="D3279" s="66" t="str">
        <f>IF(Fourteenth!D32="", "",Fourteenth!D32)</f>
        <v>Returning</v>
      </c>
      <c r="E3279" s="66" t="str">
        <f>IF(Fourteenth!E32="", "",Fourteenth!E32)</f>
        <v>Female</v>
      </c>
      <c r="F3279" s="66" t="str">
        <f>IF(Fourteenth!F32="", "",Fourteenth!F32)</f>
        <v>Gynae</v>
      </c>
      <c r="G3279" s="66" t="str">
        <f>IF(Fourteenth!G32="", "",Fourteenth!G32)</f>
        <v>Post Treatment - Curative Intent</v>
      </c>
      <c r="H3279" s="66" t="str">
        <f>IF(Fourteenth!H32="", "",Fourteenth!H32)</f>
        <v>Programme</v>
      </c>
      <c r="I3279" s="66" t="str">
        <f>IF(Fourteenth!I32="", "",Fourteenth!I32)</f>
        <v>Relaxation</v>
      </c>
      <c r="J3279" s="66" t="str">
        <f>IF(Fourteenth!J32="", "",Fourteenth!J32)</f>
        <v/>
      </c>
      <c r="K3279" s="86" t="str">
        <f>IF(Fourteenth!K32="", "",Fourteenth!K32)</f>
        <v/>
      </c>
      <c r="M3279" s="67">
        <f t="shared" si="155"/>
        <v>7</v>
      </c>
      <c r="N3279" s="76" t="str">
        <f t="shared" si="156"/>
        <v/>
      </c>
      <c r="O3279" s="33">
        <f t="shared" si="154"/>
        <v>7</v>
      </c>
    </row>
    <row r="3280" spans="1:15" x14ac:dyDescent="0.25">
      <c r="A3280" s="64" t="s">
        <v>185</v>
      </c>
      <c r="B3280" s="79" t="str">
        <f>IF(Fourteenth!B33="", "",Fourteenth!B33)</f>
        <v>CSS</v>
      </c>
      <c r="C3280" s="66" t="str">
        <f>IF(Fourteenth!C33="", "",Fourteenth!C33)</f>
        <v>PwC</v>
      </c>
      <c r="D3280" s="66" t="str">
        <f>IF(Fourteenth!D33="", "",Fourteenth!D33)</f>
        <v>Returning</v>
      </c>
      <c r="E3280" s="66" t="str">
        <f>IF(Fourteenth!E33="", "",Fourteenth!E33)</f>
        <v>Female</v>
      </c>
      <c r="F3280" s="66" t="str">
        <f>IF(Fourteenth!F33="", "",Fourteenth!F33)</f>
        <v>Breast</v>
      </c>
      <c r="G3280" s="66" t="str">
        <f>IF(Fourteenth!G33="", "",Fourteenth!G33)</f>
        <v>Post Treatment - Curative Intent</v>
      </c>
      <c r="H3280" s="66" t="str">
        <f>IF(Fourteenth!H33="", "",Fourteenth!H33)</f>
        <v>Programme</v>
      </c>
      <c r="I3280" s="66" t="str">
        <f>IF(Fourteenth!I33="", "",Fourteenth!I33)</f>
        <v>Relaxation</v>
      </c>
      <c r="J3280" s="66" t="str">
        <f>IF(Fourteenth!J33="", "",Fourteenth!J33)</f>
        <v/>
      </c>
      <c r="K3280" s="86" t="str">
        <f>IF(Fourteenth!K33="", "",Fourteenth!K33)</f>
        <v/>
      </c>
      <c r="M3280" s="67">
        <f t="shared" si="155"/>
        <v>7</v>
      </c>
      <c r="N3280" s="76" t="str">
        <f t="shared" si="156"/>
        <v/>
      </c>
      <c r="O3280" s="33">
        <f t="shared" si="154"/>
        <v>7</v>
      </c>
    </row>
    <row r="3281" spans="1:15" x14ac:dyDescent="0.25">
      <c r="A3281" s="64" t="s">
        <v>185</v>
      </c>
      <c r="B3281" s="79" t="str">
        <f>IF(Fourteenth!B34="", "",Fourteenth!B34)</f>
        <v>CSS</v>
      </c>
      <c r="C3281" s="66" t="str">
        <f>IF(Fourteenth!C34="", "",Fourteenth!C34)</f>
        <v>PwC</v>
      </c>
      <c r="D3281" s="66" t="str">
        <f>IF(Fourteenth!D34="", "",Fourteenth!D34)</f>
        <v>Returning</v>
      </c>
      <c r="E3281" s="66" t="str">
        <f>IF(Fourteenth!E34="", "",Fourteenth!E34)</f>
        <v>Male</v>
      </c>
      <c r="F3281" s="66" t="str">
        <f>IF(Fourteenth!F34="", "",Fourteenth!F34)</f>
        <v>Prostate</v>
      </c>
      <c r="G3281" s="66" t="str">
        <f>IF(Fourteenth!G34="", "",Fourteenth!G34)</f>
        <v>Post Treatment - Curative Intent</v>
      </c>
      <c r="H3281" s="66" t="str">
        <f>IF(Fourteenth!H34="", "",Fourteenth!H34)</f>
        <v>Programme</v>
      </c>
      <c r="I3281" s="66" t="str">
        <f>IF(Fourteenth!I34="", "",Fourteenth!I34)</f>
        <v>Relaxation</v>
      </c>
      <c r="J3281" s="66" t="str">
        <f>IF(Fourteenth!J34="", "",Fourteenth!J34)</f>
        <v/>
      </c>
      <c r="K3281" s="86" t="str">
        <f>IF(Fourteenth!K34="", "",Fourteenth!K34)</f>
        <v/>
      </c>
      <c r="M3281" s="67">
        <f t="shared" si="155"/>
        <v>7</v>
      </c>
      <c r="N3281" s="76" t="str">
        <f t="shared" si="156"/>
        <v/>
      </c>
      <c r="O3281" s="33">
        <f t="shared" si="154"/>
        <v>7</v>
      </c>
    </row>
    <row r="3282" spans="1:15" x14ac:dyDescent="0.25">
      <c r="A3282" s="64" t="s">
        <v>185</v>
      </c>
      <c r="B3282" s="79" t="str">
        <f>IF(Fourteenth!B35="", "",Fourteenth!B35)</f>
        <v>CSS</v>
      </c>
      <c r="C3282" s="66" t="str">
        <f>IF(Fourteenth!C35="", "",Fourteenth!C35)</f>
        <v>PwC</v>
      </c>
      <c r="D3282" s="66" t="str">
        <f>IF(Fourteenth!D35="", "",Fourteenth!D35)</f>
        <v>Returning</v>
      </c>
      <c r="E3282" s="66" t="str">
        <f>IF(Fourteenth!E35="", "",Fourteenth!E35)</f>
        <v>Male</v>
      </c>
      <c r="F3282" s="66" t="str">
        <f>IF(Fourteenth!F35="", "",Fourteenth!F35)</f>
        <v>Prostate</v>
      </c>
      <c r="G3282" s="66" t="str">
        <f>IF(Fourteenth!G35="", "",Fourteenth!G35)</f>
        <v>Non-Curative Intent</v>
      </c>
      <c r="H3282" s="66" t="str">
        <f>IF(Fourteenth!H35="", "",Fourteenth!H35)</f>
        <v>Programme</v>
      </c>
      <c r="I3282" s="66" t="str">
        <f>IF(Fourteenth!I35="", "",Fourteenth!I35)</f>
        <v>Relaxation</v>
      </c>
      <c r="J3282" s="66" t="str">
        <f>IF(Fourteenth!J35="", "",Fourteenth!J35)</f>
        <v/>
      </c>
      <c r="K3282" s="86" t="str">
        <f>IF(Fourteenth!K35="", "",Fourteenth!K35)</f>
        <v/>
      </c>
      <c r="M3282" s="67">
        <f t="shared" si="155"/>
        <v>7</v>
      </c>
      <c r="N3282" s="76" t="str">
        <f t="shared" si="156"/>
        <v/>
      </c>
      <c r="O3282" s="33">
        <f t="shared" si="154"/>
        <v>7</v>
      </c>
    </row>
    <row r="3283" spans="1:15" x14ac:dyDescent="0.25">
      <c r="A3283" s="64" t="s">
        <v>185</v>
      </c>
      <c r="B3283" s="79" t="str">
        <f>IF(Fourteenth!B36="", "",Fourteenth!B36)</f>
        <v>CSS</v>
      </c>
      <c r="C3283" s="66" t="str">
        <f>IF(Fourteenth!C36="", "",Fourteenth!C36)</f>
        <v>PwC</v>
      </c>
      <c r="D3283" s="66" t="str">
        <f>IF(Fourteenth!D36="", "",Fourteenth!D36)</f>
        <v>Returning</v>
      </c>
      <c r="E3283" s="66" t="str">
        <f>IF(Fourteenth!E36="", "",Fourteenth!E36)</f>
        <v>Male</v>
      </c>
      <c r="F3283" s="66" t="str">
        <f>IF(Fourteenth!F36="", "",Fourteenth!F36)</f>
        <v>Brain/CNS</v>
      </c>
      <c r="G3283" s="66" t="str">
        <f>IF(Fourteenth!G36="", "",Fourteenth!G36)</f>
        <v>Non-Curative Intent</v>
      </c>
      <c r="H3283" s="66" t="str">
        <f>IF(Fourteenth!H36="", "",Fourteenth!H36)</f>
        <v>Programme</v>
      </c>
      <c r="I3283" s="66" t="str">
        <f>IF(Fourteenth!I36="", "",Fourteenth!I36)</f>
        <v>Relaxation</v>
      </c>
      <c r="J3283" s="66" t="str">
        <f>IF(Fourteenth!J36="", "",Fourteenth!J36)</f>
        <v/>
      </c>
      <c r="K3283" s="86" t="str">
        <f>IF(Fourteenth!K36="", "",Fourteenth!K36)</f>
        <v/>
      </c>
      <c r="M3283" s="67">
        <f t="shared" si="155"/>
        <v>7</v>
      </c>
      <c r="N3283" s="76" t="str">
        <f t="shared" si="156"/>
        <v/>
      </c>
      <c r="O3283" s="33">
        <f t="shared" si="154"/>
        <v>7</v>
      </c>
    </row>
    <row r="3284" spans="1:15" x14ac:dyDescent="0.25">
      <c r="A3284" s="64" t="s">
        <v>185</v>
      </c>
      <c r="B3284" s="79" t="str">
        <f>IF(Fourteenth!B37="", "",Fourteenth!B37)</f>
        <v>CSS</v>
      </c>
      <c r="C3284" s="66" t="str">
        <f>IF(Fourteenth!C37="", "",Fourteenth!C37)</f>
        <v>PwC</v>
      </c>
      <c r="D3284" s="66" t="str">
        <f>IF(Fourteenth!D37="", "",Fourteenth!D37)</f>
        <v>Returning</v>
      </c>
      <c r="E3284" s="66" t="str">
        <f>IF(Fourteenth!E37="", "",Fourteenth!E37)</f>
        <v>Female</v>
      </c>
      <c r="F3284" s="66" t="str">
        <f>IF(Fourteenth!F37="", "",Fourteenth!F37)</f>
        <v>Gynae</v>
      </c>
      <c r="G3284" s="66" t="str">
        <f>IF(Fourteenth!G37="", "",Fourteenth!G37)</f>
        <v>Non-Curative Intent</v>
      </c>
      <c r="H3284" s="66" t="str">
        <f>IF(Fourteenth!H37="", "",Fourteenth!H37)</f>
        <v>Programme</v>
      </c>
      <c r="I3284" s="66" t="str">
        <f>IF(Fourteenth!I37="", "",Fourteenth!I37)</f>
        <v>Relaxation</v>
      </c>
      <c r="J3284" s="66" t="str">
        <f>IF(Fourteenth!J37="", "",Fourteenth!J37)</f>
        <v/>
      </c>
      <c r="K3284" s="86" t="str">
        <f>IF(Fourteenth!K37="", "",Fourteenth!K37)</f>
        <v/>
      </c>
      <c r="M3284" s="67">
        <f t="shared" si="155"/>
        <v>7</v>
      </c>
      <c r="N3284" s="76" t="str">
        <f t="shared" si="156"/>
        <v/>
      </c>
      <c r="O3284" s="33">
        <f t="shared" si="154"/>
        <v>7</v>
      </c>
    </row>
    <row r="3285" spans="1:15" x14ac:dyDescent="0.25">
      <c r="A3285" s="64" t="s">
        <v>185</v>
      </c>
      <c r="B3285" s="79" t="str">
        <f>IF(Fourteenth!B38="", "",Fourteenth!B38)</f>
        <v>CSS</v>
      </c>
      <c r="C3285" s="66" t="str">
        <f>IF(Fourteenth!C38="", "",Fourteenth!C38)</f>
        <v>Carer</v>
      </c>
      <c r="D3285" s="66" t="str">
        <f>IF(Fourteenth!D38="", "",Fourteenth!D38)</f>
        <v>Returning</v>
      </c>
      <c r="E3285" s="66" t="str">
        <f>IF(Fourteenth!E38="", "",Fourteenth!E38)</f>
        <v>Female</v>
      </c>
      <c r="F3285" s="66" t="str">
        <f>IF(Fourteenth!F38="", "",Fourteenth!F38)</f>
        <v>Gynae</v>
      </c>
      <c r="G3285" s="66" t="str">
        <f>IF(Fourteenth!G38="", "",Fourteenth!G38)</f>
        <v>Non-Curative Intent</v>
      </c>
      <c r="H3285" s="66" t="str">
        <f>IF(Fourteenth!H38="", "",Fourteenth!H38)</f>
        <v>Programme</v>
      </c>
      <c r="I3285" s="66" t="str">
        <f>IF(Fourteenth!I38="", "",Fourteenth!I38)</f>
        <v>Relaxation</v>
      </c>
      <c r="J3285" s="66" t="str">
        <f>IF(Fourteenth!J38="", "",Fourteenth!J38)</f>
        <v/>
      </c>
      <c r="K3285" s="86" t="str">
        <f>IF(Fourteenth!K38="", "",Fourteenth!K38)</f>
        <v/>
      </c>
      <c r="M3285" s="67" t="str">
        <f t="shared" si="155"/>
        <v/>
      </c>
      <c r="N3285" s="76">
        <f t="shared" si="156"/>
        <v>7</v>
      </c>
      <c r="O3285" s="33">
        <f t="shared" si="154"/>
        <v>7</v>
      </c>
    </row>
    <row r="3286" spans="1:15" x14ac:dyDescent="0.25">
      <c r="A3286" s="64" t="s">
        <v>185</v>
      </c>
      <c r="B3286" s="79" t="str">
        <f>IF(Fourteenth!B39="", "",Fourteenth!B39)</f>
        <v>CSS</v>
      </c>
      <c r="C3286" s="66" t="str">
        <f>IF(Fourteenth!C39="", "",Fourteenth!C39)</f>
        <v>PwC</v>
      </c>
      <c r="D3286" s="66" t="str">
        <f>IF(Fourteenth!D39="", "",Fourteenth!D39)</f>
        <v>Returning</v>
      </c>
      <c r="E3286" s="66" t="str">
        <f>IF(Fourteenth!E39="", "",Fourteenth!E39)</f>
        <v>Female</v>
      </c>
      <c r="F3286" s="66" t="str">
        <f>IF(Fourteenth!F39="", "",Fourteenth!F39)</f>
        <v>Haemat</v>
      </c>
      <c r="G3286" s="66" t="str">
        <f>IF(Fourteenth!G39="", "",Fourteenth!G39)</f>
        <v>Non-Curative Intent</v>
      </c>
      <c r="H3286" s="66" t="str">
        <f>IF(Fourteenth!H39="", "",Fourteenth!H39)</f>
        <v>Programme</v>
      </c>
      <c r="I3286" s="66" t="str">
        <f>IF(Fourteenth!I39="", "",Fourteenth!I39)</f>
        <v>Relaxation</v>
      </c>
      <c r="J3286" s="66" t="str">
        <f>IF(Fourteenth!J39="", "",Fourteenth!J39)</f>
        <v/>
      </c>
      <c r="K3286" s="86" t="str">
        <f>IF(Fourteenth!K39="", "",Fourteenth!K39)</f>
        <v/>
      </c>
      <c r="M3286" s="67">
        <f t="shared" si="155"/>
        <v>7</v>
      </c>
      <c r="N3286" s="76" t="str">
        <f t="shared" si="156"/>
        <v/>
      </c>
      <c r="O3286" s="33">
        <f t="shared" si="154"/>
        <v>7</v>
      </c>
    </row>
    <row r="3287" spans="1:15" x14ac:dyDescent="0.25">
      <c r="A3287" s="64" t="s">
        <v>185</v>
      </c>
      <c r="B3287" s="79" t="str">
        <f>IF(Fourteenth!B40="", "",Fourteenth!B40)</f>
        <v>CSS</v>
      </c>
      <c r="C3287" s="66" t="str">
        <f>IF(Fourteenth!C40="", "",Fourteenth!C40)</f>
        <v>PwC</v>
      </c>
      <c r="D3287" s="66" t="str">
        <f>IF(Fourteenth!D40="", "",Fourteenth!D40)</f>
        <v>Returning</v>
      </c>
      <c r="E3287" s="66" t="str">
        <f>IF(Fourteenth!E40="", "",Fourteenth!E40)</f>
        <v>Female</v>
      </c>
      <c r="F3287" s="66" t="str">
        <f>IF(Fourteenth!F40="", "",Fourteenth!F40)</f>
        <v>Gynae</v>
      </c>
      <c r="G3287" s="66" t="str">
        <f>IF(Fourteenth!G40="", "",Fourteenth!G40)</f>
        <v>Non-Curative Intent</v>
      </c>
      <c r="H3287" s="66" t="str">
        <f>IF(Fourteenth!H40="", "",Fourteenth!H40)</f>
        <v>Programme</v>
      </c>
      <c r="I3287" s="66" t="str">
        <f>IF(Fourteenth!I40="", "",Fourteenth!I40)</f>
        <v>Relaxation</v>
      </c>
      <c r="J3287" s="66" t="str">
        <f>IF(Fourteenth!J40="", "",Fourteenth!J40)</f>
        <v/>
      </c>
      <c r="K3287" s="86" t="str">
        <f>IF(Fourteenth!K40="", "",Fourteenth!K40)</f>
        <v/>
      </c>
      <c r="M3287" s="67">
        <f t="shared" si="155"/>
        <v>7</v>
      </c>
      <c r="N3287" s="76" t="str">
        <f t="shared" si="156"/>
        <v/>
      </c>
      <c r="O3287" s="33">
        <f t="shared" si="154"/>
        <v>7</v>
      </c>
    </row>
    <row r="3288" spans="1:15" x14ac:dyDescent="0.25">
      <c r="A3288" s="64" t="s">
        <v>185</v>
      </c>
      <c r="B3288" s="79" t="str">
        <f>IF(Fourteenth!B41="", "",Fourteenth!B41)</f>
        <v>CSS</v>
      </c>
      <c r="C3288" s="66" t="str">
        <f>IF(Fourteenth!C41="", "",Fourteenth!C41)</f>
        <v>PwC</v>
      </c>
      <c r="D3288" s="66" t="str">
        <f>IF(Fourteenth!D41="", "",Fourteenth!D41)</f>
        <v>New</v>
      </c>
      <c r="E3288" s="66" t="str">
        <f>IF(Fourteenth!E41="", "",Fourteenth!E41)</f>
        <v>Female</v>
      </c>
      <c r="F3288" s="66" t="str">
        <f>IF(Fourteenth!F41="", "",Fourteenth!F41)</f>
        <v>Breast</v>
      </c>
      <c r="G3288" s="66" t="str">
        <f>IF(Fourteenth!G41="", "",Fourteenth!G41)</f>
        <v>Curative Intent</v>
      </c>
      <c r="H3288" s="66" t="str">
        <f>IF(Fourteenth!H41="", "",Fourteenth!H41)</f>
        <v>Programme</v>
      </c>
      <c r="I3288" s="66" t="str">
        <f>IF(Fourteenth!I41="", "",Fourteenth!I41)</f>
        <v>Relaxation</v>
      </c>
      <c r="J3288" s="66" t="str">
        <f>IF(Fourteenth!J41="", "",Fourteenth!J41)</f>
        <v/>
      </c>
      <c r="K3288" s="86" t="str">
        <f>IF(Fourteenth!K41="", "",Fourteenth!K41)</f>
        <v/>
      </c>
      <c r="M3288" s="67">
        <f t="shared" si="155"/>
        <v>7</v>
      </c>
      <c r="N3288" s="76" t="str">
        <f t="shared" si="156"/>
        <v/>
      </c>
      <c r="O3288" s="33">
        <f t="shared" si="154"/>
        <v>7</v>
      </c>
    </row>
    <row r="3289" spans="1:15" x14ac:dyDescent="0.25">
      <c r="A3289" s="64" t="s">
        <v>185</v>
      </c>
      <c r="B3289" s="79" t="str">
        <f>IF(Fourteenth!B42="", "",Fourteenth!B42)</f>
        <v>CSS</v>
      </c>
      <c r="C3289" s="66" t="str">
        <f>IF(Fourteenth!C42="", "",Fourteenth!C42)</f>
        <v>PwC</v>
      </c>
      <c r="D3289" s="66" t="str">
        <f>IF(Fourteenth!D42="", "",Fourteenth!D42)</f>
        <v>New</v>
      </c>
      <c r="E3289" s="66" t="str">
        <f>IF(Fourteenth!E42="", "",Fourteenth!E42)</f>
        <v>Female</v>
      </c>
      <c r="F3289" s="66" t="str">
        <f>IF(Fourteenth!F42="", "",Fourteenth!F42)</f>
        <v>Breast</v>
      </c>
      <c r="G3289" s="66" t="str">
        <f>IF(Fourteenth!G42="", "",Fourteenth!G42)</f>
        <v>Curative Intent</v>
      </c>
      <c r="H3289" s="66" t="str">
        <f>IF(Fourteenth!H42="", "",Fourteenth!H42)</f>
        <v>Programme</v>
      </c>
      <c r="I3289" s="66" t="str">
        <f>IF(Fourteenth!I42="", "",Fourteenth!I42)</f>
        <v>Relaxation</v>
      </c>
      <c r="J3289" s="66" t="str">
        <f>IF(Fourteenth!J42="", "",Fourteenth!J42)</f>
        <v/>
      </c>
      <c r="K3289" s="86" t="str">
        <f>IF(Fourteenth!K42="", "",Fourteenth!K42)</f>
        <v/>
      </c>
      <c r="M3289" s="67">
        <f t="shared" si="155"/>
        <v>7</v>
      </c>
      <c r="N3289" s="76" t="str">
        <f t="shared" si="156"/>
        <v/>
      </c>
      <c r="O3289" s="33">
        <f t="shared" si="154"/>
        <v>7</v>
      </c>
    </row>
    <row r="3290" spans="1:15" x14ac:dyDescent="0.25">
      <c r="A3290" s="64" t="s">
        <v>185</v>
      </c>
      <c r="B3290" s="79" t="str">
        <f>IF(Fourteenth!B43="", "",Fourteenth!B43)</f>
        <v>Centre Head</v>
      </c>
      <c r="C3290" s="66" t="str">
        <f>IF(Fourteenth!C43="", "",Fourteenth!C43)</f>
        <v>PwC</v>
      </c>
      <c r="D3290" s="66" t="str">
        <f>IF(Fourteenth!D43="", "",Fourteenth!D43)</f>
        <v>New</v>
      </c>
      <c r="E3290" s="66" t="str">
        <f>IF(Fourteenth!E43="", "",Fourteenth!E43)</f>
        <v>Male</v>
      </c>
      <c r="F3290" s="66" t="str">
        <f>IF(Fourteenth!F43="", "",Fourteenth!F43)</f>
        <v>Head/Neck</v>
      </c>
      <c r="G3290" s="66" t="str">
        <f>IF(Fourteenth!G43="", "",Fourteenth!G43)</f>
        <v>Non-Curative Intent</v>
      </c>
      <c r="H3290" s="66" t="str">
        <f>IF(Fourteenth!H43="", "",Fourteenth!H43)</f>
        <v>Drop-In</v>
      </c>
      <c r="I3290" s="66" t="str">
        <f>IF(Fourteenth!I43="", "",Fourteenth!I43)</f>
        <v/>
      </c>
      <c r="J3290" s="66" t="str">
        <f>IF(Fourteenth!J43="", "",Fourteenth!J43)</f>
        <v/>
      </c>
      <c r="K3290" s="86" t="str">
        <f>IF(Fourteenth!K43="", "",Fourteenth!K43)</f>
        <v/>
      </c>
      <c r="M3290" s="67">
        <f t="shared" si="155"/>
        <v>7</v>
      </c>
      <c r="N3290" s="76" t="str">
        <f t="shared" si="156"/>
        <v/>
      </c>
      <c r="O3290" s="33">
        <f t="shared" si="154"/>
        <v>7</v>
      </c>
    </row>
    <row r="3291" spans="1:15" x14ac:dyDescent="0.25">
      <c r="A3291" s="64" t="s">
        <v>185</v>
      </c>
      <c r="B3291" s="79" t="str">
        <f>IF(Fourteenth!B44="", "",Fourteenth!B44)</f>
        <v>Centre Head</v>
      </c>
      <c r="C3291" s="66" t="str">
        <f>IF(Fourteenth!C44="", "",Fourteenth!C44)</f>
        <v>Carer</v>
      </c>
      <c r="D3291" s="66" t="str">
        <f>IF(Fourteenth!D44="", "",Fourteenth!D44)</f>
        <v>New</v>
      </c>
      <c r="E3291" s="66" t="str">
        <f>IF(Fourteenth!E44="", "",Fourteenth!E44)</f>
        <v>Female</v>
      </c>
      <c r="F3291" s="66" t="str">
        <f>IF(Fourteenth!F44="", "",Fourteenth!F44)</f>
        <v>Head/Neck</v>
      </c>
      <c r="G3291" s="66" t="str">
        <f>IF(Fourteenth!G44="", "",Fourteenth!G44)</f>
        <v>Non-Curative Intent</v>
      </c>
      <c r="H3291" s="66" t="str">
        <f>IF(Fourteenth!H44="", "",Fourteenth!H44)</f>
        <v>Drop-In</v>
      </c>
      <c r="I3291" s="66" t="str">
        <f>IF(Fourteenth!I44="", "",Fourteenth!I44)</f>
        <v/>
      </c>
      <c r="J3291" s="66" t="str">
        <f>IF(Fourteenth!J44="", "",Fourteenth!J44)</f>
        <v/>
      </c>
      <c r="K3291" s="86" t="str">
        <f>IF(Fourteenth!K44="", "",Fourteenth!K44)</f>
        <v/>
      </c>
      <c r="M3291" s="67" t="str">
        <f t="shared" si="155"/>
        <v/>
      </c>
      <c r="N3291" s="76">
        <f t="shared" si="156"/>
        <v>7</v>
      </c>
      <c r="O3291" s="33">
        <f t="shared" si="154"/>
        <v>7</v>
      </c>
    </row>
    <row r="3292" spans="1:15" x14ac:dyDescent="0.25">
      <c r="A3292" s="64" t="s">
        <v>185</v>
      </c>
      <c r="B3292" s="79" t="str">
        <f>IF(Fourteenth!B45="", "",Fourteenth!B45)</f>
        <v>Centre Head</v>
      </c>
      <c r="C3292" s="66" t="str">
        <f>IF(Fourteenth!C45="", "",Fourteenth!C45)</f>
        <v>Carer</v>
      </c>
      <c r="D3292" s="66" t="str">
        <f>IF(Fourteenth!D45="", "",Fourteenth!D45)</f>
        <v>New</v>
      </c>
      <c r="E3292" s="66" t="str">
        <f>IF(Fourteenth!E45="", "",Fourteenth!E45)</f>
        <v>Female</v>
      </c>
      <c r="F3292" s="66" t="str">
        <f>IF(Fourteenth!F45="", "",Fourteenth!F45)</f>
        <v>Head/Neck</v>
      </c>
      <c r="G3292" s="66" t="str">
        <f>IF(Fourteenth!G45="", "",Fourteenth!G45)</f>
        <v>Non-Curative Intent</v>
      </c>
      <c r="H3292" s="66" t="str">
        <f>IF(Fourteenth!H45="", "",Fourteenth!H45)</f>
        <v>Drop-In</v>
      </c>
      <c r="I3292" s="66" t="str">
        <f>IF(Fourteenth!I45="", "",Fourteenth!I45)</f>
        <v/>
      </c>
      <c r="J3292" s="66" t="str">
        <f>IF(Fourteenth!J45="", "",Fourteenth!J45)</f>
        <v/>
      </c>
      <c r="K3292" s="86" t="str">
        <f>IF(Fourteenth!K45="", "",Fourteenth!K45)</f>
        <v/>
      </c>
      <c r="M3292" s="67" t="str">
        <f t="shared" si="155"/>
        <v/>
      </c>
      <c r="N3292" s="76">
        <f t="shared" si="156"/>
        <v>7</v>
      </c>
      <c r="O3292" s="33">
        <f t="shared" si="154"/>
        <v>7</v>
      </c>
    </row>
    <row r="3293" spans="1:15" x14ac:dyDescent="0.25">
      <c r="A3293" s="64" t="s">
        <v>185</v>
      </c>
      <c r="B3293" s="79" t="str">
        <f>IF(Fourteenth!B46="", "",Fourteenth!B46)</f>
        <v>Centre Head</v>
      </c>
      <c r="C3293" s="66" t="str">
        <f>IF(Fourteenth!C46="", "",Fourteenth!C46)</f>
        <v>PwC</v>
      </c>
      <c r="D3293" s="66" t="str">
        <f>IF(Fourteenth!D46="", "",Fourteenth!D46)</f>
        <v>Returning</v>
      </c>
      <c r="E3293" s="66" t="str">
        <f>IF(Fourteenth!E46="", "",Fourteenth!E46)</f>
        <v>Female</v>
      </c>
      <c r="F3293" s="66" t="str">
        <f>IF(Fourteenth!F46="", "",Fourteenth!F46)</f>
        <v>Breast</v>
      </c>
      <c r="G3293" s="66" t="str">
        <f>IF(Fourteenth!G46="", "",Fourteenth!G46)</f>
        <v>Non-Curative Intent</v>
      </c>
      <c r="H3293" s="66" t="str">
        <f>IF(Fourteenth!H46="", "",Fourteenth!H46)</f>
        <v>Booked</v>
      </c>
      <c r="I3293" s="66" t="str">
        <f>IF(Fourteenth!I46="", "",Fourteenth!I46)</f>
        <v>Psych Support - Individual</v>
      </c>
      <c r="J3293" s="66" t="str">
        <f>IF(Fourteenth!J46="", "",Fourteenth!J46)</f>
        <v/>
      </c>
      <c r="K3293" s="86" t="str">
        <f>IF(Fourteenth!K46="", "",Fourteenth!K46)</f>
        <v/>
      </c>
      <c r="M3293" s="67">
        <f t="shared" si="155"/>
        <v>7</v>
      </c>
      <c r="N3293" s="76" t="str">
        <f t="shared" si="156"/>
        <v/>
      </c>
      <c r="O3293" s="33">
        <f t="shared" si="154"/>
        <v>7</v>
      </c>
    </row>
    <row r="3294" spans="1:15" x14ac:dyDescent="0.25">
      <c r="A3294" s="64" t="s">
        <v>185</v>
      </c>
      <c r="B3294" s="79" t="str">
        <f>IF(Fourteenth!B47="", "",Fourteenth!B47)</f>
        <v>Centre Head</v>
      </c>
      <c r="C3294" s="66" t="str">
        <f>IF(Fourteenth!C47="", "",Fourteenth!C47)</f>
        <v>Carer</v>
      </c>
      <c r="D3294" s="66" t="str">
        <f>IF(Fourteenth!D47="", "",Fourteenth!D47)</f>
        <v>Returning</v>
      </c>
      <c r="E3294" s="66" t="str">
        <f>IF(Fourteenth!E47="", "",Fourteenth!E47)</f>
        <v>Female</v>
      </c>
      <c r="F3294" s="66" t="str">
        <f>IF(Fourteenth!F47="", "",Fourteenth!F47)</f>
        <v>Breast</v>
      </c>
      <c r="G3294" s="66" t="str">
        <f>IF(Fourteenth!G47="", "",Fourteenth!G47)</f>
        <v>Non-Curative Intent</v>
      </c>
      <c r="H3294" s="66" t="str">
        <f>IF(Fourteenth!H47="", "",Fourteenth!H47)</f>
        <v>Booked</v>
      </c>
      <c r="I3294" s="66" t="str">
        <f>IF(Fourteenth!I47="", "",Fourteenth!I47)</f>
        <v>Psych Support - Individual</v>
      </c>
      <c r="J3294" s="66" t="str">
        <f>IF(Fourteenth!J47="", "",Fourteenth!J47)</f>
        <v/>
      </c>
      <c r="K3294" s="86" t="str">
        <f>IF(Fourteenth!K47="", "",Fourteenth!K47)</f>
        <v/>
      </c>
      <c r="M3294" s="67" t="str">
        <f t="shared" si="155"/>
        <v/>
      </c>
      <c r="N3294" s="76">
        <f t="shared" si="156"/>
        <v>7</v>
      </c>
      <c r="O3294" s="33">
        <f t="shared" si="154"/>
        <v>7</v>
      </c>
    </row>
    <row r="3295" spans="1:15" x14ac:dyDescent="0.25">
      <c r="A3295" s="64" t="s">
        <v>185</v>
      </c>
      <c r="B3295" s="79" t="str">
        <f>IF(Fourteenth!B48="", "",Fourteenth!B48)</f>
        <v>Centre Head</v>
      </c>
      <c r="C3295" s="66" t="str">
        <f>IF(Fourteenth!C48="", "",Fourteenth!C48)</f>
        <v>Carer</v>
      </c>
      <c r="D3295" s="66" t="str">
        <f>IF(Fourteenth!D48="", "",Fourteenth!D48)</f>
        <v>Returning</v>
      </c>
      <c r="E3295" s="66" t="str">
        <f>IF(Fourteenth!E48="", "",Fourteenth!E48)</f>
        <v>Female</v>
      </c>
      <c r="F3295" s="66" t="str">
        <f>IF(Fourteenth!F48="", "",Fourteenth!F48)</f>
        <v>Upper GI</v>
      </c>
      <c r="G3295" s="66" t="str">
        <f>IF(Fourteenth!G48="", "",Fourteenth!G48)</f>
        <v>Bereaved</v>
      </c>
      <c r="H3295" s="66" t="str">
        <f>IF(Fourteenth!H48="", "",Fourteenth!H48)</f>
        <v>Booked</v>
      </c>
      <c r="I3295" s="66" t="str">
        <f>IF(Fourteenth!I48="", "",Fourteenth!I48)</f>
        <v>Psych Support - Individual</v>
      </c>
      <c r="J3295" s="66" t="str">
        <f>IF(Fourteenth!J48="", "",Fourteenth!J48)</f>
        <v/>
      </c>
      <c r="K3295" s="86" t="str">
        <f>IF(Fourteenth!K48="", "",Fourteenth!K48)</f>
        <v/>
      </c>
      <c r="M3295" s="67" t="str">
        <f t="shared" si="155"/>
        <v/>
      </c>
      <c r="N3295" s="76">
        <f t="shared" si="156"/>
        <v>7</v>
      </c>
      <c r="O3295" s="33">
        <f t="shared" si="154"/>
        <v>7</v>
      </c>
    </row>
    <row r="3296" spans="1:15" x14ac:dyDescent="0.25">
      <c r="A3296" s="64" t="s">
        <v>185</v>
      </c>
      <c r="B3296" s="79" t="str">
        <f>IF(Fourteenth!B49="", "",Fourteenth!B49)</f>
        <v>Centre Head</v>
      </c>
      <c r="C3296" s="66" t="str">
        <f>IF(Fourteenth!C49="", "",Fourteenth!C49)</f>
        <v>Carer</v>
      </c>
      <c r="D3296" s="66" t="str">
        <f>IF(Fourteenth!D49="", "",Fourteenth!D49)</f>
        <v>Returning</v>
      </c>
      <c r="E3296" s="66" t="str">
        <f>IF(Fourteenth!E49="", "",Fourteenth!E49)</f>
        <v>Under 18 Male</v>
      </c>
      <c r="F3296" s="66" t="str">
        <f>IF(Fourteenth!F49="", "",Fourteenth!F49)</f>
        <v>Upper GI</v>
      </c>
      <c r="G3296" s="66" t="str">
        <f>IF(Fourteenth!G49="", "",Fourteenth!G49)</f>
        <v>Bereaved</v>
      </c>
      <c r="H3296" s="66" t="str">
        <f>IF(Fourteenth!H49="", "",Fourteenth!H49)</f>
        <v>Booked</v>
      </c>
      <c r="I3296" s="66" t="str">
        <f>IF(Fourteenth!I49="", "",Fourteenth!I49)</f>
        <v>Psych Support - Individual</v>
      </c>
      <c r="J3296" s="66" t="str">
        <f>IF(Fourteenth!J49="", "",Fourteenth!J49)</f>
        <v/>
      </c>
      <c r="K3296" s="86" t="str">
        <f>IF(Fourteenth!K49="", "",Fourteenth!K49)</f>
        <v/>
      </c>
      <c r="M3296" s="67" t="str">
        <f t="shared" si="155"/>
        <v/>
      </c>
      <c r="N3296" s="76">
        <f t="shared" si="156"/>
        <v>7</v>
      </c>
      <c r="O3296" s="33">
        <f t="shared" si="154"/>
        <v>7</v>
      </c>
    </row>
    <row r="3297" spans="1:15" x14ac:dyDescent="0.25">
      <c r="A3297" s="64" t="s">
        <v>185</v>
      </c>
      <c r="B3297" s="79" t="str">
        <f>IF(Fourteenth!B50="", "",Fourteenth!B50)</f>
        <v>Centre Head</v>
      </c>
      <c r="C3297" s="66" t="str">
        <f>IF(Fourteenth!C50="", "",Fourteenth!C50)</f>
        <v>PwC</v>
      </c>
      <c r="D3297" s="66" t="str">
        <f>IF(Fourteenth!D50="", "",Fourteenth!D50)</f>
        <v>New</v>
      </c>
      <c r="E3297" s="66" t="str">
        <f>IF(Fourteenth!E50="", "",Fourteenth!E50)</f>
        <v>Female</v>
      </c>
      <c r="F3297" s="66" t="str">
        <f>IF(Fourteenth!F50="", "",Fourteenth!F50)</f>
        <v>Lower GI</v>
      </c>
      <c r="G3297" s="66" t="str">
        <f>IF(Fourteenth!G50="", "",Fourteenth!G50)</f>
        <v>Curative Intent</v>
      </c>
      <c r="H3297" s="66" t="str">
        <f>IF(Fourteenth!H50="", "",Fourteenth!H50)</f>
        <v>Drop-In</v>
      </c>
      <c r="I3297" s="66" t="str">
        <f>IF(Fourteenth!I50="", "",Fourteenth!I50)</f>
        <v/>
      </c>
      <c r="J3297" s="66" t="str">
        <f>IF(Fourteenth!J50="", "",Fourteenth!J50)</f>
        <v/>
      </c>
      <c r="K3297" s="86" t="str">
        <f>IF(Fourteenth!K50="", "",Fourteenth!K50)</f>
        <v/>
      </c>
      <c r="M3297" s="67">
        <f t="shared" si="155"/>
        <v>7</v>
      </c>
      <c r="N3297" s="76" t="str">
        <f t="shared" si="156"/>
        <v/>
      </c>
      <c r="O3297" s="33">
        <f t="shared" si="154"/>
        <v>7</v>
      </c>
    </row>
    <row r="3298" spans="1:15" x14ac:dyDescent="0.25">
      <c r="A3298" s="64" t="s">
        <v>185</v>
      </c>
      <c r="B3298" s="79" t="str">
        <f>IF(Fourteenth!B51="", "",Fourteenth!B51)</f>
        <v>Centre Head</v>
      </c>
      <c r="C3298" s="66" t="str">
        <f>IF(Fourteenth!C51="", "",Fourteenth!C51)</f>
        <v>Carer</v>
      </c>
      <c r="D3298" s="66" t="str">
        <f>IF(Fourteenth!D51="", "",Fourteenth!D51)</f>
        <v>New</v>
      </c>
      <c r="E3298" s="66" t="str">
        <f>IF(Fourteenth!E51="", "",Fourteenth!E51)</f>
        <v>Female</v>
      </c>
      <c r="F3298" s="66" t="str">
        <f>IF(Fourteenth!F51="", "",Fourteenth!F51)</f>
        <v>Lower GI</v>
      </c>
      <c r="G3298" s="66" t="str">
        <f>IF(Fourteenth!G51="", "",Fourteenth!G51)</f>
        <v>Curative Intent</v>
      </c>
      <c r="H3298" s="66" t="str">
        <f>IF(Fourteenth!H51="", "",Fourteenth!H51)</f>
        <v>Drop-In</v>
      </c>
      <c r="I3298" s="66" t="str">
        <f>IF(Fourteenth!I51="", "",Fourteenth!I51)</f>
        <v/>
      </c>
      <c r="J3298" s="66" t="str">
        <f>IF(Fourteenth!J51="", "",Fourteenth!J51)</f>
        <v/>
      </c>
      <c r="K3298" s="86" t="str">
        <f>IF(Fourteenth!K51="", "",Fourteenth!K51)</f>
        <v/>
      </c>
      <c r="M3298" s="67" t="str">
        <f t="shared" si="155"/>
        <v/>
      </c>
      <c r="N3298" s="76">
        <f t="shared" si="156"/>
        <v>7</v>
      </c>
      <c r="O3298" s="33">
        <f t="shared" si="154"/>
        <v>7</v>
      </c>
    </row>
    <row r="3299" spans="1:15" x14ac:dyDescent="0.25">
      <c r="A3299" s="64" t="s">
        <v>185</v>
      </c>
      <c r="B3299" s="79" t="str">
        <f>IF(Fourteenth!B52="", "",Fourteenth!B52)</f>
        <v>Centre Head</v>
      </c>
      <c r="C3299" s="66" t="str">
        <f>IF(Fourteenth!C52="", "",Fourteenth!C52)</f>
        <v>Carer</v>
      </c>
      <c r="D3299" s="66" t="str">
        <f>IF(Fourteenth!D52="", "",Fourteenth!D52)</f>
        <v>Returning</v>
      </c>
      <c r="E3299" s="66" t="str">
        <f>IF(Fourteenth!E52="", "",Fourteenth!E52)</f>
        <v>Female</v>
      </c>
      <c r="F3299" s="66" t="str">
        <f>IF(Fourteenth!F52="", "",Fourteenth!F52)</f>
        <v>Haemat</v>
      </c>
      <c r="G3299" s="66" t="str">
        <f>IF(Fourteenth!G52="", "",Fourteenth!G52)</f>
        <v>Bereaved</v>
      </c>
      <c r="H3299" s="66" t="str">
        <f>IF(Fourteenth!H52="", "",Fourteenth!H52)</f>
        <v>Booked</v>
      </c>
      <c r="I3299" s="66" t="str">
        <f>IF(Fourteenth!I52="", "",Fourteenth!I52)</f>
        <v>Psych Support - Individual</v>
      </c>
      <c r="J3299" s="66" t="str">
        <f>IF(Fourteenth!J52="", "",Fourteenth!J52)</f>
        <v/>
      </c>
      <c r="K3299" s="86" t="str">
        <f>IF(Fourteenth!K52="", "",Fourteenth!K52)</f>
        <v/>
      </c>
      <c r="M3299" s="67" t="str">
        <f t="shared" si="155"/>
        <v/>
      </c>
      <c r="N3299" s="76">
        <f t="shared" si="156"/>
        <v>7</v>
      </c>
      <c r="O3299" s="33">
        <f t="shared" si="154"/>
        <v>7</v>
      </c>
    </row>
    <row r="3300" spans="1:15" x14ac:dyDescent="0.25">
      <c r="A3300" s="64" t="s">
        <v>185</v>
      </c>
      <c r="B3300" s="79" t="str">
        <f>IF(Fourteenth!B53="", "",Fourteenth!B53)</f>
        <v>Centre Head</v>
      </c>
      <c r="C3300" s="66" t="str">
        <f>IF(Fourteenth!C53="", "",Fourteenth!C53)</f>
        <v>Carer</v>
      </c>
      <c r="D3300" s="66" t="str">
        <f>IF(Fourteenth!D53="", "",Fourteenth!D53)</f>
        <v>Returning</v>
      </c>
      <c r="E3300" s="66" t="str">
        <f>IF(Fourteenth!E53="", "",Fourteenth!E53)</f>
        <v>Male</v>
      </c>
      <c r="F3300" s="66" t="str">
        <f>IF(Fourteenth!F53="", "",Fourteenth!F53)</f>
        <v>Haemat</v>
      </c>
      <c r="G3300" s="66" t="str">
        <f>IF(Fourteenth!G53="", "",Fourteenth!G53)</f>
        <v>Bereaved</v>
      </c>
      <c r="H3300" s="66" t="str">
        <f>IF(Fourteenth!H53="", "",Fourteenth!H53)</f>
        <v>Booked</v>
      </c>
      <c r="I3300" s="66" t="str">
        <f>IF(Fourteenth!I53="", "",Fourteenth!I53)</f>
        <v>Psych Support - Individual</v>
      </c>
      <c r="J3300" s="66" t="str">
        <f>IF(Fourteenth!J53="", "",Fourteenth!J53)</f>
        <v/>
      </c>
      <c r="K3300" s="86" t="str">
        <f>IF(Fourteenth!K53="", "",Fourteenth!K53)</f>
        <v/>
      </c>
      <c r="M3300" s="67" t="str">
        <f t="shared" si="155"/>
        <v/>
      </c>
      <c r="N3300" s="76">
        <f t="shared" si="156"/>
        <v>7</v>
      </c>
      <c r="O3300" s="33">
        <f t="shared" si="154"/>
        <v>7</v>
      </c>
    </row>
    <row r="3301" spans="1:15" x14ac:dyDescent="0.25">
      <c r="A3301" s="64" t="s">
        <v>185</v>
      </c>
      <c r="B3301" s="79" t="str">
        <f>IF(Fourteenth!B54="", "",Fourteenth!B54)</f>
        <v>Centre Head</v>
      </c>
      <c r="C3301" s="66" t="str">
        <f>IF(Fourteenth!C54="", "",Fourteenth!C54)</f>
        <v>PwC</v>
      </c>
      <c r="D3301" s="66" t="str">
        <f>IF(Fourteenth!D54="", "",Fourteenth!D54)</f>
        <v>Returning</v>
      </c>
      <c r="E3301" s="66" t="str">
        <f>IF(Fourteenth!E54="", "",Fourteenth!E54)</f>
        <v>Male</v>
      </c>
      <c r="F3301" s="66" t="str">
        <f>IF(Fourteenth!F54="", "",Fourteenth!F54)</f>
        <v>Liver</v>
      </c>
      <c r="G3301" s="66" t="str">
        <f>IF(Fourteenth!G54="", "",Fourteenth!G54)</f>
        <v>Post Treatment - Curative Intent</v>
      </c>
      <c r="H3301" s="66" t="str">
        <f>IF(Fourteenth!H54="", "",Fourteenth!H54)</f>
        <v>Booked</v>
      </c>
      <c r="I3301" s="66" t="str">
        <f>IF(Fourteenth!I54="", "",Fourteenth!I54)</f>
        <v>Psych Support - Individual</v>
      </c>
      <c r="J3301" s="66" t="str">
        <f>IF(Fourteenth!J54="", "",Fourteenth!J54)</f>
        <v/>
      </c>
      <c r="K3301" s="86" t="str">
        <f>IF(Fourteenth!K54="", "",Fourteenth!K54)</f>
        <v/>
      </c>
      <c r="M3301" s="67">
        <f t="shared" si="155"/>
        <v>7</v>
      </c>
      <c r="N3301" s="76" t="str">
        <f t="shared" si="156"/>
        <v/>
      </c>
      <c r="O3301" s="33">
        <f t="shared" si="154"/>
        <v>7</v>
      </c>
    </row>
    <row r="3302" spans="1:15" x14ac:dyDescent="0.25">
      <c r="A3302" s="64" t="s">
        <v>185</v>
      </c>
      <c r="B3302" s="79" t="str">
        <f>IF(Fourteenth!B55="", "",Fourteenth!B55)</f>
        <v>Centre Head</v>
      </c>
      <c r="C3302" s="66" t="str">
        <f>IF(Fourteenth!C55="", "",Fourteenth!C55)</f>
        <v>Carer</v>
      </c>
      <c r="D3302" s="66" t="str">
        <f>IF(Fourteenth!D55="", "",Fourteenth!D55)</f>
        <v>Returning</v>
      </c>
      <c r="E3302" s="66" t="str">
        <f>IF(Fourteenth!E55="", "",Fourteenth!E55)</f>
        <v>Female</v>
      </c>
      <c r="F3302" s="66" t="str">
        <f>IF(Fourteenth!F55="", "",Fourteenth!F55)</f>
        <v>Lung</v>
      </c>
      <c r="G3302" s="66" t="str">
        <f>IF(Fourteenth!G55="", "",Fourteenth!G55)</f>
        <v>Non-Curative Intent</v>
      </c>
      <c r="H3302" s="66" t="str">
        <f>IF(Fourteenth!H55="", "",Fourteenth!H55)</f>
        <v>Booked</v>
      </c>
      <c r="I3302" s="66" t="str">
        <f>IF(Fourteenth!I55="", "",Fourteenth!I55)</f>
        <v>Psych Support - Individual</v>
      </c>
      <c r="J3302" s="66" t="str">
        <f>IF(Fourteenth!J55="", "",Fourteenth!J55)</f>
        <v/>
      </c>
      <c r="K3302" s="86" t="str">
        <f>IF(Fourteenth!K55="", "",Fourteenth!K55)</f>
        <v/>
      </c>
      <c r="M3302" s="67" t="str">
        <f t="shared" si="155"/>
        <v/>
      </c>
      <c r="N3302" s="76">
        <f t="shared" si="156"/>
        <v>7</v>
      </c>
      <c r="O3302" s="33">
        <f t="shared" si="154"/>
        <v>7</v>
      </c>
    </row>
    <row r="3303" spans="1:15" x14ac:dyDescent="0.25">
      <c r="A3303" s="64" t="s">
        <v>185</v>
      </c>
      <c r="B3303" s="79" t="str">
        <f>IF(Fourteenth!B56="", "",Fourteenth!B56)</f>
        <v>Centre Head</v>
      </c>
      <c r="C3303" s="66" t="str">
        <f>IF(Fourteenth!C56="", "",Fourteenth!C56)</f>
        <v>PwC</v>
      </c>
      <c r="D3303" s="66" t="str">
        <f>IF(Fourteenth!D56="", "",Fourteenth!D56)</f>
        <v>Returning</v>
      </c>
      <c r="E3303" s="66" t="str">
        <f>IF(Fourteenth!E56="", "",Fourteenth!E56)</f>
        <v>Female</v>
      </c>
      <c r="F3303" s="66" t="str">
        <f>IF(Fourteenth!F56="", "",Fourteenth!F56)</f>
        <v>Breast</v>
      </c>
      <c r="G3303" s="66" t="str">
        <f>IF(Fourteenth!G56="", "",Fourteenth!G56)</f>
        <v>Post Treatment - Curative Intent</v>
      </c>
      <c r="H3303" s="66" t="str">
        <f>IF(Fourteenth!H56="", "",Fourteenth!H56)</f>
        <v>Booked</v>
      </c>
      <c r="I3303" s="66" t="str">
        <f>IF(Fourteenth!I56="", "",Fourteenth!I56)</f>
        <v>Psych Support - Individual</v>
      </c>
      <c r="J3303" s="66" t="str">
        <f>IF(Fourteenth!J56="", "",Fourteenth!J56)</f>
        <v/>
      </c>
      <c r="K3303" s="86" t="str">
        <f>IF(Fourteenth!K56="", "",Fourteenth!K56)</f>
        <v/>
      </c>
      <c r="M3303" s="67">
        <f t="shared" si="155"/>
        <v>7</v>
      </c>
      <c r="N3303" s="76" t="str">
        <f t="shared" si="156"/>
        <v/>
      </c>
      <c r="O3303" s="33">
        <f t="shared" si="154"/>
        <v>7</v>
      </c>
    </row>
    <row r="3304" spans="1:15" x14ac:dyDescent="0.25">
      <c r="A3304" s="64" t="s">
        <v>185</v>
      </c>
      <c r="B3304" s="79" t="str">
        <f>IF(Fourteenth!B57="", "",Fourteenth!B57)</f>
        <v>Sessional Staff</v>
      </c>
      <c r="C3304" s="66" t="str">
        <f>IF(Fourteenth!C57="", "",Fourteenth!C57)</f>
        <v>PwC</v>
      </c>
      <c r="D3304" s="66" t="str">
        <f>IF(Fourteenth!D57="", "",Fourteenth!D57)</f>
        <v>Returning</v>
      </c>
      <c r="E3304" s="66" t="str">
        <f>IF(Fourteenth!E57="", "",Fourteenth!E57)</f>
        <v>Female</v>
      </c>
      <c r="F3304" s="66" t="str">
        <f>IF(Fourteenth!F57="", "",Fourteenth!F57)</f>
        <v>Not Stated</v>
      </c>
      <c r="G3304" s="66" t="str">
        <f>IF(Fourteenth!G57="", "",Fourteenth!G57)</f>
        <v>Not Stated</v>
      </c>
      <c r="H3304" s="66" t="str">
        <f>IF(Fourteenth!H57="", "",Fourteenth!H57)</f>
        <v>Programme</v>
      </c>
      <c r="I3304" s="66" t="str">
        <f>IF(Fourteenth!I57="", "",Fourteenth!I57)</f>
        <v>Gentle Exercise</v>
      </c>
      <c r="J3304" s="66" t="str">
        <f>IF(Fourteenth!J57="", "",Fourteenth!J57)</f>
        <v/>
      </c>
      <c r="K3304" s="86" t="str">
        <f>IF(Fourteenth!K57="", "",Fourteenth!K57)</f>
        <v/>
      </c>
      <c r="M3304" s="67">
        <f t="shared" si="155"/>
        <v>7</v>
      </c>
      <c r="N3304" s="76" t="str">
        <f t="shared" si="156"/>
        <v/>
      </c>
      <c r="O3304" s="33">
        <f t="shared" si="154"/>
        <v>7</v>
      </c>
    </row>
    <row r="3305" spans="1:15" x14ac:dyDescent="0.25">
      <c r="A3305" s="64" t="s">
        <v>185</v>
      </c>
      <c r="B3305" s="79" t="str">
        <f>IF(Fourteenth!B58="", "",Fourteenth!B58)</f>
        <v>Sessional Staff</v>
      </c>
      <c r="C3305" s="66" t="str">
        <f>IF(Fourteenth!C58="", "",Fourteenth!C58)</f>
        <v>PwC</v>
      </c>
      <c r="D3305" s="66" t="str">
        <f>IF(Fourteenth!D58="", "",Fourteenth!D58)</f>
        <v>Returning</v>
      </c>
      <c r="E3305" s="66" t="str">
        <f>IF(Fourteenth!E58="", "",Fourteenth!E58)</f>
        <v>Female</v>
      </c>
      <c r="F3305" s="66" t="str">
        <f>IF(Fourteenth!F58="", "",Fourteenth!F58)</f>
        <v>Not Stated</v>
      </c>
      <c r="G3305" s="66" t="str">
        <f>IF(Fourteenth!G58="", "",Fourteenth!G58)</f>
        <v>Not Stated</v>
      </c>
      <c r="H3305" s="66" t="str">
        <f>IF(Fourteenth!H58="", "",Fourteenth!H58)</f>
        <v>Programme</v>
      </c>
      <c r="I3305" s="66" t="str">
        <f>IF(Fourteenth!I58="", "",Fourteenth!I58)</f>
        <v>Gentle Exercise</v>
      </c>
      <c r="J3305" s="66" t="str">
        <f>IF(Fourteenth!J58="", "",Fourteenth!J58)</f>
        <v/>
      </c>
      <c r="K3305" s="86" t="str">
        <f>IF(Fourteenth!K58="", "",Fourteenth!K58)</f>
        <v/>
      </c>
      <c r="M3305" s="67">
        <f t="shared" si="155"/>
        <v>7</v>
      </c>
      <c r="N3305" s="76" t="str">
        <f t="shared" si="156"/>
        <v/>
      </c>
      <c r="O3305" s="33">
        <f t="shared" si="154"/>
        <v>7</v>
      </c>
    </row>
    <row r="3306" spans="1:15" x14ac:dyDescent="0.25">
      <c r="A3306" s="64" t="s">
        <v>185</v>
      </c>
      <c r="B3306" s="79" t="str">
        <f>IF(Fourteenth!B59="", "",Fourteenth!B59)</f>
        <v>Sessional Staff</v>
      </c>
      <c r="C3306" s="66" t="str">
        <f>IF(Fourteenth!C59="", "",Fourteenth!C59)</f>
        <v>PwC</v>
      </c>
      <c r="D3306" s="66" t="str">
        <f>IF(Fourteenth!D59="", "",Fourteenth!D59)</f>
        <v>Returning</v>
      </c>
      <c r="E3306" s="66" t="str">
        <f>IF(Fourteenth!E59="", "",Fourteenth!E59)</f>
        <v>Female</v>
      </c>
      <c r="F3306" s="66" t="str">
        <f>IF(Fourteenth!F59="", "",Fourteenth!F59)</f>
        <v>Not Stated</v>
      </c>
      <c r="G3306" s="66" t="str">
        <f>IF(Fourteenth!G59="", "",Fourteenth!G59)</f>
        <v>Not Stated</v>
      </c>
      <c r="H3306" s="66" t="str">
        <f>IF(Fourteenth!H59="", "",Fourteenth!H59)</f>
        <v>Programme</v>
      </c>
      <c r="I3306" s="66" t="str">
        <f>IF(Fourteenth!I59="", "",Fourteenth!I59)</f>
        <v>Gentle Exercise</v>
      </c>
      <c r="J3306" s="66" t="str">
        <f>IF(Fourteenth!J59="", "",Fourteenth!J59)</f>
        <v/>
      </c>
      <c r="K3306" s="86" t="str">
        <f>IF(Fourteenth!K59="", "",Fourteenth!K59)</f>
        <v/>
      </c>
      <c r="M3306" s="67">
        <f t="shared" si="155"/>
        <v>7</v>
      </c>
      <c r="N3306" s="76" t="str">
        <f t="shared" si="156"/>
        <v/>
      </c>
      <c r="O3306" s="33">
        <f t="shared" si="154"/>
        <v>7</v>
      </c>
    </row>
    <row r="3307" spans="1:15" x14ac:dyDescent="0.25">
      <c r="A3307" s="64" t="s">
        <v>185</v>
      </c>
      <c r="B3307" s="79" t="str">
        <f>IF(Fourteenth!B60="", "",Fourteenth!B60)</f>
        <v>Sessional Staff</v>
      </c>
      <c r="C3307" s="66" t="str">
        <f>IF(Fourteenth!C60="", "",Fourteenth!C60)</f>
        <v>PwC</v>
      </c>
      <c r="D3307" s="66" t="str">
        <f>IF(Fourteenth!D60="", "",Fourteenth!D60)</f>
        <v>Returning</v>
      </c>
      <c r="E3307" s="66" t="str">
        <f>IF(Fourteenth!E60="", "",Fourteenth!E60)</f>
        <v>Female</v>
      </c>
      <c r="F3307" s="66" t="str">
        <f>IF(Fourteenth!F60="", "",Fourteenth!F60)</f>
        <v>Not Stated</v>
      </c>
      <c r="G3307" s="66" t="str">
        <f>IF(Fourteenth!G60="", "",Fourteenth!G60)</f>
        <v>Not Stated</v>
      </c>
      <c r="H3307" s="66" t="str">
        <f>IF(Fourteenth!H60="", "",Fourteenth!H60)</f>
        <v>Programme</v>
      </c>
      <c r="I3307" s="66" t="str">
        <f>IF(Fourteenth!I60="", "",Fourteenth!I60)</f>
        <v>Gentle Exercise</v>
      </c>
      <c r="J3307" s="66" t="str">
        <f>IF(Fourteenth!J60="", "",Fourteenth!J60)</f>
        <v/>
      </c>
      <c r="K3307" s="86" t="str">
        <f>IF(Fourteenth!K60="", "",Fourteenth!K60)</f>
        <v/>
      </c>
      <c r="M3307" s="67">
        <f t="shared" si="155"/>
        <v>7</v>
      </c>
      <c r="N3307" s="76" t="str">
        <f t="shared" si="156"/>
        <v/>
      </c>
      <c r="O3307" s="33">
        <f t="shared" si="154"/>
        <v>7</v>
      </c>
    </row>
    <row r="3308" spans="1:15" x14ac:dyDescent="0.25">
      <c r="A3308" s="64" t="s">
        <v>185</v>
      </c>
      <c r="B3308" s="79" t="str">
        <f>IF(Fourteenth!B61="", "",Fourteenth!B61)</f>
        <v>Sessional Staff</v>
      </c>
      <c r="C3308" s="66" t="str">
        <f>IF(Fourteenth!C61="", "",Fourteenth!C61)</f>
        <v>PwC</v>
      </c>
      <c r="D3308" s="66" t="str">
        <f>IF(Fourteenth!D61="", "",Fourteenth!D61)</f>
        <v>Returning</v>
      </c>
      <c r="E3308" s="66" t="str">
        <f>IF(Fourteenth!E61="", "",Fourteenth!E61)</f>
        <v>Female</v>
      </c>
      <c r="F3308" s="66" t="str">
        <f>IF(Fourteenth!F61="", "",Fourteenth!F61)</f>
        <v>Not Stated</v>
      </c>
      <c r="G3308" s="66" t="str">
        <f>IF(Fourteenth!G61="", "",Fourteenth!G61)</f>
        <v>Not Stated</v>
      </c>
      <c r="H3308" s="66" t="str">
        <f>IF(Fourteenth!H61="", "",Fourteenth!H61)</f>
        <v>Programme</v>
      </c>
      <c r="I3308" s="66" t="str">
        <f>IF(Fourteenth!I61="", "",Fourteenth!I61)</f>
        <v>Gentle Exercise</v>
      </c>
      <c r="J3308" s="66" t="str">
        <f>IF(Fourteenth!J61="", "",Fourteenth!J61)</f>
        <v/>
      </c>
      <c r="K3308" s="86" t="str">
        <f>IF(Fourteenth!K61="", "",Fourteenth!K61)</f>
        <v/>
      </c>
      <c r="M3308" s="67">
        <f t="shared" si="155"/>
        <v>7</v>
      </c>
      <c r="N3308" s="76" t="str">
        <f t="shared" si="156"/>
        <v/>
      </c>
      <c r="O3308" s="33">
        <f t="shared" si="154"/>
        <v>7</v>
      </c>
    </row>
    <row r="3309" spans="1:15" x14ac:dyDescent="0.25">
      <c r="A3309" s="64" t="s">
        <v>185</v>
      </c>
      <c r="B3309" s="79" t="str">
        <f>IF(Fourteenth!B62="", "",Fourteenth!B62)</f>
        <v>Sessional Staff</v>
      </c>
      <c r="C3309" s="66" t="str">
        <f>IF(Fourteenth!C62="", "",Fourteenth!C62)</f>
        <v>PwC</v>
      </c>
      <c r="D3309" s="66" t="str">
        <f>IF(Fourteenth!D62="", "",Fourteenth!D62)</f>
        <v>Returning</v>
      </c>
      <c r="E3309" s="66" t="str">
        <f>IF(Fourteenth!E62="", "",Fourteenth!E62)</f>
        <v>Female</v>
      </c>
      <c r="F3309" s="66" t="str">
        <f>IF(Fourteenth!F62="", "",Fourteenth!F62)</f>
        <v>Not Stated</v>
      </c>
      <c r="G3309" s="66" t="str">
        <f>IF(Fourteenth!G62="", "",Fourteenth!G62)</f>
        <v>Not Stated</v>
      </c>
      <c r="H3309" s="66" t="str">
        <f>IF(Fourteenth!H62="", "",Fourteenth!H62)</f>
        <v>Programme</v>
      </c>
      <c r="I3309" s="66" t="str">
        <f>IF(Fourteenth!I62="", "",Fourteenth!I62)</f>
        <v>Gentle Exercise</v>
      </c>
      <c r="J3309" s="66" t="str">
        <f>IF(Fourteenth!J62="", "",Fourteenth!J62)</f>
        <v/>
      </c>
      <c r="K3309" s="86" t="str">
        <f>IF(Fourteenth!K62="", "",Fourteenth!K62)</f>
        <v/>
      </c>
      <c r="M3309" s="67">
        <f t="shared" si="155"/>
        <v>7</v>
      </c>
      <c r="N3309" s="76" t="str">
        <f t="shared" si="156"/>
        <v/>
      </c>
      <c r="O3309" s="33">
        <f t="shared" si="154"/>
        <v>7</v>
      </c>
    </row>
    <row r="3310" spans="1:15" x14ac:dyDescent="0.25">
      <c r="A3310" s="64" t="s">
        <v>185</v>
      </c>
      <c r="B3310" s="79" t="str">
        <f>IF(Fourteenth!B63="", "",Fourteenth!B63)</f>
        <v/>
      </c>
      <c r="C3310" s="66" t="str">
        <f>IF(Fourteenth!C63="", "",Fourteenth!C63)</f>
        <v/>
      </c>
      <c r="D3310" s="66" t="str">
        <f>IF(Fourteenth!D63="", "",Fourteenth!D63)</f>
        <v/>
      </c>
      <c r="E3310" s="66" t="str">
        <f>IF(Fourteenth!E63="", "",Fourteenth!E63)</f>
        <v/>
      </c>
      <c r="F3310" s="66" t="str">
        <f>IF(Fourteenth!F63="", "",Fourteenth!F63)</f>
        <v/>
      </c>
      <c r="G3310" s="66" t="str">
        <f>IF(Fourteenth!G63="", "",Fourteenth!G63)</f>
        <v/>
      </c>
      <c r="H3310" s="66" t="str">
        <f>IF(Fourteenth!H63="", "",Fourteenth!H63)</f>
        <v/>
      </c>
      <c r="I3310" s="66" t="str">
        <f>IF(Fourteenth!I63="", "",Fourteenth!I63)</f>
        <v/>
      </c>
      <c r="J3310" s="66" t="str">
        <f>IF(Fourteenth!J63="", "",Fourteenth!J63)</f>
        <v/>
      </c>
      <c r="K3310" s="86" t="str">
        <f>IF(Fourteenth!K63="", "",Fourteenth!K63)</f>
        <v/>
      </c>
      <c r="M3310" s="67" t="str">
        <f t="shared" si="155"/>
        <v/>
      </c>
      <c r="N3310" s="76" t="str">
        <f t="shared" si="156"/>
        <v/>
      </c>
      <c r="O3310" s="33">
        <f t="shared" si="154"/>
        <v>0</v>
      </c>
    </row>
    <row r="3311" spans="1:15" x14ac:dyDescent="0.25">
      <c r="A3311" s="64" t="s">
        <v>185</v>
      </c>
      <c r="B3311" s="79" t="str">
        <f>IF(Fourteenth!B64="", "",Fourteenth!B64)</f>
        <v/>
      </c>
      <c r="C3311" s="66" t="str">
        <f>IF(Fourteenth!C64="", "",Fourteenth!C64)</f>
        <v/>
      </c>
      <c r="D3311" s="66" t="str">
        <f>IF(Fourteenth!D64="", "",Fourteenth!D64)</f>
        <v/>
      </c>
      <c r="E3311" s="66" t="str">
        <f>IF(Fourteenth!E64="", "",Fourteenth!E64)</f>
        <v/>
      </c>
      <c r="F3311" s="66" t="str">
        <f>IF(Fourteenth!F64="", "",Fourteenth!F64)</f>
        <v/>
      </c>
      <c r="G3311" s="66" t="str">
        <f>IF(Fourteenth!G64="", "",Fourteenth!G64)</f>
        <v/>
      </c>
      <c r="H3311" s="66" t="str">
        <f>IF(Fourteenth!H64="", "",Fourteenth!H64)</f>
        <v/>
      </c>
      <c r="I3311" s="66" t="str">
        <f>IF(Fourteenth!I64="", "",Fourteenth!I64)</f>
        <v/>
      </c>
      <c r="J3311" s="66" t="str">
        <f>IF(Fourteenth!J64="", "",Fourteenth!J64)</f>
        <v/>
      </c>
      <c r="K3311" s="86" t="str">
        <f>IF(Fourteenth!K64="", "",Fourteenth!K64)</f>
        <v/>
      </c>
      <c r="M3311" s="67" t="str">
        <f t="shared" si="155"/>
        <v/>
      </c>
      <c r="N3311" s="76" t="str">
        <f t="shared" si="156"/>
        <v/>
      </c>
      <c r="O3311" s="33">
        <f t="shared" si="154"/>
        <v>0</v>
      </c>
    </row>
    <row r="3312" spans="1:15" x14ac:dyDescent="0.25">
      <c r="A3312" s="64" t="s">
        <v>185</v>
      </c>
      <c r="B3312" s="79" t="str">
        <f>IF(Fourteenth!B65="", "",Fourteenth!B65)</f>
        <v/>
      </c>
      <c r="C3312" s="66" t="str">
        <f>IF(Fourteenth!C65="", "",Fourteenth!C65)</f>
        <v/>
      </c>
      <c r="D3312" s="66" t="str">
        <f>IF(Fourteenth!D65="", "",Fourteenth!D65)</f>
        <v/>
      </c>
      <c r="E3312" s="66" t="str">
        <f>IF(Fourteenth!E65="", "",Fourteenth!E65)</f>
        <v/>
      </c>
      <c r="F3312" s="66" t="str">
        <f>IF(Fourteenth!F65="", "",Fourteenth!F65)</f>
        <v/>
      </c>
      <c r="G3312" s="66" t="str">
        <f>IF(Fourteenth!G65="", "",Fourteenth!G65)</f>
        <v/>
      </c>
      <c r="H3312" s="66" t="str">
        <f>IF(Fourteenth!H65="", "",Fourteenth!H65)</f>
        <v/>
      </c>
      <c r="I3312" s="66" t="str">
        <f>IF(Fourteenth!I65="", "",Fourteenth!I65)</f>
        <v/>
      </c>
      <c r="J3312" s="66" t="str">
        <f>IF(Fourteenth!J65="", "",Fourteenth!J65)</f>
        <v/>
      </c>
      <c r="K3312" s="86" t="str">
        <f>IF(Fourteenth!K65="", "",Fourteenth!K65)</f>
        <v/>
      </c>
      <c r="M3312" s="67" t="str">
        <f t="shared" si="155"/>
        <v/>
      </c>
      <c r="N3312" s="76" t="str">
        <f t="shared" si="156"/>
        <v/>
      </c>
      <c r="O3312" s="33">
        <f t="shared" si="154"/>
        <v>0</v>
      </c>
    </row>
    <row r="3313" spans="1:15" x14ac:dyDescent="0.25">
      <c r="A3313" s="64" t="s">
        <v>185</v>
      </c>
      <c r="B3313" s="79" t="str">
        <f>IF(Fourteenth!B66="", "",Fourteenth!B66)</f>
        <v/>
      </c>
      <c r="C3313" s="66" t="str">
        <f>IF(Fourteenth!C66="", "",Fourteenth!C66)</f>
        <v/>
      </c>
      <c r="D3313" s="66" t="str">
        <f>IF(Fourteenth!D66="", "",Fourteenth!D66)</f>
        <v/>
      </c>
      <c r="E3313" s="66" t="str">
        <f>IF(Fourteenth!E66="", "",Fourteenth!E66)</f>
        <v/>
      </c>
      <c r="F3313" s="66" t="str">
        <f>IF(Fourteenth!F66="", "",Fourteenth!F66)</f>
        <v/>
      </c>
      <c r="G3313" s="66" t="str">
        <f>IF(Fourteenth!G66="", "",Fourteenth!G66)</f>
        <v/>
      </c>
      <c r="H3313" s="66" t="str">
        <f>IF(Fourteenth!H66="", "",Fourteenth!H66)</f>
        <v/>
      </c>
      <c r="I3313" s="66" t="str">
        <f>IF(Fourteenth!I66="", "",Fourteenth!I66)</f>
        <v/>
      </c>
      <c r="J3313" s="66" t="str">
        <f>IF(Fourteenth!J66="", "",Fourteenth!J66)</f>
        <v/>
      </c>
      <c r="K3313" s="86" t="str">
        <f>IF(Fourteenth!K66="", "",Fourteenth!K66)</f>
        <v/>
      </c>
      <c r="M3313" s="67" t="str">
        <f t="shared" si="155"/>
        <v/>
      </c>
      <c r="N3313" s="76" t="str">
        <f t="shared" si="156"/>
        <v/>
      </c>
      <c r="O3313" s="33">
        <f t="shared" si="154"/>
        <v>0</v>
      </c>
    </row>
    <row r="3314" spans="1:15" x14ac:dyDescent="0.25">
      <c r="A3314" s="64" t="s">
        <v>185</v>
      </c>
      <c r="B3314" s="79" t="str">
        <f>IF(Fourteenth!B67="", "",Fourteenth!B67)</f>
        <v/>
      </c>
      <c r="C3314" s="66" t="str">
        <f>IF(Fourteenth!C67="", "",Fourteenth!C67)</f>
        <v/>
      </c>
      <c r="D3314" s="66" t="str">
        <f>IF(Fourteenth!D67="", "",Fourteenth!D67)</f>
        <v/>
      </c>
      <c r="E3314" s="66" t="str">
        <f>IF(Fourteenth!E67="", "",Fourteenth!E67)</f>
        <v/>
      </c>
      <c r="F3314" s="66" t="str">
        <f>IF(Fourteenth!F67="", "",Fourteenth!F67)</f>
        <v/>
      </c>
      <c r="G3314" s="66" t="str">
        <f>IF(Fourteenth!G67="", "",Fourteenth!G67)</f>
        <v/>
      </c>
      <c r="H3314" s="66" t="str">
        <f>IF(Fourteenth!H67="", "",Fourteenth!H67)</f>
        <v/>
      </c>
      <c r="I3314" s="66" t="str">
        <f>IF(Fourteenth!I67="", "",Fourteenth!I67)</f>
        <v/>
      </c>
      <c r="J3314" s="66" t="str">
        <f>IF(Fourteenth!J67="", "",Fourteenth!J67)</f>
        <v/>
      </c>
      <c r="K3314" s="86" t="str">
        <f>IF(Fourteenth!K67="", "",Fourteenth!K67)</f>
        <v/>
      </c>
      <c r="M3314" s="67" t="str">
        <f t="shared" si="155"/>
        <v/>
      </c>
      <c r="N3314" s="76" t="str">
        <f t="shared" si="156"/>
        <v/>
      </c>
      <c r="O3314" s="33">
        <f t="shared" si="154"/>
        <v>0</v>
      </c>
    </row>
    <row r="3315" spans="1:15" x14ac:dyDescent="0.25">
      <c r="A3315" s="64" t="s">
        <v>185</v>
      </c>
      <c r="B3315" s="79" t="str">
        <f>IF(Fourteenth!B68="", "",Fourteenth!B68)</f>
        <v/>
      </c>
      <c r="C3315" s="66" t="str">
        <f>IF(Fourteenth!C68="", "",Fourteenth!C68)</f>
        <v/>
      </c>
      <c r="D3315" s="66" t="str">
        <f>IF(Fourteenth!D68="", "",Fourteenth!D68)</f>
        <v/>
      </c>
      <c r="E3315" s="66" t="str">
        <f>IF(Fourteenth!E68="", "",Fourteenth!E68)</f>
        <v/>
      </c>
      <c r="F3315" s="66" t="str">
        <f>IF(Fourteenth!F68="", "",Fourteenth!F68)</f>
        <v/>
      </c>
      <c r="G3315" s="66" t="str">
        <f>IF(Fourteenth!G68="", "",Fourteenth!G68)</f>
        <v/>
      </c>
      <c r="H3315" s="66" t="str">
        <f>IF(Fourteenth!H68="", "",Fourteenth!H68)</f>
        <v/>
      </c>
      <c r="I3315" s="66" t="str">
        <f>IF(Fourteenth!I68="", "",Fourteenth!I68)</f>
        <v/>
      </c>
      <c r="J3315" s="66" t="str">
        <f>IF(Fourteenth!J68="", "",Fourteenth!J68)</f>
        <v/>
      </c>
      <c r="K3315" s="86" t="str">
        <f>IF(Fourteenth!K68="", "",Fourteenth!K68)</f>
        <v/>
      </c>
      <c r="M3315" s="67" t="str">
        <f t="shared" si="155"/>
        <v/>
      </c>
      <c r="N3315" s="76" t="str">
        <f t="shared" si="156"/>
        <v/>
      </c>
      <c r="O3315" s="33">
        <f t="shared" si="154"/>
        <v>0</v>
      </c>
    </row>
    <row r="3316" spans="1:15" x14ac:dyDescent="0.25">
      <c r="A3316" s="64" t="s">
        <v>185</v>
      </c>
      <c r="B3316" s="79" t="str">
        <f>IF(Fourteenth!B69="", "",Fourteenth!B69)</f>
        <v/>
      </c>
      <c r="C3316" s="66" t="str">
        <f>IF(Fourteenth!C69="", "",Fourteenth!C69)</f>
        <v/>
      </c>
      <c r="D3316" s="66" t="str">
        <f>IF(Fourteenth!D69="", "",Fourteenth!D69)</f>
        <v/>
      </c>
      <c r="E3316" s="66" t="str">
        <f>IF(Fourteenth!E69="", "",Fourteenth!E69)</f>
        <v/>
      </c>
      <c r="F3316" s="66" t="str">
        <f>IF(Fourteenth!F69="", "",Fourteenth!F69)</f>
        <v/>
      </c>
      <c r="G3316" s="66" t="str">
        <f>IF(Fourteenth!G69="", "",Fourteenth!G69)</f>
        <v/>
      </c>
      <c r="H3316" s="66" t="str">
        <f>IF(Fourteenth!H69="", "",Fourteenth!H69)</f>
        <v/>
      </c>
      <c r="I3316" s="66" t="str">
        <f>IF(Fourteenth!I69="", "",Fourteenth!I69)</f>
        <v/>
      </c>
      <c r="J3316" s="66" t="str">
        <f>IF(Fourteenth!J69="", "",Fourteenth!J69)</f>
        <v/>
      </c>
      <c r="K3316" s="86" t="str">
        <f>IF(Fourteenth!K69="", "",Fourteenth!K69)</f>
        <v/>
      </c>
      <c r="M3316" s="67" t="str">
        <f t="shared" si="155"/>
        <v/>
      </c>
      <c r="N3316" s="76" t="str">
        <f t="shared" si="156"/>
        <v/>
      </c>
      <c r="O3316" s="33">
        <f t="shared" si="154"/>
        <v>0</v>
      </c>
    </row>
    <row r="3317" spans="1:15" x14ac:dyDescent="0.25">
      <c r="A3317" s="64" t="s">
        <v>185</v>
      </c>
      <c r="B3317" s="79" t="str">
        <f>IF(Fourteenth!B70="", "",Fourteenth!B70)</f>
        <v/>
      </c>
      <c r="C3317" s="66" t="str">
        <f>IF(Fourteenth!C70="", "",Fourteenth!C70)</f>
        <v/>
      </c>
      <c r="D3317" s="66" t="str">
        <f>IF(Fourteenth!D70="", "",Fourteenth!D70)</f>
        <v/>
      </c>
      <c r="E3317" s="66" t="str">
        <f>IF(Fourteenth!E70="", "",Fourteenth!E70)</f>
        <v/>
      </c>
      <c r="F3317" s="66" t="str">
        <f>IF(Fourteenth!F70="", "",Fourteenth!F70)</f>
        <v/>
      </c>
      <c r="G3317" s="66" t="str">
        <f>IF(Fourteenth!G70="", "",Fourteenth!G70)</f>
        <v/>
      </c>
      <c r="H3317" s="66" t="str">
        <f>IF(Fourteenth!H70="", "",Fourteenth!H70)</f>
        <v/>
      </c>
      <c r="I3317" s="66" t="str">
        <f>IF(Fourteenth!I70="", "",Fourteenth!I70)</f>
        <v/>
      </c>
      <c r="J3317" s="66" t="str">
        <f>IF(Fourteenth!J70="", "",Fourteenth!J70)</f>
        <v/>
      </c>
      <c r="K3317" s="86" t="str">
        <f>IF(Fourteenth!K70="", "",Fourteenth!K70)</f>
        <v/>
      </c>
      <c r="M3317" s="67" t="str">
        <f t="shared" si="155"/>
        <v/>
      </c>
      <c r="N3317" s="76" t="str">
        <f t="shared" si="156"/>
        <v/>
      </c>
      <c r="O3317" s="33">
        <f t="shared" si="154"/>
        <v>0</v>
      </c>
    </row>
    <row r="3318" spans="1:15" x14ac:dyDescent="0.25">
      <c r="A3318" s="64" t="s">
        <v>185</v>
      </c>
      <c r="B3318" s="79" t="str">
        <f>IF(Fourteenth!B71="", "",Fourteenth!B71)</f>
        <v/>
      </c>
      <c r="C3318" s="66" t="str">
        <f>IF(Fourteenth!C71="", "",Fourteenth!C71)</f>
        <v/>
      </c>
      <c r="D3318" s="66" t="str">
        <f>IF(Fourteenth!D71="", "",Fourteenth!D71)</f>
        <v/>
      </c>
      <c r="E3318" s="66" t="str">
        <f>IF(Fourteenth!E71="", "",Fourteenth!E71)</f>
        <v/>
      </c>
      <c r="F3318" s="66" t="str">
        <f>IF(Fourteenth!F71="", "",Fourteenth!F71)</f>
        <v/>
      </c>
      <c r="G3318" s="66" t="str">
        <f>IF(Fourteenth!G71="", "",Fourteenth!G71)</f>
        <v/>
      </c>
      <c r="H3318" s="66" t="str">
        <f>IF(Fourteenth!H71="", "",Fourteenth!H71)</f>
        <v/>
      </c>
      <c r="I3318" s="66" t="str">
        <f>IF(Fourteenth!I71="", "",Fourteenth!I71)</f>
        <v/>
      </c>
      <c r="J3318" s="66" t="str">
        <f>IF(Fourteenth!J71="", "",Fourteenth!J71)</f>
        <v/>
      </c>
      <c r="K3318" s="86" t="str">
        <f>IF(Fourteenth!K71="", "",Fourteenth!K71)</f>
        <v/>
      </c>
      <c r="M3318" s="67" t="str">
        <f t="shared" si="155"/>
        <v/>
      </c>
      <c r="N3318" s="76" t="str">
        <f t="shared" si="156"/>
        <v/>
      </c>
      <c r="O3318" s="33">
        <f t="shared" si="154"/>
        <v>0</v>
      </c>
    </row>
    <row r="3319" spans="1:15" x14ac:dyDescent="0.25">
      <c r="A3319" s="64" t="s">
        <v>185</v>
      </c>
      <c r="B3319" s="79" t="str">
        <f>IF(Fourteenth!B72="", "",Fourteenth!B72)</f>
        <v/>
      </c>
      <c r="C3319" s="66" t="str">
        <f>IF(Fourteenth!C72="", "",Fourteenth!C72)</f>
        <v/>
      </c>
      <c r="D3319" s="66" t="str">
        <f>IF(Fourteenth!D72="", "",Fourteenth!D72)</f>
        <v/>
      </c>
      <c r="E3319" s="66" t="str">
        <f>IF(Fourteenth!E72="", "",Fourteenth!E72)</f>
        <v/>
      </c>
      <c r="F3319" s="66" t="str">
        <f>IF(Fourteenth!F72="", "",Fourteenth!F72)</f>
        <v/>
      </c>
      <c r="G3319" s="66" t="str">
        <f>IF(Fourteenth!G72="", "",Fourteenth!G72)</f>
        <v/>
      </c>
      <c r="H3319" s="66" t="str">
        <f>IF(Fourteenth!H72="", "",Fourteenth!H72)</f>
        <v/>
      </c>
      <c r="I3319" s="66" t="str">
        <f>IF(Fourteenth!I72="", "",Fourteenth!I72)</f>
        <v/>
      </c>
      <c r="J3319" s="66" t="str">
        <f>IF(Fourteenth!J72="", "",Fourteenth!J72)</f>
        <v/>
      </c>
      <c r="K3319" s="86" t="str">
        <f>IF(Fourteenth!K72="", "",Fourteenth!K72)</f>
        <v/>
      </c>
      <c r="M3319" s="67" t="str">
        <f t="shared" si="155"/>
        <v/>
      </c>
      <c r="N3319" s="76" t="str">
        <f t="shared" si="156"/>
        <v/>
      </c>
      <c r="O3319" s="33">
        <f t="shared" si="154"/>
        <v>0</v>
      </c>
    </row>
    <row r="3320" spans="1:15" x14ac:dyDescent="0.25">
      <c r="A3320" s="64" t="s">
        <v>185</v>
      </c>
      <c r="B3320" s="79" t="str">
        <f>IF(Fourteenth!B73="", "",Fourteenth!B73)</f>
        <v/>
      </c>
      <c r="C3320" s="66" t="str">
        <f>IF(Fourteenth!C73="", "",Fourteenth!C73)</f>
        <v/>
      </c>
      <c r="D3320" s="66" t="str">
        <f>IF(Fourteenth!D73="", "",Fourteenth!D73)</f>
        <v/>
      </c>
      <c r="E3320" s="66" t="str">
        <f>IF(Fourteenth!E73="", "",Fourteenth!E73)</f>
        <v/>
      </c>
      <c r="F3320" s="66" t="str">
        <f>IF(Fourteenth!F73="", "",Fourteenth!F73)</f>
        <v/>
      </c>
      <c r="G3320" s="66" t="str">
        <f>IF(Fourteenth!G73="", "",Fourteenth!G73)</f>
        <v/>
      </c>
      <c r="H3320" s="66" t="str">
        <f>IF(Fourteenth!H73="", "",Fourteenth!H73)</f>
        <v/>
      </c>
      <c r="I3320" s="66" t="str">
        <f>IF(Fourteenth!I73="", "",Fourteenth!I73)</f>
        <v/>
      </c>
      <c r="J3320" s="66" t="str">
        <f>IF(Fourteenth!J73="", "",Fourteenth!J73)</f>
        <v/>
      </c>
      <c r="K3320" s="86" t="str">
        <f>IF(Fourteenth!K73="", "",Fourteenth!K73)</f>
        <v/>
      </c>
      <c r="M3320" s="67" t="str">
        <f t="shared" si="155"/>
        <v/>
      </c>
      <c r="N3320" s="76" t="str">
        <f t="shared" si="156"/>
        <v/>
      </c>
      <c r="O3320" s="33">
        <f t="shared" si="154"/>
        <v>0</v>
      </c>
    </row>
    <row r="3321" spans="1:15" x14ac:dyDescent="0.25">
      <c r="A3321" s="64" t="s">
        <v>185</v>
      </c>
      <c r="B3321" s="79" t="str">
        <f>IF(Fourteenth!B74="", "",Fourteenth!B74)</f>
        <v/>
      </c>
      <c r="C3321" s="66" t="str">
        <f>IF(Fourteenth!C74="", "",Fourteenth!C74)</f>
        <v/>
      </c>
      <c r="D3321" s="66" t="str">
        <f>IF(Fourteenth!D74="", "",Fourteenth!D74)</f>
        <v/>
      </c>
      <c r="E3321" s="66" t="str">
        <f>IF(Fourteenth!E74="", "",Fourteenth!E74)</f>
        <v/>
      </c>
      <c r="F3321" s="66" t="str">
        <f>IF(Fourteenth!F74="", "",Fourteenth!F74)</f>
        <v/>
      </c>
      <c r="G3321" s="66" t="str">
        <f>IF(Fourteenth!G74="", "",Fourteenth!G74)</f>
        <v/>
      </c>
      <c r="H3321" s="66" t="str">
        <f>IF(Fourteenth!H74="", "",Fourteenth!H74)</f>
        <v/>
      </c>
      <c r="I3321" s="66" t="str">
        <f>IF(Fourteenth!I74="", "",Fourteenth!I74)</f>
        <v/>
      </c>
      <c r="J3321" s="66" t="str">
        <f>IF(Fourteenth!J74="", "",Fourteenth!J74)</f>
        <v/>
      </c>
      <c r="K3321" s="86" t="str">
        <f>IF(Fourteenth!K74="", "",Fourteenth!K74)</f>
        <v/>
      </c>
      <c r="M3321" s="67" t="str">
        <f t="shared" si="155"/>
        <v/>
      </c>
      <c r="N3321" s="76" t="str">
        <f t="shared" si="156"/>
        <v/>
      </c>
      <c r="O3321" s="33">
        <f t="shared" si="154"/>
        <v>0</v>
      </c>
    </row>
    <row r="3322" spans="1:15" x14ac:dyDescent="0.25">
      <c r="A3322" s="64" t="s">
        <v>185</v>
      </c>
      <c r="B3322" s="79" t="str">
        <f>IF(Fourteenth!B75="", "",Fourteenth!B75)</f>
        <v/>
      </c>
      <c r="C3322" s="66" t="str">
        <f>IF(Fourteenth!C75="", "",Fourteenth!C75)</f>
        <v/>
      </c>
      <c r="D3322" s="66" t="str">
        <f>IF(Fourteenth!D75="", "",Fourteenth!D75)</f>
        <v/>
      </c>
      <c r="E3322" s="66" t="str">
        <f>IF(Fourteenth!E75="", "",Fourteenth!E75)</f>
        <v/>
      </c>
      <c r="F3322" s="66" t="str">
        <f>IF(Fourteenth!F75="", "",Fourteenth!F75)</f>
        <v/>
      </c>
      <c r="G3322" s="66" t="str">
        <f>IF(Fourteenth!G75="", "",Fourteenth!G75)</f>
        <v/>
      </c>
      <c r="H3322" s="66" t="str">
        <f>IF(Fourteenth!H75="", "",Fourteenth!H75)</f>
        <v/>
      </c>
      <c r="I3322" s="66" t="str">
        <f>IF(Fourteenth!I75="", "",Fourteenth!I75)</f>
        <v/>
      </c>
      <c r="J3322" s="66" t="str">
        <f>IF(Fourteenth!J75="", "",Fourteenth!J75)</f>
        <v/>
      </c>
      <c r="K3322" s="86" t="str">
        <f>IF(Fourteenth!K75="", "",Fourteenth!K75)</f>
        <v/>
      </c>
      <c r="M3322" s="67" t="str">
        <f t="shared" si="155"/>
        <v/>
      </c>
      <c r="N3322" s="76" t="str">
        <f t="shared" si="156"/>
        <v/>
      </c>
      <c r="O3322" s="33">
        <f t="shared" si="154"/>
        <v>0</v>
      </c>
    </row>
    <row r="3323" spans="1:15" x14ac:dyDescent="0.25">
      <c r="A3323" s="64" t="s">
        <v>185</v>
      </c>
      <c r="B3323" s="79" t="str">
        <f>IF(Fourteenth!B76="", "",Fourteenth!B76)</f>
        <v/>
      </c>
      <c r="C3323" s="66" t="str">
        <f>IF(Fourteenth!C76="", "",Fourteenth!C76)</f>
        <v/>
      </c>
      <c r="D3323" s="66" t="str">
        <f>IF(Fourteenth!D76="", "",Fourteenth!D76)</f>
        <v/>
      </c>
      <c r="E3323" s="66" t="str">
        <f>IF(Fourteenth!E76="", "",Fourteenth!E76)</f>
        <v/>
      </c>
      <c r="F3323" s="66" t="str">
        <f>IF(Fourteenth!F76="", "",Fourteenth!F76)</f>
        <v/>
      </c>
      <c r="G3323" s="66" t="str">
        <f>IF(Fourteenth!G76="", "",Fourteenth!G76)</f>
        <v/>
      </c>
      <c r="H3323" s="66" t="str">
        <f>IF(Fourteenth!H76="", "",Fourteenth!H76)</f>
        <v/>
      </c>
      <c r="I3323" s="66" t="str">
        <f>IF(Fourteenth!I76="", "",Fourteenth!I76)</f>
        <v/>
      </c>
      <c r="J3323" s="66" t="str">
        <f>IF(Fourteenth!J76="", "",Fourteenth!J76)</f>
        <v/>
      </c>
      <c r="K3323" s="86" t="str">
        <f>IF(Fourteenth!K76="", "",Fourteenth!K76)</f>
        <v/>
      </c>
      <c r="M3323" s="67" t="str">
        <f t="shared" si="155"/>
        <v/>
      </c>
      <c r="N3323" s="76" t="str">
        <f t="shared" si="156"/>
        <v/>
      </c>
      <c r="O3323" s="33">
        <f t="shared" si="154"/>
        <v>0</v>
      </c>
    </row>
    <row r="3324" spans="1:15" x14ac:dyDescent="0.25">
      <c r="A3324" s="64" t="s">
        <v>185</v>
      </c>
      <c r="B3324" s="79" t="str">
        <f>IF(Fourteenth!B77="", "",Fourteenth!B77)</f>
        <v/>
      </c>
      <c r="C3324" s="66" t="str">
        <f>IF(Fourteenth!C77="", "",Fourteenth!C77)</f>
        <v/>
      </c>
      <c r="D3324" s="66" t="str">
        <f>IF(Fourteenth!D77="", "",Fourteenth!D77)</f>
        <v/>
      </c>
      <c r="E3324" s="66" t="str">
        <f>IF(Fourteenth!E77="", "",Fourteenth!E77)</f>
        <v/>
      </c>
      <c r="F3324" s="66" t="str">
        <f>IF(Fourteenth!F77="", "",Fourteenth!F77)</f>
        <v/>
      </c>
      <c r="G3324" s="66" t="str">
        <f>IF(Fourteenth!G77="", "",Fourteenth!G77)</f>
        <v/>
      </c>
      <c r="H3324" s="66" t="str">
        <f>IF(Fourteenth!H77="", "",Fourteenth!H77)</f>
        <v/>
      </c>
      <c r="I3324" s="66" t="str">
        <f>IF(Fourteenth!I77="", "",Fourteenth!I77)</f>
        <v/>
      </c>
      <c r="J3324" s="66" t="str">
        <f>IF(Fourteenth!J77="", "",Fourteenth!J77)</f>
        <v/>
      </c>
      <c r="K3324" s="86" t="str">
        <f>IF(Fourteenth!K77="", "",Fourteenth!K77)</f>
        <v/>
      </c>
      <c r="M3324" s="67" t="str">
        <f t="shared" si="155"/>
        <v/>
      </c>
      <c r="N3324" s="76" t="str">
        <f t="shared" si="156"/>
        <v/>
      </c>
      <c r="O3324" s="33">
        <f t="shared" si="154"/>
        <v>0</v>
      </c>
    </row>
    <row r="3325" spans="1:15" x14ac:dyDescent="0.25">
      <c r="A3325" s="64" t="s">
        <v>185</v>
      </c>
      <c r="B3325" s="79" t="str">
        <f>IF(Fourteenth!B78="", "",Fourteenth!B78)</f>
        <v/>
      </c>
      <c r="C3325" s="66" t="str">
        <f>IF(Fourteenth!C78="", "",Fourteenth!C78)</f>
        <v/>
      </c>
      <c r="D3325" s="66" t="str">
        <f>IF(Fourteenth!D78="", "",Fourteenth!D78)</f>
        <v/>
      </c>
      <c r="E3325" s="66" t="str">
        <f>IF(Fourteenth!E78="", "",Fourteenth!E78)</f>
        <v/>
      </c>
      <c r="F3325" s="66" t="str">
        <f>IF(Fourteenth!F78="", "",Fourteenth!F78)</f>
        <v/>
      </c>
      <c r="G3325" s="66" t="str">
        <f>IF(Fourteenth!G78="", "",Fourteenth!G78)</f>
        <v/>
      </c>
      <c r="H3325" s="66" t="str">
        <f>IF(Fourteenth!H78="", "",Fourteenth!H78)</f>
        <v/>
      </c>
      <c r="I3325" s="66" t="str">
        <f>IF(Fourteenth!I78="", "",Fourteenth!I78)</f>
        <v/>
      </c>
      <c r="J3325" s="66" t="str">
        <f>IF(Fourteenth!J78="", "",Fourteenth!J78)</f>
        <v/>
      </c>
      <c r="K3325" s="86" t="str">
        <f>IF(Fourteenth!K78="", "",Fourteenth!K78)</f>
        <v/>
      </c>
      <c r="M3325" s="67" t="str">
        <f t="shared" si="155"/>
        <v/>
      </c>
      <c r="N3325" s="76" t="str">
        <f t="shared" si="156"/>
        <v/>
      </c>
      <c r="O3325" s="33">
        <f t="shared" si="154"/>
        <v>0</v>
      </c>
    </row>
    <row r="3326" spans="1:15" x14ac:dyDescent="0.25">
      <c r="A3326" s="64" t="s">
        <v>185</v>
      </c>
      <c r="B3326" s="79" t="str">
        <f>IF(Fourteenth!B79="", "",Fourteenth!B79)</f>
        <v/>
      </c>
      <c r="C3326" s="66" t="str">
        <f>IF(Fourteenth!C79="", "",Fourteenth!C79)</f>
        <v/>
      </c>
      <c r="D3326" s="66" t="str">
        <f>IF(Fourteenth!D79="", "",Fourteenth!D79)</f>
        <v/>
      </c>
      <c r="E3326" s="66" t="str">
        <f>IF(Fourteenth!E79="", "",Fourteenth!E79)</f>
        <v/>
      </c>
      <c r="F3326" s="66" t="str">
        <f>IF(Fourteenth!F79="", "",Fourteenth!F79)</f>
        <v/>
      </c>
      <c r="G3326" s="66" t="str">
        <f>IF(Fourteenth!G79="", "",Fourteenth!G79)</f>
        <v/>
      </c>
      <c r="H3326" s="66" t="str">
        <f>IF(Fourteenth!H79="", "",Fourteenth!H79)</f>
        <v/>
      </c>
      <c r="I3326" s="66" t="str">
        <f>IF(Fourteenth!I79="", "",Fourteenth!I79)</f>
        <v/>
      </c>
      <c r="J3326" s="66" t="str">
        <f>IF(Fourteenth!J79="", "",Fourteenth!J79)</f>
        <v/>
      </c>
      <c r="K3326" s="86" t="str">
        <f>IF(Fourteenth!K79="", "",Fourteenth!K79)</f>
        <v/>
      </c>
      <c r="M3326" s="67" t="str">
        <f t="shared" si="155"/>
        <v/>
      </c>
      <c r="N3326" s="76" t="str">
        <f t="shared" si="156"/>
        <v/>
      </c>
      <c r="O3326" s="33">
        <f t="shared" si="154"/>
        <v>0</v>
      </c>
    </row>
    <row r="3327" spans="1:15" x14ac:dyDescent="0.25">
      <c r="A3327" s="64" t="s">
        <v>185</v>
      </c>
      <c r="B3327" s="79" t="str">
        <f>IF(Fourteenth!B80="", "",Fourteenth!B80)</f>
        <v/>
      </c>
      <c r="C3327" s="66" t="str">
        <f>IF(Fourteenth!C80="", "",Fourteenth!C80)</f>
        <v/>
      </c>
      <c r="D3327" s="66" t="str">
        <f>IF(Fourteenth!D80="", "",Fourteenth!D80)</f>
        <v/>
      </c>
      <c r="E3327" s="66" t="str">
        <f>IF(Fourteenth!E80="", "",Fourteenth!E80)</f>
        <v/>
      </c>
      <c r="F3327" s="66" t="str">
        <f>IF(Fourteenth!F80="", "",Fourteenth!F80)</f>
        <v/>
      </c>
      <c r="G3327" s="66" t="str">
        <f>IF(Fourteenth!G80="", "",Fourteenth!G80)</f>
        <v/>
      </c>
      <c r="H3327" s="66" t="str">
        <f>IF(Fourteenth!H80="", "",Fourteenth!H80)</f>
        <v/>
      </c>
      <c r="I3327" s="66" t="str">
        <f>IF(Fourteenth!I80="", "",Fourteenth!I80)</f>
        <v/>
      </c>
      <c r="J3327" s="66" t="str">
        <f>IF(Fourteenth!J80="", "",Fourteenth!J80)</f>
        <v/>
      </c>
      <c r="K3327" s="86" t="str">
        <f>IF(Fourteenth!K80="", "",Fourteenth!K80)</f>
        <v/>
      </c>
      <c r="M3327" s="67" t="str">
        <f t="shared" si="155"/>
        <v/>
      </c>
      <c r="N3327" s="76" t="str">
        <f t="shared" si="156"/>
        <v/>
      </c>
      <c r="O3327" s="33">
        <f t="shared" si="154"/>
        <v>0</v>
      </c>
    </row>
    <row r="3328" spans="1:15" x14ac:dyDescent="0.25">
      <c r="A3328" s="64" t="s">
        <v>185</v>
      </c>
      <c r="B3328" s="79" t="str">
        <f>IF(Fourteenth!B81="", "",Fourteenth!B81)</f>
        <v/>
      </c>
      <c r="C3328" s="66" t="str">
        <f>IF(Fourteenth!C81="", "",Fourteenth!C81)</f>
        <v/>
      </c>
      <c r="D3328" s="66" t="str">
        <f>IF(Fourteenth!D81="", "",Fourteenth!D81)</f>
        <v/>
      </c>
      <c r="E3328" s="66" t="str">
        <f>IF(Fourteenth!E81="", "",Fourteenth!E81)</f>
        <v/>
      </c>
      <c r="F3328" s="66" t="str">
        <f>IF(Fourteenth!F81="", "",Fourteenth!F81)</f>
        <v/>
      </c>
      <c r="G3328" s="66" t="str">
        <f>IF(Fourteenth!G81="", "",Fourteenth!G81)</f>
        <v/>
      </c>
      <c r="H3328" s="66" t="str">
        <f>IF(Fourteenth!H81="", "",Fourteenth!H81)</f>
        <v/>
      </c>
      <c r="I3328" s="66" t="str">
        <f>IF(Fourteenth!I81="", "",Fourteenth!I81)</f>
        <v/>
      </c>
      <c r="J3328" s="66" t="str">
        <f>IF(Fourteenth!J81="", "",Fourteenth!J81)</f>
        <v/>
      </c>
      <c r="K3328" s="86" t="str">
        <f>IF(Fourteenth!K81="", "",Fourteenth!K81)</f>
        <v/>
      </c>
      <c r="M3328" s="67" t="str">
        <f t="shared" si="155"/>
        <v/>
      </c>
      <c r="N3328" s="76" t="str">
        <f t="shared" si="156"/>
        <v/>
      </c>
      <c r="O3328" s="33">
        <f t="shared" si="154"/>
        <v>0</v>
      </c>
    </row>
    <row r="3329" spans="1:15" x14ac:dyDescent="0.25">
      <c r="A3329" s="64" t="s">
        <v>185</v>
      </c>
      <c r="B3329" s="79" t="str">
        <f>IF(Fourteenth!B82="", "",Fourteenth!B82)</f>
        <v/>
      </c>
      <c r="C3329" s="66" t="str">
        <f>IF(Fourteenth!C82="", "",Fourteenth!C82)</f>
        <v/>
      </c>
      <c r="D3329" s="66" t="str">
        <f>IF(Fourteenth!D82="", "",Fourteenth!D82)</f>
        <v/>
      </c>
      <c r="E3329" s="66" t="str">
        <f>IF(Fourteenth!E82="", "",Fourteenth!E82)</f>
        <v/>
      </c>
      <c r="F3329" s="66" t="str">
        <f>IF(Fourteenth!F82="", "",Fourteenth!F82)</f>
        <v/>
      </c>
      <c r="G3329" s="66" t="str">
        <f>IF(Fourteenth!G82="", "",Fourteenth!G82)</f>
        <v/>
      </c>
      <c r="H3329" s="66" t="str">
        <f>IF(Fourteenth!H82="", "",Fourteenth!H82)</f>
        <v/>
      </c>
      <c r="I3329" s="66" t="str">
        <f>IF(Fourteenth!I82="", "",Fourteenth!I82)</f>
        <v/>
      </c>
      <c r="J3329" s="66" t="str">
        <f>IF(Fourteenth!J82="", "",Fourteenth!J82)</f>
        <v/>
      </c>
      <c r="K3329" s="86" t="str">
        <f>IF(Fourteenth!K82="", "",Fourteenth!K82)</f>
        <v/>
      </c>
      <c r="M3329" s="67" t="str">
        <f t="shared" si="155"/>
        <v/>
      </c>
      <c r="N3329" s="76" t="str">
        <f t="shared" si="156"/>
        <v/>
      </c>
      <c r="O3329" s="33">
        <f t="shared" si="154"/>
        <v>0</v>
      </c>
    </row>
    <row r="3330" spans="1:15" x14ac:dyDescent="0.25">
      <c r="A3330" s="64" t="s">
        <v>185</v>
      </c>
      <c r="B3330" s="79" t="str">
        <f>IF(Fourteenth!B83="", "",Fourteenth!B83)</f>
        <v/>
      </c>
      <c r="C3330" s="66" t="str">
        <f>IF(Fourteenth!C83="", "",Fourteenth!C83)</f>
        <v/>
      </c>
      <c r="D3330" s="66" t="str">
        <f>IF(Fourteenth!D83="", "",Fourteenth!D83)</f>
        <v/>
      </c>
      <c r="E3330" s="66" t="str">
        <f>IF(Fourteenth!E83="", "",Fourteenth!E83)</f>
        <v/>
      </c>
      <c r="F3330" s="66" t="str">
        <f>IF(Fourteenth!F83="", "",Fourteenth!F83)</f>
        <v/>
      </c>
      <c r="G3330" s="66" t="str">
        <f>IF(Fourteenth!G83="", "",Fourteenth!G83)</f>
        <v/>
      </c>
      <c r="H3330" s="66" t="str">
        <f>IF(Fourteenth!H83="", "",Fourteenth!H83)</f>
        <v/>
      </c>
      <c r="I3330" s="66" t="str">
        <f>IF(Fourteenth!I83="", "",Fourteenth!I83)</f>
        <v/>
      </c>
      <c r="J3330" s="66" t="str">
        <f>IF(Fourteenth!J83="", "",Fourteenth!J83)</f>
        <v/>
      </c>
      <c r="K3330" s="86" t="str">
        <f>IF(Fourteenth!K83="", "",Fourteenth!K83)</f>
        <v/>
      </c>
      <c r="M3330" s="67" t="str">
        <f t="shared" si="155"/>
        <v/>
      </c>
      <c r="N3330" s="76" t="str">
        <f t="shared" si="156"/>
        <v/>
      </c>
      <c r="O3330" s="33">
        <f t="shared" ref="O3330:O3393" si="157">SUM(M3330:N3330)</f>
        <v>0</v>
      </c>
    </row>
    <row r="3331" spans="1:15" x14ac:dyDescent="0.25">
      <c r="A3331" s="64" t="s">
        <v>185</v>
      </c>
      <c r="B3331" s="79" t="str">
        <f>IF(Fourteenth!B84="", "",Fourteenth!B84)</f>
        <v/>
      </c>
      <c r="C3331" s="66" t="str">
        <f>IF(Fourteenth!C84="", "",Fourteenth!C84)</f>
        <v/>
      </c>
      <c r="D3331" s="66" t="str">
        <f>IF(Fourteenth!D84="", "",Fourteenth!D84)</f>
        <v/>
      </c>
      <c r="E3331" s="66" t="str">
        <f>IF(Fourteenth!E84="", "",Fourteenth!E84)</f>
        <v/>
      </c>
      <c r="F3331" s="66" t="str">
        <f>IF(Fourteenth!F84="", "",Fourteenth!F84)</f>
        <v/>
      </c>
      <c r="G3331" s="66" t="str">
        <f>IF(Fourteenth!G84="", "",Fourteenth!G84)</f>
        <v/>
      </c>
      <c r="H3331" s="66" t="str">
        <f>IF(Fourteenth!H84="", "",Fourteenth!H84)</f>
        <v/>
      </c>
      <c r="I3331" s="66" t="str">
        <f>IF(Fourteenth!I84="", "",Fourteenth!I84)</f>
        <v/>
      </c>
      <c r="J3331" s="66" t="str">
        <f>IF(Fourteenth!J84="", "",Fourteenth!J84)</f>
        <v/>
      </c>
      <c r="K3331" s="86" t="str">
        <f>IF(Fourteenth!K84="", "",Fourteenth!K84)</f>
        <v/>
      </c>
      <c r="M3331" s="67" t="str">
        <f t="shared" ref="M3331:M3394" si="158">IF(C3331="PwC",(7-COUNTIF(B3331:H3331,"")),"")</f>
        <v/>
      </c>
      <c r="N3331" s="76" t="str">
        <f t="shared" ref="N3331:N3394" si="159">IF(C3331="Carer",(7-COUNTIF(B3331:H3331,"")),"")</f>
        <v/>
      </c>
      <c r="O3331" s="33">
        <f t="shared" si="157"/>
        <v>0</v>
      </c>
    </row>
    <row r="3332" spans="1:15" x14ac:dyDescent="0.25">
      <c r="A3332" s="64" t="s">
        <v>185</v>
      </c>
      <c r="B3332" s="79" t="str">
        <f>IF(Fourteenth!B85="", "",Fourteenth!B85)</f>
        <v/>
      </c>
      <c r="C3332" s="66" t="str">
        <f>IF(Fourteenth!C85="", "",Fourteenth!C85)</f>
        <v/>
      </c>
      <c r="D3332" s="66" t="str">
        <f>IF(Fourteenth!D85="", "",Fourteenth!D85)</f>
        <v/>
      </c>
      <c r="E3332" s="66" t="str">
        <f>IF(Fourteenth!E85="", "",Fourteenth!E85)</f>
        <v/>
      </c>
      <c r="F3332" s="66" t="str">
        <f>IF(Fourteenth!F85="", "",Fourteenth!F85)</f>
        <v/>
      </c>
      <c r="G3332" s="66" t="str">
        <f>IF(Fourteenth!G85="", "",Fourteenth!G85)</f>
        <v/>
      </c>
      <c r="H3332" s="66" t="str">
        <f>IF(Fourteenth!H85="", "",Fourteenth!H85)</f>
        <v/>
      </c>
      <c r="I3332" s="66" t="str">
        <f>IF(Fourteenth!I85="", "",Fourteenth!I85)</f>
        <v/>
      </c>
      <c r="J3332" s="66" t="str">
        <f>IF(Fourteenth!J85="", "",Fourteenth!J85)</f>
        <v/>
      </c>
      <c r="K3332" s="86" t="str">
        <f>IF(Fourteenth!K85="", "",Fourteenth!K85)</f>
        <v/>
      </c>
      <c r="M3332" s="67" t="str">
        <f t="shared" si="158"/>
        <v/>
      </c>
      <c r="N3332" s="76" t="str">
        <f t="shared" si="159"/>
        <v/>
      </c>
      <c r="O3332" s="33">
        <f t="shared" si="157"/>
        <v>0</v>
      </c>
    </row>
    <row r="3333" spans="1:15" x14ac:dyDescent="0.25">
      <c r="A3333" s="64" t="s">
        <v>185</v>
      </c>
      <c r="B3333" s="79" t="str">
        <f>IF(Fourteenth!B86="", "",Fourteenth!B86)</f>
        <v/>
      </c>
      <c r="C3333" s="66" t="str">
        <f>IF(Fourteenth!C86="", "",Fourteenth!C86)</f>
        <v/>
      </c>
      <c r="D3333" s="66" t="str">
        <f>IF(Fourteenth!D86="", "",Fourteenth!D86)</f>
        <v/>
      </c>
      <c r="E3333" s="66" t="str">
        <f>IF(Fourteenth!E86="", "",Fourteenth!E86)</f>
        <v/>
      </c>
      <c r="F3333" s="66" t="str">
        <f>IF(Fourteenth!F86="", "",Fourteenth!F86)</f>
        <v/>
      </c>
      <c r="G3333" s="66" t="str">
        <f>IF(Fourteenth!G86="", "",Fourteenth!G86)</f>
        <v/>
      </c>
      <c r="H3333" s="66" t="str">
        <f>IF(Fourteenth!H86="", "",Fourteenth!H86)</f>
        <v/>
      </c>
      <c r="I3333" s="66" t="str">
        <f>IF(Fourteenth!I86="", "",Fourteenth!I86)</f>
        <v/>
      </c>
      <c r="J3333" s="66" t="str">
        <f>IF(Fourteenth!J86="", "",Fourteenth!J86)</f>
        <v/>
      </c>
      <c r="K3333" s="86" t="str">
        <f>IF(Fourteenth!K86="", "",Fourteenth!K86)</f>
        <v/>
      </c>
      <c r="M3333" s="67" t="str">
        <f t="shared" si="158"/>
        <v/>
      </c>
      <c r="N3333" s="76" t="str">
        <f t="shared" si="159"/>
        <v/>
      </c>
      <c r="O3333" s="33">
        <f t="shared" si="157"/>
        <v>0</v>
      </c>
    </row>
    <row r="3334" spans="1:15" x14ac:dyDescent="0.25">
      <c r="A3334" s="64" t="s">
        <v>185</v>
      </c>
      <c r="B3334" s="79" t="str">
        <f>IF(Fourteenth!B87="", "",Fourteenth!B87)</f>
        <v/>
      </c>
      <c r="C3334" s="66" t="str">
        <f>IF(Fourteenth!C87="", "",Fourteenth!C87)</f>
        <v/>
      </c>
      <c r="D3334" s="66" t="str">
        <f>IF(Fourteenth!D87="", "",Fourteenth!D87)</f>
        <v/>
      </c>
      <c r="E3334" s="66" t="str">
        <f>IF(Fourteenth!E87="", "",Fourteenth!E87)</f>
        <v/>
      </c>
      <c r="F3334" s="66" t="str">
        <f>IF(Fourteenth!F87="", "",Fourteenth!F87)</f>
        <v/>
      </c>
      <c r="G3334" s="66" t="str">
        <f>IF(Fourteenth!G87="", "",Fourteenth!G87)</f>
        <v/>
      </c>
      <c r="H3334" s="66" t="str">
        <f>IF(Fourteenth!H87="", "",Fourteenth!H87)</f>
        <v/>
      </c>
      <c r="I3334" s="66" t="str">
        <f>IF(Fourteenth!I87="", "",Fourteenth!I87)</f>
        <v/>
      </c>
      <c r="J3334" s="66" t="str">
        <f>IF(Fourteenth!J87="", "",Fourteenth!J87)</f>
        <v/>
      </c>
      <c r="K3334" s="86" t="str">
        <f>IF(Fourteenth!K87="", "",Fourteenth!K87)</f>
        <v/>
      </c>
      <c r="M3334" s="67" t="str">
        <f t="shared" si="158"/>
        <v/>
      </c>
      <c r="N3334" s="76" t="str">
        <f t="shared" si="159"/>
        <v/>
      </c>
      <c r="O3334" s="33">
        <f t="shared" si="157"/>
        <v>0</v>
      </c>
    </row>
    <row r="3335" spans="1:15" x14ac:dyDescent="0.25">
      <c r="A3335" s="64" t="s">
        <v>185</v>
      </c>
      <c r="B3335" s="79" t="str">
        <f>IF(Fourteenth!B88="", "",Fourteenth!B88)</f>
        <v/>
      </c>
      <c r="C3335" s="66" t="str">
        <f>IF(Fourteenth!C88="", "",Fourteenth!C88)</f>
        <v/>
      </c>
      <c r="D3335" s="66" t="str">
        <f>IF(Fourteenth!D88="", "",Fourteenth!D88)</f>
        <v/>
      </c>
      <c r="E3335" s="66" t="str">
        <f>IF(Fourteenth!E88="", "",Fourteenth!E88)</f>
        <v/>
      </c>
      <c r="F3335" s="66" t="str">
        <f>IF(Fourteenth!F88="", "",Fourteenth!F88)</f>
        <v/>
      </c>
      <c r="G3335" s="66" t="str">
        <f>IF(Fourteenth!G88="", "",Fourteenth!G88)</f>
        <v/>
      </c>
      <c r="H3335" s="66" t="str">
        <f>IF(Fourteenth!H88="", "",Fourteenth!H88)</f>
        <v/>
      </c>
      <c r="I3335" s="66" t="str">
        <f>IF(Fourteenth!I88="", "",Fourteenth!I88)</f>
        <v/>
      </c>
      <c r="J3335" s="66" t="str">
        <f>IF(Fourteenth!J88="", "",Fourteenth!J88)</f>
        <v/>
      </c>
      <c r="K3335" s="86" t="str">
        <f>IF(Fourteenth!K88="", "",Fourteenth!K88)</f>
        <v/>
      </c>
      <c r="M3335" s="67" t="str">
        <f t="shared" si="158"/>
        <v/>
      </c>
      <c r="N3335" s="76" t="str">
        <f t="shared" si="159"/>
        <v/>
      </c>
      <c r="O3335" s="33">
        <f t="shared" si="157"/>
        <v>0</v>
      </c>
    </row>
    <row r="3336" spans="1:15" x14ac:dyDescent="0.25">
      <c r="A3336" s="64" t="s">
        <v>185</v>
      </c>
      <c r="B3336" s="79" t="str">
        <f>IF(Fourteenth!B89="", "",Fourteenth!B89)</f>
        <v/>
      </c>
      <c r="C3336" s="66" t="str">
        <f>IF(Fourteenth!C89="", "",Fourteenth!C89)</f>
        <v/>
      </c>
      <c r="D3336" s="66" t="str">
        <f>IF(Fourteenth!D89="", "",Fourteenth!D89)</f>
        <v/>
      </c>
      <c r="E3336" s="66" t="str">
        <f>IF(Fourteenth!E89="", "",Fourteenth!E89)</f>
        <v/>
      </c>
      <c r="F3336" s="66" t="str">
        <f>IF(Fourteenth!F89="", "",Fourteenth!F89)</f>
        <v/>
      </c>
      <c r="G3336" s="66" t="str">
        <f>IF(Fourteenth!G89="", "",Fourteenth!G89)</f>
        <v/>
      </c>
      <c r="H3336" s="66" t="str">
        <f>IF(Fourteenth!H89="", "",Fourteenth!H89)</f>
        <v/>
      </c>
      <c r="I3336" s="66" t="str">
        <f>IF(Fourteenth!I89="", "",Fourteenth!I89)</f>
        <v/>
      </c>
      <c r="J3336" s="66" t="str">
        <f>IF(Fourteenth!J89="", "",Fourteenth!J89)</f>
        <v/>
      </c>
      <c r="K3336" s="86" t="str">
        <f>IF(Fourteenth!K89="", "",Fourteenth!K89)</f>
        <v/>
      </c>
      <c r="M3336" s="67" t="str">
        <f t="shared" si="158"/>
        <v/>
      </c>
      <c r="N3336" s="76" t="str">
        <f t="shared" si="159"/>
        <v/>
      </c>
      <c r="O3336" s="33">
        <f t="shared" si="157"/>
        <v>0</v>
      </c>
    </row>
    <row r="3337" spans="1:15" x14ac:dyDescent="0.25">
      <c r="A3337" s="64" t="s">
        <v>185</v>
      </c>
      <c r="B3337" s="79" t="str">
        <f>IF(Fourteenth!B90="", "",Fourteenth!B90)</f>
        <v/>
      </c>
      <c r="C3337" s="66" t="str">
        <f>IF(Fourteenth!C90="", "",Fourteenth!C90)</f>
        <v/>
      </c>
      <c r="D3337" s="66" t="str">
        <f>IF(Fourteenth!D90="", "",Fourteenth!D90)</f>
        <v/>
      </c>
      <c r="E3337" s="66" t="str">
        <f>IF(Fourteenth!E90="", "",Fourteenth!E90)</f>
        <v/>
      </c>
      <c r="F3337" s="66" t="str">
        <f>IF(Fourteenth!F90="", "",Fourteenth!F90)</f>
        <v/>
      </c>
      <c r="G3337" s="66" t="str">
        <f>IF(Fourteenth!G90="", "",Fourteenth!G90)</f>
        <v/>
      </c>
      <c r="H3337" s="66" t="str">
        <f>IF(Fourteenth!H90="", "",Fourteenth!H90)</f>
        <v/>
      </c>
      <c r="I3337" s="66" t="str">
        <f>IF(Fourteenth!I90="", "",Fourteenth!I90)</f>
        <v/>
      </c>
      <c r="J3337" s="66" t="str">
        <f>IF(Fourteenth!J90="", "",Fourteenth!J90)</f>
        <v/>
      </c>
      <c r="K3337" s="86" t="str">
        <f>IF(Fourteenth!K90="", "",Fourteenth!K90)</f>
        <v/>
      </c>
      <c r="M3337" s="67" t="str">
        <f t="shared" si="158"/>
        <v/>
      </c>
      <c r="N3337" s="76" t="str">
        <f t="shared" si="159"/>
        <v/>
      </c>
      <c r="O3337" s="33">
        <f t="shared" si="157"/>
        <v>0</v>
      </c>
    </row>
    <row r="3338" spans="1:15" x14ac:dyDescent="0.25">
      <c r="A3338" s="64" t="s">
        <v>185</v>
      </c>
      <c r="B3338" s="79" t="str">
        <f>IF(Fourteenth!B91="", "",Fourteenth!B91)</f>
        <v/>
      </c>
      <c r="C3338" s="66" t="str">
        <f>IF(Fourteenth!C91="", "",Fourteenth!C91)</f>
        <v/>
      </c>
      <c r="D3338" s="66" t="str">
        <f>IF(Fourteenth!D91="", "",Fourteenth!D91)</f>
        <v/>
      </c>
      <c r="E3338" s="66" t="str">
        <f>IF(Fourteenth!E91="", "",Fourteenth!E91)</f>
        <v/>
      </c>
      <c r="F3338" s="66" t="str">
        <f>IF(Fourteenth!F91="", "",Fourteenth!F91)</f>
        <v/>
      </c>
      <c r="G3338" s="66" t="str">
        <f>IF(Fourteenth!G91="", "",Fourteenth!G91)</f>
        <v/>
      </c>
      <c r="H3338" s="66" t="str">
        <f>IF(Fourteenth!H91="", "",Fourteenth!H91)</f>
        <v/>
      </c>
      <c r="I3338" s="66" t="str">
        <f>IF(Fourteenth!I91="", "",Fourteenth!I91)</f>
        <v/>
      </c>
      <c r="J3338" s="66" t="str">
        <f>IF(Fourteenth!J91="", "",Fourteenth!J91)</f>
        <v/>
      </c>
      <c r="K3338" s="86" t="str">
        <f>IF(Fourteenth!K91="", "",Fourteenth!K91)</f>
        <v/>
      </c>
      <c r="M3338" s="67" t="str">
        <f t="shared" si="158"/>
        <v/>
      </c>
      <c r="N3338" s="76" t="str">
        <f t="shared" si="159"/>
        <v/>
      </c>
      <c r="O3338" s="33">
        <f t="shared" si="157"/>
        <v>0</v>
      </c>
    </row>
    <row r="3339" spans="1:15" x14ac:dyDescent="0.25">
      <c r="A3339" s="64" t="s">
        <v>185</v>
      </c>
      <c r="B3339" s="79" t="str">
        <f>IF(Fourteenth!B92="", "",Fourteenth!B92)</f>
        <v/>
      </c>
      <c r="C3339" s="66" t="str">
        <f>IF(Fourteenth!C92="", "",Fourteenth!C92)</f>
        <v/>
      </c>
      <c r="D3339" s="66" t="str">
        <f>IF(Fourteenth!D92="", "",Fourteenth!D92)</f>
        <v/>
      </c>
      <c r="E3339" s="66" t="str">
        <f>IF(Fourteenth!E92="", "",Fourteenth!E92)</f>
        <v/>
      </c>
      <c r="F3339" s="66" t="str">
        <f>IF(Fourteenth!F92="", "",Fourteenth!F92)</f>
        <v/>
      </c>
      <c r="G3339" s="66" t="str">
        <f>IF(Fourteenth!G92="", "",Fourteenth!G92)</f>
        <v/>
      </c>
      <c r="H3339" s="66" t="str">
        <f>IF(Fourteenth!H92="", "",Fourteenth!H92)</f>
        <v/>
      </c>
      <c r="I3339" s="66" t="str">
        <f>IF(Fourteenth!I92="", "",Fourteenth!I92)</f>
        <v/>
      </c>
      <c r="J3339" s="66" t="str">
        <f>IF(Fourteenth!J92="", "",Fourteenth!J92)</f>
        <v/>
      </c>
      <c r="K3339" s="86" t="str">
        <f>IF(Fourteenth!K92="", "",Fourteenth!K92)</f>
        <v/>
      </c>
      <c r="M3339" s="67" t="str">
        <f t="shared" si="158"/>
        <v/>
      </c>
      <c r="N3339" s="76" t="str">
        <f t="shared" si="159"/>
        <v/>
      </c>
      <c r="O3339" s="33">
        <f t="shared" si="157"/>
        <v>0</v>
      </c>
    </row>
    <row r="3340" spans="1:15" x14ac:dyDescent="0.25">
      <c r="A3340" s="64" t="s">
        <v>185</v>
      </c>
      <c r="B3340" s="79" t="str">
        <f>IF(Fourteenth!B93="", "",Fourteenth!B93)</f>
        <v/>
      </c>
      <c r="C3340" s="66" t="str">
        <f>IF(Fourteenth!C93="", "",Fourteenth!C93)</f>
        <v/>
      </c>
      <c r="D3340" s="66" t="str">
        <f>IF(Fourteenth!D93="", "",Fourteenth!D93)</f>
        <v/>
      </c>
      <c r="E3340" s="66" t="str">
        <f>IF(Fourteenth!E93="", "",Fourteenth!E93)</f>
        <v/>
      </c>
      <c r="F3340" s="66" t="str">
        <f>IF(Fourteenth!F93="", "",Fourteenth!F93)</f>
        <v/>
      </c>
      <c r="G3340" s="66" t="str">
        <f>IF(Fourteenth!G93="", "",Fourteenth!G93)</f>
        <v/>
      </c>
      <c r="H3340" s="66" t="str">
        <f>IF(Fourteenth!H93="", "",Fourteenth!H93)</f>
        <v/>
      </c>
      <c r="I3340" s="66" t="str">
        <f>IF(Fourteenth!I93="", "",Fourteenth!I93)</f>
        <v/>
      </c>
      <c r="J3340" s="66" t="str">
        <f>IF(Fourteenth!J93="", "",Fourteenth!J93)</f>
        <v/>
      </c>
      <c r="K3340" s="86" t="str">
        <f>IF(Fourteenth!K93="", "",Fourteenth!K93)</f>
        <v/>
      </c>
      <c r="M3340" s="67" t="str">
        <f t="shared" si="158"/>
        <v/>
      </c>
      <c r="N3340" s="76" t="str">
        <f t="shared" si="159"/>
        <v/>
      </c>
      <c r="O3340" s="33">
        <f t="shared" si="157"/>
        <v>0</v>
      </c>
    </row>
    <row r="3341" spans="1:15" x14ac:dyDescent="0.25">
      <c r="A3341" s="64" t="s">
        <v>185</v>
      </c>
      <c r="B3341" s="79" t="str">
        <f>IF(Fourteenth!B94="", "",Fourteenth!B94)</f>
        <v/>
      </c>
      <c r="C3341" s="66" t="str">
        <f>IF(Fourteenth!C94="", "",Fourteenth!C94)</f>
        <v/>
      </c>
      <c r="D3341" s="66" t="str">
        <f>IF(Fourteenth!D94="", "",Fourteenth!D94)</f>
        <v/>
      </c>
      <c r="E3341" s="66" t="str">
        <f>IF(Fourteenth!E94="", "",Fourteenth!E94)</f>
        <v/>
      </c>
      <c r="F3341" s="66" t="str">
        <f>IF(Fourteenth!F94="", "",Fourteenth!F94)</f>
        <v/>
      </c>
      <c r="G3341" s="66" t="str">
        <f>IF(Fourteenth!G94="", "",Fourteenth!G94)</f>
        <v/>
      </c>
      <c r="H3341" s="66" t="str">
        <f>IF(Fourteenth!H94="", "",Fourteenth!H94)</f>
        <v/>
      </c>
      <c r="I3341" s="66" t="str">
        <f>IF(Fourteenth!I94="", "",Fourteenth!I94)</f>
        <v/>
      </c>
      <c r="J3341" s="66" t="str">
        <f>IF(Fourteenth!J94="", "",Fourteenth!J94)</f>
        <v/>
      </c>
      <c r="K3341" s="86" t="str">
        <f>IF(Fourteenth!K94="", "",Fourteenth!K94)</f>
        <v/>
      </c>
      <c r="M3341" s="67" t="str">
        <f t="shared" si="158"/>
        <v/>
      </c>
      <c r="N3341" s="76" t="str">
        <f t="shared" si="159"/>
        <v/>
      </c>
      <c r="O3341" s="33">
        <f t="shared" si="157"/>
        <v>0</v>
      </c>
    </row>
    <row r="3342" spans="1:15" x14ac:dyDescent="0.25">
      <c r="A3342" s="64" t="s">
        <v>185</v>
      </c>
      <c r="B3342" s="79" t="str">
        <f>IF(Fourteenth!B95="", "",Fourteenth!B95)</f>
        <v/>
      </c>
      <c r="C3342" s="66" t="str">
        <f>IF(Fourteenth!C95="", "",Fourteenth!C95)</f>
        <v/>
      </c>
      <c r="D3342" s="66" t="str">
        <f>IF(Fourteenth!D95="", "",Fourteenth!D95)</f>
        <v/>
      </c>
      <c r="E3342" s="66" t="str">
        <f>IF(Fourteenth!E95="", "",Fourteenth!E95)</f>
        <v/>
      </c>
      <c r="F3342" s="66" t="str">
        <f>IF(Fourteenth!F95="", "",Fourteenth!F95)</f>
        <v/>
      </c>
      <c r="G3342" s="66" t="str">
        <f>IF(Fourteenth!G95="", "",Fourteenth!G95)</f>
        <v/>
      </c>
      <c r="H3342" s="66" t="str">
        <f>IF(Fourteenth!H95="", "",Fourteenth!H95)</f>
        <v/>
      </c>
      <c r="I3342" s="66" t="str">
        <f>IF(Fourteenth!I95="", "",Fourteenth!I95)</f>
        <v/>
      </c>
      <c r="J3342" s="66" t="str">
        <f>IF(Fourteenth!J95="", "",Fourteenth!J95)</f>
        <v/>
      </c>
      <c r="K3342" s="86" t="str">
        <f>IF(Fourteenth!K95="", "",Fourteenth!K95)</f>
        <v/>
      </c>
      <c r="M3342" s="67" t="str">
        <f t="shared" si="158"/>
        <v/>
      </c>
      <c r="N3342" s="76" t="str">
        <f t="shared" si="159"/>
        <v/>
      </c>
      <c r="O3342" s="33">
        <f t="shared" si="157"/>
        <v>0</v>
      </c>
    </row>
    <row r="3343" spans="1:15" x14ac:dyDescent="0.25">
      <c r="A3343" s="64" t="s">
        <v>185</v>
      </c>
      <c r="B3343" s="79" t="str">
        <f>IF(Fourteenth!B96="", "",Fourteenth!B96)</f>
        <v/>
      </c>
      <c r="C3343" s="66" t="str">
        <f>IF(Fourteenth!C96="", "",Fourteenth!C96)</f>
        <v/>
      </c>
      <c r="D3343" s="66" t="str">
        <f>IF(Fourteenth!D96="", "",Fourteenth!D96)</f>
        <v/>
      </c>
      <c r="E3343" s="66" t="str">
        <f>IF(Fourteenth!E96="", "",Fourteenth!E96)</f>
        <v/>
      </c>
      <c r="F3343" s="66" t="str">
        <f>IF(Fourteenth!F96="", "",Fourteenth!F96)</f>
        <v/>
      </c>
      <c r="G3343" s="66" t="str">
        <f>IF(Fourteenth!G96="", "",Fourteenth!G96)</f>
        <v/>
      </c>
      <c r="H3343" s="66" t="str">
        <f>IF(Fourteenth!H96="", "",Fourteenth!H96)</f>
        <v/>
      </c>
      <c r="I3343" s="66" t="str">
        <f>IF(Fourteenth!I96="", "",Fourteenth!I96)</f>
        <v/>
      </c>
      <c r="J3343" s="66" t="str">
        <f>IF(Fourteenth!J96="", "",Fourteenth!J96)</f>
        <v/>
      </c>
      <c r="K3343" s="86" t="str">
        <f>IF(Fourteenth!K96="", "",Fourteenth!K96)</f>
        <v/>
      </c>
      <c r="M3343" s="67" t="str">
        <f t="shared" si="158"/>
        <v/>
      </c>
      <c r="N3343" s="76" t="str">
        <f t="shared" si="159"/>
        <v/>
      </c>
      <c r="O3343" s="33">
        <f t="shared" si="157"/>
        <v>0</v>
      </c>
    </row>
    <row r="3344" spans="1:15" x14ac:dyDescent="0.25">
      <c r="A3344" s="64" t="s">
        <v>185</v>
      </c>
      <c r="B3344" s="79" t="str">
        <f>IF(Fourteenth!B97="", "",Fourteenth!B97)</f>
        <v/>
      </c>
      <c r="C3344" s="66" t="str">
        <f>IF(Fourteenth!C97="", "",Fourteenth!C97)</f>
        <v/>
      </c>
      <c r="D3344" s="66" t="str">
        <f>IF(Fourteenth!D97="", "",Fourteenth!D97)</f>
        <v/>
      </c>
      <c r="E3344" s="66" t="str">
        <f>IF(Fourteenth!E97="", "",Fourteenth!E97)</f>
        <v/>
      </c>
      <c r="F3344" s="66" t="str">
        <f>IF(Fourteenth!F97="", "",Fourteenth!F97)</f>
        <v/>
      </c>
      <c r="G3344" s="66" t="str">
        <f>IF(Fourteenth!G97="", "",Fourteenth!G97)</f>
        <v/>
      </c>
      <c r="H3344" s="66" t="str">
        <f>IF(Fourteenth!H97="", "",Fourteenth!H97)</f>
        <v/>
      </c>
      <c r="I3344" s="66" t="str">
        <f>IF(Fourteenth!I97="", "",Fourteenth!I97)</f>
        <v/>
      </c>
      <c r="J3344" s="66" t="str">
        <f>IF(Fourteenth!J97="", "",Fourteenth!J97)</f>
        <v/>
      </c>
      <c r="K3344" s="86" t="str">
        <f>IF(Fourteenth!K97="", "",Fourteenth!K97)</f>
        <v/>
      </c>
      <c r="M3344" s="67" t="str">
        <f t="shared" si="158"/>
        <v/>
      </c>
      <c r="N3344" s="76" t="str">
        <f t="shared" si="159"/>
        <v/>
      </c>
      <c r="O3344" s="33">
        <f t="shared" si="157"/>
        <v>0</v>
      </c>
    </row>
    <row r="3345" spans="1:15" x14ac:dyDescent="0.25">
      <c r="A3345" s="64" t="s">
        <v>185</v>
      </c>
      <c r="B3345" s="79" t="str">
        <f>IF(Fourteenth!B98="", "",Fourteenth!B98)</f>
        <v/>
      </c>
      <c r="C3345" s="66" t="str">
        <f>IF(Fourteenth!C98="", "",Fourteenth!C98)</f>
        <v/>
      </c>
      <c r="D3345" s="66" t="str">
        <f>IF(Fourteenth!D98="", "",Fourteenth!D98)</f>
        <v/>
      </c>
      <c r="E3345" s="66" t="str">
        <f>IF(Fourteenth!E98="", "",Fourteenth!E98)</f>
        <v/>
      </c>
      <c r="F3345" s="66" t="str">
        <f>IF(Fourteenth!F98="", "",Fourteenth!F98)</f>
        <v/>
      </c>
      <c r="G3345" s="66" t="str">
        <f>IF(Fourteenth!G98="", "",Fourteenth!G98)</f>
        <v/>
      </c>
      <c r="H3345" s="66" t="str">
        <f>IF(Fourteenth!H98="", "",Fourteenth!H98)</f>
        <v/>
      </c>
      <c r="I3345" s="66" t="str">
        <f>IF(Fourteenth!I98="", "",Fourteenth!I98)</f>
        <v/>
      </c>
      <c r="J3345" s="66" t="str">
        <f>IF(Fourteenth!J98="", "",Fourteenth!J98)</f>
        <v/>
      </c>
      <c r="K3345" s="86" t="str">
        <f>IF(Fourteenth!K98="", "",Fourteenth!K98)</f>
        <v/>
      </c>
      <c r="M3345" s="67" t="str">
        <f t="shared" si="158"/>
        <v/>
      </c>
      <c r="N3345" s="76" t="str">
        <f t="shared" si="159"/>
        <v/>
      </c>
      <c r="O3345" s="33">
        <f t="shared" si="157"/>
        <v>0</v>
      </c>
    </row>
    <row r="3346" spans="1:15" x14ac:dyDescent="0.25">
      <c r="A3346" s="64" t="s">
        <v>185</v>
      </c>
      <c r="B3346" s="79" t="str">
        <f>IF(Fourteenth!B99="", "",Fourteenth!B99)</f>
        <v/>
      </c>
      <c r="C3346" s="66" t="str">
        <f>IF(Fourteenth!C99="", "",Fourteenth!C99)</f>
        <v/>
      </c>
      <c r="D3346" s="66" t="str">
        <f>IF(Fourteenth!D99="", "",Fourteenth!D99)</f>
        <v/>
      </c>
      <c r="E3346" s="66" t="str">
        <f>IF(Fourteenth!E99="", "",Fourteenth!E99)</f>
        <v/>
      </c>
      <c r="F3346" s="66" t="str">
        <f>IF(Fourteenth!F99="", "",Fourteenth!F99)</f>
        <v/>
      </c>
      <c r="G3346" s="66" t="str">
        <f>IF(Fourteenth!G99="", "",Fourteenth!G99)</f>
        <v/>
      </c>
      <c r="H3346" s="66" t="str">
        <f>IF(Fourteenth!H99="", "",Fourteenth!H99)</f>
        <v/>
      </c>
      <c r="I3346" s="66" t="str">
        <f>IF(Fourteenth!I99="", "",Fourteenth!I99)</f>
        <v/>
      </c>
      <c r="J3346" s="66" t="str">
        <f>IF(Fourteenth!J99="", "",Fourteenth!J99)</f>
        <v/>
      </c>
      <c r="K3346" s="86" t="str">
        <f>IF(Fourteenth!K99="", "",Fourteenth!K99)</f>
        <v/>
      </c>
      <c r="M3346" s="67" t="str">
        <f t="shared" si="158"/>
        <v/>
      </c>
      <c r="N3346" s="76" t="str">
        <f t="shared" si="159"/>
        <v/>
      </c>
      <c r="O3346" s="33">
        <f t="shared" si="157"/>
        <v>0</v>
      </c>
    </row>
    <row r="3347" spans="1:15" x14ac:dyDescent="0.25">
      <c r="A3347" s="64" t="s">
        <v>185</v>
      </c>
      <c r="B3347" s="79" t="str">
        <f>IF(Fourteenth!B100="", "",Fourteenth!B100)</f>
        <v/>
      </c>
      <c r="C3347" s="66" t="str">
        <f>IF(Fourteenth!C100="", "",Fourteenth!C100)</f>
        <v/>
      </c>
      <c r="D3347" s="66" t="str">
        <f>IF(Fourteenth!D100="", "",Fourteenth!D100)</f>
        <v/>
      </c>
      <c r="E3347" s="66" t="str">
        <f>IF(Fourteenth!E100="", "",Fourteenth!E100)</f>
        <v/>
      </c>
      <c r="F3347" s="66" t="str">
        <f>IF(Fourteenth!F100="", "",Fourteenth!F100)</f>
        <v/>
      </c>
      <c r="G3347" s="66" t="str">
        <f>IF(Fourteenth!G100="", "",Fourteenth!G100)</f>
        <v/>
      </c>
      <c r="H3347" s="66" t="str">
        <f>IF(Fourteenth!H100="", "",Fourteenth!H100)</f>
        <v/>
      </c>
      <c r="I3347" s="66" t="str">
        <f>IF(Fourteenth!I100="", "",Fourteenth!I100)</f>
        <v/>
      </c>
      <c r="J3347" s="66" t="str">
        <f>IF(Fourteenth!J100="", "",Fourteenth!J100)</f>
        <v/>
      </c>
      <c r="K3347" s="86" t="str">
        <f>IF(Fourteenth!K100="", "",Fourteenth!K100)</f>
        <v/>
      </c>
      <c r="M3347" s="67" t="str">
        <f t="shared" si="158"/>
        <v/>
      </c>
      <c r="N3347" s="76" t="str">
        <f t="shared" si="159"/>
        <v/>
      </c>
      <c r="O3347" s="33">
        <f t="shared" si="157"/>
        <v>0</v>
      </c>
    </row>
    <row r="3348" spans="1:15" x14ac:dyDescent="0.25">
      <c r="A3348" s="64" t="s">
        <v>185</v>
      </c>
      <c r="B3348" s="79" t="str">
        <f>IF(Fourteenth!B101="", "",Fourteenth!B101)</f>
        <v/>
      </c>
      <c r="C3348" s="66" t="str">
        <f>IF(Fourteenth!C101="", "",Fourteenth!C101)</f>
        <v/>
      </c>
      <c r="D3348" s="66" t="str">
        <f>IF(Fourteenth!D101="", "",Fourteenth!D101)</f>
        <v/>
      </c>
      <c r="E3348" s="66" t="str">
        <f>IF(Fourteenth!E101="", "",Fourteenth!E101)</f>
        <v/>
      </c>
      <c r="F3348" s="66" t="str">
        <f>IF(Fourteenth!F101="", "",Fourteenth!F101)</f>
        <v/>
      </c>
      <c r="G3348" s="66" t="str">
        <f>IF(Fourteenth!G101="", "",Fourteenth!G101)</f>
        <v/>
      </c>
      <c r="H3348" s="66" t="str">
        <f>IF(Fourteenth!H101="", "",Fourteenth!H101)</f>
        <v/>
      </c>
      <c r="I3348" s="66" t="str">
        <f>IF(Fourteenth!I101="", "",Fourteenth!I101)</f>
        <v/>
      </c>
      <c r="J3348" s="66" t="str">
        <f>IF(Fourteenth!J101="", "",Fourteenth!J101)</f>
        <v/>
      </c>
      <c r="K3348" s="86" t="str">
        <f>IF(Fourteenth!K101="", "",Fourteenth!K101)</f>
        <v/>
      </c>
      <c r="M3348" s="67" t="str">
        <f t="shared" si="158"/>
        <v/>
      </c>
      <c r="N3348" s="76" t="str">
        <f t="shared" si="159"/>
        <v/>
      </c>
      <c r="O3348" s="33">
        <f t="shared" si="157"/>
        <v>0</v>
      </c>
    </row>
    <row r="3349" spans="1:15" x14ac:dyDescent="0.25">
      <c r="A3349" s="64" t="s">
        <v>185</v>
      </c>
      <c r="B3349" s="79" t="str">
        <f>IF(Fourteenth!B102="", "",Fourteenth!B102)</f>
        <v/>
      </c>
      <c r="C3349" s="66" t="str">
        <f>IF(Fourteenth!C102="", "",Fourteenth!C102)</f>
        <v/>
      </c>
      <c r="D3349" s="66" t="str">
        <f>IF(Fourteenth!D102="", "",Fourteenth!D102)</f>
        <v/>
      </c>
      <c r="E3349" s="66" t="str">
        <f>IF(Fourteenth!E102="", "",Fourteenth!E102)</f>
        <v/>
      </c>
      <c r="F3349" s="66" t="str">
        <f>IF(Fourteenth!F102="", "",Fourteenth!F102)</f>
        <v/>
      </c>
      <c r="G3349" s="66" t="str">
        <f>IF(Fourteenth!G102="", "",Fourteenth!G102)</f>
        <v/>
      </c>
      <c r="H3349" s="66" t="str">
        <f>IF(Fourteenth!H102="", "",Fourteenth!H102)</f>
        <v/>
      </c>
      <c r="I3349" s="66" t="str">
        <f>IF(Fourteenth!I102="", "",Fourteenth!I102)</f>
        <v/>
      </c>
      <c r="J3349" s="66" t="str">
        <f>IF(Fourteenth!J102="", "",Fourteenth!J102)</f>
        <v/>
      </c>
      <c r="K3349" s="86" t="str">
        <f>IF(Fourteenth!K102="", "",Fourteenth!K102)</f>
        <v/>
      </c>
      <c r="M3349" s="67" t="str">
        <f t="shared" si="158"/>
        <v/>
      </c>
      <c r="N3349" s="76" t="str">
        <f t="shared" si="159"/>
        <v/>
      </c>
      <c r="O3349" s="33">
        <f t="shared" si="157"/>
        <v>0</v>
      </c>
    </row>
    <row r="3350" spans="1:15" x14ac:dyDescent="0.25">
      <c r="A3350" s="64" t="s">
        <v>185</v>
      </c>
      <c r="B3350" s="79" t="str">
        <f>IF(Fourteenth!B103="", "",Fourteenth!B103)</f>
        <v/>
      </c>
      <c r="C3350" s="66" t="str">
        <f>IF(Fourteenth!C103="", "",Fourteenth!C103)</f>
        <v/>
      </c>
      <c r="D3350" s="66" t="str">
        <f>IF(Fourteenth!D103="", "",Fourteenth!D103)</f>
        <v/>
      </c>
      <c r="E3350" s="66" t="str">
        <f>IF(Fourteenth!E103="", "",Fourteenth!E103)</f>
        <v/>
      </c>
      <c r="F3350" s="66" t="str">
        <f>IF(Fourteenth!F103="", "",Fourteenth!F103)</f>
        <v/>
      </c>
      <c r="G3350" s="66" t="str">
        <f>IF(Fourteenth!G103="", "",Fourteenth!G103)</f>
        <v/>
      </c>
      <c r="H3350" s="66" t="str">
        <f>IF(Fourteenth!H103="", "",Fourteenth!H103)</f>
        <v/>
      </c>
      <c r="I3350" s="66" t="str">
        <f>IF(Fourteenth!I103="", "",Fourteenth!I103)</f>
        <v/>
      </c>
      <c r="J3350" s="66" t="str">
        <f>IF(Fourteenth!J103="", "",Fourteenth!J103)</f>
        <v/>
      </c>
      <c r="K3350" s="86" t="str">
        <f>IF(Fourteenth!K103="", "",Fourteenth!K103)</f>
        <v/>
      </c>
      <c r="M3350" s="67" t="str">
        <f t="shared" si="158"/>
        <v/>
      </c>
      <c r="N3350" s="76" t="str">
        <f t="shared" si="159"/>
        <v/>
      </c>
      <c r="O3350" s="33">
        <f t="shared" si="157"/>
        <v>0</v>
      </c>
    </row>
    <row r="3351" spans="1:15" x14ac:dyDescent="0.25">
      <c r="A3351" s="64" t="s">
        <v>185</v>
      </c>
      <c r="B3351" s="79" t="str">
        <f>IF(Fourteenth!B104="", "",Fourteenth!B104)</f>
        <v/>
      </c>
      <c r="C3351" s="66" t="str">
        <f>IF(Fourteenth!C104="", "",Fourteenth!C104)</f>
        <v/>
      </c>
      <c r="D3351" s="66" t="str">
        <f>IF(Fourteenth!D104="", "",Fourteenth!D104)</f>
        <v/>
      </c>
      <c r="E3351" s="66" t="str">
        <f>IF(Fourteenth!E104="", "",Fourteenth!E104)</f>
        <v/>
      </c>
      <c r="F3351" s="66" t="str">
        <f>IF(Fourteenth!F104="", "",Fourteenth!F104)</f>
        <v/>
      </c>
      <c r="G3351" s="66" t="str">
        <f>IF(Fourteenth!G104="", "",Fourteenth!G104)</f>
        <v/>
      </c>
      <c r="H3351" s="66" t="str">
        <f>IF(Fourteenth!H104="", "",Fourteenth!H104)</f>
        <v/>
      </c>
      <c r="I3351" s="66" t="str">
        <f>IF(Fourteenth!I104="", "",Fourteenth!I104)</f>
        <v/>
      </c>
      <c r="J3351" s="66" t="str">
        <f>IF(Fourteenth!J104="", "",Fourteenth!J104)</f>
        <v/>
      </c>
      <c r="K3351" s="86" t="str">
        <f>IF(Fourteenth!K104="", "",Fourteenth!K104)</f>
        <v/>
      </c>
      <c r="M3351" s="67" t="str">
        <f t="shared" si="158"/>
        <v/>
      </c>
      <c r="N3351" s="76" t="str">
        <f t="shared" si="159"/>
        <v/>
      </c>
      <c r="O3351" s="33">
        <f t="shared" si="157"/>
        <v>0</v>
      </c>
    </row>
    <row r="3352" spans="1:15" x14ac:dyDescent="0.25">
      <c r="A3352" s="64" t="s">
        <v>185</v>
      </c>
      <c r="B3352" s="79" t="str">
        <f>IF(Fourteenth!B105="", "",Fourteenth!B105)</f>
        <v/>
      </c>
      <c r="C3352" s="66" t="str">
        <f>IF(Fourteenth!C105="", "",Fourteenth!C105)</f>
        <v/>
      </c>
      <c r="D3352" s="66" t="str">
        <f>IF(Fourteenth!D105="", "",Fourteenth!D105)</f>
        <v/>
      </c>
      <c r="E3352" s="66" t="str">
        <f>IF(Fourteenth!E105="", "",Fourteenth!E105)</f>
        <v/>
      </c>
      <c r="F3352" s="66" t="str">
        <f>IF(Fourteenth!F105="", "",Fourteenth!F105)</f>
        <v/>
      </c>
      <c r="G3352" s="66" t="str">
        <f>IF(Fourteenth!G105="", "",Fourteenth!G105)</f>
        <v/>
      </c>
      <c r="H3352" s="66" t="str">
        <f>IF(Fourteenth!H105="", "",Fourteenth!H105)</f>
        <v/>
      </c>
      <c r="I3352" s="66" t="str">
        <f>IF(Fourteenth!I105="", "",Fourteenth!I105)</f>
        <v/>
      </c>
      <c r="J3352" s="66" t="str">
        <f>IF(Fourteenth!J105="", "",Fourteenth!J105)</f>
        <v/>
      </c>
      <c r="K3352" s="86" t="str">
        <f>IF(Fourteenth!K105="", "",Fourteenth!K105)</f>
        <v/>
      </c>
      <c r="M3352" s="67" t="str">
        <f t="shared" si="158"/>
        <v/>
      </c>
      <c r="N3352" s="76" t="str">
        <f t="shared" si="159"/>
        <v/>
      </c>
      <c r="O3352" s="33">
        <f t="shared" si="157"/>
        <v>0</v>
      </c>
    </row>
    <row r="3353" spans="1:15" x14ac:dyDescent="0.25">
      <c r="A3353" s="64" t="s">
        <v>185</v>
      </c>
      <c r="B3353" s="79" t="str">
        <f>IF(Fourteenth!B106="", "",Fourteenth!B106)</f>
        <v/>
      </c>
      <c r="C3353" s="66" t="str">
        <f>IF(Fourteenth!C106="", "",Fourteenth!C106)</f>
        <v/>
      </c>
      <c r="D3353" s="66" t="str">
        <f>IF(Fourteenth!D106="", "",Fourteenth!D106)</f>
        <v/>
      </c>
      <c r="E3353" s="66" t="str">
        <f>IF(Fourteenth!E106="", "",Fourteenth!E106)</f>
        <v/>
      </c>
      <c r="F3353" s="66" t="str">
        <f>IF(Fourteenth!F106="", "",Fourteenth!F106)</f>
        <v/>
      </c>
      <c r="G3353" s="66" t="str">
        <f>IF(Fourteenth!G106="", "",Fourteenth!G106)</f>
        <v/>
      </c>
      <c r="H3353" s="66" t="str">
        <f>IF(Fourteenth!H106="", "",Fourteenth!H106)</f>
        <v/>
      </c>
      <c r="I3353" s="66" t="str">
        <f>IF(Fourteenth!I106="", "",Fourteenth!I106)</f>
        <v/>
      </c>
      <c r="J3353" s="66" t="str">
        <f>IF(Fourteenth!J106="", "",Fourteenth!J106)</f>
        <v/>
      </c>
      <c r="K3353" s="86" t="str">
        <f>IF(Fourteenth!K106="", "",Fourteenth!K106)</f>
        <v/>
      </c>
      <c r="M3353" s="67" t="str">
        <f t="shared" si="158"/>
        <v/>
      </c>
      <c r="N3353" s="76" t="str">
        <f t="shared" si="159"/>
        <v/>
      </c>
      <c r="O3353" s="33">
        <f t="shared" si="157"/>
        <v>0</v>
      </c>
    </row>
    <row r="3354" spans="1:15" x14ac:dyDescent="0.25">
      <c r="A3354" s="64" t="s">
        <v>185</v>
      </c>
      <c r="B3354" s="79" t="str">
        <f>IF(Fourteenth!B107="", "",Fourteenth!B107)</f>
        <v/>
      </c>
      <c r="C3354" s="66" t="str">
        <f>IF(Fourteenth!C107="", "",Fourteenth!C107)</f>
        <v/>
      </c>
      <c r="D3354" s="66" t="str">
        <f>IF(Fourteenth!D107="", "",Fourteenth!D107)</f>
        <v/>
      </c>
      <c r="E3354" s="66" t="str">
        <f>IF(Fourteenth!E107="", "",Fourteenth!E107)</f>
        <v/>
      </c>
      <c r="F3354" s="66" t="str">
        <f>IF(Fourteenth!F107="", "",Fourteenth!F107)</f>
        <v/>
      </c>
      <c r="G3354" s="66" t="str">
        <f>IF(Fourteenth!G107="", "",Fourteenth!G107)</f>
        <v/>
      </c>
      <c r="H3354" s="66" t="str">
        <f>IF(Fourteenth!H107="", "",Fourteenth!H107)</f>
        <v/>
      </c>
      <c r="I3354" s="66" t="str">
        <f>IF(Fourteenth!I107="", "",Fourteenth!I107)</f>
        <v/>
      </c>
      <c r="J3354" s="66" t="str">
        <f>IF(Fourteenth!J107="", "",Fourteenth!J107)</f>
        <v/>
      </c>
      <c r="K3354" s="86" t="str">
        <f>IF(Fourteenth!K107="", "",Fourteenth!K107)</f>
        <v/>
      </c>
      <c r="M3354" s="67" t="str">
        <f t="shared" si="158"/>
        <v/>
      </c>
      <c r="N3354" s="76" t="str">
        <f t="shared" si="159"/>
        <v/>
      </c>
      <c r="O3354" s="33">
        <f t="shared" si="157"/>
        <v>0</v>
      </c>
    </row>
    <row r="3355" spans="1:15" x14ac:dyDescent="0.25">
      <c r="A3355" s="64" t="s">
        <v>185</v>
      </c>
      <c r="B3355" s="79" t="str">
        <f>IF(Fourteenth!B108="", "",Fourteenth!B108)</f>
        <v/>
      </c>
      <c r="C3355" s="66" t="str">
        <f>IF(Fourteenth!C108="", "",Fourteenth!C108)</f>
        <v/>
      </c>
      <c r="D3355" s="66" t="str">
        <f>IF(Fourteenth!D108="", "",Fourteenth!D108)</f>
        <v/>
      </c>
      <c r="E3355" s="66" t="str">
        <f>IF(Fourteenth!E108="", "",Fourteenth!E108)</f>
        <v/>
      </c>
      <c r="F3355" s="66" t="str">
        <f>IF(Fourteenth!F108="", "",Fourteenth!F108)</f>
        <v/>
      </c>
      <c r="G3355" s="66" t="str">
        <f>IF(Fourteenth!G108="", "",Fourteenth!G108)</f>
        <v/>
      </c>
      <c r="H3355" s="66" t="str">
        <f>IF(Fourteenth!H108="", "",Fourteenth!H108)</f>
        <v/>
      </c>
      <c r="I3355" s="66" t="str">
        <f>IF(Fourteenth!I108="", "",Fourteenth!I108)</f>
        <v/>
      </c>
      <c r="J3355" s="66" t="str">
        <f>IF(Fourteenth!J108="", "",Fourteenth!J108)</f>
        <v/>
      </c>
      <c r="K3355" s="86" t="str">
        <f>IF(Fourteenth!K108="", "",Fourteenth!K108)</f>
        <v/>
      </c>
      <c r="M3355" s="67" t="str">
        <f t="shared" si="158"/>
        <v/>
      </c>
      <c r="N3355" s="76" t="str">
        <f t="shared" si="159"/>
        <v/>
      </c>
      <c r="O3355" s="33">
        <f t="shared" si="157"/>
        <v>0</v>
      </c>
    </row>
    <row r="3356" spans="1:15" x14ac:dyDescent="0.25">
      <c r="A3356" s="64" t="s">
        <v>185</v>
      </c>
      <c r="B3356" s="79" t="str">
        <f>IF(Fourteenth!B109="", "",Fourteenth!B109)</f>
        <v/>
      </c>
      <c r="C3356" s="66" t="str">
        <f>IF(Fourteenth!C109="", "",Fourteenth!C109)</f>
        <v/>
      </c>
      <c r="D3356" s="66" t="str">
        <f>IF(Fourteenth!D109="", "",Fourteenth!D109)</f>
        <v/>
      </c>
      <c r="E3356" s="66" t="str">
        <f>IF(Fourteenth!E109="", "",Fourteenth!E109)</f>
        <v/>
      </c>
      <c r="F3356" s="66" t="str">
        <f>IF(Fourteenth!F109="", "",Fourteenth!F109)</f>
        <v/>
      </c>
      <c r="G3356" s="66" t="str">
        <f>IF(Fourteenth!G109="", "",Fourteenth!G109)</f>
        <v/>
      </c>
      <c r="H3356" s="66" t="str">
        <f>IF(Fourteenth!H109="", "",Fourteenth!H109)</f>
        <v/>
      </c>
      <c r="I3356" s="66" t="str">
        <f>IF(Fourteenth!I109="", "",Fourteenth!I109)</f>
        <v/>
      </c>
      <c r="J3356" s="66" t="str">
        <f>IF(Fourteenth!J109="", "",Fourteenth!J109)</f>
        <v/>
      </c>
      <c r="K3356" s="86" t="str">
        <f>IF(Fourteenth!K109="", "",Fourteenth!K109)</f>
        <v/>
      </c>
      <c r="M3356" s="67" t="str">
        <f t="shared" si="158"/>
        <v/>
      </c>
      <c r="N3356" s="76" t="str">
        <f t="shared" si="159"/>
        <v/>
      </c>
      <c r="O3356" s="33">
        <f t="shared" si="157"/>
        <v>0</v>
      </c>
    </row>
    <row r="3357" spans="1:15" x14ac:dyDescent="0.25">
      <c r="A3357" s="64" t="s">
        <v>185</v>
      </c>
      <c r="B3357" s="79" t="str">
        <f>IF(Fourteenth!B110="", "",Fourteenth!B110)</f>
        <v/>
      </c>
      <c r="C3357" s="66" t="str">
        <f>IF(Fourteenth!C110="", "",Fourteenth!C110)</f>
        <v/>
      </c>
      <c r="D3357" s="66" t="str">
        <f>IF(Fourteenth!D110="", "",Fourteenth!D110)</f>
        <v/>
      </c>
      <c r="E3357" s="66" t="str">
        <f>IF(Fourteenth!E110="", "",Fourteenth!E110)</f>
        <v/>
      </c>
      <c r="F3357" s="66" t="str">
        <f>IF(Fourteenth!F110="", "",Fourteenth!F110)</f>
        <v/>
      </c>
      <c r="G3357" s="66" t="str">
        <f>IF(Fourteenth!G110="", "",Fourteenth!G110)</f>
        <v/>
      </c>
      <c r="H3357" s="66" t="str">
        <f>IF(Fourteenth!H110="", "",Fourteenth!H110)</f>
        <v/>
      </c>
      <c r="I3357" s="66" t="str">
        <f>IF(Fourteenth!I110="", "",Fourteenth!I110)</f>
        <v/>
      </c>
      <c r="J3357" s="66" t="str">
        <f>IF(Fourteenth!J110="", "",Fourteenth!J110)</f>
        <v/>
      </c>
      <c r="K3357" s="86" t="str">
        <f>IF(Fourteenth!K110="", "",Fourteenth!K110)</f>
        <v/>
      </c>
      <c r="M3357" s="67" t="str">
        <f t="shared" si="158"/>
        <v/>
      </c>
      <c r="N3357" s="76" t="str">
        <f t="shared" si="159"/>
        <v/>
      </c>
      <c r="O3357" s="33">
        <f t="shared" si="157"/>
        <v>0</v>
      </c>
    </row>
    <row r="3358" spans="1:15" x14ac:dyDescent="0.25">
      <c r="A3358" s="64" t="s">
        <v>185</v>
      </c>
      <c r="B3358" s="79" t="str">
        <f>IF(Fourteenth!B111="", "",Fourteenth!B111)</f>
        <v/>
      </c>
      <c r="C3358" s="66" t="str">
        <f>IF(Fourteenth!C111="", "",Fourteenth!C111)</f>
        <v/>
      </c>
      <c r="D3358" s="66" t="str">
        <f>IF(Fourteenth!D111="", "",Fourteenth!D111)</f>
        <v/>
      </c>
      <c r="E3358" s="66" t="str">
        <f>IF(Fourteenth!E111="", "",Fourteenth!E111)</f>
        <v/>
      </c>
      <c r="F3358" s="66" t="str">
        <f>IF(Fourteenth!F111="", "",Fourteenth!F111)</f>
        <v/>
      </c>
      <c r="G3358" s="66" t="str">
        <f>IF(Fourteenth!G111="", "",Fourteenth!G111)</f>
        <v/>
      </c>
      <c r="H3358" s="66" t="str">
        <f>IF(Fourteenth!H111="", "",Fourteenth!H111)</f>
        <v/>
      </c>
      <c r="I3358" s="66" t="str">
        <f>IF(Fourteenth!I111="", "",Fourteenth!I111)</f>
        <v/>
      </c>
      <c r="J3358" s="66" t="str">
        <f>IF(Fourteenth!J111="", "",Fourteenth!J111)</f>
        <v/>
      </c>
      <c r="K3358" s="86" t="str">
        <f>IF(Fourteenth!K111="", "",Fourteenth!K111)</f>
        <v/>
      </c>
      <c r="M3358" s="67" t="str">
        <f t="shared" si="158"/>
        <v/>
      </c>
      <c r="N3358" s="76" t="str">
        <f t="shared" si="159"/>
        <v/>
      </c>
      <c r="O3358" s="33">
        <f t="shared" si="157"/>
        <v>0</v>
      </c>
    </row>
    <row r="3359" spans="1:15" x14ac:dyDescent="0.25">
      <c r="A3359" s="64" t="s">
        <v>185</v>
      </c>
      <c r="B3359" s="79" t="str">
        <f>IF(Fourteenth!B112="", "",Fourteenth!B112)</f>
        <v/>
      </c>
      <c r="C3359" s="66" t="str">
        <f>IF(Fourteenth!C112="", "",Fourteenth!C112)</f>
        <v/>
      </c>
      <c r="D3359" s="66" t="str">
        <f>IF(Fourteenth!D112="", "",Fourteenth!D112)</f>
        <v/>
      </c>
      <c r="E3359" s="66" t="str">
        <f>IF(Fourteenth!E112="", "",Fourteenth!E112)</f>
        <v/>
      </c>
      <c r="F3359" s="66" t="str">
        <f>IF(Fourteenth!F112="", "",Fourteenth!F112)</f>
        <v/>
      </c>
      <c r="G3359" s="66" t="str">
        <f>IF(Fourteenth!G112="", "",Fourteenth!G112)</f>
        <v/>
      </c>
      <c r="H3359" s="66" t="str">
        <f>IF(Fourteenth!H112="", "",Fourteenth!H112)</f>
        <v/>
      </c>
      <c r="I3359" s="66" t="str">
        <f>IF(Fourteenth!I112="", "",Fourteenth!I112)</f>
        <v/>
      </c>
      <c r="J3359" s="66" t="str">
        <f>IF(Fourteenth!J112="", "",Fourteenth!J112)</f>
        <v/>
      </c>
      <c r="K3359" s="86" t="str">
        <f>IF(Fourteenth!K112="", "",Fourteenth!K112)</f>
        <v/>
      </c>
      <c r="M3359" s="67" t="str">
        <f t="shared" si="158"/>
        <v/>
      </c>
      <c r="N3359" s="76" t="str">
        <f t="shared" si="159"/>
        <v/>
      </c>
      <c r="O3359" s="33">
        <f t="shared" si="157"/>
        <v>0</v>
      </c>
    </row>
    <row r="3360" spans="1:15" x14ac:dyDescent="0.25">
      <c r="A3360" s="64" t="s">
        <v>185</v>
      </c>
      <c r="B3360" s="79" t="str">
        <f>IF(Fourteenth!B113="", "",Fourteenth!B113)</f>
        <v/>
      </c>
      <c r="C3360" s="66" t="str">
        <f>IF(Fourteenth!C113="", "",Fourteenth!C113)</f>
        <v/>
      </c>
      <c r="D3360" s="66" t="str">
        <f>IF(Fourteenth!D113="", "",Fourteenth!D113)</f>
        <v/>
      </c>
      <c r="E3360" s="66" t="str">
        <f>IF(Fourteenth!E113="", "",Fourteenth!E113)</f>
        <v/>
      </c>
      <c r="F3360" s="66" t="str">
        <f>IF(Fourteenth!F113="", "",Fourteenth!F113)</f>
        <v/>
      </c>
      <c r="G3360" s="66" t="str">
        <f>IF(Fourteenth!G113="", "",Fourteenth!G113)</f>
        <v/>
      </c>
      <c r="H3360" s="66" t="str">
        <f>IF(Fourteenth!H113="", "",Fourteenth!H113)</f>
        <v/>
      </c>
      <c r="I3360" s="66" t="str">
        <f>IF(Fourteenth!I113="", "",Fourteenth!I113)</f>
        <v/>
      </c>
      <c r="J3360" s="66" t="str">
        <f>IF(Fourteenth!J113="", "",Fourteenth!J113)</f>
        <v/>
      </c>
      <c r="K3360" s="86" t="str">
        <f>IF(Fourteenth!K113="", "",Fourteenth!K113)</f>
        <v/>
      </c>
      <c r="M3360" s="67" t="str">
        <f t="shared" si="158"/>
        <v/>
      </c>
      <c r="N3360" s="76" t="str">
        <f t="shared" si="159"/>
        <v/>
      </c>
      <c r="O3360" s="33">
        <f t="shared" si="157"/>
        <v>0</v>
      </c>
    </row>
    <row r="3361" spans="1:15" x14ac:dyDescent="0.25">
      <c r="A3361" s="64" t="s">
        <v>185</v>
      </c>
      <c r="B3361" s="79" t="str">
        <f>IF(Fourteenth!B114="", "",Fourteenth!B114)</f>
        <v/>
      </c>
      <c r="C3361" s="66" t="str">
        <f>IF(Fourteenth!C114="", "",Fourteenth!C114)</f>
        <v/>
      </c>
      <c r="D3361" s="66" t="str">
        <f>IF(Fourteenth!D114="", "",Fourteenth!D114)</f>
        <v/>
      </c>
      <c r="E3361" s="66" t="str">
        <f>IF(Fourteenth!E114="", "",Fourteenth!E114)</f>
        <v/>
      </c>
      <c r="F3361" s="66" t="str">
        <f>IF(Fourteenth!F114="", "",Fourteenth!F114)</f>
        <v/>
      </c>
      <c r="G3361" s="66" t="str">
        <f>IF(Fourteenth!G114="", "",Fourteenth!G114)</f>
        <v/>
      </c>
      <c r="H3361" s="66" t="str">
        <f>IF(Fourteenth!H114="", "",Fourteenth!H114)</f>
        <v/>
      </c>
      <c r="I3361" s="66" t="str">
        <f>IF(Fourteenth!I114="", "",Fourteenth!I114)</f>
        <v/>
      </c>
      <c r="J3361" s="66" t="str">
        <f>IF(Fourteenth!J114="", "",Fourteenth!J114)</f>
        <v/>
      </c>
      <c r="K3361" s="86" t="str">
        <f>IF(Fourteenth!K114="", "",Fourteenth!K114)</f>
        <v/>
      </c>
      <c r="M3361" s="67" t="str">
        <f t="shared" si="158"/>
        <v/>
      </c>
      <c r="N3361" s="76" t="str">
        <f t="shared" si="159"/>
        <v/>
      </c>
      <c r="O3361" s="33">
        <f t="shared" si="157"/>
        <v>0</v>
      </c>
    </row>
    <row r="3362" spans="1:15" x14ac:dyDescent="0.25">
      <c r="A3362" s="64" t="s">
        <v>185</v>
      </c>
      <c r="B3362" s="79" t="str">
        <f>IF(Fourteenth!B115="", "",Fourteenth!B115)</f>
        <v/>
      </c>
      <c r="C3362" s="66" t="str">
        <f>IF(Fourteenth!C115="", "",Fourteenth!C115)</f>
        <v/>
      </c>
      <c r="D3362" s="66" t="str">
        <f>IF(Fourteenth!D115="", "",Fourteenth!D115)</f>
        <v/>
      </c>
      <c r="E3362" s="66" t="str">
        <f>IF(Fourteenth!E115="", "",Fourteenth!E115)</f>
        <v/>
      </c>
      <c r="F3362" s="66" t="str">
        <f>IF(Fourteenth!F115="", "",Fourteenth!F115)</f>
        <v/>
      </c>
      <c r="G3362" s="66" t="str">
        <f>IF(Fourteenth!G115="", "",Fourteenth!G115)</f>
        <v/>
      </c>
      <c r="H3362" s="66" t="str">
        <f>IF(Fourteenth!H115="", "",Fourteenth!H115)</f>
        <v/>
      </c>
      <c r="I3362" s="66" t="str">
        <f>IF(Fourteenth!I115="", "",Fourteenth!I115)</f>
        <v/>
      </c>
      <c r="J3362" s="66" t="str">
        <f>IF(Fourteenth!J115="", "",Fourteenth!J115)</f>
        <v/>
      </c>
      <c r="K3362" s="86" t="str">
        <f>IF(Fourteenth!K115="", "",Fourteenth!K115)</f>
        <v/>
      </c>
      <c r="M3362" s="67" t="str">
        <f t="shared" si="158"/>
        <v/>
      </c>
      <c r="N3362" s="76" t="str">
        <f t="shared" si="159"/>
        <v/>
      </c>
      <c r="O3362" s="33">
        <f t="shared" si="157"/>
        <v>0</v>
      </c>
    </row>
    <row r="3363" spans="1:15" x14ac:dyDescent="0.25">
      <c r="A3363" s="64" t="s">
        <v>185</v>
      </c>
      <c r="B3363" s="79" t="str">
        <f>IF(Fourteenth!B116="", "",Fourteenth!B116)</f>
        <v/>
      </c>
      <c r="C3363" s="66" t="str">
        <f>IF(Fourteenth!C116="", "",Fourteenth!C116)</f>
        <v/>
      </c>
      <c r="D3363" s="66" t="str">
        <f>IF(Fourteenth!D116="", "",Fourteenth!D116)</f>
        <v/>
      </c>
      <c r="E3363" s="66" t="str">
        <f>IF(Fourteenth!E116="", "",Fourteenth!E116)</f>
        <v/>
      </c>
      <c r="F3363" s="66" t="str">
        <f>IF(Fourteenth!F116="", "",Fourteenth!F116)</f>
        <v/>
      </c>
      <c r="G3363" s="66" t="str">
        <f>IF(Fourteenth!G116="", "",Fourteenth!G116)</f>
        <v/>
      </c>
      <c r="H3363" s="66" t="str">
        <f>IF(Fourteenth!H116="", "",Fourteenth!H116)</f>
        <v/>
      </c>
      <c r="I3363" s="66" t="str">
        <f>IF(Fourteenth!I116="", "",Fourteenth!I116)</f>
        <v/>
      </c>
      <c r="J3363" s="66" t="str">
        <f>IF(Fourteenth!J116="", "",Fourteenth!J116)</f>
        <v/>
      </c>
      <c r="K3363" s="86" t="str">
        <f>IF(Fourteenth!K116="", "",Fourteenth!K116)</f>
        <v/>
      </c>
      <c r="M3363" s="67" t="str">
        <f t="shared" si="158"/>
        <v/>
      </c>
      <c r="N3363" s="76" t="str">
        <f t="shared" si="159"/>
        <v/>
      </c>
      <c r="O3363" s="33">
        <f t="shared" si="157"/>
        <v>0</v>
      </c>
    </row>
    <row r="3364" spans="1:15" x14ac:dyDescent="0.25">
      <c r="A3364" s="64" t="s">
        <v>185</v>
      </c>
      <c r="B3364" s="79" t="str">
        <f>IF(Fourteenth!B117="", "",Fourteenth!B117)</f>
        <v/>
      </c>
      <c r="C3364" s="66" t="str">
        <f>IF(Fourteenth!C117="", "",Fourteenth!C117)</f>
        <v/>
      </c>
      <c r="D3364" s="66" t="str">
        <f>IF(Fourteenth!D117="", "",Fourteenth!D117)</f>
        <v/>
      </c>
      <c r="E3364" s="66" t="str">
        <f>IF(Fourteenth!E117="", "",Fourteenth!E117)</f>
        <v/>
      </c>
      <c r="F3364" s="66" t="str">
        <f>IF(Fourteenth!F117="", "",Fourteenth!F117)</f>
        <v/>
      </c>
      <c r="G3364" s="66" t="str">
        <f>IF(Fourteenth!G117="", "",Fourteenth!G117)</f>
        <v/>
      </c>
      <c r="H3364" s="66" t="str">
        <f>IF(Fourteenth!H117="", "",Fourteenth!H117)</f>
        <v/>
      </c>
      <c r="I3364" s="66" t="str">
        <f>IF(Fourteenth!I117="", "",Fourteenth!I117)</f>
        <v/>
      </c>
      <c r="J3364" s="66" t="str">
        <f>IF(Fourteenth!J117="", "",Fourteenth!J117)</f>
        <v/>
      </c>
      <c r="K3364" s="86" t="str">
        <f>IF(Fourteenth!K117="", "",Fourteenth!K117)</f>
        <v/>
      </c>
      <c r="M3364" s="67" t="str">
        <f t="shared" si="158"/>
        <v/>
      </c>
      <c r="N3364" s="76" t="str">
        <f t="shared" si="159"/>
        <v/>
      </c>
      <c r="O3364" s="33">
        <f t="shared" si="157"/>
        <v>0</v>
      </c>
    </row>
    <row r="3365" spans="1:15" x14ac:dyDescent="0.25">
      <c r="A3365" s="64" t="s">
        <v>185</v>
      </c>
      <c r="B3365" s="79" t="str">
        <f>IF(Fourteenth!B118="", "",Fourteenth!B118)</f>
        <v/>
      </c>
      <c r="C3365" s="66" t="str">
        <f>IF(Fourteenth!C118="", "",Fourteenth!C118)</f>
        <v/>
      </c>
      <c r="D3365" s="66" t="str">
        <f>IF(Fourteenth!D118="", "",Fourteenth!D118)</f>
        <v/>
      </c>
      <c r="E3365" s="66" t="str">
        <f>IF(Fourteenth!E118="", "",Fourteenth!E118)</f>
        <v/>
      </c>
      <c r="F3365" s="66" t="str">
        <f>IF(Fourteenth!F118="", "",Fourteenth!F118)</f>
        <v/>
      </c>
      <c r="G3365" s="66" t="str">
        <f>IF(Fourteenth!G118="", "",Fourteenth!G118)</f>
        <v/>
      </c>
      <c r="H3365" s="66" t="str">
        <f>IF(Fourteenth!H118="", "",Fourteenth!H118)</f>
        <v/>
      </c>
      <c r="I3365" s="66" t="str">
        <f>IF(Fourteenth!I118="", "",Fourteenth!I118)</f>
        <v/>
      </c>
      <c r="J3365" s="66" t="str">
        <f>IF(Fourteenth!J118="", "",Fourteenth!J118)</f>
        <v/>
      </c>
      <c r="K3365" s="86" t="str">
        <f>IF(Fourteenth!K118="", "",Fourteenth!K118)</f>
        <v/>
      </c>
      <c r="M3365" s="67" t="str">
        <f t="shared" si="158"/>
        <v/>
      </c>
      <c r="N3365" s="76" t="str">
        <f t="shared" si="159"/>
        <v/>
      </c>
      <c r="O3365" s="33">
        <f t="shared" si="157"/>
        <v>0</v>
      </c>
    </row>
    <row r="3366" spans="1:15" x14ac:dyDescent="0.25">
      <c r="A3366" s="64" t="s">
        <v>185</v>
      </c>
      <c r="B3366" s="79" t="str">
        <f>IF(Fourteenth!B119="", "",Fourteenth!B119)</f>
        <v/>
      </c>
      <c r="C3366" s="66" t="str">
        <f>IF(Fourteenth!C119="", "",Fourteenth!C119)</f>
        <v/>
      </c>
      <c r="D3366" s="66" t="str">
        <f>IF(Fourteenth!D119="", "",Fourteenth!D119)</f>
        <v/>
      </c>
      <c r="E3366" s="66" t="str">
        <f>IF(Fourteenth!E119="", "",Fourteenth!E119)</f>
        <v/>
      </c>
      <c r="F3366" s="66" t="str">
        <f>IF(Fourteenth!F119="", "",Fourteenth!F119)</f>
        <v/>
      </c>
      <c r="G3366" s="66" t="str">
        <f>IF(Fourteenth!G119="", "",Fourteenth!G119)</f>
        <v/>
      </c>
      <c r="H3366" s="66" t="str">
        <f>IF(Fourteenth!H119="", "",Fourteenth!H119)</f>
        <v/>
      </c>
      <c r="I3366" s="66" t="str">
        <f>IF(Fourteenth!I119="", "",Fourteenth!I119)</f>
        <v/>
      </c>
      <c r="J3366" s="66" t="str">
        <f>IF(Fourteenth!J119="", "",Fourteenth!J119)</f>
        <v/>
      </c>
      <c r="K3366" s="86" t="str">
        <f>IF(Fourteenth!K119="", "",Fourteenth!K119)</f>
        <v/>
      </c>
      <c r="M3366" s="67" t="str">
        <f t="shared" si="158"/>
        <v/>
      </c>
      <c r="N3366" s="76" t="str">
        <f t="shared" si="159"/>
        <v/>
      </c>
      <c r="O3366" s="33">
        <f t="shared" si="157"/>
        <v>0</v>
      </c>
    </row>
    <row r="3367" spans="1:15" x14ac:dyDescent="0.25">
      <c r="A3367" s="64" t="s">
        <v>185</v>
      </c>
      <c r="B3367" s="79" t="str">
        <f>IF(Fourteenth!B120="", "",Fourteenth!B120)</f>
        <v/>
      </c>
      <c r="C3367" s="66" t="str">
        <f>IF(Fourteenth!C120="", "",Fourteenth!C120)</f>
        <v/>
      </c>
      <c r="D3367" s="66" t="str">
        <f>IF(Fourteenth!D120="", "",Fourteenth!D120)</f>
        <v/>
      </c>
      <c r="E3367" s="66" t="str">
        <f>IF(Fourteenth!E120="", "",Fourteenth!E120)</f>
        <v/>
      </c>
      <c r="F3367" s="66" t="str">
        <f>IF(Fourteenth!F120="", "",Fourteenth!F120)</f>
        <v/>
      </c>
      <c r="G3367" s="66" t="str">
        <f>IF(Fourteenth!G120="", "",Fourteenth!G120)</f>
        <v/>
      </c>
      <c r="H3367" s="66" t="str">
        <f>IF(Fourteenth!H120="", "",Fourteenth!H120)</f>
        <v/>
      </c>
      <c r="I3367" s="66" t="str">
        <f>IF(Fourteenth!I120="", "",Fourteenth!I120)</f>
        <v/>
      </c>
      <c r="J3367" s="66" t="str">
        <f>IF(Fourteenth!J120="", "",Fourteenth!J120)</f>
        <v/>
      </c>
      <c r="K3367" s="86" t="str">
        <f>IF(Fourteenth!K120="", "",Fourteenth!K120)</f>
        <v/>
      </c>
      <c r="M3367" s="67" t="str">
        <f t="shared" si="158"/>
        <v/>
      </c>
      <c r="N3367" s="76" t="str">
        <f t="shared" si="159"/>
        <v/>
      </c>
      <c r="O3367" s="33">
        <f t="shared" si="157"/>
        <v>0</v>
      </c>
    </row>
    <row r="3368" spans="1:15" x14ac:dyDescent="0.25">
      <c r="A3368" s="64" t="s">
        <v>185</v>
      </c>
      <c r="B3368" s="79" t="str">
        <f>IF(Fourteenth!B121="", "",Fourteenth!B121)</f>
        <v/>
      </c>
      <c r="C3368" s="66" t="str">
        <f>IF(Fourteenth!C121="", "",Fourteenth!C121)</f>
        <v/>
      </c>
      <c r="D3368" s="66" t="str">
        <f>IF(Fourteenth!D121="", "",Fourteenth!D121)</f>
        <v/>
      </c>
      <c r="E3368" s="66" t="str">
        <f>IF(Fourteenth!E121="", "",Fourteenth!E121)</f>
        <v/>
      </c>
      <c r="F3368" s="66" t="str">
        <f>IF(Fourteenth!F121="", "",Fourteenth!F121)</f>
        <v/>
      </c>
      <c r="G3368" s="66" t="str">
        <f>IF(Fourteenth!G121="", "",Fourteenth!G121)</f>
        <v/>
      </c>
      <c r="H3368" s="66" t="str">
        <f>IF(Fourteenth!H121="", "",Fourteenth!H121)</f>
        <v/>
      </c>
      <c r="I3368" s="66" t="str">
        <f>IF(Fourteenth!I121="", "",Fourteenth!I121)</f>
        <v/>
      </c>
      <c r="J3368" s="66" t="str">
        <f>IF(Fourteenth!J121="", "",Fourteenth!J121)</f>
        <v/>
      </c>
      <c r="K3368" s="86" t="str">
        <f>IF(Fourteenth!K121="", "",Fourteenth!K121)</f>
        <v/>
      </c>
      <c r="M3368" s="67" t="str">
        <f t="shared" si="158"/>
        <v/>
      </c>
      <c r="N3368" s="76" t="str">
        <f t="shared" si="159"/>
        <v/>
      </c>
      <c r="O3368" s="33">
        <f t="shared" si="157"/>
        <v>0</v>
      </c>
    </row>
    <row r="3369" spans="1:15" x14ac:dyDescent="0.25">
      <c r="A3369" s="64" t="s">
        <v>185</v>
      </c>
      <c r="B3369" s="79" t="str">
        <f>IF(Fourteenth!B122="", "",Fourteenth!B122)</f>
        <v/>
      </c>
      <c r="C3369" s="66" t="str">
        <f>IF(Fourteenth!C122="", "",Fourteenth!C122)</f>
        <v/>
      </c>
      <c r="D3369" s="66" t="str">
        <f>IF(Fourteenth!D122="", "",Fourteenth!D122)</f>
        <v/>
      </c>
      <c r="E3369" s="66" t="str">
        <f>IF(Fourteenth!E122="", "",Fourteenth!E122)</f>
        <v/>
      </c>
      <c r="F3369" s="66" t="str">
        <f>IF(Fourteenth!F122="", "",Fourteenth!F122)</f>
        <v/>
      </c>
      <c r="G3369" s="66" t="str">
        <f>IF(Fourteenth!G122="", "",Fourteenth!G122)</f>
        <v/>
      </c>
      <c r="H3369" s="66" t="str">
        <f>IF(Fourteenth!H122="", "",Fourteenth!H122)</f>
        <v/>
      </c>
      <c r="I3369" s="66" t="str">
        <f>IF(Fourteenth!I122="", "",Fourteenth!I122)</f>
        <v/>
      </c>
      <c r="J3369" s="66" t="str">
        <f>IF(Fourteenth!J122="", "",Fourteenth!J122)</f>
        <v/>
      </c>
      <c r="K3369" s="86" t="str">
        <f>IF(Fourteenth!K122="", "",Fourteenth!K122)</f>
        <v/>
      </c>
      <c r="M3369" s="67" t="str">
        <f t="shared" si="158"/>
        <v/>
      </c>
      <c r="N3369" s="76" t="str">
        <f t="shared" si="159"/>
        <v/>
      </c>
      <c r="O3369" s="33">
        <f t="shared" si="157"/>
        <v>0</v>
      </c>
    </row>
    <row r="3370" spans="1:15" x14ac:dyDescent="0.25">
      <c r="A3370" s="64" t="s">
        <v>185</v>
      </c>
      <c r="B3370" s="79" t="str">
        <f>IF(Fourteenth!B123="", "",Fourteenth!B123)</f>
        <v/>
      </c>
      <c r="C3370" s="66" t="str">
        <f>IF(Fourteenth!C123="", "",Fourteenth!C123)</f>
        <v/>
      </c>
      <c r="D3370" s="66" t="str">
        <f>IF(Fourteenth!D123="", "",Fourteenth!D123)</f>
        <v/>
      </c>
      <c r="E3370" s="66" t="str">
        <f>IF(Fourteenth!E123="", "",Fourteenth!E123)</f>
        <v/>
      </c>
      <c r="F3370" s="66" t="str">
        <f>IF(Fourteenth!F123="", "",Fourteenth!F123)</f>
        <v/>
      </c>
      <c r="G3370" s="66" t="str">
        <f>IF(Fourteenth!G123="", "",Fourteenth!G123)</f>
        <v/>
      </c>
      <c r="H3370" s="66" t="str">
        <f>IF(Fourteenth!H123="", "",Fourteenth!H123)</f>
        <v/>
      </c>
      <c r="I3370" s="66" t="str">
        <f>IF(Fourteenth!I123="", "",Fourteenth!I123)</f>
        <v/>
      </c>
      <c r="J3370" s="66" t="str">
        <f>IF(Fourteenth!J123="", "",Fourteenth!J123)</f>
        <v/>
      </c>
      <c r="K3370" s="86" t="str">
        <f>IF(Fourteenth!K123="", "",Fourteenth!K123)</f>
        <v/>
      </c>
      <c r="M3370" s="67" t="str">
        <f t="shared" si="158"/>
        <v/>
      </c>
      <c r="N3370" s="76" t="str">
        <f t="shared" si="159"/>
        <v/>
      </c>
      <c r="O3370" s="33">
        <f t="shared" si="157"/>
        <v>0</v>
      </c>
    </row>
    <row r="3371" spans="1:15" x14ac:dyDescent="0.25">
      <c r="A3371" s="64" t="s">
        <v>185</v>
      </c>
      <c r="B3371" s="79" t="str">
        <f>IF(Fourteenth!B124="", "",Fourteenth!B124)</f>
        <v/>
      </c>
      <c r="C3371" s="66" t="str">
        <f>IF(Fourteenth!C124="", "",Fourteenth!C124)</f>
        <v/>
      </c>
      <c r="D3371" s="66" t="str">
        <f>IF(Fourteenth!D124="", "",Fourteenth!D124)</f>
        <v/>
      </c>
      <c r="E3371" s="66" t="str">
        <f>IF(Fourteenth!E124="", "",Fourteenth!E124)</f>
        <v/>
      </c>
      <c r="F3371" s="66" t="str">
        <f>IF(Fourteenth!F124="", "",Fourteenth!F124)</f>
        <v/>
      </c>
      <c r="G3371" s="66" t="str">
        <f>IF(Fourteenth!G124="", "",Fourteenth!G124)</f>
        <v/>
      </c>
      <c r="H3371" s="66" t="str">
        <f>IF(Fourteenth!H124="", "",Fourteenth!H124)</f>
        <v/>
      </c>
      <c r="I3371" s="66" t="str">
        <f>IF(Fourteenth!I124="", "",Fourteenth!I124)</f>
        <v/>
      </c>
      <c r="J3371" s="66" t="str">
        <f>IF(Fourteenth!J124="", "",Fourteenth!J124)</f>
        <v/>
      </c>
      <c r="K3371" s="86" t="str">
        <f>IF(Fourteenth!K124="", "",Fourteenth!K124)</f>
        <v/>
      </c>
      <c r="M3371" s="67" t="str">
        <f t="shared" si="158"/>
        <v/>
      </c>
      <c r="N3371" s="76" t="str">
        <f t="shared" si="159"/>
        <v/>
      </c>
      <c r="O3371" s="33">
        <f t="shared" si="157"/>
        <v>0</v>
      </c>
    </row>
    <row r="3372" spans="1:15" x14ac:dyDescent="0.25">
      <c r="A3372" s="64" t="s">
        <v>185</v>
      </c>
      <c r="B3372" s="79" t="str">
        <f>IF(Fourteenth!B125="", "",Fourteenth!B125)</f>
        <v/>
      </c>
      <c r="C3372" s="66" t="str">
        <f>IF(Fourteenth!C125="", "",Fourteenth!C125)</f>
        <v/>
      </c>
      <c r="D3372" s="66" t="str">
        <f>IF(Fourteenth!D125="", "",Fourteenth!D125)</f>
        <v/>
      </c>
      <c r="E3372" s="66" t="str">
        <f>IF(Fourteenth!E125="", "",Fourteenth!E125)</f>
        <v/>
      </c>
      <c r="F3372" s="66" t="str">
        <f>IF(Fourteenth!F125="", "",Fourteenth!F125)</f>
        <v/>
      </c>
      <c r="G3372" s="66" t="str">
        <f>IF(Fourteenth!G125="", "",Fourteenth!G125)</f>
        <v/>
      </c>
      <c r="H3372" s="66" t="str">
        <f>IF(Fourteenth!H125="", "",Fourteenth!H125)</f>
        <v/>
      </c>
      <c r="I3372" s="66" t="str">
        <f>IF(Fourteenth!I125="", "",Fourteenth!I125)</f>
        <v/>
      </c>
      <c r="J3372" s="66" t="str">
        <f>IF(Fourteenth!J125="", "",Fourteenth!J125)</f>
        <v/>
      </c>
      <c r="K3372" s="86" t="str">
        <f>IF(Fourteenth!K125="", "",Fourteenth!K125)</f>
        <v/>
      </c>
      <c r="M3372" s="67" t="str">
        <f t="shared" si="158"/>
        <v/>
      </c>
      <c r="N3372" s="76" t="str">
        <f t="shared" si="159"/>
        <v/>
      </c>
      <c r="O3372" s="33">
        <f t="shared" si="157"/>
        <v>0</v>
      </c>
    </row>
    <row r="3373" spans="1:15" x14ac:dyDescent="0.25">
      <c r="A3373" s="64" t="s">
        <v>185</v>
      </c>
      <c r="B3373" s="79" t="str">
        <f>IF(Fourteenth!B126="", "",Fourteenth!B126)</f>
        <v/>
      </c>
      <c r="C3373" s="66" t="str">
        <f>IF(Fourteenth!C126="", "",Fourteenth!C126)</f>
        <v/>
      </c>
      <c r="D3373" s="66" t="str">
        <f>IF(Fourteenth!D126="", "",Fourteenth!D126)</f>
        <v/>
      </c>
      <c r="E3373" s="66" t="str">
        <f>IF(Fourteenth!E126="", "",Fourteenth!E126)</f>
        <v/>
      </c>
      <c r="F3373" s="66" t="str">
        <f>IF(Fourteenth!F126="", "",Fourteenth!F126)</f>
        <v/>
      </c>
      <c r="G3373" s="66" t="str">
        <f>IF(Fourteenth!G126="", "",Fourteenth!G126)</f>
        <v/>
      </c>
      <c r="H3373" s="66" t="str">
        <f>IF(Fourteenth!H126="", "",Fourteenth!H126)</f>
        <v/>
      </c>
      <c r="I3373" s="66" t="str">
        <f>IF(Fourteenth!I126="", "",Fourteenth!I126)</f>
        <v/>
      </c>
      <c r="J3373" s="66" t="str">
        <f>IF(Fourteenth!J126="", "",Fourteenth!J126)</f>
        <v/>
      </c>
      <c r="K3373" s="86" t="str">
        <f>IF(Fourteenth!K126="", "",Fourteenth!K126)</f>
        <v/>
      </c>
      <c r="M3373" s="67" t="str">
        <f t="shared" si="158"/>
        <v/>
      </c>
      <c r="N3373" s="76" t="str">
        <f t="shared" si="159"/>
        <v/>
      </c>
      <c r="O3373" s="33">
        <f t="shared" si="157"/>
        <v>0</v>
      </c>
    </row>
    <row r="3374" spans="1:15" x14ac:dyDescent="0.25">
      <c r="A3374" s="64" t="s">
        <v>185</v>
      </c>
      <c r="B3374" s="79" t="str">
        <f>IF(Fourteenth!B127="", "",Fourteenth!B127)</f>
        <v/>
      </c>
      <c r="C3374" s="66" t="str">
        <f>IF(Fourteenth!C127="", "",Fourteenth!C127)</f>
        <v/>
      </c>
      <c r="D3374" s="66" t="str">
        <f>IF(Fourteenth!D127="", "",Fourteenth!D127)</f>
        <v/>
      </c>
      <c r="E3374" s="66" t="str">
        <f>IF(Fourteenth!E127="", "",Fourteenth!E127)</f>
        <v/>
      </c>
      <c r="F3374" s="66" t="str">
        <f>IF(Fourteenth!F127="", "",Fourteenth!F127)</f>
        <v/>
      </c>
      <c r="G3374" s="66" t="str">
        <f>IF(Fourteenth!G127="", "",Fourteenth!G127)</f>
        <v/>
      </c>
      <c r="H3374" s="66" t="str">
        <f>IF(Fourteenth!H127="", "",Fourteenth!H127)</f>
        <v/>
      </c>
      <c r="I3374" s="66" t="str">
        <f>IF(Fourteenth!I127="", "",Fourteenth!I127)</f>
        <v/>
      </c>
      <c r="J3374" s="66" t="str">
        <f>IF(Fourteenth!J127="", "",Fourteenth!J127)</f>
        <v/>
      </c>
      <c r="K3374" s="86" t="str">
        <f>IF(Fourteenth!K127="", "",Fourteenth!K127)</f>
        <v/>
      </c>
      <c r="M3374" s="67" t="str">
        <f t="shared" si="158"/>
        <v/>
      </c>
      <c r="N3374" s="76" t="str">
        <f t="shared" si="159"/>
        <v/>
      </c>
      <c r="O3374" s="33">
        <f t="shared" si="157"/>
        <v>0</v>
      </c>
    </row>
    <row r="3375" spans="1:15" x14ac:dyDescent="0.25">
      <c r="A3375" s="64" t="s">
        <v>185</v>
      </c>
      <c r="B3375" s="79" t="str">
        <f>IF(Fourteenth!B128="", "",Fourteenth!B128)</f>
        <v/>
      </c>
      <c r="C3375" s="66" t="str">
        <f>IF(Fourteenth!C128="", "",Fourteenth!C128)</f>
        <v/>
      </c>
      <c r="D3375" s="66" t="str">
        <f>IF(Fourteenth!D128="", "",Fourteenth!D128)</f>
        <v/>
      </c>
      <c r="E3375" s="66" t="str">
        <f>IF(Fourteenth!E128="", "",Fourteenth!E128)</f>
        <v/>
      </c>
      <c r="F3375" s="66" t="str">
        <f>IF(Fourteenth!F128="", "",Fourteenth!F128)</f>
        <v/>
      </c>
      <c r="G3375" s="66" t="str">
        <f>IF(Fourteenth!G128="", "",Fourteenth!G128)</f>
        <v/>
      </c>
      <c r="H3375" s="66" t="str">
        <f>IF(Fourteenth!H128="", "",Fourteenth!H128)</f>
        <v/>
      </c>
      <c r="I3375" s="66" t="str">
        <f>IF(Fourteenth!I128="", "",Fourteenth!I128)</f>
        <v/>
      </c>
      <c r="J3375" s="66" t="str">
        <f>IF(Fourteenth!J128="", "",Fourteenth!J128)</f>
        <v/>
      </c>
      <c r="K3375" s="86" t="str">
        <f>IF(Fourteenth!K128="", "",Fourteenth!K128)</f>
        <v/>
      </c>
      <c r="M3375" s="67" t="str">
        <f t="shared" si="158"/>
        <v/>
      </c>
      <c r="N3375" s="76" t="str">
        <f t="shared" si="159"/>
        <v/>
      </c>
      <c r="O3375" s="33">
        <f t="shared" si="157"/>
        <v>0</v>
      </c>
    </row>
    <row r="3376" spans="1:15" x14ac:dyDescent="0.25">
      <c r="A3376" s="64" t="s">
        <v>185</v>
      </c>
      <c r="B3376" s="79" t="str">
        <f>IF(Fourteenth!B129="", "",Fourteenth!B129)</f>
        <v/>
      </c>
      <c r="C3376" s="66" t="str">
        <f>IF(Fourteenth!C129="", "",Fourteenth!C129)</f>
        <v/>
      </c>
      <c r="D3376" s="66" t="str">
        <f>IF(Fourteenth!D129="", "",Fourteenth!D129)</f>
        <v/>
      </c>
      <c r="E3376" s="66" t="str">
        <f>IF(Fourteenth!E129="", "",Fourteenth!E129)</f>
        <v/>
      </c>
      <c r="F3376" s="66" t="str">
        <f>IF(Fourteenth!F129="", "",Fourteenth!F129)</f>
        <v/>
      </c>
      <c r="G3376" s="66" t="str">
        <f>IF(Fourteenth!G129="", "",Fourteenth!G129)</f>
        <v/>
      </c>
      <c r="H3376" s="66" t="str">
        <f>IF(Fourteenth!H129="", "",Fourteenth!H129)</f>
        <v/>
      </c>
      <c r="I3376" s="66" t="str">
        <f>IF(Fourteenth!I129="", "",Fourteenth!I129)</f>
        <v/>
      </c>
      <c r="J3376" s="66" t="str">
        <f>IF(Fourteenth!J129="", "",Fourteenth!J129)</f>
        <v/>
      </c>
      <c r="K3376" s="86" t="str">
        <f>IF(Fourteenth!K129="", "",Fourteenth!K129)</f>
        <v/>
      </c>
      <c r="M3376" s="67" t="str">
        <f t="shared" si="158"/>
        <v/>
      </c>
      <c r="N3376" s="76" t="str">
        <f t="shared" si="159"/>
        <v/>
      </c>
      <c r="O3376" s="33">
        <f t="shared" si="157"/>
        <v>0</v>
      </c>
    </row>
    <row r="3377" spans="1:15" x14ac:dyDescent="0.25">
      <c r="A3377" s="64" t="s">
        <v>185</v>
      </c>
      <c r="B3377" s="79" t="str">
        <f>IF(Fourteenth!B130="", "",Fourteenth!B130)</f>
        <v/>
      </c>
      <c r="C3377" s="66" t="str">
        <f>IF(Fourteenth!C130="", "",Fourteenth!C130)</f>
        <v/>
      </c>
      <c r="D3377" s="66" t="str">
        <f>IF(Fourteenth!D130="", "",Fourteenth!D130)</f>
        <v/>
      </c>
      <c r="E3377" s="66" t="str">
        <f>IF(Fourteenth!E130="", "",Fourteenth!E130)</f>
        <v/>
      </c>
      <c r="F3377" s="66" t="str">
        <f>IF(Fourteenth!F130="", "",Fourteenth!F130)</f>
        <v/>
      </c>
      <c r="G3377" s="66" t="str">
        <f>IF(Fourteenth!G130="", "",Fourteenth!G130)</f>
        <v/>
      </c>
      <c r="H3377" s="66" t="str">
        <f>IF(Fourteenth!H130="", "",Fourteenth!H130)</f>
        <v/>
      </c>
      <c r="I3377" s="66" t="str">
        <f>IF(Fourteenth!I130="", "",Fourteenth!I130)</f>
        <v/>
      </c>
      <c r="J3377" s="66" t="str">
        <f>IF(Fourteenth!J130="", "",Fourteenth!J130)</f>
        <v/>
      </c>
      <c r="K3377" s="86" t="str">
        <f>IF(Fourteenth!K130="", "",Fourteenth!K130)</f>
        <v/>
      </c>
      <c r="M3377" s="67" t="str">
        <f t="shared" si="158"/>
        <v/>
      </c>
      <c r="N3377" s="76" t="str">
        <f t="shared" si="159"/>
        <v/>
      </c>
      <c r="O3377" s="33">
        <f t="shared" si="157"/>
        <v>0</v>
      </c>
    </row>
    <row r="3378" spans="1:15" x14ac:dyDescent="0.25">
      <c r="A3378" s="64" t="s">
        <v>185</v>
      </c>
      <c r="B3378" s="79" t="str">
        <f>IF(Fourteenth!B131="", "",Fourteenth!B131)</f>
        <v/>
      </c>
      <c r="C3378" s="66" t="str">
        <f>IF(Fourteenth!C131="", "",Fourteenth!C131)</f>
        <v/>
      </c>
      <c r="D3378" s="66" t="str">
        <f>IF(Fourteenth!D131="", "",Fourteenth!D131)</f>
        <v/>
      </c>
      <c r="E3378" s="66" t="str">
        <f>IF(Fourteenth!E131="", "",Fourteenth!E131)</f>
        <v/>
      </c>
      <c r="F3378" s="66" t="str">
        <f>IF(Fourteenth!F131="", "",Fourteenth!F131)</f>
        <v/>
      </c>
      <c r="G3378" s="66" t="str">
        <f>IF(Fourteenth!G131="", "",Fourteenth!G131)</f>
        <v/>
      </c>
      <c r="H3378" s="66" t="str">
        <f>IF(Fourteenth!H131="", "",Fourteenth!H131)</f>
        <v/>
      </c>
      <c r="I3378" s="66" t="str">
        <f>IF(Fourteenth!I131="", "",Fourteenth!I131)</f>
        <v/>
      </c>
      <c r="J3378" s="66" t="str">
        <f>IF(Fourteenth!J131="", "",Fourteenth!J131)</f>
        <v/>
      </c>
      <c r="K3378" s="86" t="str">
        <f>IF(Fourteenth!K131="", "",Fourteenth!K131)</f>
        <v/>
      </c>
      <c r="M3378" s="67" t="str">
        <f t="shared" si="158"/>
        <v/>
      </c>
      <c r="N3378" s="76" t="str">
        <f t="shared" si="159"/>
        <v/>
      </c>
      <c r="O3378" s="33">
        <f t="shared" si="157"/>
        <v>0</v>
      </c>
    </row>
    <row r="3379" spans="1:15" x14ac:dyDescent="0.25">
      <c r="A3379" s="64" t="s">
        <v>185</v>
      </c>
      <c r="B3379" s="79" t="str">
        <f>IF(Fourteenth!B132="", "",Fourteenth!B132)</f>
        <v/>
      </c>
      <c r="C3379" s="66" t="str">
        <f>IF(Fourteenth!C132="", "",Fourteenth!C132)</f>
        <v/>
      </c>
      <c r="D3379" s="66" t="str">
        <f>IF(Fourteenth!D132="", "",Fourteenth!D132)</f>
        <v/>
      </c>
      <c r="E3379" s="66" t="str">
        <f>IF(Fourteenth!E132="", "",Fourteenth!E132)</f>
        <v/>
      </c>
      <c r="F3379" s="66" t="str">
        <f>IF(Fourteenth!F132="", "",Fourteenth!F132)</f>
        <v/>
      </c>
      <c r="G3379" s="66" t="str">
        <f>IF(Fourteenth!G132="", "",Fourteenth!G132)</f>
        <v/>
      </c>
      <c r="H3379" s="66" t="str">
        <f>IF(Fourteenth!H132="", "",Fourteenth!H132)</f>
        <v/>
      </c>
      <c r="I3379" s="66" t="str">
        <f>IF(Fourteenth!I132="", "",Fourteenth!I132)</f>
        <v/>
      </c>
      <c r="J3379" s="66" t="str">
        <f>IF(Fourteenth!J132="", "",Fourteenth!J132)</f>
        <v/>
      </c>
      <c r="K3379" s="86" t="str">
        <f>IF(Fourteenth!K132="", "",Fourteenth!K132)</f>
        <v/>
      </c>
      <c r="M3379" s="67" t="str">
        <f t="shared" si="158"/>
        <v/>
      </c>
      <c r="N3379" s="76" t="str">
        <f t="shared" si="159"/>
        <v/>
      </c>
      <c r="O3379" s="33">
        <f t="shared" si="157"/>
        <v>0</v>
      </c>
    </row>
    <row r="3380" spans="1:15" x14ac:dyDescent="0.25">
      <c r="A3380" s="64" t="s">
        <v>185</v>
      </c>
      <c r="B3380" s="79" t="str">
        <f>IF(Fourteenth!B133="", "",Fourteenth!B133)</f>
        <v/>
      </c>
      <c r="C3380" s="66" t="str">
        <f>IF(Fourteenth!C133="", "",Fourteenth!C133)</f>
        <v/>
      </c>
      <c r="D3380" s="66" t="str">
        <f>IF(Fourteenth!D133="", "",Fourteenth!D133)</f>
        <v/>
      </c>
      <c r="E3380" s="66" t="str">
        <f>IF(Fourteenth!E133="", "",Fourteenth!E133)</f>
        <v/>
      </c>
      <c r="F3380" s="66" t="str">
        <f>IF(Fourteenth!F133="", "",Fourteenth!F133)</f>
        <v/>
      </c>
      <c r="G3380" s="66" t="str">
        <f>IF(Fourteenth!G133="", "",Fourteenth!G133)</f>
        <v/>
      </c>
      <c r="H3380" s="66" t="str">
        <f>IF(Fourteenth!H133="", "",Fourteenth!H133)</f>
        <v/>
      </c>
      <c r="I3380" s="66" t="str">
        <f>IF(Fourteenth!I133="", "",Fourteenth!I133)</f>
        <v/>
      </c>
      <c r="J3380" s="66" t="str">
        <f>IF(Fourteenth!J133="", "",Fourteenth!J133)</f>
        <v/>
      </c>
      <c r="K3380" s="86" t="str">
        <f>IF(Fourteenth!K133="", "",Fourteenth!K133)</f>
        <v/>
      </c>
      <c r="M3380" s="67" t="str">
        <f t="shared" si="158"/>
        <v/>
      </c>
      <c r="N3380" s="76" t="str">
        <f t="shared" si="159"/>
        <v/>
      </c>
      <c r="O3380" s="33">
        <f t="shared" si="157"/>
        <v>0</v>
      </c>
    </row>
    <row r="3381" spans="1:15" x14ac:dyDescent="0.25">
      <c r="A3381" s="64" t="s">
        <v>185</v>
      </c>
      <c r="B3381" s="79" t="str">
        <f>IF(Fourteenth!B134="", "",Fourteenth!B134)</f>
        <v/>
      </c>
      <c r="C3381" s="66" t="str">
        <f>IF(Fourteenth!C134="", "",Fourteenth!C134)</f>
        <v/>
      </c>
      <c r="D3381" s="66" t="str">
        <f>IF(Fourteenth!D134="", "",Fourteenth!D134)</f>
        <v/>
      </c>
      <c r="E3381" s="66" t="str">
        <f>IF(Fourteenth!E134="", "",Fourteenth!E134)</f>
        <v/>
      </c>
      <c r="F3381" s="66" t="str">
        <f>IF(Fourteenth!F134="", "",Fourteenth!F134)</f>
        <v/>
      </c>
      <c r="G3381" s="66" t="str">
        <f>IF(Fourteenth!G134="", "",Fourteenth!G134)</f>
        <v/>
      </c>
      <c r="H3381" s="66" t="str">
        <f>IF(Fourteenth!H134="", "",Fourteenth!H134)</f>
        <v/>
      </c>
      <c r="I3381" s="66" t="str">
        <f>IF(Fourteenth!I134="", "",Fourteenth!I134)</f>
        <v/>
      </c>
      <c r="J3381" s="66" t="str">
        <f>IF(Fourteenth!J134="", "",Fourteenth!J134)</f>
        <v/>
      </c>
      <c r="K3381" s="86" t="str">
        <f>IF(Fourteenth!K134="", "",Fourteenth!K134)</f>
        <v/>
      </c>
      <c r="M3381" s="67" t="str">
        <f t="shared" si="158"/>
        <v/>
      </c>
      <c r="N3381" s="76" t="str">
        <f t="shared" si="159"/>
        <v/>
      </c>
      <c r="O3381" s="33">
        <f t="shared" si="157"/>
        <v>0</v>
      </c>
    </row>
    <row r="3382" spans="1:15" x14ac:dyDescent="0.25">
      <c r="A3382" s="64" t="s">
        <v>185</v>
      </c>
      <c r="B3382" s="79" t="str">
        <f>IF(Fourteenth!B135="", "",Fourteenth!B135)</f>
        <v/>
      </c>
      <c r="C3382" s="66" t="str">
        <f>IF(Fourteenth!C135="", "",Fourteenth!C135)</f>
        <v/>
      </c>
      <c r="D3382" s="66" t="str">
        <f>IF(Fourteenth!D135="", "",Fourteenth!D135)</f>
        <v/>
      </c>
      <c r="E3382" s="66" t="str">
        <f>IF(Fourteenth!E135="", "",Fourteenth!E135)</f>
        <v/>
      </c>
      <c r="F3382" s="66" t="str">
        <f>IF(Fourteenth!F135="", "",Fourteenth!F135)</f>
        <v/>
      </c>
      <c r="G3382" s="66" t="str">
        <f>IF(Fourteenth!G135="", "",Fourteenth!G135)</f>
        <v/>
      </c>
      <c r="H3382" s="66" t="str">
        <f>IF(Fourteenth!H135="", "",Fourteenth!H135)</f>
        <v/>
      </c>
      <c r="I3382" s="66" t="str">
        <f>IF(Fourteenth!I135="", "",Fourteenth!I135)</f>
        <v/>
      </c>
      <c r="J3382" s="66" t="str">
        <f>IF(Fourteenth!J135="", "",Fourteenth!J135)</f>
        <v/>
      </c>
      <c r="K3382" s="86" t="str">
        <f>IF(Fourteenth!K135="", "",Fourteenth!K135)</f>
        <v/>
      </c>
      <c r="M3382" s="67" t="str">
        <f t="shared" si="158"/>
        <v/>
      </c>
      <c r="N3382" s="76" t="str">
        <f t="shared" si="159"/>
        <v/>
      </c>
      <c r="O3382" s="33">
        <f t="shared" si="157"/>
        <v>0</v>
      </c>
    </row>
    <row r="3383" spans="1:15" x14ac:dyDescent="0.25">
      <c r="A3383" s="64" t="s">
        <v>185</v>
      </c>
      <c r="B3383" s="79" t="str">
        <f>IF(Fourteenth!B136="", "",Fourteenth!B136)</f>
        <v/>
      </c>
      <c r="C3383" s="66" t="str">
        <f>IF(Fourteenth!C136="", "",Fourteenth!C136)</f>
        <v/>
      </c>
      <c r="D3383" s="66" t="str">
        <f>IF(Fourteenth!D136="", "",Fourteenth!D136)</f>
        <v/>
      </c>
      <c r="E3383" s="66" t="str">
        <f>IF(Fourteenth!E136="", "",Fourteenth!E136)</f>
        <v/>
      </c>
      <c r="F3383" s="66" t="str">
        <f>IF(Fourteenth!F136="", "",Fourteenth!F136)</f>
        <v/>
      </c>
      <c r="G3383" s="66" t="str">
        <f>IF(Fourteenth!G136="", "",Fourteenth!G136)</f>
        <v/>
      </c>
      <c r="H3383" s="66" t="str">
        <f>IF(Fourteenth!H136="", "",Fourteenth!H136)</f>
        <v/>
      </c>
      <c r="I3383" s="66" t="str">
        <f>IF(Fourteenth!I136="", "",Fourteenth!I136)</f>
        <v/>
      </c>
      <c r="J3383" s="66" t="str">
        <f>IF(Fourteenth!J136="", "",Fourteenth!J136)</f>
        <v/>
      </c>
      <c r="K3383" s="86" t="str">
        <f>IF(Fourteenth!K136="", "",Fourteenth!K136)</f>
        <v/>
      </c>
      <c r="M3383" s="67" t="str">
        <f t="shared" si="158"/>
        <v/>
      </c>
      <c r="N3383" s="76" t="str">
        <f t="shared" si="159"/>
        <v/>
      </c>
      <c r="O3383" s="33">
        <f t="shared" si="157"/>
        <v>0</v>
      </c>
    </row>
    <row r="3384" spans="1:15" x14ac:dyDescent="0.25">
      <c r="A3384" s="64" t="s">
        <v>185</v>
      </c>
      <c r="B3384" s="79" t="str">
        <f>IF(Fourteenth!B137="", "",Fourteenth!B137)</f>
        <v/>
      </c>
      <c r="C3384" s="66" t="str">
        <f>IF(Fourteenth!C137="", "",Fourteenth!C137)</f>
        <v/>
      </c>
      <c r="D3384" s="66" t="str">
        <f>IF(Fourteenth!D137="", "",Fourteenth!D137)</f>
        <v/>
      </c>
      <c r="E3384" s="66" t="str">
        <f>IF(Fourteenth!E137="", "",Fourteenth!E137)</f>
        <v/>
      </c>
      <c r="F3384" s="66" t="str">
        <f>IF(Fourteenth!F137="", "",Fourteenth!F137)</f>
        <v/>
      </c>
      <c r="G3384" s="66" t="str">
        <f>IF(Fourteenth!G137="", "",Fourteenth!G137)</f>
        <v/>
      </c>
      <c r="H3384" s="66" t="str">
        <f>IF(Fourteenth!H137="", "",Fourteenth!H137)</f>
        <v/>
      </c>
      <c r="I3384" s="66" t="str">
        <f>IF(Fourteenth!I137="", "",Fourteenth!I137)</f>
        <v/>
      </c>
      <c r="J3384" s="66" t="str">
        <f>IF(Fourteenth!J137="", "",Fourteenth!J137)</f>
        <v/>
      </c>
      <c r="K3384" s="86" t="str">
        <f>IF(Fourteenth!K137="", "",Fourteenth!K137)</f>
        <v/>
      </c>
      <c r="M3384" s="67" t="str">
        <f t="shared" si="158"/>
        <v/>
      </c>
      <c r="N3384" s="76" t="str">
        <f t="shared" si="159"/>
        <v/>
      </c>
      <c r="O3384" s="33">
        <f t="shared" si="157"/>
        <v>0</v>
      </c>
    </row>
    <row r="3385" spans="1:15" x14ac:dyDescent="0.25">
      <c r="A3385" s="64" t="s">
        <v>185</v>
      </c>
      <c r="B3385" s="79" t="str">
        <f>IF(Fourteenth!B138="", "",Fourteenth!B138)</f>
        <v/>
      </c>
      <c r="C3385" s="66" t="str">
        <f>IF(Fourteenth!C138="", "",Fourteenth!C138)</f>
        <v/>
      </c>
      <c r="D3385" s="66" t="str">
        <f>IF(Fourteenth!D138="", "",Fourteenth!D138)</f>
        <v/>
      </c>
      <c r="E3385" s="66" t="str">
        <f>IF(Fourteenth!E138="", "",Fourteenth!E138)</f>
        <v/>
      </c>
      <c r="F3385" s="66" t="str">
        <f>IF(Fourteenth!F138="", "",Fourteenth!F138)</f>
        <v/>
      </c>
      <c r="G3385" s="66" t="str">
        <f>IF(Fourteenth!G138="", "",Fourteenth!G138)</f>
        <v/>
      </c>
      <c r="H3385" s="66" t="str">
        <f>IF(Fourteenth!H138="", "",Fourteenth!H138)</f>
        <v/>
      </c>
      <c r="I3385" s="66" t="str">
        <f>IF(Fourteenth!I138="", "",Fourteenth!I138)</f>
        <v/>
      </c>
      <c r="J3385" s="66" t="str">
        <f>IF(Fourteenth!J138="", "",Fourteenth!J138)</f>
        <v/>
      </c>
      <c r="K3385" s="86" t="str">
        <f>IF(Fourteenth!K138="", "",Fourteenth!K138)</f>
        <v/>
      </c>
      <c r="M3385" s="67" t="str">
        <f t="shared" si="158"/>
        <v/>
      </c>
      <c r="N3385" s="76" t="str">
        <f t="shared" si="159"/>
        <v/>
      </c>
      <c r="O3385" s="33">
        <f t="shared" si="157"/>
        <v>0</v>
      </c>
    </row>
    <row r="3386" spans="1:15" x14ac:dyDescent="0.25">
      <c r="A3386" s="64" t="s">
        <v>185</v>
      </c>
      <c r="B3386" s="79" t="str">
        <f>IF(Fourteenth!B139="", "",Fourteenth!B139)</f>
        <v/>
      </c>
      <c r="C3386" s="66" t="str">
        <f>IF(Fourteenth!C139="", "",Fourteenth!C139)</f>
        <v/>
      </c>
      <c r="D3386" s="66" t="str">
        <f>IF(Fourteenth!D139="", "",Fourteenth!D139)</f>
        <v/>
      </c>
      <c r="E3386" s="66" t="str">
        <f>IF(Fourteenth!E139="", "",Fourteenth!E139)</f>
        <v/>
      </c>
      <c r="F3386" s="66" t="str">
        <f>IF(Fourteenth!F139="", "",Fourteenth!F139)</f>
        <v/>
      </c>
      <c r="G3386" s="66" t="str">
        <f>IF(Fourteenth!G139="", "",Fourteenth!G139)</f>
        <v/>
      </c>
      <c r="H3386" s="66" t="str">
        <f>IF(Fourteenth!H139="", "",Fourteenth!H139)</f>
        <v/>
      </c>
      <c r="I3386" s="66" t="str">
        <f>IF(Fourteenth!I139="", "",Fourteenth!I139)</f>
        <v/>
      </c>
      <c r="J3386" s="66" t="str">
        <f>IF(Fourteenth!J139="", "",Fourteenth!J139)</f>
        <v/>
      </c>
      <c r="K3386" s="86" t="str">
        <f>IF(Fourteenth!K139="", "",Fourteenth!K139)</f>
        <v/>
      </c>
      <c r="M3386" s="67" t="str">
        <f t="shared" si="158"/>
        <v/>
      </c>
      <c r="N3386" s="76" t="str">
        <f t="shared" si="159"/>
        <v/>
      </c>
      <c r="O3386" s="33">
        <f t="shared" si="157"/>
        <v>0</v>
      </c>
    </row>
    <row r="3387" spans="1:15" x14ac:dyDescent="0.25">
      <c r="A3387" s="64" t="s">
        <v>185</v>
      </c>
      <c r="B3387" s="79" t="str">
        <f>IF(Fourteenth!B140="", "",Fourteenth!B140)</f>
        <v/>
      </c>
      <c r="C3387" s="66" t="str">
        <f>IF(Fourteenth!C140="", "",Fourteenth!C140)</f>
        <v/>
      </c>
      <c r="D3387" s="66" t="str">
        <f>IF(Fourteenth!D140="", "",Fourteenth!D140)</f>
        <v/>
      </c>
      <c r="E3387" s="66" t="str">
        <f>IF(Fourteenth!E140="", "",Fourteenth!E140)</f>
        <v/>
      </c>
      <c r="F3387" s="66" t="str">
        <f>IF(Fourteenth!F140="", "",Fourteenth!F140)</f>
        <v/>
      </c>
      <c r="G3387" s="66" t="str">
        <f>IF(Fourteenth!G140="", "",Fourteenth!G140)</f>
        <v/>
      </c>
      <c r="H3387" s="66" t="str">
        <f>IF(Fourteenth!H140="", "",Fourteenth!H140)</f>
        <v/>
      </c>
      <c r="I3387" s="66" t="str">
        <f>IF(Fourteenth!I140="", "",Fourteenth!I140)</f>
        <v/>
      </c>
      <c r="J3387" s="66" t="str">
        <f>IF(Fourteenth!J140="", "",Fourteenth!J140)</f>
        <v/>
      </c>
      <c r="K3387" s="86" t="str">
        <f>IF(Fourteenth!K140="", "",Fourteenth!K140)</f>
        <v/>
      </c>
      <c r="M3387" s="67" t="str">
        <f t="shared" si="158"/>
        <v/>
      </c>
      <c r="N3387" s="76" t="str">
        <f t="shared" si="159"/>
        <v/>
      </c>
      <c r="O3387" s="33">
        <f t="shared" si="157"/>
        <v>0</v>
      </c>
    </row>
    <row r="3388" spans="1:15" x14ac:dyDescent="0.25">
      <c r="A3388" s="64" t="s">
        <v>185</v>
      </c>
      <c r="B3388" s="79" t="str">
        <f>IF(Fourteenth!B141="", "",Fourteenth!B141)</f>
        <v/>
      </c>
      <c r="C3388" s="66" t="str">
        <f>IF(Fourteenth!C141="", "",Fourteenth!C141)</f>
        <v/>
      </c>
      <c r="D3388" s="66" t="str">
        <f>IF(Fourteenth!D141="", "",Fourteenth!D141)</f>
        <v/>
      </c>
      <c r="E3388" s="66" t="str">
        <f>IF(Fourteenth!E141="", "",Fourteenth!E141)</f>
        <v/>
      </c>
      <c r="F3388" s="66" t="str">
        <f>IF(Fourteenth!F141="", "",Fourteenth!F141)</f>
        <v/>
      </c>
      <c r="G3388" s="66" t="str">
        <f>IF(Fourteenth!G141="", "",Fourteenth!G141)</f>
        <v/>
      </c>
      <c r="H3388" s="66" t="str">
        <f>IF(Fourteenth!H141="", "",Fourteenth!H141)</f>
        <v/>
      </c>
      <c r="I3388" s="66" t="str">
        <f>IF(Fourteenth!I141="", "",Fourteenth!I141)</f>
        <v/>
      </c>
      <c r="J3388" s="66" t="str">
        <f>IF(Fourteenth!J141="", "",Fourteenth!J141)</f>
        <v/>
      </c>
      <c r="K3388" s="86" t="str">
        <f>IF(Fourteenth!K141="", "",Fourteenth!K141)</f>
        <v/>
      </c>
      <c r="M3388" s="67" t="str">
        <f t="shared" si="158"/>
        <v/>
      </c>
      <c r="N3388" s="76" t="str">
        <f t="shared" si="159"/>
        <v/>
      </c>
      <c r="O3388" s="33">
        <f t="shared" si="157"/>
        <v>0</v>
      </c>
    </row>
    <row r="3389" spans="1:15" x14ac:dyDescent="0.25">
      <c r="A3389" s="64" t="s">
        <v>185</v>
      </c>
      <c r="B3389" s="79" t="str">
        <f>IF(Fourteenth!B142="", "",Fourteenth!B142)</f>
        <v/>
      </c>
      <c r="C3389" s="66" t="str">
        <f>IF(Fourteenth!C142="", "",Fourteenth!C142)</f>
        <v/>
      </c>
      <c r="D3389" s="66" t="str">
        <f>IF(Fourteenth!D142="", "",Fourteenth!D142)</f>
        <v/>
      </c>
      <c r="E3389" s="66" t="str">
        <f>IF(Fourteenth!E142="", "",Fourteenth!E142)</f>
        <v/>
      </c>
      <c r="F3389" s="66" t="str">
        <f>IF(Fourteenth!F142="", "",Fourteenth!F142)</f>
        <v/>
      </c>
      <c r="G3389" s="66" t="str">
        <f>IF(Fourteenth!G142="", "",Fourteenth!G142)</f>
        <v/>
      </c>
      <c r="H3389" s="66" t="str">
        <f>IF(Fourteenth!H142="", "",Fourteenth!H142)</f>
        <v/>
      </c>
      <c r="I3389" s="66" t="str">
        <f>IF(Fourteenth!I142="", "",Fourteenth!I142)</f>
        <v/>
      </c>
      <c r="J3389" s="66" t="str">
        <f>IF(Fourteenth!J142="", "",Fourteenth!J142)</f>
        <v/>
      </c>
      <c r="K3389" s="86" t="str">
        <f>IF(Fourteenth!K142="", "",Fourteenth!K142)</f>
        <v/>
      </c>
      <c r="M3389" s="67" t="str">
        <f t="shared" si="158"/>
        <v/>
      </c>
      <c r="N3389" s="76" t="str">
        <f t="shared" si="159"/>
        <v/>
      </c>
      <c r="O3389" s="33">
        <f t="shared" si="157"/>
        <v>0</v>
      </c>
    </row>
    <row r="3390" spans="1:15" x14ac:dyDescent="0.25">
      <c r="A3390" s="64" t="s">
        <v>185</v>
      </c>
      <c r="B3390" s="79" t="str">
        <f>IF(Fourteenth!B143="", "",Fourteenth!B143)</f>
        <v/>
      </c>
      <c r="C3390" s="66" t="str">
        <f>IF(Fourteenth!C143="", "",Fourteenth!C143)</f>
        <v/>
      </c>
      <c r="D3390" s="66" t="str">
        <f>IF(Fourteenth!D143="", "",Fourteenth!D143)</f>
        <v/>
      </c>
      <c r="E3390" s="66" t="str">
        <f>IF(Fourteenth!E143="", "",Fourteenth!E143)</f>
        <v/>
      </c>
      <c r="F3390" s="66" t="str">
        <f>IF(Fourteenth!F143="", "",Fourteenth!F143)</f>
        <v/>
      </c>
      <c r="G3390" s="66" t="str">
        <f>IF(Fourteenth!G143="", "",Fourteenth!G143)</f>
        <v/>
      </c>
      <c r="H3390" s="66" t="str">
        <f>IF(Fourteenth!H143="", "",Fourteenth!H143)</f>
        <v/>
      </c>
      <c r="I3390" s="66" t="str">
        <f>IF(Fourteenth!I143="", "",Fourteenth!I143)</f>
        <v/>
      </c>
      <c r="J3390" s="66" t="str">
        <f>IF(Fourteenth!J143="", "",Fourteenth!J143)</f>
        <v/>
      </c>
      <c r="K3390" s="86" t="str">
        <f>IF(Fourteenth!K143="", "",Fourteenth!K143)</f>
        <v/>
      </c>
      <c r="M3390" s="67" t="str">
        <f t="shared" si="158"/>
        <v/>
      </c>
      <c r="N3390" s="76" t="str">
        <f t="shared" si="159"/>
        <v/>
      </c>
      <c r="O3390" s="33">
        <f t="shared" si="157"/>
        <v>0</v>
      </c>
    </row>
    <row r="3391" spans="1:15" x14ac:dyDescent="0.25">
      <c r="A3391" s="64" t="s">
        <v>185</v>
      </c>
      <c r="B3391" s="79" t="str">
        <f>IF(Fourteenth!B144="", "",Fourteenth!B144)</f>
        <v/>
      </c>
      <c r="C3391" s="66" t="str">
        <f>IF(Fourteenth!C144="", "",Fourteenth!C144)</f>
        <v/>
      </c>
      <c r="D3391" s="66" t="str">
        <f>IF(Fourteenth!D144="", "",Fourteenth!D144)</f>
        <v/>
      </c>
      <c r="E3391" s="66" t="str">
        <f>IF(Fourteenth!E144="", "",Fourteenth!E144)</f>
        <v/>
      </c>
      <c r="F3391" s="66" t="str">
        <f>IF(Fourteenth!F144="", "",Fourteenth!F144)</f>
        <v/>
      </c>
      <c r="G3391" s="66" t="str">
        <f>IF(Fourteenth!G144="", "",Fourteenth!G144)</f>
        <v/>
      </c>
      <c r="H3391" s="66" t="str">
        <f>IF(Fourteenth!H144="", "",Fourteenth!H144)</f>
        <v/>
      </c>
      <c r="I3391" s="66" t="str">
        <f>IF(Fourteenth!I144="", "",Fourteenth!I144)</f>
        <v/>
      </c>
      <c r="J3391" s="66" t="str">
        <f>IF(Fourteenth!J144="", "",Fourteenth!J144)</f>
        <v/>
      </c>
      <c r="K3391" s="86" t="str">
        <f>IF(Fourteenth!K144="", "",Fourteenth!K144)</f>
        <v/>
      </c>
      <c r="M3391" s="67" t="str">
        <f t="shared" si="158"/>
        <v/>
      </c>
      <c r="N3391" s="76" t="str">
        <f t="shared" si="159"/>
        <v/>
      </c>
      <c r="O3391" s="33">
        <f t="shared" si="157"/>
        <v>0</v>
      </c>
    </row>
    <row r="3392" spans="1:15" x14ac:dyDescent="0.25">
      <c r="A3392" s="64" t="s">
        <v>185</v>
      </c>
      <c r="B3392" s="79" t="str">
        <f>IF(Fourteenth!B145="", "",Fourteenth!B145)</f>
        <v/>
      </c>
      <c r="C3392" s="66" t="str">
        <f>IF(Fourteenth!C145="", "",Fourteenth!C145)</f>
        <v/>
      </c>
      <c r="D3392" s="66" t="str">
        <f>IF(Fourteenth!D145="", "",Fourteenth!D145)</f>
        <v/>
      </c>
      <c r="E3392" s="66" t="str">
        <f>IF(Fourteenth!E145="", "",Fourteenth!E145)</f>
        <v/>
      </c>
      <c r="F3392" s="66" t="str">
        <f>IF(Fourteenth!F145="", "",Fourteenth!F145)</f>
        <v/>
      </c>
      <c r="G3392" s="66" t="str">
        <f>IF(Fourteenth!G145="", "",Fourteenth!G145)</f>
        <v/>
      </c>
      <c r="H3392" s="66" t="str">
        <f>IF(Fourteenth!H145="", "",Fourteenth!H145)</f>
        <v/>
      </c>
      <c r="I3392" s="66" t="str">
        <f>IF(Fourteenth!I145="", "",Fourteenth!I145)</f>
        <v/>
      </c>
      <c r="J3392" s="66" t="str">
        <f>IF(Fourteenth!J145="", "",Fourteenth!J145)</f>
        <v/>
      </c>
      <c r="K3392" s="86" t="str">
        <f>IF(Fourteenth!K145="", "",Fourteenth!K145)</f>
        <v/>
      </c>
      <c r="M3392" s="67" t="str">
        <f t="shared" si="158"/>
        <v/>
      </c>
      <c r="N3392" s="76" t="str">
        <f t="shared" si="159"/>
        <v/>
      </c>
      <c r="O3392" s="33">
        <f t="shared" si="157"/>
        <v>0</v>
      </c>
    </row>
    <row r="3393" spans="1:15" x14ac:dyDescent="0.25">
      <c r="A3393" s="64" t="s">
        <v>185</v>
      </c>
      <c r="B3393" s="79" t="str">
        <f>IF(Fourteenth!B146="", "",Fourteenth!B146)</f>
        <v/>
      </c>
      <c r="C3393" s="66" t="str">
        <f>IF(Fourteenth!C146="", "",Fourteenth!C146)</f>
        <v/>
      </c>
      <c r="D3393" s="66" t="str">
        <f>IF(Fourteenth!D146="", "",Fourteenth!D146)</f>
        <v/>
      </c>
      <c r="E3393" s="66" t="str">
        <f>IF(Fourteenth!E146="", "",Fourteenth!E146)</f>
        <v/>
      </c>
      <c r="F3393" s="66" t="str">
        <f>IF(Fourteenth!F146="", "",Fourteenth!F146)</f>
        <v/>
      </c>
      <c r="G3393" s="66" t="str">
        <f>IF(Fourteenth!G146="", "",Fourteenth!G146)</f>
        <v/>
      </c>
      <c r="H3393" s="66" t="str">
        <f>IF(Fourteenth!H146="", "",Fourteenth!H146)</f>
        <v/>
      </c>
      <c r="I3393" s="66" t="str">
        <f>IF(Fourteenth!I146="", "",Fourteenth!I146)</f>
        <v/>
      </c>
      <c r="J3393" s="66" t="str">
        <f>IF(Fourteenth!J146="", "",Fourteenth!J146)</f>
        <v/>
      </c>
      <c r="K3393" s="86" t="str">
        <f>IF(Fourteenth!K146="", "",Fourteenth!K146)</f>
        <v/>
      </c>
      <c r="M3393" s="67" t="str">
        <f t="shared" si="158"/>
        <v/>
      </c>
      <c r="N3393" s="76" t="str">
        <f t="shared" si="159"/>
        <v/>
      </c>
      <c r="O3393" s="33">
        <f t="shared" si="157"/>
        <v>0</v>
      </c>
    </row>
    <row r="3394" spans="1:15" x14ac:dyDescent="0.25">
      <c r="A3394" s="64" t="s">
        <v>185</v>
      </c>
      <c r="B3394" s="79" t="str">
        <f>IF(Fourteenth!B147="", "",Fourteenth!B147)</f>
        <v/>
      </c>
      <c r="C3394" s="66" t="str">
        <f>IF(Fourteenth!C147="", "",Fourteenth!C147)</f>
        <v/>
      </c>
      <c r="D3394" s="66" t="str">
        <f>IF(Fourteenth!D147="", "",Fourteenth!D147)</f>
        <v/>
      </c>
      <c r="E3394" s="66" t="str">
        <f>IF(Fourteenth!E147="", "",Fourteenth!E147)</f>
        <v/>
      </c>
      <c r="F3394" s="66" t="str">
        <f>IF(Fourteenth!F147="", "",Fourteenth!F147)</f>
        <v/>
      </c>
      <c r="G3394" s="66" t="str">
        <f>IF(Fourteenth!G147="", "",Fourteenth!G147)</f>
        <v/>
      </c>
      <c r="H3394" s="66" t="str">
        <f>IF(Fourteenth!H147="", "",Fourteenth!H147)</f>
        <v/>
      </c>
      <c r="I3394" s="66" t="str">
        <f>IF(Fourteenth!I147="", "",Fourteenth!I147)</f>
        <v/>
      </c>
      <c r="J3394" s="66" t="str">
        <f>IF(Fourteenth!J147="", "",Fourteenth!J147)</f>
        <v/>
      </c>
      <c r="K3394" s="86" t="str">
        <f>IF(Fourteenth!K147="", "",Fourteenth!K147)</f>
        <v/>
      </c>
      <c r="M3394" s="67" t="str">
        <f t="shared" si="158"/>
        <v/>
      </c>
      <c r="N3394" s="76" t="str">
        <f t="shared" si="159"/>
        <v/>
      </c>
      <c r="O3394" s="33">
        <f t="shared" ref="O3394:O3457" si="160">SUM(M3394:N3394)</f>
        <v>0</v>
      </c>
    </row>
    <row r="3395" spans="1:15" x14ac:dyDescent="0.25">
      <c r="A3395" s="64" t="s">
        <v>185</v>
      </c>
      <c r="B3395" s="79" t="str">
        <f>IF(Fourteenth!B148="", "",Fourteenth!B148)</f>
        <v/>
      </c>
      <c r="C3395" s="66" t="str">
        <f>IF(Fourteenth!C148="", "",Fourteenth!C148)</f>
        <v/>
      </c>
      <c r="D3395" s="66" t="str">
        <f>IF(Fourteenth!D148="", "",Fourteenth!D148)</f>
        <v/>
      </c>
      <c r="E3395" s="66" t="str">
        <f>IF(Fourteenth!E148="", "",Fourteenth!E148)</f>
        <v/>
      </c>
      <c r="F3395" s="66" t="str">
        <f>IF(Fourteenth!F148="", "",Fourteenth!F148)</f>
        <v/>
      </c>
      <c r="G3395" s="66" t="str">
        <f>IF(Fourteenth!G148="", "",Fourteenth!G148)</f>
        <v/>
      </c>
      <c r="H3395" s="66" t="str">
        <f>IF(Fourteenth!H148="", "",Fourteenth!H148)</f>
        <v/>
      </c>
      <c r="I3395" s="66" t="str">
        <f>IF(Fourteenth!I148="", "",Fourteenth!I148)</f>
        <v/>
      </c>
      <c r="J3395" s="66" t="str">
        <f>IF(Fourteenth!J148="", "",Fourteenth!J148)</f>
        <v/>
      </c>
      <c r="K3395" s="86" t="str">
        <f>IF(Fourteenth!K148="", "",Fourteenth!K148)</f>
        <v/>
      </c>
      <c r="M3395" s="67" t="str">
        <f t="shared" ref="M3395:M3458" si="161">IF(C3395="PwC",(7-COUNTIF(B3395:H3395,"")),"")</f>
        <v/>
      </c>
      <c r="N3395" s="76" t="str">
        <f t="shared" ref="N3395:N3458" si="162">IF(C3395="Carer",(7-COUNTIF(B3395:H3395,"")),"")</f>
        <v/>
      </c>
      <c r="O3395" s="33">
        <f t="shared" si="160"/>
        <v>0</v>
      </c>
    </row>
    <row r="3396" spans="1:15" x14ac:dyDescent="0.25">
      <c r="A3396" s="64" t="s">
        <v>185</v>
      </c>
      <c r="B3396" s="79" t="str">
        <f>IF(Fourteenth!B149="", "",Fourteenth!B149)</f>
        <v/>
      </c>
      <c r="C3396" s="66" t="str">
        <f>IF(Fourteenth!C149="", "",Fourteenth!C149)</f>
        <v/>
      </c>
      <c r="D3396" s="66" t="str">
        <f>IF(Fourteenth!D149="", "",Fourteenth!D149)</f>
        <v/>
      </c>
      <c r="E3396" s="66" t="str">
        <f>IF(Fourteenth!E149="", "",Fourteenth!E149)</f>
        <v/>
      </c>
      <c r="F3396" s="66" t="str">
        <f>IF(Fourteenth!F149="", "",Fourteenth!F149)</f>
        <v/>
      </c>
      <c r="G3396" s="66" t="str">
        <f>IF(Fourteenth!G149="", "",Fourteenth!G149)</f>
        <v/>
      </c>
      <c r="H3396" s="66" t="str">
        <f>IF(Fourteenth!H149="", "",Fourteenth!H149)</f>
        <v/>
      </c>
      <c r="I3396" s="66" t="str">
        <f>IF(Fourteenth!I149="", "",Fourteenth!I149)</f>
        <v/>
      </c>
      <c r="J3396" s="66" t="str">
        <f>IF(Fourteenth!J149="", "",Fourteenth!J149)</f>
        <v/>
      </c>
      <c r="K3396" s="86" t="str">
        <f>IF(Fourteenth!K149="", "",Fourteenth!K149)</f>
        <v/>
      </c>
      <c r="M3396" s="67" t="str">
        <f t="shared" si="161"/>
        <v/>
      </c>
      <c r="N3396" s="76" t="str">
        <f t="shared" si="162"/>
        <v/>
      </c>
      <c r="O3396" s="33">
        <f t="shared" si="160"/>
        <v>0</v>
      </c>
    </row>
    <row r="3397" spans="1:15" x14ac:dyDescent="0.25">
      <c r="A3397" s="64" t="s">
        <v>185</v>
      </c>
      <c r="B3397" s="79" t="str">
        <f>IF(Fourteenth!B150="", "",Fourteenth!B150)</f>
        <v/>
      </c>
      <c r="C3397" s="66" t="str">
        <f>IF(Fourteenth!C150="", "",Fourteenth!C150)</f>
        <v/>
      </c>
      <c r="D3397" s="66" t="str">
        <f>IF(Fourteenth!D150="", "",Fourteenth!D150)</f>
        <v/>
      </c>
      <c r="E3397" s="66" t="str">
        <f>IF(Fourteenth!E150="", "",Fourteenth!E150)</f>
        <v/>
      </c>
      <c r="F3397" s="66" t="str">
        <f>IF(Fourteenth!F150="", "",Fourteenth!F150)</f>
        <v/>
      </c>
      <c r="G3397" s="66" t="str">
        <f>IF(Fourteenth!G150="", "",Fourteenth!G150)</f>
        <v/>
      </c>
      <c r="H3397" s="66" t="str">
        <f>IF(Fourteenth!H150="", "",Fourteenth!H150)</f>
        <v/>
      </c>
      <c r="I3397" s="66" t="str">
        <f>IF(Fourteenth!I150="", "",Fourteenth!I150)</f>
        <v/>
      </c>
      <c r="J3397" s="66" t="str">
        <f>IF(Fourteenth!J150="", "",Fourteenth!J150)</f>
        <v/>
      </c>
      <c r="K3397" s="86" t="str">
        <f>IF(Fourteenth!K150="", "",Fourteenth!K150)</f>
        <v/>
      </c>
      <c r="M3397" s="67" t="str">
        <f t="shared" si="161"/>
        <v/>
      </c>
      <c r="N3397" s="76" t="str">
        <f t="shared" si="162"/>
        <v/>
      </c>
      <c r="O3397" s="33">
        <f t="shared" si="160"/>
        <v>0</v>
      </c>
    </row>
    <row r="3398" spans="1:15" x14ac:dyDescent="0.25">
      <c r="A3398" s="64" t="s">
        <v>185</v>
      </c>
      <c r="B3398" s="79" t="str">
        <f>IF(Fourteenth!B151="", "",Fourteenth!B151)</f>
        <v/>
      </c>
      <c r="C3398" s="66" t="str">
        <f>IF(Fourteenth!C151="", "",Fourteenth!C151)</f>
        <v/>
      </c>
      <c r="D3398" s="66" t="str">
        <f>IF(Fourteenth!D151="", "",Fourteenth!D151)</f>
        <v/>
      </c>
      <c r="E3398" s="66" t="str">
        <f>IF(Fourteenth!E151="", "",Fourteenth!E151)</f>
        <v/>
      </c>
      <c r="F3398" s="66" t="str">
        <f>IF(Fourteenth!F151="", "",Fourteenth!F151)</f>
        <v/>
      </c>
      <c r="G3398" s="66" t="str">
        <f>IF(Fourteenth!G151="", "",Fourteenth!G151)</f>
        <v/>
      </c>
      <c r="H3398" s="66" t="str">
        <f>IF(Fourteenth!H151="", "",Fourteenth!H151)</f>
        <v/>
      </c>
      <c r="I3398" s="66" t="str">
        <f>IF(Fourteenth!I151="", "",Fourteenth!I151)</f>
        <v/>
      </c>
      <c r="J3398" s="66" t="str">
        <f>IF(Fourteenth!J151="", "",Fourteenth!J151)</f>
        <v/>
      </c>
      <c r="K3398" s="86" t="str">
        <f>IF(Fourteenth!K151="", "",Fourteenth!K151)</f>
        <v/>
      </c>
      <c r="M3398" s="67" t="str">
        <f t="shared" si="161"/>
        <v/>
      </c>
      <c r="N3398" s="76" t="str">
        <f t="shared" si="162"/>
        <v/>
      </c>
      <c r="O3398" s="33">
        <f t="shared" si="160"/>
        <v>0</v>
      </c>
    </row>
    <row r="3399" spans="1:15" x14ac:dyDescent="0.25">
      <c r="A3399" s="64" t="s">
        <v>185</v>
      </c>
      <c r="B3399" s="79" t="str">
        <f>IF(Fourteenth!B152="", "",Fourteenth!B152)</f>
        <v/>
      </c>
      <c r="C3399" s="66" t="str">
        <f>IF(Fourteenth!C152="", "",Fourteenth!C152)</f>
        <v/>
      </c>
      <c r="D3399" s="66" t="str">
        <f>IF(Fourteenth!D152="", "",Fourteenth!D152)</f>
        <v/>
      </c>
      <c r="E3399" s="66" t="str">
        <f>IF(Fourteenth!E152="", "",Fourteenth!E152)</f>
        <v/>
      </c>
      <c r="F3399" s="66" t="str">
        <f>IF(Fourteenth!F152="", "",Fourteenth!F152)</f>
        <v/>
      </c>
      <c r="G3399" s="66" t="str">
        <f>IF(Fourteenth!G152="", "",Fourteenth!G152)</f>
        <v/>
      </c>
      <c r="H3399" s="66" t="str">
        <f>IF(Fourteenth!H152="", "",Fourteenth!H152)</f>
        <v/>
      </c>
      <c r="I3399" s="66" t="str">
        <f>IF(Fourteenth!I152="", "",Fourteenth!I152)</f>
        <v/>
      </c>
      <c r="J3399" s="66" t="str">
        <f>IF(Fourteenth!J152="", "",Fourteenth!J152)</f>
        <v/>
      </c>
      <c r="K3399" s="86" t="str">
        <f>IF(Fourteenth!K152="", "",Fourteenth!K152)</f>
        <v/>
      </c>
      <c r="M3399" s="67" t="str">
        <f t="shared" si="161"/>
        <v/>
      </c>
      <c r="N3399" s="76" t="str">
        <f t="shared" si="162"/>
        <v/>
      </c>
      <c r="O3399" s="33">
        <f t="shared" si="160"/>
        <v>0</v>
      </c>
    </row>
    <row r="3400" spans="1:15" x14ac:dyDescent="0.25">
      <c r="A3400" s="64" t="s">
        <v>185</v>
      </c>
      <c r="B3400" s="79" t="str">
        <f>IF(Fourteenth!B153="", "",Fourteenth!B153)</f>
        <v/>
      </c>
      <c r="C3400" s="66" t="str">
        <f>IF(Fourteenth!C153="", "",Fourteenth!C153)</f>
        <v/>
      </c>
      <c r="D3400" s="66" t="str">
        <f>IF(Fourteenth!D153="", "",Fourteenth!D153)</f>
        <v/>
      </c>
      <c r="E3400" s="66" t="str">
        <f>IF(Fourteenth!E153="", "",Fourteenth!E153)</f>
        <v/>
      </c>
      <c r="F3400" s="66" t="str">
        <f>IF(Fourteenth!F153="", "",Fourteenth!F153)</f>
        <v/>
      </c>
      <c r="G3400" s="66" t="str">
        <f>IF(Fourteenth!G153="", "",Fourteenth!G153)</f>
        <v/>
      </c>
      <c r="H3400" s="66" t="str">
        <f>IF(Fourteenth!H153="", "",Fourteenth!H153)</f>
        <v/>
      </c>
      <c r="I3400" s="66" t="str">
        <f>IF(Fourteenth!I153="", "",Fourteenth!I153)</f>
        <v/>
      </c>
      <c r="J3400" s="66" t="str">
        <f>IF(Fourteenth!J153="", "",Fourteenth!J153)</f>
        <v/>
      </c>
      <c r="K3400" s="86" t="str">
        <f>IF(Fourteenth!K153="", "",Fourteenth!K153)</f>
        <v/>
      </c>
      <c r="M3400" s="67" t="str">
        <f t="shared" si="161"/>
        <v/>
      </c>
      <c r="N3400" s="76" t="str">
        <f t="shared" si="162"/>
        <v/>
      </c>
      <c r="O3400" s="33">
        <f t="shared" si="160"/>
        <v>0</v>
      </c>
    </row>
    <row r="3401" spans="1:15" x14ac:dyDescent="0.25">
      <c r="A3401" s="64" t="s">
        <v>185</v>
      </c>
      <c r="B3401" s="79" t="str">
        <f>IF(Fourteenth!B154="", "",Fourteenth!B154)</f>
        <v/>
      </c>
      <c r="C3401" s="66" t="str">
        <f>IF(Fourteenth!C154="", "",Fourteenth!C154)</f>
        <v/>
      </c>
      <c r="D3401" s="66" t="str">
        <f>IF(Fourteenth!D154="", "",Fourteenth!D154)</f>
        <v/>
      </c>
      <c r="E3401" s="66" t="str">
        <f>IF(Fourteenth!E154="", "",Fourteenth!E154)</f>
        <v/>
      </c>
      <c r="F3401" s="66" t="str">
        <f>IF(Fourteenth!F154="", "",Fourteenth!F154)</f>
        <v/>
      </c>
      <c r="G3401" s="66" t="str">
        <f>IF(Fourteenth!G154="", "",Fourteenth!G154)</f>
        <v/>
      </c>
      <c r="H3401" s="66" t="str">
        <f>IF(Fourteenth!H154="", "",Fourteenth!H154)</f>
        <v/>
      </c>
      <c r="I3401" s="66" t="str">
        <f>IF(Fourteenth!I154="", "",Fourteenth!I154)</f>
        <v/>
      </c>
      <c r="J3401" s="66" t="str">
        <f>IF(Fourteenth!J154="", "",Fourteenth!J154)</f>
        <v/>
      </c>
      <c r="K3401" s="86" t="str">
        <f>IF(Fourteenth!K154="", "",Fourteenth!K154)</f>
        <v/>
      </c>
      <c r="M3401" s="67" t="str">
        <f t="shared" si="161"/>
        <v/>
      </c>
      <c r="N3401" s="76" t="str">
        <f t="shared" si="162"/>
        <v/>
      </c>
      <c r="O3401" s="33">
        <f t="shared" si="160"/>
        <v>0</v>
      </c>
    </row>
    <row r="3402" spans="1:15" x14ac:dyDescent="0.25">
      <c r="A3402" s="64" t="s">
        <v>185</v>
      </c>
      <c r="B3402" s="79" t="str">
        <f>IF(Fourteenth!B155="", "",Fourteenth!B155)</f>
        <v/>
      </c>
      <c r="C3402" s="66" t="str">
        <f>IF(Fourteenth!C155="", "",Fourteenth!C155)</f>
        <v/>
      </c>
      <c r="D3402" s="66" t="str">
        <f>IF(Fourteenth!D155="", "",Fourteenth!D155)</f>
        <v/>
      </c>
      <c r="E3402" s="66" t="str">
        <f>IF(Fourteenth!E155="", "",Fourteenth!E155)</f>
        <v/>
      </c>
      <c r="F3402" s="66" t="str">
        <f>IF(Fourteenth!F155="", "",Fourteenth!F155)</f>
        <v/>
      </c>
      <c r="G3402" s="66" t="str">
        <f>IF(Fourteenth!G155="", "",Fourteenth!G155)</f>
        <v/>
      </c>
      <c r="H3402" s="66" t="str">
        <f>IF(Fourteenth!H155="", "",Fourteenth!H155)</f>
        <v/>
      </c>
      <c r="I3402" s="66" t="str">
        <f>IF(Fourteenth!I155="", "",Fourteenth!I155)</f>
        <v/>
      </c>
      <c r="J3402" s="66" t="str">
        <f>IF(Fourteenth!J155="", "",Fourteenth!J155)</f>
        <v/>
      </c>
      <c r="K3402" s="86" t="str">
        <f>IF(Fourteenth!K155="", "",Fourteenth!K155)</f>
        <v/>
      </c>
      <c r="M3402" s="67" t="str">
        <f t="shared" si="161"/>
        <v/>
      </c>
      <c r="N3402" s="76" t="str">
        <f t="shared" si="162"/>
        <v/>
      </c>
      <c r="O3402" s="33">
        <f t="shared" si="160"/>
        <v>0</v>
      </c>
    </row>
    <row r="3403" spans="1:15" x14ac:dyDescent="0.25">
      <c r="A3403" s="64" t="s">
        <v>185</v>
      </c>
      <c r="B3403" s="79" t="str">
        <f>IF(Fourteenth!B156="", "",Fourteenth!B156)</f>
        <v/>
      </c>
      <c r="C3403" s="66" t="str">
        <f>IF(Fourteenth!C156="", "",Fourteenth!C156)</f>
        <v/>
      </c>
      <c r="D3403" s="66" t="str">
        <f>IF(Fourteenth!D156="", "",Fourteenth!D156)</f>
        <v/>
      </c>
      <c r="E3403" s="66" t="str">
        <f>IF(Fourteenth!E156="", "",Fourteenth!E156)</f>
        <v/>
      </c>
      <c r="F3403" s="66" t="str">
        <f>IF(Fourteenth!F156="", "",Fourteenth!F156)</f>
        <v/>
      </c>
      <c r="G3403" s="66" t="str">
        <f>IF(Fourteenth!G156="", "",Fourteenth!G156)</f>
        <v/>
      </c>
      <c r="H3403" s="66" t="str">
        <f>IF(Fourteenth!H156="", "",Fourteenth!H156)</f>
        <v/>
      </c>
      <c r="I3403" s="66" t="str">
        <f>IF(Fourteenth!I156="", "",Fourteenth!I156)</f>
        <v/>
      </c>
      <c r="J3403" s="66" t="str">
        <f>IF(Fourteenth!J156="", "",Fourteenth!J156)</f>
        <v/>
      </c>
      <c r="K3403" s="86" t="str">
        <f>IF(Fourteenth!K156="", "",Fourteenth!K156)</f>
        <v/>
      </c>
      <c r="M3403" s="67" t="str">
        <f t="shared" si="161"/>
        <v/>
      </c>
      <c r="N3403" s="76" t="str">
        <f t="shared" si="162"/>
        <v/>
      </c>
      <c r="O3403" s="33">
        <f t="shared" si="160"/>
        <v>0</v>
      </c>
    </row>
    <row r="3404" spans="1:15" x14ac:dyDescent="0.25">
      <c r="A3404" s="64" t="s">
        <v>185</v>
      </c>
      <c r="B3404" s="79" t="str">
        <f>IF(Fourteenth!B157="", "",Fourteenth!B157)</f>
        <v/>
      </c>
      <c r="C3404" s="66" t="str">
        <f>IF(Fourteenth!C157="", "",Fourteenth!C157)</f>
        <v/>
      </c>
      <c r="D3404" s="66" t="str">
        <f>IF(Fourteenth!D157="", "",Fourteenth!D157)</f>
        <v/>
      </c>
      <c r="E3404" s="66" t="str">
        <f>IF(Fourteenth!E157="", "",Fourteenth!E157)</f>
        <v/>
      </c>
      <c r="F3404" s="66" t="str">
        <f>IF(Fourteenth!F157="", "",Fourteenth!F157)</f>
        <v/>
      </c>
      <c r="G3404" s="66" t="str">
        <f>IF(Fourteenth!G157="", "",Fourteenth!G157)</f>
        <v/>
      </c>
      <c r="H3404" s="66" t="str">
        <f>IF(Fourteenth!H157="", "",Fourteenth!H157)</f>
        <v/>
      </c>
      <c r="I3404" s="66" t="str">
        <f>IF(Fourteenth!I157="", "",Fourteenth!I157)</f>
        <v/>
      </c>
      <c r="J3404" s="66" t="str">
        <f>IF(Fourteenth!J157="", "",Fourteenth!J157)</f>
        <v/>
      </c>
      <c r="K3404" s="86" t="str">
        <f>IF(Fourteenth!K157="", "",Fourteenth!K157)</f>
        <v/>
      </c>
      <c r="M3404" s="67" t="str">
        <f t="shared" si="161"/>
        <v/>
      </c>
      <c r="N3404" s="76" t="str">
        <f t="shared" si="162"/>
        <v/>
      </c>
      <c r="O3404" s="33">
        <f t="shared" si="160"/>
        <v>0</v>
      </c>
    </row>
    <row r="3405" spans="1:15" x14ac:dyDescent="0.25">
      <c r="A3405" s="64" t="s">
        <v>185</v>
      </c>
      <c r="B3405" s="79" t="str">
        <f>IF(Fourteenth!B158="", "",Fourteenth!B158)</f>
        <v/>
      </c>
      <c r="C3405" s="66" t="str">
        <f>IF(Fourteenth!C158="", "",Fourteenth!C158)</f>
        <v/>
      </c>
      <c r="D3405" s="66" t="str">
        <f>IF(Fourteenth!D158="", "",Fourteenth!D158)</f>
        <v/>
      </c>
      <c r="E3405" s="66" t="str">
        <f>IF(Fourteenth!E158="", "",Fourteenth!E158)</f>
        <v/>
      </c>
      <c r="F3405" s="66" t="str">
        <f>IF(Fourteenth!F158="", "",Fourteenth!F158)</f>
        <v/>
      </c>
      <c r="G3405" s="66" t="str">
        <f>IF(Fourteenth!G158="", "",Fourteenth!G158)</f>
        <v/>
      </c>
      <c r="H3405" s="66" t="str">
        <f>IF(Fourteenth!H158="", "",Fourteenth!H158)</f>
        <v/>
      </c>
      <c r="I3405" s="66" t="str">
        <f>IF(Fourteenth!I158="", "",Fourteenth!I158)</f>
        <v/>
      </c>
      <c r="J3405" s="66" t="str">
        <f>IF(Fourteenth!J158="", "",Fourteenth!J158)</f>
        <v/>
      </c>
      <c r="K3405" s="86" t="str">
        <f>IF(Fourteenth!K158="", "",Fourteenth!K158)</f>
        <v/>
      </c>
      <c r="M3405" s="67" t="str">
        <f t="shared" si="161"/>
        <v/>
      </c>
      <c r="N3405" s="76" t="str">
        <f t="shared" si="162"/>
        <v/>
      </c>
      <c r="O3405" s="33">
        <f t="shared" si="160"/>
        <v>0</v>
      </c>
    </row>
    <row r="3406" spans="1:15" x14ac:dyDescent="0.25">
      <c r="A3406" s="64" t="s">
        <v>185</v>
      </c>
      <c r="B3406" s="79" t="str">
        <f>IF(Fourteenth!B159="", "",Fourteenth!B159)</f>
        <v/>
      </c>
      <c r="C3406" s="66" t="str">
        <f>IF(Fourteenth!C159="", "",Fourteenth!C159)</f>
        <v/>
      </c>
      <c r="D3406" s="66" t="str">
        <f>IF(Fourteenth!D159="", "",Fourteenth!D159)</f>
        <v/>
      </c>
      <c r="E3406" s="66" t="str">
        <f>IF(Fourteenth!E159="", "",Fourteenth!E159)</f>
        <v/>
      </c>
      <c r="F3406" s="66" t="str">
        <f>IF(Fourteenth!F159="", "",Fourteenth!F159)</f>
        <v/>
      </c>
      <c r="G3406" s="66" t="str">
        <f>IF(Fourteenth!G159="", "",Fourteenth!G159)</f>
        <v/>
      </c>
      <c r="H3406" s="66" t="str">
        <f>IF(Fourteenth!H159="", "",Fourteenth!H159)</f>
        <v/>
      </c>
      <c r="I3406" s="66" t="str">
        <f>IF(Fourteenth!I159="", "",Fourteenth!I159)</f>
        <v/>
      </c>
      <c r="J3406" s="66" t="str">
        <f>IF(Fourteenth!J159="", "",Fourteenth!J159)</f>
        <v/>
      </c>
      <c r="K3406" s="86" t="str">
        <f>IF(Fourteenth!K159="", "",Fourteenth!K159)</f>
        <v/>
      </c>
      <c r="M3406" s="67" t="str">
        <f t="shared" si="161"/>
        <v/>
      </c>
      <c r="N3406" s="76" t="str">
        <f t="shared" si="162"/>
        <v/>
      </c>
      <c r="O3406" s="33">
        <f t="shared" si="160"/>
        <v>0</v>
      </c>
    </row>
    <row r="3407" spans="1:15" x14ac:dyDescent="0.25">
      <c r="A3407" s="64" t="s">
        <v>185</v>
      </c>
      <c r="B3407" s="79" t="str">
        <f>IF(Fourteenth!B160="", "",Fourteenth!B160)</f>
        <v/>
      </c>
      <c r="C3407" s="66" t="str">
        <f>IF(Fourteenth!C160="", "",Fourteenth!C160)</f>
        <v/>
      </c>
      <c r="D3407" s="66" t="str">
        <f>IF(Fourteenth!D160="", "",Fourteenth!D160)</f>
        <v/>
      </c>
      <c r="E3407" s="66" t="str">
        <f>IF(Fourteenth!E160="", "",Fourteenth!E160)</f>
        <v/>
      </c>
      <c r="F3407" s="66" t="str">
        <f>IF(Fourteenth!F160="", "",Fourteenth!F160)</f>
        <v/>
      </c>
      <c r="G3407" s="66" t="str">
        <f>IF(Fourteenth!G160="", "",Fourteenth!G160)</f>
        <v/>
      </c>
      <c r="H3407" s="66" t="str">
        <f>IF(Fourteenth!H160="", "",Fourteenth!H160)</f>
        <v/>
      </c>
      <c r="I3407" s="66" t="str">
        <f>IF(Fourteenth!I160="", "",Fourteenth!I160)</f>
        <v/>
      </c>
      <c r="J3407" s="66" t="str">
        <f>IF(Fourteenth!J160="", "",Fourteenth!J160)</f>
        <v/>
      </c>
      <c r="K3407" s="86" t="str">
        <f>IF(Fourteenth!K160="", "",Fourteenth!K160)</f>
        <v/>
      </c>
      <c r="M3407" s="67" t="str">
        <f t="shared" si="161"/>
        <v/>
      </c>
      <c r="N3407" s="76" t="str">
        <f t="shared" si="162"/>
        <v/>
      </c>
      <c r="O3407" s="33">
        <f t="shared" si="160"/>
        <v>0</v>
      </c>
    </row>
    <row r="3408" spans="1:15" x14ac:dyDescent="0.25">
      <c r="A3408" s="64" t="s">
        <v>185</v>
      </c>
      <c r="B3408" s="79" t="str">
        <f>IF(Fourteenth!B161="", "",Fourteenth!B161)</f>
        <v/>
      </c>
      <c r="C3408" s="66" t="str">
        <f>IF(Fourteenth!C161="", "",Fourteenth!C161)</f>
        <v/>
      </c>
      <c r="D3408" s="66" t="str">
        <f>IF(Fourteenth!D161="", "",Fourteenth!D161)</f>
        <v/>
      </c>
      <c r="E3408" s="66" t="str">
        <f>IF(Fourteenth!E161="", "",Fourteenth!E161)</f>
        <v/>
      </c>
      <c r="F3408" s="66" t="str">
        <f>IF(Fourteenth!F161="", "",Fourteenth!F161)</f>
        <v/>
      </c>
      <c r="G3408" s="66" t="str">
        <f>IF(Fourteenth!G161="", "",Fourteenth!G161)</f>
        <v/>
      </c>
      <c r="H3408" s="66" t="str">
        <f>IF(Fourteenth!H161="", "",Fourteenth!H161)</f>
        <v/>
      </c>
      <c r="I3408" s="66" t="str">
        <f>IF(Fourteenth!I161="", "",Fourteenth!I161)</f>
        <v/>
      </c>
      <c r="J3408" s="66" t="str">
        <f>IF(Fourteenth!J161="", "",Fourteenth!J161)</f>
        <v/>
      </c>
      <c r="K3408" s="86" t="str">
        <f>IF(Fourteenth!K161="", "",Fourteenth!K161)</f>
        <v/>
      </c>
      <c r="M3408" s="67" t="str">
        <f t="shared" si="161"/>
        <v/>
      </c>
      <c r="N3408" s="76" t="str">
        <f t="shared" si="162"/>
        <v/>
      </c>
      <c r="O3408" s="33">
        <f t="shared" si="160"/>
        <v>0</v>
      </c>
    </row>
    <row r="3409" spans="1:15" x14ac:dyDescent="0.25">
      <c r="A3409" s="64" t="s">
        <v>185</v>
      </c>
      <c r="B3409" s="79" t="str">
        <f>IF(Fourteenth!B162="", "",Fourteenth!B162)</f>
        <v/>
      </c>
      <c r="C3409" s="66" t="str">
        <f>IF(Fourteenth!C162="", "",Fourteenth!C162)</f>
        <v/>
      </c>
      <c r="D3409" s="66" t="str">
        <f>IF(Fourteenth!D162="", "",Fourteenth!D162)</f>
        <v/>
      </c>
      <c r="E3409" s="66" t="str">
        <f>IF(Fourteenth!E162="", "",Fourteenth!E162)</f>
        <v/>
      </c>
      <c r="F3409" s="66" t="str">
        <f>IF(Fourteenth!F162="", "",Fourteenth!F162)</f>
        <v/>
      </c>
      <c r="G3409" s="66" t="str">
        <f>IF(Fourteenth!G162="", "",Fourteenth!G162)</f>
        <v/>
      </c>
      <c r="H3409" s="66" t="str">
        <f>IF(Fourteenth!H162="", "",Fourteenth!H162)</f>
        <v/>
      </c>
      <c r="I3409" s="66" t="str">
        <f>IF(Fourteenth!I162="", "",Fourteenth!I162)</f>
        <v/>
      </c>
      <c r="J3409" s="66" t="str">
        <f>IF(Fourteenth!J162="", "",Fourteenth!J162)</f>
        <v/>
      </c>
      <c r="K3409" s="86" t="str">
        <f>IF(Fourteenth!K162="", "",Fourteenth!K162)</f>
        <v/>
      </c>
      <c r="M3409" s="67" t="str">
        <f t="shared" si="161"/>
        <v/>
      </c>
      <c r="N3409" s="76" t="str">
        <f t="shared" si="162"/>
        <v/>
      </c>
      <c r="O3409" s="33">
        <f t="shared" si="160"/>
        <v>0</v>
      </c>
    </row>
    <row r="3410" spans="1:15" x14ac:dyDescent="0.25">
      <c r="A3410" s="64" t="s">
        <v>185</v>
      </c>
      <c r="B3410" s="79" t="str">
        <f>IF(Fourteenth!B163="", "",Fourteenth!B163)</f>
        <v/>
      </c>
      <c r="C3410" s="66" t="str">
        <f>IF(Fourteenth!C163="", "",Fourteenth!C163)</f>
        <v/>
      </c>
      <c r="D3410" s="66" t="str">
        <f>IF(Fourteenth!D163="", "",Fourteenth!D163)</f>
        <v/>
      </c>
      <c r="E3410" s="66" t="str">
        <f>IF(Fourteenth!E163="", "",Fourteenth!E163)</f>
        <v/>
      </c>
      <c r="F3410" s="66" t="str">
        <f>IF(Fourteenth!F163="", "",Fourteenth!F163)</f>
        <v/>
      </c>
      <c r="G3410" s="66" t="str">
        <f>IF(Fourteenth!G163="", "",Fourteenth!G163)</f>
        <v/>
      </c>
      <c r="H3410" s="66" t="str">
        <f>IF(Fourteenth!H163="", "",Fourteenth!H163)</f>
        <v/>
      </c>
      <c r="I3410" s="66" t="str">
        <f>IF(Fourteenth!I163="", "",Fourteenth!I163)</f>
        <v/>
      </c>
      <c r="J3410" s="66" t="str">
        <f>IF(Fourteenth!J163="", "",Fourteenth!J163)</f>
        <v/>
      </c>
      <c r="K3410" s="86" t="str">
        <f>IF(Fourteenth!K163="", "",Fourteenth!K163)</f>
        <v/>
      </c>
      <c r="M3410" s="67" t="str">
        <f t="shared" si="161"/>
        <v/>
      </c>
      <c r="N3410" s="76" t="str">
        <f t="shared" si="162"/>
        <v/>
      </c>
      <c r="O3410" s="33">
        <f t="shared" si="160"/>
        <v>0</v>
      </c>
    </row>
    <row r="3411" spans="1:15" x14ac:dyDescent="0.25">
      <c r="A3411" s="64" t="s">
        <v>185</v>
      </c>
      <c r="B3411" s="79" t="str">
        <f>IF(Fourteenth!B164="", "",Fourteenth!B164)</f>
        <v/>
      </c>
      <c r="C3411" s="66" t="str">
        <f>IF(Fourteenth!C164="", "",Fourteenth!C164)</f>
        <v/>
      </c>
      <c r="D3411" s="66" t="str">
        <f>IF(Fourteenth!D164="", "",Fourteenth!D164)</f>
        <v/>
      </c>
      <c r="E3411" s="66" t="str">
        <f>IF(Fourteenth!E164="", "",Fourteenth!E164)</f>
        <v/>
      </c>
      <c r="F3411" s="66" t="str">
        <f>IF(Fourteenth!F164="", "",Fourteenth!F164)</f>
        <v/>
      </c>
      <c r="G3411" s="66" t="str">
        <f>IF(Fourteenth!G164="", "",Fourteenth!G164)</f>
        <v/>
      </c>
      <c r="H3411" s="66" t="str">
        <f>IF(Fourteenth!H164="", "",Fourteenth!H164)</f>
        <v/>
      </c>
      <c r="I3411" s="66" t="str">
        <f>IF(Fourteenth!I164="", "",Fourteenth!I164)</f>
        <v/>
      </c>
      <c r="J3411" s="66" t="str">
        <f>IF(Fourteenth!J164="", "",Fourteenth!J164)</f>
        <v/>
      </c>
      <c r="K3411" s="86" t="str">
        <f>IF(Fourteenth!K164="", "",Fourteenth!K164)</f>
        <v/>
      </c>
      <c r="M3411" s="67" t="str">
        <f t="shared" si="161"/>
        <v/>
      </c>
      <c r="N3411" s="76" t="str">
        <f t="shared" si="162"/>
        <v/>
      </c>
      <c r="O3411" s="33">
        <f t="shared" si="160"/>
        <v>0</v>
      </c>
    </row>
    <row r="3412" spans="1:15" x14ac:dyDescent="0.25">
      <c r="A3412" s="64" t="s">
        <v>185</v>
      </c>
      <c r="B3412" s="79" t="str">
        <f>IF(Fourteenth!B165="", "",Fourteenth!B165)</f>
        <v/>
      </c>
      <c r="C3412" s="66" t="str">
        <f>IF(Fourteenth!C165="", "",Fourteenth!C165)</f>
        <v/>
      </c>
      <c r="D3412" s="66" t="str">
        <f>IF(Fourteenth!D165="", "",Fourteenth!D165)</f>
        <v/>
      </c>
      <c r="E3412" s="66" t="str">
        <f>IF(Fourteenth!E165="", "",Fourteenth!E165)</f>
        <v/>
      </c>
      <c r="F3412" s="66" t="str">
        <f>IF(Fourteenth!F165="", "",Fourteenth!F165)</f>
        <v/>
      </c>
      <c r="G3412" s="66" t="str">
        <f>IF(Fourteenth!G165="", "",Fourteenth!G165)</f>
        <v/>
      </c>
      <c r="H3412" s="66" t="str">
        <f>IF(Fourteenth!H165="", "",Fourteenth!H165)</f>
        <v/>
      </c>
      <c r="I3412" s="66" t="str">
        <f>IF(Fourteenth!I165="", "",Fourteenth!I165)</f>
        <v/>
      </c>
      <c r="J3412" s="66" t="str">
        <f>IF(Fourteenth!J165="", "",Fourteenth!J165)</f>
        <v/>
      </c>
      <c r="K3412" s="86" t="str">
        <f>IF(Fourteenth!K165="", "",Fourteenth!K165)</f>
        <v/>
      </c>
      <c r="M3412" s="67" t="str">
        <f t="shared" si="161"/>
        <v/>
      </c>
      <c r="N3412" s="76" t="str">
        <f t="shared" si="162"/>
        <v/>
      </c>
      <c r="O3412" s="33">
        <f t="shared" si="160"/>
        <v>0</v>
      </c>
    </row>
    <row r="3413" spans="1:15" x14ac:dyDescent="0.25">
      <c r="A3413" s="64" t="s">
        <v>185</v>
      </c>
      <c r="B3413" s="79" t="str">
        <f>IF(Fourteenth!B166="", "",Fourteenth!B166)</f>
        <v/>
      </c>
      <c r="C3413" s="66" t="str">
        <f>IF(Fourteenth!C166="", "",Fourteenth!C166)</f>
        <v/>
      </c>
      <c r="D3413" s="66" t="str">
        <f>IF(Fourteenth!D166="", "",Fourteenth!D166)</f>
        <v/>
      </c>
      <c r="E3413" s="66" t="str">
        <f>IF(Fourteenth!E166="", "",Fourteenth!E166)</f>
        <v/>
      </c>
      <c r="F3413" s="66" t="str">
        <f>IF(Fourteenth!F166="", "",Fourteenth!F166)</f>
        <v/>
      </c>
      <c r="G3413" s="66" t="str">
        <f>IF(Fourteenth!G166="", "",Fourteenth!G166)</f>
        <v/>
      </c>
      <c r="H3413" s="66" t="str">
        <f>IF(Fourteenth!H166="", "",Fourteenth!H166)</f>
        <v/>
      </c>
      <c r="I3413" s="66" t="str">
        <f>IF(Fourteenth!I166="", "",Fourteenth!I166)</f>
        <v/>
      </c>
      <c r="J3413" s="66" t="str">
        <f>IF(Fourteenth!J166="", "",Fourteenth!J166)</f>
        <v/>
      </c>
      <c r="K3413" s="86" t="str">
        <f>IF(Fourteenth!K166="", "",Fourteenth!K166)</f>
        <v/>
      </c>
      <c r="M3413" s="67" t="str">
        <f t="shared" si="161"/>
        <v/>
      </c>
      <c r="N3413" s="76" t="str">
        <f t="shared" si="162"/>
        <v/>
      </c>
      <c r="O3413" s="33">
        <f t="shared" si="160"/>
        <v>0</v>
      </c>
    </row>
    <row r="3414" spans="1:15" x14ac:dyDescent="0.25">
      <c r="A3414" s="64" t="s">
        <v>185</v>
      </c>
      <c r="B3414" s="79" t="str">
        <f>IF(Fourteenth!B167="", "",Fourteenth!B167)</f>
        <v/>
      </c>
      <c r="C3414" s="66" t="str">
        <f>IF(Fourteenth!C167="", "",Fourteenth!C167)</f>
        <v/>
      </c>
      <c r="D3414" s="66" t="str">
        <f>IF(Fourteenth!D167="", "",Fourteenth!D167)</f>
        <v/>
      </c>
      <c r="E3414" s="66" t="str">
        <f>IF(Fourteenth!E167="", "",Fourteenth!E167)</f>
        <v/>
      </c>
      <c r="F3414" s="66" t="str">
        <f>IF(Fourteenth!F167="", "",Fourteenth!F167)</f>
        <v/>
      </c>
      <c r="G3414" s="66" t="str">
        <f>IF(Fourteenth!G167="", "",Fourteenth!G167)</f>
        <v/>
      </c>
      <c r="H3414" s="66" t="str">
        <f>IF(Fourteenth!H167="", "",Fourteenth!H167)</f>
        <v/>
      </c>
      <c r="I3414" s="66" t="str">
        <f>IF(Fourteenth!I167="", "",Fourteenth!I167)</f>
        <v/>
      </c>
      <c r="J3414" s="66" t="str">
        <f>IF(Fourteenth!J167="", "",Fourteenth!J167)</f>
        <v/>
      </c>
      <c r="K3414" s="86" t="str">
        <f>IF(Fourteenth!K167="", "",Fourteenth!K167)</f>
        <v/>
      </c>
      <c r="M3414" s="67" t="str">
        <f t="shared" si="161"/>
        <v/>
      </c>
      <c r="N3414" s="76" t="str">
        <f t="shared" si="162"/>
        <v/>
      </c>
      <c r="O3414" s="33">
        <f t="shared" si="160"/>
        <v>0</v>
      </c>
    </row>
    <row r="3415" spans="1:15" x14ac:dyDescent="0.25">
      <c r="A3415" s="64" t="s">
        <v>185</v>
      </c>
      <c r="B3415" s="79" t="str">
        <f>IF(Fourteenth!B168="", "",Fourteenth!B168)</f>
        <v/>
      </c>
      <c r="C3415" s="66" t="str">
        <f>IF(Fourteenth!C168="", "",Fourteenth!C168)</f>
        <v/>
      </c>
      <c r="D3415" s="66" t="str">
        <f>IF(Fourteenth!D168="", "",Fourteenth!D168)</f>
        <v/>
      </c>
      <c r="E3415" s="66" t="str">
        <f>IF(Fourteenth!E168="", "",Fourteenth!E168)</f>
        <v/>
      </c>
      <c r="F3415" s="66" t="str">
        <f>IF(Fourteenth!F168="", "",Fourteenth!F168)</f>
        <v/>
      </c>
      <c r="G3415" s="66" t="str">
        <f>IF(Fourteenth!G168="", "",Fourteenth!G168)</f>
        <v/>
      </c>
      <c r="H3415" s="66" t="str">
        <f>IF(Fourteenth!H168="", "",Fourteenth!H168)</f>
        <v/>
      </c>
      <c r="I3415" s="66" t="str">
        <f>IF(Fourteenth!I168="", "",Fourteenth!I168)</f>
        <v/>
      </c>
      <c r="J3415" s="66" t="str">
        <f>IF(Fourteenth!J168="", "",Fourteenth!J168)</f>
        <v/>
      </c>
      <c r="K3415" s="86" t="str">
        <f>IF(Fourteenth!K168="", "",Fourteenth!K168)</f>
        <v/>
      </c>
      <c r="M3415" s="67" t="str">
        <f t="shared" si="161"/>
        <v/>
      </c>
      <c r="N3415" s="76" t="str">
        <f t="shared" si="162"/>
        <v/>
      </c>
      <c r="O3415" s="33">
        <f t="shared" si="160"/>
        <v>0</v>
      </c>
    </row>
    <row r="3416" spans="1:15" x14ac:dyDescent="0.25">
      <c r="A3416" s="64" t="s">
        <v>185</v>
      </c>
      <c r="B3416" s="79" t="str">
        <f>IF(Fourteenth!B169="", "",Fourteenth!B169)</f>
        <v/>
      </c>
      <c r="C3416" s="66" t="str">
        <f>IF(Fourteenth!C169="", "",Fourteenth!C169)</f>
        <v/>
      </c>
      <c r="D3416" s="66" t="str">
        <f>IF(Fourteenth!D169="", "",Fourteenth!D169)</f>
        <v/>
      </c>
      <c r="E3416" s="66" t="str">
        <f>IF(Fourteenth!E169="", "",Fourteenth!E169)</f>
        <v/>
      </c>
      <c r="F3416" s="66" t="str">
        <f>IF(Fourteenth!F169="", "",Fourteenth!F169)</f>
        <v/>
      </c>
      <c r="G3416" s="66" t="str">
        <f>IF(Fourteenth!G169="", "",Fourteenth!G169)</f>
        <v/>
      </c>
      <c r="H3416" s="66" t="str">
        <f>IF(Fourteenth!H169="", "",Fourteenth!H169)</f>
        <v/>
      </c>
      <c r="I3416" s="66" t="str">
        <f>IF(Fourteenth!I169="", "",Fourteenth!I169)</f>
        <v/>
      </c>
      <c r="J3416" s="66" t="str">
        <f>IF(Fourteenth!J169="", "",Fourteenth!J169)</f>
        <v/>
      </c>
      <c r="K3416" s="86" t="str">
        <f>IF(Fourteenth!K169="", "",Fourteenth!K169)</f>
        <v/>
      </c>
      <c r="M3416" s="67" t="str">
        <f t="shared" si="161"/>
        <v/>
      </c>
      <c r="N3416" s="76" t="str">
        <f t="shared" si="162"/>
        <v/>
      </c>
      <c r="O3416" s="33">
        <f t="shared" si="160"/>
        <v>0</v>
      </c>
    </row>
    <row r="3417" spans="1:15" x14ac:dyDescent="0.25">
      <c r="A3417" s="64" t="s">
        <v>185</v>
      </c>
      <c r="B3417" s="79" t="str">
        <f>IF(Fourteenth!B170="", "",Fourteenth!B170)</f>
        <v/>
      </c>
      <c r="C3417" s="66" t="str">
        <f>IF(Fourteenth!C170="", "",Fourteenth!C170)</f>
        <v/>
      </c>
      <c r="D3417" s="66" t="str">
        <f>IF(Fourteenth!D170="", "",Fourteenth!D170)</f>
        <v/>
      </c>
      <c r="E3417" s="66" t="str">
        <f>IF(Fourteenth!E170="", "",Fourteenth!E170)</f>
        <v/>
      </c>
      <c r="F3417" s="66" t="str">
        <f>IF(Fourteenth!F170="", "",Fourteenth!F170)</f>
        <v/>
      </c>
      <c r="G3417" s="66" t="str">
        <f>IF(Fourteenth!G170="", "",Fourteenth!G170)</f>
        <v/>
      </c>
      <c r="H3417" s="66" t="str">
        <f>IF(Fourteenth!H170="", "",Fourteenth!H170)</f>
        <v/>
      </c>
      <c r="I3417" s="66" t="str">
        <f>IF(Fourteenth!I170="", "",Fourteenth!I170)</f>
        <v/>
      </c>
      <c r="J3417" s="66" t="str">
        <f>IF(Fourteenth!J170="", "",Fourteenth!J170)</f>
        <v/>
      </c>
      <c r="K3417" s="86" t="str">
        <f>IF(Fourteenth!K170="", "",Fourteenth!K170)</f>
        <v/>
      </c>
      <c r="M3417" s="67" t="str">
        <f t="shared" si="161"/>
        <v/>
      </c>
      <c r="N3417" s="76" t="str">
        <f t="shared" si="162"/>
        <v/>
      </c>
      <c r="O3417" s="33">
        <f t="shared" si="160"/>
        <v>0</v>
      </c>
    </row>
    <row r="3418" spans="1:15" x14ac:dyDescent="0.25">
      <c r="A3418" s="64" t="s">
        <v>185</v>
      </c>
      <c r="B3418" s="79" t="str">
        <f>IF(Fourteenth!B171="", "",Fourteenth!B171)</f>
        <v/>
      </c>
      <c r="C3418" s="66" t="str">
        <f>IF(Fourteenth!C171="", "",Fourteenth!C171)</f>
        <v/>
      </c>
      <c r="D3418" s="66" t="str">
        <f>IF(Fourteenth!D171="", "",Fourteenth!D171)</f>
        <v/>
      </c>
      <c r="E3418" s="66" t="str">
        <f>IF(Fourteenth!E171="", "",Fourteenth!E171)</f>
        <v/>
      </c>
      <c r="F3418" s="66" t="str">
        <f>IF(Fourteenth!F171="", "",Fourteenth!F171)</f>
        <v/>
      </c>
      <c r="G3418" s="66" t="str">
        <f>IF(Fourteenth!G171="", "",Fourteenth!G171)</f>
        <v/>
      </c>
      <c r="H3418" s="66" t="str">
        <f>IF(Fourteenth!H171="", "",Fourteenth!H171)</f>
        <v/>
      </c>
      <c r="I3418" s="66" t="str">
        <f>IF(Fourteenth!I171="", "",Fourteenth!I171)</f>
        <v/>
      </c>
      <c r="J3418" s="66" t="str">
        <f>IF(Fourteenth!J171="", "",Fourteenth!J171)</f>
        <v/>
      </c>
      <c r="K3418" s="86" t="str">
        <f>IF(Fourteenth!K171="", "",Fourteenth!K171)</f>
        <v/>
      </c>
      <c r="M3418" s="67" t="str">
        <f t="shared" si="161"/>
        <v/>
      </c>
      <c r="N3418" s="76" t="str">
        <f t="shared" si="162"/>
        <v/>
      </c>
      <c r="O3418" s="33">
        <f t="shared" si="160"/>
        <v>0</v>
      </c>
    </row>
    <row r="3419" spans="1:15" x14ac:dyDescent="0.25">
      <c r="A3419" s="64" t="s">
        <v>185</v>
      </c>
      <c r="B3419" s="79" t="str">
        <f>IF(Fourteenth!B172="", "",Fourteenth!B172)</f>
        <v/>
      </c>
      <c r="C3419" s="66" t="str">
        <f>IF(Fourteenth!C172="", "",Fourteenth!C172)</f>
        <v/>
      </c>
      <c r="D3419" s="66" t="str">
        <f>IF(Fourteenth!D172="", "",Fourteenth!D172)</f>
        <v/>
      </c>
      <c r="E3419" s="66" t="str">
        <f>IF(Fourteenth!E172="", "",Fourteenth!E172)</f>
        <v/>
      </c>
      <c r="F3419" s="66" t="str">
        <f>IF(Fourteenth!F172="", "",Fourteenth!F172)</f>
        <v/>
      </c>
      <c r="G3419" s="66" t="str">
        <f>IF(Fourteenth!G172="", "",Fourteenth!G172)</f>
        <v/>
      </c>
      <c r="H3419" s="66" t="str">
        <f>IF(Fourteenth!H172="", "",Fourteenth!H172)</f>
        <v/>
      </c>
      <c r="I3419" s="66" t="str">
        <f>IF(Fourteenth!I172="", "",Fourteenth!I172)</f>
        <v/>
      </c>
      <c r="J3419" s="66" t="str">
        <f>IF(Fourteenth!J172="", "",Fourteenth!J172)</f>
        <v/>
      </c>
      <c r="K3419" s="86" t="str">
        <f>IF(Fourteenth!K172="", "",Fourteenth!K172)</f>
        <v/>
      </c>
      <c r="M3419" s="67" t="str">
        <f t="shared" si="161"/>
        <v/>
      </c>
      <c r="N3419" s="76" t="str">
        <f t="shared" si="162"/>
        <v/>
      </c>
      <c r="O3419" s="33">
        <f t="shared" si="160"/>
        <v>0</v>
      </c>
    </row>
    <row r="3420" spans="1:15" x14ac:dyDescent="0.25">
      <c r="A3420" s="64" t="s">
        <v>185</v>
      </c>
      <c r="B3420" s="79" t="str">
        <f>IF(Fourteenth!B173="", "",Fourteenth!B173)</f>
        <v/>
      </c>
      <c r="C3420" s="66" t="str">
        <f>IF(Fourteenth!C173="", "",Fourteenth!C173)</f>
        <v/>
      </c>
      <c r="D3420" s="66" t="str">
        <f>IF(Fourteenth!D173="", "",Fourteenth!D173)</f>
        <v/>
      </c>
      <c r="E3420" s="66" t="str">
        <f>IF(Fourteenth!E173="", "",Fourteenth!E173)</f>
        <v/>
      </c>
      <c r="F3420" s="66" t="str">
        <f>IF(Fourteenth!F173="", "",Fourteenth!F173)</f>
        <v/>
      </c>
      <c r="G3420" s="66" t="str">
        <f>IF(Fourteenth!G173="", "",Fourteenth!G173)</f>
        <v/>
      </c>
      <c r="H3420" s="66" t="str">
        <f>IF(Fourteenth!H173="", "",Fourteenth!H173)</f>
        <v/>
      </c>
      <c r="I3420" s="66" t="str">
        <f>IF(Fourteenth!I173="", "",Fourteenth!I173)</f>
        <v/>
      </c>
      <c r="J3420" s="66" t="str">
        <f>IF(Fourteenth!J173="", "",Fourteenth!J173)</f>
        <v/>
      </c>
      <c r="K3420" s="86" t="str">
        <f>IF(Fourteenth!K173="", "",Fourteenth!K173)</f>
        <v/>
      </c>
      <c r="M3420" s="67" t="str">
        <f t="shared" si="161"/>
        <v/>
      </c>
      <c r="N3420" s="76" t="str">
        <f t="shared" si="162"/>
        <v/>
      </c>
      <c r="O3420" s="33">
        <f t="shared" si="160"/>
        <v>0</v>
      </c>
    </row>
    <row r="3421" spans="1:15" x14ac:dyDescent="0.25">
      <c r="A3421" s="64" t="s">
        <v>185</v>
      </c>
      <c r="B3421" s="79" t="str">
        <f>IF(Fourteenth!B174="", "",Fourteenth!B174)</f>
        <v/>
      </c>
      <c r="C3421" s="66" t="str">
        <f>IF(Fourteenth!C174="", "",Fourteenth!C174)</f>
        <v/>
      </c>
      <c r="D3421" s="66" t="str">
        <f>IF(Fourteenth!D174="", "",Fourteenth!D174)</f>
        <v/>
      </c>
      <c r="E3421" s="66" t="str">
        <f>IF(Fourteenth!E174="", "",Fourteenth!E174)</f>
        <v/>
      </c>
      <c r="F3421" s="66" t="str">
        <f>IF(Fourteenth!F174="", "",Fourteenth!F174)</f>
        <v/>
      </c>
      <c r="G3421" s="66" t="str">
        <f>IF(Fourteenth!G174="", "",Fourteenth!G174)</f>
        <v/>
      </c>
      <c r="H3421" s="66" t="str">
        <f>IF(Fourteenth!H174="", "",Fourteenth!H174)</f>
        <v/>
      </c>
      <c r="I3421" s="66" t="str">
        <f>IF(Fourteenth!I174="", "",Fourteenth!I174)</f>
        <v/>
      </c>
      <c r="J3421" s="66" t="str">
        <f>IF(Fourteenth!J174="", "",Fourteenth!J174)</f>
        <v/>
      </c>
      <c r="K3421" s="86" t="str">
        <f>IF(Fourteenth!K174="", "",Fourteenth!K174)</f>
        <v/>
      </c>
      <c r="M3421" s="67" t="str">
        <f t="shared" si="161"/>
        <v/>
      </c>
      <c r="N3421" s="76" t="str">
        <f t="shared" si="162"/>
        <v/>
      </c>
      <c r="O3421" s="33">
        <f t="shared" si="160"/>
        <v>0</v>
      </c>
    </row>
    <row r="3422" spans="1:15" x14ac:dyDescent="0.25">
      <c r="A3422" s="64" t="s">
        <v>185</v>
      </c>
      <c r="B3422" s="79" t="str">
        <f>IF(Fourteenth!B175="", "",Fourteenth!B175)</f>
        <v/>
      </c>
      <c r="C3422" s="66" t="str">
        <f>IF(Fourteenth!C175="", "",Fourteenth!C175)</f>
        <v/>
      </c>
      <c r="D3422" s="66" t="str">
        <f>IF(Fourteenth!D175="", "",Fourteenth!D175)</f>
        <v/>
      </c>
      <c r="E3422" s="66" t="str">
        <f>IF(Fourteenth!E175="", "",Fourteenth!E175)</f>
        <v/>
      </c>
      <c r="F3422" s="66" t="str">
        <f>IF(Fourteenth!F175="", "",Fourteenth!F175)</f>
        <v/>
      </c>
      <c r="G3422" s="66" t="str">
        <f>IF(Fourteenth!G175="", "",Fourteenth!G175)</f>
        <v/>
      </c>
      <c r="H3422" s="66" t="str">
        <f>IF(Fourteenth!H175="", "",Fourteenth!H175)</f>
        <v/>
      </c>
      <c r="I3422" s="66" t="str">
        <f>IF(Fourteenth!I175="", "",Fourteenth!I175)</f>
        <v/>
      </c>
      <c r="J3422" s="66" t="str">
        <f>IF(Fourteenth!J175="", "",Fourteenth!J175)</f>
        <v/>
      </c>
      <c r="K3422" s="86" t="str">
        <f>IF(Fourteenth!K175="", "",Fourteenth!K175)</f>
        <v/>
      </c>
      <c r="M3422" s="67" t="str">
        <f t="shared" si="161"/>
        <v/>
      </c>
      <c r="N3422" s="76" t="str">
        <f t="shared" si="162"/>
        <v/>
      </c>
      <c r="O3422" s="33">
        <f t="shared" si="160"/>
        <v>0</v>
      </c>
    </row>
    <row r="3423" spans="1:15" x14ac:dyDescent="0.25">
      <c r="A3423" s="64" t="s">
        <v>185</v>
      </c>
      <c r="B3423" s="79" t="str">
        <f>IF(Fourteenth!B176="", "",Fourteenth!B176)</f>
        <v/>
      </c>
      <c r="C3423" s="66" t="str">
        <f>IF(Fourteenth!C176="", "",Fourteenth!C176)</f>
        <v/>
      </c>
      <c r="D3423" s="66" t="str">
        <f>IF(Fourteenth!D176="", "",Fourteenth!D176)</f>
        <v/>
      </c>
      <c r="E3423" s="66" t="str">
        <f>IF(Fourteenth!E176="", "",Fourteenth!E176)</f>
        <v/>
      </c>
      <c r="F3423" s="66" t="str">
        <f>IF(Fourteenth!F176="", "",Fourteenth!F176)</f>
        <v/>
      </c>
      <c r="G3423" s="66" t="str">
        <f>IF(Fourteenth!G176="", "",Fourteenth!G176)</f>
        <v/>
      </c>
      <c r="H3423" s="66" t="str">
        <f>IF(Fourteenth!H176="", "",Fourteenth!H176)</f>
        <v/>
      </c>
      <c r="I3423" s="66" t="str">
        <f>IF(Fourteenth!I176="", "",Fourteenth!I176)</f>
        <v/>
      </c>
      <c r="J3423" s="66" t="str">
        <f>IF(Fourteenth!J176="", "",Fourteenth!J176)</f>
        <v/>
      </c>
      <c r="K3423" s="86" t="str">
        <f>IF(Fourteenth!K176="", "",Fourteenth!K176)</f>
        <v/>
      </c>
      <c r="M3423" s="67" t="str">
        <f t="shared" si="161"/>
        <v/>
      </c>
      <c r="N3423" s="76" t="str">
        <f t="shared" si="162"/>
        <v/>
      </c>
      <c r="O3423" s="33">
        <f t="shared" si="160"/>
        <v>0</v>
      </c>
    </row>
    <row r="3424" spans="1:15" x14ac:dyDescent="0.25">
      <c r="A3424" s="64" t="s">
        <v>185</v>
      </c>
      <c r="B3424" s="79" t="str">
        <f>IF(Fourteenth!B177="", "",Fourteenth!B177)</f>
        <v/>
      </c>
      <c r="C3424" s="66" t="str">
        <f>IF(Fourteenth!C177="", "",Fourteenth!C177)</f>
        <v/>
      </c>
      <c r="D3424" s="66" t="str">
        <f>IF(Fourteenth!D177="", "",Fourteenth!D177)</f>
        <v/>
      </c>
      <c r="E3424" s="66" t="str">
        <f>IF(Fourteenth!E177="", "",Fourteenth!E177)</f>
        <v/>
      </c>
      <c r="F3424" s="66" t="str">
        <f>IF(Fourteenth!F177="", "",Fourteenth!F177)</f>
        <v/>
      </c>
      <c r="G3424" s="66" t="str">
        <f>IF(Fourteenth!G177="", "",Fourteenth!G177)</f>
        <v/>
      </c>
      <c r="H3424" s="66" t="str">
        <f>IF(Fourteenth!H177="", "",Fourteenth!H177)</f>
        <v/>
      </c>
      <c r="I3424" s="66" t="str">
        <f>IF(Fourteenth!I177="", "",Fourteenth!I177)</f>
        <v/>
      </c>
      <c r="J3424" s="66" t="str">
        <f>IF(Fourteenth!J177="", "",Fourteenth!J177)</f>
        <v/>
      </c>
      <c r="K3424" s="86" t="str">
        <f>IF(Fourteenth!K177="", "",Fourteenth!K177)</f>
        <v/>
      </c>
      <c r="M3424" s="67" t="str">
        <f t="shared" si="161"/>
        <v/>
      </c>
      <c r="N3424" s="76" t="str">
        <f t="shared" si="162"/>
        <v/>
      </c>
      <c r="O3424" s="33">
        <f t="shared" si="160"/>
        <v>0</v>
      </c>
    </row>
    <row r="3425" spans="1:15" x14ac:dyDescent="0.25">
      <c r="A3425" s="64" t="s">
        <v>185</v>
      </c>
      <c r="B3425" s="79" t="str">
        <f>IF(Fourteenth!B178="", "",Fourteenth!B178)</f>
        <v/>
      </c>
      <c r="C3425" s="66" t="str">
        <f>IF(Fourteenth!C178="", "",Fourteenth!C178)</f>
        <v/>
      </c>
      <c r="D3425" s="66" t="str">
        <f>IF(Fourteenth!D178="", "",Fourteenth!D178)</f>
        <v/>
      </c>
      <c r="E3425" s="66" t="str">
        <f>IF(Fourteenth!E178="", "",Fourteenth!E178)</f>
        <v/>
      </c>
      <c r="F3425" s="66" t="str">
        <f>IF(Fourteenth!F178="", "",Fourteenth!F178)</f>
        <v/>
      </c>
      <c r="G3425" s="66" t="str">
        <f>IF(Fourteenth!G178="", "",Fourteenth!G178)</f>
        <v/>
      </c>
      <c r="H3425" s="66" t="str">
        <f>IF(Fourteenth!H178="", "",Fourteenth!H178)</f>
        <v/>
      </c>
      <c r="I3425" s="66" t="str">
        <f>IF(Fourteenth!I178="", "",Fourteenth!I178)</f>
        <v/>
      </c>
      <c r="J3425" s="66" t="str">
        <f>IF(Fourteenth!J178="", "",Fourteenth!J178)</f>
        <v/>
      </c>
      <c r="K3425" s="86" t="str">
        <f>IF(Fourteenth!K178="", "",Fourteenth!K178)</f>
        <v/>
      </c>
      <c r="M3425" s="67" t="str">
        <f t="shared" si="161"/>
        <v/>
      </c>
      <c r="N3425" s="76" t="str">
        <f t="shared" si="162"/>
        <v/>
      </c>
      <c r="O3425" s="33">
        <f t="shared" si="160"/>
        <v>0</v>
      </c>
    </row>
    <row r="3426" spans="1:15" x14ac:dyDescent="0.25">
      <c r="A3426" s="64" t="s">
        <v>185</v>
      </c>
      <c r="B3426" s="79" t="str">
        <f>IF(Fourteenth!B179="", "",Fourteenth!B179)</f>
        <v/>
      </c>
      <c r="C3426" s="66" t="str">
        <f>IF(Fourteenth!C179="", "",Fourteenth!C179)</f>
        <v/>
      </c>
      <c r="D3426" s="66" t="str">
        <f>IF(Fourteenth!D179="", "",Fourteenth!D179)</f>
        <v/>
      </c>
      <c r="E3426" s="66" t="str">
        <f>IF(Fourteenth!E179="", "",Fourteenth!E179)</f>
        <v/>
      </c>
      <c r="F3426" s="66" t="str">
        <f>IF(Fourteenth!F179="", "",Fourteenth!F179)</f>
        <v/>
      </c>
      <c r="G3426" s="66" t="str">
        <f>IF(Fourteenth!G179="", "",Fourteenth!G179)</f>
        <v/>
      </c>
      <c r="H3426" s="66" t="str">
        <f>IF(Fourteenth!H179="", "",Fourteenth!H179)</f>
        <v/>
      </c>
      <c r="I3426" s="66" t="str">
        <f>IF(Fourteenth!I179="", "",Fourteenth!I179)</f>
        <v/>
      </c>
      <c r="J3426" s="66" t="str">
        <f>IF(Fourteenth!J179="", "",Fourteenth!J179)</f>
        <v/>
      </c>
      <c r="K3426" s="86" t="str">
        <f>IF(Fourteenth!K179="", "",Fourteenth!K179)</f>
        <v/>
      </c>
      <c r="M3426" s="67" t="str">
        <f t="shared" si="161"/>
        <v/>
      </c>
      <c r="N3426" s="76" t="str">
        <f t="shared" si="162"/>
        <v/>
      </c>
      <c r="O3426" s="33">
        <f t="shared" si="160"/>
        <v>0</v>
      </c>
    </row>
    <row r="3427" spans="1:15" x14ac:dyDescent="0.25">
      <c r="A3427" s="64" t="s">
        <v>185</v>
      </c>
      <c r="B3427" s="79" t="str">
        <f>IF(Fourteenth!B180="", "",Fourteenth!B180)</f>
        <v/>
      </c>
      <c r="C3427" s="66" t="str">
        <f>IF(Fourteenth!C180="", "",Fourteenth!C180)</f>
        <v/>
      </c>
      <c r="D3427" s="66" t="str">
        <f>IF(Fourteenth!D180="", "",Fourteenth!D180)</f>
        <v/>
      </c>
      <c r="E3427" s="66" t="str">
        <f>IF(Fourteenth!E180="", "",Fourteenth!E180)</f>
        <v/>
      </c>
      <c r="F3427" s="66" t="str">
        <f>IF(Fourteenth!F180="", "",Fourteenth!F180)</f>
        <v/>
      </c>
      <c r="G3427" s="66" t="str">
        <f>IF(Fourteenth!G180="", "",Fourteenth!G180)</f>
        <v/>
      </c>
      <c r="H3427" s="66" t="str">
        <f>IF(Fourteenth!H180="", "",Fourteenth!H180)</f>
        <v/>
      </c>
      <c r="I3427" s="66" t="str">
        <f>IF(Fourteenth!I180="", "",Fourteenth!I180)</f>
        <v/>
      </c>
      <c r="J3427" s="66" t="str">
        <f>IF(Fourteenth!J180="", "",Fourteenth!J180)</f>
        <v/>
      </c>
      <c r="K3427" s="86" t="str">
        <f>IF(Fourteenth!K180="", "",Fourteenth!K180)</f>
        <v/>
      </c>
      <c r="M3427" s="67" t="str">
        <f t="shared" si="161"/>
        <v/>
      </c>
      <c r="N3427" s="76" t="str">
        <f t="shared" si="162"/>
        <v/>
      </c>
      <c r="O3427" s="33">
        <f t="shared" si="160"/>
        <v>0</v>
      </c>
    </row>
    <row r="3428" spans="1:15" x14ac:dyDescent="0.25">
      <c r="A3428" s="64" t="s">
        <v>185</v>
      </c>
      <c r="B3428" s="79" t="str">
        <f>IF(Fourteenth!B181="", "",Fourteenth!B181)</f>
        <v/>
      </c>
      <c r="C3428" s="66" t="str">
        <f>IF(Fourteenth!C181="", "",Fourteenth!C181)</f>
        <v/>
      </c>
      <c r="D3428" s="66" t="str">
        <f>IF(Fourteenth!D181="", "",Fourteenth!D181)</f>
        <v/>
      </c>
      <c r="E3428" s="66" t="str">
        <f>IF(Fourteenth!E181="", "",Fourteenth!E181)</f>
        <v/>
      </c>
      <c r="F3428" s="66" t="str">
        <f>IF(Fourteenth!F181="", "",Fourteenth!F181)</f>
        <v/>
      </c>
      <c r="G3428" s="66" t="str">
        <f>IF(Fourteenth!G181="", "",Fourteenth!G181)</f>
        <v/>
      </c>
      <c r="H3428" s="66" t="str">
        <f>IF(Fourteenth!H181="", "",Fourteenth!H181)</f>
        <v/>
      </c>
      <c r="I3428" s="66" t="str">
        <f>IF(Fourteenth!I181="", "",Fourteenth!I181)</f>
        <v/>
      </c>
      <c r="J3428" s="66" t="str">
        <f>IF(Fourteenth!J181="", "",Fourteenth!J181)</f>
        <v/>
      </c>
      <c r="K3428" s="86" t="str">
        <f>IF(Fourteenth!K181="", "",Fourteenth!K181)</f>
        <v/>
      </c>
      <c r="M3428" s="67" t="str">
        <f t="shared" si="161"/>
        <v/>
      </c>
      <c r="N3428" s="76" t="str">
        <f t="shared" si="162"/>
        <v/>
      </c>
      <c r="O3428" s="33">
        <f t="shared" si="160"/>
        <v>0</v>
      </c>
    </row>
    <row r="3429" spans="1:15" x14ac:dyDescent="0.25">
      <c r="A3429" s="64" t="s">
        <v>185</v>
      </c>
      <c r="B3429" s="79" t="str">
        <f>IF(Fourteenth!B182="", "",Fourteenth!B182)</f>
        <v/>
      </c>
      <c r="C3429" s="66" t="str">
        <f>IF(Fourteenth!C182="", "",Fourteenth!C182)</f>
        <v/>
      </c>
      <c r="D3429" s="66" t="str">
        <f>IF(Fourteenth!D182="", "",Fourteenth!D182)</f>
        <v/>
      </c>
      <c r="E3429" s="66" t="str">
        <f>IF(Fourteenth!E182="", "",Fourteenth!E182)</f>
        <v/>
      </c>
      <c r="F3429" s="66" t="str">
        <f>IF(Fourteenth!F182="", "",Fourteenth!F182)</f>
        <v/>
      </c>
      <c r="G3429" s="66" t="str">
        <f>IF(Fourteenth!G182="", "",Fourteenth!G182)</f>
        <v/>
      </c>
      <c r="H3429" s="66" t="str">
        <f>IF(Fourteenth!H182="", "",Fourteenth!H182)</f>
        <v/>
      </c>
      <c r="I3429" s="66" t="str">
        <f>IF(Fourteenth!I182="", "",Fourteenth!I182)</f>
        <v/>
      </c>
      <c r="J3429" s="66" t="str">
        <f>IF(Fourteenth!J182="", "",Fourteenth!J182)</f>
        <v/>
      </c>
      <c r="K3429" s="86" t="str">
        <f>IF(Fourteenth!K182="", "",Fourteenth!K182)</f>
        <v/>
      </c>
      <c r="M3429" s="67" t="str">
        <f t="shared" si="161"/>
        <v/>
      </c>
      <c r="N3429" s="76" t="str">
        <f t="shared" si="162"/>
        <v/>
      </c>
      <c r="O3429" s="33">
        <f t="shared" si="160"/>
        <v>0</v>
      </c>
    </row>
    <row r="3430" spans="1:15" x14ac:dyDescent="0.25">
      <c r="A3430" s="64" t="s">
        <v>185</v>
      </c>
      <c r="B3430" s="79" t="str">
        <f>IF(Fourteenth!B183="", "",Fourteenth!B183)</f>
        <v/>
      </c>
      <c r="C3430" s="66" t="str">
        <f>IF(Fourteenth!C183="", "",Fourteenth!C183)</f>
        <v/>
      </c>
      <c r="D3430" s="66" t="str">
        <f>IF(Fourteenth!D183="", "",Fourteenth!D183)</f>
        <v/>
      </c>
      <c r="E3430" s="66" t="str">
        <f>IF(Fourteenth!E183="", "",Fourteenth!E183)</f>
        <v/>
      </c>
      <c r="F3430" s="66" t="str">
        <f>IF(Fourteenth!F183="", "",Fourteenth!F183)</f>
        <v/>
      </c>
      <c r="G3430" s="66" t="str">
        <f>IF(Fourteenth!G183="", "",Fourteenth!G183)</f>
        <v/>
      </c>
      <c r="H3430" s="66" t="str">
        <f>IF(Fourteenth!H183="", "",Fourteenth!H183)</f>
        <v/>
      </c>
      <c r="I3430" s="66" t="str">
        <f>IF(Fourteenth!I183="", "",Fourteenth!I183)</f>
        <v/>
      </c>
      <c r="J3430" s="66" t="str">
        <f>IF(Fourteenth!J183="", "",Fourteenth!J183)</f>
        <v/>
      </c>
      <c r="K3430" s="86" t="str">
        <f>IF(Fourteenth!K183="", "",Fourteenth!K183)</f>
        <v/>
      </c>
      <c r="M3430" s="67" t="str">
        <f t="shared" si="161"/>
        <v/>
      </c>
      <c r="N3430" s="76" t="str">
        <f t="shared" si="162"/>
        <v/>
      </c>
      <c r="O3430" s="33">
        <f t="shared" si="160"/>
        <v>0</v>
      </c>
    </row>
    <row r="3431" spans="1:15" x14ac:dyDescent="0.25">
      <c r="A3431" s="64" t="s">
        <v>185</v>
      </c>
      <c r="B3431" s="79" t="str">
        <f>IF(Fourteenth!B184="", "",Fourteenth!B184)</f>
        <v/>
      </c>
      <c r="C3431" s="66" t="str">
        <f>IF(Fourteenth!C184="", "",Fourteenth!C184)</f>
        <v/>
      </c>
      <c r="D3431" s="66" t="str">
        <f>IF(Fourteenth!D184="", "",Fourteenth!D184)</f>
        <v/>
      </c>
      <c r="E3431" s="66" t="str">
        <f>IF(Fourteenth!E184="", "",Fourteenth!E184)</f>
        <v/>
      </c>
      <c r="F3431" s="66" t="str">
        <f>IF(Fourteenth!F184="", "",Fourteenth!F184)</f>
        <v/>
      </c>
      <c r="G3431" s="66" t="str">
        <f>IF(Fourteenth!G184="", "",Fourteenth!G184)</f>
        <v/>
      </c>
      <c r="H3431" s="66" t="str">
        <f>IF(Fourteenth!H184="", "",Fourteenth!H184)</f>
        <v/>
      </c>
      <c r="I3431" s="66" t="str">
        <f>IF(Fourteenth!I184="", "",Fourteenth!I184)</f>
        <v/>
      </c>
      <c r="J3431" s="66" t="str">
        <f>IF(Fourteenth!J184="", "",Fourteenth!J184)</f>
        <v/>
      </c>
      <c r="K3431" s="86" t="str">
        <f>IF(Fourteenth!K184="", "",Fourteenth!K184)</f>
        <v/>
      </c>
      <c r="M3431" s="67" t="str">
        <f t="shared" si="161"/>
        <v/>
      </c>
      <c r="N3431" s="76" t="str">
        <f t="shared" si="162"/>
        <v/>
      </c>
      <c r="O3431" s="33">
        <f t="shared" si="160"/>
        <v>0</v>
      </c>
    </row>
    <row r="3432" spans="1:15" x14ac:dyDescent="0.25">
      <c r="A3432" s="64" t="s">
        <v>185</v>
      </c>
      <c r="B3432" s="79" t="str">
        <f>IF(Fourteenth!B185="", "",Fourteenth!B185)</f>
        <v/>
      </c>
      <c r="C3432" s="66" t="str">
        <f>IF(Fourteenth!C185="", "",Fourteenth!C185)</f>
        <v/>
      </c>
      <c r="D3432" s="66" t="str">
        <f>IF(Fourteenth!D185="", "",Fourteenth!D185)</f>
        <v/>
      </c>
      <c r="E3432" s="66" t="str">
        <f>IF(Fourteenth!E185="", "",Fourteenth!E185)</f>
        <v/>
      </c>
      <c r="F3432" s="66" t="str">
        <f>IF(Fourteenth!F185="", "",Fourteenth!F185)</f>
        <v/>
      </c>
      <c r="G3432" s="66" t="str">
        <f>IF(Fourteenth!G185="", "",Fourteenth!G185)</f>
        <v/>
      </c>
      <c r="H3432" s="66" t="str">
        <f>IF(Fourteenth!H185="", "",Fourteenth!H185)</f>
        <v/>
      </c>
      <c r="I3432" s="66" t="str">
        <f>IF(Fourteenth!I185="", "",Fourteenth!I185)</f>
        <v/>
      </c>
      <c r="J3432" s="66" t="str">
        <f>IF(Fourteenth!J185="", "",Fourteenth!J185)</f>
        <v/>
      </c>
      <c r="K3432" s="86" t="str">
        <f>IF(Fourteenth!K185="", "",Fourteenth!K185)</f>
        <v/>
      </c>
      <c r="M3432" s="67" t="str">
        <f t="shared" si="161"/>
        <v/>
      </c>
      <c r="N3432" s="76" t="str">
        <f t="shared" si="162"/>
        <v/>
      </c>
      <c r="O3432" s="33">
        <f t="shared" si="160"/>
        <v>0</v>
      </c>
    </row>
    <row r="3433" spans="1:15" x14ac:dyDescent="0.25">
      <c r="A3433" s="64" t="s">
        <v>185</v>
      </c>
      <c r="B3433" s="79" t="str">
        <f>IF(Fourteenth!B186="", "",Fourteenth!B186)</f>
        <v/>
      </c>
      <c r="C3433" s="66" t="str">
        <f>IF(Fourteenth!C186="", "",Fourteenth!C186)</f>
        <v/>
      </c>
      <c r="D3433" s="66" t="str">
        <f>IF(Fourteenth!D186="", "",Fourteenth!D186)</f>
        <v/>
      </c>
      <c r="E3433" s="66" t="str">
        <f>IF(Fourteenth!E186="", "",Fourteenth!E186)</f>
        <v/>
      </c>
      <c r="F3433" s="66" t="str">
        <f>IF(Fourteenth!F186="", "",Fourteenth!F186)</f>
        <v/>
      </c>
      <c r="G3433" s="66" t="str">
        <f>IF(Fourteenth!G186="", "",Fourteenth!G186)</f>
        <v/>
      </c>
      <c r="H3433" s="66" t="str">
        <f>IF(Fourteenth!H186="", "",Fourteenth!H186)</f>
        <v/>
      </c>
      <c r="I3433" s="66" t="str">
        <f>IF(Fourteenth!I186="", "",Fourteenth!I186)</f>
        <v/>
      </c>
      <c r="J3433" s="66" t="str">
        <f>IF(Fourteenth!J186="", "",Fourteenth!J186)</f>
        <v/>
      </c>
      <c r="K3433" s="86" t="str">
        <f>IF(Fourteenth!K186="", "",Fourteenth!K186)</f>
        <v/>
      </c>
      <c r="M3433" s="67" t="str">
        <f t="shared" si="161"/>
        <v/>
      </c>
      <c r="N3433" s="76" t="str">
        <f t="shared" si="162"/>
        <v/>
      </c>
      <c r="O3433" s="33">
        <f t="shared" si="160"/>
        <v>0</v>
      </c>
    </row>
    <row r="3434" spans="1:15" x14ac:dyDescent="0.25">
      <c r="A3434" s="64" t="s">
        <v>185</v>
      </c>
      <c r="B3434" s="79" t="str">
        <f>IF(Fourteenth!B187="", "",Fourteenth!B187)</f>
        <v/>
      </c>
      <c r="C3434" s="66" t="str">
        <f>IF(Fourteenth!C187="", "",Fourteenth!C187)</f>
        <v/>
      </c>
      <c r="D3434" s="66" t="str">
        <f>IF(Fourteenth!D187="", "",Fourteenth!D187)</f>
        <v/>
      </c>
      <c r="E3434" s="66" t="str">
        <f>IF(Fourteenth!E187="", "",Fourteenth!E187)</f>
        <v/>
      </c>
      <c r="F3434" s="66" t="str">
        <f>IF(Fourteenth!F187="", "",Fourteenth!F187)</f>
        <v/>
      </c>
      <c r="G3434" s="66" t="str">
        <f>IF(Fourteenth!G187="", "",Fourteenth!G187)</f>
        <v/>
      </c>
      <c r="H3434" s="66" t="str">
        <f>IF(Fourteenth!H187="", "",Fourteenth!H187)</f>
        <v/>
      </c>
      <c r="I3434" s="66" t="str">
        <f>IF(Fourteenth!I187="", "",Fourteenth!I187)</f>
        <v/>
      </c>
      <c r="J3434" s="66" t="str">
        <f>IF(Fourteenth!J187="", "",Fourteenth!J187)</f>
        <v/>
      </c>
      <c r="K3434" s="86" t="str">
        <f>IF(Fourteenth!K187="", "",Fourteenth!K187)</f>
        <v/>
      </c>
      <c r="M3434" s="67" t="str">
        <f t="shared" si="161"/>
        <v/>
      </c>
      <c r="N3434" s="76" t="str">
        <f t="shared" si="162"/>
        <v/>
      </c>
      <c r="O3434" s="33">
        <f t="shared" si="160"/>
        <v>0</v>
      </c>
    </row>
    <row r="3435" spans="1:15" x14ac:dyDescent="0.25">
      <c r="A3435" s="64" t="s">
        <v>185</v>
      </c>
      <c r="B3435" s="79" t="str">
        <f>IF(Fourteenth!B188="", "",Fourteenth!B188)</f>
        <v/>
      </c>
      <c r="C3435" s="66" t="str">
        <f>IF(Fourteenth!C188="", "",Fourteenth!C188)</f>
        <v/>
      </c>
      <c r="D3435" s="66" t="str">
        <f>IF(Fourteenth!D188="", "",Fourteenth!D188)</f>
        <v/>
      </c>
      <c r="E3435" s="66" t="str">
        <f>IF(Fourteenth!E188="", "",Fourteenth!E188)</f>
        <v/>
      </c>
      <c r="F3435" s="66" t="str">
        <f>IF(Fourteenth!F188="", "",Fourteenth!F188)</f>
        <v/>
      </c>
      <c r="G3435" s="66" t="str">
        <f>IF(Fourteenth!G188="", "",Fourteenth!G188)</f>
        <v/>
      </c>
      <c r="H3435" s="66" t="str">
        <f>IF(Fourteenth!H188="", "",Fourteenth!H188)</f>
        <v/>
      </c>
      <c r="I3435" s="66" t="str">
        <f>IF(Fourteenth!I188="", "",Fourteenth!I188)</f>
        <v/>
      </c>
      <c r="J3435" s="66" t="str">
        <f>IF(Fourteenth!J188="", "",Fourteenth!J188)</f>
        <v/>
      </c>
      <c r="K3435" s="86" t="str">
        <f>IF(Fourteenth!K188="", "",Fourteenth!K188)</f>
        <v/>
      </c>
      <c r="M3435" s="67" t="str">
        <f t="shared" si="161"/>
        <v/>
      </c>
      <c r="N3435" s="76" t="str">
        <f t="shared" si="162"/>
        <v/>
      </c>
      <c r="O3435" s="33">
        <f t="shared" si="160"/>
        <v>0</v>
      </c>
    </row>
    <row r="3436" spans="1:15" x14ac:dyDescent="0.25">
      <c r="A3436" s="64" t="s">
        <v>185</v>
      </c>
      <c r="B3436" s="79" t="str">
        <f>IF(Fourteenth!B189="", "",Fourteenth!B189)</f>
        <v/>
      </c>
      <c r="C3436" s="66" t="str">
        <f>IF(Fourteenth!C189="", "",Fourteenth!C189)</f>
        <v/>
      </c>
      <c r="D3436" s="66" t="str">
        <f>IF(Fourteenth!D189="", "",Fourteenth!D189)</f>
        <v/>
      </c>
      <c r="E3436" s="66" t="str">
        <f>IF(Fourteenth!E189="", "",Fourteenth!E189)</f>
        <v/>
      </c>
      <c r="F3436" s="66" t="str">
        <f>IF(Fourteenth!F189="", "",Fourteenth!F189)</f>
        <v/>
      </c>
      <c r="G3436" s="66" t="str">
        <f>IF(Fourteenth!G189="", "",Fourteenth!G189)</f>
        <v/>
      </c>
      <c r="H3436" s="66" t="str">
        <f>IF(Fourteenth!H189="", "",Fourteenth!H189)</f>
        <v/>
      </c>
      <c r="I3436" s="66" t="str">
        <f>IF(Fourteenth!I189="", "",Fourteenth!I189)</f>
        <v/>
      </c>
      <c r="J3436" s="66" t="str">
        <f>IF(Fourteenth!J189="", "",Fourteenth!J189)</f>
        <v/>
      </c>
      <c r="K3436" s="86" t="str">
        <f>IF(Fourteenth!K189="", "",Fourteenth!K189)</f>
        <v/>
      </c>
      <c r="M3436" s="67" t="str">
        <f t="shared" si="161"/>
        <v/>
      </c>
      <c r="N3436" s="76" t="str">
        <f t="shared" si="162"/>
        <v/>
      </c>
      <c r="O3436" s="33">
        <f t="shared" si="160"/>
        <v>0</v>
      </c>
    </row>
    <row r="3437" spans="1:15" x14ac:dyDescent="0.25">
      <c r="A3437" s="64" t="s">
        <v>185</v>
      </c>
      <c r="B3437" s="79" t="str">
        <f>IF(Fourteenth!B190="", "",Fourteenth!B190)</f>
        <v/>
      </c>
      <c r="C3437" s="66" t="str">
        <f>IF(Fourteenth!C190="", "",Fourteenth!C190)</f>
        <v/>
      </c>
      <c r="D3437" s="66" t="str">
        <f>IF(Fourteenth!D190="", "",Fourteenth!D190)</f>
        <v/>
      </c>
      <c r="E3437" s="66" t="str">
        <f>IF(Fourteenth!E190="", "",Fourteenth!E190)</f>
        <v/>
      </c>
      <c r="F3437" s="66" t="str">
        <f>IF(Fourteenth!F190="", "",Fourteenth!F190)</f>
        <v/>
      </c>
      <c r="G3437" s="66" t="str">
        <f>IF(Fourteenth!G190="", "",Fourteenth!G190)</f>
        <v/>
      </c>
      <c r="H3437" s="66" t="str">
        <f>IF(Fourteenth!H190="", "",Fourteenth!H190)</f>
        <v/>
      </c>
      <c r="I3437" s="66" t="str">
        <f>IF(Fourteenth!I190="", "",Fourteenth!I190)</f>
        <v/>
      </c>
      <c r="J3437" s="66" t="str">
        <f>IF(Fourteenth!J190="", "",Fourteenth!J190)</f>
        <v/>
      </c>
      <c r="K3437" s="86" t="str">
        <f>IF(Fourteenth!K190="", "",Fourteenth!K190)</f>
        <v/>
      </c>
      <c r="M3437" s="67" t="str">
        <f t="shared" si="161"/>
        <v/>
      </c>
      <c r="N3437" s="76" t="str">
        <f t="shared" si="162"/>
        <v/>
      </c>
      <c r="O3437" s="33">
        <f t="shared" si="160"/>
        <v>0</v>
      </c>
    </row>
    <row r="3438" spans="1:15" x14ac:dyDescent="0.25">
      <c r="A3438" s="64" t="s">
        <v>185</v>
      </c>
      <c r="B3438" s="79" t="str">
        <f>IF(Fourteenth!B191="", "",Fourteenth!B191)</f>
        <v/>
      </c>
      <c r="C3438" s="66" t="str">
        <f>IF(Fourteenth!C191="", "",Fourteenth!C191)</f>
        <v/>
      </c>
      <c r="D3438" s="66" t="str">
        <f>IF(Fourteenth!D191="", "",Fourteenth!D191)</f>
        <v/>
      </c>
      <c r="E3438" s="66" t="str">
        <f>IF(Fourteenth!E191="", "",Fourteenth!E191)</f>
        <v/>
      </c>
      <c r="F3438" s="66" t="str">
        <f>IF(Fourteenth!F191="", "",Fourteenth!F191)</f>
        <v/>
      </c>
      <c r="G3438" s="66" t="str">
        <f>IF(Fourteenth!G191="", "",Fourteenth!G191)</f>
        <v/>
      </c>
      <c r="H3438" s="66" t="str">
        <f>IF(Fourteenth!H191="", "",Fourteenth!H191)</f>
        <v/>
      </c>
      <c r="I3438" s="66" t="str">
        <f>IF(Fourteenth!I191="", "",Fourteenth!I191)</f>
        <v/>
      </c>
      <c r="J3438" s="66" t="str">
        <f>IF(Fourteenth!J191="", "",Fourteenth!J191)</f>
        <v/>
      </c>
      <c r="K3438" s="86" t="str">
        <f>IF(Fourteenth!K191="", "",Fourteenth!K191)</f>
        <v/>
      </c>
      <c r="M3438" s="67" t="str">
        <f t="shared" si="161"/>
        <v/>
      </c>
      <c r="N3438" s="76" t="str">
        <f t="shared" si="162"/>
        <v/>
      </c>
      <c r="O3438" s="33">
        <f t="shared" si="160"/>
        <v>0</v>
      </c>
    </row>
    <row r="3439" spans="1:15" x14ac:dyDescent="0.25">
      <c r="A3439" s="64" t="s">
        <v>185</v>
      </c>
      <c r="B3439" s="79" t="str">
        <f>IF(Fourteenth!B192="", "",Fourteenth!B192)</f>
        <v/>
      </c>
      <c r="C3439" s="66" t="str">
        <f>IF(Fourteenth!C192="", "",Fourteenth!C192)</f>
        <v/>
      </c>
      <c r="D3439" s="66" t="str">
        <f>IF(Fourteenth!D192="", "",Fourteenth!D192)</f>
        <v/>
      </c>
      <c r="E3439" s="66" t="str">
        <f>IF(Fourteenth!E192="", "",Fourteenth!E192)</f>
        <v/>
      </c>
      <c r="F3439" s="66" t="str">
        <f>IF(Fourteenth!F192="", "",Fourteenth!F192)</f>
        <v/>
      </c>
      <c r="G3439" s="66" t="str">
        <f>IF(Fourteenth!G192="", "",Fourteenth!G192)</f>
        <v/>
      </c>
      <c r="H3439" s="66" t="str">
        <f>IF(Fourteenth!H192="", "",Fourteenth!H192)</f>
        <v/>
      </c>
      <c r="I3439" s="66" t="str">
        <f>IF(Fourteenth!I192="", "",Fourteenth!I192)</f>
        <v/>
      </c>
      <c r="J3439" s="66" t="str">
        <f>IF(Fourteenth!J192="", "",Fourteenth!J192)</f>
        <v/>
      </c>
      <c r="K3439" s="86" t="str">
        <f>IF(Fourteenth!K192="", "",Fourteenth!K192)</f>
        <v/>
      </c>
      <c r="M3439" s="67" t="str">
        <f t="shared" si="161"/>
        <v/>
      </c>
      <c r="N3439" s="76" t="str">
        <f t="shared" si="162"/>
        <v/>
      </c>
      <c r="O3439" s="33">
        <f t="shared" si="160"/>
        <v>0</v>
      </c>
    </row>
    <row r="3440" spans="1:15" x14ac:dyDescent="0.25">
      <c r="A3440" s="64" t="s">
        <v>185</v>
      </c>
      <c r="B3440" s="79" t="str">
        <f>IF(Fourteenth!B193="", "",Fourteenth!B193)</f>
        <v/>
      </c>
      <c r="C3440" s="66" t="str">
        <f>IF(Fourteenth!C193="", "",Fourteenth!C193)</f>
        <v/>
      </c>
      <c r="D3440" s="66" t="str">
        <f>IF(Fourteenth!D193="", "",Fourteenth!D193)</f>
        <v/>
      </c>
      <c r="E3440" s="66" t="str">
        <f>IF(Fourteenth!E193="", "",Fourteenth!E193)</f>
        <v/>
      </c>
      <c r="F3440" s="66" t="str">
        <f>IF(Fourteenth!F193="", "",Fourteenth!F193)</f>
        <v/>
      </c>
      <c r="G3440" s="66" t="str">
        <f>IF(Fourteenth!G193="", "",Fourteenth!G193)</f>
        <v/>
      </c>
      <c r="H3440" s="66" t="str">
        <f>IF(Fourteenth!H193="", "",Fourteenth!H193)</f>
        <v/>
      </c>
      <c r="I3440" s="66" t="str">
        <f>IF(Fourteenth!I193="", "",Fourteenth!I193)</f>
        <v/>
      </c>
      <c r="J3440" s="66" t="str">
        <f>IF(Fourteenth!J193="", "",Fourteenth!J193)</f>
        <v/>
      </c>
      <c r="K3440" s="86" t="str">
        <f>IF(Fourteenth!K193="", "",Fourteenth!K193)</f>
        <v/>
      </c>
      <c r="M3440" s="67" t="str">
        <f t="shared" si="161"/>
        <v/>
      </c>
      <c r="N3440" s="76" t="str">
        <f t="shared" si="162"/>
        <v/>
      </c>
      <c r="O3440" s="33">
        <f t="shared" si="160"/>
        <v>0</v>
      </c>
    </row>
    <row r="3441" spans="1:15" x14ac:dyDescent="0.25">
      <c r="A3441" s="64" t="s">
        <v>185</v>
      </c>
      <c r="B3441" s="79" t="str">
        <f>IF(Fourteenth!B194="", "",Fourteenth!B194)</f>
        <v/>
      </c>
      <c r="C3441" s="66" t="str">
        <f>IF(Fourteenth!C194="", "",Fourteenth!C194)</f>
        <v/>
      </c>
      <c r="D3441" s="66" t="str">
        <f>IF(Fourteenth!D194="", "",Fourteenth!D194)</f>
        <v/>
      </c>
      <c r="E3441" s="66" t="str">
        <f>IF(Fourteenth!E194="", "",Fourteenth!E194)</f>
        <v/>
      </c>
      <c r="F3441" s="66" t="str">
        <f>IF(Fourteenth!F194="", "",Fourteenth!F194)</f>
        <v/>
      </c>
      <c r="G3441" s="66" t="str">
        <f>IF(Fourteenth!G194="", "",Fourteenth!G194)</f>
        <v/>
      </c>
      <c r="H3441" s="66" t="str">
        <f>IF(Fourteenth!H194="", "",Fourteenth!H194)</f>
        <v/>
      </c>
      <c r="I3441" s="66" t="str">
        <f>IF(Fourteenth!I194="", "",Fourteenth!I194)</f>
        <v/>
      </c>
      <c r="J3441" s="66" t="str">
        <f>IF(Fourteenth!J194="", "",Fourteenth!J194)</f>
        <v/>
      </c>
      <c r="K3441" s="86" t="str">
        <f>IF(Fourteenth!K194="", "",Fourteenth!K194)</f>
        <v/>
      </c>
      <c r="M3441" s="67" t="str">
        <f t="shared" si="161"/>
        <v/>
      </c>
      <c r="N3441" s="76" t="str">
        <f t="shared" si="162"/>
        <v/>
      </c>
      <c r="O3441" s="33">
        <f t="shared" si="160"/>
        <v>0</v>
      </c>
    </row>
    <row r="3442" spans="1:15" x14ac:dyDescent="0.25">
      <c r="A3442" s="64" t="s">
        <v>185</v>
      </c>
      <c r="B3442" s="79" t="str">
        <f>IF(Fourteenth!B195="", "",Fourteenth!B195)</f>
        <v/>
      </c>
      <c r="C3442" s="66" t="str">
        <f>IF(Fourteenth!C195="", "",Fourteenth!C195)</f>
        <v/>
      </c>
      <c r="D3442" s="66" t="str">
        <f>IF(Fourteenth!D195="", "",Fourteenth!D195)</f>
        <v/>
      </c>
      <c r="E3442" s="66" t="str">
        <f>IF(Fourteenth!E195="", "",Fourteenth!E195)</f>
        <v/>
      </c>
      <c r="F3442" s="66" t="str">
        <f>IF(Fourteenth!F195="", "",Fourteenth!F195)</f>
        <v/>
      </c>
      <c r="G3442" s="66" t="str">
        <f>IF(Fourteenth!G195="", "",Fourteenth!G195)</f>
        <v/>
      </c>
      <c r="H3442" s="66" t="str">
        <f>IF(Fourteenth!H195="", "",Fourteenth!H195)</f>
        <v/>
      </c>
      <c r="I3442" s="66" t="str">
        <f>IF(Fourteenth!I195="", "",Fourteenth!I195)</f>
        <v/>
      </c>
      <c r="J3442" s="66" t="str">
        <f>IF(Fourteenth!J195="", "",Fourteenth!J195)</f>
        <v/>
      </c>
      <c r="K3442" s="86" t="str">
        <f>IF(Fourteenth!K195="", "",Fourteenth!K195)</f>
        <v/>
      </c>
      <c r="M3442" s="67" t="str">
        <f t="shared" si="161"/>
        <v/>
      </c>
      <c r="N3442" s="76" t="str">
        <f t="shared" si="162"/>
        <v/>
      </c>
      <c r="O3442" s="33">
        <f t="shared" si="160"/>
        <v>0</v>
      </c>
    </row>
    <row r="3443" spans="1:15" x14ac:dyDescent="0.25">
      <c r="A3443" s="64" t="s">
        <v>185</v>
      </c>
      <c r="B3443" s="79" t="str">
        <f>IF(Fourteenth!B196="", "",Fourteenth!B196)</f>
        <v/>
      </c>
      <c r="C3443" s="66" t="str">
        <f>IF(Fourteenth!C196="", "",Fourteenth!C196)</f>
        <v/>
      </c>
      <c r="D3443" s="66" t="str">
        <f>IF(Fourteenth!D196="", "",Fourteenth!D196)</f>
        <v/>
      </c>
      <c r="E3443" s="66" t="str">
        <f>IF(Fourteenth!E196="", "",Fourteenth!E196)</f>
        <v/>
      </c>
      <c r="F3443" s="66" t="str">
        <f>IF(Fourteenth!F196="", "",Fourteenth!F196)</f>
        <v/>
      </c>
      <c r="G3443" s="66" t="str">
        <f>IF(Fourteenth!G196="", "",Fourteenth!G196)</f>
        <v/>
      </c>
      <c r="H3443" s="66" t="str">
        <f>IF(Fourteenth!H196="", "",Fourteenth!H196)</f>
        <v/>
      </c>
      <c r="I3443" s="66" t="str">
        <f>IF(Fourteenth!I196="", "",Fourteenth!I196)</f>
        <v/>
      </c>
      <c r="J3443" s="66" t="str">
        <f>IF(Fourteenth!J196="", "",Fourteenth!J196)</f>
        <v/>
      </c>
      <c r="K3443" s="86" t="str">
        <f>IF(Fourteenth!K196="", "",Fourteenth!K196)</f>
        <v/>
      </c>
      <c r="M3443" s="67" t="str">
        <f t="shared" si="161"/>
        <v/>
      </c>
      <c r="N3443" s="76" t="str">
        <f t="shared" si="162"/>
        <v/>
      </c>
      <c r="O3443" s="33">
        <f t="shared" si="160"/>
        <v>0</v>
      </c>
    </row>
    <row r="3444" spans="1:15" x14ac:dyDescent="0.25">
      <c r="A3444" s="64" t="s">
        <v>185</v>
      </c>
      <c r="B3444" s="79" t="str">
        <f>IF(Fourteenth!B197="", "",Fourteenth!B197)</f>
        <v/>
      </c>
      <c r="C3444" s="66" t="str">
        <f>IF(Fourteenth!C197="", "",Fourteenth!C197)</f>
        <v/>
      </c>
      <c r="D3444" s="66" t="str">
        <f>IF(Fourteenth!D197="", "",Fourteenth!D197)</f>
        <v/>
      </c>
      <c r="E3444" s="66" t="str">
        <f>IF(Fourteenth!E197="", "",Fourteenth!E197)</f>
        <v/>
      </c>
      <c r="F3444" s="66" t="str">
        <f>IF(Fourteenth!F197="", "",Fourteenth!F197)</f>
        <v/>
      </c>
      <c r="G3444" s="66" t="str">
        <f>IF(Fourteenth!G197="", "",Fourteenth!G197)</f>
        <v/>
      </c>
      <c r="H3444" s="66" t="str">
        <f>IF(Fourteenth!H197="", "",Fourteenth!H197)</f>
        <v/>
      </c>
      <c r="I3444" s="66" t="str">
        <f>IF(Fourteenth!I197="", "",Fourteenth!I197)</f>
        <v/>
      </c>
      <c r="J3444" s="66" t="str">
        <f>IF(Fourteenth!J197="", "",Fourteenth!J197)</f>
        <v/>
      </c>
      <c r="K3444" s="86" t="str">
        <f>IF(Fourteenth!K197="", "",Fourteenth!K197)</f>
        <v/>
      </c>
      <c r="M3444" s="67" t="str">
        <f t="shared" si="161"/>
        <v/>
      </c>
      <c r="N3444" s="76" t="str">
        <f t="shared" si="162"/>
        <v/>
      </c>
      <c r="O3444" s="33">
        <f t="shared" si="160"/>
        <v>0</v>
      </c>
    </row>
    <row r="3445" spans="1:15" x14ac:dyDescent="0.25">
      <c r="A3445" s="64" t="s">
        <v>185</v>
      </c>
      <c r="B3445" s="79" t="str">
        <f>IF(Fourteenth!B198="", "",Fourteenth!B198)</f>
        <v/>
      </c>
      <c r="C3445" s="66" t="str">
        <f>IF(Fourteenth!C198="", "",Fourteenth!C198)</f>
        <v/>
      </c>
      <c r="D3445" s="66" t="str">
        <f>IF(Fourteenth!D198="", "",Fourteenth!D198)</f>
        <v/>
      </c>
      <c r="E3445" s="66" t="str">
        <f>IF(Fourteenth!E198="", "",Fourteenth!E198)</f>
        <v/>
      </c>
      <c r="F3445" s="66" t="str">
        <f>IF(Fourteenth!F198="", "",Fourteenth!F198)</f>
        <v/>
      </c>
      <c r="G3445" s="66" t="str">
        <f>IF(Fourteenth!G198="", "",Fourteenth!G198)</f>
        <v/>
      </c>
      <c r="H3445" s="66" t="str">
        <f>IF(Fourteenth!H198="", "",Fourteenth!H198)</f>
        <v/>
      </c>
      <c r="I3445" s="66" t="str">
        <f>IF(Fourteenth!I198="", "",Fourteenth!I198)</f>
        <v/>
      </c>
      <c r="J3445" s="66" t="str">
        <f>IF(Fourteenth!J198="", "",Fourteenth!J198)</f>
        <v/>
      </c>
      <c r="K3445" s="86" t="str">
        <f>IF(Fourteenth!K198="", "",Fourteenth!K198)</f>
        <v/>
      </c>
      <c r="M3445" s="67" t="str">
        <f t="shared" si="161"/>
        <v/>
      </c>
      <c r="N3445" s="76" t="str">
        <f t="shared" si="162"/>
        <v/>
      </c>
      <c r="O3445" s="33">
        <f t="shared" si="160"/>
        <v>0</v>
      </c>
    </row>
    <row r="3446" spans="1:15" x14ac:dyDescent="0.25">
      <c r="A3446" s="64" t="s">
        <v>185</v>
      </c>
      <c r="B3446" s="79" t="str">
        <f>IF(Fourteenth!B199="", "",Fourteenth!B199)</f>
        <v/>
      </c>
      <c r="C3446" s="66" t="str">
        <f>IF(Fourteenth!C199="", "",Fourteenth!C199)</f>
        <v/>
      </c>
      <c r="D3446" s="66" t="str">
        <f>IF(Fourteenth!D199="", "",Fourteenth!D199)</f>
        <v/>
      </c>
      <c r="E3446" s="66" t="str">
        <f>IF(Fourteenth!E199="", "",Fourteenth!E199)</f>
        <v/>
      </c>
      <c r="F3446" s="66" t="str">
        <f>IF(Fourteenth!F199="", "",Fourteenth!F199)</f>
        <v/>
      </c>
      <c r="G3446" s="66" t="str">
        <f>IF(Fourteenth!G199="", "",Fourteenth!G199)</f>
        <v/>
      </c>
      <c r="H3446" s="66" t="str">
        <f>IF(Fourteenth!H199="", "",Fourteenth!H199)</f>
        <v/>
      </c>
      <c r="I3446" s="66" t="str">
        <f>IF(Fourteenth!I199="", "",Fourteenth!I199)</f>
        <v/>
      </c>
      <c r="J3446" s="66" t="str">
        <f>IF(Fourteenth!J199="", "",Fourteenth!J199)</f>
        <v/>
      </c>
      <c r="K3446" s="86" t="str">
        <f>IF(Fourteenth!K199="", "",Fourteenth!K199)</f>
        <v/>
      </c>
      <c r="M3446" s="67" t="str">
        <f t="shared" si="161"/>
        <v/>
      </c>
      <c r="N3446" s="76" t="str">
        <f t="shared" si="162"/>
        <v/>
      </c>
      <c r="O3446" s="33">
        <f t="shared" si="160"/>
        <v>0</v>
      </c>
    </row>
    <row r="3447" spans="1:15" x14ac:dyDescent="0.25">
      <c r="A3447" s="64" t="s">
        <v>185</v>
      </c>
      <c r="B3447" s="79" t="str">
        <f>IF(Fourteenth!B200="", "",Fourteenth!B200)</f>
        <v/>
      </c>
      <c r="C3447" s="66" t="str">
        <f>IF(Fourteenth!C200="", "",Fourteenth!C200)</f>
        <v/>
      </c>
      <c r="D3447" s="66" t="str">
        <f>IF(Fourteenth!D200="", "",Fourteenth!D200)</f>
        <v/>
      </c>
      <c r="E3447" s="66" t="str">
        <f>IF(Fourteenth!E200="", "",Fourteenth!E200)</f>
        <v/>
      </c>
      <c r="F3447" s="66" t="str">
        <f>IF(Fourteenth!F200="", "",Fourteenth!F200)</f>
        <v/>
      </c>
      <c r="G3447" s="66" t="str">
        <f>IF(Fourteenth!G200="", "",Fourteenth!G200)</f>
        <v/>
      </c>
      <c r="H3447" s="66" t="str">
        <f>IF(Fourteenth!H200="", "",Fourteenth!H200)</f>
        <v/>
      </c>
      <c r="I3447" s="66" t="str">
        <f>IF(Fourteenth!I200="", "",Fourteenth!I200)</f>
        <v/>
      </c>
      <c r="J3447" s="66" t="str">
        <f>IF(Fourteenth!J200="", "",Fourteenth!J200)</f>
        <v/>
      </c>
      <c r="K3447" s="86" t="str">
        <f>IF(Fourteenth!K200="", "",Fourteenth!K200)</f>
        <v/>
      </c>
      <c r="M3447" s="67" t="str">
        <f t="shared" si="161"/>
        <v/>
      </c>
      <c r="N3447" s="76" t="str">
        <f t="shared" si="162"/>
        <v/>
      </c>
      <c r="O3447" s="33">
        <f t="shared" si="160"/>
        <v>0</v>
      </c>
    </row>
    <row r="3448" spans="1:15" x14ac:dyDescent="0.25">
      <c r="A3448" s="64" t="s">
        <v>185</v>
      </c>
      <c r="B3448" s="79" t="str">
        <f>IF(Fourteenth!B201="", "",Fourteenth!B201)</f>
        <v/>
      </c>
      <c r="C3448" s="66" t="str">
        <f>IF(Fourteenth!C201="", "",Fourteenth!C201)</f>
        <v/>
      </c>
      <c r="D3448" s="66" t="str">
        <f>IF(Fourteenth!D201="", "",Fourteenth!D201)</f>
        <v/>
      </c>
      <c r="E3448" s="66" t="str">
        <f>IF(Fourteenth!E201="", "",Fourteenth!E201)</f>
        <v/>
      </c>
      <c r="F3448" s="66" t="str">
        <f>IF(Fourteenth!F201="", "",Fourteenth!F201)</f>
        <v/>
      </c>
      <c r="G3448" s="66" t="str">
        <f>IF(Fourteenth!G201="", "",Fourteenth!G201)</f>
        <v/>
      </c>
      <c r="H3448" s="66" t="str">
        <f>IF(Fourteenth!H201="", "",Fourteenth!H201)</f>
        <v/>
      </c>
      <c r="I3448" s="66" t="str">
        <f>IF(Fourteenth!I201="", "",Fourteenth!I201)</f>
        <v/>
      </c>
      <c r="J3448" s="66" t="str">
        <f>IF(Fourteenth!J201="", "",Fourteenth!J201)</f>
        <v/>
      </c>
      <c r="K3448" s="86" t="str">
        <f>IF(Fourteenth!K201="", "",Fourteenth!K201)</f>
        <v/>
      </c>
      <c r="M3448" s="67" t="str">
        <f t="shared" si="161"/>
        <v/>
      </c>
      <c r="N3448" s="76" t="str">
        <f t="shared" si="162"/>
        <v/>
      </c>
      <c r="O3448" s="33">
        <f t="shared" si="160"/>
        <v>0</v>
      </c>
    </row>
    <row r="3449" spans="1:15" x14ac:dyDescent="0.25">
      <c r="A3449" s="64" t="s">
        <v>185</v>
      </c>
      <c r="B3449" s="79" t="str">
        <f>IF(Fourteenth!B202="", "",Fourteenth!B202)</f>
        <v/>
      </c>
      <c r="C3449" s="66" t="str">
        <f>IF(Fourteenth!C202="", "",Fourteenth!C202)</f>
        <v/>
      </c>
      <c r="D3449" s="66" t="str">
        <f>IF(Fourteenth!D202="", "",Fourteenth!D202)</f>
        <v/>
      </c>
      <c r="E3449" s="66" t="str">
        <f>IF(Fourteenth!E202="", "",Fourteenth!E202)</f>
        <v/>
      </c>
      <c r="F3449" s="66" t="str">
        <f>IF(Fourteenth!F202="", "",Fourteenth!F202)</f>
        <v/>
      </c>
      <c r="G3449" s="66" t="str">
        <f>IF(Fourteenth!G202="", "",Fourteenth!G202)</f>
        <v/>
      </c>
      <c r="H3449" s="66" t="str">
        <f>IF(Fourteenth!H202="", "",Fourteenth!H202)</f>
        <v/>
      </c>
      <c r="I3449" s="66" t="str">
        <f>IF(Fourteenth!I202="", "",Fourteenth!I202)</f>
        <v/>
      </c>
      <c r="J3449" s="66" t="str">
        <f>IF(Fourteenth!J202="", "",Fourteenth!J202)</f>
        <v/>
      </c>
      <c r="K3449" s="86" t="str">
        <f>IF(Fourteenth!K202="", "",Fourteenth!K202)</f>
        <v/>
      </c>
      <c r="M3449" s="67" t="str">
        <f t="shared" si="161"/>
        <v/>
      </c>
      <c r="N3449" s="76" t="str">
        <f t="shared" si="162"/>
        <v/>
      </c>
      <c r="O3449" s="33">
        <f t="shared" si="160"/>
        <v>0</v>
      </c>
    </row>
    <row r="3450" spans="1:15" x14ac:dyDescent="0.25">
      <c r="A3450" s="64" t="s">
        <v>185</v>
      </c>
      <c r="B3450" s="79" t="str">
        <f>IF(Fourteenth!B203="", "",Fourteenth!B203)</f>
        <v/>
      </c>
      <c r="C3450" s="66" t="str">
        <f>IF(Fourteenth!C203="", "",Fourteenth!C203)</f>
        <v/>
      </c>
      <c r="D3450" s="66" t="str">
        <f>IF(Fourteenth!D203="", "",Fourteenth!D203)</f>
        <v/>
      </c>
      <c r="E3450" s="66" t="str">
        <f>IF(Fourteenth!E203="", "",Fourteenth!E203)</f>
        <v/>
      </c>
      <c r="F3450" s="66" t="str">
        <f>IF(Fourteenth!F203="", "",Fourteenth!F203)</f>
        <v/>
      </c>
      <c r="G3450" s="66" t="str">
        <f>IF(Fourteenth!G203="", "",Fourteenth!G203)</f>
        <v/>
      </c>
      <c r="H3450" s="66" t="str">
        <f>IF(Fourteenth!H203="", "",Fourteenth!H203)</f>
        <v/>
      </c>
      <c r="I3450" s="66" t="str">
        <f>IF(Fourteenth!I203="", "",Fourteenth!I203)</f>
        <v/>
      </c>
      <c r="J3450" s="66" t="str">
        <f>IF(Fourteenth!J203="", "",Fourteenth!J203)</f>
        <v/>
      </c>
      <c r="K3450" s="86" t="str">
        <f>IF(Fourteenth!K203="", "",Fourteenth!K203)</f>
        <v/>
      </c>
      <c r="M3450" s="67" t="str">
        <f t="shared" si="161"/>
        <v/>
      </c>
      <c r="N3450" s="76" t="str">
        <f t="shared" si="162"/>
        <v/>
      </c>
      <c r="O3450" s="33">
        <f t="shared" si="160"/>
        <v>0</v>
      </c>
    </row>
    <row r="3451" spans="1:15" x14ac:dyDescent="0.25">
      <c r="A3451" s="64" t="s">
        <v>185</v>
      </c>
      <c r="B3451" s="79" t="str">
        <f>IF(Fourteenth!B204="", "",Fourteenth!B204)</f>
        <v/>
      </c>
      <c r="C3451" s="66" t="str">
        <f>IF(Fourteenth!C204="", "",Fourteenth!C204)</f>
        <v/>
      </c>
      <c r="D3451" s="66" t="str">
        <f>IF(Fourteenth!D204="", "",Fourteenth!D204)</f>
        <v/>
      </c>
      <c r="E3451" s="66" t="str">
        <f>IF(Fourteenth!E204="", "",Fourteenth!E204)</f>
        <v/>
      </c>
      <c r="F3451" s="66" t="str">
        <f>IF(Fourteenth!F204="", "",Fourteenth!F204)</f>
        <v/>
      </c>
      <c r="G3451" s="66" t="str">
        <f>IF(Fourteenth!G204="", "",Fourteenth!G204)</f>
        <v/>
      </c>
      <c r="H3451" s="66" t="str">
        <f>IF(Fourteenth!H204="", "",Fourteenth!H204)</f>
        <v/>
      </c>
      <c r="I3451" s="66" t="str">
        <f>IF(Fourteenth!I204="", "",Fourteenth!I204)</f>
        <v/>
      </c>
      <c r="J3451" s="66" t="str">
        <f>IF(Fourteenth!J204="", "",Fourteenth!J204)</f>
        <v/>
      </c>
      <c r="K3451" s="86" t="str">
        <f>IF(Fourteenth!K204="", "",Fourteenth!K204)</f>
        <v/>
      </c>
      <c r="M3451" s="67" t="str">
        <f t="shared" si="161"/>
        <v/>
      </c>
      <c r="N3451" s="76" t="str">
        <f t="shared" si="162"/>
        <v/>
      </c>
      <c r="O3451" s="33">
        <f t="shared" si="160"/>
        <v>0</v>
      </c>
    </row>
    <row r="3452" spans="1:15" x14ac:dyDescent="0.25">
      <c r="A3452" s="64" t="s">
        <v>185</v>
      </c>
      <c r="B3452" s="79" t="str">
        <f>IF(Fourteenth!B205="", "",Fourteenth!B205)</f>
        <v/>
      </c>
      <c r="C3452" s="66" t="str">
        <f>IF(Fourteenth!C205="", "",Fourteenth!C205)</f>
        <v/>
      </c>
      <c r="D3452" s="66" t="str">
        <f>IF(Fourteenth!D205="", "",Fourteenth!D205)</f>
        <v/>
      </c>
      <c r="E3452" s="66" t="str">
        <f>IF(Fourteenth!E205="", "",Fourteenth!E205)</f>
        <v/>
      </c>
      <c r="F3452" s="66" t="str">
        <f>IF(Fourteenth!F205="", "",Fourteenth!F205)</f>
        <v/>
      </c>
      <c r="G3452" s="66" t="str">
        <f>IF(Fourteenth!G205="", "",Fourteenth!G205)</f>
        <v/>
      </c>
      <c r="H3452" s="66" t="str">
        <f>IF(Fourteenth!H205="", "",Fourteenth!H205)</f>
        <v/>
      </c>
      <c r="I3452" s="66" t="str">
        <f>IF(Fourteenth!I205="", "",Fourteenth!I205)</f>
        <v/>
      </c>
      <c r="J3452" s="66" t="str">
        <f>IF(Fourteenth!J205="", "",Fourteenth!J205)</f>
        <v/>
      </c>
      <c r="K3452" s="86" t="str">
        <f>IF(Fourteenth!K205="", "",Fourteenth!K205)</f>
        <v/>
      </c>
      <c r="M3452" s="67" t="str">
        <f t="shared" si="161"/>
        <v/>
      </c>
      <c r="N3452" s="76" t="str">
        <f t="shared" si="162"/>
        <v/>
      </c>
      <c r="O3452" s="33">
        <f t="shared" si="160"/>
        <v>0</v>
      </c>
    </row>
    <row r="3453" spans="1:15" x14ac:dyDescent="0.25">
      <c r="A3453" s="64" t="s">
        <v>185</v>
      </c>
      <c r="B3453" s="79" t="str">
        <f>IF(Fourteenth!B206="", "",Fourteenth!B206)</f>
        <v/>
      </c>
      <c r="C3453" s="66" t="str">
        <f>IF(Fourteenth!C206="", "",Fourteenth!C206)</f>
        <v/>
      </c>
      <c r="D3453" s="66" t="str">
        <f>IF(Fourteenth!D206="", "",Fourteenth!D206)</f>
        <v/>
      </c>
      <c r="E3453" s="66" t="str">
        <f>IF(Fourteenth!E206="", "",Fourteenth!E206)</f>
        <v/>
      </c>
      <c r="F3453" s="66" t="str">
        <f>IF(Fourteenth!F206="", "",Fourteenth!F206)</f>
        <v/>
      </c>
      <c r="G3453" s="66" t="str">
        <f>IF(Fourteenth!G206="", "",Fourteenth!G206)</f>
        <v/>
      </c>
      <c r="H3453" s="66" t="str">
        <f>IF(Fourteenth!H206="", "",Fourteenth!H206)</f>
        <v/>
      </c>
      <c r="I3453" s="66" t="str">
        <f>IF(Fourteenth!I206="", "",Fourteenth!I206)</f>
        <v/>
      </c>
      <c r="J3453" s="66" t="str">
        <f>IF(Fourteenth!J206="", "",Fourteenth!J206)</f>
        <v/>
      </c>
      <c r="K3453" s="86" t="str">
        <f>IF(Fourteenth!K206="", "",Fourteenth!K206)</f>
        <v/>
      </c>
      <c r="M3453" s="67" t="str">
        <f t="shared" si="161"/>
        <v/>
      </c>
      <c r="N3453" s="76" t="str">
        <f t="shared" si="162"/>
        <v/>
      </c>
      <c r="O3453" s="33">
        <f t="shared" si="160"/>
        <v>0</v>
      </c>
    </row>
    <row r="3454" spans="1:15" x14ac:dyDescent="0.25">
      <c r="A3454" s="64" t="s">
        <v>185</v>
      </c>
      <c r="B3454" s="79" t="str">
        <f>IF(Fourteenth!B207="", "",Fourteenth!B207)</f>
        <v/>
      </c>
      <c r="C3454" s="66" t="str">
        <f>IF(Fourteenth!C207="", "",Fourteenth!C207)</f>
        <v/>
      </c>
      <c r="D3454" s="66" t="str">
        <f>IF(Fourteenth!D207="", "",Fourteenth!D207)</f>
        <v/>
      </c>
      <c r="E3454" s="66" t="str">
        <f>IF(Fourteenth!E207="", "",Fourteenth!E207)</f>
        <v/>
      </c>
      <c r="F3454" s="66" t="str">
        <f>IF(Fourteenth!F207="", "",Fourteenth!F207)</f>
        <v/>
      </c>
      <c r="G3454" s="66" t="str">
        <f>IF(Fourteenth!G207="", "",Fourteenth!G207)</f>
        <v/>
      </c>
      <c r="H3454" s="66" t="str">
        <f>IF(Fourteenth!H207="", "",Fourteenth!H207)</f>
        <v/>
      </c>
      <c r="I3454" s="66" t="str">
        <f>IF(Fourteenth!I207="", "",Fourteenth!I207)</f>
        <v/>
      </c>
      <c r="J3454" s="66" t="str">
        <f>IF(Fourteenth!J207="", "",Fourteenth!J207)</f>
        <v/>
      </c>
      <c r="K3454" s="86" t="str">
        <f>IF(Fourteenth!K207="", "",Fourteenth!K207)</f>
        <v/>
      </c>
      <c r="M3454" s="67" t="str">
        <f t="shared" si="161"/>
        <v/>
      </c>
      <c r="N3454" s="76" t="str">
        <f t="shared" si="162"/>
        <v/>
      </c>
      <c r="O3454" s="33">
        <f t="shared" si="160"/>
        <v>0</v>
      </c>
    </row>
    <row r="3455" spans="1:15" x14ac:dyDescent="0.25">
      <c r="A3455" s="64" t="s">
        <v>185</v>
      </c>
      <c r="B3455" s="79" t="str">
        <f>IF(Fourteenth!B208="", "",Fourteenth!B208)</f>
        <v/>
      </c>
      <c r="C3455" s="66" t="str">
        <f>IF(Fourteenth!C208="", "",Fourteenth!C208)</f>
        <v/>
      </c>
      <c r="D3455" s="66" t="str">
        <f>IF(Fourteenth!D208="", "",Fourteenth!D208)</f>
        <v/>
      </c>
      <c r="E3455" s="66" t="str">
        <f>IF(Fourteenth!E208="", "",Fourteenth!E208)</f>
        <v/>
      </c>
      <c r="F3455" s="66" t="str">
        <f>IF(Fourteenth!F208="", "",Fourteenth!F208)</f>
        <v/>
      </c>
      <c r="G3455" s="66" t="str">
        <f>IF(Fourteenth!G208="", "",Fourteenth!G208)</f>
        <v/>
      </c>
      <c r="H3455" s="66" t="str">
        <f>IF(Fourteenth!H208="", "",Fourteenth!H208)</f>
        <v/>
      </c>
      <c r="I3455" s="66" t="str">
        <f>IF(Fourteenth!I208="", "",Fourteenth!I208)</f>
        <v/>
      </c>
      <c r="J3455" s="66" t="str">
        <f>IF(Fourteenth!J208="", "",Fourteenth!J208)</f>
        <v/>
      </c>
      <c r="K3455" s="86" t="str">
        <f>IF(Fourteenth!K208="", "",Fourteenth!K208)</f>
        <v/>
      </c>
      <c r="M3455" s="67" t="str">
        <f t="shared" si="161"/>
        <v/>
      </c>
      <c r="N3455" s="76" t="str">
        <f t="shared" si="162"/>
        <v/>
      </c>
      <c r="O3455" s="33">
        <f t="shared" si="160"/>
        <v>0</v>
      </c>
    </row>
    <row r="3456" spans="1:15" x14ac:dyDescent="0.25">
      <c r="A3456" s="64" t="s">
        <v>185</v>
      </c>
      <c r="B3456" s="79" t="str">
        <f>IF(Fourteenth!B209="", "",Fourteenth!B209)</f>
        <v/>
      </c>
      <c r="C3456" s="66" t="str">
        <f>IF(Fourteenth!C209="", "",Fourteenth!C209)</f>
        <v/>
      </c>
      <c r="D3456" s="66" t="str">
        <f>IF(Fourteenth!D209="", "",Fourteenth!D209)</f>
        <v/>
      </c>
      <c r="E3456" s="66" t="str">
        <f>IF(Fourteenth!E209="", "",Fourteenth!E209)</f>
        <v/>
      </c>
      <c r="F3456" s="66" t="str">
        <f>IF(Fourteenth!F209="", "",Fourteenth!F209)</f>
        <v/>
      </c>
      <c r="G3456" s="66" t="str">
        <f>IF(Fourteenth!G209="", "",Fourteenth!G209)</f>
        <v/>
      </c>
      <c r="H3456" s="66" t="str">
        <f>IF(Fourteenth!H209="", "",Fourteenth!H209)</f>
        <v/>
      </c>
      <c r="I3456" s="66" t="str">
        <f>IF(Fourteenth!I209="", "",Fourteenth!I209)</f>
        <v/>
      </c>
      <c r="J3456" s="66" t="str">
        <f>IF(Fourteenth!J209="", "",Fourteenth!J209)</f>
        <v/>
      </c>
      <c r="K3456" s="86" t="str">
        <f>IF(Fourteenth!K209="", "",Fourteenth!K209)</f>
        <v/>
      </c>
      <c r="M3456" s="67" t="str">
        <f t="shared" si="161"/>
        <v/>
      </c>
      <c r="N3456" s="76" t="str">
        <f t="shared" si="162"/>
        <v/>
      </c>
      <c r="O3456" s="33">
        <f t="shared" si="160"/>
        <v>0</v>
      </c>
    </row>
    <row r="3457" spans="1:15" x14ac:dyDescent="0.25">
      <c r="A3457" s="64" t="s">
        <v>185</v>
      </c>
      <c r="B3457" s="79" t="str">
        <f>IF(Fourteenth!B210="", "",Fourteenth!B210)</f>
        <v/>
      </c>
      <c r="C3457" s="66" t="str">
        <f>IF(Fourteenth!C210="", "",Fourteenth!C210)</f>
        <v/>
      </c>
      <c r="D3457" s="66" t="str">
        <f>IF(Fourteenth!D210="", "",Fourteenth!D210)</f>
        <v/>
      </c>
      <c r="E3457" s="66" t="str">
        <f>IF(Fourteenth!E210="", "",Fourteenth!E210)</f>
        <v/>
      </c>
      <c r="F3457" s="66" t="str">
        <f>IF(Fourteenth!F210="", "",Fourteenth!F210)</f>
        <v/>
      </c>
      <c r="G3457" s="66" t="str">
        <f>IF(Fourteenth!G210="", "",Fourteenth!G210)</f>
        <v/>
      </c>
      <c r="H3457" s="66" t="str">
        <f>IF(Fourteenth!H210="", "",Fourteenth!H210)</f>
        <v/>
      </c>
      <c r="I3457" s="66" t="str">
        <f>IF(Fourteenth!I210="", "",Fourteenth!I210)</f>
        <v/>
      </c>
      <c r="J3457" s="66" t="str">
        <f>IF(Fourteenth!J210="", "",Fourteenth!J210)</f>
        <v/>
      </c>
      <c r="K3457" s="86" t="str">
        <f>IF(Fourteenth!K210="", "",Fourteenth!K210)</f>
        <v/>
      </c>
      <c r="M3457" s="67" t="str">
        <f t="shared" si="161"/>
        <v/>
      </c>
      <c r="N3457" s="76" t="str">
        <f t="shared" si="162"/>
        <v/>
      </c>
      <c r="O3457" s="33">
        <f t="shared" si="160"/>
        <v>0</v>
      </c>
    </row>
    <row r="3458" spans="1:15" x14ac:dyDescent="0.25">
      <c r="A3458" s="64" t="s">
        <v>185</v>
      </c>
      <c r="B3458" s="79" t="str">
        <f>IF(Fourteenth!B211="", "",Fourteenth!B211)</f>
        <v/>
      </c>
      <c r="C3458" s="66" t="str">
        <f>IF(Fourteenth!C211="", "",Fourteenth!C211)</f>
        <v/>
      </c>
      <c r="D3458" s="66" t="str">
        <f>IF(Fourteenth!D211="", "",Fourteenth!D211)</f>
        <v/>
      </c>
      <c r="E3458" s="66" t="str">
        <f>IF(Fourteenth!E211="", "",Fourteenth!E211)</f>
        <v/>
      </c>
      <c r="F3458" s="66" t="str">
        <f>IF(Fourteenth!F211="", "",Fourteenth!F211)</f>
        <v/>
      </c>
      <c r="G3458" s="66" t="str">
        <f>IF(Fourteenth!G211="", "",Fourteenth!G211)</f>
        <v/>
      </c>
      <c r="H3458" s="66" t="str">
        <f>IF(Fourteenth!H211="", "",Fourteenth!H211)</f>
        <v/>
      </c>
      <c r="I3458" s="66" t="str">
        <f>IF(Fourteenth!I211="", "",Fourteenth!I211)</f>
        <v/>
      </c>
      <c r="J3458" s="66" t="str">
        <f>IF(Fourteenth!J211="", "",Fourteenth!J211)</f>
        <v/>
      </c>
      <c r="K3458" s="86" t="str">
        <f>IF(Fourteenth!K211="", "",Fourteenth!K211)</f>
        <v/>
      </c>
      <c r="M3458" s="67" t="str">
        <f t="shared" si="161"/>
        <v/>
      </c>
      <c r="N3458" s="76" t="str">
        <f t="shared" si="162"/>
        <v/>
      </c>
      <c r="O3458" s="33">
        <f t="shared" ref="O3458:O3521" si="163">SUM(M3458:N3458)</f>
        <v>0</v>
      </c>
    </row>
    <row r="3459" spans="1:15" x14ac:dyDescent="0.25">
      <c r="A3459" s="64" t="s">
        <v>185</v>
      </c>
      <c r="B3459" s="79" t="str">
        <f>IF(Fourteenth!B212="", "",Fourteenth!B212)</f>
        <v/>
      </c>
      <c r="C3459" s="66" t="str">
        <f>IF(Fourteenth!C212="", "",Fourteenth!C212)</f>
        <v/>
      </c>
      <c r="D3459" s="66" t="str">
        <f>IF(Fourteenth!D212="", "",Fourteenth!D212)</f>
        <v/>
      </c>
      <c r="E3459" s="66" t="str">
        <f>IF(Fourteenth!E212="", "",Fourteenth!E212)</f>
        <v/>
      </c>
      <c r="F3459" s="66" t="str">
        <f>IF(Fourteenth!F212="", "",Fourteenth!F212)</f>
        <v/>
      </c>
      <c r="G3459" s="66" t="str">
        <f>IF(Fourteenth!G212="", "",Fourteenth!G212)</f>
        <v/>
      </c>
      <c r="H3459" s="66" t="str">
        <f>IF(Fourteenth!H212="", "",Fourteenth!H212)</f>
        <v/>
      </c>
      <c r="I3459" s="66" t="str">
        <f>IF(Fourteenth!I212="", "",Fourteenth!I212)</f>
        <v/>
      </c>
      <c r="J3459" s="66" t="str">
        <f>IF(Fourteenth!J212="", "",Fourteenth!J212)</f>
        <v/>
      </c>
      <c r="K3459" s="86" t="str">
        <f>IF(Fourteenth!K212="", "",Fourteenth!K212)</f>
        <v/>
      </c>
      <c r="M3459" s="67" t="str">
        <f t="shared" ref="M3459:M3522" si="164">IF(C3459="PwC",(7-COUNTIF(B3459:H3459,"")),"")</f>
        <v/>
      </c>
      <c r="N3459" s="76" t="str">
        <f t="shared" ref="N3459:N3522" si="165">IF(C3459="Carer",(7-COUNTIF(B3459:H3459,"")),"")</f>
        <v/>
      </c>
      <c r="O3459" s="33">
        <f t="shared" si="163"/>
        <v>0</v>
      </c>
    </row>
    <row r="3460" spans="1:15" x14ac:dyDescent="0.25">
      <c r="A3460" s="64" t="s">
        <v>185</v>
      </c>
      <c r="B3460" s="79" t="str">
        <f>IF(Fourteenth!B213="", "",Fourteenth!B213)</f>
        <v/>
      </c>
      <c r="C3460" s="66" t="str">
        <f>IF(Fourteenth!C213="", "",Fourteenth!C213)</f>
        <v/>
      </c>
      <c r="D3460" s="66" t="str">
        <f>IF(Fourteenth!D213="", "",Fourteenth!D213)</f>
        <v/>
      </c>
      <c r="E3460" s="66" t="str">
        <f>IF(Fourteenth!E213="", "",Fourteenth!E213)</f>
        <v/>
      </c>
      <c r="F3460" s="66" t="str">
        <f>IF(Fourteenth!F213="", "",Fourteenth!F213)</f>
        <v/>
      </c>
      <c r="G3460" s="66" t="str">
        <f>IF(Fourteenth!G213="", "",Fourteenth!G213)</f>
        <v/>
      </c>
      <c r="H3460" s="66" t="str">
        <f>IF(Fourteenth!H213="", "",Fourteenth!H213)</f>
        <v/>
      </c>
      <c r="I3460" s="66" t="str">
        <f>IF(Fourteenth!I213="", "",Fourteenth!I213)</f>
        <v/>
      </c>
      <c r="J3460" s="66" t="str">
        <f>IF(Fourteenth!J213="", "",Fourteenth!J213)</f>
        <v/>
      </c>
      <c r="K3460" s="86" t="str">
        <f>IF(Fourteenth!K213="", "",Fourteenth!K213)</f>
        <v/>
      </c>
      <c r="M3460" s="67" t="str">
        <f t="shared" si="164"/>
        <v/>
      </c>
      <c r="N3460" s="76" t="str">
        <f t="shared" si="165"/>
        <v/>
      </c>
      <c r="O3460" s="33">
        <f t="shared" si="163"/>
        <v>0</v>
      </c>
    </row>
    <row r="3461" spans="1:15" x14ac:dyDescent="0.25">
      <c r="A3461" s="64" t="s">
        <v>185</v>
      </c>
      <c r="B3461" s="79" t="str">
        <f>IF(Fourteenth!B214="", "",Fourteenth!B214)</f>
        <v/>
      </c>
      <c r="C3461" s="66" t="str">
        <f>IF(Fourteenth!C214="", "",Fourteenth!C214)</f>
        <v/>
      </c>
      <c r="D3461" s="66" t="str">
        <f>IF(Fourteenth!D214="", "",Fourteenth!D214)</f>
        <v/>
      </c>
      <c r="E3461" s="66" t="str">
        <f>IF(Fourteenth!E214="", "",Fourteenth!E214)</f>
        <v/>
      </c>
      <c r="F3461" s="66" t="str">
        <f>IF(Fourteenth!F214="", "",Fourteenth!F214)</f>
        <v/>
      </c>
      <c r="G3461" s="66" t="str">
        <f>IF(Fourteenth!G214="", "",Fourteenth!G214)</f>
        <v/>
      </c>
      <c r="H3461" s="66" t="str">
        <f>IF(Fourteenth!H214="", "",Fourteenth!H214)</f>
        <v/>
      </c>
      <c r="I3461" s="66" t="str">
        <f>IF(Fourteenth!I214="", "",Fourteenth!I214)</f>
        <v/>
      </c>
      <c r="J3461" s="66" t="str">
        <f>IF(Fourteenth!J214="", "",Fourteenth!J214)</f>
        <v/>
      </c>
      <c r="K3461" s="86" t="str">
        <f>IF(Fourteenth!K214="", "",Fourteenth!K214)</f>
        <v/>
      </c>
      <c r="M3461" s="67" t="str">
        <f t="shared" si="164"/>
        <v/>
      </c>
      <c r="N3461" s="76" t="str">
        <f t="shared" si="165"/>
        <v/>
      </c>
      <c r="O3461" s="33">
        <f t="shared" si="163"/>
        <v>0</v>
      </c>
    </row>
    <row r="3462" spans="1:15" x14ac:dyDescent="0.25">
      <c r="A3462" s="64" t="s">
        <v>185</v>
      </c>
      <c r="B3462" s="79" t="str">
        <f>IF(Fourteenth!B215="", "",Fourteenth!B215)</f>
        <v/>
      </c>
      <c r="C3462" s="66" t="str">
        <f>IF(Fourteenth!C215="", "",Fourteenth!C215)</f>
        <v/>
      </c>
      <c r="D3462" s="66" t="str">
        <f>IF(Fourteenth!D215="", "",Fourteenth!D215)</f>
        <v/>
      </c>
      <c r="E3462" s="66" t="str">
        <f>IF(Fourteenth!E215="", "",Fourteenth!E215)</f>
        <v/>
      </c>
      <c r="F3462" s="66" t="str">
        <f>IF(Fourteenth!F215="", "",Fourteenth!F215)</f>
        <v/>
      </c>
      <c r="G3462" s="66" t="str">
        <f>IF(Fourteenth!G215="", "",Fourteenth!G215)</f>
        <v/>
      </c>
      <c r="H3462" s="66" t="str">
        <f>IF(Fourteenth!H215="", "",Fourteenth!H215)</f>
        <v/>
      </c>
      <c r="I3462" s="66" t="str">
        <f>IF(Fourteenth!I215="", "",Fourteenth!I215)</f>
        <v/>
      </c>
      <c r="J3462" s="66" t="str">
        <f>IF(Fourteenth!J215="", "",Fourteenth!J215)</f>
        <v/>
      </c>
      <c r="K3462" s="86" t="str">
        <f>IF(Fourteenth!K215="", "",Fourteenth!K215)</f>
        <v/>
      </c>
      <c r="M3462" s="67" t="str">
        <f t="shared" si="164"/>
        <v/>
      </c>
      <c r="N3462" s="76" t="str">
        <f t="shared" si="165"/>
        <v/>
      </c>
      <c r="O3462" s="33">
        <f t="shared" si="163"/>
        <v>0</v>
      </c>
    </row>
    <row r="3463" spans="1:15" x14ac:dyDescent="0.25">
      <c r="A3463" s="64" t="s">
        <v>185</v>
      </c>
      <c r="B3463" s="79" t="str">
        <f>IF(Fourteenth!B216="", "",Fourteenth!B216)</f>
        <v/>
      </c>
      <c r="C3463" s="66" t="str">
        <f>IF(Fourteenth!C216="", "",Fourteenth!C216)</f>
        <v/>
      </c>
      <c r="D3463" s="66" t="str">
        <f>IF(Fourteenth!D216="", "",Fourteenth!D216)</f>
        <v/>
      </c>
      <c r="E3463" s="66" t="str">
        <f>IF(Fourteenth!E216="", "",Fourteenth!E216)</f>
        <v/>
      </c>
      <c r="F3463" s="66" t="str">
        <f>IF(Fourteenth!F216="", "",Fourteenth!F216)</f>
        <v/>
      </c>
      <c r="G3463" s="66" t="str">
        <f>IF(Fourteenth!G216="", "",Fourteenth!G216)</f>
        <v/>
      </c>
      <c r="H3463" s="66" t="str">
        <f>IF(Fourteenth!H216="", "",Fourteenth!H216)</f>
        <v/>
      </c>
      <c r="I3463" s="66" t="str">
        <f>IF(Fourteenth!I216="", "",Fourteenth!I216)</f>
        <v/>
      </c>
      <c r="J3463" s="66" t="str">
        <f>IF(Fourteenth!J216="", "",Fourteenth!J216)</f>
        <v/>
      </c>
      <c r="K3463" s="86" t="str">
        <f>IF(Fourteenth!K216="", "",Fourteenth!K216)</f>
        <v/>
      </c>
      <c r="M3463" s="67" t="str">
        <f t="shared" si="164"/>
        <v/>
      </c>
      <c r="N3463" s="76" t="str">
        <f t="shared" si="165"/>
        <v/>
      </c>
      <c r="O3463" s="33">
        <f t="shared" si="163"/>
        <v>0</v>
      </c>
    </row>
    <row r="3464" spans="1:15" x14ac:dyDescent="0.25">
      <c r="A3464" s="64" t="s">
        <v>185</v>
      </c>
      <c r="B3464" s="79" t="str">
        <f>IF(Fourteenth!B217="", "",Fourteenth!B217)</f>
        <v/>
      </c>
      <c r="C3464" s="66" t="str">
        <f>IF(Fourteenth!C217="", "",Fourteenth!C217)</f>
        <v/>
      </c>
      <c r="D3464" s="66" t="str">
        <f>IF(Fourteenth!D217="", "",Fourteenth!D217)</f>
        <v/>
      </c>
      <c r="E3464" s="66" t="str">
        <f>IF(Fourteenth!E217="", "",Fourteenth!E217)</f>
        <v/>
      </c>
      <c r="F3464" s="66" t="str">
        <f>IF(Fourteenth!F217="", "",Fourteenth!F217)</f>
        <v/>
      </c>
      <c r="G3464" s="66" t="str">
        <f>IF(Fourteenth!G217="", "",Fourteenth!G217)</f>
        <v/>
      </c>
      <c r="H3464" s="66" t="str">
        <f>IF(Fourteenth!H217="", "",Fourteenth!H217)</f>
        <v/>
      </c>
      <c r="I3464" s="66" t="str">
        <f>IF(Fourteenth!I217="", "",Fourteenth!I217)</f>
        <v/>
      </c>
      <c r="J3464" s="66" t="str">
        <f>IF(Fourteenth!J217="", "",Fourteenth!J217)</f>
        <v/>
      </c>
      <c r="K3464" s="86" t="str">
        <f>IF(Fourteenth!K217="", "",Fourteenth!K217)</f>
        <v/>
      </c>
      <c r="M3464" s="67" t="str">
        <f t="shared" si="164"/>
        <v/>
      </c>
      <c r="N3464" s="76" t="str">
        <f t="shared" si="165"/>
        <v/>
      </c>
      <c r="O3464" s="33">
        <f t="shared" si="163"/>
        <v>0</v>
      </c>
    </row>
    <row r="3465" spans="1:15" x14ac:dyDescent="0.25">
      <c r="A3465" s="64" t="s">
        <v>185</v>
      </c>
      <c r="B3465" s="79" t="str">
        <f>IF(Fourteenth!B218="", "",Fourteenth!B218)</f>
        <v/>
      </c>
      <c r="C3465" s="66" t="str">
        <f>IF(Fourteenth!C218="", "",Fourteenth!C218)</f>
        <v/>
      </c>
      <c r="D3465" s="66" t="str">
        <f>IF(Fourteenth!D218="", "",Fourteenth!D218)</f>
        <v/>
      </c>
      <c r="E3465" s="66" t="str">
        <f>IF(Fourteenth!E218="", "",Fourteenth!E218)</f>
        <v/>
      </c>
      <c r="F3465" s="66" t="str">
        <f>IF(Fourteenth!F218="", "",Fourteenth!F218)</f>
        <v/>
      </c>
      <c r="G3465" s="66" t="str">
        <f>IF(Fourteenth!G218="", "",Fourteenth!G218)</f>
        <v/>
      </c>
      <c r="H3465" s="66" t="str">
        <f>IF(Fourteenth!H218="", "",Fourteenth!H218)</f>
        <v/>
      </c>
      <c r="I3465" s="66" t="str">
        <f>IF(Fourteenth!I218="", "",Fourteenth!I218)</f>
        <v/>
      </c>
      <c r="J3465" s="66" t="str">
        <f>IF(Fourteenth!J218="", "",Fourteenth!J218)</f>
        <v/>
      </c>
      <c r="K3465" s="86" t="str">
        <f>IF(Fourteenth!K218="", "",Fourteenth!K218)</f>
        <v/>
      </c>
      <c r="M3465" s="67" t="str">
        <f t="shared" si="164"/>
        <v/>
      </c>
      <c r="N3465" s="76" t="str">
        <f t="shared" si="165"/>
        <v/>
      </c>
      <c r="O3465" s="33">
        <f t="shared" si="163"/>
        <v>0</v>
      </c>
    </row>
    <row r="3466" spans="1:15" x14ac:dyDescent="0.25">
      <c r="A3466" s="64" t="s">
        <v>185</v>
      </c>
      <c r="B3466" s="79" t="str">
        <f>IF(Fourteenth!B219="", "",Fourteenth!B219)</f>
        <v/>
      </c>
      <c r="C3466" s="66" t="str">
        <f>IF(Fourteenth!C219="", "",Fourteenth!C219)</f>
        <v/>
      </c>
      <c r="D3466" s="66" t="str">
        <f>IF(Fourteenth!D219="", "",Fourteenth!D219)</f>
        <v/>
      </c>
      <c r="E3466" s="66" t="str">
        <f>IF(Fourteenth!E219="", "",Fourteenth!E219)</f>
        <v/>
      </c>
      <c r="F3466" s="66" t="str">
        <f>IF(Fourteenth!F219="", "",Fourteenth!F219)</f>
        <v/>
      </c>
      <c r="G3466" s="66" t="str">
        <f>IF(Fourteenth!G219="", "",Fourteenth!G219)</f>
        <v/>
      </c>
      <c r="H3466" s="66" t="str">
        <f>IF(Fourteenth!H219="", "",Fourteenth!H219)</f>
        <v/>
      </c>
      <c r="I3466" s="66" t="str">
        <f>IF(Fourteenth!I219="", "",Fourteenth!I219)</f>
        <v/>
      </c>
      <c r="J3466" s="66" t="str">
        <f>IF(Fourteenth!J219="", "",Fourteenth!J219)</f>
        <v/>
      </c>
      <c r="K3466" s="86" t="str">
        <f>IF(Fourteenth!K219="", "",Fourteenth!K219)</f>
        <v/>
      </c>
      <c r="M3466" s="67" t="str">
        <f t="shared" si="164"/>
        <v/>
      </c>
      <c r="N3466" s="76" t="str">
        <f t="shared" si="165"/>
        <v/>
      </c>
      <c r="O3466" s="33">
        <f t="shared" si="163"/>
        <v>0</v>
      </c>
    </row>
    <row r="3467" spans="1:15" x14ac:dyDescent="0.25">
      <c r="A3467" s="64" t="s">
        <v>185</v>
      </c>
      <c r="B3467" s="79" t="str">
        <f>IF(Fourteenth!B220="", "",Fourteenth!B220)</f>
        <v/>
      </c>
      <c r="C3467" s="66" t="str">
        <f>IF(Fourteenth!C220="", "",Fourteenth!C220)</f>
        <v/>
      </c>
      <c r="D3467" s="66" t="str">
        <f>IF(Fourteenth!D220="", "",Fourteenth!D220)</f>
        <v/>
      </c>
      <c r="E3467" s="66" t="str">
        <f>IF(Fourteenth!E220="", "",Fourteenth!E220)</f>
        <v/>
      </c>
      <c r="F3467" s="66" t="str">
        <f>IF(Fourteenth!F220="", "",Fourteenth!F220)</f>
        <v/>
      </c>
      <c r="G3467" s="66" t="str">
        <f>IF(Fourteenth!G220="", "",Fourteenth!G220)</f>
        <v/>
      </c>
      <c r="H3467" s="66" t="str">
        <f>IF(Fourteenth!H220="", "",Fourteenth!H220)</f>
        <v/>
      </c>
      <c r="I3467" s="66" t="str">
        <f>IF(Fourteenth!I220="", "",Fourteenth!I220)</f>
        <v/>
      </c>
      <c r="J3467" s="66" t="str">
        <f>IF(Fourteenth!J220="", "",Fourteenth!J220)</f>
        <v/>
      </c>
      <c r="K3467" s="86" t="str">
        <f>IF(Fourteenth!K220="", "",Fourteenth!K220)</f>
        <v/>
      </c>
      <c r="M3467" s="67" t="str">
        <f t="shared" si="164"/>
        <v/>
      </c>
      <c r="N3467" s="76" t="str">
        <f t="shared" si="165"/>
        <v/>
      </c>
      <c r="O3467" s="33">
        <f t="shared" si="163"/>
        <v>0</v>
      </c>
    </row>
    <row r="3468" spans="1:15" x14ac:dyDescent="0.25">
      <c r="A3468" s="64" t="s">
        <v>185</v>
      </c>
      <c r="B3468" s="79" t="str">
        <f>IF(Fourteenth!B221="", "",Fourteenth!B221)</f>
        <v/>
      </c>
      <c r="C3468" s="66" t="str">
        <f>IF(Fourteenth!C221="", "",Fourteenth!C221)</f>
        <v/>
      </c>
      <c r="D3468" s="66" t="str">
        <f>IF(Fourteenth!D221="", "",Fourteenth!D221)</f>
        <v/>
      </c>
      <c r="E3468" s="66" t="str">
        <f>IF(Fourteenth!E221="", "",Fourteenth!E221)</f>
        <v/>
      </c>
      <c r="F3468" s="66" t="str">
        <f>IF(Fourteenth!F221="", "",Fourteenth!F221)</f>
        <v/>
      </c>
      <c r="G3468" s="66" t="str">
        <f>IF(Fourteenth!G221="", "",Fourteenth!G221)</f>
        <v/>
      </c>
      <c r="H3468" s="66" t="str">
        <f>IF(Fourteenth!H221="", "",Fourteenth!H221)</f>
        <v/>
      </c>
      <c r="I3468" s="66" t="str">
        <f>IF(Fourteenth!I221="", "",Fourteenth!I221)</f>
        <v/>
      </c>
      <c r="J3468" s="66" t="str">
        <f>IF(Fourteenth!J221="", "",Fourteenth!J221)</f>
        <v/>
      </c>
      <c r="K3468" s="86" t="str">
        <f>IF(Fourteenth!K221="", "",Fourteenth!K221)</f>
        <v/>
      </c>
      <c r="M3468" s="67" t="str">
        <f t="shared" si="164"/>
        <v/>
      </c>
      <c r="N3468" s="76" t="str">
        <f t="shared" si="165"/>
        <v/>
      </c>
      <c r="O3468" s="33">
        <f t="shared" si="163"/>
        <v>0</v>
      </c>
    </row>
    <row r="3469" spans="1:15" x14ac:dyDescent="0.25">
      <c r="A3469" s="64" t="s">
        <v>185</v>
      </c>
      <c r="B3469" s="79" t="str">
        <f>IF(Fourteenth!B222="", "",Fourteenth!B222)</f>
        <v/>
      </c>
      <c r="C3469" s="66" t="str">
        <f>IF(Fourteenth!C222="", "",Fourteenth!C222)</f>
        <v/>
      </c>
      <c r="D3469" s="66" t="str">
        <f>IF(Fourteenth!D222="", "",Fourteenth!D222)</f>
        <v/>
      </c>
      <c r="E3469" s="66" t="str">
        <f>IF(Fourteenth!E222="", "",Fourteenth!E222)</f>
        <v/>
      </c>
      <c r="F3469" s="66" t="str">
        <f>IF(Fourteenth!F222="", "",Fourteenth!F222)</f>
        <v/>
      </c>
      <c r="G3469" s="66" t="str">
        <f>IF(Fourteenth!G222="", "",Fourteenth!G222)</f>
        <v/>
      </c>
      <c r="H3469" s="66" t="str">
        <f>IF(Fourteenth!H222="", "",Fourteenth!H222)</f>
        <v/>
      </c>
      <c r="I3469" s="66" t="str">
        <f>IF(Fourteenth!I222="", "",Fourteenth!I222)</f>
        <v/>
      </c>
      <c r="J3469" s="66" t="str">
        <f>IF(Fourteenth!J222="", "",Fourteenth!J222)</f>
        <v/>
      </c>
      <c r="K3469" s="86" t="str">
        <f>IF(Fourteenth!K222="", "",Fourteenth!K222)</f>
        <v/>
      </c>
      <c r="M3469" s="67" t="str">
        <f t="shared" si="164"/>
        <v/>
      </c>
      <c r="N3469" s="76" t="str">
        <f t="shared" si="165"/>
        <v/>
      </c>
      <c r="O3469" s="33">
        <f t="shared" si="163"/>
        <v>0</v>
      </c>
    </row>
    <row r="3470" spans="1:15" x14ac:dyDescent="0.25">
      <c r="A3470" s="64" t="s">
        <v>185</v>
      </c>
      <c r="B3470" s="79" t="str">
        <f>IF(Fourteenth!B223="", "",Fourteenth!B223)</f>
        <v/>
      </c>
      <c r="C3470" s="66" t="str">
        <f>IF(Fourteenth!C223="", "",Fourteenth!C223)</f>
        <v/>
      </c>
      <c r="D3470" s="66" t="str">
        <f>IF(Fourteenth!D223="", "",Fourteenth!D223)</f>
        <v/>
      </c>
      <c r="E3470" s="66" t="str">
        <f>IF(Fourteenth!E223="", "",Fourteenth!E223)</f>
        <v/>
      </c>
      <c r="F3470" s="66" t="str">
        <f>IF(Fourteenth!F223="", "",Fourteenth!F223)</f>
        <v/>
      </c>
      <c r="G3470" s="66" t="str">
        <f>IF(Fourteenth!G223="", "",Fourteenth!G223)</f>
        <v/>
      </c>
      <c r="H3470" s="66" t="str">
        <f>IF(Fourteenth!H223="", "",Fourteenth!H223)</f>
        <v/>
      </c>
      <c r="I3470" s="66" t="str">
        <f>IF(Fourteenth!I223="", "",Fourteenth!I223)</f>
        <v/>
      </c>
      <c r="J3470" s="66" t="str">
        <f>IF(Fourteenth!J223="", "",Fourteenth!J223)</f>
        <v/>
      </c>
      <c r="K3470" s="86" t="str">
        <f>IF(Fourteenth!K223="", "",Fourteenth!K223)</f>
        <v/>
      </c>
      <c r="M3470" s="67" t="str">
        <f t="shared" si="164"/>
        <v/>
      </c>
      <c r="N3470" s="76" t="str">
        <f t="shared" si="165"/>
        <v/>
      </c>
      <c r="O3470" s="33">
        <f t="shared" si="163"/>
        <v>0</v>
      </c>
    </row>
    <row r="3471" spans="1:15" x14ac:dyDescent="0.25">
      <c r="A3471" s="64" t="s">
        <v>185</v>
      </c>
      <c r="B3471" s="79" t="str">
        <f>IF(Fourteenth!B224="", "",Fourteenth!B224)</f>
        <v/>
      </c>
      <c r="C3471" s="66" t="str">
        <f>IF(Fourteenth!C224="", "",Fourteenth!C224)</f>
        <v/>
      </c>
      <c r="D3471" s="66" t="str">
        <f>IF(Fourteenth!D224="", "",Fourteenth!D224)</f>
        <v/>
      </c>
      <c r="E3471" s="66" t="str">
        <f>IF(Fourteenth!E224="", "",Fourteenth!E224)</f>
        <v/>
      </c>
      <c r="F3471" s="66" t="str">
        <f>IF(Fourteenth!F224="", "",Fourteenth!F224)</f>
        <v/>
      </c>
      <c r="G3471" s="66" t="str">
        <f>IF(Fourteenth!G224="", "",Fourteenth!G224)</f>
        <v/>
      </c>
      <c r="H3471" s="66" t="str">
        <f>IF(Fourteenth!H224="", "",Fourteenth!H224)</f>
        <v/>
      </c>
      <c r="I3471" s="66" t="str">
        <f>IF(Fourteenth!I224="", "",Fourteenth!I224)</f>
        <v/>
      </c>
      <c r="J3471" s="66" t="str">
        <f>IF(Fourteenth!J224="", "",Fourteenth!J224)</f>
        <v/>
      </c>
      <c r="K3471" s="86" t="str">
        <f>IF(Fourteenth!K224="", "",Fourteenth!K224)</f>
        <v/>
      </c>
      <c r="M3471" s="67" t="str">
        <f t="shared" si="164"/>
        <v/>
      </c>
      <c r="N3471" s="76" t="str">
        <f t="shared" si="165"/>
        <v/>
      </c>
      <c r="O3471" s="33">
        <f t="shared" si="163"/>
        <v>0</v>
      </c>
    </row>
    <row r="3472" spans="1:15" x14ac:dyDescent="0.25">
      <c r="A3472" s="64" t="s">
        <v>185</v>
      </c>
      <c r="B3472" s="79" t="str">
        <f>IF(Fourteenth!B225="", "",Fourteenth!B225)</f>
        <v/>
      </c>
      <c r="C3472" s="66" t="str">
        <f>IF(Fourteenth!C225="", "",Fourteenth!C225)</f>
        <v/>
      </c>
      <c r="D3472" s="66" t="str">
        <f>IF(Fourteenth!D225="", "",Fourteenth!D225)</f>
        <v/>
      </c>
      <c r="E3472" s="66" t="str">
        <f>IF(Fourteenth!E225="", "",Fourteenth!E225)</f>
        <v/>
      </c>
      <c r="F3472" s="66" t="str">
        <f>IF(Fourteenth!F225="", "",Fourteenth!F225)</f>
        <v/>
      </c>
      <c r="G3472" s="66" t="str">
        <f>IF(Fourteenth!G225="", "",Fourteenth!G225)</f>
        <v/>
      </c>
      <c r="H3472" s="66" t="str">
        <f>IF(Fourteenth!H225="", "",Fourteenth!H225)</f>
        <v/>
      </c>
      <c r="I3472" s="66" t="str">
        <f>IF(Fourteenth!I225="", "",Fourteenth!I225)</f>
        <v/>
      </c>
      <c r="J3472" s="66" t="str">
        <f>IF(Fourteenth!J225="", "",Fourteenth!J225)</f>
        <v/>
      </c>
      <c r="K3472" s="86" t="str">
        <f>IF(Fourteenth!K225="", "",Fourteenth!K225)</f>
        <v/>
      </c>
      <c r="M3472" s="67" t="str">
        <f t="shared" si="164"/>
        <v/>
      </c>
      <c r="N3472" s="76" t="str">
        <f t="shared" si="165"/>
        <v/>
      </c>
      <c r="O3472" s="33">
        <f t="shared" si="163"/>
        <v>0</v>
      </c>
    </row>
    <row r="3473" spans="1:15" x14ac:dyDescent="0.25">
      <c r="A3473" s="64" t="s">
        <v>185</v>
      </c>
      <c r="B3473" s="79" t="str">
        <f>IF(Fourteenth!B226="", "",Fourteenth!B226)</f>
        <v/>
      </c>
      <c r="C3473" s="66" t="str">
        <f>IF(Fourteenth!C226="", "",Fourteenth!C226)</f>
        <v/>
      </c>
      <c r="D3473" s="66" t="str">
        <f>IF(Fourteenth!D226="", "",Fourteenth!D226)</f>
        <v/>
      </c>
      <c r="E3473" s="66" t="str">
        <f>IF(Fourteenth!E226="", "",Fourteenth!E226)</f>
        <v/>
      </c>
      <c r="F3473" s="66" t="str">
        <f>IF(Fourteenth!F226="", "",Fourteenth!F226)</f>
        <v/>
      </c>
      <c r="G3473" s="66" t="str">
        <f>IF(Fourteenth!G226="", "",Fourteenth!G226)</f>
        <v/>
      </c>
      <c r="H3473" s="66" t="str">
        <f>IF(Fourteenth!H226="", "",Fourteenth!H226)</f>
        <v/>
      </c>
      <c r="I3473" s="66" t="str">
        <f>IF(Fourteenth!I226="", "",Fourteenth!I226)</f>
        <v/>
      </c>
      <c r="J3473" s="66" t="str">
        <f>IF(Fourteenth!J226="", "",Fourteenth!J226)</f>
        <v/>
      </c>
      <c r="K3473" s="86" t="str">
        <f>IF(Fourteenth!K226="", "",Fourteenth!K226)</f>
        <v/>
      </c>
      <c r="M3473" s="67" t="str">
        <f t="shared" si="164"/>
        <v/>
      </c>
      <c r="N3473" s="76" t="str">
        <f t="shared" si="165"/>
        <v/>
      </c>
      <c r="O3473" s="33">
        <f t="shared" si="163"/>
        <v>0</v>
      </c>
    </row>
    <row r="3474" spans="1:15" x14ac:dyDescent="0.25">
      <c r="A3474" s="64" t="s">
        <v>185</v>
      </c>
      <c r="B3474" s="79" t="str">
        <f>IF(Fourteenth!B227="", "",Fourteenth!B227)</f>
        <v/>
      </c>
      <c r="C3474" s="66" t="str">
        <f>IF(Fourteenth!C227="", "",Fourteenth!C227)</f>
        <v/>
      </c>
      <c r="D3474" s="66" t="str">
        <f>IF(Fourteenth!D227="", "",Fourteenth!D227)</f>
        <v/>
      </c>
      <c r="E3474" s="66" t="str">
        <f>IF(Fourteenth!E227="", "",Fourteenth!E227)</f>
        <v/>
      </c>
      <c r="F3474" s="66" t="str">
        <f>IF(Fourteenth!F227="", "",Fourteenth!F227)</f>
        <v/>
      </c>
      <c r="G3474" s="66" t="str">
        <f>IF(Fourteenth!G227="", "",Fourteenth!G227)</f>
        <v/>
      </c>
      <c r="H3474" s="66" t="str">
        <f>IF(Fourteenth!H227="", "",Fourteenth!H227)</f>
        <v/>
      </c>
      <c r="I3474" s="66" t="str">
        <f>IF(Fourteenth!I227="", "",Fourteenth!I227)</f>
        <v/>
      </c>
      <c r="J3474" s="66" t="str">
        <f>IF(Fourteenth!J227="", "",Fourteenth!J227)</f>
        <v/>
      </c>
      <c r="K3474" s="86" t="str">
        <f>IF(Fourteenth!K227="", "",Fourteenth!K227)</f>
        <v/>
      </c>
      <c r="M3474" s="67" t="str">
        <f t="shared" si="164"/>
        <v/>
      </c>
      <c r="N3474" s="76" t="str">
        <f t="shared" si="165"/>
        <v/>
      </c>
      <c r="O3474" s="33">
        <f t="shared" si="163"/>
        <v>0</v>
      </c>
    </row>
    <row r="3475" spans="1:15" x14ac:dyDescent="0.25">
      <c r="A3475" s="64" t="s">
        <v>185</v>
      </c>
      <c r="B3475" s="79" t="str">
        <f>IF(Fourteenth!B228="", "",Fourteenth!B228)</f>
        <v/>
      </c>
      <c r="C3475" s="66" t="str">
        <f>IF(Fourteenth!C228="", "",Fourteenth!C228)</f>
        <v/>
      </c>
      <c r="D3475" s="66" t="str">
        <f>IF(Fourteenth!D228="", "",Fourteenth!D228)</f>
        <v/>
      </c>
      <c r="E3475" s="66" t="str">
        <f>IF(Fourteenth!E228="", "",Fourteenth!E228)</f>
        <v/>
      </c>
      <c r="F3475" s="66" t="str">
        <f>IF(Fourteenth!F228="", "",Fourteenth!F228)</f>
        <v/>
      </c>
      <c r="G3475" s="66" t="str">
        <f>IF(Fourteenth!G228="", "",Fourteenth!G228)</f>
        <v/>
      </c>
      <c r="H3475" s="66" t="str">
        <f>IF(Fourteenth!H228="", "",Fourteenth!H228)</f>
        <v/>
      </c>
      <c r="I3475" s="66" t="str">
        <f>IF(Fourteenth!I228="", "",Fourteenth!I228)</f>
        <v/>
      </c>
      <c r="J3475" s="66" t="str">
        <f>IF(Fourteenth!J228="", "",Fourteenth!J228)</f>
        <v/>
      </c>
      <c r="K3475" s="86" t="str">
        <f>IF(Fourteenth!K228="", "",Fourteenth!K228)</f>
        <v/>
      </c>
      <c r="M3475" s="67" t="str">
        <f t="shared" si="164"/>
        <v/>
      </c>
      <c r="N3475" s="76" t="str">
        <f t="shared" si="165"/>
        <v/>
      </c>
      <c r="O3475" s="33">
        <f t="shared" si="163"/>
        <v>0</v>
      </c>
    </row>
    <row r="3476" spans="1:15" x14ac:dyDescent="0.25">
      <c r="A3476" s="64" t="s">
        <v>185</v>
      </c>
      <c r="B3476" s="79" t="str">
        <f>IF(Fourteenth!B229="", "",Fourteenth!B229)</f>
        <v/>
      </c>
      <c r="C3476" s="66" t="str">
        <f>IF(Fourteenth!C229="", "",Fourteenth!C229)</f>
        <v/>
      </c>
      <c r="D3476" s="66" t="str">
        <f>IF(Fourteenth!D229="", "",Fourteenth!D229)</f>
        <v/>
      </c>
      <c r="E3476" s="66" t="str">
        <f>IF(Fourteenth!E229="", "",Fourteenth!E229)</f>
        <v/>
      </c>
      <c r="F3476" s="66" t="str">
        <f>IF(Fourteenth!F229="", "",Fourteenth!F229)</f>
        <v/>
      </c>
      <c r="G3476" s="66" t="str">
        <f>IF(Fourteenth!G229="", "",Fourteenth!G229)</f>
        <v/>
      </c>
      <c r="H3476" s="66" t="str">
        <f>IF(Fourteenth!H229="", "",Fourteenth!H229)</f>
        <v/>
      </c>
      <c r="I3476" s="66" t="str">
        <f>IF(Fourteenth!I229="", "",Fourteenth!I229)</f>
        <v/>
      </c>
      <c r="J3476" s="66" t="str">
        <f>IF(Fourteenth!J229="", "",Fourteenth!J229)</f>
        <v/>
      </c>
      <c r="K3476" s="86" t="str">
        <f>IF(Fourteenth!K229="", "",Fourteenth!K229)</f>
        <v/>
      </c>
      <c r="M3476" s="67" t="str">
        <f t="shared" si="164"/>
        <v/>
      </c>
      <c r="N3476" s="76" t="str">
        <f t="shared" si="165"/>
        <v/>
      </c>
      <c r="O3476" s="33">
        <f t="shared" si="163"/>
        <v>0</v>
      </c>
    </row>
    <row r="3477" spans="1:15" x14ac:dyDescent="0.25">
      <c r="A3477" s="64" t="s">
        <v>185</v>
      </c>
      <c r="B3477" s="79" t="str">
        <f>IF(Fourteenth!B230="", "",Fourteenth!B230)</f>
        <v/>
      </c>
      <c r="C3477" s="66" t="str">
        <f>IF(Fourteenth!C230="", "",Fourteenth!C230)</f>
        <v/>
      </c>
      <c r="D3477" s="66" t="str">
        <f>IF(Fourteenth!D230="", "",Fourteenth!D230)</f>
        <v/>
      </c>
      <c r="E3477" s="66" t="str">
        <f>IF(Fourteenth!E230="", "",Fourteenth!E230)</f>
        <v/>
      </c>
      <c r="F3477" s="66" t="str">
        <f>IF(Fourteenth!F230="", "",Fourteenth!F230)</f>
        <v/>
      </c>
      <c r="G3477" s="66" t="str">
        <f>IF(Fourteenth!G230="", "",Fourteenth!G230)</f>
        <v/>
      </c>
      <c r="H3477" s="66" t="str">
        <f>IF(Fourteenth!H230="", "",Fourteenth!H230)</f>
        <v/>
      </c>
      <c r="I3477" s="66" t="str">
        <f>IF(Fourteenth!I230="", "",Fourteenth!I230)</f>
        <v/>
      </c>
      <c r="J3477" s="66" t="str">
        <f>IF(Fourteenth!J230="", "",Fourteenth!J230)</f>
        <v/>
      </c>
      <c r="K3477" s="86" t="str">
        <f>IF(Fourteenth!K230="", "",Fourteenth!K230)</f>
        <v/>
      </c>
      <c r="M3477" s="67" t="str">
        <f t="shared" si="164"/>
        <v/>
      </c>
      <c r="N3477" s="76" t="str">
        <f t="shared" si="165"/>
        <v/>
      </c>
      <c r="O3477" s="33">
        <f t="shared" si="163"/>
        <v>0</v>
      </c>
    </row>
    <row r="3478" spans="1:15" x14ac:dyDescent="0.25">
      <c r="A3478" s="64" t="s">
        <v>185</v>
      </c>
      <c r="B3478" s="79" t="str">
        <f>IF(Fourteenth!B231="", "",Fourteenth!B231)</f>
        <v/>
      </c>
      <c r="C3478" s="66" t="str">
        <f>IF(Fourteenth!C231="", "",Fourteenth!C231)</f>
        <v/>
      </c>
      <c r="D3478" s="66" t="str">
        <f>IF(Fourteenth!D231="", "",Fourteenth!D231)</f>
        <v/>
      </c>
      <c r="E3478" s="66" t="str">
        <f>IF(Fourteenth!E231="", "",Fourteenth!E231)</f>
        <v/>
      </c>
      <c r="F3478" s="66" t="str">
        <f>IF(Fourteenth!F231="", "",Fourteenth!F231)</f>
        <v/>
      </c>
      <c r="G3478" s="66" t="str">
        <f>IF(Fourteenth!G231="", "",Fourteenth!G231)</f>
        <v/>
      </c>
      <c r="H3478" s="66" t="str">
        <f>IF(Fourteenth!H231="", "",Fourteenth!H231)</f>
        <v/>
      </c>
      <c r="I3478" s="66" t="str">
        <f>IF(Fourteenth!I231="", "",Fourteenth!I231)</f>
        <v/>
      </c>
      <c r="J3478" s="66" t="str">
        <f>IF(Fourteenth!J231="", "",Fourteenth!J231)</f>
        <v/>
      </c>
      <c r="K3478" s="86" t="str">
        <f>IF(Fourteenth!K231="", "",Fourteenth!K231)</f>
        <v/>
      </c>
      <c r="M3478" s="67" t="str">
        <f t="shared" si="164"/>
        <v/>
      </c>
      <c r="N3478" s="76" t="str">
        <f t="shared" si="165"/>
        <v/>
      </c>
      <c r="O3478" s="33">
        <f t="shared" si="163"/>
        <v>0</v>
      </c>
    </row>
    <row r="3479" spans="1:15" x14ac:dyDescent="0.25">
      <c r="A3479" s="64" t="s">
        <v>185</v>
      </c>
      <c r="B3479" s="79" t="str">
        <f>IF(Fourteenth!B232="", "",Fourteenth!B232)</f>
        <v/>
      </c>
      <c r="C3479" s="66" t="str">
        <f>IF(Fourteenth!C232="", "",Fourteenth!C232)</f>
        <v/>
      </c>
      <c r="D3479" s="66" t="str">
        <f>IF(Fourteenth!D232="", "",Fourteenth!D232)</f>
        <v/>
      </c>
      <c r="E3479" s="66" t="str">
        <f>IF(Fourteenth!E232="", "",Fourteenth!E232)</f>
        <v/>
      </c>
      <c r="F3479" s="66" t="str">
        <f>IF(Fourteenth!F232="", "",Fourteenth!F232)</f>
        <v/>
      </c>
      <c r="G3479" s="66" t="str">
        <f>IF(Fourteenth!G232="", "",Fourteenth!G232)</f>
        <v/>
      </c>
      <c r="H3479" s="66" t="str">
        <f>IF(Fourteenth!H232="", "",Fourteenth!H232)</f>
        <v/>
      </c>
      <c r="I3479" s="66" t="str">
        <f>IF(Fourteenth!I232="", "",Fourteenth!I232)</f>
        <v/>
      </c>
      <c r="J3479" s="66" t="str">
        <f>IF(Fourteenth!J232="", "",Fourteenth!J232)</f>
        <v/>
      </c>
      <c r="K3479" s="86" t="str">
        <f>IF(Fourteenth!K232="", "",Fourteenth!K232)</f>
        <v/>
      </c>
      <c r="M3479" s="67" t="str">
        <f t="shared" si="164"/>
        <v/>
      </c>
      <c r="N3479" s="76" t="str">
        <f t="shared" si="165"/>
        <v/>
      </c>
      <c r="O3479" s="33">
        <f t="shared" si="163"/>
        <v>0</v>
      </c>
    </row>
    <row r="3480" spans="1:15" x14ac:dyDescent="0.25">
      <c r="A3480" s="64" t="s">
        <v>185</v>
      </c>
      <c r="B3480" s="79" t="str">
        <f>IF(Fourteenth!B233="", "",Fourteenth!B233)</f>
        <v/>
      </c>
      <c r="C3480" s="66" t="str">
        <f>IF(Fourteenth!C233="", "",Fourteenth!C233)</f>
        <v/>
      </c>
      <c r="D3480" s="66" t="str">
        <f>IF(Fourteenth!D233="", "",Fourteenth!D233)</f>
        <v/>
      </c>
      <c r="E3480" s="66" t="str">
        <f>IF(Fourteenth!E233="", "",Fourteenth!E233)</f>
        <v/>
      </c>
      <c r="F3480" s="66" t="str">
        <f>IF(Fourteenth!F233="", "",Fourteenth!F233)</f>
        <v/>
      </c>
      <c r="G3480" s="66" t="str">
        <f>IF(Fourteenth!G233="", "",Fourteenth!G233)</f>
        <v/>
      </c>
      <c r="H3480" s="66" t="str">
        <f>IF(Fourteenth!H233="", "",Fourteenth!H233)</f>
        <v/>
      </c>
      <c r="I3480" s="66" t="str">
        <f>IF(Fourteenth!I233="", "",Fourteenth!I233)</f>
        <v/>
      </c>
      <c r="J3480" s="66" t="str">
        <f>IF(Fourteenth!J233="", "",Fourteenth!J233)</f>
        <v/>
      </c>
      <c r="K3480" s="86" t="str">
        <f>IF(Fourteenth!K233="", "",Fourteenth!K233)</f>
        <v/>
      </c>
      <c r="M3480" s="67" t="str">
        <f t="shared" si="164"/>
        <v/>
      </c>
      <c r="N3480" s="76" t="str">
        <f t="shared" si="165"/>
        <v/>
      </c>
      <c r="O3480" s="33">
        <f t="shared" si="163"/>
        <v>0</v>
      </c>
    </row>
    <row r="3481" spans="1:15" x14ac:dyDescent="0.25">
      <c r="A3481" s="64" t="s">
        <v>185</v>
      </c>
      <c r="B3481" s="79" t="str">
        <f>IF(Fourteenth!B234="", "",Fourteenth!B234)</f>
        <v/>
      </c>
      <c r="C3481" s="66" t="str">
        <f>IF(Fourteenth!C234="", "",Fourteenth!C234)</f>
        <v/>
      </c>
      <c r="D3481" s="66" t="str">
        <f>IF(Fourteenth!D234="", "",Fourteenth!D234)</f>
        <v/>
      </c>
      <c r="E3481" s="66" t="str">
        <f>IF(Fourteenth!E234="", "",Fourteenth!E234)</f>
        <v/>
      </c>
      <c r="F3481" s="66" t="str">
        <f>IF(Fourteenth!F234="", "",Fourteenth!F234)</f>
        <v/>
      </c>
      <c r="G3481" s="66" t="str">
        <f>IF(Fourteenth!G234="", "",Fourteenth!G234)</f>
        <v/>
      </c>
      <c r="H3481" s="66" t="str">
        <f>IF(Fourteenth!H234="", "",Fourteenth!H234)</f>
        <v/>
      </c>
      <c r="I3481" s="66" t="str">
        <f>IF(Fourteenth!I234="", "",Fourteenth!I234)</f>
        <v/>
      </c>
      <c r="J3481" s="66" t="str">
        <f>IF(Fourteenth!J234="", "",Fourteenth!J234)</f>
        <v/>
      </c>
      <c r="K3481" s="86" t="str">
        <f>IF(Fourteenth!K234="", "",Fourteenth!K234)</f>
        <v/>
      </c>
      <c r="M3481" s="67" t="str">
        <f t="shared" si="164"/>
        <v/>
      </c>
      <c r="N3481" s="76" t="str">
        <f t="shared" si="165"/>
        <v/>
      </c>
      <c r="O3481" s="33">
        <f t="shared" si="163"/>
        <v>0</v>
      </c>
    </row>
    <row r="3482" spans="1:15" x14ac:dyDescent="0.25">
      <c r="A3482" s="64" t="s">
        <v>185</v>
      </c>
      <c r="B3482" s="79" t="str">
        <f>IF(Fourteenth!B235="", "",Fourteenth!B235)</f>
        <v/>
      </c>
      <c r="C3482" s="66" t="str">
        <f>IF(Fourteenth!C235="", "",Fourteenth!C235)</f>
        <v/>
      </c>
      <c r="D3482" s="66" t="str">
        <f>IF(Fourteenth!D235="", "",Fourteenth!D235)</f>
        <v/>
      </c>
      <c r="E3482" s="66" t="str">
        <f>IF(Fourteenth!E235="", "",Fourteenth!E235)</f>
        <v/>
      </c>
      <c r="F3482" s="66" t="str">
        <f>IF(Fourteenth!F235="", "",Fourteenth!F235)</f>
        <v/>
      </c>
      <c r="G3482" s="66" t="str">
        <f>IF(Fourteenth!G235="", "",Fourteenth!G235)</f>
        <v/>
      </c>
      <c r="H3482" s="66" t="str">
        <f>IF(Fourteenth!H235="", "",Fourteenth!H235)</f>
        <v/>
      </c>
      <c r="I3482" s="66" t="str">
        <f>IF(Fourteenth!I235="", "",Fourteenth!I235)</f>
        <v/>
      </c>
      <c r="J3482" s="66" t="str">
        <f>IF(Fourteenth!J235="", "",Fourteenth!J235)</f>
        <v/>
      </c>
      <c r="K3482" s="86" t="str">
        <f>IF(Fourteenth!K235="", "",Fourteenth!K235)</f>
        <v/>
      </c>
      <c r="M3482" s="67" t="str">
        <f t="shared" si="164"/>
        <v/>
      </c>
      <c r="N3482" s="76" t="str">
        <f t="shared" si="165"/>
        <v/>
      </c>
      <c r="O3482" s="33">
        <f t="shared" si="163"/>
        <v>0</v>
      </c>
    </row>
    <row r="3483" spans="1:15" x14ac:dyDescent="0.25">
      <c r="A3483" s="64" t="s">
        <v>185</v>
      </c>
      <c r="B3483" s="79" t="str">
        <f>IF(Fourteenth!B236="", "",Fourteenth!B236)</f>
        <v/>
      </c>
      <c r="C3483" s="66" t="str">
        <f>IF(Fourteenth!C236="", "",Fourteenth!C236)</f>
        <v/>
      </c>
      <c r="D3483" s="66" t="str">
        <f>IF(Fourteenth!D236="", "",Fourteenth!D236)</f>
        <v/>
      </c>
      <c r="E3483" s="66" t="str">
        <f>IF(Fourteenth!E236="", "",Fourteenth!E236)</f>
        <v/>
      </c>
      <c r="F3483" s="66" t="str">
        <f>IF(Fourteenth!F236="", "",Fourteenth!F236)</f>
        <v/>
      </c>
      <c r="G3483" s="66" t="str">
        <f>IF(Fourteenth!G236="", "",Fourteenth!G236)</f>
        <v/>
      </c>
      <c r="H3483" s="66" t="str">
        <f>IF(Fourteenth!H236="", "",Fourteenth!H236)</f>
        <v/>
      </c>
      <c r="I3483" s="66" t="str">
        <f>IF(Fourteenth!I236="", "",Fourteenth!I236)</f>
        <v/>
      </c>
      <c r="J3483" s="66" t="str">
        <f>IF(Fourteenth!J236="", "",Fourteenth!J236)</f>
        <v/>
      </c>
      <c r="K3483" s="86" t="str">
        <f>IF(Fourteenth!K236="", "",Fourteenth!K236)</f>
        <v/>
      </c>
      <c r="M3483" s="67" t="str">
        <f t="shared" si="164"/>
        <v/>
      </c>
      <c r="N3483" s="76" t="str">
        <f t="shared" si="165"/>
        <v/>
      </c>
      <c r="O3483" s="33">
        <f t="shared" si="163"/>
        <v>0</v>
      </c>
    </row>
    <row r="3484" spans="1:15" x14ac:dyDescent="0.25">
      <c r="A3484" s="64" t="s">
        <v>185</v>
      </c>
      <c r="B3484" s="79" t="str">
        <f>IF(Fourteenth!B237="", "",Fourteenth!B237)</f>
        <v/>
      </c>
      <c r="C3484" s="66" t="str">
        <f>IF(Fourteenth!C237="", "",Fourteenth!C237)</f>
        <v/>
      </c>
      <c r="D3484" s="66" t="str">
        <f>IF(Fourteenth!D237="", "",Fourteenth!D237)</f>
        <v/>
      </c>
      <c r="E3484" s="66" t="str">
        <f>IF(Fourteenth!E237="", "",Fourteenth!E237)</f>
        <v/>
      </c>
      <c r="F3484" s="66" t="str">
        <f>IF(Fourteenth!F237="", "",Fourteenth!F237)</f>
        <v/>
      </c>
      <c r="G3484" s="66" t="str">
        <f>IF(Fourteenth!G237="", "",Fourteenth!G237)</f>
        <v/>
      </c>
      <c r="H3484" s="66" t="str">
        <f>IF(Fourteenth!H237="", "",Fourteenth!H237)</f>
        <v/>
      </c>
      <c r="I3484" s="66" t="str">
        <f>IF(Fourteenth!I237="", "",Fourteenth!I237)</f>
        <v/>
      </c>
      <c r="J3484" s="66" t="str">
        <f>IF(Fourteenth!J237="", "",Fourteenth!J237)</f>
        <v/>
      </c>
      <c r="K3484" s="86" t="str">
        <f>IF(Fourteenth!K237="", "",Fourteenth!K237)</f>
        <v/>
      </c>
      <c r="M3484" s="67" t="str">
        <f t="shared" si="164"/>
        <v/>
      </c>
      <c r="N3484" s="76" t="str">
        <f t="shared" si="165"/>
        <v/>
      </c>
      <c r="O3484" s="33">
        <f t="shared" si="163"/>
        <v>0</v>
      </c>
    </row>
    <row r="3485" spans="1:15" x14ac:dyDescent="0.25">
      <c r="A3485" s="64" t="s">
        <v>185</v>
      </c>
      <c r="B3485" s="79" t="str">
        <f>IF(Fourteenth!B238="", "",Fourteenth!B238)</f>
        <v/>
      </c>
      <c r="C3485" s="66" t="str">
        <f>IF(Fourteenth!C238="", "",Fourteenth!C238)</f>
        <v/>
      </c>
      <c r="D3485" s="66" t="str">
        <f>IF(Fourteenth!D238="", "",Fourteenth!D238)</f>
        <v/>
      </c>
      <c r="E3485" s="66" t="str">
        <f>IF(Fourteenth!E238="", "",Fourteenth!E238)</f>
        <v/>
      </c>
      <c r="F3485" s="66" t="str">
        <f>IF(Fourteenth!F238="", "",Fourteenth!F238)</f>
        <v/>
      </c>
      <c r="G3485" s="66" t="str">
        <f>IF(Fourteenth!G238="", "",Fourteenth!G238)</f>
        <v/>
      </c>
      <c r="H3485" s="66" t="str">
        <f>IF(Fourteenth!H238="", "",Fourteenth!H238)</f>
        <v/>
      </c>
      <c r="I3485" s="66" t="str">
        <f>IF(Fourteenth!I238="", "",Fourteenth!I238)</f>
        <v/>
      </c>
      <c r="J3485" s="66" t="str">
        <f>IF(Fourteenth!J238="", "",Fourteenth!J238)</f>
        <v/>
      </c>
      <c r="K3485" s="86" t="str">
        <f>IF(Fourteenth!K238="", "",Fourteenth!K238)</f>
        <v/>
      </c>
      <c r="M3485" s="67" t="str">
        <f t="shared" si="164"/>
        <v/>
      </c>
      <c r="N3485" s="76" t="str">
        <f t="shared" si="165"/>
        <v/>
      </c>
      <c r="O3485" s="33">
        <f t="shared" si="163"/>
        <v>0</v>
      </c>
    </row>
    <row r="3486" spans="1:15" x14ac:dyDescent="0.25">
      <c r="A3486" s="64" t="s">
        <v>185</v>
      </c>
      <c r="B3486" s="79" t="str">
        <f>IF(Fourteenth!B239="", "",Fourteenth!B239)</f>
        <v/>
      </c>
      <c r="C3486" s="66" t="str">
        <f>IF(Fourteenth!C239="", "",Fourteenth!C239)</f>
        <v/>
      </c>
      <c r="D3486" s="66" t="str">
        <f>IF(Fourteenth!D239="", "",Fourteenth!D239)</f>
        <v/>
      </c>
      <c r="E3486" s="66" t="str">
        <f>IF(Fourteenth!E239="", "",Fourteenth!E239)</f>
        <v/>
      </c>
      <c r="F3486" s="66" t="str">
        <f>IF(Fourteenth!F239="", "",Fourteenth!F239)</f>
        <v/>
      </c>
      <c r="G3486" s="66" t="str">
        <f>IF(Fourteenth!G239="", "",Fourteenth!G239)</f>
        <v/>
      </c>
      <c r="H3486" s="66" t="str">
        <f>IF(Fourteenth!H239="", "",Fourteenth!H239)</f>
        <v/>
      </c>
      <c r="I3486" s="66" t="str">
        <f>IF(Fourteenth!I239="", "",Fourteenth!I239)</f>
        <v/>
      </c>
      <c r="J3486" s="66" t="str">
        <f>IF(Fourteenth!J239="", "",Fourteenth!J239)</f>
        <v/>
      </c>
      <c r="K3486" s="86" t="str">
        <f>IF(Fourteenth!K239="", "",Fourteenth!K239)</f>
        <v/>
      </c>
      <c r="M3486" s="67" t="str">
        <f t="shared" si="164"/>
        <v/>
      </c>
      <c r="N3486" s="76" t="str">
        <f t="shared" si="165"/>
        <v/>
      </c>
      <c r="O3486" s="33">
        <f t="shared" si="163"/>
        <v>0</v>
      </c>
    </row>
    <row r="3487" spans="1:15" x14ac:dyDescent="0.25">
      <c r="A3487" s="64" t="s">
        <v>185</v>
      </c>
      <c r="B3487" s="79" t="str">
        <f>IF(Fourteenth!B240="", "",Fourteenth!B240)</f>
        <v/>
      </c>
      <c r="C3487" s="66" t="str">
        <f>IF(Fourteenth!C240="", "",Fourteenth!C240)</f>
        <v/>
      </c>
      <c r="D3487" s="66" t="str">
        <f>IF(Fourteenth!D240="", "",Fourteenth!D240)</f>
        <v/>
      </c>
      <c r="E3487" s="66" t="str">
        <f>IF(Fourteenth!E240="", "",Fourteenth!E240)</f>
        <v/>
      </c>
      <c r="F3487" s="66" t="str">
        <f>IF(Fourteenth!F240="", "",Fourteenth!F240)</f>
        <v/>
      </c>
      <c r="G3487" s="66" t="str">
        <f>IF(Fourteenth!G240="", "",Fourteenth!G240)</f>
        <v/>
      </c>
      <c r="H3487" s="66" t="str">
        <f>IF(Fourteenth!H240="", "",Fourteenth!H240)</f>
        <v/>
      </c>
      <c r="I3487" s="66" t="str">
        <f>IF(Fourteenth!I240="", "",Fourteenth!I240)</f>
        <v/>
      </c>
      <c r="J3487" s="66" t="str">
        <f>IF(Fourteenth!J240="", "",Fourteenth!J240)</f>
        <v/>
      </c>
      <c r="K3487" s="86" t="str">
        <f>IF(Fourteenth!K240="", "",Fourteenth!K240)</f>
        <v/>
      </c>
      <c r="M3487" s="67" t="str">
        <f t="shared" si="164"/>
        <v/>
      </c>
      <c r="N3487" s="76" t="str">
        <f t="shared" si="165"/>
        <v/>
      </c>
      <c r="O3487" s="33">
        <f t="shared" si="163"/>
        <v>0</v>
      </c>
    </row>
    <row r="3488" spans="1:15" x14ac:dyDescent="0.25">
      <c r="A3488" s="64" t="s">
        <v>185</v>
      </c>
      <c r="B3488" s="79" t="str">
        <f>IF(Fourteenth!B241="", "",Fourteenth!B241)</f>
        <v/>
      </c>
      <c r="C3488" s="66" t="str">
        <f>IF(Fourteenth!C241="", "",Fourteenth!C241)</f>
        <v/>
      </c>
      <c r="D3488" s="66" t="str">
        <f>IF(Fourteenth!D241="", "",Fourteenth!D241)</f>
        <v/>
      </c>
      <c r="E3488" s="66" t="str">
        <f>IF(Fourteenth!E241="", "",Fourteenth!E241)</f>
        <v/>
      </c>
      <c r="F3488" s="66" t="str">
        <f>IF(Fourteenth!F241="", "",Fourteenth!F241)</f>
        <v/>
      </c>
      <c r="G3488" s="66" t="str">
        <f>IF(Fourteenth!G241="", "",Fourteenth!G241)</f>
        <v/>
      </c>
      <c r="H3488" s="66" t="str">
        <f>IF(Fourteenth!H241="", "",Fourteenth!H241)</f>
        <v/>
      </c>
      <c r="I3488" s="66" t="str">
        <f>IF(Fourteenth!I241="", "",Fourteenth!I241)</f>
        <v/>
      </c>
      <c r="J3488" s="66" t="str">
        <f>IF(Fourteenth!J241="", "",Fourteenth!J241)</f>
        <v/>
      </c>
      <c r="K3488" s="86" t="str">
        <f>IF(Fourteenth!K241="", "",Fourteenth!K241)</f>
        <v/>
      </c>
      <c r="M3488" s="67" t="str">
        <f t="shared" si="164"/>
        <v/>
      </c>
      <c r="N3488" s="76" t="str">
        <f t="shared" si="165"/>
        <v/>
      </c>
      <c r="O3488" s="33">
        <f t="shared" si="163"/>
        <v>0</v>
      </c>
    </row>
    <row r="3489" spans="1:15" x14ac:dyDescent="0.25">
      <c r="A3489" s="64" t="s">
        <v>185</v>
      </c>
      <c r="B3489" s="79" t="str">
        <f>IF(Fourteenth!B242="", "",Fourteenth!B242)</f>
        <v/>
      </c>
      <c r="C3489" s="66" t="str">
        <f>IF(Fourteenth!C242="", "",Fourteenth!C242)</f>
        <v/>
      </c>
      <c r="D3489" s="66" t="str">
        <f>IF(Fourteenth!D242="", "",Fourteenth!D242)</f>
        <v/>
      </c>
      <c r="E3489" s="66" t="str">
        <f>IF(Fourteenth!E242="", "",Fourteenth!E242)</f>
        <v/>
      </c>
      <c r="F3489" s="66" t="str">
        <f>IF(Fourteenth!F242="", "",Fourteenth!F242)</f>
        <v/>
      </c>
      <c r="G3489" s="66" t="str">
        <f>IF(Fourteenth!G242="", "",Fourteenth!G242)</f>
        <v/>
      </c>
      <c r="H3489" s="66" t="str">
        <f>IF(Fourteenth!H242="", "",Fourteenth!H242)</f>
        <v/>
      </c>
      <c r="I3489" s="66" t="str">
        <f>IF(Fourteenth!I242="", "",Fourteenth!I242)</f>
        <v/>
      </c>
      <c r="J3489" s="66" t="str">
        <f>IF(Fourteenth!J242="", "",Fourteenth!J242)</f>
        <v/>
      </c>
      <c r="K3489" s="86" t="str">
        <f>IF(Fourteenth!K242="", "",Fourteenth!K242)</f>
        <v/>
      </c>
      <c r="M3489" s="67" t="str">
        <f t="shared" si="164"/>
        <v/>
      </c>
      <c r="N3489" s="76" t="str">
        <f t="shared" si="165"/>
        <v/>
      </c>
      <c r="O3489" s="33">
        <f t="shared" si="163"/>
        <v>0</v>
      </c>
    </row>
    <row r="3490" spans="1:15" x14ac:dyDescent="0.25">
      <c r="A3490" s="64" t="s">
        <v>185</v>
      </c>
      <c r="B3490" s="79" t="str">
        <f>IF(Fourteenth!B243="", "",Fourteenth!B243)</f>
        <v/>
      </c>
      <c r="C3490" s="66" t="str">
        <f>IF(Fourteenth!C243="", "",Fourteenth!C243)</f>
        <v/>
      </c>
      <c r="D3490" s="66" t="str">
        <f>IF(Fourteenth!D243="", "",Fourteenth!D243)</f>
        <v/>
      </c>
      <c r="E3490" s="66" t="str">
        <f>IF(Fourteenth!E243="", "",Fourteenth!E243)</f>
        <v/>
      </c>
      <c r="F3490" s="66" t="str">
        <f>IF(Fourteenth!F243="", "",Fourteenth!F243)</f>
        <v/>
      </c>
      <c r="G3490" s="66" t="str">
        <f>IF(Fourteenth!G243="", "",Fourteenth!G243)</f>
        <v/>
      </c>
      <c r="H3490" s="66" t="str">
        <f>IF(Fourteenth!H243="", "",Fourteenth!H243)</f>
        <v/>
      </c>
      <c r="I3490" s="66" t="str">
        <f>IF(Fourteenth!I243="", "",Fourteenth!I243)</f>
        <v/>
      </c>
      <c r="J3490" s="66" t="str">
        <f>IF(Fourteenth!J243="", "",Fourteenth!J243)</f>
        <v/>
      </c>
      <c r="K3490" s="86" t="str">
        <f>IF(Fourteenth!K243="", "",Fourteenth!K243)</f>
        <v/>
      </c>
      <c r="M3490" s="67" t="str">
        <f t="shared" si="164"/>
        <v/>
      </c>
      <c r="N3490" s="76" t="str">
        <f t="shared" si="165"/>
        <v/>
      </c>
      <c r="O3490" s="33">
        <f t="shared" si="163"/>
        <v>0</v>
      </c>
    </row>
    <row r="3491" spans="1:15" x14ac:dyDescent="0.25">
      <c r="A3491" s="64" t="s">
        <v>185</v>
      </c>
      <c r="B3491" s="79" t="str">
        <f>IF(Fourteenth!B244="", "",Fourteenth!B244)</f>
        <v/>
      </c>
      <c r="C3491" s="66" t="str">
        <f>IF(Fourteenth!C244="", "",Fourteenth!C244)</f>
        <v/>
      </c>
      <c r="D3491" s="66" t="str">
        <f>IF(Fourteenth!D244="", "",Fourteenth!D244)</f>
        <v/>
      </c>
      <c r="E3491" s="66" t="str">
        <f>IF(Fourteenth!E244="", "",Fourteenth!E244)</f>
        <v/>
      </c>
      <c r="F3491" s="66" t="str">
        <f>IF(Fourteenth!F244="", "",Fourteenth!F244)</f>
        <v/>
      </c>
      <c r="G3491" s="66" t="str">
        <f>IF(Fourteenth!G244="", "",Fourteenth!G244)</f>
        <v/>
      </c>
      <c r="H3491" s="66" t="str">
        <f>IF(Fourteenth!H244="", "",Fourteenth!H244)</f>
        <v/>
      </c>
      <c r="I3491" s="66" t="str">
        <f>IF(Fourteenth!I244="", "",Fourteenth!I244)</f>
        <v/>
      </c>
      <c r="J3491" s="66" t="str">
        <f>IF(Fourteenth!J244="", "",Fourteenth!J244)</f>
        <v/>
      </c>
      <c r="K3491" s="86" t="str">
        <f>IF(Fourteenth!K244="", "",Fourteenth!K244)</f>
        <v/>
      </c>
      <c r="M3491" s="67" t="str">
        <f t="shared" si="164"/>
        <v/>
      </c>
      <c r="N3491" s="76" t="str">
        <f t="shared" si="165"/>
        <v/>
      </c>
      <c r="O3491" s="33">
        <f t="shared" si="163"/>
        <v>0</v>
      </c>
    </row>
    <row r="3492" spans="1:15" x14ac:dyDescent="0.25">
      <c r="A3492" s="64" t="s">
        <v>185</v>
      </c>
      <c r="B3492" s="79" t="str">
        <f>IF(Fourteenth!B245="", "",Fourteenth!B245)</f>
        <v/>
      </c>
      <c r="C3492" s="66" t="str">
        <f>IF(Fourteenth!C245="", "",Fourteenth!C245)</f>
        <v/>
      </c>
      <c r="D3492" s="66" t="str">
        <f>IF(Fourteenth!D245="", "",Fourteenth!D245)</f>
        <v/>
      </c>
      <c r="E3492" s="66" t="str">
        <f>IF(Fourteenth!E245="", "",Fourteenth!E245)</f>
        <v/>
      </c>
      <c r="F3492" s="66" t="str">
        <f>IF(Fourteenth!F245="", "",Fourteenth!F245)</f>
        <v/>
      </c>
      <c r="G3492" s="66" t="str">
        <f>IF(Fourteenth!G245="", "",Fourteenth!G245)</f>
        <v/>
      </c>
      <c r="H3492" s="66" t="str">
        <f>IF(Fourteenth!H245="", "",Fourteenth!H245)</f>
        <v/>
      </c>
      <c r="I3492" s="66" t="str">
        <f>IF(Fourteenth!I245="", "",Fourteenth!I245)</f>
        <v/>
      </c>
      <c r="J3492" s="66" t="str">
        <f>IF(Fourteenth!J245="", "",Fourteenth!J245)</f>
        <v/>
      </c>
      <c r="K3492" s="86" t="str">
        <f>IF(Fourteenth!K245="", "",Fourteenth!K245)</f>
        <v/>
      </c>
      <c r="M3492" s="67" t="str">
        <f t="shared" si="164"/>
        <v/>
      </c>
      <c r="N3492" s="76" t="str">
        <f t="shared" si="165"/>
        <v/>
      </c>
      <c r="O3492" s="33">
        <f t="shared" si="163"/>
        <v>0</v>
      </c>
    </row>
    <row r="3493" spans="1:15" x14ac:dyDescent="0.25">
      <c r="A3493" s="64" t="s">
        <v>185</v>
      </c>
      <c r="B3493" s="79" t="str">
        <f>IF(Fourteenth!B246="", "",Fourteenth!B246)</f>
        <v/>
      </c>
      <c r="C3493" s="66" t="str">
        <f>IF(Fourteenth!C246="", "",Fourteenth!C246)</f>
        <v/>
      </c>
      <c r="D3493" s="66" t="str">
        <f>IF(Fourteenth!D246="", "",Fourteenth!D246)</f>
        <v/>
      </c>
      <c r="E3493" s="66" t="str">
        <f>IF(Fourteenth!E246="", "",Fourteenth!E246)</f>
        <v/>
      </c>
      <c r="F3493" s="66" t="str">
        <f>IF(Fourteenth!F246="", "",Fourteenth!F246)</f>
        <v/>
      </c>
      <c r="G3493" s="66" t="str">
        <f>IF(Fourteenth!G246="", "",Fourteenth!G246)</f>
        <v/>
      </c>
      <c r="H3493" s="66" t="str">
        <f>IF(Fourteenth!H246="", "",Fourteenth!H246)</f>
        <v/>
      </c>
      <c r="I3493" s="66" t="str">
        <f>IF(Fourteenth!I246="", "",Fourteenth!I246)</f>
        <v/>
      </c>
      <c r="J3493" s="66" t="str">
        <f>IF(Fourteenth!J246="", "",Fourteenth!J246)</f>
        <v/>
      </c>
      <c r="K3493" s="86" t="str">
        <f>IF(Fourteenth!K246="", "",Fourteenth!K246)</f>
        <v/>
      </c>
      <c r="M3493" s="67" t="str">
        <f t="shared" si="164"/>
        <v/>
      </c>
      <c r="N3493" s="76" t="str">
        <f t="shared" si="165"/>
        <v/>
      </c>
      <c r="O3493" s="33">
        <f t="shared" si="163"/>
        <v>0</v>
      </c>
    </row>
    <row r="3494" spans="1:15" x14ac:dyDescent="0.25">
      <c r="A3494" s="64" t="s">
        <v>185</v>
      </c>
      <c r="B3494" s="79" t="str">
        <f>IF(Fourteenth!B247="", "",Fourteenth!B247)</f>
        <v/>
      </c>
      <c r="C3494" s="66" t="str">
        <f>IF(Fourteenth!C247="", "",Fourteenth!C247)</f>
        <v/>
      </c>
      <c r="D3494" s="66" t="str">
        <f>IF(Fourteenth!D247="", "",Fourteenth!D247)</f>
        <v/>
      </c>
      <c r="E3494" s="66" t="str">
        <f>IF(Fourteenth!E247="", "",Fourteenth!E247)</f>
        <v/>
      </c>
      <c r="F3494" s="66" t="str">
        <f>IF(Fourteenth!F247="", "",Fourteenth!F247)</f>
        <v/>
      </c>
      <c r="G3494" s="66" t="str">
        <f>IF(Fourteenth!G247="", "",Fourteenth!G247)</f>
        <v/>
      </c>
      <c r="H3494" s="66" t="str">
        <f>IF(Fourteenth!H247="", "",Fourteenth!H247)</f>
        <v/>
      </c>
      <c r="I3494" s="66" t="str">
        <f>IF(Fourteenth!I247="", "",Fourteenth!I247)</f>
        <v/>
      </c>
      <c r="J3494" s="66" t="str">
        <f>IF(Fourteenth!J247="", "",Fourteenth!J247)</f>
        <v/>
      </c>
      <c r="K3494" s="86" t="str">
        <f>IF(Fourteenth!K247="", "",Fourteenth!K247)</f>
        <v/>
      </c>
      <c r="M3494" s="67" t="str">
        <f t="shared" si="164"/>
        <v/>
      </c>
      <c r="N3494" s="76" t="str">
        <f t="shared" si="165"/>
        <v/>
      </c>
      <c r="O3494" s="33">
        <f t="shared" si="163"/>
        <v>0</v>
      </c>
    </row>
    <row r="3495" spans="1:15" x14ac:dyDescent="0.25">
      <c r="A3495" s="64" t="s">
        <v>185</v>
      </c>
      <c r="B3495" s="79" t="str">
        <f>IF(Fourteenth!B248="", "",Fourteenth!B248)</f>
        <v/>
      </c>
      <c r="C3495" s="66" t="str">
        <f>IF(Fourteenth!C248="", "",Fourteenth!C248)</f>
        <v/>
      </c>
      <c r="D3495" s="66" t="str">
        <f>IF(Fourteenth!D248="", "",Fourteenth!D248)</f>
        <v/>
      </c>
      <c r="E3495" s="66" t="str">
        <f>IF(Fourteenth!E248="", "",Fourteenth!E248)</f>
        <v/>
      </c>
      <c r="F3495" s="66" t="str">
        <f>IF(Fourteenth!F248="", "",Fourteenth!F248)</f>
        <v/>
      </c>
      <c r="G3495" s="66" t="str">
        <f>IF(Fourteenth!G248="", "",Fourteenth!G248)</f>
        <v/>
      </c>
      <c r="H3495" s="66" t="str">
        <f>IF(Fourteenth!H248="", "",Fourteenth!H248)</f>
        <v/>
      </c>
      <c r="I3495" s="66" t="str">
        <f>IF(Fourteenth!I248="", "",Fourteenth!I248)</f>
        <v/>
      </c>
      <c r="J3495" s="66" t="str">
        <f>IF(Fourteenth!J248="", "",Fourteenth!J248)</f>
        <v/>
      </c>
      <c r="K3495" s="86" t="str">
        <f>IF(Fourteenth!K248="", "",Fourteenth!K248)</f>
        <v/>
      </c>
      <c r="M3495" s="67" t="str">
        <f t="shared" si="164"/>
        <v/>
      </c>
      <c r="N3495" s="76" t="str">
        <f t="shared" si="165"/>
        <v/>
      </c>
      <c r="O3495" s="33">
        <f t="shared" si="163"/>
        <v>0</v>
      </c>
    </row>
    <row r="3496" spans="1:15" x14ac:dyDescent="0.25">
      <c r="A3496" s="64" t="s">
        <v>185</v>
      </c>
      <c r="B3496" s="79" t="str">
        <f>IF(Fourteenth!B249="", "",Fourteenth!B249)</f>
        <v/>
      </c>
      <c r="C3496" s="66" t="str">
        <f>IF(Fourteenth!C249="", "",Fourteenth!C249)</f>
        <v/>
      </c>
      <c r="D3496" s="66" t="str">
        <f>IF(Fourteenth!D249="", "",Fourteenth!D249)</f>
        <v/>
      </c>
      <c r="E3496" s="66" t="str">
        <f>IF(Fourteenth!E249="", "",Fourteenth!E249)</f>
        <v/>
      </c>
      <c r="F3496" s="66" t="str">
        <f>IF(Fourteenth!F249="", "",Fourteenth!F249)</f>
        <v/>
      </c>
      <c r="G3496" s="66" t="str">
        <f>IF(Fourteenth!G249="", "",Fourteenth!G249)</f>
        <v/>
      </c>
      <c r="H3496" s="66" t="str">
        <f>IF(Fourteenth!H249="", "",Fourteenth!H249)</f>
        <v/>
      </c>
      <c r="I3496" s="66" t="str">
        <f>IF(Fourteenth!I249="", "",Fourteenth!I249)</f>
        <v/>
      </c>
      <c r="J3496" s="66" t="str">
        <f>IF(Fourteenth!J249="", "",Fourteenth!J249)</f>
        <v/>
      </c>
      <c r="K3496" s="86" t="str">
        <f>IF(Fourteenth!K249="", "",Fourteenth!K249)</f>
        <v/>
      </c>
      <c r="M3496" s="67" t="str">
        <f t="shared" si="164"/>
        <v/>
      </c>
      <c r="N3496" s="76" t="str">
        <f t="shared" si="165"/>
        <v/>
      </c>
      <c r="O3496" s="33">
        <f t="shared" si="163"/>
        <v>0</v>
      </c>
    </row>
    <row r="3497" spans="1:15" x14ac:dyDescent="0.25">
      <c r="A3497" s="64" t="s">
        <v>185</v>
      </c>
      <c r="B3497" s="79" t="str">
        <f>IF(Fourteenth!B250="", "",Fourteenth!B250)</f>
        <v/>
      </c>
      <c r="C3497" s="66" t="str">
        <f>IF(Fourteenth!C250="", "",Fourteenth!C250)</f>
        <v/>
      </c>
      <c r="D3497" s="66" t="str">
        <f>IF(Fourteenth!D250="", "",Fourteenth!D250)</f>
        <v/>
      </c>
      <c r="E3497" s="66" t="str">
        <f>IF(Fourteenth!E250="", "",Fourteenth!E250)</f>
        <v/>
      </c>
      <c r="F3497" s="66" t="str">
        <f>IF(Fourteenth!F250="", "",Fourteenth!F250)</f>
        <v/>
      </c>
      <c r="G3497" s="66" t="str">
        <f>IF(Fourteenth!G250="", "",Fourteenth!G250)</f>
        <v/>
      </c>
      <c r="H3497" s="66" t="str">
        <f>IF(Fourteenth!H250="", "",Fourteenth!H250)</f>
        <v/>
      </c>
      <c r="I3497" s="66" t="str">
        <f>IF(Fourteenth!I250="", "",Fourteenth!I250)</f>
        <v/>
      </c>
      <c r="J3497" s="66" t="str">
        <f>IF(Fourteenth!J250="", "",Fourteenth!J250)</f>
        <v/>
      </c>
      <c r="K3497" s="86" t="str">
        <f>IF(Fourteenth!K250="", "",Fourteenth!K250)</f>
        <v/>
      </c>
      <c r="M3497" s="67" t="str">
        <f t="shared" si="164"/>
        <v/>
      </c>
      <c r="N3497" s="76" t="str">
        <f t="shared" si="165"/>
        <v/>
      </c>
      <c r="O3497" s="33">
        <f t="shared" si="163"/>
        <v>0</v>
      </c>
    </row>
    <row r="3498" spans="1:15" x14ac:dyDescent="0.25">
      <c r="A3498" s="64" t="s">
        <v>185</v>
      </c>
      <c r="B3498" s="79" t="str">
        <f>IF(Fourteenth!B251="", "",Fourteenth!B251)</f>
        <v/>
      </c>
      <c r="C3498" s="66" t="str">
        <f>IF(Fourteenth!C251="", "",Fourteenth!C251)</f>
        <v/>
      </c>
      <c r="D3498" s="66" t="str">
        <f>IF(Fourteenth!D251="", "",Fourteenth!D251)</f>
        <v/>
      </c>
      <c r="E3498" s="66" t="str">
        <f>IF(Fourteenth!E251="", "",Fourteenth!E251)</f>
        <v/>
      </c>
      <c r="F3498" s="66" t="str">
        <f>IF(Fourteenth!F251="", "",Fourteenth!F251)</f>
        <v/>
      </c>
      <c r="G3498" s="66" t="str">
        <f>IF(Fourteenth!G251="", "",Fourteenth!G251)</f>
        <v/>
      </c>
      <c r="H3498" s="66" t="str">
        <f>IF(Fourteenth!H251="", "",Fourteenth!H251)</f>
        <v/>
      </c>
      <c r="I3498" s="66" t="str">
        <f>IF(Fourteenth!I251="", "",Fourteenth!I251)</f>
        <v/>
      </c>
      <c r="J3498" s="66" t="str">
        <f>IF(Fourteenth!J251="", "",Fourteenth!J251)</f>
        <v/>
      </c>
      <c r="K3498" s="86" t="str">
        <f>IF(Fourteenth!K251="", "",Fourteenth!K251)</f>
        <v/>
      </c>
      <c r="M3498" s="67" t="str">
        <f t="shared" si="164"/>
        <v/>
      </c>
      <c r="N3498" s="76" t="str">
        <f t="shared" si="165"/>
        <v/>
      </c>
      <c r="O3498" s="33">
        <f t="shared" si="163"/>
        <v>0</v>
      </c>
    </row>
    <row r="3499" spans="1:15" x14ac:dyDescent="0.25">
      <c r="A3499" s="64" t="s">
        <v>185</v>
      </c>
      <c r="B3499" s="79" t="str">
        <f>IF(Fourteenth!B252="", "",Fourteenth!B252)</f>
        <v/>
      </c>
      <c r="C3499" s="66" t="str">
        <f>IF(Fourteenth!C252="", "",Fourteenth!C252)</f>
        <v/>
      </c>
      <c r="D3499" s="66" t="str">
        <f>IF(Fourteenth!D252="", "",Fourteenth!D252)</f>
        <v/>
      </c>
      <c r="E3499" s="66" t="str">
        <f>IF(Fourteenth!E252="", "",Fourteenth!E252)</f>
        <v/>
      </c>
      <c r="F3499" s="66" t="str">
        <f>IF(Fourteenth!F252="", "",Fourteenth!F252)</f>
        <v/>
      </c>
      <c r="G3499" s="66" t="str">
        <f>IF(Fourteenth!G252="", "",Fourteenth!G252)</f>
        <v/>
      </c>
      <c r="H3499" s="66" t="str">
        <f>IF(Fourteenth!H252="", "",Fourteenth!H252)</f>
        <v/>
      </c>
      <c r="I3499" s="66" t="str">
        <f>IF(Fourteenth!I252="", "",Fourteenth!I252)</f>
        <v/>
      </c>
      <c r="J3499" s="66" t="str">
        <f>IF(Fourteenth!J252="", "",Fourteenth!J252)</f>
        <v/>
      </c>
      <c r="K3499" s="86" t="str">
        <f>IF(Fourteenth!K252="", "",Fourteenth!K252)</f>
        <v/>
      </c>
      <c r="M3499" s="67" t="str">
        <f t="shared" si="164"/>
        <v/>
      </c>
      <c r="N3499" s="76" t="str">
        <f t="shared" si="165"/>
        <v/>
      </c>
      <c r="O3499" s="33">
        <f t="shared" si="163"/>
        <v>0</v>
      </c>
    </row>
    <row r="3500" spans="1:15" x14ac:dyDescent="0.25">
      <c r="A3500" s="64" t="s">
        <v>185</v>
      </c>
      <c r="B3500" s="79" t="str">
        <f>IF(Fourteenth!B253="", "",Fourteenth!B253)</f>
        <v/>
      </c>
      <c r="C3500" s="66" t="str">
        <f>IF(Fourteenth!C253="", "",Fourteenth!C253)</f>
        <v/>
      </c>
      <c r="D3500" s="66" t="str">
        <f>IF(Fourteenth!D253="", "",Fourteenth!D253)</f>
        <v/>
      </c>
      <c r="E3500" s="66" t="str">
        <f>IF(Fourteenth!E253="", "",Fourteenth!E253)</f>
        <v/>
      </c>
      <c r="F3500" s="66" t="str">
        <f>IF(Fourteenth!F253="", "",Fourteenth!F253)</f>
        <v/>
      </c>
      <c r="G3500" s="66" t="str">
        <f>IF(Fourteenth!G253="", "",Fourteenth!G253)</f>
        <v/>
      </c>
      <c r="H3500" s="66" t="str">
        <f>IF(Fourteenth!H253="", "",Fourteenth!H253)</f>
        <v/>
      </c>
      <c r="I3500" s="66" t="str">
        <f>IF(Fourteenth!I253="", "",Fourteenth!I253)</f>
        <v/>
      </c>
      <c r="J3500" s="66" t="str">
        <f>IF(Fourteenth!J253="", "",Fourteenth!J253)</f>
        <v/>
      </c>
      <c r="K3500" s="86" t="str">
        <f>IF(Fourteenth!K253="", "",Fourteenth!K253)</f>
        <v/>
      </c>
      <c r="M3500" s="67" t="str">
        <f t="shared" si="164"/>
        <v/>
      </c>
      <c r="N3500" s="76" t="str">
        <f t="shared" si="165"/>
        <v/>
      </c>
      <c r="O3500" s="33">
        <f t="shared" si="163"/>
        <v>0</v>
      </c>
    </row>
    <row r="3501" spans="1:15" ht="15.75" thickBot="1" x14ac:dyDescent="0.3">
      <c r="A3501" s="68" t="s">
        <v>185</v>
      </c>
      <c r="B3501" s="80" t="str">
        <f>IF(Fourteenth!B254="", "",Fourteenth!B254)</f>
        <v/>
      </c>
      <c r="C3501" s="70" t="str">
        <f>IF(Fourteenth!C254="", "",Fourteenth!C254)</f>
        <v/>
      </c>
      <c r="D3501" s="70" t="str">
        <f>IF(Fourteenth!D254="", "",Fourteenth!D254)</f>
        <v/>
      </c>
      <c r="E3501" s="70" t="str">
        <f>IF(Fourteenth!E254="", "",Fourteenth!E254)</f>
        <v/>
      </c>
      <c r="F3501" s="70" t="str">
        <f>IF(Fourteenth!F254="", "",Fourteenth!F254)</f>
        <v/>
      </c>
      <c r="G3501" s="70" t="str">
        <f>IF(Fourteenth!G254="", "",Fourteenth!G254)</f>
        <v/>
      </c>
      <c r="H3501" s="70" t="str">
        <f>IF(Fourteenth!H254="", "",Fourteenth!H254)</f>
        <v/>
      </c>
      <c r="I3501" s="70" t="str">
        <f>IF(Fourteenth!I254="", "",Fourteenth!I254)</f>
        <v/>
      </c>
      <c r="J3501" s="70" t="str">
        <f>IF(Fourteenth!J254="", "",Fourteenth!J254)</f>
        <v/>
      </c>
      <c r="K3501" s="90" t="str">
        <f>IF(Fourteenth!K254="", "",Fourteenth!K254)</f>
        <v/>
      </c>
      <c r="L3501" s="91"/>
      <c r="M3501" s="71" t="str">
        <f t="shared" si="164"/>
        <v/>
      </c>
      <c r="N3501" s="77" t="str">
        <f t="shared" si="165"/>
        <v/>
      </c>
      <c r="O3501" s="33">
        <f t="shared" si="163"/>
        <v>0</v>
      </c>
    </row>
    <row r="3502" spans="1:15" x14ac:dyDescent="0.25">
      <c r="A3502" s="64" t="s">
        <v>186</v>
      </c>
      <c r="B3502" s="79" t="str">
        <f>IF(Fifteenth!B5="", "",Fifteenth!B5)</f>
        <v>CSS</v>
      </c>
      <c r="C3502" s="66" t="str">
        <f>IF(Fifteenth!C5="", "",Fifteenth!C5)</f>
        <v>PwC</v>
      </c>
      <c r="D3502" s="66" t="str">
        <f>IF(Fifteenth!D5="", "",Fifteenth!D5)</f>
        <v>Returning</v>
      </c>
      <c r="E3502" s="66" t="str">
        <f>IF(Fifteenth!E5="", "",Fifteenth!E5)</f>
        <v>Female</v>
      </c>
      <c r="F3502" s="66" t="str">
        <f>IF(Fifteenth!F5="", "",Fifteenth!F5)</f>
        <v>Not Stated</v>
      </c>
      <c r="G3502" s="66" t="str">
        <f>IF(Fifteenth!G5="", "",Fifteenth!G5)</f>
        <v>Post Treatment - Curative Intent</v>
      </c>
      <c r="H3502" s="66" t="str">
        <f>IF(Fifteenth!H5="", "",Fifteenth!H5)</f>
        <v>Drop-In</v>
      </c>
      <c r="I3502" s="66" t="str">
        <f>IF(Fifteenth!I5="", "",Fifteenth!I5)</f>
        <v/>
      </c>
      <c r="J3502" s="66" t="str">
        <f>IF(Fifteenth!J5="", "",Fifteenth!J5)</f>
        <v/>
      </c>
      <c r="K3502" s="86" t="str">
        <f>IF(Fifteenth!K5="", "",Fifteenth!K5)</f>
        <v/>
      </c>
      <c r="M3502" s="67">
        <f t="shared" si="164"/>
        <v>7</v>
      </c>
      <c r="N3502" s="76" t="str">
        <f t="shared" si="165"/>
        <v/>
      </c>
      <c r="O3502" s="33">
        <f t="shared" si="163"/>
        <v>7</v>
      </c>
    </row>
    <row r="3503" spans="1:15" x14ac:dyDescent="0.25">
      <c r="A3503" s="64" t="s">
        <v>186</v>
      </c>
      <c r="B3503" s="79" t="str">
        <f>IF(Fifteenth!B6="", "",Fifteenth!B6)</f>
        <v>CSS</v>
      </c>
      <c r="C3503" s="66" t="str">
        <f>IF(Fifteenth!C6="", "",Fifteenth!C6)</f>
        <v>Carer</v>
      </c>
      <c r="D3503" s="66" t="str">
        <f>IF(Fifteenth!D6="", "",Fifteenth!D6)</f>
        <v>Returning</v>
      </c>
      <c r="E3503" s="66" t="str">
        <f>IF(Fifteenth!E6="", "",Fifteenth!E6)</f>
        <v>Male</v>
      </c>
      <c r="F3503" s="66" t="str">
        <f>IF(Fifteenth!F6="", "",Fifteenth!F6)</f>
        <v>Not Stated</v>
      </c>
      <c r="G3503" s="66" t="str">
        <f>IF(Fifteenth!G6="", "",Fifteenth!G6)</f>
        <v>Post Treatment - Curative Intent</v>
      </c>
      <c r="H3503" s="66" t="str">
        <f>IF(Fifteenth!H6="", "",Fifteenth!H6)</f>
        <v>Drop-In</v>
      </c>
      <c r="I3503" s="66" t="str">
        <f>IF(Fifteenth!I6="", "",Fifteenth!I6)</f>
        <v/>
      </c>
      <c r="J3503" s="66" t="str">
        <f>IF(Fifteenth!J6="", "",Fifteenth!J6)</f>
        <v/>
      </c>
      <c r="K3503" s="86" t="str">
        <f>IF(Fifteenth!K6="", "",Fifteenth!K6)</f>
        <v/>
      </c>
      <c r="M3503" s="67" t="str">
        <f t="shared" si="164"/>
        <v/>
      </c>
      <c r="N3503" s="76">
        <f t="shared" si="165"/>
        <v>7</v>
      </c>
      <c r="O3503" s="33">
        <f t="shared" si="163"/>
        <v>7</v>
      </c>
    </row>
    <row r="3504" spans="1:15" x14ac:dyDescent="0.25">
      <c r="A3504" s="64" t="s">
        <v>186</v>
      </c>
      <c r="B3504" s="79" t="str">
        <f>IF(Fifteenth!B7="", "",Fifteenth!B7)</f>
        <v>CSS</v>
      </c>
      <c r="C3504" s="66" t="str">
        <f>IF(Fifteenth!C7="", "",Fifteenth!C7)</f>
        <v>PwC</v>
      </c>
      <c r="D3504" s="66" t="str">
        <f>IF(Fifteenth!D7="", "",Fifteenth!D7)</f>
        <v>Returning</v>
      </c>
      <c r="E3504" s="66" t="str">
        <f>IF(Fifteenth!E7="", "",Fifteenth!E7)</f>
        <v>Male</v>
      </c>
      <c r="F3504" s="66" t="str">
        <f>IF(Fifteenth!F7="", "",Fifteenth!F7)</f>
        <v>Prostate</v>
      </c>
      <c r="G3504" s="66" t="str">
        <f>IF(Fifteenth!G7="", "",Fifteenth!G7)</f>
        <v>Post Treatment - Curative Intent</v>
      </c>
      <c r="H3504" s="66" t="str">
        <f>IF(Fifteenth!H7="", "",Fifteenth!H7)</f>
        <v>Drop-In</v>
      </c>
      <c r="I3504" s="66" t="str">
        <f>IF(Fifteenth!I7="", "",Fifteenth!I7)</f>
        <v/>
      </c>
      <c r="J3504" s="66" t="str">
        <f>IF(Fifteenth!J7="", "",Fifteenth!J7)</f>
        <v/>
      </c>
      <c r="K3504" s="86" t="str">
        <f>IF(Fifteenth!K7="", "",Fifteenth!K7)</f>
        <v/>
      </c>
      <c r="M3504" s="67">
        <f t="shared" si="164"/>
        <v>7</v>
      </c>
      <c r="N3504" s="76" t="str">
        <f t="shared" si="165"/>
        <v/>
      </c>
      <c r="O3504" s="33">
        <f t="shared" si="163"/>
        <v>7</v>
      </c>
    </row>
    <row r="3505" spans="1:15" x14ac:dyDescent="0.25">
      <c r="A3505" s="64" t="s">
        <v>186</v>
      </c>
      <c r="B3505" s="79" t="str">
        <f>IF(Fifteenth!B8="", "",Fifteenth!B8)</f>
        <v>CSS</v>
      </c>
      <c r="C3505" s="66" t="str">
        <f>IF(Fifteenth!C8="", "",Fifteenth!C8)</f>
        <v>PwC</v>
      </c>
      <c r="D3505" s="66" t="str">
        <f>IF(Fifteenth!D8="", "",Fifteenth!D8)</f>
        <v>Returning</v>
      </c>
      <c r="E3505" s="66" t="str">
        <f>IF(Fifteenth!E8="", "",Fifteenth!E8)</f>
        <v>Female</v>
      </c>
      <c r="F3505" s="66" t="str">
        <f>IF(Fifteenth!F8="", "",Fifteenth!F8)</f>
        <v>Breast</v>
      </c>
      <c r="G3505" s="66" t="str">
        <f>IF(Fifteenth!G8="", "",Fifteenth!G8)</f>
        <v>Non-Curative Intent</v>
      </c>
      <c r="H3505" s="66" t="str">
        <f>IF(Fifteenth!H8="", "",Fifteenth!H8)</f>
        <v>Drop-In</v>
      </c>
      <c r="I3505" s="66" t="str">
        <f>IF(Fifteenth!I8="", "",Fifteenth!I8)</f>
        <v/>
      </c>
      <c r="J3505" s="66" t="str">
        <f>IF(Fifteenth!J8="", "",Fifteenth!J8)</f>
        <v/>
      </c>
      <c r="K3505" s="86" t="str">
        <f>IF(Fifteenth!K8="", "",Fifteenth!K8)</f>
        <v/>
      </c>
      <c r="M3505" s="67">
        <f t="shared" si="164"/>
        <v>7</v>
      </c>
      <c r="N3505" s="76" t="str">
        <f t="shared" si="165"/>
        <v/>
      </c>
      <c r="O3505" s="33">
        <f t="shared" si="163"/>
        <v>7</v>
      </c>
    </row>
    <row r="3506" spans="1:15" x14ac:dyDescent="0.25">
      <c r="A3506" s="64" t="s">
        <v>186</v>
      </c>
      <c r="B3506" s="79" t="str">
        <f>IF(Fifteenth!B9="", "",Fifteenth!B9)</f>
        <v>Psychologist</v>
      </c>
      <c r="C3506" s="66" t="str">
        <f>IF(Fifteenth!C9="", "",Fifteenth!C9)</f>
        <v>Carer</v>
      </c>
      <c r="D3506" s="66" t="str">
        <f>IF(Fifteenth!D9="", "",Fifteenth!D9)</f>
        <v>Returning</v>
      </c>
      <c r="E3506" s="66" t="str">
        <f>IF(Fifteenth!E9="", "",Fifteenth!E9)</f>
        <v>Female</v>
      </c>
      <c r="F3506" s="66" t="str">
        <f>IF(Fifteenth!F9="", "",Fifteenth!F9)</f>
        <v>Head/Neck</v>
      </c>
      <c r="G3506" s="66" t="str">
        <f>IF(Fifteenth!G9="", "",Fifteenth!G9)</f>
        <v>Curative Intent</v>
      </c>
      <c r="H3506" s="66" t="str">
        <f>IF(Fifteenth!H9="", "",Fifteenth!H9)</f>
        <v>Programme</v>
      </c>
      <c r="I3506" s="66" t="str">
        <f>IF(Fifteenth!I9="", "",Fifteenth!I9)</f>
        <v>Managing Stress</v>
      </c>
      <c r="J3506" s="66" t="str">
        <f>IF(Fifteenth!J9="", "",Fifteenth!J9)</f>
        <v/>
      </c>
      <c r="K3506" s="86" t="str">
        <f>IF(Fifteenth!K9="", "",Fifteenth!K9)</f>
        <v/>
      </c>
      <c r="M3506" s="67" t="str">
        <f t="shared" si="164"/>
        <v/>
      </c>
      <c r="N3506" s="76">
        <f t="shared" si="165"/>
        <v>7</v>
      </c>
      <c r="O3506" s="33">
        <f t="shared" si="163"/>
        <v>7</v>
      </c>
    </row>
    <row r="3507" spans="1:15" x14ac:dyDescent="0.25">
      <c r="A3507" s="64" t="s">
        <v>186</v>
      </c>
      <c r="B3507" s="79" t="str">
        <f>IF(Fifteenth!B10="", "",Fifteenth!B10)</f>
        <v>Psychologist</v>
      </c>
      <c r="C3507" s="66" t="str">
        <f>IF(Fifteenth!C10="", "",Fifteenth!C10)</f>
        <v>PwC</v>
      </c>
      <c r="D3507" s="66" t="str">
        <f>IF(Fifteenth!D10="", "",Fifteenth!D10)</f>
        <v>Returning</v>
      </c>
      <c r="E3507" s="66" t="str">
        <f>IF(Fifteenth!E10="", "",Fifteenth!E10)</f>
        <v>Female</v>
      </c>
      <c r="F3507" s="66" t="str">
        <f>IF(Fifteenth!F10="", "",Fifteenth!F10)</f>
        <v>Lower GI</v>
      </c>
      <c r="G3507" s="66" t="str">
        <f>IF(Fifteenth!G10="", "",Fifteenth!G10)</f>
        <v>Post Treatment - Curative Intent</v>
      </c>
      <c r="H3507" s="66" t="str">
        <f>IF(Fifteenth!H10="", "",Fifteenth!H10)</f>
        <v>Programme</v>
      </c>
      <c r="I3507" s="66" t="str">
        <f>IF(Fifteenth!I10="", "",Fifteenth!I10)</f>
        <v>Managing Stress</v>
      </c>
      <c r="J3507" s="66" t="str">
        <f>IF(Fifteenth!J10="", "",Fifteenth!J10)</f>
        <v>NG Haematology</v>
      </c>
      <c r="K3507" s="86" t="str">
        <f>IF(Fifteenth!K10="", "",Fifteenth!K10)</f>
        <v/>
      </c>
      <c r="M3507" s="67">
        <f t="shared" si="164"/>
        <v>7</v>
      </c>
      <c r="N3507" s="76" t="str">
        <f t="shared" si="165"/>
        <v/>
      </c>
      <c r="O3507" s="33">
        <f t="shared" si="163"/>
        <v>7</v>
      </c>
    </row>
    <row r="3508" spans="1:15" x14ac:dyDescent="0.25">
      <c r="A3508" s="64" t="s">
        <v>186</v>
      </c>
      <c r="B3508" s="79" t="str">
        <f>IF(Fifteenth!B11="", "",Fifteenth!B11)</f>
        <v>Psychologist</v>
      </c>
      <c r="C3508" s="66" t="str">
        <f>IF(Fifteenth!C11="", "",Fifteenth!C11)</f>
        <v>Carer</v>
      </c>
      <c r="D3508" s="66" t="str">
        <f>IF(Fifteenth!D11="", "",Fifteenth!D11)</f>
        <v>Returning</v>
      </c>
      <c r="E3508" s="66" t="str">
        <f>IF(Fifteenth!E11="", "",Fifteenth!E11)</f>
        <v>Male</v>
      </c>
      <c r="F3508" s="66" t="str">
        <f>IF(Fifteenth!F11="", "",Fifteenth!F11)</f>
        <v>Breast</v>
      </c>
      <c r="G3508" s="66" t="str">
        <f>IF(Fifteenth!G11="", "",Fifteenth!G11)</f>
        <v>Curative Intent</v>
      </c>
      <c r="H3508" s="66" t="str">
        <f>IF(Fifteenth!H11="", "",Fifteenth!H11)</f>
        <v>Programme</v>
      </c>
      <c r="I3508" s="66" t="str">
        <f>IF(Fifteenth!I11="", "",Fifteenth!I11)</f>
        <v>Managing Stress</v>
      </c>
      <c r="J3508" s="66" t="str">
        <f>IF(Fifteenth!J11="", "",Fifteenth!J11)</f>
        <v/>
      </c>
      <c r="K3508" s="86" t="str">
        <f>IF(Fifteenth!K11="", "",Fifteenth!K11)</f>
        <v/>
      </c>
      <c r="M3508" s="67" t="str">
        <f t="shared" si="164"/>
        <v/>
      </c>
      <c r="N3508" s="76">
        <f t="shared" si="165"/>
        <v>7</v>
      </c>
      <c r="O3508" s="33">
        <f t="shared" si="163"/>
        <v>7</v>
      </c>
    </row>
    <row r="3509" spans="1:15" x14ac:dyDescent="0.25">
      <c r="A3509" s="64" t="s">
        <v>186</v>
      </c>
      <c r="B3509" s="79" t="str">
        <f>IF(Fifteenth!B12="", "",Fifteenth!B12)</f>
        <v>Psychologist</v>
      </c>
      <c r="C3509" s="66" t="str">
        <f>IF(Fifteenth!C12="", "",Fifteenth!C12)</f>
        <v>PwC</v>
      </c>
      <c r="D3509" s="66" t="str">
        <f>IF(Fifteenth!D12="", "",Fifteenth!D12)</f>
        <v>Returning</v>
      </c>
      <c r="E3509" s="66" t="str">
        <f>IF(Fifteenth!E12="", "",Fifteenth!E12)</f>
        <v>Female</v>
      </c>
      <c r="F3509" s="66" t="str">
        <f>IF(Fifteenth!F12="", "",Fifteenth!F12)</f>
        <v>Breast</v>
      </c>
      <c r="G3509" s="66" t="str">
        <f>IF(Fifteenth!G12="", "",Fifteenth!G12)</f>
        <v>Post Treatment - Curative Intent</v>
      </c>
      <c r="H3509" s="66" t="str">
        <f>IF(Fifteenth!H12="", "",Fifteenth!H12)</f>
        <v>Programme</v>
      </c>
      <c r="I3509" s="66" t="str">
        <f>IF(Fifteenth!I12="", "",Fifteenth!I12)</f>
        <v>Managing Stress</v>
      </c>
      <c r="J3509" s="66" t="str">
        <f>IF(Fifteenth!J12="", "",Fifteenth!J12)</f>
        <v>NG Lymphoedema</v>
      </c>
      <c r="K3509" s="86" t="str">
        <f>IF(Fifteenth!K12="", "",Fifteenth!K12)</f>
        <v>NG Haematology</v>
      </c>
      <c r="M3509" s="67">
        <f t="shared" si="164"/>
        <v>7</v>
      </c>
      <c r="N3509" s="76" t="str">
        <f t="shared" si="165"/>
        <v/>
      </c>
      <c r="O3509" s="33">
        <f t="shared" si="163"/>
        <v>7</v>
      </c>
    </row>
    <row r="3510" spans="1:15" x14ac:dyDescent="0.25">
      <c r="A3510" s="64" t="s">
        <v>186</v>
      </c>
      <c r="B3510" s="79" t="str">
        <f>IF(Fifteenth!B13="", "",Fifteenth!B13)</f>
        <v>Psychologist</v>
      </c>
      <c r="C3510" s="66" t="str">
        <f>IF(Fifteenth!C13="", "",Fifteenth!C13)</f>
        <v>PwC</v>
      </c>
      <c r="D3510" s="66" t="str">
        <f>IF(Fifteenth!D13="", "",Fifteenth!D13)</f>
        <v>Returning</v>
      </c>
      <c r="E3510" s="66" t="str">
        <f>IF(Fifteenth!E13="", "",Fifteenth!E13)</f>
        <v>Female</v>
      </c>
      <c r="F3510" s="66" t="str">
        <f>IF(Fifteenth!F13="", "",Fifteenth!F13)</f>
        <v>Lung</v>
      </c>
      <c r="G3510" s="66" t="str">
        <f>IF(Fifteenth!G13="", "",Fifteenth!G13)</f>
        <v>Curative Intent</v>
      </c>
      <c r="H3510" s="66" t="str">
        <f>IF(Fifteenth!H13="", "",Fifteenth!H13)</f>
        <v>Booked</v>
      </c>
      <c r="I3510" s="66" t="str">
        <f>IF(Fifteenth!I13="", "",Fifteenth!I13)</f>
        <v>Psych Support - Individual</v>
      </c>
      <c r="J3510" s="66" t="str">
        <f>IF(Fifteenth!J13="", "",Fifteenth!J13)</f>
        <v/>
      </c>
      <c r="K3510" s="86" t="str">
        <f>IF(Fifteenth!K13="", "",Fifteenth!K13)</f>
        <v/>
      </c>
      <c r="M3510" s="67">
        <f t="shared" si="164"/>
        <v>7</v>
      </c>
      <c r="N3510" s="76" t="str">
        <f t="shared" si="165"/>
        <v/>
      </c>
      <c r="O3510" s="33">
        <f t="shared" si="163"/>
        <v>7</v>
      </c>
    </row>
    <row r="3511" spans="1:15" x14ac:dyDescent="0.25">
      <c r="A3511" s="64" t="s">
        <v>186</v>
      </c>
      <c r="B3511" s="79" t="str">
        <f>IF(Fifteenth!B14="", "",Fifteenth!B14)</f>
        <v>Psychologist</v>
      </c>
      <c r="C3511" s="66" t="str">
        <f>IF(Fifteenth!C14="", "",Fifteenth!C14)</f>
        <v>PwC</v>
      </c>
      <c r="D3511" s="66" t="str">
        <f>IF(Fifteenth!D14="", "",Fifteenth!D14)</f>
        <v>Returning</v>
      </c>
      <c r="E3511" s="66" t="str">
        <f>IF(Fifteenth!E14="", "",Fifteenth!E14)</f>
        <v>Female</v>
      </c>
      <c r="F3511" s="66" t="str">
        <f>IF(Fifteenth!F14="", "",Fifteenth!F14)</f>
        <v>Haemat</v>
      </c>
      <c r="G3511" s="66" t="str">
        <f>IF(Fifteenth!G14="", "",Fifteenth!G14)</f>
        <v>Curative Intent</v>
      </c>
      <c r="H3511" s="66" t="str">
        <f>IF(Fifteenth!H14="", "",Fifteenth!H14)</f>
        <v>Booked</v>
      </c>
      <c r="I3511" s="66" t="str">
        <f>IF(Fifteenth!I14="", "",Fifteenth!I14)</f>
        <v>Psych Support - Individual</v>
      </c>
      <c r="J3511" s="66" t="str">
        <f>IF(Fifteenth!J14="", "",Fifteenth!J14)</f>
        <v/>
      </c>
      <c r="K3511" s="86" t="str">
        <f>IF(Fifteenth!K14="", "",Fifteenth!K14)</f>
        <v/>
      </c>
      <c r="M3511" s="67">
        <f t="shared" si="164"/>
        <v>7</v>
      </c>
      <c r="N3511" s="76" t="str">
        <f t="shared" si="165"/>
        <v/>
      </c>
      <c r="O3511" s="33">
        <f t="shared" si="163"/>
        <v>7</v>
      </c>
    </row>
    <row r="3512" spans="1:15" x14ac:dyDescent="0.25">
      <c r="A3512" s="64" t="s">
        <v>186</v>
      </c>
      <c r="B3512" s="79" t="str">
        <f>IF(Fifteenth!B15="", "",Fifteenth!B15)</f>
        <v>CSS</v>
      </c>
      <c r="C3512" s="66" t="str">
        <f>IF(Fifteenth!C15="", "",Fifteenth!C15)</f>
        <v>PwC</v>
      </c>
      <c r="D3512" s="66" t="str">
        <f>IF(Fifteenth!D15="", "",Fifteenth!D15)</f>
        <v>Returning</v>
      </c>
      <c r="E3512" s="66" t="str">
        <f>IF(Fifteenth!E15="", "",Fifteenth!E15)</f>
        <v>Male</v>
      </c>
      <c r="F3512" s="66" t="str">
        <f>IF(Fifteenth!F15="", "",Fifteenth!F15)</f>
        <v>Lower GI</v>
      </c>
      <c r="G3512" s="66" t="str">
        <f>IF(Fifteenth!G15="", "",Fifteenth!G15)</f>
        <v>Post Treatment - Curative Intent</v>
      </c>
      <c r="H3512" s="66" t="str">
        <f>IF(Fifteenth!H15="", "",Fifteenth!H15)</f>
        <v>Drop-In</v>
      </c>
      <c r="I3512" s="66" t="str">
        <f>IF(Fifteenth!I15="", "",Fifteenth!I15)</f>
        <v/>
      </c>
      <c r="J3512" s="66" t="str">
        <f>IF(Fifteenth!J15="", "",Fifteenth!J15)</f>
        <v/>
      </c>
      <c r="K3512" s="86" t="str">
        <f>IF(Fifteenth!K15="", "",Fifteenth!K15)</f>
        <v/>
      </c>
      <c r="M3512" s="67">
        <f t="shared" si="164"/>
        <v>7</v>
      </c>
      <c r="N3512" s="76" t="str">
        <f t="shared" si="165"/>
        <v/>
      </c>
      <c r="O3512" s="33">
        <f t="shared" si="163"/>
        <v>7</v>
      </c>
    </row>
    <row r="3513" spans="1:15" x14ac:dyDescent="0.25">
      <c r="A3513" s="64" t="s">
        <v>186</v>
      </c>
      <c r="B3513" s="79" t="str">
        <f>IF(Fifteenth!B16="", "",Fifteenth!B16)</f>
        <v>CSS</v>
      </c>
      <c r="C3513" s="66" t="str">
        <f>IF(Fifteenth!C16="", "",Fifteenth!C16)</f>
        <v>PwC</v>
      </c>
      <c r="D3513" s="66" t="str">
        <f>IF(Fifteenth!D16="", "",Fifteenth!D16)</f>
        <v>New</v>
      </c>
      <c r="E3513" s="66" t="str">
        <f>IF(Fifteenth!E16="", "",Fifteenth!E16)</f>
        <v>Male</v>
      </c>
      <c r="F3513" s="66" t="str">
        <f>IF(Fifteenth!F16="", "",Fifteenth!F16)</f>
        <v>Lung</v>
      </c>
      <c r="G3513" s="66" t="str">
        <f>IF(Fifteenth!G16="", "",Fifteenth!G16)</f>
        <v>Curative Intent</v>
      </c>
      <c r="H3513" s="66" t="str">
        <f>IF(Fifteenth!H16="", "",Fifteenth!H16)</f>
        <v>Drop-In</v>
      </c>
      <c r="I3513" s="66" t="str">
        <f>IF(Fifteenth!I16="", "",Fifteenth!I16)</f>
        <v/>
      </c>
      <c r="J3513" s="66" t="str">
        <f>IF(Fifteenth!J16="", "",Fifteenth!J16)</f>
        <v/>
      </c>
      <c r="K3513" s="86" t="str">
        <f>IF(Fifteenth!K16="", "",Fifteenth!K16)</f>
        <v/>
      </c>
      <c r="M3513" s="67">
        <f t="shared" si="164"/>
        <v>7</v>
      </c>
      <c r="N3513" s="76" t="str">
        <f t="shared" si="165"/>
        <v/>
      </c>
      <c r="O3513" s="33">
        <f t="shared" si="163"/>
        <v>7</v>
      </c>
    </row>
    <row r="3514" spans="1:15" x14ac:dyDescent="0.25">
      <c r="A3514" s="64" t="s">
        <v>186</v>
      </c>
      <c r="B3514" s="79" t="str">
        <f>IF(Fifteenth!B17="", "",Fifteenth!B17)</f>
        <v>CSS</v>
      </c>
      <c r="C3514" s="66" t="str">
        <f>IF(Fifteenth!C17="", "",Fifteenth!C17)</f>
        <v>Carer</v>
      </c>
      <c r="D3514" s="66" t="str">
        <f>IF(Fifteenth!D17="", "",Fifteenth!D17)</f>
        <v>New</v>
      </c>
      <c r="E3514" s="66" t="str">
        <f>IF(Fifteenth!E17="", "",Fifteenth!E17)</f>
        <v>Female</v>
      </c>
      <c r="F3514" s="66" t="str">
        <f>IF(Fifteenth!F17="", "",Fifteenth!F17)</f>
        <v>Lung</v>
      </c>
      <c r="G3514" s="66" t="str">
        <f>IF(Fifteenth!G17="", "",Fifteenth!G17)</f>
        <v>Curative Intent</v>
      </c>
      <c r="H3514" s="66" t="str">
        <f>IF(Fifteenth!H17="", "",Fifteenth!H17)</f>
        <v>Drop-In</v>
      </c>
      <c r="I3514" s="66" t="str">
        <f>IF(Fifteenth!I17="", "",Fifteenth!I17)</f>
        <v/>
      </c>
      <c r="J3514" s="66" t="str">
        <f>IF(Fifteenth!J17="", "",Fifteenth!J17)</f>
        <v/>
      </c>
      <c r="K3514" s="86" t="str">
        <f>IF(Fifteenth!K17="", "",Fifteenth!K17)</f>
        <v/>
      </c>
      <c r="M3514" s="67" t="str">
        <f t="shared" si="164"/>
        <v/>
      </c>
      <c r="N3514" s="76">
        <f t="shared" si="165"/>
        <v>7</v>
      </c>
      <c r="O3514" s="33">
        <f t="shared" si="163"/>
        <v>7</v>
      </c>
    </row>
    <row r="3515" spans="1:15" x14ac:dyDescent="0.25">
      <c r="A3515" s="64" t="s">
        <v>186</v>
      </c>
      <c r="B3515" s="79" t="str">
        <f>IF(Fifteenth!B18="", "",Fifteenth!B18)</f>
        <v>CSS</v>
      </c>
      <c r="C3515" s="66" t="str">
        <f>IF(Fifteenth!C18="", "",Fifteenth!C18)</f>
        <v>Carer</v>
      </c>
      <c r="D3515" s="66" t="str">
        <f>IF(Fifteenth!D18="", "",Fifteenth!D18)</f>
        <v>New</v>
      </c>
      <c r="E3515" s="66" t="str">
        <f>IF(Fifteenth!E18="", "",Fifteenth!E18)</f>
        <v>Female</v>
      </c>
      <c r="F3515" s="66" t="str">
        <f>IF(Fifteenth!F18="", "",Fifteenth!F18)</f>
        <v>Gynae</v>
      </c>
      <c r="G3515" s="66" t="str">
        <f>IF(Fifteenth!G18="", "",Fifteenth!G18)</f>
        <v>Curative Intent</v>
      </c>
      <c r="H3515" s="66" t="str">
        <f>IF(Fifteenth!H18="", "",Fifteenth!H18)</f>
        <v>Drop-In</v>
      </c>
      <c r="I3515" s="66" t="str">
        <f>IF(Fifteenth!I18="", "",Fifteenth!I18)</f>
        <v/>
      </c>
      <c r="J3515" s="66" t="str">
        <f>IF(Fifteenth!J18="", "",Fifteenth!J18)</f>
        <v/>
      </c>
      <c r="K3515" s="86" t="str">
        <f>IF(Fifteenth!K18="", "",Fifteenth!K18)</f>
        <v/>
      </c>
      <c r="M3515" s="67" t="str">
        <f t="shared" si="164"/>
        <v/>
      </c>
      <c r="N3515" s="76">
        <f t="shared" si="165"/>
        <v>7</v>
      </c>
      <c r="O3515" s="33">
        <f t="shared" si="163"/>
        <v>7</v>
      </c>
    </row>
    <row r="3516" spans="1:15" x14ac:dyDescent="0.25">
      <c r="A3516" s="64" t="s">
        <v>186</v>
      </c>
      <c r="B3516" s="79" t="str">
        <f>IF(Fifteenth!B19="", "",Fifteenth!B19)</f>
        <v>Psychologist</v>
      </c>
      <c r="C3516" s="66" t="str">
        <f>IF(Fifteenth!C19="", "",Fifteenth!C19)</f>
        <v>PwC</v>
      </c>
      <c r="D3516" s="66" t="str">
        <f>IF(Fifteenth!D19="", "",Fifteenth!D19)</f>
        <v>New</v>
      </c>
      <c r="E3516" s="66" t="str">
        <f>IF(Fifteenth!E19="", "",Fifteenth!E19)</f>
        <v>Female</v>
      </c>
      <c r="F3516" s="66" t="str">
        <f>IF(Fifteenth!F19="", "",Fifteenth!F19)</f>
        <v>Urolog</v>
      </c>
      <c r="G3516" s="66" t="str">
        <f>IF(Fifteenth!G19="", "",Fifteenth!G19)</f>
        <v>Curative Intent</v>
      </c>
      <c r="H3516" s="66" t="str">
        <f>IF(Fifteenth!H19="", "",Fifteenth!H19)</f>
        <v>Drop-In</v>
      </c>
      <c r="I3516" s="66" t="str">
        <f>IF(Fifteenth!I19="", "",Fifteenth!I19)</f>
        <v/>
      </c>
      <c r="J3516" s="66" t="str">
        <f>IF(Fifteenth!J19="", "",Fifteenth!J19)</f>
        <v/>
      </c>
      <c r="K3516" s="86" t="str">
        <f>IF(Fifteenth!K19="", "",Fifteenth!K19)</f>
        <v/>
      </c>
      <c r="M3516" s="67">
        <f t="shared" si="164"/>
        <v>7</v>
      </c>
      <c r="N3516" s="76" t="str">
        <f t="shared" si="165"/>
        <v/>
      </c>
      <c r="O3516" s="33">
        <f t="shared" si="163"/>
        <v>7</v>
      </c>
    </row>
    <row r="3517" spans="1:15" x14ac:dyDescent="0.25">
      <c r="A3517" s="64" t="s">
        <v>186</v>
      </c>
      <c r="B3517" s="79" t="str">
        <f>IF(Fifteenth!B20="", "",Fifteenth!B20)</f>
        <v>Psychologist</v>
      </c>
      <c r="C3517" s="66" t="str">
        <f>IF(Fifteenth!C20="", "",Fifteenth!C20)</f>
        <v>Carer</v>
      </c>
      <c r="D3517" s="66" t="str">
        <f>IF(Fifteenth!D20="", "",Fifteenth!D20)</f>
        <v>New</v>
      </c>
      <c r="E3517" s="66" t="str">
        <f>IF(Fifteenth!E20="", "",Fifteenth!E20)</f>
        <v>Female</v>
      </c>
      <c r="F3517" s="66" t="str">
        <f>IF(Fifteenth!F20="", "",Fifteenth!F20)</f>
        <v>Urolog</v>
      </c>
      <c r="G3517" s="66" t="str">
        <f>IF(Fifteenth!G20="", "",Fifteenth!G20)</f>
        <v>Curative Intent</v>
      </c>
      <c r="H3517" s="66" t="str">
        <f>IF(Fifteenth!H20="", "",Fifteenth!H20)</f>
        <v>Drop-In</v>
      </c>
      <c r="I3517" s="66" t="str">
        <f>IF(Fifteenth!I20="", "",Fifteenth!I20)</f>
        <v/>
      </c>
      <c r="J3517" s="66" t="str">
        <f>IF(Fifteenth!J20="", "",Fifteenth!J20)</f>
        <v/>
      </c>
      <c r="K3517" s="86" t="str">
        <f>IF(Fifteenth!K20="", "",Fifteenth!K20)</f>
        <v/>
      </c>
      <c r="M3517" s="67" t="str">
        <f t="shared" si="164"/>
        <v/>
      </c>
      <c r="N3517" s="76">
        <f t="shared" si="165"/>
        <v>7</v>
      </c>
      <c r="O3517" s="33">
        <f t="shared" si="163"/>
        <v>7</v>
      </c>
    </row>
    <row r="3518" spans="1:15" x14ac:dyDescent="0.25">
      <c r="A3518" s="64" t="s">
        <v>186</v>
      </c>
      <c r="B3518" s="79" t="str">
        <f>IF(Fifteenth!B21="", "",Fifteenth!B21)</f>
        <v>Psychologist</v>
      </c>
      <c r="C3518" s="66" t="str">
        <f>IF(Fifteenth!C21="", "",Fifteenth!C21)</f>
        <v>Carer</v>
      </c>
      <c r="D3518" s="66" t="str">
        <f>IF(Fifteenth!D21="", "",Fifteenth!D21)</f>
        <v>Returning</v>
      </c>
      <c r="E3518" s="66" t="str">
        <f>IF(Fifteenth!E21="", "",Fifteenth!E21)</f>
        <v>Female</v>
      </c>
      <c r="F3518" s="66" t="str">
        <f>IF(Fifteenth!F21="", "",Fifteenth!F21)</f>
        <v>Lower GI</v>
      </c>
      <c r="G3518" s="66" t="str">
        <f>IF(Fifteenth!G21="", "",Fifteenth!G21)</f>
        <v>Bereaved</v>
      </c>
      <c r="H3518" s="66" t="str">
        <f>IF(Fifteenth!H21="", "",Fifteenth!H21)</f>
        <v>Booked</v>
      </c>
      <c r="I3518" s="66" t="str">
        <f>IF(Fifteenth!I21="", "",Fifteenth!I21)</f>
        <v/>
      </c>
      <c r="J3518" s="66" t="str">
        <f>IF(Fifteenth!J21="", "",Fifteenth!J21)</f>
        <v/>
      </c>
      <c r="K3518" s="86" t="str">
        <f>IF(Fifteenth!K21="", "",Fifteenth!K21)</f>
        <v/>
      </c>
      <c r="M3518" s="67" t="str">
        <f t="shared" si="164"/>
        <v/>
      </c>
      <c r="N3518" s="76">
        <f t="shared" si="165"/>
        <v>7</v>
      </c>
      <c r="O3518" s="33">
        <f t="shared" si="163"/>
        <v>7</v>
      </c>
    </row>
    <row r="3519" spans="1:15" x14ac:dyDescent="0.25">
      <c r="A3519" s="64" t="s">
        <v>186</v>
      </c>
      <c r="B3519" s="79" t="str">
        <f>IF(Fifteenth!B22="", "",Fifteenth!B22)</f>
        <v>Psychologist</v>
      </c>
      <c r="C3519" s="66" t="str">
        <f>IF(Fifteenth!C22="", "",Fifteenth!C22)</f>
        <v>PwC</v>
      </c>
      <c r="D3519" s="66" t="str">
        <f>IF(Fifteenth!D22="", "",Fifteenth!D22)</f>
        <v>Returning</v>
      </c>
      <c r="E3519" s="66" t="str">
        <f>IF(Fifteenth!E22="", "",Fifteenth!E22)</f>
        <v>Male</v>
      </c>
      <c r="F3519" s="66" t="str">
        <f>IF(Fifteenth!F22="", "",Fifteenth!F22)</f>
        <v>Prostate</v>
      </c>
      <c r="G3519" s="66" t="str">
        <f>IF(Fifteenth!G22="", "",Fifteenth!G22)</f>
        <v>Non-Curative Intent</v>
      </c>
      <c r="H3519" s="66" t="str">
        <f>IF(Fifteenth!H22="", "",Fifteenth!H22)</f>
        <v>Booked</v>
      </c>
      <c r="I3519" s="66" t="str">
        <f>IF(Fifteenth!I22="", "",Fifteenth!I22)</f>
        <v/>
      </c>
      <c r="J3519" s="66" t="str">
        <f>IF(Fifteenth!J22="", "",Fifteenth!J22)</f>
        <v/>
      </c>
      <c r="K3519" s="86" t="str">
        <f>IF(Fifteenth!K22="", "",Fifteenth!K22)</f>
        <v/>
      </c>
      <c r="M3519" s="67">
        <f t="shared" si="164"/>
        <v>7</v>
      </c>
      <c r="N3519" s="76" t="str">
        <f t="shared" si="165"/>
        <v/>
      </c>
      <c r="O3519" s="33">
        <f t="shared" si="163"/>
        <v>7</v>
      </c>
    </row>
    <row r="3520" spans="1:15" x14ac:dyDescent="0.25">
      <c r="A3520" s="64" t="s">
        <v>186</v>
      </c>
      <c r="B3520" s="79" t="str">
        <f>IF(Fifteenth!B23="", "",Fifteenth!B23)</f>
        <v>Psychologist</v>
      </c>
      <c r="C3520" s="66" t="str">
        <f>IF(Fifteenth!C23="", "",Fifteenth!C23)</f>
        <v>Carer</v>
      </c>
      <c r="D3520" s="66" t="str">
        <f>IF(Fifteenth!D23="", "",Fifteenth!D23)</f>
        <v>Returning</v>
      </c>
      <c r="E3520" s="66" t="str">
        <f>IF(Fifteenth!E23="", "",Fifteenth!E23)</f>
        <v>Male</v>
      </c>
      <c r="F3520" s="66" t="str">
        <f>IF(Fifteenth!F23="", "",Fifteenth!F23)</f>
        <v>Lung</v>
      </c>
      <c r="G3520" s="66" t="str">
        <f>IF(Fifteenth!G23="", "",Fifteenth!G23)</f>
        <v>Bereaved</v>
      </c>
      <c r="H3520" s="66" t="str">
        <f>IF(Fifteenth!H23="", "",Fifteenth!H23)</f>
        <v>Booked</v>
      </c>
      <c r="I3520" s="66" t="str">
        <f>IF(Fifteenth!I23="", "",Fifteenth!I23)</f>
        <v/>
      </c>
      <c r="J3520" s="66" t="str">
        <f>IF(Fifteenth!J23="", "",Fifteenth!J23)</f>
        <v/>
      </c>
      <c r="K3520" s="86" t="str">
        <f>IF(Fifteenth!K23="", "",Fifteenth!K23)</f>
        <v/>
      </c>
      <c r="M3520" s="67" t="str">
        <f t="shared" si="164"/>
        <v/>
      </c>
      <c r="N3520" s="76">
        <f t="shared" si="165"/>
        <v>7</v>
      </c>
      <c r="O3520" s="33">
        <f t="shared" si="163"/>
        <v>7</v>
      </c>
    </row>
    <row r="3521" spans="1:15" x14ac:dyDescent="0.25">
      <c r="A3521" s="64" t="s">
        <v>186</v>
      </c>
      <c r="B3521" s="79" t="str">
        <f>IF(Fifteenth!B24="", "",Fifteenth!B24)</f>
        <v>CSS</v>
      </c>
      <c r="C3521" s="66" t="str">
        <f>IF(Fifteenth!C24="", "",Fifteenth!C24)</f>
        <v>PwC</v>
      </c>
      <c r="D3521" s="66" t="str">
        <f>IF(Fifteenth!D24="", "",Fifteenth!D24)</f>
        <v>Returning</v>
      </c>
      <c r="E3521" s="66" t="str">
        <f>IF(Fifteenth!E24="", "",Fifteenth!E24)</f>
        <v>Female</v>
      </c>
      <c r="F3521" s="66" t="str">
        <f>IF(Fifteenth!F24="", "",Fifteenth!F24)</f>
        <v>Brain/CNS</v>
      </c>
      <c r="G3521" s="66" t="str">
        <f>IF(Fifteenth!G24="", "",Fifteenth!G24)</f>
        <v>Non-Curative Intent</v>
      </c>
      <c r="H3521" s="66" t="str">
        <f>IF(Fifteenth!H24="", "",Fifteenth!H24)</f>
        <v>Booked</v>
      </c>
      <c r="I3521" s="66" t="str">
        <f>IF(Fifteenth!I24="", "",Fifteenth!I24)</f>
        <v>Psych Support - Individual</v>
      </c>
      <c r="J3521" s="66" t="str">
        <f>IF(Fifteenth!J24="", "",Fifteenth!J24)</f>
        <v>NG Head/Neck</v>
      </c>
      <c r="K3521" s="86" t="str">
        <f>IF(Fifteenth!K24="", "",Fifteenth!K24)</f>
        <v>NG Head/Neck</v>
      </c>
      <c r="M3521" s="67">
        <f t="shared" si="164"/>
        <v>7</v>
      </c>
      <c r="N3521" s="76" t="str">
        <f t="shared" si="165"/>
        <v/>
      </c>
      <c r="O3521" s="33">
        <f t="shared" si="163"/>
        <v>7</v>
      </c>
    </row>
    <row r="3522" spans="1:15" x14ac:dyDescent="0.25">
      <c r="A3522" s="64" t="s">
        <v>186</v>
      </c>
      <c r="B3522" s="79" t="str">
        <f>IF(Fifteenth!B25="", "",Fifteenth!B25)</f>
        <v>CSS</v>
      </c>
      <c r="C3522" s="66" t="str">
        <f>IF(Fifteenth!C25="", "",Fifteenth!C25)</f>
        <v>Carer</v>
      </c>
      <c r="D3522" s="66" t="str">
        <f>IF(Fifteenth!D25="", "",Fifteenth!D25)</f>
        <v>Returning</v>
      </c>
      <c r="E3522" s="66" t="str">
        <f>IF(Fifteenth!E25="", "",Fifteenth!E25)</f>
        <v>Female</v>
      </c>
      <c r="F3522" s="66" t="str">
        <f>IF(Fifteenth!F25="", "",Fifteenth!F25)</f>
        <v>Lung</v>
      </c>
      <c r="G3522" s="66" t="str">
        <f>IF(Fifteenth!G25="", "",Fifteenth!G25)</f>
        <v>Bereaved</v>
      </c>
      <c r="H3522" s="66" t="str">
        <f>IF(Fifteenth!H25="", "",Fifteenth!H25)</f>
        <v>Booked</v>
      </c>
      <c r="I3522" s="66" t="str">
        <f>IF(Fifteenth!I25="", "",Fifteenth!I25)</f>
        <v>Psych Support - Couple</v>
      </c>
      <c r="J3522" s="66" t="str">
        <f>IF(Fifteenth!J25="", "",Fifteenth!J25)</f>
        <v/>
      </c>
      <c r="K3522" s="86" t="str">
        <f>IF(Fifteenth!K25="", "",Fifteenth!K25)</f>
        <v/>
      </c>
      <c r="M3522" s="67" t="str">
        <f t="shared" si="164"/>
        <v/>
      </c>
      <c r="N3522" s="76">
        <f t="shared" si="165"/>
        <v>7</v>
      </c>
      <c r="O3522" s="33">
        <f t="shared" ref="O3522:O3585" si="166">SUM(M3522:N3522)</f>
        <v>7</v>
      </c>
    </row>
    <row r="3523" spans="1:15" x14ac:dyDescent="0.25">
      <c r="A3523" s="64" t="s">
        <v>186</v>
      </c>
      <c r="B3523" s="79" t="str">
        <f>IF(Fifteenth!B26="", "",Fifteenth!B26)</f>
        <v>CSS</v>
      </c>
      <c r="C3523" s="66" t="str">
        <f>IF(Fifteenth!C26="", "",Fifteenth!C26)</f>
        <v>Carer</v>
      </c>
      <c r="D3523" s="66" t="str">
        <f>IF(Fifteenth!D26="", "",Fifteenth!D26)</f>
        <v>New</v>
      </c>
      <c r="E3523" s="66" t="str">
        <f>IF(Fifteenth!E26="", "",Fifteenth!E26)</f>
        <v>Female</v>
      </c>
      <c r="F3523" s="66" t="str">
        <f>IF(Fifteenth!F26="", "",Fifteenth!F26)</f>
        <v>Lung</v>
      </c>
      <c r="G3523" s="66" t="str">
        <f>IF(Fifteenth!G26="", "",Fifteenth!G26)</f>
        <v>Bereaved</v>
      </c>
      <c r="H3523" s="66" t="str">
        <f>IF(Fifteenth!H26="", "",Fifteenth!H26)</f>
        <v>Booked</v>
      </c>
      <c r="I3523" s="66" t="str">
        <f>IF(Fifteenth!I26="", "",Fifteenth!I26)</f>
        <v>Psych Support - Couple</v>
      </c>
      <c r="J3523" s="66" t="str">
        <f>IF(Fifteenth!J26="", "",Fifteenth!J26)</f>
        <v/>
      </c>
      <c r="K3523" s="86" t="str">
        <f>IF(Fifteenth!K26="", "",Fifteenth!K26)</f>
        <v/>
      </c>
      <c r="M3523" s="67" t="str">
        <f t="shared" ref="M3523:M3586" si="167">IF(C3523="PwC",(7-COUNTIF(B3523:H3523,"")),"")</f>
        <v/>
      </c>
      <c r="N3523" s="76">
        <f t="shared" ref="N3523:N3586" si="168">IF(C3523="Carer",(7-COUNTIF(B3523:H3523,"")),"")</f>
        <v>7</v>
      </c>
      <c r="O3523" s="33">
        <f t="shared" si="166"/>
        <v>7</v>
      </c>
    </row>
    <row r="3524" spans="1:15" x14ac:dyDescent="0.25">
      <c r="A3524" s="64" t="s">
        <v>186</v>
      </c>
      <c r="B3524" s="79" t="str">
        <f>IF(Fifteenth!B27="", "",Fifteenth!B27)</f>
        <v>CSS</v>
      </c>
      <c r="C3524" s="66" t="str">
        <f>IF(Fifteenth!C27="", "",Fifteenth!C27)</f>
        <v>PwC</v>
      </c>
      <c r="D3524" s="66" t="str">
        <f>IF(Fifteenth!D27="", "",Fifteenth!D27)</f>
        <v>New</v>
      </c>
      <c r="E3524" s="66" t="str">
        <f>IF(Fifteenth!E27="", "",Fifteenth!E27)</f>
        <v>Female</v>
      </c>
      <c r="F3524" s="66" t="str">
        <f>IF(Fifteenth!F27="", "",Fifteenth!F27)</f>
        <v>Gynae</v>
      </c>
      <c r="G3524" s="66" t="str">
        <f>IF(Fifteenth!G27="", "",Fifteenth!G27)</f>
        <v>Post Treatment - Curative Intent</v>
      </c>
      <c r="H3524" s="66" t="str">
        <f>IF(Fifteenth!H27="", "",Fifteenth!H27)</f>
        <v>Drop-In</v>
      </c>
      <c r="I3524" s="66" t="str">
        <f>IF(Fifteenth!I27="", "",Fifteenth!I27)</f>
        <v/>
      </c>
      <c r="J3524" s="66" t="str">
        <f>IF(Fifteenth!J27="", "",Fifteenth!J27)</f>
        <v/>
      </c>
      <c r="K3524" s="86" t="str">
        <f>IF(Fifteenth!K27="", "",Fifteenth!K27)</f>
        <v/>
      </c>
      <c r="M3524" s="67">
        <f t="shared" si="167"/>
        <v>7</v>
      </c>
      <c r="N3524" s="76" t="str">
        <f t="shared" si="168"/>
        <v/>
      </c>
      <c r="O3524" s="33">
        <f t="shared" si="166"/>
        <v>7</v>
      </c>
    </row>
    <row r="3525" spans="1:15" x14ac:dyDescent="0.25">
      <c r="A3525" s="64" t="s">
        <v>186</v>
      </c>
      <c r="B3525" s="79" t="str">
        <f>IF(Fifteenth!B28="", "",Fifteenth!B28)</f>
        <v>CSS</v>
      </c>
      <c r="C3525" s="66" t="str">
        <f>IF(Fifteenth!C28="", "",Fifteenth!C28)</f>
        <v>PwC</v>
      </c>
      <c r="D3525" s="66" t="str">
        <f>IF(Fifteenth!D28="", "",Fifteenth!D28)</f>
        <v>New</v>
      </c>
      <c r="E3525" s="66" t="str">
        <f>IF(Fifteenth!E28="", "",Fifteenth!E28)</f>
        <v>Female</v>
      </c>
      <c r="F3525" s="66" t="str">
        <f>IF(Fifteenth!F28="", "",Fifteenth!F28)</f>
        <v>Gynae</v>
      </c>
      <c r="G3525" s="66" t="str">
        <f>IF(Fifteenth!G28="", "",Fifteenth!G28)</f>
        <v>Post Treatment - Curative Intent</v>
      </c>
      <c r="H3525" s="66" t="str">
        <f>IF(Fifteenth!H28="", "",Fifteenth!H28)</f>
        <v>Drop-In</v>
      </c>
      <c r="I3525" s="66" t="str">
        <f>IF(Fifteenth!I28="", "",Fifteenth!I28)</f>
        <v/>
      </c>
      <c r="J3525" s="66" t="str">
        <f>IF(Fifteenth!J28="", "",Fifteenth!J28)</f>
        <v/>
      </c>
      <c r="K3525" s="86" t="str">
        <f>IF(Fifteenth!K28="", "",Fifteenth!K28)</f>
        <v/>
      </c>
      <c r="M3525" s="67">
        <f t="shared" si="167"/>
        <v>7</v>
      </c>
      <c r="N3525" s="76" t="str">
        <f t="shared" si="168"/>
        <v/>
      </c>
      <c r="O3525" s="33">
        <f t="shared" si="166"/>
        <v>7</v>
      </c>
    </row>
    <row r="3526" spans="1:15" x14ac:dyDescent="0.25">
      <c r="A3526" s="64" t="s">
        <v>186</v>
      </c>
      <c r="B3526" s="79" t="str">
        <f>IF(Fifteenth!B29="", "",Fifteenth!B29)</f>
        <v>CSS</v>
      </c>
      <c r="C3526" s="66" t="str">
        <f>IF(Fifteenth!C29="", "",Fifteenth!C29)</f>
        <v>PwC</v>
      </c>
      <c r="D3526" s="66" t="str">
        <f>IF(Fifteenth!D29="", "",Fifteenth!D29)</f>
        <v>Returning</v>
      </c>
      <c r="E3526" s="66" t="str">
        <f>IF(Fifteenth!E29="", "",Fifteenth!E29)</f>
        <v>Male</v>
      </c>
      <c r="F3526" s="66" t="str">
        <f>IF(Fifteenth!F29="", "",Fifteenth!F29)</f>
        <v>Urolog</v>
      </c>
      <c r="G3526" s="66" t="str">
        <f>IF(Fifteenth!G29="", "",Fifteenth!G29)</f>
        <v>Curative Intent</v>
      </c>
      <c r="H3526" s="66" t="str">
        <f>IF(Fifteenth!H29="", "",Fifteenth!H29)</f>
        <v>Drop-In</v>
      </c>
      <c r="I3526" s="66" t="str">
        <f>IF(Fifteenth!I29="", "",Fifteenth!I29)</f>
        <v/>
      </c>
      <c r="J3526" s="66" t="str">
        <f>IF(Fifteenth!J29="", "",Fifteenth!J29)</f>
        <v/>
      </c>
      <c r="K3526" s="86" t="str">
        <f>IF(Fifteenth!K29="", "",Fifteenth!K29)</f>
        <v/>
      </c>
      <c r="M3526" s="67">
        <f t="shared" si="167"/>
        <v>7</v>
      </c>
      <c r="N3526" s="76" t="str">
        <f t="shared" si="168"/>
        <v/>
      </c>
      <c r="O3526" s="33">
        <f t="shared" si="166"/>
        <v>7</v>
      </c>
    </row>
    <row r="3527" spans="1:15" x14ac:dyDescent="0.25">
      <c r="A3527" s="64" t="s">
        <v>186</v>
      </c>
      <c r="B3527" s="79" t="str">
        <f>IF(Fifteenth!B30="", "",Fifteenth!B30)</f>
        <v>CSS</v>
      </c>
      <c r="C3527" s="66" t="str">
        <f>IF(Fifteenth!C30="", "",Fifteenth!C30)</f>
        <v>Carer</v>
      </c>
      <c r="D3527" s="66" t="str">
        <f>IF(Fifteenth!D30="", "",Fifteenth!D30)</f>
        <v>Returning</v>
      </c>
      <c r="E3527" s="66" t="str">
        <f>IF(Fifteenth!E30="", "",Fifteenth!E30)</f>
        <v>Male</v>
      </c>
      <c r="F3527" s="66" t="str">
        <f>IF(Fifteenth!F30="", "",Fifteenth!F30)</f>
        <v>Not Stated</v>
      </c>
      <c r="G3527" s="66" t="str">
        <f>IF(Fifteenth!G30="", "",Fifteenth!G30)</f>
        <v>Not Stated</v>
      </c>
      <c r="H3527" s="66" t="str">
        <f>IF(Fifteenth!H30="", "",Fifteenth!H30)</f>
        <v>Drop-In</v>
      </c>
      <c r="I3527" s="66" t="str">
        <f>IF(Fifteenth!I30="", "",Fifteenth!I30)</f>
        <v/>
      </c>
      <c r="J3527" s="66" t="str">
        <f>IF(Fifteenth!J30="", "",Fifteenth!J30)</f>
        <v/>
      </c>
      <c r="K3527" s="86" t="str">
        <f>IF(Fifteenth!K30="", "",Fifteenth!K30)</f>
        <v/>
      </c>
      <c r="M3527" s="67" t="str">
        <f t="shared" si="167"/>
        <v/>
      </c>
      <c r="N3527" s="76">
        <f t="shared" si="168"/>
        <v>7</v>
      </c>
      <c r="O3527" s="33">
        <f t="shared" si="166"/>
        <v>7</v>
      </c>
    </row>
    <row r="3528" spans="1:15" x14ac:dyDescent="0.25">
      <c r="A3528" s="64" t="s">
        <v>186</v>
      </c>
      <c r="B3528" s="79" t="str">
        <f>IF(Fifteenth!B31="", "",Fifteenth!B31)</f>
        <v>CSS</v>
      </c>
      <c r="C3528" s="66" t="str">
        <f>IF(Fifteenth!C31="", "",Fifteenth!C31)</f>
        <v>PwC</v>
      </c>
      <c r="D3528" s="66" t="str">
        <f>IF(Fifteenth!D31="", "",Fifteenth!D31)</f>
        <v>Returning</v>
      </c>
      <c r="E3528" s="66" t="str">
        <f>IF(Fifteenth!E31="", "",Fifteenth!E31)</f>
        <v>Female</v>
      </c>
      <c r="F3528" s="66" t="str">
        <f>IF(Fifteenth!F31="", "",Fifteenth!F31)</f>
        <v>Breast</v>
      </c>
      <c r="G3528" s="66" t="str">
        <f>IF(Fifteenth!G31="", "",Fifteenth!G31)</f>
        <v>Non-Curative Intent</v>
      </c>
      <c r="H3528" s="66" t="str">
        <f>IF(Fifteenth!H31="", "",Fifteenth!H31)</f>
        <v>Drop-In</v>
      </c>
      <c r="I3528" s="66" t="str">
        <f>IF(Fifteenth!I31="", "",Fifteenth!I31)</f>
        <v/>
      </c>
      <c r="J3528" s="66" t="str">
        <f>IF(Fifteenth!J31="", "",Fifteenth!J31)</f>
        <v/>
      </c>
      <c r="K3528" s="86" t="str">
        <f>IF(Fifteenth!K31="", "",Fifteenth!K31)</f>
        <v/>
      </c>
      <c r="M3528" s="67">
        <f t="shared" si="167"/>
        <v>7</v>
      </c>
      <c r="N3528" s="76" t="str">
        <f t="shared" si="168"/>
        <v/>
      </c>
      <c r="O3528" s="33">
        <f t="shared" si="166"/>
        <v>7</v>
      </c>
    </row>
    <row r="3529" spans="1:15" x14ac:dyDescent="0.25">
      <c r="A3529" s="64" t="s">
        <v>186</v>
      </c>
      <c r="B3529" s="79" t="str">
        <f>IF(Fifteenth!B32="", "",Fifteenth!B32)</f>
        <v>CSS</v>
      </c>
      <c r="C3529" s="66" t="str">
        <f>IF(Fifteenth!C32="", "",Fifteenth!C32)</f>
        <v>PwC</v>
      </c>
      <c r="D3529" s="66" t="str">
        <f>IF(Fifteenth!D32="", "",Fifteenth!D32)</f>
        <v>Returning</v>
      </c>
      <c r="E3529" s="66" t="str">
        <f>IF(Fifteenth!E32="", "",Fifteenth!E32)</f>
        <v>Female</v>
      </c>
      <c r="F3529" s="66" t="str">
        <f>IF(Fifteenth!F32="", "",Fifteenth!F32)</f>
        <v>Gynae</v>
      </c>
      <c r="G3529" s="66" t="str">
        <f>IF(Fifteenth!G32="", "",Fifteenth!G32)</f>
        <v>Curative Intent</v>
      </c>
      <c r="H3529" s="66" t="str">
        <f>IF(Fifteenth!H32="", "",Fifteenth!H32)</f>
        <v>Drop-In</v>
      </c>
      <c r="I3529" s="66" t="str">
        <f>IF(Fifteenth!I32="", "",Fifteenth!I32)</f>
        <v/>
      </c>
      <c r="J3529" s="66" t="str">
        <f>IF(Fifteenth!J32="", "",Fifteenth!J32)</f>
        <v/>
      </c>
      <c r="K3529" s="86" t="str">
        <f>IF(Fifteenth!K32="", "",Fifteenth!K32)</f>
        <v/>
      </c>
      <c r="M3529" s="67">
        <f t="shared" si="167"/>
        <v>7</v>
      </c>
      <c r="N3529" s="76" t="str">
        <f t="shared" si="168"/>
        <v/>
      </c>
      <c r="O3529" s="33">
        <f t="shared" si="166"/>
        <v>7</v>
      </c>
    </row>
    <row r="3530" spans="1:15" x14ac:dyDescent="0.25">
      <c r="A3530" s="64" t="s">
        <v>186</v>
      </c>
      <c r="B3530" s="79" t="str">
        <f>IF(Fifteenth!B33="", "",Fifteenth!B33)</f>
        <v>CSS</v>
      </c>
      <c r="C3530" s="66" t="str">
        <f>IF(Fifteenth!C33="", "",Fifteenth!C33)</f>
        <v>PwC</v>
      </c>
      <c r="D3530" s="66" t="str">
        <f>IF(Fifteenth!D33="", "",Fifteenth!D33)</f>
        <v>Returning</v>
      </c>
      <c r="E3530" s="66" t="str">
        <f>IF(Fifteenth!E33="", "",Fifteenth!E33)</f>
        <v>Male</v>
      </c>
      <c r="F3530" s="66" t="str">
        <f>IF(Fifteenth!F33="", "",Fifteenth!F33)</f>
        <v>Prostate</v>
      </c>
      <c r="G3530" s="66" t="str">
        <f>IF(Fifteenth!G33="", "",Fifteenth!G33)</f>
        <v>Non-Curative Intent</v>
      </c>
      <c r="H3530" s="66" t="str">
        <f>IF(Fifteenth!H33="", "",Fifteenth!H33)</f>
        <v>Drop-In</v>
      </c>
      <c r="I3530" s="66" t="str">
        <f>IF(Fifteenth!I33="", "",Fifteenth!I33)</f>
        <v/>
      </c>
      <c r="J3530" s="66" t="str">
        <f>IF(Fifteenth!J33="", "",Fifteenth!J33)</f>
        <v/>
      </c>
      <c r="K3530" s="86" t="str">
        <f>IF(Fifteenth!K33="", "",Fifteenth!K33)</f>
        <v/>
      </c>
      <c r="M3530" s="67">
        <f t="shared" si="167"/>
        <v>7</v>
      </c>
      <c r="N3530" s="76" t="str">
        <f t="shared" si="168"/>
        <v/>
      </c>
      <c r="O3530" s="33">
        <f t="shared" si="166"/>
        <v>7</v>
      </c>
    </row>
    <row r="3531" spans="1:15" x14ac:dyDescent="0.25">
      <c r="A3531" s="64" t="s">
        <v>186</v>
      </c>
      <c r="B3531" s="79" t="str">
        <f>IF(Fifteenth!B34="", "",Fifteenth!B34)</f>
        <v>CSS</v>
      </c>
      <c r="C3531" s="66" t="str">
        <f>IF(Fifteenth!C34="", "",Fifteenth!C34)</f>
        <v>PwC</v>
      </c>
      <c r="D3531" s="66" t="str">
        <f>IF(Fifteenth!D34="", "",Fifteenth!D34)</f>
        <v>Returning</v>
      </c>
      <c r="E3531" s="66" t="str">
        <f>IF(Fifteenth!E34="", "",Fifteenth!E34)</f>
        <v>Female</v>
      </c>
      <c r="F3531" s="66" t="str">
        <f>IF(Fifteenth!F34="", "",Fifteenth!F34)</f>
        <v>Head/Neck</v>
      </c>
      <c r="G3531" s="66" t="str">
        <f>IF(Fifteenth!G34="", "",Fifteenth!G34)</f>
        <v>Curative Intent</v>
      </c>
      <c r="H3531" s="66" t="str">
        <f>IF(Fifteenth!H34="", "",Fifteenth!H34)</f>
        <v>Drop-In</v>
      </c>
      <c r="I3531" s="66" t="str">
        <f>IF(Fifteenth!I34="", "",Fifteenth!I34)</f>
        <v/>
      </c>
      <c r="J3531" s="66" t="str">
        <f>IF(Fifteenth!J34="", "",Fifteenth!J34)</f>
        <v/>
      </c>
      <c r="K3531" s="86" t="str">
        <f>IF(Fifteenth!K34="", "",Fifteenth!K34)</f>
        <v/>
      </c>
      <c r="M3531" s="67">
        <f t="shared" si="167"/>
        <v>7</v>
      </c>
      <c r="N3531" s="76" t="str">
        <f t="shared" si="168"/>
        <v/>
      </c>
      <c r="O3531" s="33">
        <f t="shared" si="166"/>
        <v>7</v>
      </c>
    </row>
    <row r="3532" spans="1:15" x14ac:dyDescent="0.25">
      <c r="A3532" s="64" t="s">
        <v>186</v>
      </c>
      <c r="B3532" s="79" t="str">
        <f>IF(Fifteenth!B35="", "",Fifteenth!B35)</f>
        <v>CSS</v>
      </c>
      <c r="C3532" s="66" t="str">
        <f>IF(Fifteenth!C35="", "",Fifteenth!C35)</f>
        <v>PwC</v>
      </c>
      <c r="D3532" s="66" t="str">
        <f>IF(Fifteenth!D35="", "",Fifteenth!D35)</f>
        <v>Returning</v>
      </c>
      <c r="E3532" s="66" t="str">
        <f>IF(Fifteenth!E35="", "",Fifteenth!E35)</f>
        <v>Female</v>
      </c>
      <c r="F3532" s="66" t="str">
        <f>IF(Fifteenth!F35="", "",Fifteenth!F35)</f>
        <v>Head/Neck</v>
      </c>
      <c r="G3532" s="66" t="str">
        <f>IF(Fifteenth!G35="", "",Fifteenth!G35)</f>
        <v>Curative Intent</v>
      </c>
      <c r="H3532" s="66" t="str">
        <f>IF(Fifteenth!H35="", "",Fifteenth!H35)</f>
        <v>Drop-In</v>
      </c>
      <c r="I3532" s="66" t="str">
        <f>IF(Fifteenth!I35="", "",Fifteenth!I35)</f>
        <v/>
      </c>
      <c r="J3532" s="66" t="str">
        <f>IF(Fifteenth!J35="", "",Fifteenth!J35)</f>
        <v/>
      </c>
      <c r="K3532" s="86" t="str">
        <f>IF(Fifteenth!K35="", "",Fifteenth!K35)</f>
        <v/>
      </c>
      <c r="M3532" s="67">
        <f t="shared" si="167"/>
        <v>7</v>
      </c>
      <c r="N3532" s="76" t="str">
        <f t="shared" si="168"/>
        <v/>
      </c>
      <c r="O3532" s="33">
        <f t="shared" si="166"/>
        <v>7</v>
      </c>
    </row>
    <row r="3533" spans="1:15" x14ac:dyDescent="0.25">
      <c r="A3533" s="64" t="s">
        <v>186</v>
      </c>
      <c r="B3533" s="79" t="str">
        <f>IF(Fifteenth!B36="", "",Fifteenth!B36)</f>
        <v>CSS</v>
      </c>
      <c r="C3533" s="66" t="str">
        <f>IF(Fifteenth!C36="", "",Fifteenth!C36)</f>
        <v>PwC</v>
      </c>
      <c r="D3533" s="66" t="str">
        <f>IF(Fifteenth!D36="", "",Fifteenth!D36)</f>
        <v>Returning</v>
      </c>
      <c r="E3533" s="66" t="str">
        <f>IF(Fifteenth!E36="", "",Fifteenth!E36)</f>
        <v>Female</v>
      </c>
      <c r="F3533" s="66" t="str">
        <f>IF(Fifteenth!F36="", "",Fifteenth!F36)</f>
        <v>Head/Neck</v>
      </c>
      <c r="G3533" s="66" t="str">
        <f>IF(Fifteenth!G36="", "",Fifteenth!G36)</f>
        <v>Curative Intent</v>
      </c>
      <c r="H3533" s="66" t="str">
        <f>IF(Fifteenth!H36="", "",Fifteenth!H36)</f>
        <v>Drop-In</v>
      </c>
      <c r="I3533" s="66" t="str">
        <f>IF(Fifteenth!I36="", "",Fifteenth!I36)</f>
        <v/>
      </c>
      <c r="J3533" s="66" t="str">
        <f>IF(Fifteenth!J36="", "",Fifteenth!J36)</f>
        <v/>
      </c>
      <c r="K3533" s="86" t="str">
        <f>IF(Fifteenth!K36="", "",Fifteenth!K36)</f>
        <v/>
      </c>
      <c r="M3533" s="67">
        <f t="shared" si="167"/>
        <v>7</v>
      </c>
      <c r="N3533" s="76" t="str">
        <f t="shared" si="168"/>
        <v/>
      </c>
      <c r="O3533" s="33">
        <f t="shared" si="166"/>
        <v>7</v>
      </c>
    </row>
    <row r="3534" spans="1:15" x14ac:dyDescent="0.25">
      <c r="A3534" s="64" t="s">
        <v>186</v>
      </c>
      <c r="B3534" s="79" t="str">
        <f>IF(Fifteenth!B37="", "",Fifteenth!B37)</f>
        <v>CSS</v>
      </c>
      <c r="C3534" s="66" t="str">
        <f>IF(Fifteenth!C37="", "",Fifteenth!C37)</f>
        <v>PwC</v>
      </c>
      <c r="D3534" s="66" t="str">
        <f>IF(Fifteenth!D37="", "",Fifteenth!D37)</f>
        <v>Returning</v>
      </c>
      <c r="E3534" s="66" t="str">
        <f>IF(Fifteenth!E37="", "",Fifteenth!E37)</f>
        <v>Female</v>
      </c>
      <c r="F3534" s="66" t="str">
        <f>IF(Fifteenth!F37="", "",Fifteenth!F37)</f>
        <v>Lower GI</v>
      </c>
      <c r="G3534" s="66" t="str">
        <f>IF(Fifteenth!G37="", "",Fifteenth!G37)</f>
        <v>Not Stated</v>
      </c>
      <c r="H3534" s="66" t="str">
        <f>IF(Fifteenth!H37="", "",Fifteenth!H37)</f>
        <v>Drop-In</v>
      </c>
      <c r="I3534" s="66" t="str">
        <f>IF(Fifteenth!I37="", "",Fifteenth!I37)</f>
        <v/>
      </c>
      <c r="J3534" s="66" t="str">
        <f>IF(Fifteenth!J37="", "",Fifteenth!J37)</f>
        <v/>
      </c>
      <c r="K3534" s="86" t="str">
        <f>IF(Fifteenth!K37="", "",Fifteenth!K37)</f>
        <v/>
      </c>
      <c r="M3534" s="67">
        <f t="shared" si="167"/>
        <v>7</v>
      </c>
      <c r="N3534" s="76" t="str">
        <f t="shared" si="168"/>
        <v/>
      </c>
      <c r="O3534" s="33">
        <f t="shared" si="166"/>
        <v>7</v>
      </c>
    </row>
    <row r="3535" spans="1:15" x14ac:dyDescent="0.25">
      <c r="A3535" s="64" t="s">
        <v>186</v>
      </c>
      <c r="B3535" s="79" t="str">
        <f>IF(Fifteenth!B38="", "",Fifteenth!B38)</f>
        <v>CSS</v>
      </c>
      <c r="C3535" s="66" t="str">
        <f>IF(Fifteenth!C38="", "",Fifteenth!C38)</f>
        <v>PwC</v>
      </c>
      <c r="D3535" s="66" t="str">
        <f>IF(Fifteenth!D38="", "",Fifteenth!D38)</f>
        <v>Returning</v>
      </c>
      <c r="E3535" s="66" t="str">
        <f>IF(Fifteenth!E38="", "",Fifteenth!E38)</f>
        <v>Female</v>
      </c>
      <c r="F3535" s="66" t="str">
        <f>IF(Fifteenth!F38="", "",Fifteenth!F38)</f>
        <v>Lower GI</v>
      </c>
      <c r="G3535" s="66" t="str">
        <f>IF(Fifteenth!G38="", "",Fifteenth!G38)</f>
        <v>Not Stated</v>
      </c>
      <c r="H3535" s="66" t="str">
        <f>IF(Fifteenth!H38="", "",Fifteenth!H38)</f>
        <v>Drop-In</v>
      </c>
      <c r="I3535" s="66" t="str">
        <f>IF(Fifteenth!I38="", "",Fifteenth!I38)</f>
        <v/>
      </c>
      <c r="J3535" s="66" t="str">
        <f>IF(Fifteenth!J38="", "",Fifteenth!J38)</f>
        <v/>
      </c>
      <c r="K3535" s="86" t="str">
        <f>IF(Fifteenth!K38="", "",Fifteenth!K38)</f>
        <v/>
      </c>
      <c r="M3535" s="67">
        <f t="shared" si="167"/>
        <v>7</v>
      </c>
      <c r="N3535" s="76" t="str">
        <f t="shared" si="168"/>
        <v/>
      </c>
      <c r="O3535" s="33">
        <f t="shared" si="166"/>
        <v>7</v>
      </c>
    </row>
    <row r="3536" spans="1:15" x14ac:dyDescent="0.25">
      <c r="A3536" s="64" t="s">
        <v>186</v>
      </c>
      <c r="B3536" s="79" t="str">
        <f>IF(Fifteenth!B39="", "",Fifteenth!B39)</f>
        <v>CSS</v>
      </c>
      <c r="C3536" s="66" t="str">
        <f>IF(Fifteenth!C39="", "",Fifteenth!C39)</f>
        <v>PwC</v>
      </c>
      <c r="D3536" s="66" t="str">
        <f>IF(Fifteenth!D39="", "",Fifteenth!D39)</f>
        <v>Returning</v>
      </c>
      <c r="E3536" s="66" t="str">
        <f>IF(Fifteenth!E39="", "",Fifteenth!E39)</f>
        <v>Female</v>
      </c>
      <c r="F3536" s="66" t="str">
        <f>IF(Fifteenth!F39="", "",Fifteenth!F39)</f>
        <v>Haemat</v>
      </c>
      <c r="G3536" s="66" t="str">
        <f>IF(Fifteenth!G39="", "",Fifteenth!G39)</f>
        <v>Non-Curative Intent</v>
      </c>
      <c r="H3536" s="66" t="str">
        <f>IF(Fifteenth!H39="", "",Fifteenth!H39)</f>
        <v>Drop-In</v>
      </c>
      <c r="I3536" s="66" t="str">
        <f>IF(Fifteenth!I39="", "",Fifteenth!I39)</f>
        <v/>
      </c>
      <c r="J3536" s="66" t="str">
        <f>IF(Fifteenth!J39="", "",Fifteenth!J39)</f>
        <v/>
      </c>
      <c r="K3536" s="86" t="str">
        <f>IF(Fifteenth!K39="", "",Fifteenth!K39)</f>
        <v/>
      </c>
      <c r="M3536" s="67">
        <f t="shared" si="167"/>
        <v>7</v>
      </c>
      <c r="N3536" s="76" t="str">
        <f t="shared" si="168"/>
        <v/>
      </c>
      <c r="O3536" s="33">
        <f t="shared" si="166"/>
        <v>7</v>
      </c>
    </row>
    <row r="3537" spans="1:15" x14ac:dyDescent="0.25">
      <c r="A3537" s="64" t="s">
        <v>186</v>
      </c>
      <c r="B3537" s="79" t="str">
        <f>IF(Fifteenth!B40="", "",Fifteenth!B40)</f>
        <v>CSS</v>
      </c>
      <c r="C3537" s="66" t="str">
        <f>IF(Fifteenth!C40="", "",Fifteenth!C40)</f>
        <v>Carer</v>
      </c>
      <c r="D3537" s="66" t="str">
        <f>IF(Fifteenth!D40="", "",Fifteenth!D40)</f>
        <v>New</v>
      </c>
      <c r="E3537" s="66" t="str">
        <f>IF(Fifteenth!E40="", "",Fifteenth!E40)</f>
        <v>Female</v>
      </c>
      <c r="F3537" s="66" t="str">
        <f>IF(Fifteenth!F40="", "",Fifteenth!F40)</f>
        <v>Haemat</v>
      </c>
      <c r="G3537" s="66" t="str">
        <f>IF(Fifteenth!G40="", "",Fifteenth!G40)</f>
        <v>Curative Intent</v>
      </c>
      <c r="H3537" s="66" t="str">
        <f>IF(Fifteenth!H40="", "",Fifteenth!H40)</f>
        <v>Drop-In</v>
      </c>
      <c r="I3537" s="66" t="str">
        <f>IF(Fifteenth!I40="", "",Fifteenth!I40)</f>
        <v/>
      </c>
      <c r="J3537" s="66" t="str">
        <f>IF(Fifteenth!J40="", "",Fifteenth!J40)</f>
        <v/>
      </c>
      <c r="K3537" s="86" t="str">
        <f>IF(Fifteenth!K40="", "",Fifteenth!K40)</f>
        <v/>
      </c>
      <c r="M3537" s="67" t="str">
        <f t="shared" si="167"/>
        <v/>
      </c>
      <c r="N3537" s="76">
        <f t="shared" si="168"/>
        <v>7</v>
      </c>
      <c r="O3537" s="33">
        <f t="shared" si="166"/>
        <v>7</v>
      </c>
    </row>
    <row r="3538" spans="1:15" x14ac:dyDescent="0.25">
      <c r="A3538" s="64" t="s">
        <v>186</v>
      </c>
      <c r="B3538" s="79" t="str">
        <f>IF(Fifteenth!B41="", "",Fifteenth!B41)</f>
        <v>CSS</v>
      </c>
      <c r="C3538" s="66" t="str">
        <f>IF(Fifteenth!C41="", "",Fifteenth!C41)</f>
        <v>PwC</v>
      </c>
      <c r="D3538" s="66" t="str">
        <f>IF(Fifteenth!D41="", "",Fifteenth!D41)</f>
        <v>Returning</v>
      </c>
      <c r="E3538" s="66" t="str">
        <f>IF(Fifteenth!E41="", "",Fifteenth!E41)</f>
        <v>Female</v>
      </c>
      <c r="F3538" s="66" t="str">
        <f>IF(Fifteenth!F41="", "",Fifteenth!F41)</f>
        <v>Breast</v>
      </c>
      <c r="G3538" s="66" t="str">
        <f>IF(Fifteenth!G41="", "",Fifteenth!G41)</f>
        <v>Curative Intent</v>
      </c>
      <c r="H3538" s="66" t="str">
        <f>IF(Fifteenth!H41="", "",Fifteenth!H41)</f>
        <v>Drop-In</v>
      </c>
      <c r="I3538" s="66" t="str">
        <f>IF(Fifteenth!I41="", "",Fifteenth!I41)</f>
        <v/>
      </c>
      <c r="J3538" s="66" t="str">
        <f>IF(Fifteenth!J41="", "",Fifteenth!J41)</f>
        <v/>
      </c>
      <c r="K3538" s="86" t="str">
        <f>IF(Fifteenth!K41="", "",Fifteenth!K41)</f>
        <v/>
      </c>
      <c r="M3538" s="67">
        <f t="shared" si="167"/>
        <v>7</v>
      </c>
      <c r="N3538" s="76" t="str">
        <f t="shared" si="168"/>
        <v/>
      </c>
      <c r="O3538" s="33">
        <f t="shared" si="166"/>
        <v>7</v>
      </c>
    </row>
    <row r="3539" spans="1:15" x14ac:dyDescent="0.25">
      <c r="A3539" s="64" t="s">
        <v>186</v>
      </c>
      <c r="B3539" s="79" t="str">
        <f>IF(Fifteenth!B42="", "",Fifteenth!B42)</f>
        <v/>
      </c>
      <c r="C3539" s="66" t="str">
        <f>IF(Fifteenth!C42="", "",Fifteenth!C42)</f>
        <v/>
      </c>
      <c r="D3539" s="66" t="str">
        <f>IF(Fifteenth!D42="", "",Fifteenth!D42)</f>
        <v/>
      </c>
      <c r="E3539" s="66" t="str">
        <f>IF(Fifteenth!E42="", "",Fifteenth!E42)</f>
        <v/>
      </c>
      <c r="F3539" s="66" t="str">
        <f>IF(Fifteenth!F42="", "",Fifteenth!F42)</f>
        <v/>
      </c>
      <c r="G3539" s="66" t="str">
        <f>IF(Fifteenth!G42="", "",Fifteenth!G42)</f>
        <v/>
      </c>
      <c r="H3539" s="66" t="str">
        <f>IF(Fifteenth!H42="", "",Fifteenth!H42)</f>
        <v/>
      </c>
      <c r="I3539" s="66" t="str">
        <f>IF(Fifteenth!I42="", "",Fifteenth!I42)</f>
        <v/>
      </c>
      <c r="J3539" s="66" t="str">
        <f>IF(Fifteenth!J42="", "",Fifteenth!J42)</f>
        <v/>
      </c>
      <c r="K3539" s="86" t="str">
        <f>IF(Fifteenth!K42="", "",Fifteenth!K42)</f>
        <v/>
      </c>
      <c r="M3539" s="67" t="str">
        <f t="shared" si="167"/>
        <v/>
      </c>
      <c r="N3539" s="76" t="str">
        <f t="shared" si="168"/>
        <v/>
      </c>
      <c r="O3539" s="33">
        <f t="shared" si="166"/>
        <v>0</v>
      </c>
    </row>
    <row r="3540" spans="1:15" x14ac:dyDescent="0.25">
      <c r="A3540" s="64" t="s">
        <v>186</v>
      </c>
      <c r="B3540" s="79" t="str">
        <f>IF(Fifteenth!B43="", "",Fifteenth!B43)</f>
        <v/>
      </c>
      <c r="C3540" s="66" t="str">
        <f>IF(Fifteenth!C43="", "",Fifteenth!C43)</f>
        <v/>
      </c>
      <c r="D3540" s="66" t="str">
        <f>IF(Fifteenth!D43="", "",Fifteenth!D43)</f>
        <v/>
      </c>
      <c r="E3540" s="66" t="str">
        <f>IF(Fifteenth!E43="", "",Fifteenth!E43)</f>
        <v/>
      </c>
      <c r="F3540" s="66" t="str">
        <f>IF(Fifteenth!F43="", "",Fifteenth!F43)</f>
        <v/>
      </c>
      <c r="G3540" s="66" t="str">
        <f>IF(Fifteenth!G43="", "",Fifteenth!G43)</f>
        <v/>
      </c>
      <c r="H3540" s="66" t="str">
        <f>IF(Fifteenth!H43="", "",Fifteenth!H43)</f>
        <v/>
      </c>
      <c r="I3540" s="66" t="str">
        <f>IF(Fifteenth!I43="", "",Fifteenth!I43)</f>
        <v/>
      </c>
      <c r="J3540" s="66" t="str">
        <f>IF(Fifteenth!J43="", "",Fifteenth!J43)</f>
        <v/>
      </c>
      <c r="K3540" s="86" t="str">
        <f>IF(Fifteenth!K43="", "",Fifteenth!K43)</f>
        <v/>
      </c>
      <c r="M3540" s="67" t="str">
        <f t="shared" si="167"/>
        <v/>
      </c>
      <c r="N3540" s="76" t="str">
        <f t="shared" si="168"/>
        <v/>
      </c>
      <c r="O3540" s="33">
        <f t="shared" si="166"/>
        <v>0</v>
      </c>
    </row>
    <row r="3541" spans="1:15" x14ac:dyDescent="0.25">
      <c r="A3541" s="64" t="s">
        <v>186</v>
      </c>
      <c r="B3541" s="79" t="str">
        <f>IF(Fifteenth!B44="", "",Fifteenth!B44)</f>
        <v/>
      </c>
      <c r="C3541" s="66" t="str">
        <f>IF(Fifteenth!C44="", "",Fifteenth!C44)</f>
        <v/>
      </c>
      <c r="D3541" s="66" t="str">
        <f>IF(Fifteenth!D44="", "",Fifteenth!D44)</f>
        <v/>
      </c>
      <c r="E3541" s="66" t="str">
        <f>IF(Fifteenth!E44="", "",Fifteenth!E44)</f>
        <v/>
      </c>
      <c r="F3541" s="66" t="str">
        <f>IF(Fifteenth!F44="", "",Fifteenth!F44)</f>
        <v/>
      </c>
      <c r="G3541" s="66" t="str">
        <f>IF(Fifteenth!G44="", "",Fifteenth!G44)</f>
        <v/>
      </c>
      <c r="H3541" s="66" t="str">
        <f>IF(Fifteenth!H44="", "",Fifteenth!H44)</f>
        <v/>
      </c>
      <c r="I3541" s="66" t="str">
        <f>IF(Fifteenth!I44="", "",Fifteenth!I44)</f>
        <v/>
      </c>
      <c r="J3541" s="66" t="str">
        <f>IF(Fifteenth!J44="", "",Fifteenth!J44)</f>
        <v/>
      </c>
      <c r="K3541" s="86" t="str">
        <f>IF(Fifteenth!K44="", "",Fifteenth!K44)</f>
        <v/>
      </c>
      <c r="M3541" s="67" t="str">
        <f t="shared" si="167"/>
        <v/>
      </c>
      <c r="N3541" s="76" t="str">
        <f t="shared" si="168"/>
        <v/>
      </c>
      <c r="O3541" s="33">
        <f t="shared" si="166"/>
        <v>0</v>
      </c>
    </row>
    <row r="3542" spans="1:15" x14ac:dyDescent="0.25">
      <c r="A3542" s="64" t="s">
        <v>186</v>
      </c>
      <c r="B3542" s="79" t="str">
        <f>IF(Fifteenth!B45="", "",Fifteenth!B45)</f>
        <v/>
      </c>
      <c r="C3542" s="66" t="str">
        <f>IF(Fifteenth!C45="", "",Fifteenth!C45)</f>
        <v/>
      </c>
      <c r="D3542" s="66" t="str">
        <f>IF(Fifteenth!D45="", "",Fifteenth!D45)</f>
        <v/>
      </c>
      <c r="E3542" s="66" t="str">
        <f>IF(Fifteenth!E45="", "",Fifteenth!E45)</f>
        <v/>
      </c>
      <c r="F3542" s="66" t="str">
        <f>IF(Fifteenth!F45="", "",Fifteenth!F45)</f>
        <v/>
      </c>
      <c r="G3542" s="66" t="str">
        <f>IF(Fifteenth!G45="", "",Fifteenth!G45)</f>
        <v/>
      </c>
      <c r="H3542" s="66" t="str">
        <f>IF(Fifteenth!H45="", "",Fifteenth!H45)</f>
        <v/>
      </c>
      <c r="I3542" s="66" t="str">
        <f>IF(Fifteenth!I45="", "",Fifteenth!I45)</f>
        <v/>
      </c>
      <c r="J3542" s="66" t="str">
        <f>IF(Fifteenth!J45="", "",Fifteenth!J45)</f>
        <v/>
      </c>
      <c r="K3542" s="86" t="str">
        <f>IF(Fifteenth!K45="", "",Fifteenth!K45)</f>
        <v/>
      </c>
      <c r="M3542" s="67" t="str">
        <f t="shared" si="167"/>
        <v/>
      </c>
      <c r="N3542" s="76" t="str">
        <f t="shared" si="168"/>
        <v/>
      </c>
      <c r="O3542" s="33">
        <f t="shared" si="166"/>
        <v>0</v>
      </c>
    </row>
    <row r="3543" spans="1:15" x14ac:dyDescent="0.25">
      <c r="A3543" s="64" t="s">
        <v>186</v>
      </c>
      <c r="B3543" s="79" t="str">
        <f>IF(Fifteenth!B46="", "",Fifteenth!B46)</f>
        <v/>
      </c>
      <c r="C3543" s="66" t="str">
        <f>IF(Fifteenth!C46="", "",Fifteenth!C46)</f>
        <v/>
      </c>
      <c r="D3543" s="66" t="str">
        <f>IF(Fifteenth!D46="", "",Fifteenth!D46)</f>
        <v/>
      </c>
      <c r="E3543" s="66" t="str">
        <f>IF(Fifteenth!E46="", "",Fifteenth!E46)</f>
        <v/>
      </c>
      <c r="F3543" s="66" t="str">
        <f>IF(Fifteenth!F46="", "",Fifteenth!F46)</f>
        <v/>
      </c>
      <c r="G3543" s="66" t="str">
        <f>IF(Fifteenth!G46="", "",Fifteenth!G46)</f>
        <v/>
      </c>
      <c r="H3543" s="66" t="str">
        <f>IF(Fifteenth!H46="", "",Fifteenth!H46)</f>
        <v/>
      </c>
      <c r="I3543" s="66" t="str">
        <f>IF(Fifteenth!I46="", "",Fifteenth!I46)</f>
        <v/>
      </c>
      <c r="J3543" s="66" t="str">
        <f>IF(Fifteenth!J46="", "",Fifteenth!J46)</f>
        <v/>
      </c>
      <c r="K3543" s="86" t="str">
        <f>IF(Fifteenth!K46="", "",Fifteenth!K46)</f>
        <v/>
      </c>
      <c r="M3543" s="67" t="str">
        <f t="shared" si="167"/>
        <v/>
      </c>
      <c r="N3543" s="76" t="str">
        <f t="shared" si="168"/>
        <v/>
      </c>
      <c r="O3543" s="33">
        <f t="shared" si="166"/>
        <v>0</v>
      </c>
    </row>
    <row r="3544" spans="1:15" x14ac:dyDescent="0.25">
      <c r="A3544" s="64" t="s">
        <v>186</v>
      </c>
      <c r="B3544" s="79" t="str">
        <f>IF(Fifteenth!B47="", "",Fifteenth!B47)</f>
        <v/>
      </c>
      <c r="C3544" s="66" t="str">
        <f>IF(Fifteenth!C47="", "",Fifteenth!C47)</f>
        <v/>
      </c>
      <c r="D3544" s="66" t="str">
        <f>IF(Fifteenth!D47="", "",Fifteenth!D47)</f>
        <v/>
      </c>
      <c r="E3544" s="66" t="str">
        <f>IF(Fifteenth!E47="", "",Fifteenth!E47)</f>
        <v/>
      </c>
      <c r="F3544" s="66" t="str">
        <f>IF(Fifteenth!F47="", "",Fifteenth!F47)</f>
        <v/>
      </c>
      <c r="G3544" s="66" t="str">
        <f>IF(Fifteenth!G47="", "",Fifteenth!G47)</f>
        <v/>
      </c>
      <c r="H3544" s="66" t="str">
        <f>IF(Fifteenth!H47="", "",Fifteenth!H47)</f>
        <v/>
      </c>
      <c r="I3544" s="66" t="str">
        <f>IF(Fifteenth!I47="", "",Fifteenth!I47)</f>
        <v/>
      </c>
      <c r="J3544" s="66" t="str">
        <f>IF(Fifteenth!J47="", "",Fifteenth!J47)</f>
        <v/>
      </c>
      <c r="K3544" s="86" t="str">
        <f>IF(Fifteenth!K47="", "",Fifteenth!K47)</f>
        <v/>
      </c>
      <c r="M3544" s="67" t="str">
        <f t="shared" si="167"/>
        <v/>
      </c>
      <c r="N3544" s="76" t="str">
        <f t="shared" si="168"/>
        <v/>
      </c>
      <c r="O3544" s="33">
        <f t="shared" si="166"/>
        <v>0</v>
      </c>
    </row>
    <row r="3545" spans="1:15" x14ac:dyDescent="0.25">
      <c r="A3545" s="64" t="s">
        <v>186</v>
      </c>
      <c r="B3545" s="79" t="str">
        <f>IF(Fifteenth!B48="", "",Fifteenth!B48)</f>
        <v/>
      </c>
      <c r="C3545" s="66" t="str">
        <f>IF(Fifteenth!C48="", "",Fifteenth!C48)</f>
        <v/>
      </c>
      <c r="D3545" s="66" t="str">
        <f>IF(Fifteenth!D48="", "",Fifteenth!D48)</f>
        <v/>
      </c>
      <c r="E3545" s="66" t="str">
        <f>IF(Fifteenth!E48="", "",Fifteenth!E48)</f>
        <v/>
      </c>
      <c r="F3545" s="66" t="str">
        <f>IF(Fifteenth!F48="", "",Fifteenth!F48)</f>
        <v/>
      </c>
      <c r="G3545" s="66" t="str">
        <f>IF(Fifteenth!G48="", "",Fifteenth!G48)</f>
        <v/>
      </c>
      <c r="H3545" s="66" t="str">
        <f>IF(Fifteenth!H48="", "",Fifteenth!H48)</f>
        <v/>
      </c>
      <c r="I3545" s="66" t="str">
        <f>IF(Fifteenth!I48="", "",Fifteenth!I48)</f>
        <v/>
      </c>
      <c r="J3545" s="66" t="str">
        <f>IF(Fifteenth!J48="", "",Fifteenth!J48)</f>
        <v/>
      </c>
      <c r="K3545" s="86" t="str">
        <f>IF(Fifteenth!K48="", "",Fifteenth!K48)</f>
        <v/>
      </c>
      <c r="M3545" s="67" t="str">
        <f t="shared" si="167"/>
        <v/>
      </c>
      <c r="N3545" s="76" t="str">
        <f t="shared" si="168"/>
        <v/>
      </c>
      <c r="O3545" s="33">
        <f t="shared" si="166"/>
        <v>0</v>
      </c>
    </row>
    <row r="3546" spans="1:15" x14ac:dyDescent="0.25">
      <c r="A3546" s="64" t="s">
        <v>186</v>
      </c>
      <c r="B3546" s="79" t="str">
        <f>IF(Fifteenth!B49="", "",Fifteenth!B49)</f>
        <v/>
      </c>
      <c r="C3546" s="66" t="str">
        <f>IF(Fifteenth!C49="", "",Fifteenth!C49)</f>
        <v/>
      </c>
      <c r="D3546" s="66" t="str">
        <f>IF(Fifteenth!D49="", "",Fifteenth!D49)</f>
        <v/>
      </c>
      <c r="E3546" s="66" t="str">
        <f>IF(Fifteenth!E49="", "",Fifteenth!E49)</f>
        <v/>
      </c>
      <c r="F3546" s="66" t="str">
        <f>IF(Fifteenth!F49="", "",Fifteenth!F49)</f>
        <v/>
      </c>
      <c r="G3546" s="66" t="str">
        <f>IF(Fifteenth!G49="", "",Fifteenth!G49)</f>
        <v/>
      </c>
      <c r="H3546" s="66" t="str">
        <f>IF(Fifteenth!H49="", "",Fifteenth!H49)</f>
        <v/>
      </c>
      <c r="I3546" s="66" t="str">
        <f>IF(Fifteenth!I49="", "",Fifteenth!I49)</f>
        <v/>
      </c>
      <c r="J3546" s="66" t="str">
        <f>IF(Fifteenth!J49="", "",Fifteenth!J49)</f>
        <v/>
      </c>
      <c r="K3546" s="86" t="str">
        <f>IF(Fifteenth!K49="", "",Fifteenth!K49)</f>
        <v/>
      </c>
      <c r="M3546" s="67" t="str">
        <f t="shared" si="167"/>
        <v/>
      </c>
      <c r="N3546" s="76" t="str">
        <f t="shared" si="168"/>
        <v/>
      </c>
      <c r="O3546" s="33">
        <f t="shared" si="166"/>
        <v>0</v>
      </c>
    </row>
    <row r="3547" spans="1:15" x14ac:dyDescent="0.25">
      <c r="A3547" s="64" t="s">
        <v>186</v>
      </c>
      <c r="B3547" s="79" t="str">
        <f>IF(Fifteenth!B50="", "",Fifteenth!B50)</f>
        <v/>
      </c>
      <c r="C3547" s="66" t="str">
        <f>IF(Fifteenth!C50="", "",Fifteenth!C50)</f>
        <v/>
      </c>
      <c r="D3547" s="66" t="str">
        <f>IF(Fifteenth!D50="", "",Fifteenth!D50)</f>
        <v/>
      </c>
      <c r="E3547" s="66" t="str">
        <f>IF(Fifteenth!E50="", "",Fifteenth!E50)</f>
        <v/>
      </c>
      <c r="F3547" s="66" t="str">
        <f>IF(Fifteenth!F50="", "",Fifteenth!F50)</f>
        <v/>
      </c>
      <c r="G3547" s="66" t="str">
        <f>IF(Fifteenth!G50="", "",Fifteenth!G50)</f>
        <v/>
      </c>
      <c r="H3547" s="66" t="str">
        <f>IF(Fifteenth!H50="", "",Fifteenth!H50)</f>
        <v/>
      </c>
      <c r="I3547" s="66" t="str">
        <f>IF(Fifteenth!I50="", "",Fifteenth!I50)</f>
        <v/>
      </c>
      <c r="J3547" s="66" t="str">
        <f>IF(Fifteenth!J50="", "",Fifteenth!J50)</f>
        <v/>
      </c>
      <c r="K3547" s="86" t="str">
        <f>IF(Fifteenth!K50="", "",Fifteenth!K50)</f>
        <v/>
      </c>
      <c r="M3547" s="67" t="str">
        <f t="shared" si="167"/>
        <v/>
      </c>
      <c r="N3547" s="76" t="str">
        <f t="shared" si="168"/>
        <v/>
      </c>
      <c r="O3547" s="33">
        <f t="shared" si="166"/>
        <v>0</v>
      </c>
    </row>
    <row r="3548" spans="1:15" x14ac:dyDescent="0.25">
      <c r="A3548" s="64" t="s">
        <v>186</v>
      </c>
      <c r="B3548" s="79" t="str">
        <f>IF(Fifteenth!B51="", "",Fifteenth!B51)</f>
        <v/>
      </c>
      <c r="C3548" s="66" t="str">
        <f>IF(Fifteenth!C51="", "",Fifteenth!C51)</f>
        <v/>
      </c>
      <c r="D3548" s="66" t="str">
        <f>IF(Fifteenth!D51="", "",Fifteenth!D51)</f>
        <v/>
      </c>
      <c r="E3548" s="66" t="str">
        <f>IF(Fifteenth!E51="", "",Fifteenth!E51)</f>
        <v/>
      </c>
      <c r="F3548" s="66" t="str">
        <f>IF(Fifteenth!F51="", "",Fifteenth!F51)</f>
        <v/>
      </c>
      <c r="G3548" s="66" t="str">
        <f>IF(Fifteenth!G51="", "",Fifteenth!G51)</f>
        <v/>
      </c>
      <c r="H3548" s="66" t="str">
        <f>IF(Fifteenth!H51="", "",Fifteenth!H51)</f>
        <v/>
      </c>
      <c r="I3548" s="66" t="str">
        <f>IF(Fifteenth!I51="", "",Fifteenth!I51)</f>
        <v/>
      </c>
      <c r="J3548" s="66" t="str">
        <f>IF(Fifteenth!J51="", "",Fifteenth!J51)</f>
        <v/>
      </c>
      <c r="K3548" s="86" t="str">
        <f>IF(Fifteenth!K51="", "",Fifteenth!K51)</f>
        <v/>
      </c>
      <c r="M3548" s="67" t="str">
        <f t="shared" si="167"/>
        <v/>
      </c>
      <c r="N3548" s="76" t="str">
        <f t="shared" si="168"/>
        <v/>
      </c>
      <c r="O3548" s="33">
        <f t="shared" si="166"/>
        <v>0</v>
      </c>
    </row>
    <row r="3549" spans="1:15" x14ac:dyDescent="0.25">
      <c r="A3549" s="64" t="s">
        <v>186</v>
      </c>
      <c r="B3549" s="79" t="str">
        <f>IF(Fifteenth!B52="", "",Fifteenth!B52)</f>
        <v/>
      </c>
      <c r="C3549" s="66" t="str">
        <f>IF(Fifteenth!C52="", "",Fifteenth!C52)</f>
        <v/>
      </c>
      <c r="D3549" s="66" t="str">
        <f>IF(Fifteenth!D52="", "",Fifteenth!D52)</f>
        <v/>
      </c>
      <c r="E3549" s="66" t="str">
        <f>IF(Fifteenth!E52="", "",Fifteenth!E52)</f>
        <v/>
      </c>
      <c r="F3549" s="66" t="str">
        <f>IF(Fifteenth!F52="", "",Fifteenth!F52)</f>
        <v/>
      </c>
      <c r="G3549" s="66" t="str">
        <f>IF(Fifteenth!G52="", "",Fifteenth!G52)</f>
        <v/>
      </c>
      <c r="H3549" s="66" t="str">
        <f>IF(Fifteenth!H52="", "",Fifteenth!H52)</f>
        <v/>
      </c>
      <c r="I3549" s="66" t="str">
        <f>IF(Fifteenth!I52="", "",Fifteenth!I52)</f>
        <v/>
      </c>
      <c r="J3549" s="66" t="str">
        <f>IF(Fifteenth!J52="", "",Fifteenth!J52)</f>
        <v/>
      </c>
      <c r="K3549" s="86" t="str">
        <f>IF(Fifteenth!K52="", "",Fifteenth!K52)</f>
        <v/>
      </c>
      <c r="M3549" s="67" t="str">
        <f t="shared" si="167"/>
        <v/>
      </c>
      <c r="N3549" s="76" t="str">
        <f t="shared" si="168"/>
        <v/>
      </c>
      <c r="O3549" s="33">
        <f t="shared" si="166"/>
        <v>0</v>
      </c>
    </row>
    <row r="3550" spans="1:15" x14ac:dyDescent="0.25">
      <c r="A3550" s="64" t="s">
        <v>186</v>
      </c>
      <c r="B3550" s="79" t="str">
        <f>IF(Fifteenth!B53="", "",Fifteenth!B53)</f>
        <v/>
      </c>
      <c r="C3550" s="66" t="str">
        <f>IF(Fifteenth!C53="", "",Fifteenth!C53)</f>
        <v/>
      </c>
      <c r="D3550" s="66" t="str">
        <f>IF(Fifteenth!D53="", "",Fifteenth!D53)</f>
        <v/>
      </c>
      <c r="E3550" s="66" t="str">
        <f>IF(Fifteenth!E53="", "",Fifteenth!E53)</f>
        <v/>
      </c>
      <c r="F3550" s="66" t="str">
        <f>IF(Fifteenth!F53="", "",Fifteenth!F53)</f>
        <v/>
      </c>
      <c r="G3550" s="66" t="str">
        <f>IF(Fifteenth!G53="", "",Fifteenth!G53)</f>
        <v/>
      </c>
      <c r="H3550" s="66" t="str">
        <f>IF(Fifteenth!H53="", "",Fifteenth!H53)</f>
        <v/>
      </c>
      <c r="I3550" s="66" t="str">
        <f>IF(Fifteenth!I53="", "",Fifteenth!I53)</f>
        <v/>
      </c>
      <c r="J3550" s="66" t="str">
        <f>IF(Fifteenth!J53="", "",Fifteenth!J53)</f>
        <v/>
      </c>
      <c r="K3550" s="86" t="str">
        <f>IF(Fifteenth!K53="", "",Fifteenth!K53)</f>
        <v/>
      </c>
      <c r="M3550" s="67" t="str">
        <f t="shared" si="167"/>
        <v/>
      </c>
      <c r="N3550" s="76" t="str">
        <f t="shared" si="168"/>
        <v/>
      </c>
      <c r="O3550" s="33">
        <f t="shared" si="166"/>
        <v>0</v>
      </c>
    </row>
    <row r="3551" spans="1:15" x14ac:dyDescent="0.25">
      <c r="A3551" s="64" t="s">
        <v>186</v>
      </c>
      <c r="B3551" s="79" t="str">
        <f>IF(Fifteenth!B54="", "",Fifteenth!B54)</f>
        <v/>
      </c>
      <c r="C3551" s="66" t="str">
        <f>IF(Fifteenth!C54="", "",Fifteenth!C54)</f>
        <v/>
      </c>
      <c r="D3551" s="66" t="str">
        <f>IF(Fifteenth!D54="", "",Fifteenth!D54)</f>
        <v/>
      </c>
      <c r="E3551" s="66" t="str">
        <f>IF(Fifteenth!E54="", "",Fifteenth!E54)</f>
        <v/>
      </c>
      <c r="F3551" s="66" t="str">
        <f>IF(Fifteenth!F54="", "",Fifteenth!F54)</f>
        <v/>
      </c>
      <c r="G3551" s="66" t="str">
        <f>IF(Fifteenth!G54="", "",Fifteenth!G54)</f>
        <v/>
      </c>
      <c r="H3551" s="66" t="str">
        <f>IF(Fifteenth!H54="", "",Fifteenth!H54)</f>
        <v/>
      </c>
      <c r="I3551" s="66" t="str">
        <f>IF(Fifteenth!I54="", "",Fifteenth!I54)</f>
        <v/>
      </c>
      <c r="J3551" s="66" t="str">
        <f>IF(Fifteenth!J54="", "",Fifteenth!J54)</f>
        <v/>
      </c>
      <c r="K3551" s="86" t="str">
        <f>IF(Fifteenth!K54="", "",Fifteenth!K54)</f>
        <v/>
      </c>
      <c r="M3551" s="67" t="str">
        <f t="shared" si="167"/>
        <v/>
      </c>
      <c r="N3551" s="76" t="str">
        <f t="shared" si="168"/>
        <v/>
      </c>
      <c r="O3551" s="33">
        <f t="shared" si="166"/>
        <v>0</v>
      </c>
    </row>
    <row r="3552" spans="1:15" x14ac:dyDescent="0.25">
      <c r="A3552" s="64" t="s">
        <v>186</v>
      </c>
      <c r="B3552" s="79" t="str">
        <f>IF(Fifteenth!B55="", "",Fifteenth!B55)</f>
        <v/>
      </c>
      <c r="C3552" s="66" t="str">
        <f>IF(Fifteenth!C55="", "",Fifteenth!C55)</f>
        <v/>
      </c>
      <c r="D3552" s="66" t="str">
        <f>IF(Fifteenth!D55="", "",Fifteenth!D55)</f>
        <v/>
      </c>
      <c r="E3552" s="66" t="str">
        <f>IF(Fifteenth!E55="", "",Fifteenth!E55)</f>
        <v/>
      </c>
      <c r="F3552" s="66" t="str">
        <f>IF(Fifteenth!F55="", "",Fifteenth!F55)</f>
        <v/>
      </c>
      <c r="G3552" s="66" t="str">
        <f>IF(Fifteenth!G55="", "",Fifteenth!G55)</f>
        <v/>
      </c>
      <c r="H3552" s="66" t="str">
        <f>IF(Fifteenth!H55="", "",Fifteenth!H55)</f>
        <v/>
      </c>
      <c r="I3552" s="66" t="str">
        <f>IF(Fifteenth!I55="", "",Fifteenth!I55)</f>
        <v/>
      </c>
      <c r="J3552" s="66" t="str">
        <f>IF(Fifteenth!J55="", "",Fifteenth!J55)</f>
        <v/>
      </c>
      <c r="K3552" s="86" t="str">
        <f>IF(Fifteenth!K55="", "",Fifteenth!K55)</f>
        <v/>
      </c>
      <c r="M3552" s="67" t="str">
        <f t="shared" si="167"/>
        <v/>
      </c>
      <c r="N3552" s="76" t="str">
        <f t="shared" si="168"/>
        <v/>
      </c>
      <c r="O3552" s="33">
        <f t="shared" si="166"/>
        <v>0</v>
      </c>
    </row>
    <row r="3553" spans="1:15" x14ac:dyDescent="0.25">
      <c r="A3553" s="64" t="s">
        <v>186</v>
      </c>
      <c r="B3553" s="79" t="str">
        <f>IF(Fifteenth!B56="", "",Fifteenth!B56)</f>
        <v/>
      </c>
      <c r="C3553" s="66" t="str">
        <f>IF(Fifteenth!C56="", "",Fifteenth!C56)</f>
        <v/>
      </c>
      <c r="D3553" s="66" t="str">
        <f>IF(Fifteenth!D56="", "",Fifteenth!D56)</f>
        <v/>
      </c>
      <c r="E3553" s="66" t="str">
        <f>IF(Fifteenth!E56="", "",Fifteenth!E56)</f>
        <v/>
      </c>
      <c r="F3553" s="66" t="str">
        <f>IF(Fifteenth!F56="", "",Fifteenth!F56)</f>
        <v/>
      </c>
      <c r="G3553" s="66" t="str">
        <f>IF(Fifteenth!G56="", "",Fifteenth!G56)</f>
        <v/>
      </c>
      <c r="H3553" s="66" t="str">
        <f>IF(Fifteenth!H56="", "",Fifteenth!H56)</f>
        <v/>
      </c>
      <c r="I3553" s="66" t="str">
        <f>IF(Fifteenth!I56="", "",Fifteenth!I56)</f>
        <v/>
      </c>
      <c r="J3553" s="66" t="str">
        <f>IF(Fifteenth!J56="", "",Fifteenth!J56)</f>
        <v/>
      </c>
      <c r="K3553" s="86" t="str">
        <f>IF(Fifteenth!K56="", "",Fifteenth!K56)</f>
        <v/>
      </c>
      <c r="M3553" s="67" t="str">
        <f t="shared" si="167"/>
        <v/>
      </c>
      <c r="N3553" s="76" t="str">
        <f t="shared" si="168"/>
        <v/>
      </c>
      <c r="O3553" s="33">
        <f t="shared" si="166"/>
        <v>0</v>
      </c>
    </row>
    <row r="3554" spans="1:15" x14ac:dyDescent="0.25">
      <c r="A3554" s="64" t="s">
        <v>186</v>
      </c>
      <c r="B3554" s="79" t="str">
        <f>IF(Fifteenth!B57="", "",Fifteenth!B57)</f>
        <v/>
      </c>
      <c r="C3554" s="66" t="str">
        <f>IF(Fifteenth!C57="", "",Fifteenth!C57)</f>
        <v/>
      </c>
      <c r="D3554" s="66" t="str">
        <f>IF(Fifteenth!D57="", "",Fifteenth!D57)</f>
        <v/>
      </c>
      <c r="E3554" s="66" t="str">
        <f>IF(Fifteenth!E57="", "",Fifteenth!E57)</f>
        <v/>
      </c>
      <c r="F3554" s="66" t="str">
        <f>IF(Fifteenth!F57="", "",Fifteenth!F57)</f>
        <v/>
      </c>
      <c r="G3554" s="66" t="str">
        <f>IF(Fifteenth!G57="", "",Fifteenth!G57)</f>
        <v/>
      </c>
      <c r="H3554" s="66" t="str">
        <f>IF(Fifteenth!H57="", "",Fifteenth!H57)</f>
        <v/>
      </c>
      <c r="I3554" s="66" t="str">
        <f>IF(Fifteenth!I57="", "",Fifteenth!I57)</f>
        <v/>
      </c>
      <c r="J3554" s="66" t="str">
        <f>IF(Fifteenth!J57="", "",Fifteenth!J57)</f>
        <v/>
      </c>
      <c r="K3554" s="86" t="str">
        <f>IF(Fifteenth!K57="", "",Fifteenth!K57)</f>
        <v/>
      </c>
      <c r="M3554" s="67" t="str">
        <f t="shared" si="167"/>
        <v/>
      </c>
      <c r="N3554" s="76" t="str">
        <f t="shared" si="168"/>
        <v/>
      </c>
      <c r="O3554" s="33">
        <f t="shared" si="166"/>
        <v>0</v>
      </c>
    </row>
    <row r="3555" spans="1:15" x14ac:dyDescent="0.25">
      <c r="A3555" s="64" t="s">
        <v>186</v>
      </c>
      <c r="B3555" s="79" t="str">
        <f>IF(Fifteenth!B58="", "",Fifteenth!B58)</f>
        <v/>
      </c>
      <c r="C3555" s="66" t="str">
        <f>IF(Fifteenth!C58="", "",Fifteenth!C58)</f>
        <v/>
      </c>
      <c r="D3555" s="66" t="str">
        <f>IF(Fifteenth!D58="", "",Fifteenth!D58)</f>
        <v/>
      </c>
      <c r="E3555" s="66" t="str">
        <f>IF(Fifteenth!E58="", "",Fifteenth!E58)</f>
        <v/>
      </c>
      <c r="F3555" s="66" t="str">
        <f>IF(Fifteenth!F58="", "",Fifteenth!F58)</f>
        <v/>
      </c>
      <c r="G3555" s="66" t="str">
        <f>IF(Fifteenth!G58="", "",Fifteenth!G58)</f>
        <v/>
      </c>
      <c r="H3555" s="66" t="str">
        <f>IF(Fifteenth!H58="", "",Fifteenth!H58)</f>
        <v/>
      </c>
      <c r="I3555" s="66" t="str">
        <f>IF(Fifteenth!I58="", "",Fifteenth!I58)</f>
        <v/>
      </c>
      <c r="J3555" s="66" t="str">
        <f>IF(Fifteenth!J58="", "",Fifteenth!J58)</f>
        <v/>
      </c>
      <c r="K3555" s="86" t="str">
        <f>IF(Fifteenth!K58="", "",Fifteenth!K58)</f>
        <v/>
      </c>
      <c r="M3555" s="67" t="str">
        <f t="shared" si="167"/>
        <v/>
      </c>
      <c r="N3555" s="76" t="str">
        <f t="shared" si="168"/>
        <v/>
      </c>
      <c r="O3555" s="33">
        <f t="shared" si="166"/>
        <v>0</v>
      </c>
    </row>
    <row r="3556" spans="1:15" x14ac:dyDescent="0.25">
      <c r="A3556" s="64" t="s">
        <v>186</v>
      </c>
      <c r="B3556" s="79" t="str">
        <f>IF(Fifteenth!B59="", "",Fifteenth!B59)</f>
        <v/>
      </c>
      <c r="C3556" s="66" t="str">
        <f>IF(Fifteenth!C59="", "",Fifteenth!C59)</f>
        <v/>
      </c>
      <c r="D3556" s="66" t="str">
        <f>IF(Fifteenth!D59="", "",Fifteenth!D59)</f>
        <v/>
      </c>
      <c r="E3556" s="66" t="str">
        <f>IF(Fifteenth!E59="", "",Fifteenth!E59)</f>
        <v/>
      </c>
      <c r="F3556" s="66" t="str">
        <f>IF(Fifteenth!F59="", "",Fifteenth!F59)</f>
        <v/>
      </c>
      <c r="G3556" s="66" t="str">
        <f>IF(Fifteenth!G59="", "",Fifteenth!G59)</f>
        <v/>
      </c>
      <c r="H3556" s="66" t="str">
        <f>IF(Fifteenth!H59="", "",Fifteenth!H59)</f>
        <v/>
      </c>
      <c r="I3556" s="66" t="str">
        <f>IF(Fifteenth!I59="", "",Fifteenth!I59)</f>
        <v/>
      </c>
      <c r="J3556" s="66" t="str">
        <f>IF(Fifteenth!J59="", "",Fifteenth!J59)</f>
        <v/>
      </c>
      <c r="K3556" s="86" t="str">
        <f>IF(Fifteenth!K59="", "",Fifteenth!K59)</f>
        <v/>
      </c>
      <c r="M3556" s="67" t="str">
        <f t="shared" si="167"/>
        <v/>
      </c>
      <c r="N3556" s="76" t="str">
        <f t="shared" si="168"/>
        <v/>
      </c>
      <c r="O3556" s="33">
        <f t="shared" si="166"/>
        <v>0</v>
      </c>
    </row>
    <row r="3557" spans="1:15" x14ac:dyDescent="0.25">
      <c r="A3557" s="64" t="s">
        <v>186</v>
      </c>
      <c r="B3557" s="79" t="str">
        <f>IF(Fifteenth!B60="", "",Fifteenth!B60)</f>
        <v/>
      </c>
      <c r="C3557" s="66" t="str">
        <f>IF(Fifteenth!C60="", "",Fifteenth!C60)</f>
        <v/>
      </c>
      <c r="D3557" s="66" t="str">
        <f>IF(Fifteenth!D60="", "",Fifteenth!D60)</f>
        <v/>
      </c>
      <c r="E3557" s="66" t="str">
        <f>IF(Fifteenth!E60="", "",Fifteenth!E60)</f>
        <v/>
      </c>
      <c r="F3557" s="66" t="str">
        <f>IF(Fifteenth!F60="", "",Fifteenth!F60)</f>
        <v/>
      </c>
      <c r="G3557" s="66" t="str">
        <f>IF(Fifteenth!G60="", "",Fifteenth!G60)</f>
        <v/>
      </c>
      <c r="H3557" s="66" t="str">
        <f>IF(Fifteenth!H60="", "",Fifteenth!H60)</f>
        <v/>
      </c>
      <c r="I3557" s="66" t="str">
        <f>IF(Fifteenth!I60="", "",Fifteenth!I60)</f>
        <v/>
      </c>
      <c r="J3557" s="66" t="str">
        <f>IF(Fifteenth!J60="", "",Fifteenth!J60)</f>
        <v/>
      </c>
      <c r="K3557" s="86" t="str">
        <f>IF(Fifteenth!K60="", "",Fifteenth!K60)</f>
        <v/>
      </c>
      <c r="M3557" s="67" t="str">
        <f t="shared" si="167"/>
        <v/>
      </c>
      <c r="N3557" s="76" t="str">
        <f t="shared" si="168"/>
        <v/>
      </c>
      <c r="O3557" s="33">
        <f t="shared" si="166"/>
        <v>0</v>
      </c>
    </row>
    <row r="3558" spans="1:15" x14ac:dyDescent="0.25">
      <c r="A3558" s="64" t="s">
        <v>186</v>
      </c>
      <c r="B3558" s="79" t="str">
        <f>IF(Fifteenth!B61="", "",Fifteenth!B61)</f>
        <v/>
      </c>
      <c r="C3558" s="66" t="str">
        <f>IF(Fifteenth!C61="", "",Fifteenth!C61)</f>
        <v/>
      </c>
      <c r="D3558" s="66" t="str">
        <f>IF(Fifteenth!D61="", "",Fifteenth!D61)</f>
        <v/>
      </c>
      <c r="E3558" s="66" t="str">
        <f>IF(Fifteenth!E61="", "",Fifteenth!E61)</f>
        <v/>
      </c>
      <c r="F3558" s="66" t="str">
        <f>IF(Fifteenth!F61="", "",Fifteenth!F61)</f>
        <v/>
      </c>
      <c r="G3558" s="66" t="str">
        <f>IF(Fifteenth!G61="", "",Fifteenth!G61)</f>
        <v/>
      </c>
      <c r="H3558" s="66" t="str">
        <f>IF(Fifteenth!H61="", "",Fifteenth!H61)</f>
        <v/>
      </c>
      <c r="I3558" s="66" t="str">
        <f>IF(Fifteenth!I61="", "",Fifteenth!I61)</f>
        <v/>
      </c>
      <c r="J3558" s="66" t="str">
        <f>IF(Fifteenth!J61="", "",Fifteenth!J61)</f>
        <v/>
      </c>
      <c r="K3558" s="86" t="str">
        <f>IF(Fifteenth!K61="", "",Fifteenth!K61)</f>
        <v/>
      </c>
      <c r="M3558" s="67" t="str">
        <f t="shared" si="167"/>
        <v/>
      </c>
      <c r="N3558" s="76" t="str">
        <f t="shared" si="168"/>
        <v/>
      </c>
      <c r="O3558" s="33">
        <f t="shared" si="166"/>
        <v>0</v>
      </c>
    </row>
    <row r="3559" spans="1:15" x14ac:dyDescent="0.25">
      <c r="A3559" s="64" t="s">
        <v>186</v>
      </c>
      <c r="B3559" s="79" t="str">
        <f>IF(Fifteenth!B62="", "",Fifteenth!B62)</f>
        <v/>
      </c>
      <c r="C3559" s="66" t="str">
        <f>IF(Fifteenth!C62="", "",Fifteenth!C62)</f>
        <v/>
      </c>
      <c r="D3559" s="66" t="str">
        <f>IF(Fifteenth!D62="", "",Fifteenth!D62)</f>
        <v/>
      </c>
      <c r="E3559" s="66" t="str">
        <f>IF(Fifteenth!E62="", "",Fifteenth!E62)</f>
        <v/>
      </c>
      <c r="F3559" s="66" t="str">
        <f>IF(Fifteenth!F62="", "",Fifteenth!F62)</f>
        <v/>
      </c>
      <c r="G3559" s="66" t="str">
        <f>IF(Fifteenth!G62="", "",Fifteenth!G62)</f>
        <v/>
      </c>
      <c r="H3559" s="66" t="str">
        <f>IF(Fifteenth!H62="", "",Fifteenth!H62)</f>
        <v/>
      </c>
      <c r="I3559" s="66" t="str">
        <f>IF(Fifteenth!I62="", "",Fifteenth!I62)</f>
        <v/>
      </c>
      <c r="J3559" s="66" t="str">
        <f>IF(Fifteenth!J62="", "",Fifteenth!J62)</f>
        <v/>
      </c>
      <c r="K3559" s="86" t="str">
        <f>IF(Fifteenth!K62="", "",Fifteenth!K62)</f>
        <v/>
      </c>
      <c r="M3559" s="67" t="str">
        <f t="shared" si="167"/>
        <v/>
      </c>
      <c r="N3559" s="76" t="str">
        <f t="shared" si="168"/>
        <v/>
      </c>
      <c r="O3559" s="33">
        <f t="shared" si="166"/>
        <v>0</v>
      </c>
    </row>
    <row r="3560" spans="1:15" x14ac:dyDescent="0.25">
      <c r="A3560" s="64" t="s">
        <v>186</v>
      </c>
      <c r="B3560" s="79" t="str">
        <f>IF(Fifteenth!B63="", "",Fifteenth!B63)</f>
        <v/>
      </c>
      <c r="C3560" s="66" t="str">
        <f>IF(Fifteenth!C63="", "",Fifteenth!C63)</f>
        <v/>
      </c>
      <c r="D3560" s="66" t="str">
        <f>IF(Fifteenth!D63="", "",Fifteenth!D63)</f>
        <v/>
      </c>
      <c r="E3560" s="66" t="str">
        <f>IF(Fifteenth!E63="", "",Fifteenth!E63)</f>
        <v/>
      </c>
      <c r="F3560" s="66" t="str">
        <f>IF(Fifteenth!F63="", "",Fifteenth!F63)</f>
        <v/>
      </c>
      <c r="G3560" s="66" t="str">
        <f>IF(Fifteenth!G63="", "",Fifteenth!G63)</f>
        <v/>
      </c>
      <c r="H3560" s="66" t="str">
        <f>IF(Fifteenth!H63="", "",Fifteenth!H63)</f>
        <v/>
      </c>
      <c r="I3560" s="66" t="str">
        <f>IF(Fifteenth!I63="", "",Fifteenth!I63)</f>
        <v/>
      </c>
      <c r="J3560" s="66" t="str">
        <f>IF(Fifteenth!J63="", "",Fifteenth!J63)</f>
        <v/>
      </c>
      <c r="K3560" s="86" t="str">
        <f>IF(Fifteenth!K63="", "",Fifteenth!K63)</f>
        <v/>
      </c>
      <c r="M3560" s="67" t="str">
        <f t="shared" si="167"/>
        <v/>
      </c>
      <c r="N3560" s="76" t="str">
        <f t="shared" si="168"/>
        <v/>
      </c>
      <c r="O3560" s="33">
        <f t="shared" si="166"/>
        <v>0</v>
      </c>
    </row>
    <row r="3561" spans="1:15" x14ac:dyDescent="0.25">
      <c r="A3561" s="64" t="s">
        <v>186</v>
      </c>
      <c r="B3561" s="79" t="str">
        <f>IF(Fifteenth!B64="", "",Fifteenth!B64)</f>
        <v/>
      </c>
      <c r="C3561" s="66" t="str">
        <f>IF(Fifteenth!C64="", "",Fifteenth!C64)</f>
        <v/>
      </c>
      <c r="D3561" s="66" t="str">
        <f>IF(Fifteenth!D64="", "",Fifteenth!D64)</f>
        <v/>
      </c>
      <c r="E3561" s="66" t="str">
        <f>IF(Fifteenth!E64="", "",Fifteenth!E64)</f>
        <v/>
      </c>
      <c r="F3561" s="66" t="str">
        <f>IF(Fifteenth!F64="", "",Fifteenth!F64)</f>
        <v/>
      </c>
      <c r="G3561" s="66" t="str">
        <f>IF(Fifteenth!G64="", "",Fifteenth!G64)</f>
        <v/>
      </c>
      <c r="H3561" s="66" t="str">
        <f>IF(Fifteenth!H64="", "",Fifteenth!H64)</f>
        <v/>
      </c>
      <c r="I3561" s="66" t="str">
        <f>IF(Fifteenth!I64="", "",Fifteenth!I64)</f>
        <v/>
      </c>
      <c r="J3561" s="66" t="str">
        <f>IF(Fifteenth!J64="", "",Fifteenth!J64)</f>
        <v/>
      </c>
      <c r="K3561" s="86" t="str">
        <f>IF(Fifteenth!K64="", "",Fifteenth!K64)</f>
        <v/>
      </c>
      <c r="M3561" s="67" t="str">
        <f t="shared" si="167"/>
        <v/>
      </c>
      <c r="N3561" s="76" t="str">
        <f t="shared" si="168"/>
        <v/>
      </c>
      <c r="O3561" s="33">
        <f t="shared" si="166"/>
        <v>0</v>
      </c>
    </row>
    <row r="3562" spans="1:15" x14ac:dyDescent="0.25">
      <c r="A3562" s="64" t="s">
        <v>186</v>
      </c>
      <c r="B3562" s="79" t="str">
        <f>IF(Fifteenth!B65="", "",Fifteenth!B65)</f>
        <v/>
      </c>
      <c r="C3562" s="66" t="str">
        <f>IF(Fifteenth!C65="", "",Fifteenth!C65)</f>
        <v/>
      </c>
      <c r="D3562" s="66" t="str">
        <f>IF(Fifteenth!D65="", "",Fifteenth!D65)</f>
        <v/>
      </c>
      <c r="E3562" s="66" t="str">
        <f>IF(Fifteenth!E65="", "",Fifteenth!E65)</f>
        <v/>
      </c>
      <c r="F3562" s="66" t="str">
        <f>IF(Fifteenth!F65="", "",Fifteenth!F65)</f>
        <v/>
      </c>
      <c r="G3562" s="66" t="str">
        <f>IF(Fifteenth!G65="", "",Fifteenth!G65)</f>
        <v/>
      </c>
      <c r="H3562" s="66" t="str">
        <f>IF(Fifteenth!H65="", "",Fifteenth!H65)</f>
        <v/>
      </c>
      <c r="I3562" s="66" t="str">
        <f>IF(Fifteenth!I65="", "",Fifteenth!I65)</f>
        <v/>
      </c>
      <c r="J3562" s="66" t="str">
        <f>IF(Fifteenth!J65="", "",Fifteenth!J65)</f>
        <v/>
      </c>
      <c r="K3562" s="86" t="str">
        <f>IF(Fifteenth!K65="", "",Fifteenth!K65)</f>
        <v/>
      </c>
      <c r="M3562" s="67" t="str">
        <f t="shared" si="167"/>
        <v/>
      </c>
      <c r="N3562" s="76" t="str">
        <f t="shared" si="168"/>
        <v/>
      </c>
      <c r="O3562" s="33">
        <f t="shared" si="166"/>
        <v>0</v>
      </c>
    </row>
    <row r="3563" spans="1:15" x14ac:dyDescent="0.25">
      <c r="A3563" s="64" t="s">
        <v>186</v>
      </c>
      <c r="B3563" s="79" t="str">
        <f>IF(Fifteenth!B66="", "",Fifteenth!B66)</f>
        <v/>
      </c>
      <c r="C3563" s="66" t="str">
        <f>IF(Fifteenth!C66="", "",Fifteenth!C66)</f>
        <v/>
      </c>
      <c r="D3563" s="66" t="str">
        <f>IF(Fifteenth!D66="", "",Fifteenth!D66)</f>
        <v/>
      </c>
      <c r="E3563" s="66" t="str">
        <f>IF(Fifteenth!E66="", "",Fifteenth!E66)</f>
        <v/>
      </c>
      <c r="F3563" s="66" t="str">
        <f>IF(Fifteenth!F66="", "",Fifteenth!F66)</f>
        <v/>
      </c>
      <c r="G3563" s="66" t="str">
        <f>IF(Fifteenth!G66="", "",Fifteenth!G66)</f>
        <v/>
      </c>
      <c r="H3563" s="66" t="str">
        <f>IF(Fifteenth!H66="", "",Fifteenth!H66)</f>
        <v/>
      </c>
      <c r="I3563" s="66" t="str">
        <f>IF(Fifteenth!I66="", "",Fifteenth!I66)</f>
        <v/>
      </c>
      <c r="J3563" s="66" t="str">
        <f>IF(Fifteenth!J66="", "",Fifteenth!J66)</f>
        <v/>
      </c>
      <c r="K3563" s="86" t="str">
        <f>IF(Fifteenth!K66="", "",Fifteenth!K66)</f>
        <v/>
      </c>
      <c r="M3563" s="67" t="str">
        <f t="shared" si="167"/>
        <v/>
      </c>
      <c r="N3563" s="76" t="str">
        <f t="shared" si="168"/>
        <v/>
      </c>
      <c r="O3563" s="33">
        <f t="shared" si="166"/>
        <v>0</v>
      </c>
    </row>
    <row r="3564" spans="1:15" x14ac:dyDescent="0.25">
      <c r="A3564" s="64" t="s">
        <v>186</v>
      </c>
      <c r="B3564" s="79" t="str">
        <f>IF(Fifteenth!B67="", "",Fifteenth!B67)</f>
        <v/>
      </c>
      <c r="C3564" s="66" t="str">
        <f>IF(Fifteenth!C67="", "",Fifteenth!C67)</f>
        <v/>
      </c>
      <c r="D3564" s="66" t="str">
        <f>IF(Fifteenth!D67="", "",Fifteenth!D67)</f>
        <v/>
      </c>
      <c r="E3564" s="66" t="str">
        <f>IF(Fifteenth!E67="", "",Fifteenth!E67)</f>
        <v/>
      </c>
      <c r="F3564" s="66" t="str">
        <f>IF(Fifteenth!F67="", "",Fifteenth!F67)</f>
        <v/>
      </c>
      <c r="G3564" s="66" t="str">
        <f>IF(Fifteenth!G67="", "",Fifteenth!G67)</f>
        <v/>
      </c>
      <c r="H3564" s="66" t="str">
        <f>IF(Fifteenth!H67="", "",Fifteenth!H67)</f>
        <v/>
      </c>
      <c r="I3564" s="66" t="str">
        <f>IF(Fifteenth!I67="", "",Fifteenth!I67)</f>
        <v/>
      </c>
      <c r="J3564" s="66" t="str">
        <f>IF(Fifteenth!J67="", "",Fifteenth!J67)</f>
        <v/>
      </c>
      <c r="K3564" s="86" t="str">
        <f>IF(Fifteenth!K67="", "",Fifteenth!K67)</f>
        <v/>
      </c>
      <c r="M3564" s="67" t="str">
        <f t="shared" si="167"/>
        <v/>
      </c>
      <c r="N3564" s="76" t="str">
        <f t="shared" si="168"/>
        <v/>
      </c>
      <c r="O3564" s="33">
        <f t="shared" si="166"/>
        <v>0</v>
      </c>
    </row>
    <row r="3565" spans="1:15" x14ac:dyDescent="0.25">
      <c r="A3565" s="64" t="s">
        <v>186</v>
      </c>
      <c r="B3565" s="79" t="str">
        <f>IF(Fifteenth!B68="", "",Fifteenth!B68)</f>
        <v/>
      </c>
      <c r="C3565" s="66" t="str">
        <f>IF(Fifteenth!C68="", "",Fifteenth!C68)</f>
        <v/>
      </c>
      <c r="D3565" s="66" t="str">
        <f>IF(Fifteenth!D68="", "",Fifteenth!D68)</f>
        <v/>
      </c>
      <c r="E3565" s="66" t="str">
        <f>IF(Fifteenth!E68="", "",Fifteenth!E68)</f>
        <v/>
      </c>
      <c r="F3565" s="66" t="str">
        <f>IF(Fifteenth!F68="", "",Fifteenth!F68)</f>
        <v/>
      </c>
      <c r="G3565" s="66" t="str">
        <f>IF(Fifteenth!G68="", "",Fifteenth!G68)</f>
        <v/>
      </c>
      <c r="H3565" s="66" t="str">
        <f>IF(Fifteenth!H68="", "",Fifteenth!H68)</f>
        <v/>
      </c>
      <c r="I3565" s="66" t="str">
        <f>IF(Fifteenth!I68="", "",Fifteenth!I68)</f>
        <v/>
      </c>
      <c r="J3565" s="66" t="str">
        <f>IF(Fifteenth!J68="", "",Fifteenth!J68)</f>
        <v/>
      </c>
      <c r="K3565" s="86" t="str">
        <f>IF(Fifteenth!K68="", "",Fifteenth!K68)</f>
        <v/>
      </c>
      <c r="M3565" s="67" t="str">
        <f t="shared" si="167"/>
        <v/>
      </c>
      <c r="N3565" s="76" t="str">
        <f t="shared" si="168"/>
        <v/>
      </c>
      <c r="O3565" s="33">
        <f t="shared" si="166"/>
        <v>0</v>
      </c>
    </row>
    <row r="3566" spans="1:15" x14ac:dyDescent="0.25">
      <c r="A3566" s="64" t="s">
        <v>186</v>
      </c>
      <c r="B3566" s="79" t="str">
        <f>IF(Fifteenth!B69="", "",Fifteenth!B69)</f>
        <v/>
      </c>
      <c r="C3566" s="66" t="str">
        <f>IF(Fifteenth!C69="", "",Fifteenth!C69)</f>
        <v/>
      </c>
      <c r="D3566" s="66" t="str">
        <f>IF(Fifteenth!D69="", "",Fifteenth!D69)</f>
        <v/>
      </c>
      <c r="E3566" s="66" t="str">
        <f>IF(Fifteenth!E69="", "",Fifteenth!E69)</f>
        <v/>
      </c>
      <c r="F3566" s="66" t="str">
        <f>IF(Fifteenth!F69="", "",Fifteenth!F69)</f>
        <v/>
      </c>
      <c r="G3566" s="66" t="str">
        <f>IF(Fifteenth!G69="", "",Fifteenth!G69)</f>
        <v/>
      </c>
      <c r="H3566" s="66" t="str">
        <f>IF(Fifteenth!H69="", "",Fifteenth!H69)</f>
        <v/>
      </c>
      <c r="I3566" s="66" t="str">
        <f>IF(Fifteenth!I69="", "",Fifteenth!I69)</f>
        <v/>
      </c>
      <c r="J3566" s="66" t="str">
        <f>IF(Fifteenth!J69="", "",Fifteenth!J69)</f>
        <v/>
      </c>
      <c r="K3566" s="86" t="str">
        <f>IF(Fifteenth!K69="", "",Fifteenth!K69)</f>
        <v/>
      </c>
      <c r="M3566" s="67" t="str">
        <f t="shared" si="167"/>
        <v/>
      </c>
      <c r="N3566" s="76" t="str">
        <f t="shared" si="168"/>
        <v/>
      </c>
      <c r="O3566" s="33">
        <f t="shared" si="166"/>
        <v>0</v>
      </c>
    </row>
    <row r="3567" spans="1:15" x14ac:dyDescent="0.25">
      <c r="A3567" s="64" t="s">
        <v>186</v>
      </c>
      <c r="B3567" s="79" t="str">
        <f>IF(Fifteenth!B70="", "",Fifteenth!B70)</f>
        <v/>
      </c>
      <c r="C3567" s="66" t="str">
        <f>IF(Fifteenth!C70="", "",Fifteenth!C70)</f>
        <v/>
      </c>
      <c r="D3567" s="66" t="str">
        <f>IF(Fifteenth!D70="", "",Fifteenth!D70)</f>
        <v/>
      </c>
      <c r="E3567" s="66" t="str">
        <f>IF(Fifteenth!E70="", "",Fifteenth!E70)</f>
        <v/>
      </c>
      <c r="F3567" s="66" t="str">
        <f>IF(Fifteenth!F70="", "",Fifteenth!F70)</f>
        <v/>
      </c>
      <c r="G3567" s="66" t="str">
        <f>IF(Fifteenth!G70="", "",Fifteenth!G70)</f>
        <v/>
      </c>
      <c r="H3567" s="66" t="str">
        <f>IF(Fifteenth!H70="", "",Fifteenth!H70)</f>
        <v/>
      </c>
      <c r="I3567" s="66" t="str">
        <f>IF(Fifteenth!I70="", "",Fifteenth!I70)</f>
        <v/>
      </c>
      <c r="J3567" s="66" t="str">
        <f>IF(Fifteenth!J70="", "",Fifteenth!J70)</f>
        <v/>
      </c>
      <c r="K3567" s="86" t="str">
        <f>IF(Fifteenth!K70="", "",Fifteenth!K70)</f>
        <v/>
      </c>
      <c r="M3567" s="67" t="str">
        <f t="shared" si="167"/>
        <v/>
      </c>
      <c r="N3567" s="76" t="str">
        <f t="shared" si="168"/>
        <v/>
      </c>
      <c r="O3567" s="33">
        <f t="shared" si="166"/>
        <v>0</v>
      </c>
    </row>
    <row r="3568" spans="1:15" x14ac:dyDescent="0.25">
      <c r="A3568" s="64" t="s">
        <v>186</v>
      </c>
      <c r="B3568" s="79" t="str">
        <f>IF(Fifteenth!B71="", "",Fifteenth!B71)</f>
        <v/>
      </c>
      <c r="C3568" s="66" t="str">
        <f>IF(Fifteenth!C71="", "",Fifteenth!C71)</f>
        <v/>
      </c>
      <c r="D3568" s="66" t="str">
        <f>IF(Fifteenth!D71="", "",Fifteenth!D71)</f>
        <v/>
      </c>
      <c r="E3568" s="66" t="str">
        <f>IF(Fifteenth!E71="", "",Fifteenth!E71)</f>
        <v/>
      </c>
      <c r="F3568" s="66" t="str">
        <f>IF(Fifteenth!F71="", "",Fifteenth!F71)</f>
        <v/>
      </c>
      <c r="G3568" s="66" t="str">
        <f>IF(Fifteenth!G71="", "",Fifteenth!G71)</f>
        <v/>
      </c>
      <c r="H3568" s="66" t="str">
        <f>IF(Fifteenth!H71="", "",Fifteenth!H71)</f>
        <v/>
      </c>
      <c r="I3568" s="66" t="str">
        <f>IF(Fifteenth!I71="", "",Fifteenth!I71)</f>
        <v/>
      </c>
      <c r="J3568" s="66" t="str">
        <f>IF(Fifteenth!J71="", "",Fifteenth!J71)</f>
        <v/>
      </c>
      <c r="K3568" s="86" t="str">
        <f>IF(Fifteenth!K71="", "",Fifteenth!K71)</f>
        <v/>
      </c>
      <c r="M3568" s="67" t="str">
        <f t="shared" si="167"/>
        <v/>
      </c>
      <c r="N3568" s="76" t="str">
        <f t="shared" si="168"/>
        <v/>
      </c>
      <c r="O3568" s="33">
        <f t="shared" si="166"/>
        <v>0</v>
      </c>
    </row>
    <row r="3569" spans="1:15" x14ac:dyDescent="0.25">
      <c r="A3569" s="64" t="s">
        <v>186</v>
      </c>
      <c r="B3569" s="79" t="str">
        <f>IF(Fifteenth!B72="", "",Fifteenth!B72)</f>
        <v/>
      </c>
      <c r="C3569" s="66" t="str">
        <f>IF(Fifteenth!C72="", "",Fifteenth!C72)</f>
        <v/>
      </c>
      <c r="D3569" s="66" t="str">
        <f>IF(Fifteenth!D72="", "",Fifteenth!D72)</f>
        <v/>
      </c>
      <c r="E3569" s="66" t="str">
        <f>IF(Fifteenth!E72="", "",Fifteenth!E72)</f>
        <v/>
      </c>
      <c r="F3569" s="66" t="str">
        <f>IF(Fifteenth!F72="", "",Fifteenth!F72)</f>
        <v/>
      </c>
      <c r="G3569" s="66" t="str">
        <f>IF(Fifteenth!G72="", "",Fifteenth!G72)</f>
        <v/>
      </c>
      <c r="H3569" s="66" t="str">
        <f>IF(Fifteenth!H72="", "",Fifteenth!H72)</f>
        <v/>
      </c>
      <c r="I3569" s="66" t="str">
        <f>IF(Fifteenth!I72="", "",Fifteenth!I72)</f>
        <v/>
      </c>
      <c r="J3569" s="66" t="str">
        <f>IF(Fifteenth!J72="", "",Fifteenth!J72)</f>
        <v/>
      </c>
      <c r="K3569" s="86" t="str">
        <f>IF(Fifteenth!K72="", "",Fifteenth!K72)</f>
        <v/>
      </c>
      <c r="M3569" s="67" t="str">
        <f t="shared" si="167"/>
        <v/>
      </c>
      <c r="N3569" s="76" t="str">
        <f t="shared" si="168"/>
        <v/>
      </c>
      <c r="O3569" s="33">
        <f t="shared" si="166"/>
        <v>0</v>
      </c>
    </row>
    <row r="3570" spans="1:15" x14ac:dyDescent="0.25">
      <c r="A3570" s="64" t="s">
        <v>186</v>
      </c>
      <c r="B3570" s="79" t="str">
        <f>IF(Fifteenth!B73="", "",Fifteenth!B73)</f>
        <v/>
      </c>
      <c r="C3570" s="66" t="str">
        <f>IF(Fifteenth!C73="", "",Fifteenth!C73)</f>
        <v/>
      </c>
      <c r="D3570" s="66" t="str">
        <f>IF(Fifteenth!D73="", "",Fifteenth!D73)</f>
        <v/>
      </c>
      <c r="E3570" s="66" t="str">
        <f>IF(Fifteenth!E73="", "",Fifteenth!E73)</f>
        <v/>
      </c>
      <c r="F3570" s="66" t="str">
        <f>IF(Fifteenth!F73="", "",Fifteenth!F73)</f>
        <v/>
      </c>
      <c r="G3570" s="66" t="str">
        <f>IF(Fifteenth!G73="", "",Fifteenth!G73)</f>
        <v/>
      </c>
      <c r="H3570" s="66" t="str">
        <f>IF(Fifteenth!H73="", "",Fifteenth!H73)</f>
        <v/>
      </c>
      <c r="I3570" s="66" t="str">
        <f>IF(Fifteenth!I73="", "",Fifteenth!I73)</f>
        <v/>
      </c>
      <c r="J3570" s="66" t="str">
        <f>IF(Fifteenth!J73="", "",Fifteenth!J73)</f>
        <v/>
      </c>
      <c r="K3570" s="86" t="str">
        <f>IF(Fifteenth!K73="", "",Fifteenth!K73)</f>
        <v/>
      </c>
      <c r="M3570" s="67" t="str">
        <f t="shared" si="167"/>
        <v/>
      </c>
      <c r="N3570" s="76" t="str">
        <f t="shared" si="168"/>
        <v/>
      </c>
      <c r="O3570" s="33">
        <f t="shared" si="166"/>
        <v>0</v>
      </c>
    </row>
    <row r="3571" spans="1:15" x14ac:dyDescent="0.25">
      <c r="A3571" s="64" t="s">
        <v>186</v>
      </c>
      <c r="B3571" s="79" t="str">
        <f>IF(Fifteenth!B74="", "",Fifteenth!B74)</f>
        <v/>
      </c>
      <c r="C3571" s="66" t="str">
        <f>IF(Fifteenth!C74="", "",Fifteenth!C74)</f>
        <v/>
      </c>
      <c r="D3571" s="66" t="str">
        <f>IF(Fifteenth!D74="", "",Fifteenth!D74)</f>
        <v/>
      </c>
      <c r="E3571" s="66" t="str">
        <f>IF(Fifteenth!E74="", "",Fifteenth!E74)</f>
        <v/>
      </c>
      <c r="F3571" s="66" t="str">
        <f>IF(Fifteenth!F74="", "",Fifteenth!F74)</f>
        <v/>
      </c>
      <c r="G3571" s="66" t="str">
        <f>IF(Fifteenth!G74="", "",Fifteenth!G74)</f>
        <v/>
      </c>
      <c r="H3571" s="66" t="str">
        <f>IF(Fifteenth!H74="", "",Fifteenth!H74)</f>
        <v/>
      </c>
      <c r="I3571" s="66" t="str">
        <f>IF(Fifteenth!I74="", "",Fifteenth!I74)</f>
        <v/>
      </c>
      <c r="J3571" s="66" t="str">
        <f>IF(Fifteenth!J74="", "",Fifteenth!J74)</f>
        <v/>
      </c>
      <c r="K3571" s="86" t="str">
        <f>IF(Fifteenth!K74="", "",Fifteenth!K74)</f>
        <v/>
      </c>
      <c r="M3571" s="67" t="str">
        <f t="shared" si="167"/>
        <v/>
      </c>
      <c r="N3571" s="76" t="str">
        <f t="shared" si="168"/>
        <v/>
      </c>
      <c r="O3571" s="33">
        <f t="shared" si="166"/>
        <v>0</v>
      </c>
    </row>
    <row r="3572" spans="1:15" x14ac:dyDescent="0.25">
      <c r="A3572" s="64" t="s">
        <v>186</v>
      </c>
      <c r="B3572" s="79" t="str">
        <f>IF(Fifteenth!B75="", "",Fifteenth!B75)</f>
        <v/>
      </c>
      <c r="C3572" s="66" t="str">
        <f>IF(Fifteenth!C75="", "",Fifteenth!C75)</f>
        <v/>
      </c>
      <c r="D3572" s="66" t="str">
        <f>IF(Fifteenth!D75="", "",Fifteenth!D75)</f>
        <v/>
      </c>
      <c r="E3572" s="66" t="str">
        <f>IF(Fifteenth!E75="", "",Fifteenth!E75)</f>
        <v/>
      </c>
      <c r="F3572" s="66" t="str">
        <f>IF(Fifteenth!F75="", "",Fifteenth!F75)</f>
        <v/>
      </c>
      <c r="G3572" s="66" t="str">
        <f>IF(Fifteenth!G75="", "",Fifteenth!G75)</f>
        <v/>
      </c>
      <c r="H3572" s="66" t="str">
        <f>IF(Fifteenth!H75="", "",Fifteenth!H75)</f>
        <v/>
      </c>
      <c r="I3572" s="66" t="str">
        <f>IF(Fifteenth!I75="", "",Fifteenth!I75)</f>
        <v/>
      </c>
      <c r="J3572" s="66" t="str">
        <f>IF(Fifteenth!J75="", "",Fifteenth!J75)</f>
        <v/>
      </c>
      <c r="K3572" s="86" t="str">
        <f>IF(Fifteenth!K75="", "",Fifteenth!K75)</f>
        <v/>
      </c>
      <c r="M3572" s="67" t="str">
        <f t="shared" si="167"/>
        <v/>
      </c>
      <c r="N3572" s="76" t="str">
        <f t="shared" si="168"/>
        <v/>
      </c>
      <c r="O3572" s="33">
        <f t="shared" si="166"/>
        <v>0</v>
      </c>
    </row>
    <row r="3573" spans="1:15" x14ac:dyDescent="0.25">
      <c r="A3573" s="64" t="s">
        <v>186</v>
      </c>
      <c r="B3573" s="79" t="str">
        <f>IF(Fifteenth!B76="", "",Fifteenth!B76)</f>
        <v/>
      </c>
      <c r="C3573" s="66" t="str">
        <f>IF(Fifteenth!C76="", "",Fifteenth!C76)</f>
        <v/>
      </c>
      <c r="D3573" s="66" t="str">
        <f>IF(Fifteenth!D76="", "",Fifteenth!D76)</f>
        <v/>
      </c>
      <c r="E3573" s="66" t="str">
        <f>IF(Fifteenth!E76="", "",Fifteenth!E76)</f>
        <v/>
      </c>
      <c r="F3573" s="66" t="str">
        <f>IF(Fifteenth!F76="", "",Fifteenth!F76)</f>
        <v/>
      </c>
      <c r="G3573" s="66" t="str">
        <f>IF(Fifteenth!G76="", "",Fifteenth!G76)</f>
        <v/>
      </c>
      <c r="H3573" s="66" t="str">
        <f>IF(Fifteenth!H76="", "",Fifteenth!H76)</f>
        <v/>
      </c>
      <c r="I3573" s="66" t="str">
        <f>IF(Fifteenth!I76="", "",Fifteenth!I76)</f>
        <v/>
      </c>
      <c r="J3573" s="66" t="str">
        <f>IF(Fifteenth!J76="", "",Fifteenth!J76)</f>
        <v/>
      </c>
      <c r="K3573" s="86" t="str">
        <f>IF(Fifteenth!K76="", "",Fifteenth!K76)</f>
        <v/>
      </c>
      <c r="M3573" s="67" t="str">
        <f t="shared" si="167"/>
        <v/>
      </c>
      <c r="N3573" s="76" t="str">
        <f t="shared" si="168"/>
        <v/>
      </c>
      <c r="O3573" s="33">
        <f t="shared" si="166"/>
        <v>0</v>
      </c>
    </row>
    <row r="3574" spans="1:15" x14ac:dyDescent="0.25">
      <c r="A3574" s="64" t="s">
        <v>186</v>
      </c>
      <c r="B3574" s="79" t="str">
        <f>IF(Fifteenth!B77="", "",Fifteenth!B77)</f>
        <v/>
      </c>
      <c r="C3574" s="66" t="str">
        <f>IF(Fifteenth!C77="", "",Fifteenth!C77)</f>
        <v/>
      </c>
      <c r="D3574" s="66" t="str">
        <f>IF(Fifteenth!D77="", "",Fifteenth!D77)</f>
        <v/>
      </c>
      <c r="E3574" s="66" t="str">
        <f>IF(Fifteenth!E77="", "",Fifteenth!E77)</f>
        <v/>
      </c>
      <c r="F3574" s="66" t="str">
        <f>IF(Fifteenth!F77="", "",Fifteenth!F77)</f>
        <v/>
      </c>
      <c r="G3574" s="66" t="str">
        <f>IF(Fifteenth!G77="", "",Fifteenth!G77)</f>
        <v/>
      </c>
      <c r="H3574" s="66" t="str">
        <f>IF(Fifteenth!H77="", "",Fifteenth!H77)</f>
        <v/>
      </c>
      <c r="I3574" s="66" t="str">
        <f>IF(Fifteenth!I77="", "",Fifteenth!I77)</f>
        <v/>
      </c>
      <c r="J3574" s="66" t="str">
        <f>IF(Fifteenth!J77="", "",Fifteenth!J77)</f>
        <v/>
      </c>
      <c r="K3574" s="86" t="str">
        <f>IF(Fifteenth!K77="", "",Fifteenth!K77)</f>
        <v/>
      </c>
      <c r="M3574" s="67" t="str">
        <f t="shared" si="167"/>
        <v/>
      </c>
      <c r="N3574" s="76" t="str">
        <f t="shared" si="168"/>
        <v/>
      </c>
      <c r="O3574" s="33">
        <f t="shared" si="166"/>
        <v>0</v>
      </c>
    </row>
    <row r="3575" spans="1:15" x14ac:dyDescent="0.25">
      <c r="A3575" s="64" t="s">
        <v>186</v>
      </c>
      <c r="B3575" s="79" t="str">
        <f>IF(Fifteenth!B78="", "",Fifteenth!B78)</f>
        <v/>
      </c>
      <c r="C3575" s="66" t="str">
        <f>IF(Fifteenth!C78="", "",Fifteenth!C78)</f>
        <v/>
      </c>
      <c r="D3575" s="66" t="str">
        <f>IF(Fifteenth!D78="", "",Fifteenth!D78)</f>
        <v/>
      </c>
      <c r="E3575" s="66" t="str">
        <f>IF(Fifteenth!E78="", "",Fifteenth!E78)</f>
        <v/>
      </c>
      <c r="F3575" s="66" t="str">
        <f>IF(Fifteenth!F78="", "",Fifteenth!F78)</f>
        <v/>
      </c>
      <c r="G3575" s="66" t="str">
        <f>IF(Fifteenth!G78="", "",Fifteenth!G78)</f>
        <v/>
      </c>
      <c r="H3575" s="66" t="str">
        <f>IF(Fifteenth!H78="", "",Fifteenth!H78)</f>
        <v/>
      </c>
      <c r="I3575" s="66" t="str">
        <f>IF(Fifteenth!I78="", "",Fifteenth!I78)</f>
        <v/>
      </c>
      <c r="J3575" s="66" t="str">
        <f>IF(Fifteenth!J78="", "",Fifteenth!J78)</f>
        <v/>
      </c>
      <c r="K3575" s="86" t="str">
        <f>IF(Fifteenth!K78="", "",Fifteenth!K78)</f>
        <v/>
      </c>
      <c r="M3575" s="67" t="str">
        <f t="shared" si="167"/>
        <v/>
      </c>
      <c r="N3575" s="76" t="str">
        <f t="shared" si="168"/>
        <v/>
      </c>
      <c r="O3575" s="33">
        <f t="shared" si="166"/>
        <v>0</v>
      </c>
    </row>
    <row r="3576" spans="1:15" x14ac:dyDescent="0.25">
      <c r="A3576" s="64" t="s">
        <v>186</v>
      </c>
      <c r="B3576" s="79" t="str">
        <f>IF(Fifteenth!B79="", "",Fifteenth!B79)</f>
        <v/>
      </c>
      <c r="C3576" s="66" t="str">
        <f>IF(Fifteenth!C79="", "",Fifteenth!C79)</f>
        <v/>
      </c>
      <c r="D3576" s="66" t="str">
        <f>IF(Fifteenth!D79="", "",Fifteenth!D79)</f>
        <v/>
      </c>
      <c r="E3576" s="66" t="str">
        <f>IF(Fifteenth!E79="", "",Fifteenth!E79)</f>
        <v/>
      </c>
      <c r="F3576" s="66" t="str">
        <f>IF(Fifteenth!F79="", "",Fifteenth!F79)</f>
        <v/>
      </c>
      <c r="G3576" s="66" t="str">
        <f>IF(Fifteenth!G79="", "",Fifteenth!G79)</f>
        <v/>
      </c>
      <c r="H3576" s="66" t="str">
        <f>IF(Fifteenth!H79="", "",Fifteenth!H79)</f>
        <v/>
      </c>
      <c r="I3576" s="66" t="str">
        <f>IF(Fifteenth!I79="", "",Fifteenth!I79)</f>
        <v/>
      </c>
      <c r="J3576" s="66" t="str">
        <f>IF(Fifteenth!J79="", "",Fifteenth!J79)</f>
        <v/>
      </c>
      <c r="K3576" s="86" t="str">
        <f>IF(Fifteenth!K79="", "",Fifteenth!K79)</f>
        <v/>
      </c>
      <c r="M3576" s="67" t="str">
        <f t="shared" si="167"/>
        <v/>
      </c>
      <c r="N3576" s="76" t="str">
        <f t="shared" si="168"/>
        <v/>
      </c>
      <c r="O3576" s="33">
        <f t="shared" si="166"/>
        <v>0</v>
      </c>
    </row>
    <row r="3577" spans="1:15" x14ac:dyDescent="0.25">
      <c r="A3577" s="64" t="s">
        <v>186</v>
      </c>
      <c r="B3577" s="79" t="str">
        <f>IF(Fifteenth!B80="", "",Fifteenth!B80)</f>
        <v/>
      </c>
      <c r="C3577" s="66" t="str">
        <f>IF(Fifteenth!C80="", "",Fifteenth!C80)</f>
        <v/>
      </c>
      <c r="D3577" s="66" t="str">
        <f>IF(Fifteenth!D80="", "",Fifteenth!D80)</f>
        <v/>
      </c>
      <c r="E3577" s="66" t="str">
        <f>IF(Fifteenth!E80="", "",Fifteenth!E80)</f>
        <v/>
      </c>
      <c r="F3577" s="66" t="str">
        <f>IF(Fifteenth!F80="", "",Fifteenth!F80)</f>
        <v/>
      </c>
      <c r="G3577" s="66" t="str">
        <f>IF(Fifteenth!G80="", "",Fifteenth!G80)</f>
        <v/>
      </c>
      <c r="H3577" s="66" t="str">
        <f>IF(Fifteenth!H80="", "",Fifteenth!H80)</f>
        <v/>
      </c>
      <c r="I3577" s="66" t="str">
        <f>IF(Fifteenth!I80="", "",Fifteenth!I80)</f>
        <v/>
      </c>
      <c r="J3577" s="66" t="str">
        <f>IF(Fifteenth!J80="", "",Fifteenth!J80)</f>
        <v/>
      </c>
      <c r="K3577" s="86" t="str">
        <f>IF(Fifteenth!K80="", "",Fifteenth!K80)</f>
        <v/>
      </c>
      <c r="M3577" s="67" t="str">
        <f t="shared" si="167"/>
        <v/>
      </c>
      <c r="N3577" s="76" t="str">
        <f t="shared" si="168"/>
        <v/>
      </c>
      <c r="O3577" s="33">
        <f t="shared" si="166"/>
        <v>0</v>
      </c>
    </row>
    <row r="3578" spans="1:15" x14ac:dyDescent="0.25">
      <c r="A3578" s="64" t="s">
        <v>186</v>
      </c>
      <c r="B3578" s="79" t="str">
        <f>IF(Fifteenth!B81="", "",Fifteenth!B81)</f>
        <v/>
      </c>
      <c r="C3578" s="66" t="str">
        <f>IF(Fifteenth!C81="", "",Fifteenth!C81)</f>
        <v/>
      </c>
      <c r="D3578" s="66" t="str">
        <f>IF(Fifteenth!D81="", "",Fifteenth!D81)</f>
        <v/>
      </c>
      <c r="E3578" s="66" t="str">
        <f>IF(Fifteenth!E81="", "",Fifteenth!E81)</f>
        <v/>
      </c>
      <c r="F3578" s="66" t="str">
        <f>IF(Fifteenth!F81="", "",Fifteenth!F81)</f>
        <v/>
      </c>
      <c r="G3578" s="66" t="str">
        <f>IF(Fifteenth!G81="", "",Fifteenth!G81)</f>
        <v/>
      </c>
      <c r="H3578" s="66" t="str">
        <f>IF(Fifteenth!H81="", "",Fifteenth!H81)</f>
        <v/>
      </c>
      <c r="I3578" s="66" t="str">
        <f>IF(Fifteenth!I81="", "",Fifteenth!I81)</f>
        <v/>
      </c>
      <c r="J3578" s="66" t="str">
        <f>IF(Fifteenth!J81="", "",Fifteenth!J81)</f>
        <v/>
      </c>
      <c r="K3578" s="86" t="str">
        <f>IF(Fifteenth!K81="", "",Fifteenth!K81)</f>
        <v/>
      </c>
      <c r="M3578" s="67" t="str">
        <f t="shared" si="167"/>
        <v/>
      </c>
      <c r="N3578" s="76" t="str">
        <f t="shared" si="168"/>
        <v/>
      </c>
      <c r="O3578" s="33">
        <f t="shared" si="166"/>
        <v>0</v>
      </c>
    </row>
    <row r="3579" spans="1:15" x14ac:dyDescent="0.25">
      <c r="A3579" s="64" t="s">
        <v>186</v>
      </c>
      <c r="B3579" s="79" t="str">
        <f>IF(Fifteenth!B82="", "",Fifteenth!B82)</f>
        <v/>
      </c>
      <c r="C3579" s="66" t="str">
        <f>IF(Fifteenth!C82="", "",Fifteenth!C82)</f>
        <v/>
      </c>
      <c r="D3579" s="66" t="str">
        <f>IF(Fifteenth!D82="", "",Fifteenth!D82)</f>
        <v/>
      </c>
      <c r="E3579" s="66" t="str">
        <f>IF(Fifteenth!E82="", "",Fifteenth!E82)</f>
        <v/>
      </c>
      <c r="F3579" s="66" t="str">
        <f>IF(Fifteenth!F82="", "",Fifteenth!F82)</f>
        <v/>
      </c>
      <c r="G3579" s="66" t="str">
        <f>IF(Fifteenth!G82="", "",Fifteenth!G82)</f>
        <v/>
      </c>
      <c r="H3579" s="66" t="str">
        <f>IF(Fifteenth!H82="", "",Fifteenth!H82)</f>
        <v/>
      </c>
      <c r="I3579" s="66" t="str">
        <f>IF(Fifteenth!I82="", "",Fifteenth!I82)</f>
        <v/>
      </c>
      <c r="J3579" s="66" t="str">
        <f>IF(Fifteenth!J82="", "",Fifteenth!J82)</f>
        <v/>
      </c>
      <c r="K3579" s="86" t="str">
        <f>IF(Fifteenth!K82="", "",Fifteenth!K82)</f>
        <v/>
      </c>
      <c r="M3579" s="67" t="str">
        <f t="shared" si="167"/>
        <v/>
      </c>
      <c r="N3579" s="76" t="str">
        <f t="shared" si="168"/>
        <v/>
      </c>
      <c r="O3579" s="33">
        <f t="shared" si="166"/>
        <v>0</v>
      </c>
    </row>
    <row r="3580" spans="1:15" x14ac:dyDescent="0.25">
      <c r="A3580" s="64" t="s">
        <v>186</v>
      </c>
      <c r="B3580" s="79" t="str">
        <f>IF(Fifteenth!B83="", "",Fifteenth!B83)</f>
        <v/>
      </c>
      <c r="C3580" s="66" t="str">
        <f>IF(Fifteenth!C83="", "",Fifteenth!C83)</f>
        <v/>
      </c>
      <c r="D3580" s="66" t="str">
        <f>IF(Fifteenth!D83="", "",Fifteenth!D83)</f>
        <v/>
      </c>
      <c r="E3580" s="66" t="str">
        <f>IF(Fifteenth!E83="", "",Fifteenth!E83)</f>
        <v/>
      </c>
      <c r="F3580" s="66" t="str">
        <f>IF(Fifteenth!F83="", "",Fifteenth!F83)</f>
        <v/>
      </c>
      <c r="G3580" s="66" t="str">
        <f>IF(Fifteenth!G83="", "",Fifteenth!G83)</f>
        <v/>
      </c>
      <c r="H3580" s="66" t="str">
        <f>IF(Fifteenth!H83="", "",Fifteenth!H83)</f>
        <v/>
      </c>
      <c r="I3580" s="66" t="str">
        <f>IF(Fifteenth!I83="", "",Fifteenth!I83)</f>
        <v/>
      </c>
      <c r="J3580" s="66" t="str">
        <f>IF(Fifteenth!J83="", "",Fifteenth!J83)</f>
        <v/>
      </c>
      <c r="K3580" s="86" t="str">
        <f>IF(Fifteenth!K83="", "",Fifteenth!K83)</f>
        <v/>
      </c>
      <c r="M3580" s="67" t="str">
        <f t="shared" si="167"/>
        <v/>
      </c>
      <c r="N3580" s="76" t="str">
        <f t="shared" si="168"/>
        <v/>
      </c>
      <c r="O3580" s="33">
        <f t="shared" si="166"/>
        <v>0</v>
      </c>
    </row>
    <row r="3581" spans="1:15" x14ac:dyDescent="0.25">
      <c r="A3581" s="64" t="s">
        <v>186</v>
      </c>
      <c r="B3581" s="79" t="str">
        <f>IF(Fifteenth!B84="", "",Fifteenth!B84)</f>
        <v/>
      </c>
      <c r="C3581" s="66" t="str">
        <f>IF(Fifteenth!C84="", "",Fifteenth!C84)</f>
        <v/>
      </c>
      <c r="D3581" s="66" t="str">
        <f>IF(Fifteenth!D84="", "",Fifteenth!D84)</f>
        <v/>
      </c>
      <c r="E3581" s="66" t="str">
        <f>IF(Fifteenth!E84="", "",Fifteenth!E84)</f>
        <v/>
      </c>
      <c r="F3581" s="66" t="str">
        <f>IF(Fifteenth!F84="", "",Fifteenth!F84)</f>
        <v/>
      </c>
      <c r="G3581" s="66" t="str">
        <f>IF(Fifteenth!G84="", "",Fifteenth!G84)</f>
        <v/>
      </c>
      <c r="H3581" s="66" t="str">
        <f>IF(Fifteenth!H84="", "",Fifteenth!H84)</f>
        <v/>
      </c>
      <c r="I3581" s="66" t="str">
        <f>IF(Fifteenth!I84="", "",Fifteenth!I84)</f>
        <v/>
      </c>
      <c r="J3581" s="66" t="str">
        <f>IF(Fifteenth!J84="", "",Fifteenth!J84)</f>
        <v/>
      </c>
      <c r="K3581" s="86" t="str">
        <f>IF(Fifteenth!K84="", "",Fifteenth!K84)</f>
        <v/>
      </c>
      <c r="M3581" s="67" t="str">
        <f t="shared" si="167"/>
        <v/>
      </c>
      <c r="N3581" s="76" t="str">
        <f t="shared" si="168"/>
        <v/>
      </c>
      <c r="O3581" s="33">
        <f t="shared" si="166"/>
        <v>0</v>
      </c>
    </row>
    <row r="3582" spans="1:15" x14ac:dyDescent="0.25">
      <c r="A3582" s="64" t="s">
        <v>186</v>
      </c>
      <c r="B3582" s="79" t="str">
        <f>IF(Fifteenth!B85="", "",Fifteenth!B85)</f>
        <v/>
      </c>
      <c r="C3582" s="66" t="str">
        <f>IF(Fifteenth!C85="", "",Fifteenth!C85)</f>
        <v/>
      </c>
      <c r="D3582" s="66" t="str">
        <f>IF(Fifteenth!D85="", "",Fifteenth!D85)</f>
        <v/>
      </c>
      <c r="E3582" s="66" t="str">
        <f>IF(Fifteenth!E85="", "",Fifteenth!E85)</f>
        <v/>
      </c>
      <c r="F3582" s="66" t="str">
        <f>IF(Fifteenth!F85="", "",Fifteenth!F85)</f>
        <v/>
      </c>
      <c r="G3582" s="66" t="str">
        <f>IF(Fifteenth!G85="", "",Fifteenth!G85)</f>
        <v/>
      </c>
      <c r="H3582" s="66" t="str">
        <f>IF(Fifteenth!H85="", "",Fifteenth!H85)</f>
        <v/>
      </c>
      <c r="I3582" s="66" t="str">
        <f>IF(Fifteenth!I85="", "",Fifteenth!I85)</f>
        <v/>
      </c>
      <c r="J3582" s="66" t="str">
        <f>IF(Fifteenth!J85="", "",Fifteenth!J85)</f>
        <v/>
      </c>
      <c r="K3582" s="86" t="str">
        <f>IF(Fifteenth!K85="", "",Fifteenth!K85)</f>
        <v/>
      </c>
      <c r="M3582" s="67" t="str">
        <f t="shared" si="167"/>
        <v/>
      </c>
      <c r="N3582" s="76" t="str">
        <f t="shared" si="168"/>
        <v/>
      </c>
      <c r="O3582" s="33">
        <f t="shared" si="166"/>
        <v>0</v>
      </c>
    </row>
    <row r="3583" spans="1:15" x14ac:dyDescent="0.25">
      <c r="A3583" s="64" t="s">
        <v>186</v>
      </c>
      <c r="B3583" s="79" t="str">
        <f>IF(Fifteenth!B86="", "",Fifteenth!B86)</f>
        <v/>
      </c>
      <c r="C3583" s="66" t="str">
        <f>IF(Fifteenth!C86="", "",Fifteenth!C86)</f>
        <v/>
      </c>
      <c r="D3583" s="66" t="str">
        <f>IF(Fifteenth!D86="", "",Fifteenth!D86)</f>
        <v/>
      </c>
      <c r="E3583" s="66" t="str">
        <f>IF(Fifteenth!E86="", "",Fifteenth!E86)</f>
        <v/>
      </c>
      <c r="F3583" s="66" t="str">
        <f>IF(Fifteenth!F86="", "",Fifteenth!F86)</f>
        <v/>
      </c>
      <c r="G3583" s="66" t="str">
        <f>IF(Fifteenth!G86="", "",Fifteenth!G86)</f>
        <v/>
      </c>
      <c r="H3583" s="66" t="str">
        <f>IF(Fifteenth!H86="", "",Fifteenth!H86)</f>
        <v/>
      </c>
      <c r="I3583" s="66" t="str">
        <f>IF(Fifteenth!I86="", "",Fifteenth!I86)</f>
        <v/>
      </c>
      <c r="J3583" s="66" t="str">
        <f>IF(Fifteenth!J86="", "",Fifteenth!J86)</f>
        <v/>
      </c>
      <c r="K3583" s="86" t="str">
        <f>IF(Fifteenth!K86="", "",Fifteenth!K86)</f>
        <v/>
      </c>
      <c r="M3583" s="67" t="str">
        <f t="shared" si="167"/>
        <v/>
      </c>
      <c r="N3583" s="76" t="str">
        <f t="shared" si="168"/>
        <v/>
      </c>
      <c r="O3583" s="33">
        <f t="shared" si="166"/>
        <v>0</v>
      </c>
    </row>
    <row r="3584" spans="1:15" x14ac:dyDescent="0.25">
      <c r="A3584" s="64" t="s">
        <v>186</v>
      </c>
      <c r="B3584" s="79" t="str">
        <f>IF(Fifteenth!B87="", "",Fifteenth!B87)</f>
        <v/>
      </c>
      <c r="C3584" s="66" t="str">
        <f>IF(Fifteenth!C87="", "",Fifteenth!C87)</f>
        <v/>
      </c>
      <c r="D3584" s="66" t="str">
        <f>IF(Fifteenth!D87="", "",Fifteenth!D87)</f>
        <v/>
      </c>
      <c r="E3584" s="66" t="str">
        <f>IF(Fifteenth!E87="", "",Fifteenth!E87)</f>
        <v/>
      </c>
      <c r="F3584" s="66" t="str">
        <f>IF(Fifteenth!F87="", "",Fifteenth!F87)</f>
        <v/>
      </c>
      <c r="G3584" s="66" t="str">
        <f>IF(Fifteenth!G87="", "",Fifteenth!G87)</f>
        <v/>
      </c>
      <c r="H3584" s="66" t="str">
        <f>IF(Fifteenth!H87="", "",Fifteenth!H87)</f>
        <v/>
      </c>
      <c r="I3584" s="66" t="str">
        <f>IF(Fifteenth!I87="", "",Fifteenth!I87)</f>
        <v/>
      </c>
      <c r="J3584" s="66" t="str">
        <f>IF(Fifteenth!J87="", "",Fifteenth!J87)</f>
        <v/>
      </c>
      <c r="K3584" s="86" t="str">
        <f>IF(Fifteenth!K87="", "",Fifteenth!K87)</f>
        <v/>
      </c>
      <c r="M3584" s="67" t="str">
        <f t="shared" si="167"/>
        <v/>
      </c>
      <c r="N3584" s="76" t="str">
        <f t="shared" si="168"/>
        <v/>
      </c>
      <c r="O3584" s="33">
        <f t="shared" si="166"/>
        <v>0</v>
      </c>
    </row>
    <row r="3585" spans="1:15" x14ac:dyDescent="0.25">
      <c r="A3585" s="64" t="s">
        <v>186</v>
      </c>
      <c r="B3585" s="79" t="str">
        <f>IF(Fifteenth!B88="", "",Fifteenth!B88)</f>
        <v/>
      </c>
      <c r="C3585" s="66" t="str">
        <f>IF(Fifteenth!C88="", "",Fifteenth!C88)</f>
        <v/>
      </c>
      <c r="D3585" s="66" t="str">
        <f>IF(Fifteenth!D88="", "",Fifteenth!D88)</f>
        <v/>
      </c>
      <c r="E3585" s="66" t="str">
        <f>IF(Fifteenth!E88="", "",Fifteenth!E88)</f>
        <v/>
      </c>
      <c r="F3585" s="66" t="str">
        <f>IF(Fifteenth!F88="", "",Fifteenth!F88)</f>
        <v/>
      </c>
      <c r="G3585" s="66" t="str">
        <f>IF(Fifteenth!G88="", "",Fifteenth!G88)</f>
        <v/>
      </c>
      <c r="H3585" s="66" t="str">
        <f>IF(Fifteenth!H88="", "",Fifteenth!H88)</f>
        <v/>
      </c>
      <c r="I3585" s="66" t="str">
        <f>IF(Fifteenth!I88="", "",Fifteenth!I88)</f>
        <v/>
      </c>
      <c r="J3585" s="66" t="str">
        <f>IF(Fifteenth!J88="", "",Fifteenth!J88)</f>
        <v/>
      </c>
      <c r="K3585" s="86" t="str">
        <f>IF(Fifteenth!K88="", "",Fifteenth!K88)</f>
        <v/>
      </c>
      <c r="M3585" s="67" t="str">
        <f t="shared" si="167"/>
        <v/>
      </c>
      <c r="N3585" s="76" t="str">
        <f t="shared" si="168"/>
        <v/>
      </c>
      <c r="O3585" s="33">
        <f t="shared" si="166"/>
        <v>0</v>
      </c>
    </row>
    <row r="3586" spans="1:15" x14ac:dyDescent="0.25">
      <c r="A3586" s="64" t="s">
        <v>186</v>
      </c>
      <c r="B3586" s="79" t="str">
        <f>IF(Fifteenth!B89="", "",Fifteenth!B89)</f>
        <v/>
      </c>
      <c r="C3586" s="66" t="str">
        <f>IF(Fifteenth!C89="", "",Fifteenth!C89)</f>
        <v/>
      </c>
      <c r="D3586" s="66" t="str">
        <f>IF(Fifteenth!D89="", "",Fifteenth!D89)</f>
        <v/>
      </c>
      <c r="E3586" s="66" t="str">
        <f>IF(Fifteenth!E89="", "",Fifteenth!E89)</f>
        <v/>
      </c>
      <c r="F3586" s="66" t="str">
        <f>IF(Fifteenth!F89="", "",Fifteenth!F89)</f>
        <v/>
      </c>
      <c r="G3586" s="66" t="str">
        <f>IF(Fifteenth!G89="", "",Fifteenth!G89)</f>
        <v/>
      </c>
      <c r="H3586" s="66" t="str">
        <f>IF(Fifteenth!H89="", "",Fifteenth!H89)</f>
        <v/>
      </c>
      <c r="I3586" s="66" t="str">
        <f>IF(Fifteenth!I89="", "",Fifteenth!I89)</f>
        <v/>
      </c>
      <c r="J3586" s="66" t="str">
        <f>IF(Fifteenth!J89="", "",Fifteenth!J89)</f>
        <v/>
      </c>
      <c r="K3586" s="86" t="str">
        <f>IF(Fifteenth!K89="", "",Fifteenth!K89)</f>
        <v/>
      </c>
      <c r="M3586" s="67" t="str">
        <f t="shared" si="167"/>
        <v/>
      </c>
      <c r="N3586" s="76" t="str">
        <f t="shared" si="168"/>
        <v/>
      </c>
      <c r="O3586" s="33">
        <f t="shared" ref="O3586:O3649" si="169">SUM(M3586:N3586)</f>
        <v>0</v>
      </c>
    </row>
    <row r="3587" spans="1:15" x14ac:dyDescent="0.25">
      <c r="A3587" s="64" t="s">
        <v>186</v>
      </c>
      <c r="B3587" s="79" t="str">
        <f>IF(Fifteenth!B90="", "",Fifteenth!B90)</f>
        <v/>
      </c>
      <c r="C3587" s="66" t="str">
        <f>IF(Fifteenth!C90="", "",Fifteenth!C90)</f>
        <v/>
      </c>
      <c r="D3587" s="66" t="str">
        <f>IF(Fifteenth!D90="", "",Fifteenth!D90)</f>
        <v/>
      </c>
      <c r="E3587" s="66" t="str">
        <f>IF(Fifteenth!E90="", "",Fifteenth!E90)</f>
        <v/>
      </c>
      <c r="F3587" s="66" t="str">
        <f>IF(Fifteenth!F90="", "",Fifteenth!F90)</f>
        <v/>
      </c>
      <c r="G3587" s="66" t="str">
        <f>IF(Fifteenth!G90="", "",Fifteenth!G90)</f>
        <v/>
      </c>
      <c r="H3587" s="66" t="str">
        <f>IF(Fifteenth!H90="", "",Fifteenth!H90)</f>
        <v/>
      </c>
      <c r="I3587" s="66" t="str">
        <f>IF(Fifteenth!I90="", "",Fifteenth!I90)</f>
        <v/>
      </c>
      <c r="J3587" s="66" t="str">
        <f>IF(Fifteenth!J90="", "",Fifteenth!J90)</f>
        <v/>
      </c>
      <c r="K3587" s="86" t="str">
        <f>IF(Fifteenth!K90="", "",Fifteenth!K90)</f>
        <v/>
      </c>
      <c r="M3587" s="67" t="str">
        <f t="shared" ref="M3587:M3650" si="170">IF(C3587="PwC",(7-COUNTIF(B3587:H3587,"")),"")</f>
        <v/>
      </c>
      <c r="N3587" s="76" t="str">
        <f t="shared" ref="N3587:N3650" si="171">IF(C3587="Carer",(7-COUNTIF(B3587:H3587,"")),"")</f>
        <v/>
      </c>
      <c r="O3587" s="33">
        <f t="shared" si="169"/>
        <v>0</v>
      </c>
    </row>
    <row r="3588" spans="1:15" x14ac:dyDescent="0.25">
      <c r="A3588" s="64" t="s">
        <v>186</v>
      </c>
      <c r="B3588" s="79" t="str">
        <f>IF(Fifteenth!B91="", "",Fifteenth!B91)</f>
        <v/>
      </c>
      <c r="C3588" s="66" t="str">
        <f>IF(Fifteenth!C91="", "",Fifteenth!C91)</f>
        <v/>
      </c>
      <c r="D3588" s="66" t="str">
        <f>IF(Fifteenth!D91="", "",Fifteenth!D91)</f>
        <v/>
      </c>
      <c r="E3588" s="66" t="str">
        <f>IF(Fifteenth!E91="", "",Fifteenth!E91)</f>
        <v/>
      </c>
      <c r="F3588" s="66" t="str">
        <f>IF(Fifteenth!F91="", "",Fifteenth!F91)</f>
        <v/>
      </c>
      <c r="G3588" s="66" t="str">
        <f>IF(Fifteenth!G91="", "",Fifteenth!G91)</f>
        <v/>
      </c>
      <c r="H3588" s="66" t="str">
        <f>IF(Fifteenth!H91="", "",Fifteenth!H91)</f>
        <v/>
      </c>
      <c r="I3588" s="66" t="str">
        <f>IF(Fifteenth!I91="", "",Fifteenth!I91)</f>
        <v/>
      </c>
      <c r="J3588" s="66" t="str">
        <f>IF(Fifteenth!J91="", "",Fifteenth!J91)</f>
        <v/>
      </c>
      <c r="K3588" s="86" t="str">
        <f>IF(Fifteenth!K91="", "",Fifteenth!K91)</f>
        <v/>
      </c>
      <c r="M3588" s="67" t="str">
        <f t="shared" si="170"/>
        <v/>
      </c>
      <c r="N3588" s="76" t="str">
        <f t="shared" si="171"/>
        <v/>
      </c>
      <c r="O3588" s="33">
        <f t="shared" si="169"/>
        <v>0</v>
      </c>
    </row>
    <row r="3589" spans="1:15" x14ac:dyDescent="0.25">
      <c r="A3589" s="64" t="s">
        <v>186</v>
      </c>
      <c r="B3589" s="79" t="str">
        <f>IF(Fifteenth!B92="", "",Fifteenth!B92)</f>
        <v/>
      </c>
      <c r="C3589" s="66" t="str">
        <f>IF(Fifteenth!C92="", "",Fifteenth!C92)</f>
        <v/>
      </c>
      <c r="D3589" s="66" t="str">
        <f>IF(Fifteenth!D92="", "",Fifteenth!D92)</f>
        <v/>
      </c>
      <c r="E3589" s="66" t="str">
        <f>IF(Fifteenth!E92="", "",Fifteenth!E92)</f>
        <v/>
      </c>
      <c r="F3589" s="66" t="str">
        <f>IF(Fifteenth!F92="", "",Fifteenth!F92)</f>
        <v/>
      </c>
      <c r="G3589" s="66" t="str">
        <f>IF(Fifteenth!G92="", "",Fifteenth!G92)</f>
        <v/>
      </c>
      <c r="H3589" s="66" t="str">
        <f>IF(Fifteenth!H92="", "",Fifteenth!H92)</f>
        <v/>
      </c>
      <c r="I3589" s="66" t="str">
        <f>IF(Fifteenth!I92="", "",Fifteenth!I92)</f>
        <v/>
      </c>
      <c r="J3589" s="66" t="str">
        <f>IF(Fifteenth!J92="", "",Fifteenth!J92)</f>
        <v/>
      </c>
      <c r="K3589" s="86" t="str">
        <f>IF(Fifteenth!K92="", "",Fifteenth!K92)</f>
        <v/>
      </c>
      <c r="M3589" s="67" t="str">
        <f t="shared" si="170"/>
        <v/>
      </c>
      <c r="N3589" s="76" t="str">
        <f t="shared" si="171"/>
        <v/>
      </c>
      <c r="O3589" s="33">
        <f t="shared" si="169"/>
        <v>0</v>
      </c>
    </row>
    <row r="3590" spans="1:15" x14ac:dyDescent="0.25">
      <c r="A3590" s="64" t="s">
        <v>186</v>
      </c>
      <c r="B3590" s="79" t="str">
        <f>IF(Fifteenth!B93="", "",Fifteenth!B93)</f>
        <v/>
      </c>
      <c r="C3590" s="66" t="str">
        <f>IF(Fifteenth!C93="", "",Fifteenth!C93)</f>
        <v/>
      </c>
      <c r="D3590" s="66" t="str">
        <f>IF(Fifteenth!D93="", "",Fifteenth!D93)</f>
        <v/>
      </c>
      <c r="E3590" s="66" t="str">
        <f>IF(Fifteenth!E93="", "",Fifteenth!E93)</f>
        <v/>
      </c>
      <c r="F3590" s="66" t="str">
        <f>IF(Fifteenth!F93="", "",Fifteenth!F93)</f>
        <v/>
      </c>
      <c r="G3590" s="66" t="str">
        <f>IF(Fifteenth!G93="", "",Fifteenth!G93)</f>
        <v/>
      </c>
      <c r="H3590" s="66" t="str">
        <f>IF(Fifteenth!H93="", "",Fifteenth!H93)</f>
        <v/>
      </c>
      <c r="I3590" s="66" t="str">
        <f>IF(Fifteenth!I93="", "",Fifteenth!I93)</f>
        <v/>
      </c>
      <c r="J3590" s="66" t="str">
        <f>IF(Fifteenth!J93="", "",Fifteenth!J93)</f>
        <v/>
      </c>
      <c r="K3590" s="86" t="str">
        <f>IF(Fifteenth!K93="", "",Fifteenth!K93)</f>
        <v/>
      </c>
      <c r="M3590" s="67" t="str">
        <f t="shared" si="170"/>
        <v/>
      </c>
      <c r="N3590" s="76" t="str">
        <f t="shared" si="171"/>
        <v/>
      </c>
      <c r="O3590" s="33">
        <f t="shared" si="169"/>
        <v>0</v>
      </c>
    </row>
    <row r="3591" spans="1:15" x14ac:dyDescent="0.25">
      <c r="A3591" s="64" t="s">
        <v>186</v>
      </c>
      <c r="B3591" s="79" t="str">
        <f>IF(Fifteenth!B94="", "",Fifteenth!B94)</f>
        <v/>
      </c>
      <c r="C3591" s="66" t="str">
        <f>IF(Fifteenth!C94="", "",Fifteenth!C94)</f>
        <v/>
      </c>
      <c r="D3591" s="66" t="str">
        <f>IF(Fifteenth!D94="", "",Fifteenth!D94)</f>
        <v/>
      </c>
      <c r="E3591" s="66" t="str">
        <f>IF(Fifteenth!E94="", "",Fifteenth!E94)</f>
        <v/>
      </c>
      <c r="F3591" s="66" t="str">
        <f>IF(Fifteenth!F94="", "",Fifteenth!F94)</f>
        <v/>
      </c>
      <c r="G3591" s="66" t="str">
        <f>IF(Fifteenth!G94="", "",Fifteenth!G94)</f>
        <v/>
      </c>
      <c r="H3591" s="66" t="str">
        <f>IF(Fifteenth!H94="", "",Fifteenth!H94)</f>
        <v/>
      </c>
      <c r="I3591" s="66" t="str">
        <f>IF(Fifteenth!I94="", "",Fifteenth!I94)</f>
        <v/>
      </c>
      <c r="J3591" s="66" t="str">
        <f>IF(Fifteenth!J94="", "",Fifteenth!J94)</f>
        <v/>
      </c>
      <c r="K3591" s="86" t="str">
        <f>IF(Fifteenth!K94="", "",Fifteenth!K94)</f>
        <v/>
      </c>
      <c r="M3591" s="67" t="str">
        <f t="shared" si="170"/>
        <v/>
      </c>
      <c r="N3591" s="76" t="str">
        <f t="shared" si="171"/>
        <v/>
      </c>
      <c r="O3591" s="33">
        <f t="shared" si="169"/>
        <v>0</v>
      </c>
    </row>
    <row r="3592" spans="1:15" x14ac:dyDescent="0.25">
      <c r="A3592" s="64" t="s">
        <v>186</v>
      </c>
      <c r="B3592" s="79" t="str">
        <f>IF(Fifteenth!B95="", "",Fifteenth!B95)</f>
        <v/>
      </c>
      <c r="C3592" s="66" t="str">
        <f>IF(Fifteenth!C95="", "",Fifteenth!C95)</f>
        <v/>
      </c>
      <c r="D3592" s="66" t="str">
        <f>IF(Fifteenth!D95="", "",Fifteenth!D95)</f>
        <v/>
      </c>
      <c r="E3592" s="66" t="str">
        <f>IF(Fifteenth!E95="", "",Fifteenth!E95)</f>
        <v/>
      </c>
      <c r="F3592" s="66" t="str">
        <f>IF(Fifteenth!F95="", "",Fifteenth!F95)</f>
        <v/>
      </c>
      <c r="G3592" s="66" t="str">
        <f>IF(Fifteenth!G95="", "",Fifteenth!G95)</f>
        <v/>
      </c>
      <c r="H3592" s="66" t="str">
        <f>IF(Fifteenth!H95="", "",Fifteenth!H95)</f>
        <v/>
      </c>
      <c r="I3592" s="66" t="str">
        <f>IF(Fifteenth!I95="", "",Fifteenth!I95)</f>
        <v/>
      </c>
      <c r="J3592" s="66" t="str">
        <f>IF(Fifteenth!J95="", "",Fifteenth!J95)</f>
        <v/>
      </c>
      <c r="K3592" s="86" t="str">
        <f>IF(Fifteenth!K95="", "",Fifteenth!K95)</f>
        <v/>
      </c>
      <c r="M3592" s="67" t="str">
        <f t="shared" si="170"/>
        <v/>
      </c>
      <c r="N3592" s="76" t="str">
        <f t="shared" si="171"/>
        <v/>
      </c>
      <c r="O3592" s="33">
        <f t="shared" si="169"/>
        <v>0</v>
      </c>
    </row>
    <row r="3593" spans="1:15" x14ac:dyDescent="0.25">
      <c r="A3593" s="64" t="s">
        <v>186</v>
      </c>
      <c r="B3593" s="79" t="str">
        <f>IF(Fifteenth!B96="", "",Fifteenth!B96)</f>
        <v/>
      </c>
      <c r="C3593" s="66" t="str">
        <f>IF(Fifteenth!C96="", "",Fifteenth!C96)</f>
        <v/>
      </c>
      <c r="D3593" s="66" t="str">
        <f>IF(Fifteenth!D96="", "",Fifteenth!D96)</f>
        <v/>
      </c>
      <c r="E3593" s="66" t="str">
        <f>IF(Fifteenth!E96="", "",Fifteenth!E96)</f>
        <v/>
      </c>
      <c r="F3593" s="66" t="str">
        <f>IF(Fifteenth!F96="", "",Fifteenth!F96)</f>
        <v/>
      </c>
      <c r="G3593" s="66" t="str">
        <f>IF(Fifteenth!G96="", "",Fifteenth!G96)</f>
        <v/>
      </c>
      <c r="H3593" s="66" t="str">
        <f>IF(Fifteenth!H96="", "",Fifteenth!H96)</f>
        <v/>
      </c>
      <c r="I3593" s="66" t="str">
        <f>IF(Fifteenth!I96="", "",Fifteenth!I96)</f>
        <v/>
      </c>
      <c r="J3593" s="66" t="str">
        <f>IF(Fifteenth!J96="", "",Fifteenth!J96)</f>
        <v/>
      </c>
      <c r="K3593" s="86" t="str">
        <f>IF(Fifteenth!K96="", "",Fifteenth!K96)</f>
        <v/>
      </c>
      <c r="M3593" s="67" t="str">
        <f t="shared" si="170"/>
        <v/>
      </c>
      <c r="N3593" s="76" t="str">
        <f t="shared" si="171"/>
        <v/>
      </c>
      <c r="O3593" s="33">
        <f t="shared" si="169"/>
        <v>0</v>
      </c>
    </row>
    <row r="3594" spans="1:15" x14ac:dyDescent="0.25">
      <c r="A3594" s="64" t="s">
        <v>186</v>
      </c>
      <c r="B3594" s="79" t="str">
        <f>IF(Fifteenth!B97="", "",Fifteenth!B97)</f>
        <v/>
      </c>
      <c r="C3594" s="66" t="str">
        <f>IF(Fifteenth!C97="", "",Fifteenth!C97)</f>
        <v/>
      </c>
      <c r="D3594" s="66" t="str">
        <f>IF(Fifteenth!D97="", "",Fifteenth!D97)</f>
        <v/>
      </c>
      <c r="E3594" s="66" t="str">
        <f>IF(Fifteenth!E97="", "",Fifteenth!E97)</f>
        <v/>
      </c>
      <c r="F3594" s="66" t="str">
        <f>IF(Fifteenth!F97="", "",Fifteenth!F97)</f>
        <v/>
      </c>
      <c r="G3594" s="66" t="str">
        <f>IF(Fifteenth!G97="", "",Fifteenth!G97)</f>
        <v/>
      </c>
      <c r="H3594" s="66" t="str">
        <f>IF(Fifteenth!H97="", "",Fifteenth!H97)</f>
        <v/>
      </c>
      <c r="I3594" s="66" t="str">
        <f>IF(Fifteenth!I97="", "",Fifteenth!I97)</f>
        <v/>
      </c>
      <c r="J3594" s="66" t="str">
        <f>IF(Fifteenth!J97="", "",Fifteenth!J97)</f>
        <v/>
      </c>
      <c r="K3594" s="86" t="str">
        <f>IF(Fifteenth!K97="", "",Fifteenth!K97)</f>
        <v/>
      </c>
      <c r="M3594" s="67" t="str">
        <f t="shared" si="170"/>
        <v/>
      </c>
      <c r="N3594" s="76" t="str">
        <f t="shared" si="171"/>
        <v/>
      </c>
      <c r="O3594" s="33">
        <f t="shared" si="169"/>
        <v>0</v>
      </c>
    </row>
    <row r="3595" spans="1:15" x14ac:dyDescent="0.25">
      <c r="A3595" s="64" t="s">
        <v>186</v>
      </c>
      <c r="B3595" s="79" t="str">
        <f>IF(Fifteenth!B98="", "",Fifteenth!B98)</f>
        <v/>
      </c>
      <c r="C3595" s="66" t="str">
        <f>IF(Fifteenth!C98="", "",Fifteenth!C98)</f>
        <v/>
      </c>
      <c r="D3595" s="66" t="str">
        <f>IF(Fifteenth!D98="", "",Fifteenth!D98)</f>
        <v/>
      </c>
      <c r="E3595" s="66" t="str">
        <f>IF(Fifteenth!E98="", "",Fifteenth!E98)</f>
        <v/>
      </c>
      <c r="F3595" s="66" t="str">
        <f>IF(Fifteenth!F98="", "",Fifteenth!F98)</f>
        <v/>
      </c>
      <c r="G3595" s="66" t="str">
        <f>IF(Fifteenth!G98="", "",Fifteenth!G98)</f>
        <v/>
      </c>
      <c r="H3595" s="66" t="str">
        <f>IF(Fifteenth!H98="", "",Fifteenth!H98)</f>
        <v/>
      </c>
      <c r="I3595" s="66" t="str">
        <f>IF(Fifteenth!I98="", "",Fifteenth!I98)</f>
        <v/>
      </c>
      <c r="J3595" s="66" t="str">
        <f>IF(Fifteenth!J98="", "",Fifteenth!J98)</f>
        <v/>
      </c>
      <c r="K3595" s="86" t="str">
        <f>IF(Fifteenth!K98="", "",Fifteenth!K98)</f>
        <v/>
      </c>
      <c r="M3595" s="67" t="str">
        <f t="shared" si="170"/>
        <v/>
      </c>
      <c r="N3595" s="76" t="str">
        <f t="shared" si="171"/>
        <v/>
      </c>
      <c r="O3595" s="33">
        <f t="shared" si="169"/>
        <v>0</v>
      </c>
    </row>
    <row r="3596" spans="1:15" x14ac:dyDescent="0.25">
      <c r="A3596" s="64" t="s">
        <v>186</v>
      </c>
      <c r="B3596" s="79" t="str">
        <f>IF(Fifteenth!B99="", "",Fifteenth!B99)</f>
        <v/>
      </c>
      <c r="C3596" s="66" t="str">
        <f>IF(Fifteenth!C99="", "",Fifteenth!C99)</f>
        <v/>
      </c>
      <c r="D3596" s="66" t="str">
        <f>IF(Fifteenth!D99="", "",Fifteenth!D99)</f>
        <v/>
      </c>
      <c r="E3596" s="66" t="str">
        <f>IF(Fifteenth!E99="", "",Fifteenth!E99)</f>
        <v/>
      </c>
      <c r="F3596" s="66" t="str">
        <f>IF(Fifteenth!F99="", "",Fifteenth!F99)</f>
        <v/>
      </c>
      <c r="G3596" s="66" t="str">
        <f>IF(Fifteenth!G99="", "",Fifteenth!G99)</f>
        <v/>
      </c>
      <c r="H3596" s="66" t="str">
        <f>IF(Fifteenth!H99="", "",Fifteenth!H99)</f>
        <v/>
      </c>
      <c r="I3596" s="66" t="str">
        <f>IF(Fifteenth!I99="", "",Fifteenth!I99)</f>
        <v/>
      </c>
      <c r="J3596" s="66" t="str">
        <f>IF(Fifteenth!J99="", "",Fifteenth!J99)</f>
        <v/>
      </c>
      <c r="K3596" s="86" t="str">
        <f>IF(Fifteenth!K99="", "",Fifteenth!K99)</f>
        <v/>
      </c>
      <c r="M3596" s="67" t="str">
        <f t="shared" si="170"/>
        <v/>
      </c>
      <c r="N3596" s="76" t="str">
        <f t="shared" si="171"/>
        <v/>
      </c>
      <c r="O3596" s="33">
        <f t="shared" si="169"/>
        <v>0</v>
      </c>
    </row>
    <row r="3597" spans="1:15" x14ac:dyDescent="0.25">
      <c r="A3597" s="64" t="s">
        <v>186</v>
      </c>
      <c r="B3597" s="79" t="str">
        <f>IF(Fifteenth!B100="", "",Fifteenth!B100)</f>
        <v/>
      </c>
      <c r="C3597" s="66" t="str">
        <f>IF(Fifteenth!C100="", "",Fifteenth!C100)</f>
        <v/>
      </c>
      <c r="D3597" s="66" t="str">
        <f>IF(Fifteenth!D100="", "",Fifteenth!D100)</f>
        <v/>
      </c>
      <c r="E3597" s="66" t="str">
        <f>IF(Fifteenth!E100="", "",Fifteenth!E100)</f>
        <v/>
      </c>
      <c r="F3597" s="66" t="str">
        <f>IF(Fifteenth!F100="", "",Fifteenth!F100)</f>
        <v/>
      </c>
      <c r="G3597" s="66" t="str">
        <f>IF(Fifteenth!G100="", "",Fifteenth!G100)</f>
        <v/>
      </c>
      <c r="H3597" s="66" t="str">
        <f>IF(Fifteenth!H100="", "",Fifteenth!H100)</f>
        <v/>
      </c>
      <c r="I3597" s="66" t="str">
        <f>IF(Fifteenth!I100="", "",Fifteenth!I100)</f>
        <v/>
      </c>
      <c r="J3597" s="66" t="str">
        <f>IF(Fifteenth!J100="", "",Fifteenth!J100)</f>
        <v/>
      </c>
      <c r="K3597" s="86" t="str">
        <f>IF(Fifteenth!K100="", "",Fifteenth!K100)</f>
        <v/>
      </c>
      <c r="M3597" s="67" t="str">
        <f t="shared" si="170"/>
        <v/>
      </c>
      <c r="N3597" s="76" t="str">
        <f t="shared" si="171"/>
        <v/>
      </c>
      <c r="O3597" s="33">
        <f t="shared" si="169"/>
        <v>0</v>
      </c>
    </row>
    <row r="3598" spans="1:15" x14ac:dyDescent="0.25">
      <c r="A3598" s="64" t="s">
        <v>186</v>
      </c>
      <c r="B3598" s="79" t="str">
        <f>IF(Fifteenth!B101="", "",Fifteenth!B101)</f>
        <v/>
      </c>
      <c r="C3598" s="66" t="str">
        <f>IF(Fifteenth!C101="", "",Fifteenth!C101)</f>
        <v/>
      </c>
      <c r="D3598" s="66" t="str">
        <f>IF(Fifteenth!D101="", "",Fifteenth!D101)</f>
        <v/>
      </c>
      <c r="E3598" s="66" t="str">
        <f>IF(Fifteenth!E101="", "",Fifteenth!E101)</f>
        <v/>
      </c>
      <c r="F3598" s="66" t="str">
        <f>IF(Fifteenth!F101="", "",Fifteenth!F101)</f>
        <v/>
      </c>
      <c r="G3598" s="66" t="str">
        <f>IF(Fifteenth!G101="", "",Fifteenth!G101)</f>
        <v/>
      </c>
      <c r="H3598" s="66" t="str">
        <f>IF(Fifteenth!H101="", "",Fifteenth!H101)</f>
        <v/>
      </c>
      <c r="I3598" s="66" t="str">
        <f>IF(Fifteenth!I101="", "",Fifteenth!I101)</f>
        <v/>
      </c>
      <c r="J3598" s="66" t="str">
        <f>IF(Fifteenth!J101="", "",Fifteenth!J101)</f>
        <v/>
      </c>
      <c r="K3598" s="86" t="str">
        <f>IF(Fifteenth!K101="", "",Fifteenth!K101)</f>
        <v/>
      </c>
      <c r="M3598" s="67" t="str">
        <f t="shared" si="170"/>
        <v/>
      </c>
      <c r="N3598" s="76" t="str">
        <f t="shared" si="171"/>
        <v/>
      </c>
      <c r="O3598" s="33">
        <f t="shared" si="169"/>
        <v>0</v>
      </c>
    </row>
    <row r="3599" spans="1:15" x14ac:dyDescent="0.25">
      <c r="A3599" s="64" t="s">
        <v>186</v>
      </c>
      <c r="B3599" s="79" t="str">
        <f>IF(Fifteenth!B102="", "",Fifteenth!B102)</f>
        <v/>
      </c>
      <c r="C3599" s="66" t="str">
        <f>IF(Fifteenth!C102="", "",Fifteenth!C102)</f>
        <v/>
      </c>
      <c r="D3599" s="66" t="str">
        <f>IF(Fifteenth!D102="", "",Fifteenth!D102)</f>
        <v/>
      </c>
      <c r="E3599" s="66" t="str">
        <f>IF(Fifteenth!E102="", "",Fifteenth!E102)</f>
        <v/>
      </c>
      <c r="F3599" s="66" t="str">
        <f>IF(Fifteenth!F102="", "",Fifteenth!F102)</f>
        <v/>
      </c>
      <c r="G3599" s="66" t="str">
        <f>IF(Fifteenth!G102="", "",Fifteenth!G102)</f>
        <v/>
      </c>
      <c r="H3599" s="66" t="str">
        <f>IF(Fifteenth!H102="", "",Fifteenth!H102)</f>
        <v/>
      </c>
      <c r="I3599" s="66" t="str">
        <f>IF(Fifteenth!I102="", "",Fifteenth!I102)</f>
        <v/>
      </c>
      <c r="J3599" s="66" t="str">
        <f>IF(Fifteenth!J102="", "",Fifteenth!J102)</f>
        <v/>
      </c>
      <c r="K3599" s="86" t="str">
        <f>IF(Fifteenth!K102="", "",Fifteenth!K102)</f>
        <v/>
      </c>
      <c r="M3599" s="67" t="str">
        <f t="shared" si="170"/>
        <v/>
      </c>
      <c r="N3599" s="76" t="str">
        <f t="shared" si="171"/>
        <v/>
      </c>
      <c r="O3599" s="33">
        <f t="shared" si="169"/>
        <v>0</v>
      </c>
    </row>
    <row r="3600" spans="1:15" x14ac:dyDescent="0.25">
      <c r="A3600" s="64" t="s">
        <v>186</v>
      </c>
      <c r="B3600" s="79" t="str">
        <f>IF(Fifteenth!B103="", "",Fifteenth!B103)</f>
        <v/>
      </c>
      <c r="C3600" s="66" t="str">
        <f>IF(Fifteenth!C103="", "",Fifteenth!C103)</f>
        <v/>
      </c>
      <c r="D3600" s="66" t="str">
        <f>IF(Fifteenth!D103="", "",Fifteenth!D103)</f>
        <v/>
      </c>
      <c r="E3600" s="66" t="str">
        <f>IF(Fifteenth!E103="", "",Fifteenth!E103)</f>
        <v/>
      </c>
      <c r="F3600" s="66" t="str">
        <f>IF(Fifteenth!F103="", "",Fifteenth!F103)</f>
        <v/>
      </c>
      <c r="G3600" s="66" t="str">
        <f>IF(Fifteenth!G103="", "",Fifteenth!G103)</f>
        <v/>
      </c>
      <c r="H3600" s="66" t="str">
        <f>IF(Fifteenth!H103="", "",Fifteenth!H103)</f>
        <v/>
      </c>
      <c r="I3600" s="66" t="str">
        <f>IF(Fifteenth!I103="", "",Fifteenth!I103)</f>
        <v/>
      </c>
      <c r="J3600" s="66" t="str">
        <f>IF(Fifteenth!J103="", "",Fifteenth!J103)</f>
        <v/>
      </c>
      <c r="K3600" s="86" t="str">
        <f>IF(Fifteenth!K103="", "",Fifteenth!K103)</f>
        <v/>
      </c>
      <c r="M3600" s="67" t="str">
        <f t="shared" si="170"/>
        <v/>
      </c>
      <c r="N3600" s="76" t="str">
        <f t="shared" si="171"/>
        <v/>
      </c>
      <c r="O3600" s="33">
        <f t="shared" si="169"/>
        <v>0</v>
      </c>
    </row>
    <row r="3601" spans="1:15" x14ac:dyDescent="0.25">
      <c r="A3601" s="64" t="s">
        <v>186</v>
      </c>
      <c r="B3601" s="79" t="str">
        <f>IF(Fifteenth!B104="", "",Fifteenth!B104)</f>
        <v/>
      </c>
      <c r="C3601" s="66" t="str">
        <f>IF(Fifteenth!C104="", "",Fifteenth!C104)</f>
        <v/>
      </c>
      <c r="D3601" s="66" t="str">
        <f>IF(Fifteenth!D104="", "",Fifteenth!D104)</f>
        <v/>
      </c>
      <c r="E3601" s="66" t="str">
        <f>IF(Fifteenth!E104="", "",Fifteenth!E104)</f>
        <v/>
      </c>
      <c r="F3601" s="66" t="str">
        <f>IF(Fifteenth!F104="", "",Fifteenth!F104)</f>
        <v/>
      </c>
      <c r="G3601" s="66" t="str">
        <f>IF(Fifteenth!G104="", "",Fifteenth!G104)</f>
        <v/>
      </c>
      <c r="H3601" s="66" t="str">
        <f>IF(Fifteenth!H104="", "",Fifteenth!H104)</f>
        <v/>
      </c>
      <c r="I3601" s="66" t="str">
        <f>IF(Fifteenth!I104="", "",Fifteenth!I104)</f>
        <v/>
      </c>
      <c r="J3601" s="66" t="str">
        <f>IF(Fifteenth!J104="", "",Fifteenth!J104)</f>
        <v/>
      </c>
      <c r="K3601" s="86" t="str">
        <f>IF(Fifteenth!K104="", "",Fifteenth!K104)</f>
        <v/>
      </c>
      <c r="M3601" s="67" t="str">
        <f t="shared" si="170"/>
        <v/>
      </c>
      <c r="N3601" s="76" t="str">
        <f t="shared" si="171"/>
        <v/>
      </c>
      <c r="O3601" s="33">
        <f t="shared" si="169"/>
        <v>0</v>
      </c>
    </row>
    <row r="3602" spans="1:15" x14ac:dyDescent="0.25">
      <c r="A3602" s="64" t="s">
        <v>186</v>
      </c>
      <c r="B3602" s="79" t="str">
        <f>IF(Fifteenth!B105="", "",Fifteenth!B105)</f>
        <v/>
      </c>
      <c r="C3602" s="66" t="str">
        <f>IF(Fifteenth!C105="", "",Fifteenth!C105)</f>
        <v/>
      </c>
      <c r="D3602" s="66" t="str">
        <f>IF(Fifteenth!D105="", "",Fifteenth!D105)</f>
        <v/>
      </c>
      <c r="E3602" s="66" t="str">
        <f>IF(Fifteenth!E105="", "",Fifteenth!E105)</f>
        <v/>
      </c>
      <c r="F3602" s="66" t="str">
        <f>IF(Fifteenth!F105="", "",Fifteenth!F105)</f>
        <v/>
      </c>
      <c r="G3602" s="66" t="str">
        <f>IF(Fifteenth!G105="", "",Fifteenth!G105)</f>
        <v/>
      </c>
      <c r="H3602" s="66" t="str">
        <f>IF(Fifteenth!H105="", "",Fifteenth!H105)</f>
        <v/>
      </c>
      <c r="I3602" s="66" t="str">
        <f>IF(Fifteenth!I105="", "",Fifteenth!I105)</f>
        <v/>
      </c>
      <c r="J3602" s="66" t="str">
        <f>IF(Fifteenth!J105="", "",Fifteenth!J105)</f>
        <v/>
      </c>
      <c r="K3602" s="86" t="str">
        <f>IF(Fifteenth!K105="", "",Fifteenth!K105)</f>
        <v/>
      </c>
      <c r="M3602" s="67" t="str">
        <f t="shared" si="170"/>
        <v/>
      </c>
      <c r="N3602" s="76" t="str">
        <f t="shared" si="171"/>
        <v/>
      </c>
      <c r="O3602" s="33">
        <f t="shared" si="169"/>
        <v>0</v>
      </c>
    </row>
    <row r="3603" spans="1:15" x14ac:dyDescent="0.25">
      <c r="A3603" s="64" t="s">
        <v>186</v>
      </c>
      <c r="B3603" s="79" t="str">
        <f>IF(Fifteenth!B106="", "",Fifteenth!B106)</f>
        <v/>
      </c>
      <c r="C3603" s="66" t="str">
        <f>IF(Fifteenth!C106="", "",Fifteenth!C106)</f>
        <v/>
      </c>
      <c r="D3603" s="66" t="str">
        <f>IF(Fifteenth!D106="", "",Fifteenth!D106)</f>
        <v/>
      </c>
      <c r="E3603" s="66" t="str">
        <f>IF(Fifteenth!E106="", "",Fifteenth!E106)</f>
        <v/>
      </c>
      <c r="F3603" s="66" t="str">
        <f>IF(Fifteenth!F106="", "",Fifteenth!F106)</f>
        <v/>
      </c>
      <c r="G3603" s="66" t="str">
        <f>IF(Fifteenth!G106="", "",Fifteenth!G106)</f>
        <v/>
      </c>
      <c r="H3603" s="66" t="str">
        <f>IF(Fifteenth!H106="", "",Fifteenth!H106)</f>
        <v/>
      </c>
      <c r="I3603" s="66" t="str">
        <f>IF(Fifteenth!I106="", "",Fifteenth!I106)</f>
        <v/>
      </c>
      <c r="J3603" s="66" t="str">
        <f>IF(Fifteenth!J106="", "",Fifteenth!J106)</f>
        <v/>
      </c>
      <c r="K3603" s="86" t="str">
        <f>IF(Fifteenth!K106="", "",Fifteenth!K106)</f>
        <v/>
      </c>
      <c r="M3603" s="67" t="str">
        <f t="shared" si="170"/>
        <v/>
      </c>
      <c r="N3603" s="76" t="str">
        <f t="shared" si="171"/>
        <v/>
      </c>
      <c r="O3603" s="33">
        <f t="shared" si="169"/>
        <v>0</v>
      </c>
    </row>
    <row r="3604" spans="1:15" x14ac:dyDescent="0.25">
      <c r="A3604" s="64" t="s">
        <v>186</v>
      </c>
      <c r="B3604" s="79" t="str">
        <f>IF(Fifteenth!B107="", "",Fifteenth!B107)</f>
        <v/>
      </c>
      <c r="C3604" s="66" t="str">
        <f>IF(Fifteenth!C107="", "",Fifteenth!C107)</f>
        <v/>
      </c>
      <c r="D3604" s="66" t="str">
        <f>IF(Fifteenth!D107="", "",Fifteenth!D107)</f>
        <v/>
      </c>
      <c r="E3604" s="66" t="str">
        <f>IF(Fifteenth!E107="", "",Fifteenth!E107)</f>
        <v/>
      </c>
      <c r="F3604" s="66" t="str">
        <f>IF(Fifteenth!F107="", "",Fifteenth!F107)</f>
        <v/>
      </c>
      <c r="G3604" s="66" t="str">
        <f>IF(Fifteenth!G107="", "",Fifteenth!G107)</f>
        <v/>
      </c>
      <c r="H3604" s="66" t="str">
        <f>IF(Fifteenth!H107="", "",Fifteenth!H107)</f>
        <v/>
      </c>
      <c r="I3604" s="66" t="str">
        <f>IF(Fifteenth!I107="", "",Fifteenth!I107)</f>
        <v/>
      </c>
      <c r="J3604" s="66" t="str">
        <f>IF(Fifteenth!J107="", "",Fifteenth!J107)</f>
        <v/>
      </c>
      <c r="K3604" s="86" t="str">
        <f>IF(Fifteenth!K107="", "",Fifteenth!K107)</f>
        <v/>
      </c>
      <c r="M3604" s="67" t="str">
        <f t="shared" si="170"/>
        <v/>
      </c>
      <c r="N3604" s="76" t="str">
        <f t="shared" si="171"/>
        <v/>
      </c>
      <c r="O3604" s="33">
        <f t="shared" si="169"/>
        <v>0</v>
      </c>
    </row>
    <row r="3605" spans="1:15" x14ac:dyDescent="0.25">
      <c r="A3605" s="64" t="s">
        <v>186</v>
      </c>
      <c r="B3605" s="79" t="str">
        <f>IF(Fifteenth!B108="", "",Fifteenth!B108)</f>
        <v/>
      </c>
      <c r="C3605" s="66" t="str">
        <f>IF(Fifteenth!C108="", "",Fifteenth!C108)</f>
        <v/>
      </c>
      <c r="D3605" s="66" t="str">
        <f>IF(Fifteenth!D108="", "",Fifteenth!D108)</f>
        <v/>
      </c>
      <c r="E3605" s="66" t="str">
        <f>IF(Fifteenth!E108="", "",Fifteenth!E108)</f>
        <v/>
      </c>
      <c r="F3605" s="66" t="str">
        <f>IF(Fifteenth!F108="", "",Fifteenth!F108)</f>
        <v/>
      </c>
      <c r="G3605" s="66" t="str">
        <f>IF(Fifteenth!G108="", "",Fifteenth!G108)</f>
        <v/>
      </c>
      <c r="H3605" s="66" t="str">
        <f>IF(Fifteenth!H108="", "",Fifteenth!H108)</f>
        <v/>
      </c>
      <c r="I3605" s="66" t="str">
        <f>IF(Fifteenth!I108="", "",Fifteenth!I108)</f>
        <v/>
      </c>
      <c r="J3605" s="66" t="str">
        <f>IF(Fifteenth!J108="", "",Fifteenth!J108)</f>
        <v/>
      </c>
      <c r="K3605" s="86" t="str">
        <f>IF(Fifteenth!K108="", "",Fifteenth!K108)</f>
        <v/>
      </c>
      <c r="M3605" s="67" t="str">
        <f t="shared" si="170"/>
        <v/>
      </c>
      <c r="N3605" s="76" t="str">
        <f t="shared" si="171"/>
        <v/>
      </c>
      <c r="O3605" s="33">
        <f t="shared" si="169"/>
        <v>0</v>
      </c>
    </row>
    <row r="3606" spans="1:15" x14ac:dyDescent="0.25">
      <c r="A3606" s="64" t="s">
        <v>186</v>
      </c>
      <c r="B3606" s="79" t="str">
        <f>IF(Fifteenth!B109="", "",Fifteenth!B109)</f>
        <v/>
      </c>
      <c r="C3606" s="66" t="str">
        <f>IF(Fifteenth!C109="", "",Fifteenth!C109)</f>
        <v/>
      </c>
      <c r="D3606" s="66" t="str">
        <f>IF(Fifteenth!D109="", "",Fifteenth!D109)</f>
        <v/>
      </c>
      <c r="E3606" s="66" t="str">
        <f>IF(Fifteenth!E109="", "",Fifteenth!E109)</f>
        <v/>
      </c>
      <c r="F3606" s="66" t="str">
        <f>IF(Fifteenth!F109="", "",Fifteenth!F109)</f>
        <v/>
      </c>
      <c r="G3606" s="66" t="str">
        <f>IF(Fifteenth!G109="", "",Fifteenth!G109)</f>
        <v/>
      </c>
      <c r="H3606" s="66" t="str">
        <f>IF(Fifteenth!H109="", "",Fifteenth!H109)</f>
        <v/>
      </c>
      <c r="I3606" s="66" t="str">
        <f>IF(Fifteenth!I109="", "",Fifteenth!I109)</f>
        <v/>
      </c>
      <c r="J3606" s="66" t="str">
        <f>IF(Fifteenth!J109="", "",Fifteenth!J109)</f>
        <v/>
      </c>
      <c r="K3606" s="86" t="str">
        <f>IF(Fifteenth!K109="", "",Fifteenth!K109)</f>
        <v/>
      </c>
      <c r="M3606" s="67" t="str">
        <f t="shared" si="170"/>
        <v/>
      </c>
      <c r="N3606" s="76" t="str">
        <f t="shared" si="171"/>
        <v/>
      </c>
      <c r="O3606" s="33">
        <f t="shared" si="169"/>
        <v>0</v>
      </c>
    </row>
    <row r="3607" spans="1:15" x14ac:dyDescent="0.25">
      <c r="A3607" s="64" t="s">
        <v>186</v>
      </c>
      <c r="B3607" s="79" t="str">
        <f>IF(Fifteenth!B110="", "",Fifteenth!B110)</f>
        <v/>
      </c>
      <c r="C3607" s="66" t="str">
        <f>IF(Fifteenth!C110="", "",Fifteenth!C110)</f>
        <v/>
      </c>
      <c r="D3607" s="66" t="str">
        <f>IF(Fifteenth!D110="", "",Fifteenth!D110)</f>
        <v/>
      </c>
      <c r="E3607" s="66" t="str">
        <f>IF(Fifteenth!E110="", "",Fifteenth!E110)</f>
        <v/>
      </c>
      <c r="F3607" s="66" t="str">
        <f>IF(Fifteenth!F110="", "",Fifteenth!F110)</f>
        <v/>
      </c>
      <c r="G3607" s="66" t="str">
        <f>IF(Fifteenth!G110="", "",Fifteenth!G110)</f>
        <v/>
      </c>
      <c r="H3607" s="66" t="str">
        <f>IF(Fifteenth!H110="", "",Fifteenth!H110)</f>
        <v/>
      </c>
      <c r="I3607" s="66" t="str">
        <f>IF(Fifteenth!I110="", "",Fifteenth!I110)</f>
        <v/>
      </c>
      <c r="J3607" s="66" t="str">
        <f>IF(Fifteenth!J110="", "",Fifteenth!J110)</f>
        <v/>
      </c>
      <c r="K3607" s="86" t="str">
        <f>IF(Fifteenth!K110="", "",Fifteenth!K110)</f>
        <v/>
      </c>
      <c r="M3607" s="67" t="str">
        <f t="shared" si="170"/>
        <v/>
      </c>
      <c r="N3607" s="76" t="str">
        <f t="shared" si="171"/>
        <v/>
      </c>
      <c r="O3607" s="33">
        <f t="shared" si="169"/>
        <v>0</v>
      </c>
    </row>
    <row r="3608" spans="1:15" x14ac:dyDescent="0.25">
      <c r="A3608" s="64" t="s">
        <v>186</v>
      </c>
      <c r="B3608" s="79" t="str">
        <f>IF(Fifteenth!B111="", "",Fifteenth!B111)</f>
        <v/>
      </c>
      <c r="C3608" s="66" t="str">
        <f>IF(Fifteenth!C111="", "",Fifteenth!C111)</f>
        <v/>
      </c>
      <c r="D3608" s="66" t="str">
        <f>IF(Fifteenth!D111="", "",Fifteenth!D111)</f>
        <v/>
      </c>
      <c r="E3608" s="66" t="str">
        <f>IF(Fifteenth!E111="", "",Fifteenth!E111)</f>
        <v/>
      </c>
      <c r="F3608" s="66" t="str">
        <f>IF(Fifteenth!F111="", "",Fifteenth!F111)</f>
        <v/>
      </c>
      <c r="G3608" s="66" t="str">
        <f>IF(Fifteenth!G111="", "",Fifteenth!G111)</f>
        <v/>
      </c>
      <c r="H3608" s="66" t="str">
        <f>IF(Fifteenth!H111="", "",Fifteenth!H111)</f>
        <v/>
      </c>
      <c r="I3608" s="66" t="str">
        <f>IF(Fifteenth!I111="", "",Fifteenth!I111)</f>
        <v/>
      </c>
      <c r="J3608" s="66" t="str">
        <f>IF(Fifteenth!J111="", "",Fifteenth!J111)</f>
        <v/>
      </c>
      <c r="K3608" s="86" t="str">
        <f>IF(Fifteenth!K111="", "",Fifteenth!K111)</f>
        <v/>
      </c>
      <c r="M3608" s="67" t="str">
        <f t="shared" si="170"/>
        <v/>
      </c>
      <c r="N3608" s="76" t="str">
        <f t="shared" si="171"/>
        <v/>
      </c>
      <c r="O3608" s="33">
        <f t="shared" si="169"/>
        <v>0</v>
      </c>
    </row>
    <row r="3609" spans="1:15" x14ac:dyDescent="0.25">
      <c r="A3609" s="64" t="s">
        <v>186</v>
      </c>
      <c r="B3609" s="79" t="str">
        <f>IF(Fifteenth!B112="", "",Fifteenth!B112)</f>
        <v/>
      </c>
      <c r="C3609" s="66" t="str">
        <f>IF(Fifteenth!C112="", "",Fifteenth!C112)</f>
        <v/>
      </c>
      <c r="D3609" s="66" t="str">
        <f>IF(Fifteenth!D112="", "",Fifteenth!D112)</f>
        <v/>
      </c>
      <c r="E3609" s="66" t="str">
        <f>IF(Fifteenth!E112="", "",Fifteenth!E112)</f>
        <v/>
      </c>
      <c r="F3609" s="66" t="str">
        <f>IF(Fifteenth!F112="", "",Fifteenth!F112)</f>
        <v/>
      </c>
      <c r="G3609" s="66" t="str">
        <f>IF(Fifteenth!G112="", "",Fifteenth!G112)</f>
        <v/>
      </c>
      <c r="H3609" s="66" t="str">
        <f>IF(Fifteenth!H112="", "",Fifteenth!H112)</f>
        <v/>
      </c>
      <c r="I3609" s="66" t="str">
        <f>IF(Fifteenth!I112="", "",Fifteenth!I112)</f>
        <v/>
      </c>
      <c r="J3609" s="66" t="str">
        <f>IF(Fifteenth!J112="", "",Fifteenth!J112)</f>
        <v/>
      </c>
      <c r="K3609" s="86" t="str">
        <f>IF(Fifteenth!K112="", "",Fifteenth!K112)</f>
        <v/>
      </c>
      <c r="M3609" s="67" t="str">
        <f t="shared" si="170"/>
        <v/>
      </c>
      <c r="N3609" s="76" t="str">
        <f t="shared" si="171"/>
        <v/>
      </c>
      <c r="O3609" s="33">
        <f t="shared" si="169"/>
        <v>0</v>
      </c>
    </row>
    <row r="3610" spans="1:15" x14ac:dyDescent="0.25">
      <c r="A3610" s="64" t="s">
        <v>186</v>
      </c>
      <c r="B3610" s="79" t="str">
        <f>IF(Fifteenth!B113="", "",Fifteenth!B113)</f>
        <v/>
      </c>
      <c r="C3610" s="66" t="str">
        <f>IF(Fifteenth!C113="", "",Fifteenth!C113)</f>
        <v/>
      </c>
      <c r="D3610" s="66" t="str">
        <f>IF(Fifteenth!D113="", "",Fifteenth!D113)</f>
        <v/>
      </c>
      <c r="E3610" s="66" t="str">
        <f>IF(Fifteenth!E113="", "",Fifteenth!E113)</f>
        <v/>
      </c>
      <c r="F3610" s="66" t="str">
        <f>IF(Fifteenth!F113="", "",Fifteenth!F113)</f>
        <v/>
      </c>
      <c r="G3610" s="66" t="str">
        <f>IF(Fifteenth!G113="", "",Fifteenth!G113)</f>
        <v/>
      </c>
      <c r="H3610" s="66" t="str">
        <f>IF(Fifteenth!H113="", "",Fifteenth!H113)</f>
        <v/>
      </c>
      <c r="I3610" s="66" t="str">
        <f>IF(Fifteenth!I113="", "",Fifteenth!I113)</f>
        <v/>
      </c>
      <c r="J3610" s="66" t="str">
        <f>IF(Fifteenth!J113="", "",Fifteenth!J113)</f>
        <v/>
      </c>
      <c r="K3610" s="86" t="str">
        <f>IF(Fifteenth!K113="", "",Fifteenth!K113)</f>
        <v/>
      </c>
      <c r="M3610" s="67" t="str">
        <f t="shared" si="170"/>
        <v/>
      </c>
      <c r="N3610" s="76" t="str">
        <f t="shared" si="171"/>
        <v/>
      </c>
      <c r="O3610" s="33">
        <f t="shared" si="169"/>
        <v>0</v>
      </c>
    </row>
    <row r="3611" spans="1:15" x14ac:dyDescent="0.25">
      <c r="A3611" s="64" t="s">
        <v>186</v>
      </c>
      <c r="B3611" s="79" t="str">
        <f>IF(Fifteenth!B114="", "",Fifteenth!B114)</f>
        <v/>
      </c>
      <c r="C3611" s="66" t="str">
        <f>IF(Fifteenth!C114="", "",Fifteenth!C114)</f>
        <v/>
      </c>
      <c r="D3611" s="66" t="str">
        <f>IF(Fifteenth!D114="", "",Fifteenth!D114)</f>
        <v/>
      </c>
      <c r="E3611" s="66" t="str">
        <f>IF(Fifteenth!E114="", "",Fifteenth!E114)</f>
        <v/>
      </c>
      <c r="F3611" s="66" t="str">
        <f>IF(Fifteenth!F114="", "",Fifteenth!F114)</f>
        <v/>
      </c>
      <c r="G3611" s="66" t="str">
        <f>IF(Fifteenth!G114="", "",Fifteenth!G114)</f>
        <v/>
      </c>
      <c r="H3611" s="66" t="str">
        <f>IF(Fifteenth!H114="", "",Fifteenth!H114)</f>
        <v/>
      </c>
      <c r="I3611" s="66" t="str">
        <f>IF(Fifteenth!I114="", "",Fifteenth!I114)</f>
        <v/>
      </c>
      <c r="J3611" s="66" t="str">
        <f>IF(Fifteenth!J114="", "",Fifteenth!J114)</f>
        <v/>
      </c>
      <c r="K3611" s="86" t="str">
        <f>IF(Fifteenth!K114="", "",Fifteenth!K114)</f>
        <v/>
      </c>
      <c r="M3611" s="67" t="str">
        <f t="shared" si="170"/>
        <v/>
      </c>
      <c r="N3611" s="76" t="str">
        <f t="shared" si="171"/>
        <v/>
      </c>
      <c r="O3611" s="33">
        <f t="shared" si="169"/>
        <v>0</v>
      </c>
    </row>
    <row r="3612" spans="1:15" x14ac:dyDescent="0.25">
      <c r="A3612" s="64" t="s">
        <v>186</v>
      </c>
      <c r="B3612" s="79" t="str">
        <f>IF(Fifteenth!B115="", "",Fifteenth!B115)</f>
        <v/>
      </c>
      <c r="C3612" s="66" t="str">
        <f>IF(Fifteenth!C115="", "",Fifteenth!C115)</f>
        <v/>
      </c>
      <c r="D3612" s="66" t="str">
        <f>IF(Fifteenth!D115="", "",Fifteenth!D115)</f>
        <v/>
      </c>
      <c r="E3612" s="66" t="str">
        <f>IF(Fifteenth!E115="", "",Fifteenth!E115)</f>
        <v/>
      </c>
      <c r="F3612" s="66" t="str">
        <f>IF(Fifteenth!F115="", "",Fifteenth!F115)</f>
        <v/>
      </c>
      <c r="G3612" s="66" t="str">
        <f>IF(Fifteenth!G115="", "",Fifteenth!G115)</f>
        <v/>
      </c>
      <c r="H3612" s="66" t="str">
        <f>IF(Fifteenth!H115="", "",Fifteenth!H115)</f>
        <v/>
      </c>
      <c r="I3612" s="66" t="str">
        <f>IF(Fifteenth!I115="", "",Fifteenth!I115)</f>
        <v/>
      </c>
      <c r="J3612" s="66" t="str">
        <f>IF(Fifteenth!J115="", "",Fifteenth!J115)</f>
        <v/>
      </c>
      <c r="K3612" s="86" t="str">
        <f>IF(Fifteenth!K115="", "",Fifteenth!K115)</f>
        <v/>
      </c>
      <c r="M3612" s="67" t="str">
        <f t="shared" si="170"/>
        <v/>
      </c>
      <c r="N3612" s="76" t="str">
        <f t="shared" si="171"/>
        <v/>
      </c>
      <c r="O3612" s="33">
        <f t="shared" si="169"/>
        <v>0</v>
      </c>
    </row>
    <row r="3613" spans="1:15" x14ac:dyDescent="0.25">
      <c r="A3613" s="64" t="s">
        <v>186</v>
      </c>
      <c r="B3613" s="79" t="str">
        <f>IF(Fifteenth!B116="", "",Fifteenth!B116)</f>
        <v/>
      </c>
      <c r="C3613" s="66" t="str">
        <f>IF(Fifteenth!C116="", "",Fifteenth!C116)</f>
        <v/>
      </c>
      <c r="D3613" s="66" t="str">
        <f>IF(Fifteenth!D116="", "",Fifteenth!D116)</f>
        <v/>
      </c>
      <c r="E3613" s="66" t="str">
        <f>IF(Fifteenth!E116="", "",Fifteenth!E116)</f>
        <v/>
      </c>
      <c r="F3613" s="66" t="str">
        <f>IF(Fifteenth!F116="", "",Fifteenth!F116)</f>
        <v/>
      </c>
      <c r="G3613" s="66" t="str">
        <f>IF(Fifteenth!G116="", "",Fifteenth!G116)</f>
        <v/>
      </c>
      <c r="H3613" s="66" t="str">
        <f>IF(Fifteenth!H116="", "",Fifteenth!H116)</f>
        <v/>
      </c>
      <c r="I3613" s="66" t="str">
        <f>IF(Fifteenth!I116="", "",Fifteenth!I116)</f>
        <v/>
      </c>
      <c r="J3613" s="66" t="str">
        <f>IF(Fifteenth!J116="", "",Fifteenth!J116)</f>
        <v/>
      </c>
      <c r="K3613" s="86" t="str">
        <f>IF(Fifteenth!K116="", "",Fifteenth!K116)</f>
        <v/>
      </c>
      <c r="M3613" s="67" t="str">
        <f t="shared" si="170"/>
        <v/>
      </c>
      <c r="N3613" s="76" t="str">
        <f t="shared" si="171"/>
        <v/>
      </c>
      <c r="O3613" s="33">
        <f t="shared" si="169"/>
        <v>0</v>
      </c>
    </row>
    <row r="3614" spans="1:15" x14ac:dyDescent="0.25">
      <c r="A3614" s="64" t="s">
        <v>186</v>
      </c>
      <c r="B3614" s="79" t="str">
        <f>IF(Fifteenth!B117="", "",Fifteenth!B117)</f>
        <v/>
      </c>
      <c r="C3614" s="66" t="str">
        <f>IF(Fifteenth!C117="", "",Fifteenth!C117)</f>
        <v/>
      </c>
      <c r="D3614" s="66" t="str">
        <f>IF(Fifteenth!D117="", "",Fifteenth!D117)</f>
        <v/>
      </c>
      <c r="E3614" s="66" t="str">
        <f>IF(Fifteenth!E117="", "",Fifteenth!E117)</f>
        <v/>
      </c>
      <c r="F3614" s="66" t="str">
        <f>IF(Fifteenth!F117="", "",Fifteenth!F117)</f>
        <v/>
      </c>
      <c r="G3614" s="66" t="str">
        <f>IF(Fifteenth!G117="", "",Fifteenth!G117)</f>
        <v/>
      </c>
      <c r="H3614" s="66" t="str">
        <f>IF(Fifteenth!H117="", "",Fifteenth!H117)</f>
        <v/>
      </c>
      <c r="I3614" s="66" t="str">
        <f>IF(Fifteenth!I117="", "",Fifteenth!I117)</f>
        <v/>
      </c>
      <c r="J3614" s="66" t="str">
        <f>IF(Fifteenth!J117="", "",Fifteenth!J117)</f>
        <v/>
      </c>
      <c r="K3614" s="86" t="str">
        <f>IF(Fifteenth!K117="", "",Fifteenth!K117)</f>
        <v/>
      </c>
      <c r="M3614" s="67" t="str">
        <f t="shared" si="170"/>
        <v/>
      </c>
      <c r="N3614" s="76" t="str">
        <f t="shared" si="171"/>
        <v/>
      </c>
      <c r="O3614" s="33">
        <f t="shared" si="169"/>
        <v>0</v>
      </c>
    </row>
    <row r="3615" spans="1:15" x14ac:dyDescent="0.25">
      <c r="A3615" s="64" t="s">
        <v>186</v>
      </c>
      <c r="B3615" s="79" t="str">
        <f>IF(Fifteenth!B118="", "",Fifteenth!B118)</f>
        <v/>
      </c>
      <c r="C3615" s="66" t="str">
        <f>IF(Fifteenth!C118="", "",Fifteenth!C118)</f>
        <v/>
      </c>
      <c r="D3615" s="66" t="str">
        <f>IF(Fifteenth!D118="", "",Fifteenth!D118)</f>
        <v/>
      </c>
      <c r="E3615" s="66" t="str">
        <f>IF(Fifteenth!E118="", "",Fifteenth!E118)</f>
        <v/>
      </c>
      <c r="F3615" s="66" t="str">
        <f>IF(Fifteenth!F118="", "",Fifteenth!F118)</f>
        <v/>
      </c>
      <c r="G3615" s="66" t="str">
        <f>IF(Fifteenth!G118="", "",Fifteenth!G118)</f>
        <v/>
      </c>
      <c r="H3615" s="66" t="str">
        <f>IF(Fifteenth!H118="", "",Fifteenth!H118)</f>
        <v/>
      </c>
      <c r="I3615" s="66" t="str">
        <f>IF(Fifteenth!I118="", "",Fifteenth!I118)</f>
        <v/>
      </c>
      <c r="J3615" s="66" t="str">
        <f>IF(Fifteenth!J118="", "",Fifteenth!J118)</f>
        <v/>
      </c>
      <c r="K3615" s="86" t="str">
        <f>IF(Fifteenth!K118="", "",Fifteenth!K118)</f>
        <v/>
      </c>
      <c r="M3615" s="67" t="str">
        <f t="shared" si="170"/>
        <v/>
      </c>
      <c r="N3615" s="76" t="str">
        <f t="shared" si="171"/>
        <v/>
      </c>
      <c r="O3615" s="33">
        <f t="shared" si="169"/>
        <v>0</v>
      </c>
    </row>
    <row r="3616" spans="1:15" x14ac:dyDescent="0.25">
      <c r="A3616" s="64" t="s">
        <v>186</v>
      </c>
      <c r="B3616" s="79" t="str">
        <f>IF(Fifteenth!B119="", "",Fifteenth!B119)</f>
        <v/>
      </c>
      <c r="C3616" s="66" t="str">
        <f>IF(Fifteenth!C119="", "",Fifteenth!C119)</f>
        <v/>
      </c>
      <c r="D3616" s="66" t="str">
        <f>IF(Fifteenth!D119="", "",Fifteenth!D119)</f>
        <v/>
      </c>
      <c r="E3616" s="66" t="str">
        <f>IF(Fifteenth!E119="", "",Fifteenth!E119)</f>
        <v/>
      </c>
      <c r="F3616" s="66" t="str">
        <f>IF(Fifteenth!F119="", "",Fifteenth!F119)</f>
        <v/>
      </c>
      <c r="G3616" s="66" t="str">
        <f>IF(Fifteenth!G119="", "",Fifteenth!G119)</f>
        <v/>
      </c>
      <c r="H3616" s="66" t="str">
        <f>IF(Fifteenth!H119="", "",Fifteenth!H119)</f>
        <v/>
      </c>
      <c r="I3616" s="66" t="str">
        <f>IF(Fifteenth!I119="", "",Fifteenth!I119)</f>
        <v/>
      </c>
      <c r="J3616" s="66" t="str">
        <f>IF(Fifteenth!J119="", "",Fifteenth!J119)</f>
        <v/>
      </c>
      <c r="K3616" s="86" t="str">
        <f>IF(Fifteenth!K119="", "",Fifteenth!K119)</f>
        <v/>
      </c>
      <c r="M3616" s="67" t="str">
        <f t="shared" si="170"/>
        <v/>
      </c>
      <c r="N3616" s="76" t="str">
        <f t="shared" si="171"/>
        <v/>
      </c>
      <c r="O3616" s="33">
        <f t="shared" si="169"/>
        <v>0</v>
      </c>
    </row>
    <row r="3617" spans="1:15" x14ac:dyDescent="0.25">
      <c r="A3617" s="64" t="s">
        <v>186</v>
      </c>
      <c r="B3617" s="79" t="str">
        <f>IF(Fifteenth!B120="", "",Fifteenth!B120)</f>
        <v/>
      </c>
      <c r="C3617" s="66" t="str">
        <f>IF(Fifteenth!C120="", "",Fifteenth!C120)</f>
        <v/>
      </c>
      <c r="D3617" s="66" t="str">
        <f>IF(Fifteenth!D120="", "",Fifteenth!D120)</f>
        <v/>
      </c>
      <c r="E3617" s="66" t="str">
        <f>IF(Fifteenth!E120="", "",Fifteenth!E120)</f>
        <v/>
      </c>
      <c r="F3617" s="66" t="str">
        <f>IF(Fifteenth!F120="", "",Fifteenth!F120)</f>
        <v/>
      </c>
      <c r="G3617" s="66" t="str">
        <f>IF(Fifteenth!G120="", "",Fifteenth!G120)</f>
        <v/>
      </c>
      <c r="H3617" s="66" t="str">
        <f>IF(Fifteenth!H120="", "",Fifteenth!H120)</f>
        <v/>
      </c>
      <c r="I3617" s="66" t="str">
        <f>IF(Fifteenth!I120="", "",Fifteenth!I120)</f>
        <v/>
      </c>
      <c r="J3617" s="66" t="str">
        <f>IF(Fifteenth!J120="", "",Fifteenth!J120)</f>
        <v/>
      </c>
      <c r="K3617" s="86" t="str">
        <f>IF(Fifteenth!K120="", "",Fifteenth!K120)</f>
        <v/>
      </c>
      <c r="M3617" s="67" t="str">
        <f t="shared" si="170"/>
        <v/>
      </c>
      <c r="N3617" s="76" t="str">
        <f t="shared" si="171"/>
        <v/>
      </c>
      <c r="O3617" s="33">
        <f t="shared" si="169"/>
        <v>0</v>
      </c>
    </row>
    <row r="3618" spans="1:15" x14ac:dyDescent="0.25">
      <c r="A3618" s="64" t="s">
        <v>186</v>
      </c>
      <c r="B3618" s="79" t="str">
        <f>IF(Fifteenth!B121="", "",Fifteenth!B121)</f>
        <v/>
      </c>
      <c r="C3618" s="66" t="str">
        <f>IF(Fifteenth!C121="", "",Fifteenth!C121)</f>
        <v/>
      </c>
      <c r="D3618" s="66" t="str">
        <f>IF(Fifteenth!D121="", "",Fifteenth!D121)</f>
        <v/>
      </c>
      <c r="E3618" s="66" t="str">
        <f>IF(Fifteenth!E121="", "",Fifteenth!E121)</f>
        <v/>
      </c>
      <c r="F3618" s="66" t="str">
        <f>IF(Fifteenth!F121="", "",Fifteenth!F121)</f>
        <v/>
      </c>
      <c r="G3618" s="66" t="str">
        <f>IF(Fifteenth!G121="", "",Fifteenth!G121)</f>
        <v/>
      </c>
      <c r="H3618" s="66" t="str">
        <f>IF(Fifteenth!H121="", "",Fifteenth!H121)</f>
        <v/>
      </c>
      <c r="I3618" s="66" t="str">
        <f>IF(Fifteenth!I121="", "",Fifteenth!I121)</f>
        <v/>
      </c>
      <c r="J3618" s="66" t="str">
        <f>IF(Fifteenth!J121="", "",Fifteenth!J121)</f>
        <v/>
      </c>
      <c r="K3618" s="86" t="str">
        <f>IF(Fifteenth!K121="", "",Fifteenth!K121)</f>
        <v/>
      </c>
      <c r="M3618" s="67" t="str">
        <f t="shared" si="170"/>
        <v/>
      </c>
      <c r="N3618" s="76" t="str">
        <f t="shared" si="171"/>
        <v/>
      </c>
      <c r="O3618" s="33">
        <f t="shared" si="169"/>
        <v>0</v>
      </c>
    </row>
    <row r="3619" spans="1:15" x14ac:dyDescent="0.25">
      <c r="A3619" s="64" t="s">
        <v>186</v>
      </c>
      <c r="B3619" s="79" t="str">
        <f>IF(Fifteenth!B122="", "",Fifteenth!B122)</f>
        <v/>
      </c>
      <c r="C3619" s="66" t="str">
        <f>IF(Fifteenth!C122="", "",Fifteenth!C122)</f>
        <v/>
      </c>
      <c r="D3619" s="66" t="str">
        <f>IF(Fifteenth!D122="", "",Fifteenth!D122)</f>
        <v/>
      </c>
      <c r="E3619" s="66" t="str">
        <f>IF(Fifteenth!E122="", "",Fifteenth!E122)</f>
        <v/>
      </c>
      <c r="F3619" s="66" t="str">
        <f>IF(Fifteenth!F122="", "",Fifteenth!F122)</f>
        <v/>
      </c>
      <c r="G3619" s="66" t="str">
        <f>IF(Fifteenth!G122="", "",Fifteenth!G122)</f>
        <v/>
      </c>
      <c r="H3619" s="66" t="str">
        <f>IF(Fifteenth!H122="", "",Fifteenth!H122)</f>
        <v/>
      </c>
      <c r="I3619" s="66" t="str">
        <f>IF(Fifteenth!I122="", "",Fifteenth!I122)</f>
        <v/>
      </c>
      <c r="J3619" s="66" t="str">
        <f>IF(Fifteenth!J122="", "",Fifteenth!J122)</f>
        <v/>
      </c>
      <c r="K3619" s="86" t="str">
        <f>IF(Fifteenth!K122="", "",Fifteenth!K122)</f>
        <v/>
      </c>
      <c r="M3619" s="67" t="str">
        <f t="shared" si="170"/>
        <v/>
      </c>
      <c r="N3619" s="76" t="str">
        <f t="shared" si="171"/>
        <v/>
      </c>
      <c r="O3619" s="33">
        <f t="shared" si="169"/>
        <v>0</v>
      </c>
    </row>
    <row r="3620" spans="1:15" x14ac:dyDescent="0.25">
      <c r="A3620" s="64" t="s">
        <v>186</v>
      </c>
      <c r="B3620" s="79" t="str">
        <f>IF(Fifteenth!B123="", "",Fifteenth!B123)</f>
        <v/>
      </c>
      <c r="C3620" s="66" t="str">
        <f>IF(Fifteenth!C123="", "",Fifteenth!C123)</f>
        <v/>
      </c>
      <c r="D3620" s="66" t="str">
        <f>IF(Fifteenth!D123="", "",Fifteenth!D123)</f>
        <v/>
      </c>
      <c r="E3620" s="66" t="str">
        <f>IF(Fifteenth!E123="", "",Fifteenth!E123)</f>
        <v/>
      </c>
      <c r="F3620" s="66" t="str">
        <f>IF(Fifteenth!F123="", "",Fifteenth!F123)</f>
        <v/>
      </c>
      <c r="G3620" s="66" t="str">
        <f>IF(Fifteenth!G123="", "",Fifteenth!G123)</f>
        <v/>
      </c>
      <c r="H3620" s="66" t="str">
        <f>IF(Fifteenth!H123="", "",Fifteenth!H123)</f>
        <v/>
      </c>
      <c r="I3620" s="66" t="str">
        <f>IF(Fifteenth!I123="", "",Fifteenth!I123)</f>
        <v/>
      </c>
      <c r="J3620" s="66" t="str">
        <f>IF(Fifteenth!J123="", "",Fifteenth!J123)</f>
        <v/>
      </c>
      <c r="K3620" s="86" t="str">
        <f>IF(Fifteenth!K123="", "",Fifteenth!K123)</f>
        <v/>
      </c>
      <c r="M3620" s="67" t="str">
        <f t="shared" si="170"/>
        <v/>
      </c>
      <c r="N3620" s="76" t="str">
        <f t="shared" si="171"/>
        <v/>
      </c>
      <c r="O3620" s="33">
        <f t="shared" si="169"/>
        <v>0</v>
      </c>
    </row>
    <row r="3621" spans="1:15" x14ac:dyDescent="0.25">
      <c r="A3621" s="64" t="s">
        <v>186</v>
      </c>
      <c r="B3621" s="79" t="str">
        <f>IF(Fifteenth!B124="", "",Fifteenth!B124)</f>
        <v/>
      </c>
      <c r="C3621" s="66" t="str">
        <f>IF(Fifteenth!C124="", "",Fifteenth!C124)</f>
        <v/>
      </c>
      <c r="D3621" s="66" t="str">
        <f>IF(Fifteenth!D124="", "",Fifteenth!D124)</f>
        <v/>
      </c>
      <c r="E3621" s="66" t="str">
        <f>IF(Fifteenth!E124="", "",Fifteenth!E124)</f>
        <v/>
      </c>
      <c r="F3621" s="66" t="str">
        <f>IF(Fifteenth!F124="", "",Fifteenth!F124)</f>
        <v/>
      </c>
      <c r="G3621" s="66" t="str">
        <f>IF(Fifteenth!G124="", "",Fifteenth!G124)</f>
        <v/>
      </c>
      <c r="H3621" s="66" t="str">
        <f>IF(Fifteenth!H124="", "",Fifteenth!H124)</f>
        <v/>
      </c>
      <c r="I3621" s="66" t="str">
        <f>IF(Fifteenth!I124="", "",Fifteenth!I124)</f>
        <v/>
      </c>
      <c r="J3621" s="66" t="str">
        <f>IF(Fifteenth!J124="", "",Fifteenth!J124)</f>
        <v/>
      </c>
      <c r="K3621" s="86" t="str">
        <f>IF(Fifteenth!K124="", "",Fifteenth!K124)</f>
        <v/>
      </c>
      <c r="M3621" s="67" t="str">
        <f t="shared" si="170"/>
        <v/>
      </c>
      <c r="N3621" s="76" t="str">
        <f t="shared" si="171"/>
        <v/>
      </c>
      <c r="O3621" s="33">
        <f t="shared" si="169"/>
        <v>0</v>
      </c>
    </row>
    <row r="3622" spans="1:15" x14ac:dyDescent="0.25">
      <c r="A3622" s="64" t="s">
        <v>186</v>
      </c>
      <c r="B3622" s="79" t="str">
        <f>IF(Fifteenth!B125="", "",Fifteenth!B125)</f>
        <v/>
      </c>
      <c r="C3622" s="66" t="str">
        <f>IF(Fifteenth!C125="", "",Fifteenth!C125)</f>
        <v/>
      </c>
      <c r="D3622" s="66" t="str">
        <f>IF(Fifteenth!D125="", "",Fifteenth!D125)</f>
        <v/>
      </c>
      <c r="E3622" s="66" t="str">
        <f>IF(Fifteenth!E125="", "",Fifteenth!E125)</f>
        <v/>
      </c>
      <c r="F3622" s="66" t="str">
        <f>IF(Fifteenth!F125="", "",Fifteenth!F125)</f>
        <v/>
      </c>
      <c r="G3622" s="66" t="str">
        <f>IF(Fifteenth!G125="", "",Fifteenth!G125)</f>
        <v/>
      </c>
      <c r="H3622" s="66" t="str">
        <f>IF(Fifteenth!H125="", "",Fifteenth!H125)</f>
        <v/>
      </c>
      <c r="I3622" s="66" t="str">
        <f>IF(Fifteenth!I125="", "",Fifteenth!I125)</f>
        <v/>
      </c>
      <c r="J3622" s="66" t="str">
        <f>IF(Fifteenth!J125="", "",Fifteenth!J125)</f>
        <v/>
      </c>
      <c r="K3622" s="86" t="str">
        <f>IF(Fifteenth!K125="", "",Fifteenth!K125)</f>
        <v/>
      </c>
      <c r="M3622" s="67" t="str">
        <f t="shared" si="170"/>
        <v/>
      </c>
      <c r="N3622" s="76" t="str">
        <f t="shared" si="171"/>
        <v/>
      </c>
      <c r="O3622" s="33">
        <f t="shared" si="169"/>
        <v>0</v>
      </c>
    </row>
    <row r="3623" spans="1:15" x14ac:dyDescent="0.25">
      <c r="A3623" s="64" t="s">
        <v>186</v>
      </c>
      <c r="B3623" s="79" t="str">
        <f>IF(Fifteenth!B126="", "",Fifteenth!B126)</f>
        <v/>
      </c>
      <c r="C3623" s="66" t="str">
        <f>IF(Fifteenth!C126="", "",Fifteenth!C126)</f>
        <v/>
      </c>
      <c r="D3623" s="66" t="str">
        <f>IF(Fifteenth!D126="", "",Fifteenth!D126)</f>
        <v/>
      </c>
      <c r="E3623" s="66" t="str">
        <f>IF(Fifteenth!E126="", "",Fifteenth!E126)</f>
        <v/>
      </c>
      <c r="F3623" s="66" t="str">
        <f>IF(Fifteenth!F126="", "",Fifteenth!F126)</f>
        <v/>
      </c>
      <c r="G3623" s="66" t="str">
        <f>IF(Fifteenth!G126="", "",Fifteenth!G126)</f>
        <v/>
      </c>
      <c r="H3623" s="66" t="str">
        <f>IF(Fifteenth!H126="", "",Fifteenth!H126)</f>
        <v/>
      </c>
      <c r="I3623" s="66" t="str">
        <f>IF(Fifteenth!I126="", "",Fifteenth!I126)</f>
        <v/>
      </c>
      <c r="J3623" s="66" t="str">
        <f>IF(Fifteenth!J126="", "",Fifteenth!J126)</f>
        <v/>
      </c>
      <c r="K3623" s="86" t="str">
        <f>IF(Fifteenth!K126="", "",Fifteenth!K126)</f>
        <v/>
      </c>
      <c r="M3623" s="67" t="str">
        <f t="shared" si="170"/>
        <v/>
      </c>
      <c r="N3623" s="76" t="str">
        <f t="shared" si="171"/>
        <v/>
      </c>
      <c r="O3623" s="33">
        <f t="shared" si="169"/>
        <v>0</v>
      </c>
    </row>
    <row r="3624" spans="1:15" x14ac:dyDescent="0.25">
      <c r="A3624" s="64" t="s">
        <v>186</v>
      </c>
      <c r="B3624" s="79" t="str">
        <f>IF(Fifteenth!B127="", "",Fifteenth!B127)</f>
        <v/>
      </c>
      <c r="C3624" s="66" t="str">
        <f>IF(Fifteenth!C127="", "",Fifteenth!C127)</f>
        <v/>
      </c>
      <c r="D3624" s="66" t="str">
        <f>IF(Fifteenth!D127="", "",Fifteenth!D127)</f>
        <v/>
      </c>
      <c r="E3624" s="66" t="str">
        <f>IF(Fifteenth!E127="", "",Fifteenth!E127)</f>
        <v/>
      </c>
      <c r="F3624" s="66" t="str">
        <f>IF(Fifteenth!F127="", "",Fifteenth!F127)</f>
        <v/>
      </c>
      <c r="G3624" s="66" t="str">
        <f>IF(Fifteenth!G127="", "",Fifteenth!G127)</f>
        <v/>
      </c>
      <c r="H3624" s="66" t="str">
        <f>IF(Fifteenth!H127="", "",Fifteenth!H127)</f>
        <v/>
      </c>
      <c r="I3624" s="66" t="str">
        <f>IF(Fifteenth!I127="", "",Fifteenth!I127)</f>
        <v/>
      </c>
      <c r="J3624" s="66" t="str">
        <f>IF(Fifteenth!J127="", "",Fifteenth!J127)</f>
        <v/>
      </c>
      <c r="K3624" s="86" t="str">
        <f>IF(Fifteenth!K127="", "",Fifteenth!K127)</f>
        <v/>
      </c>
      <c r="M3624" s="67" t="str">
        <f t="shared" si="170"/>
        <v/>
      </c>
      <c r="N3624" s="76" t="str">
        <f t="shared" si="171"/>
        <v/>
      </c>
      <c r="O3624" s="33">
        <f t="shared" si="169"/>
        <v>0</v>
      </c>
    </row>
    <row r="3625" spans="1:15" x14ac:dyDescent="0.25">
      <c r="A3625" s="64" t="s">
        <v>186</v>
      </c>
      <c r="B3625" s="79" t="str">
        <f>IF(Fifteenth!B128="", "",Fifteenth!B128)</f>
        <v/>
      </c>
      <c r="C3625" s="66" t="str">
        <f>IF(Fifteenth!C128="", "",Fifteenth!C128)</f>
        <v/>
      </c>
      <c r="D3625" s="66" t="str">
        <f>IF(Fifteenth!D128="", "",Fifteenth!D128)</f>
        <v/>
      </c>
      <c r="E3625" s="66" t="str">
        <f>IF(Fifteenth!E128="", "",Fifteenth!E128)</f>
        <v/>
      </c>
      <c r="F3625" s="66" t="str">
        <f>IF(Fifteenth!F128="", "",Fifteenth!F128)</f>
        <v/>
      </c>
      <c r="G3625" s="66" t="str">
        <f>IF(Fifteenth!G128="", "",Fifteenth!G128)</f>
        <v/>
      </c>
      <c r="H3625" s="66" t="str">
        <f>IF(Fifteenth!H128="", "",Fifteenth!H128)</f>
        <v/>
      </c>
      <c r="I3625" s="66" t="str">
        <f>IF(Fifteenth!I128="", "",Fifteenth!I128)</f>
        <v/>
      </c>
      <c r="J3625" s="66" t="str">
        <f>IF(Fifteenth!J128="", "",Fifteenth!J128)</f>
        <v/>
      </c>
      <c r="K3625" s="86" t="str">
        <f>IF(Fifteenth!K128="", "",Fifteenth!K128)</f>
        <v/>
      </c>
      <c r="M3625" s="67" t="str">
        <f t="shared" si="170"/>
        <v/>
      </c>
      <c r="N3625" s="76" t="str">
        <f t="shared" si="171"/>
        <v/>
      </c>
      <c r="O3625" s="33">
        <f t="shared" si="169"/>
        <v>0</v>
      </c>
    </row>
    <row r="3626" spans="1:15" x14ac:dyDescent="0.25">
      <c r="A3626" s="64" t="s">
        <v>186</v>
      </c>
      <c r="B3626" s="79" t="str">
        <f>IF(Fifteenth!B129="", "",Fifteenth!B129)</f>
        <v/>
      </c>
      <c r="C3626" s="66" t="str">
        <f>IF(Fifteenth!C129="", "",Fifteenth!C129)</f>
        <v/>
      </c>
      <c r="D3626" s="66" t="str">
        <f>IF(Fifteenth!D129="", "",Fifteenth!D129)</f>
        <v/>
      </c>
      <c r="E3626" s="66" t="str">
        <f>IF(Fifteenth!E129="", "",Fifteenth!E129)</f>
        <v/>
      </c>
      <c r="F3626" s="66" t="str">
        <f>IF(Fifteenth!F129="", "",Fifteenth!F129)</f>
        <v/>
      </c>
      <c r="G3626" s="66" t="str">
        <f>IF(Fifteenth!G129="", "",Fifteenth!G129)</f>
        <v/>
      </c>
      <c r="H3626" s="66" t="str">
        <f>IF(Fifteenth!H129="", "",Fifteenth!H129)</f>
        <v/>
      </c>
      <c r="I3626" s="66" t="str">
        <f>IF(Fifteenth!I129="", "",Fifteenth!I129)</f>
        <v/>
      </c>
      <c r="J3626" s="66" t="str">
        <f>IF(Fifteenth!J129="", "",Fifteenth!J129)</f>
        <v/>
      </c>
      <c r="K3626" s="86" t="str">
        <f>IF(Fifteenth!K129="", "",Fifteenth!K129)</f>
        <v/>
      </c>
      <c r="M3626" s="67" t="str">
        <f t="shared" si="170"/>
        <v/>
      </c>
      <c r="N3626" s="76" t="str">
        <f t="shared" si="171"/>
        <v/>
      </c>
      <c r="O3626" s="33">
        <f t="shared" si="169"/>
        <v>0</v>
      </c>
    </row>
    <row r="3627" spans="1:15" x14ac:dyDescent="0.25">
      <c r="A3627" s="64" t="s">
        <v>186</v>
      </c>
      <c r="B3627" s="79" t="str">
        <f>IF(Fifteenth!B130="", "",Fifteenth!B130)</f>
        <v/>
      </c>
      <c r="C3627" s="66" t="str">
        <f>IF(Fifteenth!C130="", "",Fifteenth!C130)</f>
        <v/>
      </c>
      <c r="D3627" s="66" t="str">
        <f>IF(Fifteenth!D130="", "",Fifteenth!D130)</f>
        <v/>
      </c>
      <c r="E3627" s="66" t="str">
        <f>IF(Fifteenth!E130="", "",Fifteenth!E130)</f>
        <v/>
      </c>
      <c r="F3627" s="66" t="str">
        <f>IF(Fifteenth!F130="", "",Fifteenth!F130)</f>
        <v/>
      </c>
      <c r="G3627" s="66" t="str">
        <f>IF(Fifteenth!G130="", "",Fifteenth!G130)</f>
        <v/>
      </c>
      <c r="H3627" s="66" t="str">
        <f>IF(Fifteenth!H130="", "",Fifteenth!H130)</f>
        <v/>
      </c>
      <c r="I3627" s="66" t="str">
        <f>IF(Fifteenth!I130="", "",Fifteenth!I130)</f>
        <v/>
      </c>
      <c r="J3627" s="66" t="str">
        <f>IF(Fifteenth!J130="", "",Fifteenth!J130)</f>
        <v/>
      </c>
      <c r="K3627" s="86" t="str">
        <f>IF(Fifteenth!K130="", "",Fifteenth!K130)</f>
        <v/>
      </c>
      <c r="M3627" s="67" t="str">
        <f t="shared" si="170"/>
        <v/>
      </c>
      <c r="N3627" s="76" t="str">
        <f t="shared" si="171"/>
        <v/>
      </c>
      <c r="O3627" s="33">
        <f t="shared" si="169"/>
        <v>0</v>
      </c>
    </row>
    <row r="3628" spans="1:15" x14ac:dyDescent="0.25">
      <c r="A3628" s="64" t="s">
        <v>186</v>
      </c>
      <c r="B3628" s="79" t="str">
        <f>IF(Fifteenth!B131="", "",Fifteenth!B131)</f>
        <v/>
      </c>
      <c r="C3628" s="66" t="str">
        <f>IF(Fifteenth!C131="", "",Fifteenth!C131)</f>
        <v/>
      </c>
      <c r="D3628" s="66" t="str">
        <f>IF(Fifteenth!D131="", "",Fifteenth!D131)</f>
        <v/>
      </c>
      <c r="E3628" s="66" t="str">
        <f>IF(Fifteenth!E131="", "",Fifteenth!E131)</f>
        <v/>
      </c>
      <c r="F3628" s="66" t="str">
        <f>IF(Fifteenth!F131="", "",Fifteenth!F131)</f>
        <v/>
      </c>
      <c r="G3628" s="66" t="str">
        <f>IF(Fifteenth!G131="", "",Fifteenth!G131)</f>
        <v/>
      </c>
      <c r="H3628" s="66" t="str">
        <f>IF(Fifteenth!H131="", "",Fifteenth!H131)</f>
        <v/>
      </c>
      <c r="I3628" s="66" t="str">
        <f>IF(Fifteenth!I131="", "",Fifteenth!I131)</f>
        <v/>
      </c>
      <c r="J3628" s="66" t="str">
        <f>IF(Fifteenth!J131="", "",Fifteenth!J131)</f>
        <v/>
      </c>
      <c r="K3628" s="86" t="str">
        <f>IF(Fifteenth!K131="", "",Fifteenth!K131)</f>
        <v/>
      </c>
      <c r="M3628" s="67" t="str">
        <f t="shared" si="170"/>
        <v/>
      </c>
      <c r="N3628" s="76" t="str">
        <f t="shared" si="171"/>
        <v/>
      </c>
      <c r="O3628" s="33">
        <f t="shared" si="169"/>
        <v>0</v>
      </c>
    </row>
    <row r="3629" spans="1:15" x14ac:dyDescent="0.25">
      <c r="A3629" s="64" t="s">
        <v>186</v>
      </c>
      <c r="B3629" s="79" t="str">
        <f>IF(Fifteenth!B132="", "",Fifteenth!B132)</f>
        <v/>
      </c>
      <c r="C3629" s="66" t="str">
        <f>IF(Fifteenth!C132="", "",Fifteenth!C132)</f>
        <v/>
      </c>
      <c r="D3629" s="66" t="str">
        <f>IF(Fifteenth!D132="", "",Fifteenth!D132)</f>
        <v/>
      </c>
      <c r="E3629" s="66" t="str">
        <f>IF(Fifteenth!E132="", "",Fifteenth!E132)</f>
        <v/>
      </c>
      <c r="F3629" s="66" t="str">
        <f>IF(Fifteenth!F132="", "",Fifteenth!F132)</f>
        <v/>
      </c>
      <c r="G3629" s="66" t="str">
        <f>IF(Fifteenth!G132="", "",Fifteenth!G132)</f>
        <v/>
      </c>
      <c r="H3629" s="66" t="str">
        <f>IF(Fifteenth!H132="", "",Fifteenth!H132)</f>
        <v/>
      </c>
      <c r="I3629" s="66" t="str">
        <f>IF(Fifteenth!I132="", "",Fifteenth!I132)</f>
        <v/>
      </c>
      <c r="J3629" s="66" t="str">
        <f>IF(Fifteenth!J132="", "",Fifteenth!J132)</f>
        <v/>
      </c>
      <c r="K3629" s="86" t="str">
        <f>IF(Fifteenth!K132="", "",Fifteenth!K132)</f>
        <v/>
      </c>
      <c r="M3629" s="67" t="str">
        <f t="shared" si="170"/>
        <v/>
      </c>
      <c r="N3629" s="76" t="str">
        <f t="shared" si="171"/>
        <v/>
      </c>
      <c r="O3629" s="33">
        <f t="shared" si="169"/>
        <v>0</v>
      </c>
    </row>
    <row r="3630" spans="1:15" x14ac:dyDescent="0.25">
      <c r="A3630" s="64" t="s">
        <v>186</v>
      </c>
      <c r="B3630" s="79" t="str">
        <f>IF(Fifteenth!B133="", "",Fifteenth!B133)</f>
        <v/>
      </c>
      <c r="C3630" s="66" t="str">
        <f>IF(Fifteenth!C133="", "",Fifteenth!C133)</f>
        <v/>
      </c>
      <c r="D3630" s="66" t="str">
        <f>IF(Fifteenth!D133="", "",Fifteenth!D133)</f>
        <v/>
      </c>
      <c r="E3630" s="66" t="str">
        <f>IF(Fifteenth!E133="", "",Fifteenth!E133)</f>
        <v/>
      </c>
      <c r="F3630" s="66" t="str">
        <f>IF(Fifteenth!F133="", "",Fifteenth!F133)</f>
        <v/>
      </c>
      <c r="G3630" s="66" t="str">
        <f>IF(Fifteenth!G133="", "",Fifteenth!G133)</f>
        <v/>
      </c>
      <c r="H3630" s="66" t="str">
        <f>IF(Fifteenth!H133="", "",Fifteenth!H133)</f>
        <v/>
      </c>
      <c r="I3630" s="66" t="str">
        <f>IF(Fifteenth!I133="", "",Fifteenth!I133)</f>
        <v/>
      </c>
      <c r="J3630" s="66" t="str">
        <f>IF(Fifteenth!J133="", "",Fifteenth!J133)</f>
        <v/>
      </c>
      <c r="K3630" s="86" t="str">
        <f>IF(Fifteenth!K133="", "",Fifteenth!K133)</f>
        <v/>
      </c>
      <c r="M3630" s="67" t="str">
        <f t="shared" si="170"/>
        <v/>
      </c>
      <c r="N3630" s="76" t="str">
        <f t="shared" si="171"/>
        <v/>
      </c>
      <c r="O3630" s="33">
        <f t="shared" si="169"/>
        <v>0</v>
      </c>
    </row>
    <row r="3631" spans="1:15" x14ac:dyDescent="0.25">
      <c r="A3631" s="64" t="s">
        <v>186</v>
      </c>
      <c r="B3631" s="79" t="str">
        <f>IF(Fifteenth!B134="", "",Fifteenth!B134)</f>
        <v/>
      </c>
      <c r="C3631" s="66" t="str">
        <f>IF(Fifteenth!C134="", "",Fifteenth!C134)</f>
        <v/>
      </c>
      <c r="D3631" s="66" t="str">
        <f>IF(Fifteenth!D134="", "",Fifteenth!D134)</f>
        <v/>
      </c>
      <c r="E3631" s="66" t="str">
        <f>IF(Fifteenth!E134="", "",Fifteenth!E134)</f>
        <v/>
      </c>
      <c r="F3631" s="66" t="str">
        <f>IF(Fifteenth!F134="", "",Fifteenth!F134)</f>
        <v/>
      </c>
      <c r="G3631" s="66" t="str">
        <f>IF(Fifteenth!G134="", "",Fifteenth!G134)</f>
        <v/>
      </c>
      <c r="H3631" s="66" t="str">
        <f>IF(Fifteenth!H134="", "",Fifteenth!H134)</f>
        <v/>
      </c>
      <c r="I3631" s="66" t="str">
        <f>IF(Fifteenth!I134="", "",Fifteenth!I134)</f>
        <v/>
      </c>
      <c r="J3631" s="66" t="str">
        <f>IF(Fifteenth!J134="", "",Fifteenth!J134)</f>
        <v/>
      </c>
      <c r="K3631" s="86" t="str">
        <f>IF(Fifteenth!K134="", "",Fifteenth!K134)</f>
        <v/>
      </c>
      <c r="M3631" s="67" t="str">
        <f t="shared" si="170"/>
        <v/>
      </c>
      <c r="N3631" s="76" t="str">
        <f t="shared" si="171"/>
        <v/>
      </c>
      <c r="O3631" s="33">
        <f t="shared" si="169"/>
        <v>0</v>
      </c>
    </row>
    <row r="3632" spans="1:15" x14ac:dyDescent="0.25">
      <c r="A3632" s="64" t="s">
        <v>186</v>
      </c>
      <c r="B3632" s="79" t="str">
        <f>IF(Fifteenth!B135="", "",Fifteenth!B135)</f>
        <v/>
      </c>
      <c r="C3632" s="66" t="str">
        <f>IF(Fifteenth!C135="", "",Fifteenth!C135)</f>
        <v/>
      </c>
      <c r="D3632" s="66" t="str">
        <f>IF(Fifteenth!D135="", "",Fifteenth!D135)</f>
        <v/>
      </c>
      <c r="E3632" s="66" t="str">
        <f>IF(Fifteenth!E135="", "",Fifteenth!E135)</f>
        <v/>
      </c>
      <c r="F3632" s="66" t="str">
        <f>IF(Fifteenth!F135="", "",Fifteenth!F135)</f>
        <v/>
      </c>
      <c r="G3632" s="66" t="str">
        <f>IF(Fifteenth!G135="", "",Fifteenth!G135)</f>
        <v/>
      </c>
      <c r="H3632" s="66" t="str">
        <f>IF(Fifteenth!H135="", "",Fifteenth!H135)</f>
        <v/>
      </c>
      <c r="I3632" s="66" t="str">
        <f>IF(Fifteenth!I135="", "",Fifteenth!I135)</f>
        <v/>
      </c>
      <c r="J3632" s="66" t="str">
        <f>IF(Fifteenth!J135="", "",Fifteenth!J135)</f>
        <v/>
      </c>
      <c r="K3632" s="86" t="str">
        <f>IF(Fifteenth!K135="", "",Fifteenth!K135)</f>
        <v/>
      </c>
      <c r="M3632" s="67" t="str">
        <f t="shared" si="170"/>
        <v/>
      </c>
      <c r="N3632" s="76" t="str">
        <f t="shared" si="171"/>
        <v/>
      </c>
      <c r="O3632" s="33">
        <f t="shared" si="169"/>
        <v>0</v>
      </c>
    </row>
    <row r="3633" spans="1:15" x14ac:dyDescent="0.25">
      <c r="A3633" s="64" t="s">
        <v>186</v>
      </c>
      <c r="B3633" s="79" t="str">
        <f>IF(Fifteenth!B136="", "",Fifteenth!B136)</f>
        <v/>
      </c>
      <c r="C3633" s="66" t="str">
        <f>IF(Fifteenth!C136="", "",Fifteenth!C136)</f>
        <v/>
      </c>
      <c r="D3633" s="66" t="str">
        <f>IF(Fifteenth!D136="", "",Fifteenth!D136)</f>
        <v/>
      </c>
      <c r="E3633" s="66" t="str">
        <f>IF(Fifteenth!E136="", "",Fifteenth!E136)</f>
        <v/>
      </c>
      <c r="F3633" s="66" t="str">
        <f>IF(Fifteenth!F136="", "",Fifteenth!F136)</f>
        <v/>
      </c>
      <c r="G3633" s="66" t="str">
        <f>IF(Fifteenth!G136="", "",Fifteenth!G136)</f>
        <v/>
      </c>
      <c r="H3633" s="66" t="str">
        <f>IF(Fifteenth!H136="", "",Fifteenth!H136)</f>
        <v/>
      </c>
      <c r="I3633" s="66" t="str">
        <f>IF(Fifteenth!I136="", "",Fifteenth!I136)</f>
        <v/>
      </c>
      <c r="J3633" s="66" t="str">
        <f>IF(Fifteenth!J136="", "",Fifteenth!J136)</f>
        <v/>
      </c>
      <c r="K3633" s="86" t="str">
        <f>IF(Fifteenth!K136="", "",Fifteenth!K136)</f>
        <v/>
      </c>
      <c r="M3633" s="67" t="str">
        <f t="shared" si="170"/>
        <v/>
      </c>
      <c r="N3633" s="76" t="str">
        <f t="shared" si="171"/>
        <v/>
      </c>
      <c r="O3633" s="33">
        <f t="shared" si="169"/>
        <v>0</v>
      </c>
    </row>
    <row r="3634" spans="1:15" x14ac:dyDescent="0.25">
      <c r="A3634" s="64" t="s">
        <v>186</v>
      </c>
      <c r="B3634" s="79" t="str">
        <f>IF(Fifteenth!B137="", "",Fifteenth!B137)</f>
        <v/>
      </c>
      <c r="C3634" s="66" t="str">
        <f>IF(Fifteenth!C137="", "",Fifteenth!C137)</f>
        <v/>
      </c>
      <c r="D3634" s="66" t="str">
        <f>IF(Fifteenth!D137="", "",Fifteenth!D137)</f>
        <v/>
      </c>
      <c r="E3634" s="66" t="str">
        <f>IF(Fifteenth!E137="", "",Fifteenth!E137)</f>
        <v/>
      </c>
      <c r="F3634" s="66" t="str">
        <f>IF(Fifteenth!F137="", "",Fifteenth!F137)</f>
        <v/>
      </c>
      <c r="G3634" s="66" t="str">
        <f>IF(Fifteenth!G137="", "",Fifteenth!G137)</f>
        <v/>
      </c>
      <c r="H3634" s="66" t="str">
        <f>IF(Fifteenth!H137="", "",Fifteenth!H137)</f>
        <v/>
      </c>
      <c r="I3634" s="66" t="str">
        <f>IF(Fifteenth!I137="", "",Fifteenth!I137)</f>
        <v/>
      </c>
      <c r="J3634" s="66" t="str">
        <f>IF(Fifteenth!J137="", "",Fifteenth!J137)</f>
        <v/>
      </c>
      <c r="K3634" s="86" t="str">
        <f>IF(Fifteenth!K137="", "",Fifteenth!K137)</f>
        <v/>
      </c>
      <c r="M3634" s="67" t="str">
        <f t="shared" si="170"/>
        <v/>
      </c>
      <c r="N3634" s="76" t="str">
        <f t="shared" si="171"/>
        <v/>
      </c>
      <c r="O3634" s="33">
        <f t="shared" si="169"/>
        <v>0</v>
      </c>
    </row>
    <row r="3635" spans="1:15" x14ac:dyDescent="0.25">
      <c r="A3635" s="64" t="s">
        <v>186</v>
      </c>
      <c r="B3635" s="79" t="str">
        <f>IF(Fifteenth!B138="", "",Fifteenth!B138)</f>
        <v/>
      </c>
      <c r="C3635" s="66" t="str">
        <f>IF(Fifteenth!C138="", "",Fifteenth!C138)</f>
        <v/>
      </c>
      <c r="D3635" s="66" t="str">
        <f>IF(Fifteenth!D138="", "",Fifteenth!D138)</f>
        <v/>
      </c>
      <c r="E3635" s="66" t="str">
        <f>IF(Fifteenth!E138="", "",Fifteenth!E138)</f>
        <v/>
      </c>
      <c r="F3635" s="66" t="str">
        <f>IF(Fifteenth!F138="", "",Fifteenth!F138)</f>
        <v/>
      </c>
      <c r="G3635" s="66" t="str">
        <f>IF(Fifteenth!G138="", "",Fifteenth!G138)</f>
        <v/>
      </c>
      <c r="H3635" s="66" t="str">
        <f>IF(Fifteenth!H138="", "",Fifteenth!H138)</f>
        <v/>
      </c>
      <c r="I3635" s="66" t="str">
        <f>IF(Fifteenth!I138="", "",Fifteenth!I138)</f>
        <v/>
      </c>
      <c r="J3635" s="66" t="str">
        <f>IF(Fifteenth!J138="", "",Fifteenth!J138)</f>
        <v/>
      </c>
      <c r="K3635" s="86" t="str">
        <f>IF(Fifteenth!K138="", "",Fifteenth!K138)</f>
        <v/>
      </c>
      <c r="M3635" s="67" t="str">
        <f t="shared" si="170"/>
        <v/>
      </c>
      <c r="N3635" s="76" t="str">
        <f t="shared" si="171"/>
        <v/>
      </c>
      <c r="O3635" s="33">
        <f t="shared" si="169"/>
        <v>0</v>
      </c>
    </row>
    <row r="3636" spans="1:15" x14ac:dyDescent="0.25">
      <c r="A3636" s="64" t="s">
        <v>186</v>
      </c>
      <c r="B3636" s="79" t="str">
        <f>IF(Fifteenth!B139="", "",Fifteenth!B139)</f>
        <v/>
      </c>
      <c r="C3636" s="66" t="str">
        <f>IF(Fifteenth!C139="", "",Fifteenth!C139)</f>
        <v/>
      </c>
      <c r="D3636" s="66" t="str">
        <f>IF(Fifteenth!D139="", "",Fifteenth!D139)</f>
        <v/>
      </c>
      <c r="E3636" s="66" t="str">
        <f>IF(Fifteenth!E139="", "",Fifteenth!E139)</f>
        <v/>
      </c>
      <c r="F3636" s="66" t="str">
        <f>IF(Fifteenth!F139="", "",Fifteenth!F139)</f>
        <v/>
      </c>
      <c r="G3636" s="66" t="str">
        <f>IF(Fifteenth!G139="", "",Fifteenth!G139)</f>
        <v/>
      </c>
      <c r="H3636" s="66" t="str">
        <f>IF(Fifteenth!H139="", "",Fifteenth!H139)</f>
        <v/>
      </c>
      <c r="I3636" s="66" t="str">
        <f>IF(Fifteenth!I139="", "",Fifteenth!I139)</f>
        <v/>
      </c>
      <c r="J3636" s="66" t="str">
        <f>IF(Fifteenth!J139="", "",Fifteenth!J139)</f>
        <v/>
      </c>
      <c r="K3636" s="86" t="str">
        <f>IF(Fifteenth!K139="", "",Fifteenth!K139)</f>
        <v/>
      </c>
      <c r="M3636" s="67" t="str">
        <f t="shared" si="170"/>
        <v/>
      </c>
      <c r="N3636" s="76" t="str">
        <f t="shared" si="171"/>
        <v/>
      </c>
      <c r="O3636" s="33">
        <f t="shared" si="169"/>
        <v>0</v>
      </c>
    </row>
    <row r="3637" spans="1:15" x14ac:dyDescent="0.25">
      <c r="A3637" s="64" t="s">
        <v>186</v>
      </c>
      <c r="B3637" s="79" t="str">
        <f>IF(Fifteenth!B140="", "",Fifteenth!B140)</f>
        <v/>
      </c>
      <c r="C3637" s="66" t="str">
        <f>IF(Fifteenth!C140="", "",Fifteenth!C140)</f>
        <v/>
      </c>
      <c r="D3637" s="66" t="str">
        <f>IF(Fifteenth!D140="", "",Fifteenth!D140)</f>
        <v/>
      </c>
      <c r="E3637" s="66" t="str">
        <f>IF(Fifteenth!E140="", "",Fifteenth!E140)</f>
        <v/>
      </c>
      <c r="F3637" s="66" t="str">
        <f>IF(Fifteenth!F140="", "",Fifteenth!F140)</f>
        <v/>
      </c>
      <c r="G3637" s="66" t="str">
        <f>IF(Fifteenth!G140="", "",Fifteenth!G140)</f>
        <v/>
      </c>
      <c r="H3637" s="66" t="str">
        <f>IF(Fifteenth!H140="", "",Fifteenth!H140)</f>
        <v/>
      </c>
      <c r="I3637" s="66" t="str">
        <f>IF(Fifteenth!I140="", "",Fifteenth!I140)</f>
        <v/>
      </c>
      <c r="J3637" s="66" t="str">
        <f>IF(Fifteenth!J140="", "",Fifteenth!J140)</f>
        <v/>
      </c>
      <c r="K3637" s="86" t="str">
        <f>IF(Fifteenth!K140="", "",Fifteenth!K140)</f>
        <v/>
      </c>
      <c r="M3637" s="67" t="str">
        <f t="shared" si="170"/>
        <v/>
      </c>
      <c r="N3637" s="76" t="str">
        <f t="shared" si="171"/>
        <v/>
      </c>
      <c r="O3637" s="33">
        <f t="shared" si="169"/>
        <v>0</v>
      </c>
    </row>
    <row r="3638" spans="1:15" x14ac:dyDescent="0.25">
      <c r="A3638" s="64" t="s">
        <v>186</v>
      </c>
      <c r="B3638" s="79" t="str">
        <f>IF(Fifteenth!B141="", "",Fifteenth!B141)</f>
        <v/>
      </c>
      <c r="C3638" s="66" t="str">
        <f>IF(Fifteenth!C141="", "",Fifteenth!C141)</f>
        <v/>
      </c>
      <c r="D3638" s="66" t="str">
        <f>IF(Fifteenth!D141="", "",Fifteenth!D141)</f>
        <v/>
      </c>
      <c r="E3638" s="66" t="str">
        <f>IF(Fifteenth!E141="", "",Fifteenth!E141)</f>
        <v/>
      </c>
      <c r="F3638" s="66" t="str">
        <f>IF(Fifteenth!F141="", "",Fifteenth!F141)</f>
        <v/>
      </c>
      <c r="G3638" s="66" t="str">
        <f>IF(Fifteenth!G141="", "",Fifteenth!G141)</f>
        <v/>
      </c>
      <c r="H3638" s="66" t="str">
        <f>IF(Fifteenth!H141="", "",Fifteenth!H141)</f>
        <v/>
      </c>
      <c r="I3638" s="66" t="str">
        <f>IF(Fifteenth!I141="", "",Fifteenth!I141)</f>
        <v/>
      </c>
      <c r="J3638" s="66" t="str">
        <f>IF(Fifteenth!J141="", "",Fifteenth!J141)</f>
        <v/>
      </c>
      <c r="K3638" s="86" t="str">
        <f>IF(Fifteenth!K141="", "",Fifteenth!K141)</f>
        <v/>
      </c>
      <c r="M3638" s="67" t="str">
        <f t="shared" si="170"/>
        <v/>
      </c>
      <c r="N3638" s="76" t="str">
        <f t="shared" si="171"/>
        <v/>
      </c>
      <c r="O3638" s="33">
        <f t="shared" si="169"/>
        <v>0</v>
      </c>
    </row>
    <row r="3639" spans="1:15" x14ac:dyDescent="0.25">
      <c r="A3639" s="64" t="s">
        <v>186</v>
      </c>
      <c r="B3639" s="79" t="str">
        <f>IF(Fifteenth!B142="", "",Fifteenth!B142)</f>
        <v/>
      </c>
      <c r="C3639" s="66" t="str">
        <f>IF(Fifteenth!C142="", "",Fifteenth!C142)</f>
        <v/>
      </c>
      <c r="D3639" s="66" t="str">
        <f>IF(Fifteenth!D142="", "",Fifteenth!D142)</f>
        <v/>
      </c>
      <c r="E3639" s="66" t="str">
        <f>IF(Fifteenth!E142="", "",Fifteenth!E142)</f>
        <v/>
      </c>
      <c r="F3639" s="66" t="str">
        <f>IF(Fifteenth!F142="", "",Fifteenth!F142)</f>
        <v/>
      </c>
      <c r="G3639" s="66" t="str">
        <f>IF(Fifteenth!G142="", "",Fifteenth!G142)</f>
        <v/>
      </c>
      <c r="H3639" s="66" t="str">
        <f>IF(Fifteenth!H142="", "",Fifteenth!H142)</f>
        <v/>
      </c>
      <c r="I3639" s="66" t="str">
        <f>IF(Fifteenth!I142="", "",Fifteenth!I142)</f>
        <v/>
      </c>
      <c r="J3639" s="66" t="str">
        <f>IF(Fifteenth!J142="", "",Fifteenth!J142)</f>
        <v/>
      </c>
      <c r="K3639" s="86" t="str">
        <f>IF(Fifteenth!K142="", "",Fifteenth!K142)</f>
        <v/>
      </c>
      <c r="M3639" s="67" t="str">
        <f t="shared" si="170"/>
        <v/>
      </c>
      <c r="N3639" s="76" t="str">
        <f t="shared" si="171"/>
        <v/>
      </c>
      <c r="O3639" s="33">
        <f t="shared" si="169"/>
        <v>0</v>
      </c>
    </row>
    <row r="3640" spans="1:15" x14ac:dyDescent="0.25">
      <c r="A3640" s="64" t="s">
        <v>186</v>
      </c>
      <c r="B3640" s="79" t="str">
        <f>IF(Fifteenth!B143="", "",Fifteenth!B143)</f>
        <v/>
      </c>
      <c r="C3640" s="66" t="str">
        <f>IF(Fifteenth!C143="", "",Fifteenth!C143)</f>
        <v/>
      </c>
      <c r="D3640" s="66" t="str">
        <f>IF(Fifteenth!D143="", "",Fifteenth!D143)</f>
        <v/>
      </c>
      <c r="E3640" s="66" t="str">
        <f>IF(Fifteenth!E143="", "",Fifteenth!E143)</f>
        <v/>
      </c>
      <c r="F3640" s="66" t="str">
        <f>IF(Fifteenth!F143="", "",Fifteenth!F143)</f>
        <v/>
      </c>
      <c r="G3640" s="66" t="str">
        <f>IF(Fifteenth!G143="", "",Fifteenth!G143)</f>
        <v/>
      </c>
      <c r="H3640" s="66" t="str">
        <f>IF(Fifteenth!H143="", "",Fifteenth!H143)</f>
        <v/>
      </c>
      <c r="I3640" s="66" t="str">
        <f>IF(Fifteenth!I143="", "",Fifteenth!I143)</f>
        <v/>
      </c>
      <c r="J3640" s="66" t="str">
        <f>IF(Fifteenth!J143="", "",Fifteenth!J143)</f>
        <v/>
      </c>
      <c r="K3640" s="86" t="str">
        <f>IF(Fifteenth!K143="", "",Fifteenth!K143)</f>
        <v/>
      </c>
      <c r="M3640" s="67" t="str">
        <f t="shared" si="170"/>
        <v/>
      </c>
      <c r="N3640" s="76" t="str">
        <f t="shared" si="171"/>
        <v/>
      </c>
      <c r="O3640" s="33">
        <f t="shared" si="169"/>
        <v>0</v>
      </c>
    </row>
    <row r="3641" spans="1:15" x14ac:dyDescent="0.25">
      <c r="A3641" s="64" t="s">
        <v>186</v>
      </c>
      <c r="B3641" s="79" t="str">
        <f>IF(Fifteenth!B144="", "",Fifteenth!B144)</f>
        <v/>
      </c>
      <c r="C3641" s="66" t="str">
        <f>IF(Fifteenth!C144="", "",Fifteenth!C144)</f>
        <v/>
      </c>
      <c r="D3641" s="66" t="str">
        <f>IF(Fifteenth!D144="", "",Fifteenth!D144)</f>
        <v/>
      </c>
      <c r="E3641" s="66" t="str">
        <f>IF(Fifteenth!E144="", "",Fifteenth!E144)</f>
        <v/>
      </c>
      <c r="F3641" s="66" t="str">
        <f>IF(Fifteenth!F144="", "",Fifteenth!F144)</f>
        <v/>
      </c>
      <c r="G3641" s="66" t="str">
        <f>IF(Fifteenth!G144="", "",Fifteenth!G144)</f>
        <v/>
      </c>
      <c r="H3641" s="66" t="str">
        <f>IF(Fifteenth!H144="", "",Fifteenth!H144)</f>
        <v/>
      </c>
      <c r="I3641" s="66" t="str">
        <f>IF(Fifteenth!I144="", "",Fifteenth!I144)</f>
        <v/>
      </c>
      <c r="J3641" s="66" t="str">
        <f>IF(Fifteenth!J144="", "",Fifteenth!J144)</f>
        <v/>
      </c>
      <c r="K3641" s="86" t="str">
        <f>IF(Fifteenth!K144="", "",Fifteenth!K144)</f>
        <v/>
      </c>
      <c r="M3641" s="67" t="str">
        <f t="shared" si="170"/>
        <v/>
      </c>
      <c r="N3641" s="76" t="str">
        <f t="shared" si="171"/>
        <v/>
      </c>
      <c r="O3641" s="33">
        <f t="shared" si="169"/>
        <v>0</v>
      </c>
    </row>
    <row r="3642" spans="1:15" x14ac:dyDescent="0.25">
      <c r="A3642" s="64" t="s">
        <v>186</v>
      </c>
      <c r="B3642" s="79" t="str">
        <f>IF(Fifteenth!B145="", "",Fifteenth!B145)</f>
        <v/>
      </c>
      <c r="C3642" s="66" t="str">
        <f>IF(Fifteenth!C145="", "",Fifteenth!C145)</f>
        <v/>
      </c>
      <c r="D3642" s="66" t="str">
        <f>IF(Fifteenth!D145="", "",Fifteenth!D145)</f>
        <v/>
      </c>
      <c r="E3642" s="66" t="str">
        <f>IF(Fifteenth!E145="", "",Fifteenth!E145)</f>
        <v/>
      </c>
      <c r="F3642" s="66" t="str">
        <f>IF(Fifteenth!F145="", "",Fifteenth!F145)</f>
        <v/>
      </c>
      <c r="G3642" s="66" t="str">
        <f>IF(Fifteenth!G145="", "",Fifteenth!G145)</f>
        <v/>
      </c>
      <c r="H3642" s="66" t="str">
        <f>IF(Fifteenth!H145="", "",Fifteenth!H145)</f>
        <v/>
      </c>
      <c r="I3642" s="66" t="str">
        <f>IF(Fifteenth!I145="", "",Fifteenth!I145)</f>
        <v/>
      </c>
      <c r="J3642" s="66" t="str">
        <f>IF(Fifteenth!J145="", "",Fifteenth!J145)</f>
        <v/>
      </c>
      <c r="K3642" s="86" t="str">
        <f>IF(Fifteenth!K145="", "",Fifteenth!K145)</f>
        <v/>
      </c>
      <c r="M3642" s="67" t="str">
        <f t="shared" si="170"/>
        <v/>
      </c>
      <c r="N3642" s="76" t="str">
        <f t="shared" si="171"/>
        <v/>
      </c>
      <c r="O3642" s="33">
        <f t="shared" si="169"/>
        <v>0</v>
      </c>
    </row>
    <row r="3643" spans="1:15" x14ac:dyDescent="0.25">
      <c r="A3643" s="64" t="s">
        <v>186</v>
      </c>
      <c r="B3643" s="79" t="str">
        <f>IF(Fifteenth!B146="", "",Fifteenth!B146)</f>
        <v/>
      </c>
      <c r="C3643" s="66" t="str">
        <f>IF(Fifteenth!C146="", "",Fifteenth!C146)</f>
        <v/>
      </c>
      <c r="D3643" s="66" t="str">
        <f>IF(Fifteenth!D146="", "",Fifteenth!D146)</f>
        <v/>
      </c>
      <c r="E3643" s="66" t="str">
        <f>IF(Fifteenth!E146="", "",Fifteenth!E146)</f>
        <v/>
      </c>
      <c r="F3643" s="66" t="str">
        <f>IF(Fifteenth!F146="", "",Fifteenth!F146)</f>
        <v/>
      </c>
      <c r="G3643" s="66" t="str">
        <f>IF(Fifteenth!G146="", "",Fifteenth!G146)</f>
        <v/>
      </c>
      <c r="H3643" s="66" t="str">
        <f>IF(Fifteenth!H146="", "",Fifteenth!H146)</f>
        <v/>
      </c>
      <c r="I3643" s="66" t="str">
        <f>IF(Fifteenth!I146="", "",Fifteenth!I146)</f>
        <v/>
      </c>
      <c r="J3643" s="66" t="str">
        <f>IF(Fifteenth!J146="", "",Fifteenth!J146)</f>
        <v/>
      </c>
      <c r="K3643" s="86" t="str">
        <f>IF(Fifteenth!K146="", "",Fifteenth!K146)</f>
        <v/>
      </c>
      <c r="M3643" s="67" t="str">
        <f t="shared" si="170"/>
        <v/>
      </c>
      <c r="N3643" s="76" t="str">
        <f t="shared" si="171"/>
        <v/>
      </c>
      <c r="O3643" s="33">
        <f t="shared" si="169"/>
        <v>0</v>
      </c>
    </row>
    <row r="3644" spans="1:15" x14ac:dyDescent="0.25">
      <c r="A3644" s="64" t="s">
        <v>186</v>
      </c>
      <c r="B3644" s="79" t="str">
        <f>IF(Fifteenth!B147="", "",Fifteenth!B147)</f>
        <v/>
      </c>
      <c r="C3644" s="66" t="str">
        <f>IF(Fifteenth!C147="", "",Fifteenth!C147)</f>
        <v/>
      </c>
      <c r="D3644" s="66" t="str">
        <f>IF(Fifteenth!D147="", "",Fifteenth!D147)</f>
        <v/>
      </c>
      <c r="E3644" s="66" t="str">
        <f>IF(Fifteenth!E147="", "",Fifteenth!E147)</f>
        <v/>
      </c>
      <c r="F3644" s="66" t="str">
        <f>IF(Fifteenth!F147="", "",Fifteenth!F147)</f>
        <v/>
      </c>
      <c r="G3644" s="66" t="str">
        <f>IF(Fifteenth!G147="", "",Fifteenth!G147)</f>
        <v/>
      </c>
      <c r="H3644" s="66" t="str">
        <f>IF(Fifteenth!H147="", "",Fifteenth!H147)</f>
        <v/>
      </c>
      <c r="I3644" s="66" t="str">
        <f>IF(Fifteenth!I147="", "",Fifteenth!I147)</f>
        <v/>
      </c>
      <c r="J3644" s="66" t="str">
        <f>IF(Fifteenth!J147="", "",Fifteenth!J147)</f>
        <v/>
      </c>
      <c r="K3644" s="86" t="str">
        <f>IF(Fifteenth!K147="", "",Fifteenth!K147)</f>
        <v/>
      </c>
      <c r="M3644" s="67" t="str">
        <f t="shared" si="170"/>
        <v/>
      </c>
      <c r="N3644" s="76" t="str">
        <f t="shared" si="171"/>
        <v/>
      </c>
      <c r="O3644" s="33">
        <f t="shared" si="169"/>
        <v>0</v>
      </c>
    </row>
    <row r="3645" spans="1:15" x14ac:dyDescent="0.25">
      <c r="A3645" s="64" t="s">
        <v>186</v>
      </c>
      <c r="B3645" s="79" t="str">
        <f>IF(Fifteenth!B148="", "",Fifteenth!B148)</f>
        <v/>
      </c>
      <c r="C3645" s="66" t="str">
        <f>IF(Fifteenth!C148="", "",Fifteenth!C148)</f>
        <v/>
      </c>
      <c r="D3645" s="66" t="str">
        <f>IF(Fifteenth!D148="", "",Fifteenth!D148)</f>
        <v/>
      </c>
      <c r="E3645" s="66" t="str">
        <f>IF(Fifteenth!E148="", "",Fifteenth!E148)</f>
        <v/>
      </c>
      <c r="F3645" s="66" t="str">
        <f>IF(Fifteenth!F148="", "",Fifteenth!F148)</f>
        <v/>
      </c>
      <c r="G3645" s="66" t="str">
        <f>IF(Fifteenth!G148="", "",Fifteenth!G148)</f>
        <v/>
      </c>
      <c r="H3645" s="66" t="str">
        <f>IF(Fifteenth!H148="", "",Fifteenth!H148)</f>
        <v/>
      </c>
      <c r="I3645" s="66" t="str">
        <f>IF(Fifteenth!I148="", "",Fifteenth!I148)</f>
        <v/>
      </c>
      <c r="J3645" s="66" t="str">
        <f>IF(Fifteenth!J148="", "",Fifteenth!J148)</f>
        <v/>
      </c>
      <c r="K3645" s="86" t="str">
        <f>IF(Fifteenth!K148="", "",Fifteenth!K148)</f>
        <v/>
      </c>
      <c r="M3645" s="67" t="str">
        <f t="shared" si="170"/>
        <v/>
      </c>
      <c r="N3645" s="76" t="str">
        <f t="shared" si="171"/>
        <v/>
      </c>
      <c r="O3645" s="33">
        <f t="shared" si="169"/>
        <v>0</v>
      </c>
    </row>
    <row r="3646" spans="1:15" x14ac:dyDescent="0.25">
      <c r="A3646" s="64" t="s">
        <v>186</v>
      </c>
      <c r="B3646" s="79" t="str">
        <f>IF(Fifteenth!B149="", "",Fifteenth!B149)</f>
        <v/>
      </c>
      <c r="C3646" s="66" t="str">
        <f>IF(Fifteenth!C149="", "",Fifteenth!C149)</f>
        <v/>
      </c>
      <c r="D3646" s="66" t="str">
        <f>IF(Fifteenth!D149="", "",Fifteenth!D149)</f>
        <v/>
      </c>
      <c r="E3646" s="66" t="str">
        <f>IF(Fifteenth!E149="", "",Fifteenth!E149)</f>
        <v/>
      </c>
      <c r="F3646" s="66" t="str">
        <f>IF(Fifteenth!F149="", "",Fifteenth!F149)</f>
        <v/>
      </c>
      <c r="G3646" s="66" t="str">
        <f>IF(Fifteenth!G149="", "",Fifteenth!G149)</f>
        <v/>
      </c>
      <c r="H3646" s="66" t="str">
        <f>IF(Fifteenth!H149="", "",Fifteenth!H149)</f>
        <v/>
      </c>
      <c r="I3646" s="66" t="str">
        <f>IF(Fifteenth!I149="", "",Fifteenth!I149)</f>
        <v/>
      </c>
      <c r="J3646" s="66" t="str">
        <f>IF(Fifteenth!J149="", "",Fifteenth!J149)</f>
        <v/>
      </c>
      <c r="K3646" s="86" t="str">
        <f>IF(Fifteenth!K149="", "",Fifteenth!K149)</f>
        <v/>
      </c>
      <c r="M3646" s="67" t="str">
        <f t="shared" si="170"/>
        <v/>
      </c>
      <c r="N3646" s="76" t="str">
        <f t="shared" si="171"/>
        <v/>
      </c>
      <c r="O3646" s="33">
        <f t="shared" si="169"/>
        <v>0</v>
      </c>
    </row>
    <row r="3647" spans="1:15" x14ac:dyDescent="0.25">
      <c r="A3647" s="64" t="s">
        <v>186</v>
      </c>
      <c r="B3647" s="79" t="str">
        <f>IF(Fifteenth!B150="", "",Fifteenth!B150)</f>
        <v/>
      </c>
      <c r="C3647" s="66" t="str">
        <f>IF(Fifteenth!C150="", "",Fifteenth!C150)</f>
        <v/>
      </c>
      <c r="D3647" s="66" t="str">
        <f>IF(Fifteenth!D150="", "",Fifteenth!D150)</f>
        <v/>
      </c>
      <c r="E3647" s="66" t="str">
        <f>IF(Fifteenth!E150="", "",Fifteenth!E150)</f>
        <v/>
      </c>
      <c r="F3647" s="66" t="str">
        <f>IF(Fifteenth!F150="", "",Fifteenth!F150)</f>
        <v/>
      </c>
      <c r="G3647" s="66" t="str">
        <f>IF(Fifteenth!G150="", "",Fifteenth!G150)</f>
        <v/>
      </c>
      <c r="H3647" s="66" t="str">
        <f>IF(Fifteenth!H150="", "",Fifteenth!H150)</f>
        <v/>
      </c>
      <c r="I3647" s="66" t="str">
        <f>IF(Fifteenth!I150="", "",Fifteenth!I150)</f>
        <v/>
      </c>
      <c r="J3647" s="66" t="str">
        <f>IF(Fifteenth!J150="", "",Fifteenth!J150)</f>
        <v/>
      </c>
      <c r="K3647" s="86" t="str">
        <f>IF(Fifteenth!K150="", "",Fifteenth!K150)</f>
        <v/>
      </c>
      <c r="M3647" s="67" t="str">
        <f t="shared" si="170"/>
        <v/>
      </c>
      <c r="N3647" s="76" t="str">
        <f t="shared" si="171"/>
        <v/>
      </c>
      <c r="O3647" s="33">
        <f t="shared" si="169"/>
        <v>0</v>
      </c>
    </row>
    <row r="3648" spans="1:15" x14ac:dyDescent="0.25">
      <c r="A3648" s="64" t="s">
        <v>186</v>
      </c>
      <c r="B3648" s="79" t="str">
        <f>IF(Fifteenth!B151="", "",Fifteenth!B151)</f>
        <v/>
      </c>
      <c r="C3648" s="66" t="str">
        <f>IF(Fifteenth!C151="", "",Fifteenth!C151)</f>
        <v/>
      </c>
      <c r="D3648" s="66" t="str">
        <f>IF(Fifteenth!D151="", "",Fifteenth!D151)</f>
        <v/>
      </c>
      <c r="E3648" s="66" t="str">
        <f>IF(Fifteenth!E151="", "",Fifteenth!E151)</f>
        <v/>
      </c>
      <c r="F3648" s="66" t="str">
        <f>IF(Fifteenth!F151="", "",Fifteenth!F151)</f>
        <v/>
      </c>
      <c r="G3648" s="66" t="str">
        <f>IF(Fifteenth!G151="", "",Fifteenth!G151)</f>
        <v/>
      </c>
      <c r="H3648" s="66" t="str">
        <f>IF(Fifteenth!H151="", "",Fifteenth!H151)</f>
        <v/>
      </c>
      <c r="I3648" s="66" t="str">
        <f>IF(Fifteenth!I151="", "",Fifteenth!I151)</f>
        <v/>
      </c>
      <c r="J3648" s="66" t="str">
        <f>IF(Fifteenth!J151="", "",Fifteenth!J151)</f>
        <v/>
      </c>
      <c r="K3648" s="86" t="str">
        <f>IF(Fifteenth!K151="", "",Fifteenth!K151)</f>
        <v/>
      </c>
      <c r="M3648" s="67" t="str">
        <f t="shared" si="170"/>
        <v/>
      </c>
      <c r="N3648" s="76" t="str">
        <f t="shared" si="171"/>
        <v/>
      </c>
      <c r="O3648" s="33">
        <f t="shared" si="169"/>
        <v>0</v>
      </c>
    </row>
    <row r="3649" spans="1:15" x14ac:dyDescent="0.25">
      <c r="A3649" s="64" t="s">
        <v>186</v>
      </c>
      <c r="B3649" s="79" t="str">
        <f>IF(Fifteenth!B152="", "",Fifteenth!B152)</f>
        <v/>
      </c>
      <c r="C3649" s="66" t="str">
        <f>IF(Fifteenth!C152="", "",Fifteenth!C152)</f>
        <v/>
      </c>
      <c r="D3649" s="66" t="str">
        <f>IF(Fifteenth!D152="", "",Fifteenth!D152)</f>
        <v/>
      </c>
      <c r="E3649" s="66" t="str">
        <f>IF(Fifteenth!E152="", "",Fifteenth!E152)</f>
        <v/>
      </c>
      <c r="F3649" s="66" t="str">
        <f>IF(Fifteenth!F152="", "",Fifteenth!F152)</f>
        <v/>
      </c>
      <c r="G3649" s="66" t="str">
        <f>IF(Fifteenth!G152="", "",Fifteenth!G152)</f>
        <v/>
      </c>
      <c r="H3649" s="66" t="str">
        <f>IF(Fifteenth!H152="", "",Fifteenth!H152)</f>
        <v/>
      </c>
      <c r="I3649" s="66" t="str">
        <f>IF(Fifteenth!I152="", "",Fifteenth!I152)</f>
        <v/>
      </c>
      <c r="J3649" s="66" t="str">
        <f>IF(Fifteenth!J152="", "",Fifteenth!J152)</f>
        <v/>
      </c>
      <c r="K3649" s="86" t="str">
        <f>IF(Fifteenth!K152="", "",Fifteenth!K152)</f>
        <v/>
      </c>
      <c r="M3649" s="67" t="str">
        <f t="shared" si="170"/>
        <v/>
      </c>
      <c r="N3649" s="76" t="str">
        <f t="shared" si="171"/>
        <v/>
      </c>
      <c r="O3649" s="33">
        <f t="shared" si="169"/>
        <v>0</v>
      </c>
    </row>
    <row r="3650" spans="1:15" x14ac:dyDescent="0.25">
      <c r="A3650" s="64" t="s">
        <v>186</v>
      </c>
      <c r="B3650" s="79" t="str">
        <f>IF(Fifteenth!B153="", "",Fifteenth!B153)</f>
        <v/>
      </c>
      <c r="C3650" s="66" t="str">
        <f>IF(Fifteenth!C153="", "",Fifteenth!C153)</f>
        <v/>
      </c>
      <c r="D3650" s="66" t="str">
        <f>IF(Fifteenth!D153="", "",Fifteenth!D153)</f>
        <v/>
      </c>
      <c r="E3650" s="66" t="str">
        <f>IF(Fifteenth!E153="", "",Fifteenth!E153)</f>
        <v/>
      </c>
      <c r="F3650" s="66" t="str">
        <f>IF(Fifteenth!F153="", "",Fifteenth!F153)</f>
        <v/>
      </c>
      <c r="G3650" s="66" t="str">
        <f>IF(Fifteenth!G153="", "",Fifteenth!G153)</f>
        <v/>
      </c>
      <c r="H3650" s="66" t="str">
        <f>IF(Fifteenth!H153="", "",Fifteenth!H153)</f>
        <v/>
      </c>
      <c r="I3650" s="66" t="str">
        <f>IF(Fifteenth!I153="", "",Fifteenth!I153)</f>
        <v/>
      </c>
      <c r="J3650" s="66" t="str">
        <f>IF(Fifteenth!J153="", "",Fifteenth!J153)</f>
        <v/>
      </c>
      <c r="K3650" s="86" t="str">
        <f>IF(Fifteenth!K153="", "",Fifteenth!K153)</f>
        <v/>
      </c>
      <c r="M3650" s="67" t="str">
        <f t="shared" si="170"/>
        <v/>
      </c>
      <c r="N3650" s="76" t="str">
        <f t="shared" si="171"/>
        <v/>
      </c>
      <c r="O3650" s="33">
        <f t="shared" ref="O3650:O3713" si="172">SUM(M3650:N3650)</f>
        <v>0</v>
      </c>
    </row>
    <row r="3651" spans="1:15" x14ac:dyDescent="0.25">
      <c r="A3651" s="64" t="s">
        <v>186</v>
      </c>
      <c r="B3651" s="79" t="str">
        <f>IF(Fifteenth!B154="", "",Fifteenth!B154)</f>
        <v/>
      </c>
      <c r="C3651" s="66" t="str">
        <f>IF(Fifteenth!C154="", "",Fifteenth!C154)</f>
        <v/>
      </c>
      <c r="D3651" s="66" t="str">
        <f>IF(Fifteenth!D154="", "",Fifteenth!D154)</f>
        <v/>
      </c>
      <c r="E3651" s="66" t="str">
        <f>IF(Fifteenth!E154="", "",Fifteenth!E154)</f>
        <v/>
      </c>
      <c r="F3651" s="66" t="str">
        <f>IF(Fifteenth!F154="", "",Fifteenth!F154)</f>
        <v/>
      </c>
      <c r="G3651" s="66" t="str">
        <f>IF(Fifteenth!G154="", "",Fifteenth!G154)</f>
        <v/>
      </c>
      <c r="H3651" s="66" t="str">
        <f>IF(Fifteenth!H154="", "",Fifteenth!H154)</f>
        <v/>
      </c>
      <c r="I3651" s="66" t="str">
        <f>IF(Fifteenth!I154="", "",Fifteenth!I154)</f>
        <v/>
      </c>
      <c r="J3651" s="66" t="str">
        <f>IF(Fifteenth!J154="", "",Fifteenth!J154)</f>
        <v/>
      </c>
      <c r="K3651" s="86" t="str">
        <f>IF(Fifteenth!K154="", "",Fifteenth!K154)</f>
        <v/>
      </c>
      <c r="M3651" s="67" t="str">
        <f t="shared" ref="M3651:M3714" si="173">IF(C3651="PwC",(7-COUNTIF(B3651:H3651,"")),"")</f>
        <v/>
      </c>
      <c r="N3651" s="76" t="str">
        <f t="shared" ref="N3651:N3714" si="174">IF(C3651="Carer",(7-COUNTIF(B3651:H3651,"")),"")</f>
        <v/>
      </c>
      <c r="O3651" s="33">
        <f t="shared" si="172"/>
        <v>0</v>
      </c>
    </row>
    <row r="3652" spans="1:15" x14ac:dyDescent="0.25">
      <c r="A3652" s="64" t="s">
        <v>186</v>
      </c>
      <c r="B3652" s="79" t="str">
        <f>IF(Fifteenth!B155="", "",Fifteenth!B155)</f>
        <v/>
      </c>
      <c r="C3652" s="66" t="str">
        <f>IF(Fifteenth!C155="", "",Fifteenth!C155)</f>
        <v/>
      </c>
      <c r="D3652" s="66" t="str">
        <f>IF(Fifteenth!D155="", "",Fifteenth!D155)</f>
        <v/>
      </c>
      <c r="E3652" s="66" t="str">
        <f>IF(Fifteenth!E155="", "",Fifteenth!E155)</f>
        <v/>
      </c>
      <c r="F3652" s="66" t="str">
        <f>IF(Fifteenth!F155="", "",Fifteenth!F155)</f>
        <v/>
      </c>
      <c r="G3652" s="66" t="str">
        <f>IF(Fifteenth!G155="", "",Fifteenth!G155)</f>
        <v/>
      </c>
      <c r="H3652" s="66" t="str">
        <f>IF(Fifteenth!H155="", "",Fifteenth!H155)</f>
        <v/>
      </c>
      <c r="I3652" s="66" t="str">
        <f>IF(Fifteenth!I155="", "",Fifteenth!I155)</f>
        <v/>
      </c>
      <c r="J3652" s="66" t="str">
        <f>IF(Fifteenth!J155="", "",Fifteenth!J155)</f>
        <v/>
      </c>
      <c r="K3652" s="86" t="str">
        <f>IF(Fifteenth!K155="", "",Fifteenth!K155)</f>
        <v/>
      </c>
      <c r="M3652" s="67" t="str">
        <f t="shared" si="173"/>
        <v/>
      </c>
      <c r="N3652" s="76" t="str">
        <f t="shared" si="174"/>
        <v/>
      </c>
      <c r="O3652" s="33">
        <f t="shared" si="172"/>
        <v>0</v>
      </c>
    </row>
    <row r="3653" spans="1:15" x14ac:dyDescent="0.25">
      <c r="A3653" s="64" t="s">
        <v>186</v>
      </c>
      <c r="B3653" s="79" t="str">
        <f>IF(Fifteenth!B156="", "",Fifteenth!B156)</f>
        <v/>
      </c>
      <c r="C3653" s="66" t="str">
        <f>IF(Fifteenth!C156="", "",Fifteenth!C156)</f>
        <v/>
      </c>
      <c r="D3653" s="66" t="str">
        <f>IF(Fifteenth!D156="", "",Fifteenth!D156)</f>
        <v/>
      </c>
      <c r="E3653" s="66" t="str">
        <f>IF(Fifteenth!E156="", "",Fifteenth!E156)</f>
        <v/>
      </c>
      <c r="F3653" s="66" t="str">
        <f>IF(Fifteenth!F156="", "",Fifteenth!F156)</f>
        <v/>
      </c>
      <c r="G3653" s="66" t="str">
        <f>IF(Fifteenth!G156="", "",Fifteenth!G156)</f>
        <v/>
      </c>
      <c r="H3653" s="66" t="str">
        <f>IF(Fifteenth!H156="", "",Fifteenth!H156)</f>
        <v/>
      </c>
      <c r="I3653" s="66" t="str">
        <f>IF(Fifteenth!I156="", "",Fifteenth!I156)</f>
        <v/>
      </c>
      <c r="J3653" s="66" t="str">
        <f>IF(Fifteenth!J156="", "",Fifteenth!J156)</f>
        <v/>
      </c>
      <c r="K3653" s="86" t="str">
        <f>IF(Fifteenth!K156="", "",Fifteenth!K156)</f>
        <v/>
      </c>
      <c r="M3653" s="67" t="str">
        <f t="shared" si="173"/>
        <v/>
      </c>
      <c r="N3653" s="76" t="str">
        <f t="shared" si="174"/>
        <v/>
      </c>
      <c r="O3653" s="33">
        <f t="shared" si="172"/>
        <v>0</v>
      </c>
    </row>
    <row r="3654" spans="1:15" x14ac:dyDescent="0.25">
      <c r="A3654" s="64" t="s">
        <v>186</v>
      </c>
      <c r="B3654" s="79" t="str">
        <f>IF(Fifteenth!B157="", "",Fifteenth!B157)</f>
        <v/>
      </c>
      <c r="C3654" s="66" t="str">
        <f>IF(Fifteenth!C157="", "",Fifteenth!C157)</f>
        <v/>
      </c>
      <c r="D3654" s="66" t="str">
        <f>IF(Fifteenth!D157="", "",Fifteenth!D157)</f>
        <v/>
      </c>
      <c r="E3654" s="66" t="str">
        <f>IF(Fifteenth!E157="", "",Fifteenth!E157)</f>
        <v/>
      </c>
      <c r="F3654" s="66" t="str">
        <f>IF(Fifteenth!F157="", "",Fifteenth!F157)</f>
        <v/>
      </c>
      <c r="G3654" s="66" t="str">
        <f>IF(Fifteenth!G157="", "",Fifteenth!G157)</f>
        <v/>
      </c>
      <c r="H3654" s="66" t="str">
        <f>IF(Fifteenth!H157="", "",Fifteenth!H157)</f>
        <v/>
      </c>
      <c r="I3654" s="66" t="str">
        <f>IF(Fifteenth!I157="", "",Fifteenth!I157)</f>
        <v/>
      </c>
      <c r="J3654" s="66" t="str">
        <f>IF(Fifteenth!J157="", "",Fifteenth!J157)</f>
        <v/>
      </c>
      <c r="K3654" s="86" t="str">
        <f>IF(Fifteenth!K157="", "",Fifteenth!K157)</f>
        <v/>
      </c>
      <c r="M3654" s="67" t="str">
        <f t="shared" si="173"/>
        <v/>
      </c>
      <c r="N3654" s="76" t="str">
        <f t="shared" si="174"/>
        <v/>
      </c>
      <c r="O3654" s="33">
        <f t="shared" si="172"/>
        <v>0</v>
      </c>
    </row>
    <row r="3655" spans="1:15" x14ac:dyDescent="0.25">
      <c r="A3655" s="64" t="s">
        <v>186</v>
      </c>
      <c r="B3655" s="79" t="str">
        <f>IF(Fifteenth!B158="", "",Fifteenth!B158)</f>
        <v/>
      </c>
      <c r="C3655" s="66" t="str">
        <f>IF(Fifteenth!C158="", "",Fifteenth!C158)</f>
        <v/>
      </c>
      <c r="D3655" s="66" t="str">
        <f>IF(Fifteenth!D158="", "",Fifteenth!D158)</f>
        <v/>
      </c>
      <c r="E3655" s="66" t="str">
        <f>IF(Fifteenth!E158="", "",Fifteenth!E158)</f>
        <v/>
      </c>
      <c r="F3655" s="66" t="str">
        <f>IF(Fifteenth!F158="", "",Fifteenth!F158)</f>
        <v/>
      </c>
      <c r="G3655" s="66" t="str">
        <f>IF(Fifteenth!G158="", "",Fifteenth!G158)</f>
        <v/>
      </c>
      <c r="H3655" s="66" t="str">
        <f>IF(Fifteenth!H158="", "",Fifteenth!H158)</f>
        <v/>
      </c>
      <c r="I3655" s="66" t="str">
        <f>IF(Fifteenth!I158="", "",Fifteenth!I158)</f>
        <v/>
      </c>
      <c r="J3655" s="66" t="str">
        <f>IF(Fifteenth!J158="", "",Fifteenth!J158)</f>
        <v/>
      </c>
      <c r="K3655" s="86" t="str">
        <f>IF(Fifteenth!K158="", "",Fifteenth!K158)</f>
        <v/>
      </c>
      <c r="M3655" s="67" t="str">
        <f t="shared" si="173"/>
        <v/>
      </c>
      <c r="N3655" s="76" t="str">
        <f t="shared" si="174"/>
        <v/>
      </c>
      <c r="O3655" s="33">
        <f t="shared" si="172"/>
        <v>0</v>
      </c>
    </row>
    <row r="3656" spans="1:15" x14ac:dyDescent="0.25">
      <c r="A3656" s="64" t="s">
        <v>186</v>
      </c>
      <c r="B3656" s="79" t="str">
        <f>IF(Fifteenth!B159="", "",Fifteenth!B159)</f>
        <v/>
      </c>
      <c r="C3656" s="66" t="str">
        <f>IF(Fifteenth!C159="", "",Fifteenth!C159)</f>
        <v/>
      </c>
      <c r="D3656" s="66" t="str">
        <f>IF(Fifteenth!D159="", "",Fifteenth!D159)</f>
        <v/>
      </c>
      <c r="E3656" s="66" t="str">
        <f>IF(Fifteenth!E159="", "",Fifteenth!E159)</f>
        <v/>
      </c>
      <c r="F3656" s="66" t="str">
        <f>IF(Fifteenth!F159="", "",Fifteenth!F159)</f>
        <v/>
      </c>
      <c r="G3656" s="66" t="str">
        <f>IF(Fifteenth!G159="", "",Fifteenth!G159)</f>
        <v/>
      </c>
      <c r="H3656" s="66" t="str">
        <f>IF(Fifteenth!H159="", "",Fifteenth!H159)</f>
        <v/>
      </c>
      <c r="I3656" s="66" t="str">
        <f>IF(Fifteenth!I159="", "",Fifteenth!I159)</f>
        <v/>
      </c>
      <c r="J3656" s="66" t="str">
        <f>IF(Fifteenth!J159="", "",Fifteenth!J159)</f>
        <v/>
      </c>
      <c r="K3656" s="86" t="str">
        <f>IF(Fifteenth!K159="", "",Fifteenth!K159)</f>
        <v/>
      </c>
      <c r="M3656" s="67" t="str">
        <f t="shared" si="173"/>
        <v/>
      </c>
      <c r="N3656" s="76" t="str">
        <f t="shared" si="174"/>
        <v/>
      </c>
      <c r="O3656" s="33">
        <f t="shared" si="172"/>
        <v>0</v>
      </c>
    </row>
    <row r="3657" spans="1:15" x14ac:dyDescent="0.25">
      <c r="A3657" s="64" t="s">
        <v>186</v>
      </c>
      <c r="B3657" s="79" t="str">
        <f>IF(Fifteenth!B160="", "",Fifteenth!B160)</f>
        <v/>
      </c>
      <c r="C3657" s="66" t="str">
        <f>IF(Fifteenth!C160="", "",Fifteenth!C160)</f>
        <v/>
      </c>
      <c r="D3657" s="66" t="str">
        <f>IF(Fifteenth!D160="", "",Fifteenth!D160)</f>
        <v/>
      </c>
      <c r="E3657" s="66" t="str">
        <f>IF(Fifteenth!E160="", "",Fifteenth!E160)</f>
        <v/>
      </c>
      <c r="F3657" s="66" t="str">
        <f>IF(Fifteenth!F160="", "",Fifteenth!F160)</f>
        <v/>
      </c>
      <c r="G3657" s="66" t="str">
        <f>IF(Fifteenth!G160="", "",Fifteenth!G160)</f>
        <v/>
      </c>
      <c r="H3657" s="66" t="str">
        <f>IF(Fifteenth!H160="", "",Fifteenth!H160)</f>
        <v/>
      </c>
      <c r="I3657" s="66" t="str">
        <f>IF(Fifteenth!I160="", "",Fifteenth!I160)</f>
        <v/>
      </c>
      <c r="J3657" s="66" t="str">
        <f>IF(Fifteenth!J160="", "",Fifteenth!J160)</f>
        <v/>
      </c>
      <c r="K3657" s="86" t="str">
        <f>IF(Fifteenth!K160="", "",Fifteenth!K160)</f>
        <v/>
      </c>
      <c r="M3657" s="67" t="str">
        <f t="shared" si="173"/>
        <v/>
      </c>
      <c r="N3657" s="76" t="str">
        <f t="shared" si="174"/>
        <v/>
      </c>
      <c r="O3657" s="33">
        <f t="shared" si="172"/>
        <v>0</v>
      </c>
    </row>
    <row r="3658" spans="1:15" x14ac:dyDescent="0.25">
      <c r="A3658" s="64" t="s">
        <v>186</v>
      </c>
      <c r="B3658" s="79" t="str">
        <f>IF(Fifteenth!B161="", "",Fifteenth!B161)</f>
        <v/>
      </c>
      <c r="C3658" s="66" t="str">
        <f>IF(Fifteenth!C161="", "",Fifteenth!C161)</f>
        <v/>
      </c>
      <c r="D3658" s="66" t="str">
        <f>IF(Fifteenth!D161="", "",Fifteenth!D161)</f>
        <v/>
      </c>
      <c r="E3658" s="66" t="str">
        <f>IF(Fifteenth!E161="", "",Fifteenth!E161)</f>
        <v/>
      </c>
      <c r="F3658" s="66" t="str">
        <f>IF(Fifteenth!F161="", "",Fifteenth!F161)</f>
        <v/>
      </c>
      <c r="G3658" s="66" t="str">
        <f>IF(Fifteenth!G161="", "",Fifteenth!G161)</f>
        <v/>
      </c>
      <c r="H3658" s="66" t="str">
        <f>IF(Fifteenth!H161="", "",Fifteenth!H161)</f>
        <v/>
      </c>
      <c r="I3658" s="66" t="str">
        <f>IF(Fifteenth!I161="", "",Fifteenth!I161)</f>
        <v/>
      </c>
      <c r="J3658" s="66" t="str">
        <f>IF(Fifteenth!J161="", "",Fifteenth!J161)</f>
        <v/>
      </c>
      <c r="K3658" s="86" t="str">
        <f>IF(Fifteenth!K161="", "",Fifteenth!K161)</f>
        <v/>
      </c>
      <c r="M3658" s="67" t="str">
        <f t="shared" si="173"/>
        <v/>
      </c>
      <c r="N3658" s="76" t="str">
        <f t="shared" si="174"/>
        <v/>
      </c>
      <c r="O3658" s="33">
        <f t="shared" si="172"/>
        <v>0</v>
      </c>
    </row>
    <row r="3659" spans="1:15" x14ac:dyDescent="0.25">
      <c r="A3659" s="64" t="s">
        <v>186</v>
      </c>
      <c r="B3659" s="79" t="str">
        <f>IF(Fifteenth!B162="", "",Fifteenth!B162)</f>
        <v/>
      </c>
      <c r="C3659" s="66" t="str">
        <f>IF(Fifteenth!C162="", "",Fifteenth!C162)</f>
        <v/>
      </c>
      <c r="D3659" s="66" t="str">
        <f>IF(Fifteenth!D162="", "",Fifteenth!D162)</f>
        <v/>
      </c>
      <c r="E3659" s="66" t="str">
        <f>IF(Fifteenth!E162="", "",Fifteenth!E162)</f>
        <v/>
      </c>
      <c r="F3659" s="66" t="str">
        <f>IF(Fifteenth!F162="", "",Fifteenth!F162)</f>
        <v/>
      </c>
      <c r="G3659" s="66" t="str">
        <f>IF(Fifteenth!G162="", "",Fifteenth!G162)</f>
        <v/>
      </c>
      <c r="H3659" s="66" t="str">
        <f>IF(Fifteenth!H162="", "",Fifteenth!H162)</f>
        <v/>
      </c>
      <c r="I3659" s="66" t="str">
        <f>IF(Fifteenth!I162="", "",Fifteenth!I162)</f>
        <v/>
      </c>
      <c r="J3659" s="66" t="str">
        <f>IF(Fifteenth!J162="", "",Fifteenth!J162)</f>
        <v/>
      </c>
      <c r="K3659" s="86" t="str">
        <f>IF(Fifteenth!K162="", "",Fifteenth!K162)</f>
        <v/>
      </c>
      <c r="M3659" s="67" t="str">
        <f t="shared" si="173"/>
        <v/>
      </c>
      <c r="N3659" s="76" t="str">
        <f t="shared" si="174"/>
        <v/>
      </c>
      <c r="O3659" s="33">
        <f t="shared" si="172"/>
        <v>0</v>
      </c>
    </row>
    <row r="3660" spans="1:15" x14ac:dyDescent="0.25">
      <c r="A3660" s="64" t="s">
        <v>186</v>
      </c>
      <c r="B3660" s="79" t="str">
        <f>IF(Fifteenth!B163="", "",Fifteenth!B163)</f>
        <v/>
      </c>
      <c r="C3660" s="66" t="str">
        <f>IF(Fifteenth!C163="", "",Fifteenth!C163)</f>
        <v/>
      </c>
      <c r="D3660" s="66" t="str">
        <f>IF(Fifteenth!D163="", "",Fifteenth!D163)</f>
        <v/>
      </c>
      <c r="E3660" s="66" t="str">
        <f>IF(Fifteenth!E163="", "",Fifteenth!E163)</f>
        <v/>
      </c>
      <c r="F3660" s="66" t="str">
        <f>IF(Fifteenth!F163="", "",Fifteenth!F163)</f>
        <v/>
      </c>
      <c r="G3660" s="66" t="str">
        <f>IF(Fifteenth!G163="", "",Fifteenth!G163)</f>
        <v/>
      </c>
      <c r="H3660" s="66" t="str">
        <f>IF(Fifteenth!H163="", "",Fifteenth!H163)</f>
        <v/>
      </c>
      <c r="I3660" s="66" t="str">
        <f>IF(Fifteenth!I163="", "",Fifteenth!I163)</f>
        <v/>
      </c>
      <c r="J3660" s="66" t="str">
        <f>IF(Fifteenth!J163="", "",Fifteenth!J163)</f>
        <v/>
      </c>
      <c r="K3660" s="86" t="str">
        <f>IF(Fifteenth!K163="", "",Fifteenth!K163)</f>
        <v/>
      </c>
      <c r="M3660" s="67" t="str">
        <f t="shared" si="173"/>
        <v/>
      </c>
      <c r="N3660" s="76" t="str">
        <f t="shared" si="174"/>
        <v/>
      </c>
      <c r="O3660" s="33">
        <f t="shared" si="172"/>
        <v>0</v>
      </c>
    </row>
    <row r="3661" spans="1:15" x14ac:dyDescent="0.25">
      <c r="A3661" s="64" t="s">
        <v>186</v>
      </c>
      <c r="B3661" s="79" t="str">
        <f>IF(Fifteenth!B164="", "",Fifteenth!B164)</f>
        <v/>
      </c>
      <c r="C3661" s="66" t="str">
        <f>IF(Fifteenth!C164="", "",Fifteenth!C164)</f>
        <v/>
      </c>
      <c r="D3661" s="66" t="str">
        <f>IF(Fifteenth!D164="", "",Fifteenth!D164)</f>
        <v/>
      </c>
      <c r="E3661" s="66" t="str">
        <f>IF(Fifteenth!E164="", "",Fifteenth!E164)</f>
        <v/>
      </c>
      <c r="F3661" s="66" t="str">
        <f>IF(Fifteenth!F164="", "",Fifteenth!F164)</f>
        <v/>
      </c>
      <c r="G3661" s="66" t="str">
        <f>IF(Fifteenth!G164="", "",Fifteenth!G164)</f>
        <v/>
      </c>
      <c r="H3661" s="66" t="str">
        <f>IF(Fifteenth!H164="", "",Fifteenth!H164)</f>
        <v/>
      </c>
      <c r="I3661" s="66" t="str">
        <f>IF(Fifteenth!I164="", "",Fifteenth!I164)</f>
        <v/>
      </c>
      <c r="J3661" s="66" t="str">
        <f>IF(Fifteenth!J164="", "",Fifteenth!J164)</f>
        <v/>
      </c>
      <c r="K3661" s="86" t="str">
        <f>IF(Fifteenth!K164="", "",Fifteenth!K164)</f>
        <v/>
      </c>
      <c r="M3661" s="67" t="str">
        <f t="shared" si="173"/>
        <v/>
      </c>
      <c r="N3661" s="76" t="str">
        <f t="shared" si="174"/>
        <v/>
      </c>
      <c r="O3661" s="33">
        <f t="shared" si="172"/>
        <v>0</v>
      </c>
    </row>
    <row r="3662" spans="1:15" x14ac:dyDescent="0.25">
      <c r="A3662" s="64" t="s">
        <v>186</v>
      </c>
      <c r="B3662" s="79" t="str">
        <f>IF(Fifteenth!B165="", "",Fifteenth!B165)</f>
        <v/>
      </c>
      <c r="C3662" s="66" t="str">
        <f>IF(Fifteenth!C165="", "",Fifteenth!C165)</f>
        <v/>
      </c>
      <c r="D3662" s="66" t="str">
        <f>IF(Fifteenth!D165="", "",Fifteenth!D165)</f>
        <v/>
      </c>
      <c r="E3662" s="66" t="str">
        <f>IF(Fifteenth!E165="", "",Fifteenth!E165)</f>
        <v/>
      </c>
      <c r="F3662" s="66" t="str">
        <f>IF(Fifteenth!F165="", "",Fifteenth!F165)</f>
        <v/>
      </c>
      <c r="G3662" s="66" t="str">
        <f>IF(Fifteenth!G165="", "",Fifteenth!G165)</f>
        <v/>
      </c>
      <c r="H3662" s="66" t="str">
        <f>IF(Fifteenth!H165="", "",Fifteenth!H165)</f>
        <v/>
      </c>
      <c r="I3662" s="66" t="str">
        <f>IF(Fifteenth!I165="", "",Fifteenth!I165)</f>
        <v/>
      </c>
      <c r="J3662" s="66" t="str">
        <f>IF(Fifteenth!J165="", "",Fifteenth!J165)</f>
        <v/>
      </c>
      <c r="K3662" s="86" t="str">
        <f>IF(Fifteenth!K165="", "",Fifteenth!K165)</f>
        <v/>
      </c>
      <c r="M3662" s="67" t="str">
        <f t="shared" si="173"/>
        <v/>
      </c>
      <c r="N3662" s="76" t="str">
        <f t="shared" si="174"/>
        <v/>
      </c>
      <c r="O3662" s="33">
        <f t="shared" si="172"/>
        <v>0</v>
      </c>
    </row>
    <row r="3663" spans="1:15" x14ac:dyDescent="0.25">
      <c r="A3663" s="64" t="s">
        <v>186</v>
      </c>
      <c r="B3663" s="79" t="str">
        <f>IF(Fifteenth!B166="", "",Fifteenth!B166)</f>
        <v/>
      </c>
      <c r="C3663" s="66" t="str">
        <f>IF(Fifteenth!C166="", "",Fifteenth!C166)</f>
        <v/>
      </c>
      <c r="D3663" s="66" t="str">
        <f>IF(Fifteenth!D166="", "",Fifteenth!D166)</f>
        <v/>
      </c>
      <c r="E3663" s="66" t="str">
        <f>IF(Fifteenth!E166="", "",Fifteenth!E166)</f>
        <v/>
      </c>
      <c r="F3663" s="66" t="str">
        <f>IF(Fifteenth!F166="", "",Fifteenth!F166)</f>
        <v/>
      </c>
      <c r="G3663" s="66" t="str">
        <f>IF(Fifteenth!G166="", "",Fifteenth!G166)</f>
        <v/>
      </c>
      <c r="H3663" s="66" t="str">
        <f>IF(Fifteenth!H166="", "",Fifteenth!H166)</f>
        <v/>
      </c>
      <c r="I3663" s="66" t="str">
        <f>IF(Fifteenth!I166="", "",Fifteenth!I166)</f>
        <v/>
      </c>
      <c r="J3663" s="66" t="str">
        <f>IF(Fifteenth!J166="", "",Fifteenth!J166)</f>
        <v/>
      </c>
      <c r="K3663" s="86" t="str">
        <f>IF(Fifteenth!K166="", "",Fifteenth!K166)</f>
        <v/>
      </c>
      <c r="M3663" s="67" t="str">
        <f t="shared" si="173"/>
        <v/>
      </c>
      <c r="N3663" s="76" t="str">
        <f t="shared" si="174"/>
        <v/>
      </c>
      <c r="O3663" s="33">
        <f t="shared" si="172"/>
        <v>0</v>
      </c>
    </row>
    <row r="3664" spans="1:15" x14ac:dyDescent="0.25">
      <c r="A3664" s="64" t="s">
        <v>186</v>
      </c>
      <c r="B3664" s="79" t="str">
        <f>IF(Fifteenth!B167="", "",Fifteenth!B167)</f>
        <v/>
      </c>
      <c r="C3664" s="66" t="str">
        <f>IF(Fifteenth!C167="", "",Fifteenth!C167)</f>
        <v/>
      </c>
      <c r="D3664" s="66" t="str">
        <f>IF(Fifteenth!D167="", "",Fifteenth!D167)</f>
        <v/>
      </c>
      <c r="E3664" s="66" t="str">
        <f>IF(Fifteenth!E167="", "",Fifteenth!E167)</f>
        <v/>
      </c>
      <c r="F3664" s="66" t="str">
        <f>IF(Fifteenth!F167="", "",Fifteenth!F167)</f>
        <v/>
      </c>
      <c r="G3664" s="66" t="str">
        <f>IF(Fifteenth!G167="", "",Fifteenth!G167)</f>
        <v/>
      </c>
      <c r="H3664" s="66" t="str">
        <f>IF(Fifteenth!H167="", "",Fifteenth!H167)</f>
        <v/>
      </c>
      <c r="I3664" s="66" t="str">
        <f>IF(Fifteenth!I167="", "",Fifteenth!I167)</f>
        <v/>
      </c>
      <c r="J3664" s="66" t="str">
        <f>IF(Fifteenth!J167="", "",Fifteenth!J167)</f>
        <v/>
      </c>
      <c r="K3664" s="86" t="str">
        <f>IF(Fifteenth!K167="", "",Fifteenth!K167)</f>
        <v/>
      </c>
      <c r="M3664" s="67" t="str">
        <f t="shared" si="173"/>
        <v/>
      </c>
      <c r="N3664" s="76" t="str">
        <f t="shared" si="174"/>
        <v/>
      </c>
      <c r="O3664" s="33">
        <f t="shared" si="172"/>
        <v>0</v>
      </c>
    </row>
    <row r="3665" spans="1:15" x14ac:dyDescent="0.25">
      <c r="A3665" s="64" t="s">
        <v>186</v>
      </c>
      <c r="B3665" s="79" t="str">
        <f>IF(Fifteenth!B168="", "",Fifteenth!B168)</f>
        <v/>
      </c>
      <c r="C3665" s="66" t="str">
        <f>IF(Fifteenth!C168="", "",Fifteenth!C168)</f>
        <v/>
      </c>
      <c r="D3665" s="66" t="str">
        <f>IF(Fifteenth!D168="", "",Fifteenth!D168)</f>
        <v/>
      </c>
      <c r="E3665" s="66" t="str">
        <f>IF(Fifteenth!E168="", "",Fifteenth!E168)</f>
        <v/>
      </c>
      <c r="F3665" s="66" t="str">
        <f>IF(Fifteenth!F168="", "",Fifteenth!F168)</f>
        <v/>
      </c>
      <c r="G3665" s="66" t="str">
        <f>IF(Fifteenth!G168="", "",Fifteenth!G168)</f>
        <v/>
      </c>
      <c r="H3665" s="66" t="str">
        <f>IF(Fifteenth!H168="", "",Fifteenth!H168)</f>
        <v/>
      </c>
      <c r="I3665" s="66" t="str">
        <f>IF(Fifteenth!I168="", "",Fifteenth!I168)</f>
        <v/>
      </c>
      <c r="J3665" s="66" t="str">
        <f>IF(Fifteenth!J168="", "",Fifteenth!J168)</f>
        <v/>
      </c>
      <c r="K3665" s="86" t="str">
        <f>IF(Fifteenth!K168="", "",Fifteenth!K168)</f>
        <v/>
      </c>
      <c r="M3665" s="67" t="str">
        <f t="shared" si="173"/>
        <v/>
      </c>
      <c r="N3665" s="76" t="str">
        <f t="shared" si="174"/>
        <v/>
      </c>
      <c r="O3665" s="33">
        <f t="shared" si="172"/>
        <v>0</v>
      </c>
    </row>
    <row r="3666" spans="1:15" x14ac:dyDescent="0.25">
      <c r="A3666" s="64" t="s">
        <v>186</v>
      </c>
      <c r="B3666" s="79" t="str">
        <f>IF(Fifteenth!B169="", "",Fifteenth!B169)</f>
        <v/>
      </c>
      <c r="C3666" s="66" t="str">
        <f>IF(Fifteenth!C169="", "",Fifteenth!C169)</f>
        <v/>
      </c>
      <c r="D3666" s="66" t="str">
        <f>IF(Fifteenth!D169="", "",Fifteenth!D169)</f>
        <v/>
      </c>
      <c r="E3666" s="66" t="str">
        <f>IF(Fifteenth!E169="", "",Fifteenth!E169)</f>
        <v/>
      </c>
      <c r="F3666" s="66" t="str">
        <f>IF(Fifteenth!F169="", "",Fifteenth!F169)</f>
        <v/>
      </c>
      <c r="G3666" s="66" t="str">
        <f>IF(Fifteenth!G169="", "",Fifteenth!G169)</f>
        <v/>
      </c>
      <c r="H3666" s="66" t="str">
        <f>IF(Fifteenth!H169="", "",Fifteenth!H169)</f>
        <v/>
      </c>
      <c r="I3666" s="66" t="str">
        <f>IF(Fifteenth!I169="", "",Fifteenth!I169)</f>
        <v/>
      </c>
      <c r="J3666" s="66" t="str">
        <f>IF(Fifteenth!J169="", "",Fifteenth!J169)</f>
        <v/>
      </c>
      <c r="K3666" s="86" t="str">
        <f>IF(Fifteenth!K169="", "",Fifteenth!K169)</f>
        <v/>
      </c>
      <c r="M3666" s="67" t="str">
        <f t="shared" si="173"/>
        <v/>
      </c>
      <c r="N3666" s="76" t="str">
        <f t="shared" si="174"/>
        <v/>
      </c>
      <c r="O3666" s="33">
        <f t="shared" si="172"/>
        <v>0</v>
      </c>
    </row>
    <row r="3667" spans="1:15" x14ac:dyDescent="0.25">
      <c r="A3667" s="64" t="s">
        <v>186</v>
      </c>
      <c r="B3667" s="79" t="str">
        <f>IF(Fifteenth!B170="", "",Fifteenth!B170)</f>
        <v/>
      </c>
      <c r="C3667" s="66" t="str">
        <f>IF(Fifteenth!C170="", "",Fifteenth!C170)</f>
        <v/>
      </c>
      <c r="D3667" s="66" t="str">
        <f>IF(Fifteenth!D170="", "",Fifteenth!D170)</f>
        <v/>
      </c>
      <c r="E3667" s="66" t="str">
        <f>IF(Fifteenth!E170="", "",Fifteenth!E170)</f>
        <v/>
      </c>
      <c r="F3667" s="66" t="str">
        <f>IF(Fifteenth!F170="", "",Fifteenth!F170)</f>
        <v/>
      </c>
      <c r="G3667" s="66" t="str">
        <f>IF(Fifteenth!G170="", "",Fifteenth!G170)</f>
        <v/>
      </c>
      <c r="H3667" s="66" t="str">
        <f>IF(Fifteenth!H170="", "",Fifteenth!H170)</f>
        <v/>
      </c>
      <c r="I3667" s="66" t="str">
        <f>IF(Fifteenth!I170="", "",Fifteenth!I170)</f>
        <v/>
      </c>
      <c r="J3667" s="66" t="str">
        <f>IF(Fifteenth!J170="", "",Fifteenth!J170)</f>
        <v/>
      </c>
      <c r="K3667" s="86" t="str">
        <f>IF(Fifteenth!K170="", "",Fifteenth!K170)</f>
        <v/>
      </c>
      <c r="M3667" s="67" t="str">
        <f t="shared" si="173"/>
        <v/>
      </c>
      <c r="N3667" s="76" t="str">
        <f t="shared" si="174"/>
        <v/>
      </c>
      <c r="O3667" s="33">
        <f t="shared" si="172"/>
        <v>0</v>
      </c>
    </row>
    <row r="3668" spans="1:15" x14ac:dyDescent="0.25">
      <c r="A3668" s="64" t="s">
        <v>186</v>
      </c>
      <c r="B3668" s="79" t="str">
        <f>IF(Fifteenth!B171="", "",Fifteenth!B171)</f>
        <v/>
      </c>
      <c r="C3668" s="66" t="str">
        <f>IF(Fifteenth!C171="", "",Fifteenth!C171)</f>
        <v/>
      </c>
      <c r="D3668" s="66" t="str">
        <f>IF(Fifteenth!D171="", "",Fifteenth!D171)</f>
        <v/>
      </c>
      <c r="E3668" s="66" t="str">
        <f>IF(Fifteenth!E171="", "",Fifteenth!E171)</f>
        <v/>
      </c>
      <c r="F3668" s="66" t="str">
        <f>IF(Fifteenth!F171="", "",Fifteenth!F171)</f>
        <v/>
      </c>
      <c r="G3668" s="66" t="str">
        <f>IF(Fifteenth!G171="", "",Fifteenth!G171)</f>
        <v/>
      </c>
      <c r="H3668" s="66" t="str">
        <f>IF(Fifteenth!H171="", "",Fifteenth!H171)</f>
        <v/>
      </c>
      <c r="I3668" s="66" t="str">
        <f>IF(Fifteenth!I171="", "",Fifteenth!I171)</f>
        <v/>
      </c>
      <c r="J3668" s="66" t="str">
        <f>IF(Fifteenth!J171="", "",Fifteenth!J171)</f>
        <v/>
      </c>
      <c r="K3668" s="86" t="str">
        <f>IF(Fifteenth!K171="", "",Fifteenth!K171)</f>
        <v/>
      </c>
      <c r="M3668" s="67" t="str">
        <f t="shared" si="173"/>
        <v/>
      </c>
      <c r="N3668" s="76" t="str">
        <f t="shared" si="174"/>
        <v/>
      </c>
      <c r="O3668" s="33">
        <f t="shared" si="172"/>
        <v>0</v>
      </c>
    </row>
    <row r="3669" spans="1:15" x14ac:dyDescent="0.25">
      <c r="A3669" s="64" t="s">
        <v>186</v>
      </c>
      <c r="B3669" s="79" t="str">
        <f>IF(Fifteenth!B172="", "",Fifteenth!B172)</f>
        <v/>
      </c>
      <c r="C3669" s="66" t="str">
        <f>IF(Fifteenth!C172="", "",Fifteenth!C172)</f>
        <v/>
      </c>
      <c r="D3669" s="66" t="str">
        <f>IF(Fifteenth!D172="", "",Fifteenth!D172)</f>
        <v/>
      </c>
      <c r="E3669" s="66" t="str">
        <f>IF(Fifteenth!E172="", "",Fifteenth!E172)</f>
        <v/>
      </c>
      <c r="F3669" s="66" t="str">
        <f>IF(Fifteenth!F172="", "",Fifteenth!F172)</f>
        <v/>
      </c>
      <c r="G3669" s="66" t="str">
        <f>IF(Fifteenth!G172="", "",Fifteenth!G172)</f>
        <v/>
      </c>
      <c r="H3669" s="66" t="str">
        <f>IF(Fifteenth!H172="", "",Fifteenth!H172)</f>
        <v/>
      </c>
      <c r="I3669" s="66" t="str">
        <f>IF(Fifteenth!I172="", "",Fifteenth!I172)</f>
        <v/>
      </c>
      <c r="J3669" s="66" t="str">
        <f>IF(Fifteenth!J172="", "",Fifteenth!J172)</f>
        <v/>
      </c>
      <c r="K3669" s="86" t="str">
        <f>IF(Fifteenth!K172="", "",Fifteenth!K172)</f>
        <v/>
      </c>
      <c r="M3669" s="67" t="str">
        <f t="shared" si="173"/>
        <v/>
      </c>
      <c r="N3669" s="76" t="str">
        <f t="shared" si="174"/>
        <v/>
      </c>
      <c r="O3669" s="33">
        <f t="shared" si="172"/>
        <v>0</v>
      </c>
    </row>
    <row r="3670" spans="1:15" x14ac:dyDescent="0.25">
      <c r="A3670" s="64" t="s">
        <v>186</v>
      </c>
      <c r="B3670" s="79" t="str">
        <f>IF(Fifteenth!B173="", "",Fifteenth!B173)</f>
        <v/>
      </c>
      <c r="C3670" s="66" t="str">
        <f>IF(Fifteenth!C173="", "",Fifteenth!C173)</f>
        <v/>
      </c>
      <c r="D3670" s="66" t="str">
        <f>IF(Fifteenth!D173="", "",Fifteenth!D173)</f>
        <v/>
      </c>
      <c r="E3670" s="66" t="str">
        <f>IF(Fifteenth!E173="", "",Fifteenth!E173)</f>
        <v/>
      </c>
      <c r="F3670" s="66" t="str">
        <f>IF(Fifteenth!F173="", "",Fifteenth!F173)</f>
        <v/>
      </c>
      <c r="G3670" s="66" t="str">
        <f>IF(Fifteenth!G173="", "",Fifteenth!G173)</f>
        <v/>
      </c>
      <c r="H3670" s="66" t="str">
        <f>IF(Fifteenth!H173="", "",Fifteenth!H173)</f>
        <v/>
      </c>
      <c r="I3670" s="66" t="str">
        <f>IF(Fifteenth!I173="", "",Fifteenth!I173)</f>
        <v/>
      </c>
      <c r="J3670" s="66" t="str">
        <f>IF(Fifteenth!J173="", "",Fifteenth!J173)</f>
        <v/>
      </c>
      <c r="K3670" s="86" t="str">
        <f>IF(Fifteenth!K173="", "",Fifteenth!K173)</f>
        <v/>
      </c>
      <c r="M3670" s="67" t="str">
        <f t="shared" si="173"/>
        <v/>
      </c>
      <c r="N3670" s="76" t="str">
        <f t="shared" si="174"/>
        <v/>
      </c>
      <c r="O3670" s="33">
        <f t="shared" si="172"/>
        <v>0</v>
      </c>
    </row>
    <row r="3671" spans="1:15" x14ac:dyDescent="0.25">
      <c r="A3671" s="64" t="s">
        <v>186</v>
      </c>
      <c r="B3671" s="79" t="str">
        <f>IF(Fifteenth!B174="", "",Fifteenth!B174)</f>
        <v/>
      </c>
      <c r="C3671" s="66" t="str">
        <f>IF(Fifteenth!C174="", "",Fifteenth!C174)</f>
        <v/>
      </c>
      <c r="D3671" s="66" t="str">
        <f>IF(Fifteenth!D174="", "",Fifteenth!D174)</f>
        <v/>
      </c>
      <c r="E3671" s="66" t="str">
        <f>IF(Fifteenth!E174="", "",Fifteenth!E174)</f>
        <v/>
      </c>
      <c r="F3671" s="66" t="str">
        <f>IF(Fifteenth!F174="", "",Fifteenth!F174)</f>
        <v/>
      </c>
      <c r="G3671" s="66" t="str">
        <f>IF(Fifteenth!G174="", "",Fifteenth!G174)</f>
        <v/>
      </c>
      <c r="H3671" s="66" t="str">
        <f>IF(Fifteenth!H174="", "",Fifteenth!H174)</f>
        <v/>
      </c>
      <c r="I3671" s="66" t="str">
        <f>IF(Fifteenth!I174="", "",Fifteenth!I174)</f>
        <v/>
      </c>
      <c r="J3671" s="66" t="str">
        <f>IF(Fifteenth!J174="", "",Fifteenth!J174)</f>
        <v/>
      </c>
      <c r="K3671" s="86" t="str">
        <f>IF(Fifteenth!K174="", "",Fifteenth!K174)</f>
        <v/>
      </c>
      <c r="M3671" s="67" t="str">
        <f t="shared" si="173"/>
        <v/>
      </c>
      <c r="N3671" s="76" t="str">
        <f t="shared" si="174"/>
        <v/>
      </c>
      <c r="O3671" s="33">
        <f t="shared" si="172"/>
        <v>0</v>
      </c>
    </row>
    <row r="3672" spans="1:15" x14ac:dyDescent="0.25">
      <c r="A3672" s="64" t="s">
        <v>186</v>
      </c>
      <c r="B3672" s="79" t="str">
        <f>IF(Fifteenth!B175="", "",Fifteenth!B175)</f>
        <v/>
      </c>
      <c r="C3672" s="66" t="str">
        <f>IF(Fifteenth!C175="", "",Fifteenth!C175)</f>
        <v/>
      </c>
      <c r="D3672" s="66" t="str">
        <f>IF(Fifteenth!D175="", "",Fifteenth!D175)</f>
        <v/>
      </c>
      <c r="E3672" s="66" t="str">
        <f>IF(Fifteenth!E175="", "",Fifteenth!E175)</f>
        <v/>
      </c>
      <c r="F3672" s="66" t="str">
        <f>IF(Fifteenth!F175="", "",Fifteenth!F175)</f>
        <v/>
      </c>
      <c r="G3672" s="66" t="str">
        <f>IF(Fifteenth!G175="", "",Fifteenth!G175)</f>
        <v/>
      </c>
      <c r="H3672" s="66" t="str">
        <f>IF(Fifteenth!H175="", "",Fifteenth!H175)</f>
        <v/>
      </c>
      <c r="I3672" s="66" t="str">
        <f>IF(Fifteenth!I175="", "",Fifteenth!I175)</f>
        <v/>
      </c>
      <c r="J3672" s="66" t="str">
        <f>IF(Fifteenth!J175="", "",Fifteenth!J175)</f>
        <v/>
      </c>
      <c r="K3672" s="86" t="str">
        <f>IF(Fifteenth!K175="", "",Fifteenth!K175)</f>
        <v/>
      </c>
      <c r="M3672" s="67" t="str">
        <f t="shared" si="173"/>
        <v/>
      </c>
      <c r="N3672" s="76" t="str">
        <f t="shared" si="174"/>
        <v/>
      </c>
      <c r="O3672" s="33">
        <f t="shared" si="172"/>
        <v>0</v>
      </c>
    </row>
    <row r="3673" spans="1:15" x14ac:dyDescent="0.25">
      <c r="A3673" s="64" t="s">
        <v>186</v>
      </c>
      <c r="B3673" s="79" t="str">
        <f>IF(Fifteenth!B176="", "",Fifteenth!B176)</f>
        <v/>
      </c>
      <c r="C3673" s="66" t="str">
        <f>IF(Fifteenth!C176="", "",Fifteenth!C176)</f>
        <v/>
      </c>
      <c r="D3673" s="66" t="str">
        <f>IF(Fifteenth!D176="", "",Fifteenth!D176)</f>
        <v/>
      </c>
      <c r="E3673" s="66" t="str">
        <f>IF(Fifteenth!E176="", "",Fifteenth!E176)</f>
        <v/>
      </c>
      <c r="F3673" s="66" t="str">
        <f>IF(Fifteenth!F176="", "",Fifteenth!F176)</f>
        <v/>
      </c>
      <c r="G3673" s="66" t="str">
        <f>IF(Fifteenth!G176="", "",Fifteenth!G176)</f>
        <v/>
      </c>
      <c r="H3673" s="66" t="str">
        <f>IF(Fifteenth!H176="", "",Fifteenth!H176)</f>
        <v/>
      </c>
      <c r="I3673" s="66" t="str">
        <f>IF(Fifteenth!I176="", "",Fifteenth!I176)</f>
        <v/>
      </c>
      <c r="J3673" s="66" t="str">
        <f>IF(Fifteenth!J176="", "",Fifteenth!J176)</f>
        <v/>
      </c>
      <c r="K3673" s="86" t="str">
        <f>IF(Fifteenth!K176="", "",Fifteenth!K176)</f>
        <v/>
      </c>
      <c r="M3673" s="67" t="str">
        <f t="shared" si="173"/>
        <v/>
      </c>
      <c r="N3673" s="76" t="str">
        <f t="shared" si="174"/>
        <v/>
      </c>
      <c r="O3673" s="33">
        <f t="shared" si="172"/>
        <v>0</v>
      </c>
    </row>
    <row r="3674" spans="1:15" x14ac:dyDescent="0.25">
      <c r="A3674" s="64" t="s">
        <v>186</v>
      </c>
      <c r="B3674" s="79" t="str">
        <f>IF(Fifteenth!B177="", "",Fifteenth!B177)</f>
        <v/>
      </c>
      <c r="C3674" s="66" t="str">
        <f>IF(Fifteenth!C177="", "",Fifteenth!C177)</f>
        <v/>
      </c>
      <c r="D3674" s="66" t="str">
        <f>IF(Fifteenth!D177="", "",Fifteenth!D177)</f>
        <v/>
      </c>
      <c r="E3674" s="66" t="str">
        <f>IF(Fifteenth!E177="", "",Fifteenth!E177)</f>
        <v/>
      </c>
      <c r="F3674" s="66" t="str">
        <f>IF(Fifteenth!F177="", "",Fifteenth!F177)</f>
        <v/>
      </c>
      <c r="G3674" s="66" t="str">
        <f>IF(Fifteenth!G177="", "",Fifteenth!G177)</f>
        <v/>
      </c>
      <c r="H3674" s="66" t="str">
        <f>IF(Fifteenth!H177="", "",Fifteenth!H177)</f>
        <v/>
      </c>
      <c r="I3674" s="66" t="str">
        <f>IF(Fifteenth!I177="", "",Fifteenth!I177)</f>
        <v/>
      </c>
      <c r="J3674" s="66" t="str">
        <f>IF(Fifteenth!J177="", "",Fifteenth!J177)</f>
        <v/>
      </c>
      <c r="K3674" s="86" t="str">
        <f>IF(Fifteenth!K177="", "",Fifteenth!K177)</f>
        <v/>
      </c>
      <c r="M3674" s="67" t="str">
        <f t="shared" si="173"/>
        <v/>
      </c>
      <c r="N3674" s="76" t="str">
        <f t="shared" si="174"/>
        <v/>
      </c>
      <c r="O3674" s="33">
        <f t="shared" si="172"/>
        <v>0</v>
      </c>
    </row>
    <row r="3675" spans="1:15" x14ac:dyDescent="0.25">
      <c r="A3675" s="64" t="s">
        <v>186</v>
      </c>
      <c r="B3675" s="79" t="str">
        <f>IF(Fifteenth!B178="", "",Fifteenth!B178)</f>
        <v/>
      </c>
      <c r="C3675" s="66" t="str">
        <f>IF(Fifteenth!C178="", "",Fifteenth!C178)</f>
        <v/>
      </c>
      <c r="D3675" s="66" t="str">
        <f>IF(Fifteenth!D178="", "",Fifteenth!D178)</f>
        <v/>
      </c>
      <c r="E3675" s="66" t="str">
        <f>IF(Fifteenth!E178="", "",Fifteenth!E178)</f>
        <v/>
      </c>
      <c r="F3675" s="66" t="str">
        <f>IF(Fifteenth!F178="", "",Fifteenth!F178)</f>
        <v/>
      </c>
      <c r="G3675" s="66" t="str">
        <f>IF(Fifteenth!G178="", "",Fifteenth!G178)</f>
        <v/>
      </c>
      <c r="H3675" s="66" t="str">
        <f>IF(Fifteenth!H178="", "",Fifteenth!H178)</f>
        <v/>
      </c>
      <c r="I3675" s="66" t="str">
        <f>IF(Fifteenth!I178="", "",Fifteenth!I178)</f>
        <v/>
      </c>
      <c r="J3675" s="66" t="str">
        <f>IF(Fifteenth!J178="", "",Fifteenth!J178)</f>
        <v/>
      </c>
      <c r="K3675" s="86" t="str">
        <f>IF(Fifteenth!K178="", "",Fifteenth!K178)</f>
        <v/>
      </c>
      <c r="M3675" s="67" t="str">
        <f t="shared" si="173"/>
        <v/>
      </c>
      <c r="N3675" s="76" t="str">
        <f t="shared" si="174"/>
        <v/>
      </c>
      <c r="O3675" s="33">
        <f t="shared" si="172"/>
        <v>0</v>
      </c>
    </row>
    <row r="3676" spans="1:15" x14ac:dyDescent="0.25">
      <c r="A3676" s="64" t="s">
        <v>186</v>
      </c>
      <c r="B3676" s="79" t="str">
        <f>IF(Fifteenth!B179="", "",Fifteenth!B179)</f>
        <v/>
      </c>
      <c r="C3676" s="66" t="str">
        <f>IF(Fifteenth!C179="", "",Fifteenth!C179)</f>
        <v/>
      </c>
      <c r="D3676" s="66" t="str">
        <f>IF(Fifteenth!D179="", "",Fifteenth!D179)</f>
        <v/>
      </c>
      <c r="E3676" s="66" t="str">
        <f>IF(Fifteenth!E179="", "",Fifteenth!E179)</f>
        <v/>
      </c>
      <c r="F3676" s="66" t="str">
        <f>IF(Fifteenth!F179="", "",Fifteenth!F179)</f>
        <v/>
      </c>
      <c r="G3676" s="66" t="str">
        <f>IF(Fifteenth!G179="", "",Fifteenth!G179)</f>
        <v/>
      </c>
      <c r="H3676" s="66" t="str">
        <f>IF(Fifteenth!H179="", "",Fifteenth!H179)</f>
        <v/>
      </c>
      <c r="I3676" s="66" t="str">
        <f>IF(Fifteenth!I179="", "",Fifteenth!I179)</f>
        <v/>
      </c>
      <c r="J3676" s="66" t="str">
        <f>IF(Fifteenth!J179="", "",Fifteenth!J179)</f>
        <v/>
      </c>
      <c r="K3676" s="86" t="str">
        <f>IF(Fifteenth!K179="", "",Fifteenth!K179)</f>
        <v/>
      </c>
      <c r="M3676" s="67" t="str">
        <f t="shared" si="173"/>
        <v/>
      </c>
      <c r="N3676" s="76" t="str">
        <f t="shared" si="174"/>
        <v/>
      </c>
      <c r="O3676" s="33">
        <f t="shared" si="172"/>
        <v>0</v>
      </c>
    </row>
    <row r="3677" spans="1:15" x14ac:dyDescent="0.25">
      <c r="A3677" s="64" t="s">
        <v>186</v>
      </c>
      <c r="B3677" s="79" t="str">
        <f>IF(Fifteenth!B180="", "",Fifteenth!B180)</f>
        <v/>
      </c>
      <c r="C3677" s="66" t="str">
        <f>IF(Fifteenth!C180="", "",Fifteenth!C180)</f>
        <v/>
      </c>
      <c r="D3677" s="66" t="str">
        <f>IF(Fifteenth!D180="", "",Fifteenth!D180)</f>
        <v/>
      </c>
      <c r="E3677" s="66" t="str">
        <f>IF(Fifteenth!E180="", "",Fifteenth!E180)</f>
        <v/>
      </c>
      <c r="F3677" s="66" t="str">
        <f>IF(Fifteenth!F180="", "",Fifteenth!F180)</f>
        <v/>
      </c>
      <c r="G3677" s="66" t="str">
        <f>IF(Fifteenth!G180="", "",Fifteenth!G180)</f>
        <v/>
      </c>
      <c r="H3677" s="66" t="str">
        <f>IF(Fifteenth!H180="", "",Fifteenth!H180)</f>
        <v/>
      </c>
      <c r="I3677" s="66" t="str">
        <f>IF(Fifteenth!I180="", "",Fifteenth!I180)</f>
        <v/>
      </c>
      <c r="J3677" s="66" t="str">
        <f>IF(Fifteenth!J180="", "",Fifteenth!J180)</f>
        <v/>
      </c>
      <c r="K3677" s="86" t="str">
        <f>IF(Fifteenth!K180="", "",Fifteenth!K180)</f>
        <v/>
      </c>
      <c r="M3677" s="67" t="str">
        <f t="shared" si="173"/>
        <v/>
      </c>
      <c r="N3677" s="76" t="str">
        <f t="shared" si="174"/>
        <v/>
      </c>
      <c r="O3677" s="33">
        <f t="shared" si="172"/>
        <v>0</v>
      </c>
    </row>
    <row r="3678" spans="1:15" x14ac:dyDescent="0.25">
      <c r="A3678" s="64" t="s">
        <v>186</v>
      </c>
      <c r="B3678" s="79" t="str">
        <f>IF(Fifteenth!B181="", "",Fifteenth!B181)</f>
        <v/>
      </c>
      <c r="C3678" s="66" t="str">
        <f>IF(Fifteenth!C181="", "",Fifteenth!C181)</f>
        <v/>
      </c>
      <c r="D3678" s="66" t="str">
        <f>IF(Fifteenth!D181="", "",Fifteenth!D181)</f>
        <v/>
      </c>
      <c r="E3678" s="66" t="str">
        <f>IF(Fifteenth!E181="", "",Fifteenth!E181)</f>
        <v/>
      </c>
      <c r="F3678" s="66" t="str">
        <f>IF(Fifteenth!F181="", "",Fifteenth!F181)</f>
        <v/>
      </c>
      <c r="G3678" s="66" t="str">
        <f>IF(Fifteenth!G181="", "",Fifteenth!G181)</f>
        <v/>
      </c>
      <c r="H3678" s="66" t="str">
        <f>IF(Fifteenth!H181="", "",Fifteenth!H181)</f>
        <v/>
      </c>
      <c r="I3678" s="66" t="str">
        <f>IF(Fifteenth!I181="", "",Fifteenth!I181)</f>
        <v/>
      </c>
      <c r="J3678" s="66" t="str">
        <f>IF(Fifteenth!J181="", "",Fifteenth!J181)</f>
        <v/>
      </c>
      <c r="K3678" s="86" t="str">
        <f>IF(Fifteenth!K181="", "",Fifteenth!K181)</f>
        <v/>
      </c>
      <c r="M3678" s="67" t="str">
        <f t="shared" si="173"/>
        <v/>
      </c>
      <c r="N3678" s="76" t="str">
        <f t="shared" si="174"/>
        <v/>
      </c>
      <c r="O3678" s="33">
        <f t="shared" si="172"/>
        <v>0</v>
      </c>
    </row>
    <row r="3679" spans="1:15" x14ac:dyDescent="0.25">
      <c r="A3679" s="64" t="s">
        <v>186</v>
      </c>
      <c r="B3679" s="79" t="str">
        <f>IF(Fifteenth!B182="", "",Fifteenth!B182)</f>
        <v/>
      </c>
      <c r="C3679" s="66" t="str">
        <f>IF(Fifteenth!C182="", "",Fifteenth!C182)</f>
        <v/>
      </c>
      <c r="D3679" s="66" t="str">
        <f>IF(Fifteenth!D182="", "",Fifteenth!D182)</f>
        <v/>
      </c>
      <c r="E3679" s="66" t="str">
        <f>IF(Fifteenth!E182="", "",Fifteenth!E182)</f>
        <v/>
      </c>
      <c r="F3679" s="66" t="str">
        <f>IF(Fifteenth!F182="", "",Fifteenth!F182)</f>
        <v/>
      </c>
      <c r="G3679" s="66" t="str">
        <f>IF(Fifteenth!G182="", "",Fifteenth!G182)</f>
        <v/>
      </c>
      <c r="H3679" s="66" t="str">
        <f>IF(Fifteenth!H182="", "",Fifteenth!H182)</f>
        <v/>
      </c>
      <c r="I3679" s="66" t="str">
        <f>IF(Fifteenth!I182="", "",Fifteenth!I182)</f>
        <v/>
      </c>
      <c r="J3679" s="66" t="str">
        <f>IF(Fifteenth!J182="", "",Fifteenth!J182)</f>
        <v/>
      </c>
      <c r="K3679" s="86" t="str">
        <f>IF(Fifteenth!K182="", "",Fifteenth!K182)</f>
        <v/>
      </c>
      <c r="M3679" s="67" t="str">
        <f t="shared" si="173"/>
        <v/>
      </c>
      <c r="N3679" s="76" t="str">
        <f t="shared" si="174"/>
        <v/>
      </c>
      <c r="O3679" s="33">
        <f t="shared" si="172"/>
        <v>0</v>
      </c>
    </row>
    <row r="3680" spans="1:15" x14ac:dyDescent="0.25">
      <c r="A3680" s="64" t="s">
        <v>186</v>
      </c>
      <c r="B3680" s="79" t="str">
        <f>IF(Fifteenth!B183="", "",Fifteenth!B183)</f>
        <v/>
      </c>
      <c r="C3680" s="66" t="str">
        <f>IF(Fifteenth!C183="", "",Fifteenth!C183)</f>
        <v/>
      </c>
      <c r="D3680" s="66" t="str">
        <f>IF(Fifteenth!D183="", "",Fifteenth!D183)</f>
        <v/>
      </c>
      <c r="E3680" s="66" t="str">
        <f>IF(Fifteenth!E183="", "",Fifteenth!E183)</f>
        <v/>
      </c>
      <c r="F3680" s="66" t="str">
        <f>IF(Fifteenth!F183="", "",Fifteenth!F183)</f>
        <v/>
      </c>
      <c r="G3680" s="66" t="str">
        <f>IF(Fifteenth!G183="", "",Fifteenth!G183)</f>
        <v/>
      </c>
      <c r="H3680" s="66" t="str">
        <f>IF(Fifteenth!H183="", "",Fifteenth!H183)</f>
        <v/>
      </c>
      <c r="I3680" s="66" t="str">
        <f>IF(Fifteenth!I183="", "",Fifteenth!I183)</f>
        <v/>
      </c>
      <c r="J3680" s="66" t="str">
        <f>IF(Fifteenth!J183="", "",Fifteenth!J183)</f>
        <v/>
      </c>
      <c r="K3680" s="86" t="str">
        <f>IF(Fifteenth!K183="", "",Fifteenth!K183)</f>
        <v/>
      </c>
      <c r="M3680" s="67" t="str">
        <f t="shared" si="173"/>
        <v/>
      </c>
      <c r="N3680" s="76" t="str">
        <f t="shared" si="174"/>
        <v/>
      </c>
      <c r="O3680" s="33">
        <f t="shared" si="172"/>
        <v>0</v>
      </c>
    </row>
    <row r="3681" spans="1:15" x14ac:dyDescent="0.25">
      <c r="A3681" s="64" t="s">
        <v>186</v>
      </c>
      <c r="B3681" s="79" t="str">
        <f>IF(Fifteenth!B184="", "",Fifteenth!B184)</f>
        <v/>
      </c>
      <c r="C3681" s="66" t="str">
        <f>IF(Fifteenth!C184="", "",Fifteenth!C184)</f>
        <v/>
      </c>
      <c r="D3681" s="66" t="str">
        <f>IF(Fifteenth!D184="", "",Fifteenth!D184)</f>
        <v/>
      </c>
      <c r="E3681" s="66" t="str">
        <f>IF(Fifteenth!E184="", "",Fifteenth!E184)</f>
        <v/>
      </c>
      <c r="F3681" s="66" t="str">
        <f>IF(Fifteenth!F184="", "",Fifteenth!F184)</f>
        <v/>
      </c>
      <c r="G3681" s="66" t="str">
        <f>IF(Fifteenth!G184="", "",Fifteenth!G184)</f>
        <v/>
      </c>
      <c r="H3681" s="66" t="str">
        <f>IF(Fifteenth!H184="", "",Fifteenth!H184)</f>
        <v/>
      </c>
      <c r="I3681" s="66" t="str">
        <f>IF(Fifteenth!I184="", "",Fifteenth!I184)</f>
        <v/>
      </c>
      <c r="J3681" s="66" t="str">
        <f>IF(Fifteenth!J184="", "",Fifteenth!J184)</f>
        <v/>
      </c>
      <c r="K3681" s="86" t="str">
        <f>IF(Fifteenth!K184="", "",Fifteenth!K184)</f>
        <v/>
      </c>
      <c r="M3681" s="67" t="str">
        <f t="shared" si="173"/>
        <v/>
      </c>
      <c r="N3681" s="76" t="str">
        <f t="shared" si="174"/>
        <v/>
      </c>
      <c r="O3681" s="33">
        <f t="shared" si="172"/>
        <v>0</v>
      </c>
    </row>
    <row r="3682" spans="1:15" x14ac:dyDescent="0.25">
      <c r="A3682" s="64" t="s">
        <v>186</v>
      </c>
      <c r="B3682" s="79" t="str">
        <f>IF(Fifteenth!B185="", "",Fifteenth!B185)</f>
        <v/>
      </c>
      <c r="C3682" s="66" t="str">
        <f>IF(Fifteenth!C185="", "",Fifteenth!C185)</f>
        <v/>
      </c>
      <c r="D3682" s="66" t="str">
        <f>IF(Fifteenth!D185="", "",Fifteenth!D185)</f>
        <v/>
      </c>
      <c r="E3682" s="66" t="str">
        <f>IF(Fifteenth!E185="", "",Fifteenth!E185)</f>
        <v/>
      </c>
      <c r="F3682" s="66" t="str">
        <f>IF(Fifteenth!F185="", "",Fifteenth!F185)</f>
        <v/>
      </c>
      <c r="G3682" s="66" t="str">
        <f>IF(Fifteenth!G185="", "",Fifteenth!G185)</f>
        <v/>
      </c>
      <c r="H3682" s="66" t="str">
        <f>IF(Fifteenth!H185="", "",Fifteenth!H185)</f>
        <v/>
      </c>
      <c r="I3682" s="66" t="str">
        <f>IF(Fifteenth!I185="", "",Fifteenth!I185)</f>
        <v/>
      </c>
      <c r="J3682" s="66" t="str">
        <f>IF(Fifteenth!J185="", "",Fifteenth!J185)</f>
        <v/>
      </c>
      <c r="K3682" s="86" t="str">
        <f>IF(Fifteenth!K185="", "",Fifteenth!K185)</f>
        <v/>
      </c>
      <c r="M3682" s="67" t="str">
        <f t="shared" si="173"/>
        <v/>
      </c>
      <c r="N3682" s="76" t="str">
        <f t="shared" si="174"/>
        <v/>
      </c>
      <c r="O3682" s="33">
        <f t="shared" si="172"/>
        <v>0</v>
      </c>
    </row>
    <row r="3683" spans="1:15" x14ac:dyDescent="0.25">
      <c r="A3683" s="64" t="s">
        <v>186</v>
      </c>
      <c r="B3683" s="79" t="str">
        <f>IF(Fifteenth!B186="", "",Fifteenth!B186)</f>
        <v/>
      </c>
      <c r="C3683" s="66" t="str">
        <f>IF(Fifteenth!C186="", "",Fifteenth!C186)</f>
        <v/>
      </c>
      <c r="D3683" s="66" t="str">
        <f>IF(Fifteenth!D186="", "",Fifteenth!D186)</f>
        <v/>
      </c>
      <c r="E3683" s="66" t="str">
        <f>IF(Fifteenth!E186="", "",Fifteenth!E186)</f>
        <v/>
      </c>
      <c r="F3683" s="66" t="str">
        <f>IF(Fifteenth!F186="", "",Fifteenth!F186)</f>
        <v/>
      </c>
      <c r="G3683" s="66" t="str">
        <f>IF(Fifteenth!G186="", "",Fifteenth!G186)</f>
        <v/>
      </c>
      <c r="H3683" s="66" t="str">
        <f>IF(Fifteenth!H186="", "",Fifteenth!H186)</f>
        <v/>
      </c>
      <c r="I3683" s="66" t="str">
        <f>IF(Fifteenth!I186="", "",Fifteenth!I186)</f>
        <v/>
      </c>
      <c r="J3683" s="66" t="str">
        <f>IF(Fifteenth!J186="", "",Fifteenth!J186)</f>
        <v/>
      </c>
      <c r="K3683" s="86" t="str">
        <f>IF(Fifteenth!K186="", "",Fifteenth!K186)</f>
        <v/>
      </c>
      <c r="M3683" s="67" t="str">
        <f t="shared" si="173"/>
        <v/>
      </c>
      <c r="N3683" s="76" t="str">
        <f t="shared" si="174"/>
        <v/>
      </c>
      <c r="O3683" s="33">
        <f t="shared" si="172"/>
        <v>0</v>
      </c>
    </row>
    <row r="3684" spans="1:15" x14ac:dyDescent="0.25">
      <c r="A3684" s="64" t="s">
        <v>186</v>
      </c>
      <c r="B3684" s="79" t="str">
        <f>IF(Fifteenth!B187="", "",Fifteenth!B187)</f>
        <v/>
      </c>
      <c r="C3684" s="66" t="str">
        <f>IF(Fifteenth!C187="", "",Fifteenth!C187)</f>
        <v/>
      </c>
      <c r="D3684" s="66" t="str">
        <f>IF(Fifteenth!D187="", "",Fifteenth!D187)</f>
        <v/>
      </c>
      <c r="E3684" s="66" t="str">
        <f>IF(Fifteenth!E187="", "",Fifteenth!E187)</f>
        <v/>
      </c>
      <c r="F3684" s="66" t="str">
        <f>IF(Fifteenth!F187="", "",Fifteenth!F187)</f>
        <v/>
      </c>
      <c r="G3684" s="66" t="str">
        <f>IF(Fifteenth!G187="", "",Fifteenth!G187)</f>
        <v/>
      </c>
      <c r="H3684" s="66" t="str">
        <f>IF(Fifteenth!H187="", "",Fifteenth!H187)</f>
        <v/>
      </c>
      <c r="I3684" s="66" t="str">
        <f>IF(Fifteenth!I187="", "",Fifteenth!I187)</f>
        <v/>
      </c>
      <c r="J3684" s="66" t="str">
        <f>IF(Fifteenth!J187="", "",Fifteenth!J187)</f>
        <v/>
      </c>
      <c r="K3684" s="86" t="str">
        <f>IF(Fifteenth!K187="", "",Fifteenth!K187)</f>
        <v/>
      </c>
      <c r="M3684" s="67" t="str">
        <f t="shared" si="173"/>
        <v/>
      </c>
      <c r="N3684" s="76" t="str">
        <f t="shared" si="174"/>
        <v/>
      </c>
      <c r="O3684" s="33">
        <f t="shared" si="172"/>
        <v>0</v>
      </c>
    </row>
    <row r="3685" spans="1:15" x14ac:dyDescent="0.25">
      <c r="A3685" s="64" t="s">
        <v>186</v>
      </c>
      <c r="B3685" s="79" t="str">
        <f>IF(Fifteenth!B188="", "",Fifteenth!B188)</f>
        <v/>
      </c>
      <c r="C3685" s="66" t="str">
        <f>IF(Fifteenth!C188="", "",Fifteenth!C188)</f>
        <v/>
      </c>
      <c r="D3685" s="66" t="str">
        <f>IF(Fifteenth!D188="", "",Fifteenth!D188)</f>
        <v/>
      </c>
      <c r="E3685" s="66" t="str">
        <f>IF(Fifteenth!E188="", "",Fifteenth!E188)</f>
        <v/>
      </c>
      <c r="F3685" s="66" t="str">
        <f>IF(Fifteenth!F188="", "",Fifteenth!F188)</f>
        <v/>
      </c>
      <c r="G3685" s="66" t="str">
        <f>IF(Fifteenth!G188="", "",Fifteenth!G188)</f>
        <v/>
      </c>
      <c r="H3685" s="66" t="str">
        <f>IF(Fifteenth!H188="", "",Fifteenth!H188)</f>
        <v/>
      </c>
      <c r="I3685" s="66" t="str">
        <f>IF(Fifteenth!I188="", "",Fifteenth!I188)</f>
        <v/>
      </c>
      <c r="J3685" s="66" t="str">
        <f>IF(Fifteenth!J188="", "",Fifteenth!J188)</f>
        <v/>
      </c>
      <c r="K3685" s="86" t="str">
        <f>IF(Fifteenth!K188="", "",Fifteenth!K188)</f>
        <v/>
      </c>
      <c r="M3685" s="67" t="str">
        <f t="shared" si="173"/>
        <v/>
      </c>
      <c r="N3685" s="76" t="str">
        <f t="shared" si="174"/>
        <v/>
      </c>
      <c r="O3685" s="33">
        <f t="shared" si="172"/>
        <v>0</v>
      </c>
    </row>
    <row r="3686" spans="1:15" x14ac:dyDescent="0.25">
      <c r="A3686" s="64" t="s">
        <v>186</v>
      </c>
      <c r="B3686" s="79" t="str">
        <f>IF(Fifteenth!B189="", "",Fifteenth!B189)</f>
        <v/>
      </c>
      <c r="C3686" s="66" t="str">
        <f>IF(Fifteenth!C189="", "",Fifteenth!C189)</f>
        <v/>
      </c>
      <c r="D3686" s="66" t="str">
        <f>IF(Fifteenth!D189="", "",Fifteenth!D189)</f>
        <v/>
      </c>
      <c r="E3686" s="66" t="str">
        <f>IF(Fifteenth!E189="", "",Fifteenth!E189)</f>
        <v/>
      </c>
      <c r="F3686" s="66" t="str">
        <f>IF(Fifteenth!F189="", "",Fifteenth!F189)</f>
        <v/>
      </c>
      <c r="G3686" s="66" t="str">
        <f>IF(Fifteenth!G189="", "",Fifteenth!G189)</f>
        <v/>
      </c>
      <c r="H3686" s="66" t="str">
        <f>IF(Fifteenth!H189="", "",Fifteenth!H189)</f>
        <v/>
      </c>
      <c r="I3686" s="66" t="str">
        <f>IF(Fifteenth!I189="", "",Fifteenth!I189)</f>
        <v/>
      </c>
      <c r="J3686" s="66" t="str">
        <f>IF(Fifteenth!J189="", "",Fifteenth!J189)</f>
        <v/>
      </c>
      <c r="K3686" s="86" t="str">
        <f>IF(Fifteenth!K189="", "",Fifteenth!K189)</f>
        <v/>
      </c>
      <c r="M3686" s="67" t="str">
        <f t="shared" si="173"/>
        <v/>
      </c>
      <c r="N3686" s="76" t="str">
        <f t="shared" si="174"/>
        <v/>
      </c>
      <c r="O3686" s="33">
        <f t="shared" si="172"/>
        <v>0</v>
      </c>
    </row>
    <row r="3687" spans="1:15" x14ac:dyDescent="0.25">
      <c r="A3687" s="64" t="s">
        <v>186</v>
      </c>
      <c r="B3687" s="79" t="str">
        <f>IF(Fifteenth!B190="", "",Fifteenth!B190)</f>
        <v/>
      </c>
      <c r="C3687" s="66" t="str">
        <f>IF(Fifteenth!C190="", "",Fifteenth!C190)</f>
        <v/>
      </c>
      <c r="D3687" s="66" t="str">
        <f>IF(Fifteenth!D190="", "",Fifteenth!D190)</f>
        <v/>
      </c>
      <c r="E3687" s="66" t="str">
        <f>IF(Fifteenth!E190="", "",Fifteenth!E190)</f>
        <v/>
      </c>
      <c r="F3687" s="66" t="str">
        <f>IF(Fifteenth!F190="", "",Fifteenth!F190)</f>
        <v/>
      </c>
      <c r="G3687" s="66" t="str">
        <f>IF(Fifteenth!G190="", "",Fifteenth!G190)</f>
        <v/>
      </c>
      <c r="H3687" s="66" t="str">
        <f>IF(Fifteenth!H190="", "",Fifteenth!H190)</f>
        <v/>
      </c>
      <c r="I3687" s="66" t="str">
        <f>IF(Fifteenth!I190="", "",Fifteenth!I190)</f>
        <v/>
      </c>
      <c r="J3687" s="66" t="str">
        <f>IF(Fifteenth!J190="", "",Fifteenth!J190)</f>
        <v/>
      </c>
      <c r="K3687" s="86" t="str">
        <f>IF(Fifteenth!K190="", "",Fifteenth!K190)</f>
        <v/>
      </c>
      <c r="M3687" s="67" t="str">
        <f t="shared" si="173"/>
        <v/>
      </c>
      <c r="N3687" s="76" t="str">
        <f t="shared" si="174"/>
        <v/>
      </c>
      <c r="O3687" s="33">
        <f t="shared" si="172"/>
        <v>0</v>
      </c>
    </row>
    <row r="3688" spans="1:15" x14ac:dyDescent="0.25">
      <c r="A3688" s="64" t="s">
        <v>186</v>
      </c>
      <c r="B3688" s="79" t="str">
        <f>IF(Fifteenth!B191="", "",Fifteenth!B191)</f>
        <v/>
      </c>
      <c r="C3688" s="66" t="str">
        <f>IF(Fifteenth!C191="", "",Fifteenth!C191)</f>
        <v/>
      </c>
      <c r="D3688" s="66" t="str">
        <f>IF(Fifteenth!D191="", "",Fifteenth!D191)</f>
        <v/>
      </c>
      <c r="E3688" s="66" t="str">
        <f>IF(Fifteenth!E191="", "",Fifteenth!E191)</f>
        <v/>
      </c>
      <c r="F3688" s="66" t="str">
        <f>IF(Fifteenth!F191="", "",Fifteenth!F191)</f>
        <v/>
      </c>
      <c r="G3688" s="66" t="str">
        <f>IF(Fifteenth!G191="", "",Fifteenth!G191)</f>
        <v/>
      </c>
      <c r="H3688" s="66" t="str">
        <f>IF(Fifteenth!H191="", "",Fifteenth!H191)</f>
        <v/>
      </c>
      <c r="I3688" s="66" t="str">
        <f>IF(Fifteenth!I191="", "",Fifteenth!I191)</f>
        <v/>
      </c>
      <c r="J3688" s="66" t="str">
        <f>IF(Fifteenth!J191="", "",Fifteenth!J191)</f>
        <v/>
      </c>
      <c r="K3688" s="86" t="str">
        <f>IF(Fifteenth!K191="", "",Fifteenth!K191)</f>
        <v/>
      </c>
      <c r="M3688" s="67" t="str">
        <f t="shared" si="173"/>
        <v/>
      </c>
      <c r="N3688" s="76" t="str">
        <f t="shared" si="174"/>
        <v/>
      </c>
      <c r="O3688" s="33">
        <f t="shared" si="172"/>
        <v>0</v>
      </c>
    </row>
    <row r="3689" spans="1:15" x14ac:dyDescent="0.25">
      <c r="A3689" s="64" t="s">
        <v>186</v>
      </c>
      <c r="B3689" s="79" t="str">
        <f>IF(Fifteenth!B192="", "",Fifteenth!B192)</f>
        <v/>
      </c>
      <c r="C3689" s="66" t="str">
        <f>IF(Fifteenth!C192="", "",Fifteenth!C192)</f>
        <v/>
      </c>
      <c r="D3689" s="66" t="str">
        <f>IF(Fifteenth!D192="", "",Fifteenth!D192)</f>
        <v/>
      </c>
      <c r="E3689" s="66" t="str">
        <f>IF(Fifteenth!E192="", "",Fifteenth!E192)</f>
        <v/>
      </c>
      <c r="F3689" s="66" t="str">
        <f>IF(Fifteenth!F192="", "",Fifteenth!F192)</f>
        <v/>
      </c>
      <c r="G3689" s="66" t="str">
        <f>IF(Fifteenth!G192="", "",Fifteenth!G192)</f>
        <v/>
      </c>
      <c r="H3689" s="66" t="str">
        <f>IF(Fifteenth!H192="", "",Fifteenth!H192)</f>
        <v/>
      </c>
      <c r="I3689" s="66" t="str">
        <f>IF(Fifteenth!I192="", "",Fifteenth!I192)</f>
        <v/>
      </c>
      <c r="J3689" s="66" t="str">
        <f>IF(Fifteenth!J192="", "",Fifteenth!J192)</f>
        <v/>
      </c>
      <c r="K3689" s="86" t="str">
        <f>IF(Fifteenth!K192="", "",Fifteenth!K192)</f>
        <v/>
      </c>
      <c r="M3689" s="67" t="str">
        <f t="shared" si="173"/>
        <v/>
      </c>
      <c r="N3689" s="76" t="str">
        <f t="shared" si="174"/>
        <v/>
      </c>
      <c r="O3689" s="33">
        <f t="shared" si="172"/>
        <v>0</v>
      </c>
    </row>
    <row r="3690" spans="1:15" x14ac:dyDescent="0.25">
      <c r="A3690" s="64" t="s">
        <v>186</v>
      </c>
      <c r="B3690" s="79" t="str">
        <f>IF(Fifteenth!B193="", "",Fifteenth!B193)</f>
        <v/>
      </c>
      <c r="C3690" s="66" t="str">
        <f>IF(Fifteenth!C193="", "",Fifteenth!C193)</f>
        <v/>
      </c>
      <c r="D3690" s="66" t="str">
        <f>IF(Fifteenth!D193="", "",Fifteenth!D193)</f>
        <v/>
      </c>
      <c r="E3690" s="66" t="str">
        <f>IF(Fifteenth!E193="", "",Fifteenth!E193)</f>
        <v/>
      </c>
      <c r="F3690" s="66" t="str">
        <f>IF(Fifteenth!F193="", "",Fifteenth!F193)</f>
        <v/>
      </c>
      <c r="G3690" s="66" t="str">
        <f>IF(Fifteenth!G193="", "",Fifteenth!G193)</f>
        <v/>
      </c>
      <c r="H3690" s="66" t="str">
        <f>IF(Fifteenth!H193="", "",Fifteenth!H193)</f>
        <v/>
      </c>
      <c r="I3690" s="66" t="str">
        <f>IF(Fifteenth!I193="", "",Fifteenth!I193)</f>
        <v/>
      </c>
      <c r="J3690" s="66" t="str">
        <f>IF(Fifteenth!J193="", "",Fifteenth!J193)</f>
        <v/>
      </c>
      <c r="K3690" s="86" t="str">
        <f>IF(Fifteenth!K193="", "",Fifteenth!K193)</f>
        <v/>
      </c>
      <c r="M3690" s="67" t="str">
        <f t="shared" si="173"/>
        <v/>
      </c>
      <c r="N3690" s="76" t="str">
        <f t="shared" si="174"/>
        <v/>
      </c>
      <c r="O3690" s="33">
        <f t="shared" si="172"/>
        <v>0</v>
      </c>
    </row>
    <row r="3691" spans="1:15" x14ac:dyDescent="0.25">
      <c r="A3691" s="64" t="s">
        <v>186</v>
      </c>
      <c r="B3691" s="79" t="str">
        <f>IF(Fifteenth!B194="", "",Fifteenth!B194)</f>
        <v/>
      </c>
      <c r="C3691" s="66" t="str">
        <f>IF(Fifteenth!C194="", "",Fifteenth!C194)</f>
        <v/>
      </c>
      <c r="D3691" s="66" t="str">
        <f>IF(Fifteenth!D194="", "",Fifteenth!D194)</f>
        <v/>
      </c>
      <c r="E3691" s="66" t="str">
        <f>IF(Fifteenth!E194="", "",Fifteenth!E194)</f>
        <v/>
      </c>
      <c r="F3691" s="66" t="str">
        <f>IF(Fifteenth!F194="", "",Fifteenth!F194)</f>
        <v/>
      </c>
      <c r="G3691" s="66" t="str">
        <f>IF(Fifteenth!G194="", "",Fifteenth!G194)</f>
        <v/>
      </c>
      <c r="H3691" s="66" t="str">
        <f>IF(Fifteenth!H194="", "",Fifteenth!H194)</f>
        <v/>
      </c>
      <c r="I3691" s="66" t="str">
        <f>IF(Fifteenth!I194="", "",Fifteenth!I194)</f>
        <v/>
      </c>
      <c r="J3691" s="66" t="str">
        <f>IF(Fifteenth!J194="", "",Fifteenth!J194)</f>
        <v/>
      </c>
      <c r="K3691" s="86" t="str">
        <f>IF(Fifteenth!K194="", "",Fifteenth!K194)</f>
        <v/>
      </c>
      <c r="M3691" s="67" t="str">
        <f t="shared" si="173"/>
        <v/>
      </c>
      <c r="N3691" s="76" t="str">
        <f t="shared" si="174"/>
        <v/>
      </c>
      <c r="O3691" s="33">
        <f t="shared" si="172"/>
        <v>0</v>
      </c>
    </row>
    <row r="3692" spans="1:15" x14ac:dyDescent="0.25">
      <c r="A3692" s="64" t="s">
        <v>186</v>
      </c>
      <c r="B3692" s="79" t="str">
        <f>IF(Fifteenth!B195="", "",Fifteenth!B195)</f>
        <v/>
      </c>
      <c r="C3692" s="66" t="str">
        <f>IF(Fifteenth!C195="", "",Fifteenth!C195)</f>
        <v/>
      </c>
      <c r="D3692" s="66" t="str">
        <f>IF(Fifteenth!D195="", "",Fifteenth!D195)</f>
        <v/>
      </c>
      <c r="E3692" s="66" t="str">
        <f>IF(Fifteenth!E195="", "",Fifteenth!E195)</f>
        <v/>
      </c>
      <c r="F3692" s="66" t="str">
        <f>IF(Fifteenth!F195="", "",Fifteenth!F195)</f>
        <v/>
      </c>
      <c r="G3692" s="66" t="str">
        <f>IF(Fifteenth!G195="", "",Fifteenth!G195)</f>
        <v/>
      </c>
      <c r="H3692" s="66" t="str">
        <f>IF(Fifteenth!H195="", "",Fifteenth!H195)</f>
        <v/>
      </c>
      <c r="I3692" s="66" t="str">
        <f>IF(Fifteenth!I195="", "",Fifteenth!I195)</f>
        <v/>
      </c>
      <c r="J3692" s="66" t="str">
        <f>IF(Fifteenth!J195="", "",Fifteenth!J195)</f>
        <v/>
      </c>
      <c r="K3692" s="86" t="str">
        <f>IF(Fifteenth!K195="", "",Fifteenth!K195)</f>
        <v/>
      </c>
      <c r="M3692" s="67" t="str">
        <f t="shared" si="173"/>
        <v/>
      </c>
      <c r="N3692" s="76" t="str">
        <f t="shared" si="174"/>
        <v/>
      </c>
      <c r="O3692" s="33">
        <f t="shared" si="172"/>
        <v>0</v>
      </c>
    </row>
    <row r="3693" spans="1:15" x14ac:dyDescent="0.25">
      <c r="A3693" s="64" t="s">
        <v>186</v>
      </c>
      <c r="B3693" s="79" t="str">
        <f>IF(Fifteenth!B196="", "",Fifteenth!B196)</f>
        <v/>
      </c>
      <c r="C3693" s="66" t="str">
        <f>IF(Fifteenth!C196="", "",Fifteenth!C196)</f>
        <v/>
      </c>
      <c r="D3693" s="66" t="str">
        <f>IF(Fifteenth!D196="", "",Fifteenth!D196)</f>
        <v/>
      </c>
      <c r="E3693" s="66" t="str">
        <f>IF(Fifteenth!E196="", "",Fifteenth!E196)</f>
        <v/>
      </c>
      <c r="F3693" s="66" t="str">
        <f>IF(Fifteenth!F196="", "",Fifteenth!F196)</f>
        <v/>
      </c>
      <c r="G3693" s="66" t="str">
        <f>IF(Fifteenth!G196="", "",Fifteenth!G196)</f>
        <v/>
      </c>
      <c r="H3693" s="66" t="str">
        <f>IF(Fifteenth!H196="", "",Fifteenth!H196)</f>
        <v/>
      </c>
      <c r="I3693" s="66" t="str">
        <f>IF(Fifteenth!I196="", "",Fifteenth!I196)</f>
        <v/>
      </c>
      <c r="J3693" s="66" t="str">
        <f>IF(Fifteenth!J196="", "",Fifteenth!J196)</f>
        <v/>
      </c>
      <c r="K3693" s="86" t="str">
        <f>IF(Fifteenth!K196="", "",Fifteenth!K196)</f>
        <v/>
      </c>
      <c r="M3693" s="67" t="str">
        <f t="shared" si="173"/>
        <v/>
      </c>
      <c r="N3693" s="76" t="str">
        <f t="shared" si="174"/>
        <v/>
      </c>
      <c r="O3693" s="33">
        <f t="shared" si="172"/>
        <v>0</v>
      </c>
    </row>
    <row r="3694" spans="1:15" x14ac:dyDescent="0.25">
      <c r="A3694" s="64" t="s">
        <v>186</v>
      </c>
      <c r="B3694" s="79" t="str">
        <f>IF(Fifteenth!B197="", "",Fifteenth!B197)</f>
        <v/>
      </c>
      <c r="C3694" s="66" t="str">
        <f>IF(Fifteenth!C197="", "",Fifteenth!C197)</f>
        <v/>
      </c>
      <c r="D3694" s="66" t="str">
        <f>IF(Fifteenth!D197="", "",Fifteenth!D197)</f>
        <v/>
      </c>
      <c r="E3694" s="66" t="str">
        <f>IF(Fifteenth!E197="", "",Fifteenth!E197)</f>
        <v/>
      </c>
      <c r="F3694" s="66" t="str">
        <f>IF(Fifteenth!F197="", "",Fifteenth!F197)</f>
        <v/>
      </c>
      <c r="G3694" s="66" t="str">
        <f>IF(Fifteenth!G197="", "",Fifteenth!G197)</f>
        <v/>
      </c>
      <c r="H3694" s="66" t="str">
        <f>IF(Fifteenth!H197="", "",Fifteenth!H197)</f>
        <v/>
      </c>
      <c r="I3694" s="66" t="str">
        <f>IF(Fifteenth!I197="", "",Fifteenth!I197)</f>
        <v/>
      </c>
      <c r="J3694" s="66" t="str">
        <f>IF(Fifteenth!J197="", "",Fifteenth!J197)</f>
        <v/>
      </c>
      <c r="K3694" s="86" t="str">
        <f>IF(Fifteenth!K197="", "",Fifteenth!K197)</f>
        <v/>
      </c>
      <c r="M3694" s="67" t="str">
        <f t="shared" si="173"/>
        <v/>
      </c>
      <c r="N3694" s="76" t="str">
        <f t="shared" si="174"/>
        <v/>
      </c>
      <c r="O3694" s="33">
        <f t="shared" si="172"/>
        <v>0</v>
      </c>
    </row>
    <row r="3695" spans="1:15" x14ac:dyDescent="0.25">
      <c r="A3695" s="64" t="s">
        <v>186</v>
      </c>
      <c r="B3695" s="79" t="str">
        <f>IF(Fifteenth!B198="", "",Fifteenth!B198)</f>
        <v/>
      </c>
      <c r="C3695" s="66" t="str">
        <f>IF(Fifteenth!C198="", "",Fifteenth!C198)</f>
        <v/>
      </c>
      <c r="D3695" s="66" t="str">
        <f>IF(Fifteenth!D198="", "",Fifteenth!D198)</f>
        <v/>
      </c>
      <c r="E3695" s="66" t="str">
        <f>IF(Fifteenth!E198="", "",Fifteenth!E198)</f>
        <v/>
      </c>
      <c r="F3695" s="66" t="str">
        <f>IF(Fifteenth!F198="", "",Fifteenth!F198)</f>
        <v/>
      </c>
      <c r="G3695" s="66" t="str">
        <f>IF(Fifteenth!G198="", "",Fifteenth!G198)</f>
        <v/>
      </c>
      <c r="H3695" s="66" t="str">
        <f>IF(Fifteenth!H198="", "",Fifteenth!H198)</f>
        <v/>
      </c>
      <c r="I3695" s="66" t="str">
        <f>IF(Fifteenth!I198="", "",Fifteenth!I198)</f>
        <v/>
      </c>
      <c r="J3695" s="66" t="str">
        <f>IF(Fifteenth!J198="", "",Fifteenth!J198)</f>
        <v/>
      </c>
      <c r="K3695" s="86" t="str">
        <f>IF(Fifteenth!K198="", "",Fifteenth!K198)</f>
        <v/>
      </c>
      <c r="M3695" s="67" t="str">
        <f t="shared" si="173"/>
        <v/>
      </c>
      <c r="N3695" s="76" t="str">
        <f t="shared" si="174"/>
        <v/>
      </c>
      <c r="O3695" s="33">
        <f t="shared" si="172"/>
        <v>0</v>
      </c>
    </row>
    <row r="3696" spans="1:15" x14ac:dyDescent="0.25">
      <c r="A3696" s="64" t="s">
        <v>186</v>
      </c>
      <c r="B3696" s="79" t="str">
        <f>IF(Fifteenth!B199="", "",Fifteenth!B199)</f>
        <v/>
      </c>
      <c r="C3696" s="66" t="str">
        <f>IF(Fifteenth!C199="", "",Fifteenth!C199)</f>
        <v/>
      </c>
      <c r="D3696" s="66" t="str">
        <f>IF(Fifteenth!D199="", "",Fifteenth!D199)</f>
        <v/>
      </c>
      <c r="E3696" s="66" t="str">
        <f>IF(Fifteenth!E199="", "",Fifteenth!E199)</f>
        <v/>
      </c>
      <c r="F3696" s="66" t="str">
        <f>IF(Fifteenth!F199="", "",Fifteenth!F199)</f>
        <v/>
      </c>
      <c r="G3696" s="66" t="str">
        <f>IF(Fifteenth!G199="", "",Fifteenth!G199)</f>
        <v/>
      </c>
      <c r="H3696" s="66" t="str">
        <f>IF(Fifteenth!H199="", "",Fifteenth!H199)</f>
        <v/>
      </c>
      <c r="I3696" s="66" t="str">
        <f>IF(Fifteenth!I199="", "",Fifteenth!I199)</f>
        <v/>
      </c>
      <c r="J3696" s="66" t="str">
        <f>IF(Fifteenth!J199="", "",Fifteenth!J199)</f>
        <v/>
      </c>
      <c r="K3696" s="86" t="str">
        <f>IF(Fifteenth!K199="", "",Fifteenth!K199)</f>
        <v/>
      </c>
      <c r="M3696" s="67" t="str">
        <f t="shared" si="173"/>
        <v/>
      </c>
      <c r="N3696" s="76" t="str">
        <f t="shared" si="174"/>
        <v/>
      </c>
      <c r="O3696" s="33">
        <f t="shared" si="172"/>
        <v>0</v>
      </c>
    </row>
    <row r="3697" spans="1:15" x14ac:dyDescent="0.25">
      <c r="A3697" s="64" t="s">
        <v>186</v>
      </c>
      <c r="B3697" s="79" t="str">
        <f>IF(Fifteenth!B200="", "",Fifteenth!B200)</f>
        <v/>
      </c>
      <c r="C3697" s="66" t="str">
        <f>IF(Fifteenth!C200="", "",Fifteenth!C200)</f>
        <v/>
      </c>
      <c r="D3697" s="66" t="str">
        <f>IF(Fifteenth!D200="", "",Fifteenth!D200)</f>
        <v/>
      </c>
      <c r="E3697" s="66" t="str">
        <f>IF(Fifteenth!E200="", "",Fifteenth!E200)</f>
        <v/>
      </c>
      <c r="F3697" s="66" t="str">
        <f>IF(Fifteenth!F200="", "",Fifteenth!F200)</f>
        <v/>
      </c>
      <c r="G3697" s="66" t="str">
        <f>IF(Fifteenth!G200="", "",Fifteenth!G200)</f>
        <v/>
      </c>
      <c r="H3697" s="66" t="str">
        <f>IF(Fifteenth!H200="", "",Fifteenth!H200)</f>
        <v/>
      </c>
      <c r="I3697" s="66" t="str">
        <f>IF(Fifteenth!I200="", "",Fifteenth!I200)</f>
        <v/>
      </c>
      <c r="J3697" s="66" t="str">
        <f>IF(Fifteenth!J200="", "",Fifteenth!J200)</f>
        <v/>
      </c>
      <c r="K3697" s="86" t="str">
        <f>IF(Fifteenth!K200="", "",Fifteenth!K200)</f>
        <v/>
      </c>
      <c r="M3697" s="67" t="str">
        <f t="shared" si="173"/>
        <v/>
      </c>
      <c r="N3697" s="76" t="str">
        <f t="shared" si="174"/>
        <v/>
      </c>
      <c r="O3697" s="33">
        <f t="shared" si="172"/>
        <v>0</v>
      </c>
    </row>
    <row r="3698" spans="1:15" x14ac:dyDescent="0.25">
      <c r="A3698" s="64" t="s">
        <v>186</v>
      </c>
      <c r="B3698" s="79" t="str">
        <f>IF(Fifteenth!B201="", "",Fifteenth!B201)</f>
        <v/>
      </c>
      <c r="C3698" s="66" t="str">
        <f>IF(Fifteenth!C201="", "",Fifteenth!C201)</f>
        <v/>
      </c>
      <c r="D3698" s="66" t="str">
        <f>IF(Fifteenth!D201="", "",Fifteenth!D201)</f>
        <v/>
      </c>
      <c r="E3698" s="66" t="str">
        <f>IF(Fifteenth!E201="", "",Fifteenth!E201)</f>
        <v/>
      </c>
      <c r="F3698" s="66" t="str">
        <f>IF(Fifteenth!F201="", "",Fifteenth!F201)</f>
        <v/>
      </c>
      <c r="G3698" s="66" t="str">
        <f>IF(Fifteenth!G201="", "",Fifteenth!G201)</f>
        <v/>
      </c>
      <c r="H3698" s="66" t="str">
        <f>IF(Fifteenth!H201="", "",Fifteenth!H201)</f>
        <v/>
      </c>
      <c r="I3698" s="66" t="str">
        <f>IF(Fifteenth!I201="", "",Fifteenth!I201)</f>
        <v/>
      </c>
      <c r="J3698" s="66" t="str">
        <f>IF(Fifteenth!J201="", "",Fifteenth!J201)</f>
        <v/>
      </c>
      <c r="K3698" s="86" t="str">
        <f>IF(Fifteenth!K201="", "",Fifteenth!K201)</f>
        <v/>
      </c>
      <c r="M3698" s="67" t="str">
        <f t="shared" si="173"/>
        <v/>
      </c>
      <c r="N3698" s="76" t="str">
        <f t="shared" si="174"/>
        <v/>
      </c>
      <c r="O3698" s="33">
        <f t="shared" si="172"/>
        <v>0</v>
      </c>
    </row>
    <row r="3699" spans="1:15" x14ac:dyDescent="0.25">
      <c r="A3699" s="64" t="s">
        <v>186</v>
      </c>
      <c r="B3699" s="79" t="str">
        <f>IF(Fifteenth!B202="", "",Fifteenth!B202)</f>
        <v/>
      </c>
      <c r="C3699" s="66" t="str">
        <f>IF(Fifteenth!C202="", "",Fifteenth!C202)</f>
        <v/>
      </c>
      <c r="D3699" s="66" t="str">
        <f>IF(Fifteenth!D202="", "",Fifteenth!D202)</f>
        <v/>
      </c>
      <c r="E3699" s="66" t="str">
        <f>IF(Fifteenth!E202="", "",Fifteenth!E202)</f>
        <v/>
      </c>
      <c r="F3699" s="66" t="str">
        <f>IF(Fifteenth!F202="", "",Fifteenth!F202)</f>
        <v/>
      </c>
      <c r="G3699" s="66" t="str">
        <f>IF(Fifteenth!G202="", "",Fifteenth!G202)</f>
        <v/>
      </c>
      <c r="H3699" s="66" t="str">
        <f>IF(Fifteenth!H202="", "",Fifteenth!H202)</f>
        <v/>
      </c>
      <c r="I3699" s="66" t="str">
        <f>IF(Fifteenth!I202="", "",Fifteenth!I202)</f>
        <v/>
      </c>
      <c r="J3699" s="66" t="str">
        <f>IF(Fifteenth!J202="", "",Fifteenth!J202)</f>
        <v/>
      </c>
      <c r="K3699" s="86" t="str">
        <f>IF(Fifteenth!K202="", "",Fifteenth!K202)</f>
        <v/>
      </c>
      <c r="M3699" s="67" t="str">
        <f t="shared" si="173"/>
        <v/>
      </c>
      <c r="N3699" s="76" t="str">
        <f t="shared" si="174"/>
        <v/>
      </c>
      <c r="O3699" s="33">
        <f t="shared" si="172"/>
        <v>0</v>
      </c>
    </row>
    <row r="3700" spans="1:15" x14ac:dyDescent="0.25">
      <c r="A3700" s="64" t="s">
        <v>186</v>
      </c>
      <c r="B3700" s="79" t="str">
        <f>IF(Fifteenth!B203="", "",Fifteenth!B203)</f>
        <v/>
      </c>
      <c r="C3700" s="66" t="str">
        <f>IF(Fifteenth!C203="", "",Fifteenth!C203)</f>
        <v/>
      </c>
      <c r="D3700" s="66" t="str">
        <f>IF(Fifteenth!D203="", "",Fifteenth!D203)</f>
        <v/>
      </c>
      <c r="E3700" s="66" t="str">
        <f>IF(Fifteenth!E203="", "",Fifteenth!E203)</f>
        <v/>
      </c>
      <c r="F3700" s="66" t="str">
        <f>IF(Fifteenth!F203="", "",Fifteenth!F203)</f>
        <v/>
      </c>
      <c r="G3700" s="66" t="str">
        <f>IF(Fifteenth!G203="", "",Fifteenth!G203)</f>
        <v/>
      </c>
      <c r="H3700" s="66" t="str">
        <f>IF(Fifteenth!H203="", "",Fifteenth!H203)</f>
        <v/>
      </c>
      <c r="I3700" s="66" t="str">
        <f>IF(Fifteenth!I203="", "",Fifteenth!I203)</f>
        <v/>
      </c>
      <c r="J3700" s="66" t="str">
        <f>IF(Fifteenth!J203="", "",Fifteenth!J203)</f>
        <v/>
      </c>
      <c r="K3700" s="86" t="str">
        <f>IF(Fifteenth!K203="", "",Fifteenth!K203)</f>
        <v/>
      </c>
      <c r="M3700" s="67" t="str">
        <f t="shared" si="173"/>
        <v/>
      </c>
      <c r="N3700" s="76" t="str">
        <f t="shared" si="174"/>
        <v/>
      </c>
      <c r="O3700" s="33">
        <f t="shared" si="172"/>
        <v>0</v>
      </c>
    </row>
    <row r="3701" spans="1:15" x14ac:dyDescent="0.25">
      <c r="A3701" s="64" t="s">
        <v>186</v>
      </c>
      <c r="B3701" s="79" t="str">
        <f>IF(Fifteenth!B204="", "",Fifteenth!B204)</f>
        <v/>
      </c>
      <c r="C3701" s="66" t="str">
        <f>IF(Fifteenth!C204="", "",Fifteenth!C204)</f>
        <v/>
      </c>
      <c r="D3701" s="66" t="str">
        <f>IF(Fifteenth!D204="", "",Fifteenth!D204)</f>
        <v/>
      </c>
      <c r="E3701" s="66" t="str">
        <f>IF(Fifteenth!E204="", "",Fifteenth!E204)</f>
        <v/>
      </c>
      <c r="F3701" s="66" t="str">
        <f>IF(Fifteenth!F204="", "",Fifteenth!F204)</f>
        <v/>
      </c>
      <c r="G3701" s="66" t="str">
        <f>IF(Fifteenth!G204="", "",Fifteenth!G204)</f>
        <v/>
      </c>
      <c r="H3701" s="66" t="str">
        <f>IF(Fifteenth!H204="", "",Fifteenth!H204)</f>
        <v/>
      </c>
      <c r="I3701" s="66" t="str">
        <f>IF(Fifteenth!I204="", "",Fifteenth!I204)</f>
        <v/>
      </c>
      <c r="J3701" s="66" t="str">
        <f>IF(Fifteenth!J204="", "",Fifteenth!J204)</f>
        <v/>
      </c>
      <c r="K3701" s="86" t="str">
        <f>IF(Fifteenth!K204="", "",Fifteenth!K204)</f>
        <v/>
      </c>
      <c r="M3701" s="67" t="str">
        <f t="shared" si="173"/>
        <v/>
      </c>
      <c r="N3701" s="76" t="str">
        <f t="shared" si="174"/>
        <v/>
      </c>
      <c r="O3701" s="33">
        <f t="shared" si="172"/>
        <v>0</v>
      </c>
    </row>
    <row r="3702" spans="1:15" x14ac:dyDescent="0.25">
      <c r="A3702" s="64" t="s">
        <v>186</v>
      </c>
      <c r="B3702" s="79" t="str">
        <f>IF(Fifteenth!B205="", "",Fifteenth!B205)</f>
        <v/>
      </c>
      <c r="C3702" s="66" t="str">
        <f>IF(Fifteenth!C205="", "",Fifteenth!C205)</f>
        <v/>
      </c>
      <c r="D3702" s="66" t="str">
        <f>IF(Fifteenth!D205="", "",Fifteenth!D205)</f>
        <v/>
      </c>
      <c r="E3702" s="66" t="str">
        <f>IF(Fifteenth!E205="", "",Fifteenth!E205)</f>
        <v/>
      </c>
      <c r="F3702" s="66" t="str">
        <f>IF(Fifteenth!F205="", "",Fifteenth!F205)</f>
        <v/>
      </c>
      <c r="G3702" s="66" t="str">
        <f>IF(Fifteenth!G205="", "",Fifteenth!G205)</f>
        <v/>
      </c>
      <c r="H3702" s="66" t="str">
        <f>IF(Fifteenth!H205="", "",Fifteenth!H205)</f>
        <v/>
      </c>
      <c r="I3702" s="66" t="str">
        <f>IF(Fifteenth!I205="", "",Fifteenth!I205)</f>
        <v/>
      </c>
      <c r="J3702" s="66" t="str">
        <f>IF(Fifteenth!J205="", "",Fifteenth!J205)</f>
        <v/>
      </c>
      <c r="K3702" s="86" t="str">
        <f>IF(Fifteenth!K205="", "",Fifteenth!K205)</f>
        <v/>
      </c>
      <c r="M3702" s="67" t="str">
        <f t="shared" si="173"/>
        <v/>
      </c>
      <c r="N3702" s="76" t="str">
        <f t="shared" si="174"/>
        <v/>
      </c>
      <c r="O3702" s="33">
        <f t="shared" si="172"/>
        <v>0</v>
      </c>
    </row>
    <row r="3703" spans="1:15" x14ac:dyDescent="0.25">
      <c r="A3703" s="64" t="s">
        <v>186</v>
      </c>
      <c r="B3703" s="79" t="str">
        <f>IF(Fifteenth!B206="", "",Fifteenth!B206)</f>
        <v/>
      </c>
      <c r="C3703" s="66" t="str">
        <f>IF(Fifteenth!C206="", "",Fifteenth!C206)</f>
        <v/>
      </c>
      <c r="D3703" s="66" t="str">
        <f>IF(Fifteenth!D206="", "",Fifteenth!D206)</f>
        <v/>
      </c>
      <c r="E3703" s="66" t="str">
        <f>IF(Fifteenth!E206="", "",Fifteenth!E206)</f>
        <v/>
      </c>
      <c r="F3703" s="66" t="str">
        <f>IF(Fifteenth!F206="", "",Fifteenth!F206)</f>
        <v/>
      </c>
      <c r="G3703" s="66" t="str">
        <f>IF(Fifteenth!G206="", "",Fifteenth!G206)</f>
        <v/>
      </c>
      <c r="H3703" s="66" t="str">
        <f>IF(Fifteenth!H206="", "",Fifteenth!H206)</f>
        <v/>
      </c>
      <c r="I3703" s="66" t="str">
        <f>IF(Fifteenth!I206="", "",Fifteenth!I206)</f>
        <v/>
      </c>
      <c r="J3703" s="66" t="str">
        <f>IF(Fifteenth!J206="", "",Fifteenth!J206)</f>
        <v/>
      </c>
      <c r="K3703" s="86" t="str">
        <f>IF(Fifteenth!K206="", "",Fifteenth!K206)</f>
        <v/>
      </c>
      <c r="M3703" s="67" t="str">
        <f t="shared" si="173"/>
        <v/>
      </c>
      <c r="N3703" s="76" t="str">
        <f t="shared" si="174"/>
        <v/>
      </c>
      <c r="O3703" s="33">
        <f t="shared" si="172"/>
        <v>0</v>
      </c>
    </row>
    <row r="3704" spans="1:15" x14ac:dyDescent="0.25">
      <c r="A3704" s="64" t="s">
        <v>186</v>
      </c>
      <c r="B3704" s="79" t="str">
        <f>IF(Fifteenth!B207="", "",Fifteenth!B207)</f>
        <v/>
      </c>
      <c r="C3704" s="66" t="str">
        <f>IF(Fifteenth!C207="", "",Fifteenth!C207)</f>
        <v/>
      </c>
      <c r="D3704" s="66" t="str">
        <f>IF(Fifteenth!D207="", "",Fifteenth!D207)</f>
        <v/>
      </c>
      <c r="E3704" s="66" t="str">
        <f>IF(Fifteenth!E207="", "",Fifteenth!E207)</f>
        <v/>
      </c>
      <c r="F3704" s="66" t="str">
        <f>IF(Fifteenth!F207="", "",Fifteenth!F207)</f>
        <v/>
      </c>
      <c r="G3704" s="66" t="str">
        <f>IF(Fifteenth!G207="", "",Fifteenth!G207)</f>
        <v/>
      </c>
      <c r="H3704" s="66" t="str">
        <f>IF(Fifteenth!H207="", "",Fifteenth!H207)</f>
        <v/>
      </c>
      <c r="I3704" s="66" t="str">
        <f>IF(Fifteenth!I207="", "",Fifteenth!I207)</f>
        <v/>
      </c>
      <c r="J3704" s="66" t="str">
        <f>IF(Fifteenth!J207="", "",Fifteenth!J207)</f>
        <v/>
      </c>
      <c r="K3704" s="86" t="str">
        <f>IF(Fifteenth!K207="", "",Fifteenth!K207)</f>
        <v/>
      </c>
      <c r="M3704" s="67" t="str">
        <f t="shared" si="173"/>
        <v/>
      </c>
      <c r="N3704" s="76" t="str">
        <f t="shared" si="174"/>
        <v/>
      </c>
      <c r="O3704" s="33">
        <f t="shared" si="172"/>
        <v>0</v>
      </c>
    </row>
    <row r="3705" spans="1:15" x14ac:dyDescent="0.25">
      <c r="A3705" s="64" t="s">
        <v>186</v>
      </c>
      <c r="B3705" s="79" t="str">
        <f>IF(Fifteenth!B208="", "",Fifteenth!B208)</f>
        <v/>
      </c>
      <c r="C3705" s="66" t="str">
        <f>IF(Fifteenth!C208="", "",Fifteenth!C208)</f>
        <v/>
      </c>
      <c r="D3705" s="66" t="str">
        <f>IF(Fifteenth!D208="", "",Fifteenth!D208)</f>
        <v/>
      </c>
      <c r="E3705" s="66" t="str">
        <f>IF(Fifteenth!E208="", "",Fifteenth!E208)</f>
        <v/>
      </c>
      <c r="F3705" s="66" t="str">
        <f>IF(Fifteenth!F208="", "",Fifteenth!F208)</f>
        <v/>
      </c>
      <c r="G3705" s="66" t="str">
        <f>IF(Fifteenth!G208="", "",Fifteenth!G208)</f>
        <v/>
      </c>
      <c r="H3705" s="66" t="str">
        <f>IF(Fifteenth!H208="", "",Fifteenth!H208)</f>
        <v/>
      </c>
      <c r="I3705" s="66" t="str">
        <f>IF(Fifteenth!I208="", "",Fifteenth!I208)</f>
        <v/>
      </c>
      <c r="J3705" s="66" t="str">
        <f>IF(Fifteenth!J208="", "",Fifteenth!J208)</f>
        <v/>
      </c>
      <c r="K3705" s="86" t="str">
        <f>IF(Fifteenth!K208="", "",Fifteenth!K208)</f>
        <v/>
      </c>
      <c r="M3705" s="67" t="str">
        <f t="shared" si="173"/>
        <v/>
      </c>
      <c r="N3705" s="76" t="str">
        <f t="shared" si="174"/>
        <v/>
      </c>
      <c r="O3705" s="33">
        <f t="shared" si="172"/>
        <v>0</v>
      </c>
    </row>
    <row r="3706" spans="1:15" x14ac:dyDescent="0.25">
      <c r="A3706" s="64" t="s">
        <v>186</v>
      </c>
      <c r="B3706" s="79" t="str">
        <f>IF(Fifteenth!B209="", "",Fifteenth!B209)</f>
        <v/>
      </c>
      <c r="C3706" s="66" t="str">
        <f>IF(Fifteenth!C209="", "",Fifteenth!C209)</f>
        <v/>
      </c>
      <c r="D3706" s="66" t="str">
        <f>IF(Fifteenth!D209="", "",Fifteenth!D209)</f>
        <v/>
      </c>
      <c r="E3706" s="66" t="str">
        <f>IF(Fifteenth!E209="", "",Fifteenth!E209)</f>
        <v/>
      </c>
      <c r="F3706" s="66" t="str">
        <f>IF(Fifteenth!F209="", "",Fifteenth!F209)</f>
        <v/>
      </c>
      <c r="G3706" s="66" t="str">
        <f>IF(Fifteenth!G209="", "",Fifteenth!G209)</f>
        <v/>
      </c>
      <c r="H3706" s="66" t="str">
        <f>IF(Fifteenth!H209="", "",Fifteenth!H209)</f>
        <v/>
      </c>
      <c r="I3706" s="66" t="str">
        <f>IF(Fifteenth!I209="", "",Fifteenth!I209)</f>
        <v/>
      </c>
      <c r="J3706" s="66" t="str">
        <f>IF(Fifteenth!J209="", "",Fifteenth!J209)</f>
        <v/>
      </c>
      <c r="K3706" s="86" t="str">
        <f>IF(Fifteenth!K209="", "",Fifteenth!K209)</f>
        <v/>
      </c>
      <c r="M3706" s="67" t="str">
        <f t="shared" si="173"/>
        <v/>
      </c>
      <c r="N3706" s="76" t="str">
        <f t="shared" si="174"/>
        <v/>
      </c>
      <c r="O3706" s="33">
        <f t="shared" si="172"/>
        <v>0</v>
      </c>
    </row>
    <row r="3707" spans="1:15" x14ac:dyDescent="0.25">
      <c r="A3707" s="64" t="s">
        <v>186</v>
      </c>
      <c r="B3707" s="79" t="str">
        <f>IF(Fifteenth!B210="", "",Fifteenth!B210)</f>
        <v/>
      </c>
      <c r="C3707" s="66" t="str">
        <f>IF(Fifteenth!C210="", "",Fifteenth!C210)</f>
        <v/>
      </c>
      <c r="D3707" s="66" t="str">
        <f>IF(Fifteenth!D210="", "",Fifteenth!D210)</f>
        <v/>
      </c>
      <c r="E3707" s="66" t="str">
        <f>IF(Fifteenth!E210="", "",Fifteenth!E210)</f>
        <v/>
      </c>
      <c r="F3707" s="66" t="str">
        <f>IF(Fifteenth!F210="", "",Fifteenth!F210)</f>
        <v/>
      </c>
      <c r="G3707" s="66" t="str">
        <f>IF(Fifteenth!G210="", "",Fifteenth!G210)</f>
        <v/>
      </c>
      <c r="H3707" s="66" t="str">
        <f>IF(Fifteenth!H210="", "",Fifteenth!H210)</f>
        <v/>
      </c>
      <c r="I3707" s="66" t="str">
        <f>IF(Fifteenth!I210="", "",Fifteenth!I210)</f>
        <v/>
      </c>
      <c r="J3707" s="66" t="str">
        <f>IF(Fifteenth!J210="", "",Fifteenth!J210)</f>
        <v/>
      </c>
      <c r="K3707" s="86" t="str">
        <f>IF(Fifteenth!K210="", "",Fifteenth!K210)</f>
        <v/>
      </c>
      <c r="M3707" s="67" t="str">
        <f t="shared" si="173"/>
        <v/>
      </c>
      <c r="N3707" s="76" t="str">
        <f t="shared" si="174"/>
        <v/>
      </c>
      <c r="O3707" s="33">
        <f t="shared" si="172"/>
        <v>0</v>
      </c>
    </row>
    <row r="3708" spans="1:15" x14ac:dyDescent="0.25">
      <c r="A3708" s="64" t="s">
        <v>186</v>
      </c>
      <c r="B3708" s="79" t="str">
        <f>IF(Fifteenth!B211="", "",Fifteenth!B211)</f>
        <v/>
      </c>
      <c r="C3708" s="66" t="str">
        <f>IF(Fifteenth!C211="", "",Fifteenth!C211)</f>
        <v/>
      </c>
      <c r="D3708" s="66" t="str">
        <f>IF(Fifteenth!D211="", "",Fifteenth!D211)</f>
        <v/>
      </c>
      <c r="E3708" s="66" t="str">
        <f>IF(Fifteenth!E211="", "",Fifteenth!E211)</f>
        <v/>
      </c>
      <c r="F3708" s="66" t="str">
        <f>IF(Fifteenth!F211="", "",Fifteenth!F211)</f>
        <v/>
      </c>
      <c r="G3708" s="66" t="str">
        <f>IF(Fifteenth!G211="", "",Fifteenth!G211)</f>
        <v/>
      </c>
      <c r="H3708" s="66" t="str">
        <f>IF(Fifteenth!H211="", "",Fifteenth!H211)</f>
        <v/>
      </c>
      <c r="I3708" s="66" t="str">
        <f>IF(Fifteenth!I211="", "",Fifteenth!I211)</f>
        <v/>
      </c>
      <c r="J3708" s="66" t="str">
        <f>IF(Fifteenth!J211="", "",Fifteenth!J211)</f>
        <v/>
      </c>
      <c r="K3708" s="86" t="str">
        <f>IF(Fifteenth!K211="", "",Fifteenth!K211)</f>
        <v/>
      </c>
      <c r="M3708" s="67" t="str">
        <f t="shared" si="173"/>
        <v/>
      </c>
      <c r="N3708" s="76" t="str">
        <f t="shared" si="174"/>
        <v/>
      </c>
      <c r="O3708" s="33">
        <f t="shared" si="172"/>
        <v>0</v>
      </c>
    </row>
    <row r="3709" spans="1:15" x14ac:dyDescent="0.25">
      <c r="A3709" s="64" t="s">
        <v>186</v>
      </c>
      <c r="B3709" s="79" t="str">
        <f>IF(Fifteenth!B212="", "",Fifteenth!B212)</f>
        <v/>
      </c>
      <c r="C3709" s="66" t="str">
        <f>IF(Fifteenth!C212="", "",Fifteenth!C212)</f>
        <v/>
      </c>
      <c r="D3709" s="66" t="str">
        <f>IF(Fifteenth!D212="", "",Fifteenth!D212)</f>
        <v/>
      </c>
      <c r="E3709" s="66" t="str">
        <f>IF(Fifteenth!E212="", "",Fifteenth!E212)</f>
        <v/>
      </c>
      <c r="F3709" s="66" t="str">
        <f>IF(Fifteenth!F212="", "",Fifteenth!F212)</f>
        <v/>
      </c>
      <c r="G3709" s="66" t="str">
        <f>IF(Fifteenth!G212="", "",Fifteenth!G212)</f>
        <v/>
      </c>
      <c r="H3709" s="66" t="str">
        <f>IF(Fifteenth!H212="", "",Fifteenth!H212)</f>
        <v/>
      </c>
      <c r="I3709" s="66" t="str">
        <f>IF(Fifteenth!I212="", "",Fifteenth!I212)</f>
        <v/>
      </c>
      <c r="J3709" s="66" t="str">
        <f>IF(Fifteenth!J212="", "",Fifteenth!J212)</f>
        <v/>
      </c>
      <c r="K3709" s="86" t="str">
        <f>IF(Fifteenth!K212="", "",Fifteenth!K212)</f>
        <v/>
      </c>
      <c r="M3709" s="67" t="str">
        <f t="shared" si="173"/>
        <v/>
      </c>
      <c r="N3709" s="76" t="str">
        <f t="shared" si="174"/>
        <v/>
      </c>
      <c r="O3709" s="33">
        <f t="shared" si="172"/>
        <v>0</v>
      </c>
    </row>
    <row r="3710" spans="1:15" x14ac:dyDescent="0.25">
      <c r="A3710" s="64" t="s">
        <v>186</v>
      </c>
      <c r="B3710" s="79" t="str">
        <f>IF(Fifteenth!B213="", "",Fifteenth!B213)</f>
        <v/>
      </c>
      <c r="C3710" s="66" t="str">
        <f>IF(Fifteenth!C213="", "",Fifteenth!C213)</f>
        <v/>
      </c>
      <c r="D3710" s="66" t="str">
        <f>IF(Fifteenth!D213="", "",Fifteenth!D213)</f>
        <v/>
      </c>
      <c r="E3710" s="66" t="str">
        <f>IF(Fifteenth!E213="", "",Fifteenth!E213)</f>
        <v/>
      </c>
      <c r="F3710" s="66" t="str">
        <f>IF(Fifteenth!F213="", "",Fifteenth!F213)</f>
        <v/>
      </c>
      <c r="G3710" s="66" t="str">
        <f>IF(Fifteenth!G213="", "",Fifteenth!G213)</f>
        <v/>
      </c>
      <c r="H3710" s="66" t="str">
        <f>IF(Fifteenth!H213="", "",Fifteenth!H213)</f>
        <v/>
      </c>
      <c r="I3710" s="66" t="str">
        <f>IF(Fifteenth!I213="", "",Fifteenth!I213)</f>
        <v/>
      </c>
      <c r="J3710" s="66" t="str">
        <f>IF(Fifteenth!J213="", "",Fifteenth!J213)</f>
        <v/>
      </c>
      <c r="K3710" s="86" t="str">
        <f>IF(Fifteenth!K213="", "",Fifteenth!K213)</f>
        <v/>
      </c>
      <c r="M3710" s="67" t="str">
        <f t="shared" si="173"/>
        <v/>
      </c>
      <c r="N3710" s="76" t="str">
        <f t="shared" si="174"/>
        <v/>
      </c>
      <c r="O3710" s="33">
        <f t="shared" si="172"/>
        <v>0</v>
      </c>
    </row>
    <row r="3711" spans="1:15" x14ac:dyDescent="0.25">
      <c r="A3711" s="64" t="s">
        <v>186</v>
      </c>
      <c r="B3711" s="79" t="str">
        <f>IF(Fifteenth!B214="", "",Fifteenth!B214)</f>
        <v/>
      </c>
      <c r="C3711" s="66" t="str">
        <f>IF(Fifteenth!C214="", "",Fifteenth!C214)</f>
        <v/>
      </c>
      <c r="D3711" s="66" t="str">
        <f>IF(Fifteenth!D214="", "",Fifteenth!D214)</f>
        <v/>
      </c>
      <c r="E3711" s="66" t="str">
        <f>IF(Fifteenth!E214="", "",Fifteenth!E214)</f>
        <v/>
      </c>
      <c r="F3711" s="66" t="str">
        <f>IF(Fifteenth!F214="", "",Fifteenth!F214)</f>
        <v/>
      </c>
      <c r="G3711" s="66" t="str">
        <f>IF(Fifteenth!G214="", "",Fifteenth!G214)</f>
        <v/>
      </c>
      <c r="H3711" s="66" t="str">
        <f>IF(Fifteenth!H214="", "",Fifteenth!H214)</f>
        <v/>
      </c>
      <c r="I3711" s="66" t="str">
        <f>IF(Fifteenth!I214="", "",Fifteenth!I214)</f>
        <v/>
      </c>
      <c r="J3711" s="66" t="str">
        <f>IF(Fifteenth!J214="", "",Fifteenth!J214)</f>
        <v/>
      </c>
      <c r="K3711" s="86" t="str">
        <f>IF(Fifteenth!K214="", "",Fifteenth!K214)</f>
        <v/>
      </c>
      <c r="M3711" s="67" t="str">
        <f t="shared" si="173"/>
        <v/>
      </c>
      <c r="N3711" s="76" t="str">
        <f t="shared" si="174"/>
        <v/>
      </c>
      <c r="O3711" s="33">
        <f t="shared" si="172"/>
        <v>0</v>
      </c>
    </row>
    <row r="3712" spans="1:15" x14ac:dyDescent="0.25">
      <c r="A3712" s="64" t="s">
        <v>186</v>
      </c>
      <c r="B3712" s="79" t="str">
        <f>IF(Fifteenth!B215="", "",Fifteenth!B215)</f>
        <v/>
      </c>
      <c r="C3712" s="66" t="str">
        <f>IF(Fifteenth!C215="", "",Fifteenth!C215)</f>
        <v/>
      </c>
      <c r="D3712" s="66" t="str">
        <f>IF(Fifteenth!D215="", "",Fifteenth!D215)</f>
        <v/>
      </c>
      <c r="E3712" s="66" t="str">
        <f>IF(Fifteenth!E215="", "",Fifteenth!E215)</f>
        <v/>
      </c>
      <c r="F3712" s="66" t="str">
        <f>IF(Fifteenth!F215="", "",Fifteenth!F215)</f>
        <v/>
      </c>
      <c r="G3712" s="66" t="str">
        <f>IF(Fifteenth!G215="", "",Fifteenth!G215)</f>
        <v/>
      </c>
      <c r="H3712" s="66" t="str">
        <f>IF(Fifteenth!H215="", "",Fifteenth!H215)</f>
        <v/>
      </c>
      <c r="I3712" s="66" t="str">
        <f>IF(Fifteenth!I215="", "",Fifteenth!I215)</f>
        <v/>
      </c>
      <c r="J3712" s="66" t="str">
        <f>IF(Fifteenth!J215="", "",Fifteenth!J215)</f>
        <v/>
      </c>
      <c r="K3712" s="86" t="str">
        <f>IF(Fifteenth!K215="", "",Fifteenth!K215)</f>
        <v/>
      </c>
      <c r="M3712" s="67" t="str">
        <f t="shared" si="173"/>
        <v/>
      </c>
      <c r="N3712" s="76" t="str">
        <f t="shared" si="174"/>
        <v/>
      </c>
      <c r="O3712" s="33">
        <f t="shared" si="172"/>
        <v>0</v>
      </c>
    </row>
    <row r="3713" spans="1:15" x14ac:dyDescent="0.25">
      <c r="A3713" s="64" t="s">
        <v>186</v>
      </c>
      <c r="B3713" s="79" t="str">
        <f>IF(Fifteenth!B216="", "",Fifteenth!B216)</f>
        <v/>
      </c>
      <c r="C3713" s="66" t="str">
        <f>IF(Fifteenth!C216="", "",Fifteenth!C216)</f>
        <v/>
      </c>
      <c r="D3713" s="66" t="str">
        <f>IF(Fifteenth!D216="", "",Fifteenth!D216)</f>
        <v/>
      </c>
      <c r="E3713" s="66" t="str">
        <f>IF(Fifteenth!E216="", "",Fifteenth!E216)</f>
        <v/>
      </c>
      <c r="F3713" s="66" t="str">
        <f>IF(Fifteenth!F216="", "",Fifteenth!F216)</f>
        <v/>
      </c>
      <c r="G3713" s="66" t="str">
        <f>IF(Fifteenth!G216="", "",Fifteenth!G216)</f>
        <v/>
      </c>
      <c r="H3713" s="66" t="str">
        <f>IF(Fifteenth!H216="", "",Fifteenth!H216)</f>
        <v/>
      </c>
      <c r="I3713" s="66" t="str">
        <f>IF(Fifteenth!I216="", "",Fifteenth!I216)</f>
        <v/>
      </c>
      <c r="J3713" s="66" t="str">
        <f>IF(Fifteenth!J216="", "",Fifteenth!J216)</f>
        <v/>
      </c>
      <c r="K3713" s="86" t="str">
        <f>IF(Fifteenth!K216="", "",Fifteenth!K216)</f>
        <v/>
      </c>
      <c r="M3713" s="67" t="str">
        <f t="shared" si="173"/>
        <v/>
      </c>
      <c r="N3713" s="76" t="str">
        <f t="shared" si="174"/>
        <v/>
      </c>
      <c r="O3713" s="33">
        <f t="shared" si="172"/>
        <v>0</v>
      </c>
    </row>
    <row r="3714" spans="1:15" x14ac:dyDescent="0.25">
      <c r="A3714" s="64" t="s">
        <v>186</v>
      </c>
      <c r="B3714" s="79" t="str">
        <f>IF(Fifteenth!B217="", "",Fifteenth!B217)</f>
        <v/>
      </c>
      <c r="C3714" s="66" t="str">
        <f>IF(Fifteenth!C217="", "",Fifteenth!C217)</f>
        <v/>
      </c>
      <c r="D3714" s="66" t="str">
        <f>IF(Fifteenth!D217="", "",Fifteenth!D217)</f>
        <v/>
      </c>
      <c r="E3714" s="66" t="str">
        <f>IF(Fifteenth!E217="", "",Fifteenth!E217)</f>
        <v/>
      </c>
      <c r="F3714" s="66" t="str">
        <f>IF(Fifteenth!F217="", "",Fifteenth!F217)</f>
        <v/>
      </c>
      <c r="G3714" s="66" t="str">
        <f>IF(Fifteenth!G217="", "",Fifteenth!G217)</f>
        <v/>
      </c>
      <c r="H3714" s="66" t="str">
        <f>IF(Fifteenth!H217="", "",Fifteenth!H217)</f>
        <v/>
      </c>
      <c r="I3714" s="66" t="str">
        <f>IF(Fifteenth!I217="", "",Fifteenth!I217)</f>
        <v/>
      </c>
      <c r="J3714" s="66" t="str">
        <f>IF(Fifteenth!J217="", "",Fifteenth!J217)</f>
        <v/>
      </c>
      <c r="K3714" s="86" t="str">
        <f>IF(Fifteenth!K217="", "",Fifteenth!K217)</f>
        <v/>
      </c>
      <c r="M3714" s="67" t="str">
        <f t="shared" si="173"/>
        <v/>
      </c>
      <c r="N3714" s="76" t="str">
        <f t="shared" si="174"/>
        <v/>
      </c>
      <c r="O3714" s="33">
        <f t="shared" ref="O3714:O3777" si="175">SUM(M3714:N3714)</f>
        <v>0</v>
      </c>
    </row>
    <row r="3715" spans="1:15" x14ac:dyDescent="0.25">
      <c r="A3715" s="64" t="s">
        <v>186</v>
      </c>
      <c r="B3715" s="79" t="str">
        <f>IF(Fifteenth!B218="", "",Fifteenth!B218)</f>
        <v/>
      </c>
      <c r="C3715" s="66" t="str">
        <f>IF(Fifteenth!C218="", "",Fifteenth!C218)</f>
        <v/>
      </c>
      <c r="D3715" s="66" t="str">
        <f>IF(Fifteenth!D218="", "",Fifteenth!D218)</f>
        <v/>
      </c>
      <c r="E3715" s="66" t="str">
        <f>IF(Fifteenth!E218="", "",Fifteenth!E218)</f>
        <v/>
      </c>
      <c r="F3715" s="66" t="str">
        <f>IF(Fifteenth!F218="", "",Fifteenth!F218)</f>
        <v/>
      </c>
      <c r="G3715" s="66" t="str">
        <f>IF(Fifteenth!G218="", "",Fifteenth!G218)</f>
        <v/>
      </c>
      <c r="H3715" s="66" t="str">
        <f>IF(Fifteenth!H218="", "",Fifteenth!H218)</f>
        <v/>
      </c>
      <c r="I3715" s="66" t="str">
        <f>IF(Fifteenth!I218="", "",Fifteenth!I218)</f>
        <v/>
      </c>
      <c r="J3715" s="66" t="str">
        <f>IF(Fifteenth!J218="", "",Fifteenth!J218)</f>
        <v/>
      </c>
      <c r="K3715" s="86" t="str">
        <f>IF(Fifteenth!K218="", "",Fifteenth!K218)</f>
        <v/>
      </c>
      <c r="M3715" s="67" t="str">
        <f t="shared" ref="M3715:M3778" si="176">IF(C3715="PwC",(7-COUNTIF(B3715:H3715,"")),"")</f>
        <v/>
      </c>
      <c r="N3715" s="76" t="str">
        <f t="shared" ref="N3715:N3778" si="177">IF(C3715="Carer",(7-COUNTIF(B3715:H3715,"")),"")</f>
        <v/>
      </c>
      <c r="O3715" s="33">
        <f t="shared" si="175"/>
        <v>0</v>
      </c>
    </row>
    <row r="3716" spans="1:15" x14ac:dyDescent="0.25">
      <c r="A3716" s="64" t="s">
        <v>186</v>
      </c>
      <c r="B3716" s="79" t="str">
        <f>IF(Fifteenth!B219="", "",Fifteenth!B219)</f>
        <v/>
      </c>
      <c r="C3716" s="66" t="str">
        <f>IF(Fifteenth!C219="", "",Fifteenth!C219)</f>
        <v/>
      </c>
      <c r="D3716" s="66" t="str">
        <f>IF(Fifteenth!D219="", "",Fifteenth!D219)</f>
        <v/>
      </c>
      <c r="E3716" s="66" t="str">
        <f>IF(Fifteenth!E219="", "",Fifteenth!E219)</f>
        <v/>
      </c>
      <c r="F3716" s="66" t="str">
        <f>IF(Fifteenth!F219="", "",Fifteenth!F219)</f>
        <v/>
      </c>
      <c r="G3716" s="66" t="str">
        <f>IF(Fifteenth!G219="", "",Fifteenth!G219)</f>
        <v/>
      </c>
      <c r="H3716" s="66" t="str">
        <f>IF(Fifteenth!H219="", "",Fifteenth!H219)</f>
        <v/>
      </c>
      <c r="I3716" s="66" t="str">
        <f>IF(Fifteenth!I219="", "",Fifteenth!I219)</f>
        <v/>
      </c>
      <c r="J3716" s="66" t="str">
        <f>IF(Fifteenth!J219="", "",Fifteenth!J219)</f>
        <v/>
      </c>
      <c r="K3716" s="86" t="str">
        <f>IF(Fifteenth!K219="", "",Fifteenth!K219)</f>
        <v/>
      </c>
      <c r="M3716" s="67" t="str">
        <f t="shared" si="176"/>
        <v/>
      </c>
      <c r="N3716" s="76" t="str">
        <f t="shared" si="177"/>
        <v/>
      </c>
      <c r="O3716" s="33">
        <f t="shared" si="175"/>
        <v>0</v>
      </c>
    </row>
    <row r="3717" spans="1:15" x14ac:dyDescent="0.25">
      <c r="A3717" s="64" t="s">
        <v>186</v>
      </c>
      <c r="B3717" s="79" t="str">
        <f>IF(Fifteenth!B220="", "",Fifteenth!B220)</f>
        <v/>
      </c>
      <c r="C3717" s="66" t="str">
        <f>IF(Fifteenth!C220="", "",Fifteenth!C220)</f>
        <v/>
      </c>
      <c r="D3717" s="66" t="str">
        <f>IF(Fifteenth!D220="", "",Fifteenth!D220)</f>
        <v/>
      </c>
      <c r="E3717" s="66" t="str">
        <f>IF(Fifteenth!E220="", "",Fifteenth!E220)</f>
        <v/>
      </c>
      <c r="F3717" s="66" t="str">
        <f>IF(Fifteenth!F220="", "",Fifteenth!F220)</f>
        <v/>
      </c>
      <c r="G3717" s="66" t="str">
        <f>IF(Fifteenth!G220="", "",Fifteenth!G220)</f>
        <v/>
      </c>
      <c r="H3717" s="66" t="str">
        <f>IF(Fifteenth!H220="", "",Fifteenth!H220)</f>
        <v/>
      </c>
      <c r="I3717" s="66" t="str">
        <f>IF(Fifteenth!I220="", "",Fifteenth!I220)</f>
        <v/>
      </c>
      <c r="J3717" s="66" t="str">
        <f>IF(Fifteenth!J220="", "",Fifteenth!J220)</f>
        <v/>
      </c>
      <c r="K3717" s="86" t="str">
        <f>IF(Fifteenth!K220="", "",Fifteenth!K220)</f>
        <v/>
      </c>
      <c r="M3717" s="67" t="str">
        <f t="shared" si="176"/>
        <v/>
      </c>
      <c r="N3717" s="76" t="str">
        <f t="shared" si="177"/>
        <v/>
      </c>
      <c r="O3717" s="33">
        <f t="shared" si="175"/>
        <v>0</v>
      </c>
    </row>
    <row r="3718" spans="1:15" x14ac:dyDescent="0.25">
      <c r="A3718" s="64" t="s">
        <v>186</v>
      </c>
      <c r="B3718" s="79" t="str">
        <f>IF(Fifteenth!B221="", "",Fifteenth!B221)</f>
        <v/>
      </c>
      <c r="C3718" s="66" t="str">
        <f>IF(Fifteenth!C221="", "",Fifteenth!C221)</f>
        <v/>
      </c>
      <c r="D3718" s="66" t="str">
        <f>IF(Fifteenth!D221="", "",Fifteenth!D221)</f>
        <v/>
      </c>
      <c r="E3718" s="66" t="str">
        <f>IF(Fifteenth!E221="", "",Fifteenth!E221)</f>
        <v/>
      </c>
      <c r="F3718" s="66" t="str">
        <f>IF(Fifteenth!F221="", "",Fifteenth!F221)</f>
        <v/>
      </c>
      <c r="G3718" s="66" t="str">
        <f>IF(Fifteenth!G221="", "",Fifteenth!G221)</f>
        <v/>
      </c>
      <c r="H3718" s="66" t="str">
        <f>IF(Fifteenth!H221="", "",Fifteenth!H221)</f>
        <v/>
      </c>
      <c r="I3718" s="66" t="str">
        <f>IF(Fifteenth!I221="", "",Fifteenth!I221)</f>
        <v/>
      </c>
      <c r="J3718" s="66" t="str">
        <f>IF(Fifteenth!J221="", "",Fifteenth!J221)</f>
        <v/>
      </c>
      <c r="K3718" s="86" t="str">
        <f>IF(Fifteenth!K221="", "",Fifteenth!K221)</f>
        <v/>
      </c>
      <c r="M3718" s="67" t="str">
        <f t="shared" si="176"/>
        <v/>
      </c>
      <c r="N3718" s="76" t="str">
        <f t="shared" si="177"/>
        <v/>
      </c>
      <c r="O3718" s="33">
        <f t="shared" si="175"/>
        <v>0</v>
      </c>
    </row>
    <row r="3719" spans="1:15" x14ac:dyDescent="0.25">
      <c r="A3719" s="64" t="s">
        <v>186</v>
      </c>
      <c r="B3719" s="79" t="str">
        <f>IF(Fifteenth!B222="", "",Fifteenth!B222)</f>
        <v/>
      </c>
      <c r="C3719" s="66" t="str">
        <f>IF(Fifteenth!C222="", "",Fifteenth!C222)</f>
        <v/>
      </c>
      <c r="D3719" s="66" t="str">
        <f>IF(Fifteenth!D222="", "",Fifteenth!D222)</f>
        <v/>
      </c>
      <c r="E3719" s="66" t="str">
        <f>IF(Fifteenth!E222="", "",Fifteenth!E222)</f>
        <v/>
      </c>
      <c r="F3719" s="66" t="str">
        <f>IF(Fifteenth!F222="", "",Fifteenth!F222)</f>
        <v/>
      </c>
      <c r="G3719" s="66" t="str">
        <f>IF(Fifteenth!G222="", "",Fifteenth!G222)</f>
        <v/>
      </c>
      <c r="H3719" s="66" t="str">
        <f>IF(Fifteenth!H222="", "",Fifteenth!H222)</f>
        <v/>
      </c>
      <c r="I3719" s="66" t="str">
        <f>IF(Fifteenth!I222="", "",Fifteenth!I222)</f>
        <v/>
      </c>
      <c r="J3719" s="66" t="str">
        <f>IF(Fifteenth!J222="", "",Fifteenth!J222)</f>
        <v/>
      </c>
      <c r="K3719" s="86" t="str">
        <f>IF(Fifteenth!K222="", "",Fifteenth!K222)</f>
        <v/>
      </c>
      <c r="M3719" s="67" t="str">
        <f t="shared" si="176"/>
        <v/>
      </c>
      <c r="N3719" s="76" t="str">
        <f t="shared" si="177"/>
        <v/>
      </c>
      <c r="O3719" s="33">
        <f t="shared" si="175"/>
        <v>0</v>
      </c>
    </row>
    <row r="3720" spans="1:15" x14ac:dyDescent="0.25">
      <c r="A3720" s="64" t="s">
        <v>186</v>
      </c>
      <c r="B3720" s="79" t="str">
        <f>IF(Fifteenth!B223="", "",Fifteenth!B223)</f>
        <v/>
      </c>
      <c r="C3720" s="66" t="str">
        <f>IF(Fifteenth!C223="", "",Fifteenth!C223)</f>
        <v/>
      </c>
      <c r="D3720" s="66" t="str">
        <f>IF(Fifteenth!D223="", "",Fifteenth!D223)</f>
        <v/>
      </c>
      <c r="E3720" s="66" t="str">
        <f>IF(Fifteenth!E223="", "",Fifteenth!E223)</f>
        <v/>
      </c>
      <c r="F3720" s="66" t="str">
        <f>IF(Fifteenth!F223="", "",Fifteenth!F223)</f>
        <v/>
      </c>
      <c r="G3720" s="66" t="str">
        <f>IF(Fifteenth!G223="", "",Fifteenth!G223)</f>
        <v/>
      </c>
      <c r="H3720" s="66" t="str">
        <f>IF(Fifteenth!H223="", "",Fifteenth!H223)</f>
        <v/>
      </c>
      <c r="I3720" s="66" t="str">
        <f>IF(Fifteenth!I223="", "",Fifteenth!I223)</f>
        <v/>
      </c>
      <c r="J3720" s="66" t="str">
        <f>IF(Fifteenth!J223="", "",Fifteenth!J223)</f>
        <v/>
      </c>
      <c r="K3720" s="86" t="str">
        <f>IF(Fifteenth!K223="", "",Fifteenth!K223)</f>
        <v/>
      </c>
      <c r="M3720" s="67" t="str">
        <f t="shared" si="176"/>
        <v/>
      </c>
      <c r="N3720" s="76" t="str">
        <f t="shared" si="177"/>
        <v/>
      </c>
      <c r="O3720" s="33">
        <f t="shared" si="175"/>
        <v>0</v>
      </c>
    </row>
    <row r="3721" spans="1:15" x14ac:dyDescent="0.25">
      <c r="A3721" s="64" t="s">
        <v>186</v>
      </c>
      <c r="B3721" s="79" t="str">
        <f>IF(Fifteenth!B224="", "",Fifteenth!B224)</f>
        <v/>
      </c>
      <c r="C3721" s="66" t="str">
        <f>IF(Fifteenth!C224="", "",Fifteenth!C224)</f>
        <v/>
      </c>
      <c r="D3721" s="66" t="str">
        <f>IF(Fifteenth!D224="", "",Fifteenth!D224)</f>
        <v/>
      </c>
      <c r="E3721" s="66" t="str">
        <f>IF(Fifteenth!E224="", "",Fifteenth!E224)</f>
        <v/>
      </c>
      <c r="F3721" s="66" t="str">
        <f>IF(Fifteenth!F224="", "",Fifteenth!F224)</f>
        <v/>
      </c>
      <c r="G3721" s="66" t="str">
        <f>IF(Fifteenth!G224="", "",Fifteenth!G224)</f>
        <v/>
      </c>
      <c r="H3721" s="66" t="str">
        <f>IF(Fifteenth!H224="", "",Fifteenth!H224)</f>
        <v/>
      </c>
      <c r="I3721" s="66" t="str">
        <f>IF(Fifteenth!I224="", "",Fifteenth!I224)</f>
        <v/>
      </c>
      <c r="J3721" s="66" t="str">
        <f>IF(Fifteenth!J224="", "",Fifteenth!J224)</f>
        <v/>
      </c>
      <c r="K3721" s="86" t="str">
        <f>IF(Fifteenth!K224="", "",Fifteenth!K224)</f>
        <v/>
      </c>
      <c r="M3721" s="67" t="str">
        <f t="shared" si="176"/>
        <v/>
      </c>
      <c r="N3721" s="76" t="str">
        <f t="shared" si="177"/>
        <v/>
      </c>
      <c r="O3721" s="33">
        <f t="shared" si="175"/>
        <v>0</v>
      </c>
    </row>
    <row r="3722" spans="1:15" x14ac:dyDescent="0.25">
      <c r="A3722" s="64" t="s">
        <v>186</v>
      </c>
      <c r="B3722" s="79" t="str">
        <f>IF(Fifteenth!B225="", "",Fifteenth!B225)</f>
        <v/>
      </c>
      <c r="C3722" s="66" t="str">
        <f>IF(Fifteenth!C225="", "",Fifteenth!C225)</f>
        <v/>
      </c>
      <c r="D3722" s="66" t="str">
        <f>IF(Fifteenth!D225="", "",Fifteenth!D225)</f>
        <v/>
      </c>
      <c r="E3722" s="66" t="str">
        <f>IF(Fifteenth!E225="", "",Fifteenth!E225)</f>
        <v/>
      </c>
      <c r="F3722" s="66" t="str">
        <f>IF(Fifteenth!F225="", "",Fifteenth!F225)</f>
        <v/>
      </c>
      <c r="G3722" s="66" t="str">
        <f>IF(Fifteenth!G225="", "",Fifteenth!G225)</f>
        <v/>
      </c>
      <c r="H3722" s="66" t="str">
        <f>IF(Fifteenth!H225="", "",Fifteenth!H225)</f>
        <v/>
      </c>
      <c r="I3722" s="66" t="str">
        <f>IF(Fifteenth!I225="", "",Fifteenth!I225)</f>
        <v/>
      </c>
      <c r="J3722" s="66" t="str">
        <f>IF(Fifteenth!J225="", "",Fifteenth!J225)</f>
        <v/>
      </c>
      <c r="K3722" s="86" t="str">
        <f>IF(Fifteenth!K225="", "",Fifteenth!K225)</f>
        <v/>
      </c>
      <c r="M3722" s="67" t="str">
        <f t="shared" si="176"/>
        <v/>
      </c>
      <c r="N3722" s="76" t="str">
        <f t="shared" si="177"/>
        <v/>
      </c>
      <c r="O3722" s="33">
        <f t="shared" si="175"/>
        <v>0</v>
      </c>
    </row>
    <row r="3723" spans="1:15" x14ac:dyDescent="0.25">
      <c r="A3723" s="64" t="s">
        <v>186</v>
      </c>
      <c r="B3723" s="79" t="str">
        <f>IF(Fifteenth!B226="", "",Fifteenth!B226)</f>
        <v/>
      </c>
      <c r="C3723" s="66" t="str">
        <f>IF(Fifteenth!C226="", "",Fifteenth!C226)</f>
        <v/>
      </c>
      <c r="D3723" s="66" t="str">
        <f>IF(Fifteenth!D226="", "",Fifteenth!D226)</f>
        <v/>
      </c>
      <c r="E3723" s="66" t="str">
        <f>IF(Fifteenth!E226="", "",Fifteenth!E226)</f>
        <v/>
      </c>
      <c r="F3723" s="66" t="str">
        <f>IF(Fifteenth!F226="", "",Fifteenth!F226)</f>
        <v/>
      </c>
      <c r="G3723" s="66" t="str">
        <f>IF(Fifteenth!G226="", "",Fifteenth!G226)</f>
        <v/>
      </c>
      <c r="H3723" s="66" t="str">
        <f>IF(Fifteenth!H226="", "",Fifteenth!H226)</f>
        <v/>
      </c>
      <c r="I3723" s="66" t="str">
        <f>IF(Fifteenth!I226="", "",Fifteenth!I226)</f>
        <v/>
      </c>
      <c r="J3723" s="66" t="str">
        <f>IF(Fifteenth!J226="", "",Fifteenth!J226)</f>
        <v/>
      </c>
      <c r="K3723" s="86" t="str">
        <f>IF(Fifteenth!K226="", "",Fifteenth!K226)</f>
        <v/>
      </c>
      <c r="M3723" s="67" t="str">
        <f t="shared" si="176"/>
        <v/>
      </c>
      <c r="N3723" s="76" t="str">
        <f t="shared" si="177"/>
        <v/>
      </c>
      <c r="O3723" s="33">
        <f t="shared" si="175"/>
        <v>0</v>
      </c>
    </row>
    <row r="3724" spans="1:15" x14ac:dyDescent="0.25">
      <c r="A3724" s="64" t="s">
        <v>186</v>
      </c>
      <c r="B3724" s="79" t="str">
        <f>IF(Fifteenth!B227="", "",Fifteenth!B227)</f>
        <v/>
      </c>
      <c r="C3724" s="66" t="str">
        <f>IF(Fifteenth!C227="", "",Fifteenth!C227)</f>
        <v/>
      </c>
      <c r="D3724" s="66" t="str">
        <f>IF(Fifteenth!D227="", "",Fifteenth!D227)</f>
        <v/>
      </c>
      <c r="E3724" s="66" t="str">
        <f>IF(Fifteenth!E227="", "",Fifteenth!E227)</f>
        <v/>
      </c>
      <c r="F3724" s="66" t="str">
        <f>IF(Fifteenth!F227="", "",Fifteenth!F227)</f>
        <v/>
      </c>
      <c r="G3724" s="66" t="str">
        <f>IF(Fifteenth!G227="", "",Fifteenth!G227)</f>
        <v/>
      </c>
      <c r="H3724" s="66" t="str">
        <f>IF(Fifteenth!H227="", "",Fifteenth!H227)</f>
        <v/>
      </c>
      <c r="I3724" s="66" t="str">
        <f>IF(Fifteenth!I227="", "",Fifteenth!I227)</f>
        <v/>
      </c>
      <c r="J3724" s="66" t="str">
        <f>IF(Fifteenth!J227="", "",Fifteenth!J227)</f>
        <v/>
      </c>
      <c r="K3724" s="86" t="str">
        <f>IF(Fifteenth!K227="", "",Fifteenth!K227)</f>
        <v/>
      </c>
      <c r="M3724" s="67" t="str">
        <f t="shared" si="176"/>
        <v/>
      </c>
      <c r="N3724" s="76" t="str">
        <f t="shared" si="177"/>
        <v/>
      </c>
      <c r="O3724" s="33">
        <f t="shared" si="175"/>
        <v>0</v>
      </c>
    </row>
    <row r="3725" spans="1:15" x14ac:dyDescent="0.25">
      <c r="A3725" s="64" t="s">
        <v>186</v>
      </c>
      <c r="B3725" s="79" t="str">
        <f>IF(Fifteenth!B228="", "",Fifteenth!B228)</f>
        <v/>
      </c>
      <c r="C3725" s="66" t="str">
        <f>IF(Fifteenth!C228="", "",Fifteenth!C228)</f>
        <v/>
      </c>
      <c r="D3725" s="66" t="str">
        <f>IF(Fifteenth!D228="", "",Fifteenth!D228)</f>
        <v/>
      </c>
      <c r="E3725" s="66" t="str">
        <f>IF(Fifteenth!E228="", "",Fifteenth!E228)</f>
        <v/>
      </c>
      <c r="F3725" s="66" t="str">
        <f>IF(Fifteenth!F228="", "",Fifteenth!F228)</f>
        <v/>
      </c>
      <c r="G3725" s="66" t="str">
        <f>IF(Fifteenth!G228="", "",Fifteenth!G228)</f>
        <v/>
      </c>
      <c r="H3725" s="66" t="str">
        <f>IF(Fifteenth!H228="", "",Fifteenth!H228)</f>
        <v/>
      </c>
      <c r="I3725" s="66" t="str">
        <f>IF(Fifteenth!I228="", "",Fifteenth!I228)</f>
        <v/>
      </c>
      <c r="J3725" s="66" t="str">
        <f>IF(Fifteenth!J228="", "",Fifteenth!J228)</f>
        <v/>
      </c>
      <c r="K3725" s="86" t="str">
        <f>IF(Fifteenth!K228="", "",Fifteenth!K228)</f>
        <v/>
      </c>
      <c r="M3725" s="67" t="str">
        <f t="shared" si="176"/>
        <v/>
      </c>
      <c r="N3725" s="76" t="str">
        <f t="shared" si="177"/>
        <v/>
      </c>
      <c r="O3725" s="33">
        <f t="shared" si="175"/>
        <v>0</v>
      </c>
    </row>
    <row r="3726" spans="1:15" x14ac:dyDescent="0.25">
      <c r="A3726" s="64" t="s">
        <v>186</v>
      </c>
      <c r="B3726" s="79" t="str">
        <f>IF(Fifteenth!B229="", "",Fifteenth!B229)</f>
        <v/>
      </c>
      <c r="C3726" s="66" t="str">
        <f>IF(Fifteenth!C229="", "",Fifteenth!C229)</f>
        <v/>
      </c>
      <c r="D3726" s="66" t="str">
        <f>IF(Fifteenth!D229="", "",Fifteenth!D229)</f>
        <v/>
      </c>
      <c r="E3726" s="66" t="str">
        <f>IF(Fifteenth!E229="", "",Fifteenth!E229)</f>
        <v/>
      </c>
      <c r="F3726" s="66" t="str">
        <f>IF(Fifteenth!F229="", "",Fifteenth!F229)</f>
        <v/>
      </c>
      <c r="G3726" s="66" t="str">
        <f>IF(Fifteenth!G229="", "",Fifteenth!G229)</f>
        <v/>
      </c>
      <c r="H3726" s="66" t="str">
        <f>IF(Fifteenth!H229="", "",Fifteenth!H229)</f>
        <v/>
      </c>
      <c r="I3726" s="66" t="str">
        <f>IF(Fifteenth!I229="", "",Fifteenth!I229)</f>
        <v/>
      </c>
      <c r="J3726" s="66" t="str">
        <f>IF(Fifteenth!J229="", "",Fifteenth!J229)</f>
        <v/>
      </c>
      <c r="K3726" s="86" t="str">
        <f>IF(Fifteenth!K229="", "",Fifteenth!K229)</f>
        <v/>
      </c>
      <c r="M3726" s="67" t="str">
        <f t="shared" si="176"/>
        <v/>
      </c>
      <c r="N3726" s="76" t="str">
        <f t="shared" si="177"/>
        <v/>
      </c>
      <c r="O3726" s="33">
        <f t="shared" si="175"/>
        <v>0</v>
      </c>
    </row>
    <row r="3727" spans="1:15" x14ac:dyDescent="0.25">
      <c r="A3727" s="64" t="s">
        <v>186</v>
      </c>
      <c r="B3727" s="79" t="str">
        <f>IF(Fifteenth!B230="", "",Fifteenth!B230)</f>
        <v/>
      </c>
      <c r="C3727" s="66" t="str">
        <f>IF(Fifteenth!C230="", "",Fifteenth!C230)</f>
        <v/>
      </c>
      <c r="D3727" s="66" t="str">
        <f>IF(Fifteenth!D230="", "",Fifteenth!D230)</f>
        <v/>
      </c>
      <c r="E3727" s="66" t="str">
        <f>IF(Fifteenth!E230="", "",Fifteenth!E230)</f>
        <v/>
      </c>
      <c r="F3727" s="66" t="str">
        <f>IF(Fifteenth!F230="", "",Fifteenth!F230)</f>
        <v/>
      </c>
      <c r="G3727" s="66" t="str">
        <f>IF(Fifteenth!G230="", "",Fifteenth!G230)</f>
        <v/>
      </c>
      <c r="H3727" s="66" t="str">
        <f>IF(Fifteenth!H230="", "",Fifteenth!H230)</f>
        <v/>
      </c>
      <c r="I3727" s="66" t="str">
        <f>IF(Fifteenth!I230="", "",Fifteenth!I230)</f>
        <v/>
      </c>
      <c r="J3727" s="66" t="str">
        <f>IF(Fifteenth!J230="", "",Fifteenth!J230)</f>
        <v/>
      </c>
      <c r="K3727" s="86" t="str">
        <f>IF(Fifteenth!K230="", "",Fifteenth!K230)</f>
        <v/>
      </c>
      <c r="M3727" s="67" t="str">
        <f t="shared" si="176"/>
        <v/>
      </c>
      <c r="N3727" s="76" t="str">
        <f t="shared" si="177"/>
        <v/>
      </c>
      <c r="O3727" s="33">
        <f t="shared" si="175"/>
        <v>0</v>
      </c>
    </row>
    <row r="3728" spans="1:15" x14ac:dyDescent="0.25">
      <c r="A3728" s="64" t="s">
        <v>186</v>
      </c>
      <c r="B3728" s="79" t="str">
        <f>IF(Fifteenth!B231="", "",Fifteenth!B231)</f>
        <v/>
      </c>
      <c r="C3728" s="66" t="str">
        <f>IF(Fifteenth!C231="", "",Fifteenth!C231)</f>
        <v/>
      </c>
      <c r="D3728" s="66" t="str">
        <f>IF(Fifteenth!D231="", "",Fifteenth!D231)</f>
        <v/>
      </c>
      <c r="E3728" s="66" t="str">
        <f>IF(Fifteenth!E231="", "",Fifteenth!E231)</f>
        <v/>
      </c>
      <c r="F3728" s="66" t="str">
        <f>IF(Fifteenth!F231="", "",Fifteenth!F231)</f>
        <v/>
      </c>
      <c r="G3728" s="66" t="str">
        <f>IF(Fifteenth!G231="", "",Fifteenth!G231)</f>
        <v/>
      </c>
      <c r="H3728" s="66" t="str">
        <f>IF(Fifteenth!H231="", "",Fifteenth!H231)</f>
        <v/>
      </c>
      <c r="I3728" s="66" t="str">
        <f>IF(Fifteenth!I231="", "",Fifteenth!I231)</f>
        <v/>
      </c>
      <c r="J3728" s="66" t="str">
        <f>IF(Fifteenth!J231="", "",Fifteenth!J231)</f>
        <v/>
      </c>
      <c r="K3728" s="86" t="str">
        <f>IF(Fifteenth!K231="", "",Fifteenth!K231)</f>
        <v/>
      </c>
      <c r="M3728" s="67" t="str">
        <f t="shared" si="176"/>
        <v/>
      </c>
      <c r="N3728" s="76" t="str">
        <f t="shared" si="177"/>
        <v/>
      </c>
      <c r="O3728" s="33">
        <f t="shared" si="175"/>
        <v>0</v>
      </c>
    </row>
    <row r="3729" spans="1:15" x14ac:dyDescent="0.25">
      <c r="A3729" s="64" t="s">
        <v>186</v>
      </c>
      <c r="B3729" s="79" t="str">
        <f>IF(Fifteenth!B232="", "",Fifteenth!B232)</f>
        <v/>
      </c>
      <c r="C3729" s="66" t="str">
        <f>IF(Fifteenth!C232="", "",Fifteenth!C232)</f>
        <v/>
      </c>
      <c r="D3729" s="66" t="str">
        <f>IF(Fifteenth!D232="", "",Fifteenth!D232)</f>
        <v/>
      </c>
      <c r="E3729" s="66" t="str">
        <f>IF(Fifteenth!E232="", "",Fifteenth!E232)</f>
        <v/>
      </c>
      <c r="F3729" s="66" t="str">
        <f>IF(Fifteenth!F232="", "",Fifteenth!F232)</f>
        <v/>
      </c>
      <c r="G3729" s="66" t="str">
        <f>IF(Fifteenth!G232="", "",Fifteenth!G232)</f>
        <v/>
      </c>
      <c r="H3729" s="66" t="str">
        <f>IF(Fifteenth!H232="", "",Fifteenth!H232)</f>
        <v/>
      </c>
      <c r="I3729" s="66" t="str">
        <f>IF(Fifteenth!I232="", "",Fifteenth!I232)</f>
        <v/>
      </c>
      <c r="J3729" s="66" t="str">
        <f>IF(Fifteenth!J232="", "",Fifteenth!J232)</f>
        <v/>
      </c>
      <c r="K3729" s="86" t="str">
        <f>IF(Fifteenth!K232="", "",Fifteenth!K232)</f>
        <v/>
      </c>
      <c r="M3729" s="67" t="str">
        <f t="shared" si="176"/>
        <v/>
      </c>
      <c r="N3729" s="76" t="str">
        <f t="shared" si="177"/>
        <v/>
      </c>
      <c r="O3729" s="33">
        <f t="shared" si="175"/>
        <v>0</v>
      </c>
    </row>
    <row r="3730" spans="1:15" x14ac:dyDescent="0.25">
      <c r="A3730" s="64" t="s">
        <v>186</v>
      </c>
      <c r="B3730" s="79" t="str">
        <f>IF(Fifteenth!B233="", "",Fifteenth!B233)</f>
        <v/>
      </c>
      <c r="C3730" s="66" t="str">
        <f>IF(Fifteenth!C233="", "",Fifteenth!C233)</f>
        <v/>
      </c>
      <c r="D3730" s="66" t="str">
        <f>IF(Fifteenth!D233="", "",Fifteenth!D233)</f>
        <v/>
      </c>
      <c r="E3730" s="66" t="str">
        <f>IF(Fifteenth!E233="", "",Fifteenth!E233)</f>
        <v/>
      </c>
      <c r="F3730" s="66" t="str">
        <f>IF(Fifteenth!F233="", "",Fifteenth!F233)</f>
        <v/>
      </c>
      <c r="G3730" s="66" t="str">
        <f>IF(Fifteenth!G233="", "",Fifteenth!G233)</f>
        <v/>
      </c>
      <c r="H3730" s="66" t="str">
        <f>IF(Fifteenth!H233="", "",Fifteenth!H233)</f>
        <v/>
      </c>
      <c r="I3730" s="66" t="str">
        <f>IF(Fifteenth!I233="", "",Fifteenth!I233)</f>
        <v/>
      </c>
      <c r="J3730" s="66" t="str">
        <f>IF(Fifteenth!J233="", "",Fifteenth!J233)</f>
        <v/>
      </c>
      <c r="K3730" s="86" t="str">
        <f>IF(Fifteenth!K233="", "",Fifteenth!K233)</f>
        <v/>
      </c>
      <c r="M3730" s="67" t="str">
        <f t="shared" si="176"/>
        <v/>
      </c>
      <c r="N3730" s="76" t="str">
        <f t="shared" si="177"/>
        <v/>
      </c>
      <c r="O3730" s="33">
        <f t="shared" si="175"/>
        <v>0</v>
      </c>
    </row>
    <row r="3731" spans="1:15" x14ac:dyDescent="0.25">
      <c r="A3731" s="64" t="s">
        <v>186</v>
      </c>
      <c r="B3731" s="79" t="str">
        <f>IF(Fifteenth!B234="", "",Fifteenth!B234)</f>
        <v/>
      </c>
      <c r="C3731" s="66" t="str">
        <f>IF(Fifteenth!C234="", "",Fifteenth!C234)</f>
        <v/>
      </c>
      <c r="D3731" s="66" t="str">
        <f>IF(Fifteenth!D234="", "",Fifteenth!D234)</f>
        <v/>
      </c>
      <c r="E3731" s="66" t="str">
        <f>IF(Fifteenth!E234="", "",Fifteenth!E234)</f>
        <v/>
      </c>
      <c r="F3731" s="66" t="str">
        <f>IF(Fifteenth!F234="", "",Fifteenth!F234)</f>
        <v/>
      </c>
      <c r="G3731" s="66" t="str">
        <f>IF(Fifteenth!G234="", "",Fifteenth!G234)</f>
        <v/>
      </c>
      <c r="H3731" s="66" t="str">
        <f>IF(Fifteenth!H234="", "",Fifteenth!H234)</f>
        <v/>
      </c>
      <c r="I3731" s="66" t="str">
        <f>IF(Fifteenth!I234="", "",Fifteenth!I234)</f>
        <v/>
      </c>
      <c r="J3731" s="66" t="str">
        <f>IF(Fifteenth!J234="", "",Fifteenth!J234)</f>
        <v/>
      </c>
      <c r="K3731" s="86" t="str">
        <f>IF(Fifteenth!K234="", "",Fifteenth!K234)</f>
        <v/>
      </c>
      <c r="M3731" s="67" t="str">
        <f t="shared" si="176"/>
        <v/>
      </c>
      <c r="N3731" s="76" t="str">
        <f t="shared" si="177"/>
        <v/>
      </c>
      <c r="O3731" s="33">
        <f t="shared" si="175"/>
        <v>0</v>
      </c>
    </row>
    <row r="3732" spans="1:15" x14ac:dyDescent="0.25">
      <c r="A3732" s="64" t="s">
        <v>186</v>
      </c>
      <c r="B3732" s="79" t="str">
        <f>IF(Fifteenth!B235="", "",Fifteenth!B235)</f>
        <v/>
      </c>
      <c r="C3732" s="66" t="str">
        <f>IF(Fifteenth!C235="", "",Fifteenth!C235)</f>
        <v/>
      </c>
      <c r="D3732" s="66" t="str">
        <f>IF(Fifteenth!D235="", "",Fifteenth!D235)</f>
        <v/>
      </c>
      <c r="E3732" s="66" t="str">
        <f>IF(Fifteenth!E235="", "",Fifteenth!E235)</f>
        <v/>
      </c>
      <c r="F3732" s="66" t="str">
        <f>IF(Fifteenth!F235="", "",Fifteenth!F235)</f>
        <v/>
      </c>
      <c r="G3732" s="66" t="str">
        <f>IF(Fifteenth!G235="", "",Fifteenth!G235)</f>
        <v/>
      </c>
      <c r="H3732" s="66" t="str">
        <f>IF(Fifteenth!H235="", "",Fifteenth!H235)</f>
        <v/>
      </c>
      <c r="I3732" s="66" t="str">
        <f>IF(Fifteenth!I235="", "",Fifteenth!I235)</f>
        <v/>
      </c>
      <c r="J3732" s="66" t="str">
        <f>IF(Fifteenth!J235="", "",Fifteenth!J235)</f>
        <v/>
      </c>
      <c r="K3732" s="86" t="str">
        <f>IF(Fifteenth!K235="", "",Fifteenth!K235)</f>
        <v/>
      </c>
      <c r="M3732" s="67" t="str">
        <f t="shared" si="176"/>
        <v/>
      </c>
      <c r="N3732" s="76" t="str">
        <f t="shared" si="177"/>
        <v/>
      </c>
      <c r="O3732" s="33">
        <f t="shared" si="175"/>
        <v>0</v>
      </c>
    </row>
    <row r="3733" spans="1:15" x14ac:dyDescent="0.25">
      <c r="A3733" s="64" t="s">
        <v>186</v>
      </c>
      <c r="B3733" s="79" t="str">
        <f>IF(Fifteenth!B236="", "",Fifteenth!B236)</f>
        <v/>
      </c>
      <c r="C3733" s="66" t="str">
        <f>IF(Fifteenth!C236="", "",Fifteenth!C236)</f>
        <v/>
      </c>
      <c r="D3733" s="66" t="str">
        <f>IF(Fifteenth!D236="", "",Fifteenth!D236)</f>
        <v/>
      </c>
      <c r="E3733" s="66" t="str">
        <f>IF(Fifteenth!E236="", "",Fifteenth!E236)</f>
        <v/>
      </c>
      <c r="F3733" s="66" t="str">
        <f>IF(Fifteenth!F236="", "",Fifteenth!F236)</f>
        <v/>
      </c>
      <c r="G3733" s="66" t="str">
        <f>IF(Fifteenth!G236="", "",Fifteenth!G236)</f>
        <v/>
      </c>
      <c r="H3733" s="66" t="str">
        <f>IF(Fifteenth!H236="", "",Fifteenth!H236)</f>
        <v/>
      </c>
      <c r="I3733" s="66" t="str">
        <f>IF(Fifteenth!I236="", "",Fifteenth!I236)</f>
        <v/>
      </c>
      <c r="J3733" s="66" t="str">
        <f>IF(Fifteenth!J236="", "",Fifteenth!J236)</f>
        <v/>
      </c>
      <c r="K3733" s="86" t="str">
        <f>IF(Fifteenth!K236="", "",Fifteenth!K236)</f>
        <v/>
      </c>
      <c r="M3733" s="67" t="str">
        <f t="shared" si="176"/>
        <v/>
      </c>
      <c r="N3733" s="76" t="str">
        <f t="shared" si="177"/>
        <v/>
      </c>
      <c r="O3733" s="33">
        <f t="shared" si="175"/>
        <v>0</v>
      </c>
    </row>
    <row r="3734" spans="1:15" x14ac:dyDescent="0.25">
      <c r="A3734" s="64" t="s">
        <v>186</v>
      </c>
      <c r="B3734" s="79" t="str">
        <f>IF(Fifteenth!B237="", "",Fifteenth!B237)</f>
        <v/>
      </c>
      <c r="C3734" s="66" t="str">
        <f>IF(Fifteenth!C237="", "",Fifteenth!C237)</f>
        <v/>
      </c>
      <c r="D3734" s="66" t="str">
        <f>IF(Fifteenth!D237="", "",Fifteenth!D237)</f>
        <v/>
      </c>
      <c r="E3734" s="66" t="str">
        <f>IF(Fifteenth!E237="", "",Fifteenth!E237)</f>
        <v/>
      </c>
      <c r="F3734" s="66" t="str">
        <f>IF(Fifteenth!F237="", "",Fifteenth!F237)</f>
        <v/>
      </c>
      <c r="G3734" s="66" t="str">
        <f>IF(Fifteenth!G237="", "",Fifteenth!G237)</f>
        <v/>
      </c>
      <c r="H3734" s="66" t="str">
        <f>IF(Fifteenth!H237="", "",Fifteenth!H237)</f>
        <v/>
      </c>
      <c r="I3734" s="66" t="str">
        <f>IF(Fifteenth!I237="", "",Fifteenth!I237)</f>
        <v/>
      </c>
      <c r="J3734" s="66" t="str">
        <f>IF(Fifteenth!J237="", "",Fifteenth!J237)</f>
        <v/>
      </c>
      <c r="K3734" s="86" t="str">
        <f>IF(Fifteenth!K237="", "",Fifteenth!K237)</f>
        <v/>
      </c>
      <c r="M3734" s="67" t="str">
        <f t="shared" si="176"/>
        <v/>
      </c>
      <c r="N3734" s="76" t="str">
        <f t="shared" si="177"/>
        <v/>
      </c>
      <c r="O3734" s="33">
        <f t="shared" si="175"/>
        <v>0</v>
      </c>
    </row>
    <row r="3735" spans="1:15" x14ac:dyDescent="0.25">
      <c r="A3735" s="64" t="s">
        <v>186</v>
      </c>
      <c r="B3735" s="79" t="str">
        <f>IF(Fifteenth!B238="", "",Fifteenth!B238)</f>
        <v/>
      </c>
      <c r="C3735" s="66" t="str">
        <f>IF(Fifteenth!C238="", "",Fifteenth!C238)</f>
        <v/>
      </c>
      <c r="D3735" s="66" t="str">
        <f>IF(Fifteenth!D238="", "",Fifteenth!D238)</f>
        <v/>
      </c>
      <c r="E3735" s="66" t="str">
        <f>IF(Fifteenth!E238="", "",Fifteenth!E238)</f>
        <v/>
      </c>
      <c r="F3735" s="66" t="str">
        <f>IF(Fifteenth!F238="", "",Fifteenth!F238)</f>
        <v/>
      </c>
      <c r="G3735" s="66" t="str">
        <f>IF(Fifteenth!G238="", "",Fifteenth!G238)</f>
        <v/>
      </c>
      <c r="H3735" s="66" t="str">
        <f>IF(Fifteenth!H238="", "",Fifteenth!H238)</f>
        <v/>
      </c>
      <c r="I3735" s="66" t="str">
        <f>IF(Fifteenth!I238="", "",Fifteenth!I238)</f>
        <v/>
      </c>
      <c r="J3735" s="66" t="str">
        <f>IF(Fifteenth!J238="", "",Fifteenth!J238)</f>
        <v/>
      </c>
      <c r="K3735" s="86" t="str">
        <f>IF(Fifteenth!K238="", "",Fifteenth!K238)</f>
        <v/>
      </c>
      <c r="M3735" s="67" t="str">
        <f t="shared" si="176"/>
        <v/>
      </c>
      <c r="N3735" s="76" t="str">
        <f t="shared" si="177"/>
        <v/>
      </c>
      <c r="O3735" s="33">
        <f t="shared" si="175"/>
        <v>0</v>
      </c>
    </row>
    <row r="3736" spans="1:15" x14ac:dyDescent="0.25">
      <c r="A3736" s="64" t="s">
        <v>186</v>
      </c>
      <c r="B3736" s="79" t="str">
        <f>IF(Fifteenth!B239="", "",Fifteenth!B239)</f>
        <v/>
      </c>
      <c r="C3736" s="66" t="str">
        <f>IF(Fifteenth!C239="", "",Fifteenth!C239)</f>
        <v/>
      </c>
      <c r="D3736" s="66" t="str">
        <f>IF(Fifteenth!D239="", "",Fifteenth!D239)</f>
        <v/>
      </c>
      <c r="E3736" s="66" t="str">
        <f>IF(Fifteenth!E239="", "",Fifteenth!E239)</f>
        <v/>
      </c>
      <c r="F3736" s="66" t="str">
        <f>IF(Fifteenth!F239="", "",Fifteenth!F239)</f>
        <v/>
      </c>
      <c r="G3736" s="66" t="str">
        <f>IF(Fifteenth!G239="", "",Fifteenth!G239)</f>
        <v/>
      </c>
      <c r="H3736" s="66" t="str">
        <f>IF(Fifteenth!H239="", "",Fifteenth!H239)</f>
        <v/>
      </c>
      <c r="I3736" s="66" t="str">
        <f>IF(Fifteenth!I239="", "",Fifteenth!I239)</f>
        <v/>
      </c>
      <c r="J3736" s="66" t="str">
        <f>IF(Fifteenth!J239="", "",Fifteenth!J239)</f>
        <v/>
      </c>
      <c r="K3736" s="86" t="str">
        <f>IF(Fifteenth!K239="", "",Fifteenth!K239)</f>
        <v/>
      </c>
      <c r="M3736" s="67" t="str">
        <f t="shared" si="176"/>
        <v/>
      </c>
      <c r="N3736" s="76" t="str">
        <f t="shared" si="177"/>
        <v/>
      </c>
      <c r="O3736" s="33">
        <f t="shared" si="175"/>
        <v>0</v>
      </c>
    </row>
    <row r="3737" spans="1:15" x14ac:dyDescent="0.25">
      <c r="A3737" s="64" t="s">
        <v>186</v>
      </c>
      <c r="B3737" s="79" t="str">
        <f>IF(Fifteenth!B240="", "",Fifteenth!B240)</f>
        <v/>
      </c>
      <c r="C3737" s="66" t="str">
        <f>IF(Fifteenth!C240="", "",Fifteenth!C240)</f>
        <v/>
      </c>
      <c r="D3737" s="66" t="str">
        <f>IF(Fifteenth!D240="", "",Fifteenth!D240)</f>
        <v/>
      </c>
      <c r="E3737" s="66" t="str">
        <f>IF(Fifteenth!E240="", "",Fifteenth!E240)</f>
        <v/>
      </c>
      <c r="F3737" s="66" t="str">
        <f>IF(Fifteenth!F240="", "",Fifteenth!F240)</f>
        <v/>
      </c>
      <c r="G3737" s="66" t="str">
        <f>IF(Fifteenth!G240="", "",Fifteenth!G240)</f>
        <v/>
      </c>
      <c r="H3737" s="66" t="str">
        <f>IF(Fifteenth!H240="", "",Fifteenth!H240)</f>
        <v/>
      </c>
      <c r="I3737" s="66" t="str">
        <f>IF(Fifteenth!I240="", "",Fifteenth!I240)</f>
        <v/>
      </c>
      <c r="J3737" s="66" t="str">
        <f>IF(Fifteenth!J240="", "",Fifteenth!J240)</f>
        <v/>
      </c>
      <c r="K3737" s="86" t="str">
        <f>IF(Fifteenth!K240="", "",Fifteenth!K240)</f>
        <v/>
      </c>
      <c r="M3737" s="67" t="str">
        <f t="shared" si="176"/>
        <v/>
      </c>
      <c r="N3737" s="76" t="str">
        <f t="shared" si="177"/>
        <v/>
      </c>
      <c r="O3737" s="33">
        <f t="shared" si="175"/>
        <v>0</v>
      </c>
    </row>
    <row r="3738" spans="1:15" x14ac:dyDescent="0.25">
      <c r="A3738" s="64" t="s">
        <v>186</v>
      </c>
      <c r="B3738" s="79" t="str">
        <f>IF(Fifteenth!B241="", "",Fifteenth!B241)</f>
        <v/>
      </c>
      <c r="C3738" s="66" t="str">
        <f>IF(Fifteenth!C241="", "",Fifteenth!C241)</f>
        <v/>
      </c>
      <c r="D3738" s="66" t="str">
        <f>IF(Fifteenth!D241="", "",Fifteenth!D241)</f>
        <v/>
      </c>
      <c r="E3738" s="66" t="str">
        <f>IF(Fifteenth!E241="", "",Fifteenth!E241)</f>
        <v/>
      </c>
      <c r="F3738" s="66" t="str">
        <f>IF(Fifteenth!F241="", "",Fifteenth!F241)</f>
        <v/>
      </c>
      <c r="G3738" s="66" t="str">
        <f>IF(Fifteenth!G241="", "",Fifteenth!G241)</f>
        <v/>
      </c>
      <c r="H3738" s="66" t="str">
        <f>IF(Fifteenth!H241="", "",Fifteenth!H241)</f>
        <v/>
      </c>
      <c r="I3738" s="66" t="str">
        <f>IF(Fifteenth!I241="", "",Fifteenth!I241)</f>
        <v/>
      </c>
      <c r="J3738" s="66" t="str">
        <f>IF(Fifteenth!J241="", "",Fifteenth!J241)</f>
        <v/>
      </c>
      <c r="K3738" s="86" t="str">
        <f>IF(Fifteenth!K241="", "",Fifteenth!K241)</f>
        <v/>
      </c>
      <c r="M3738" s="67" t="str">
        <f t="shared" si="176"/>
        <v/>
      </c>
      <c r="N3738" s="76" t="str">
        <f t="shared" si="177"/>
        <v/>
      </c>
      <c r="O3738" s="33">
        <f t="shared" si="175"/>
        <v>0</v>
      </c>
    </row>
    <row r="3739" spans="1:15" x14ac:dyDescent="0.25">
      <c r="A3739" s="64" t="s">
        <v>186</v>
      </c>
      <c r="B3739" s="79" t="str">
        <f>IF(Fifteenth!B242="", "",Fifteenth!B242)</f>
        <v/>
      </c>
      <c r="C3739" s="66" t="str">
        <f>IF(Fifteenth!C242="", "",Fifteenth!C242)</f>
        <v/>
      </c>
      <c r="D3739" s="66" t="str">
        <f>IF(Fifteenth!D242="", "",Fifteenth!D242)</f>
        <v/>
      </c>
      <c r="E3739" s="66" t="str">
        <f>IF(Fifteenth!E242="", "",Fifteenth!E242)</f>
        <v/>
      </c>
      <c r="F3739" s="66" t="str">
        <f>IF(Fifteenth!F242="", "",Fifteenth!F242)</f>
        <v/>
      </c>
      <c r="G3739" s="66" t="str">
        <f>IF(Fifteenth!G242="", "",Fifteenth!G242)</f>
        <v/>
      </c>
      <c r="H3739" s="66" t="str">
        <f>IF(Fifteenth!H242="", "",Fifteenth!H242)</f>
        <v/>
      </c>
      <c r="I3739" s="66" t="str">
        <f>IF(Fifteenth!I242="", "",Fifteenth!I242)</f>
        <v/>
      </c>
      <c r="J3739" s="66" t="str">
        <f>IF(Fifteenth!J242="", "",Fifteenth!J242)</f>
        <v/>
      </c>
      <c r="K3739" s="86" t="str">
        <f>IF(Fifteenth!K242="", "",Fifteenth!K242)</f>
        <v/>
      </c>
      <c r="M3739" s="67" t="str">
        <f t="shared" si="176"/>
        <v/>
      </c>
      <c r="N3739" s="76" t="str">
        <f t="shared" si="177"/>
        <v/>
      </c>
      <c r="O3739" s="33">
        <f t="shared" si="175"/>
        <v>0</v>
      </c>
    </row>
    <row r="3740" spans="1:15" x14ac:dyDescent="0.25">
      <c r="A3740" s="64" t="s">
        <v>186</v>
      </c>
      <c r="B3740" s="79" t="str">
        <f>IF(Fifteenth!B243="", "",Fifteenth!B243)</f>
        <v/>
      </c>
      <c r="C3740" s="66" t="str">
        <f>IF(Fifteenth!C243="", "",Fifteenth!C243)</f>
        <v/>
      </c>
      <c r="D3740" s="66" t="str">
        <f>IF(Fifteenth!D243="", "",Fifteenth!D243)</f>
        <v/>
      </c>
      <c r="E3740" s="66" t="str">
        <f>IF(Fifteenth!E243="", "",Fifteenth!E243)</f>
        <v/>
      </c>
      <c r="F3740" s="66" t="str">
        <f>IF(Fifteenth!F243="", "",Fifteenth!F243)</f>
        <v/>
      </c>
      <c r="G3740" s="66" t="str">
        <f>IF(Fifteenth!G243="", "",Fifteenth!G243)</f>
        <v/>
      </c>
      <c r="H3740" s="66" t="str">
        <f>IF(Fifteenth!H243="", "",Fifteenth!H243)</f>
        <v/>
      </c>
      <c r="I3740" s="66" t="str">
        <f>IF(Fifteenth!I243="", "",Fifteenth!I243)</f>
        <v/>
      </c>
      <c r="J3740" s="66" t="str">
        <f>IF(Fifteenth!J243="", "",Fifteenth!J243)</f>
        <v/>
      </c>
      <c r="K3740" s="86" t="str">
        <f>IF(Fifteenth!K243="", "",Fifteenth!K243)</f>
        <v/>
      </c>
      <c r="M3740" s="67" t="str">
        <f t="shared" si="176"/>
        <v/>
      </c>
      <c r="N3740" s="76" t="str">
        <f t="shared" si="177"/>
        <v/>
      </c>
      <c r="O3740" s="33">
        <f t="shared" si="175"/>
        <v>0</v>
      </c>
    </row>
    <row r="3741" spans="1:15" x14ac:dyDescent="0.25">
      <c r="A3741" s="64" t="s">
        <v>186</v>
      </c>
      <c r="B3741" s="79" t="str">
        <f>IF(Fifteenth!B244="", "",Fifteenth!B244)</f>
        <v/>
      </c>
      <c r="C3741" s="66" t="str">
        <f>IF(Fifteenth!C244="", "",Fifteenth!C244)</f>
        <v/>
      </c>
      <c r="D3741" s="66" t="str">
        <f>IF(Fifteenth!D244="", "",Fifteenth!D244)</f>
        <v/>
      </c>
      <c r="E3741" s="66" t="str">
        <f>IF(Fifteenth!E244="", "",Fifteenth!E244)</f>
        <v/>
      </c>
      <c r="F3741" s="66" t="str">
        <f>IF(Fifteenth!F244="", "",Fifteenth!F244)</f>
        <v/>
      </c>
      <c r="G3741" s="66" t="str">
        <f>IF(Fifteenth!G244="", "",Fifteenth!G244)</f>
        <v/>
      </c>
      <c r="H3741" s="66" t="str">
        <f>IF(Fifteenth!H244="", "",Fifteenth!H244)</f>
        <v/>
      </c>
      <c r="I3741" s="66" t="str">
        <f>IF(Fifteenth!I244="", "",Fifteenth!I244)</f>
        <v/>
      </c>
      <c r="J3741" s="66" t="str">
        <f>IF(Fifteenth!J244="", "",Fifteenth!J244)</f>
        <v/>
      </c>
      <c r="K3741" s="86" t="str">
        <f>IF(Fifteenth!K244="", "",Fifteenth!K244)</f>
        <v/>
      </c>
      <c r="M3741" s="67" t="str">
        <f t="shared" si="176"/>
        <v/>
      </c>
      <c r="N3741" s="76" t="str">
        <f t="shared" si="177"/>
        <v/>
      </c>
      <c r="O3741" s="33">
        <f t="shared" si="175"/>
        <v>0</v>
      </c>
    </row>
    <row r="3742" spans="1:15" x14ac:dyDescent="0.25">
      <c r="A3742" s="64" t="s">
        <v>186</v>
      </c>
      <c r="B3742" s="79" t="str">
        <f>IF(Fifteenth!B245="", "",Fifteenth!B245)</f>
        <v/>
      </c>
      <c r="C3742" s="66" t="str">
        <f>IF(Fifteenth!C245="", "",Fifteenth!C245)</f>
        <v/>
      </c>
      <c r="D3742" s="66" t="str">
        <f>IF(Fifteenth!D245="", "",Fifteenth!D245)</f>
        <v/>
      </c>
      <c r="E3742" s="66" t="str">
        <f>IF(Fifteenth!E245="", "",Fifteenth!E245)</f>
        <v/>
      </c>
      <c r="F3742" s="66" t="str">
        <f>IF(Fifteenth!F245="", "",Fifteenth!F245)</f>
        <v/>
      </c>
      <c r="G3742" s="66" t="str">
        <f>IF(Fifteenth!G245="", "",Fifteenth!G245)</f>
        <v/>
      </c>
      <c r="H3742" s="66" t="str">
        <f>IF(Fifteenth!H245="", "",Fifteenth!H245)</f>
        <v/>
      </c>
      <c r="I3742" s="66" t="str">
        <f>IF(Fifteenth!I245="", "",Fifteenth!I245)</f>
        <v/>
      </c>
      <c r="J3742" s="66" t="str">
        <f>IF(Fifteenth!J245="", "",Fifteenth!J245)</f>
        <v/>
      </c>
      <c r="K3742" s="86" t="str">
        <f>IF(Fifteenth!K245="", "",Fifteenth!K245)</f>
        <v/>
      </c>
      <c r="M3742" s="67" t="str">
        <f t="shared" si="176"/>
        <v/>
      </c>
      <c r="N3742" s="76" t="str">
        <f t="shared" si="177"/>
        <v/>
      </c>
      <c r="O3742" s="33">
        <f t="shared" si="175"/>
        <v>0</v>
      </c>
    </row>
    <row r="3743" spans="1:15" x14ac:dyDescent="0.25">
      <c r="A3743" s="64" t="s">
        <v>186</v>
      </c>
      <c r="B3743" s="79" t="str">
        <f>IF(Fifteenth!B246="", "",Fifteenth!B246)</f>
        <v/>
      </c>
      <c r="C3743" s="66" t="str">
        <f>IF(Fifteenth!C246="", "",Fifteenth!C246)</f>
        <v/>
      </c>
      <c r="D3743" s="66" t="str">
        <f>IF(Fifteenth!D246="", "",Fifteenth!D246)</f>
        <v/>
      </c>
      <c r="E3743" s="66" t="str">
        <f>IF(Fifteenth!E246="", "",Fifteenth!E246)</f>
        <v/>
      </c>
      <c r="F3743" s="66" t="str">
        <f>IF(Fifteenth!F246="", "",Fifteenth!F246)</f>
        <v/>
      </c>
      <c r="G3743" s="66" t="str">
        <f>IF(Fifteenth!G246="", "",Fifteenth!G246)</f>
        <v/>
      </c>
      <c r="H3743" s="66" t="str">
        <f>IF(Fifteenth!H246="", "",Fifteenth!H246)</f>
        <v/>
      </c>
      <c r="I3743" s="66" t="str">
        <f>IF(Fifteenth!I246="", "",Fifteenth!I246)</f>
        <v/>
      </c>
      <c r="J3743" s="66" t="str">
        <f>IF(Fifteenth!J246="", "",Fifteenth!J246)</f>
        <v/>
      </c>
      <c r="K3743" s="86" t="str">
        <f>IF(Fifteenth!K246="", "",Fifteenth!K246)</f>
        <v/>
      </c>
      <c r="M3743" s="67" t="str">
        <f t="shared" si="176"/>
        <v/>
      </c>
      <c r="N3743" s="76" t="str">
        <f t="shared" si="177"/>
        <v/>
      </c>
      <c r="O3743" s="33">
        <f t="shared" si="175"/>
        <v>0</v>
      </c>
    </row>
    <row r="3744" spans="1:15" x14ac:dyDescent="0.25">
      <c r="A3744" s="64" t="s">
        <v>186</v>
      </c>
      <c r="B3744" s="79" t="str">
        <f>IF(Fifteenth!B247="", "",Fifteenth!B247)</f>
        <v/>
      </c>
      <c r="C3744" s="66" t="str">
        <f>IF(Fifteenth!C247="", "",Fifteenth!C247)</f>
        <v/>
      </c>
      <c r="D3744" s="66" t="str">
        <f>IF(Fifteenth!D247="", "",Fifteenth!D247)</f>
        <v/>
      </c>
      <c r="E3744" s="66" t="str">
        <f>IF(Fifteenth!E247="", "",Fifteenth!E247)</f>
        <v/>
      </c>
      <c r="F3744" s="66" t="str">
        <f>IF(Fifteenth!F247="", "",Fifteenth!F247)</f>
        <v/>
      </c>
      <c r="G3744" s="66" t="str">
        <f>IF(Fifteenth!G247="", "",Fifteenth!G247)</f>
        <v/>
      </c>
      <c r="H3744" s="66" t="str">
        <f>IF(Fifteenth!H247="", "",Fifteenth!H247)</f>
        <v/>
      </c>
      <c r="I3744" s="66" t="str">
        <f>IF(Fifteenth!I247="", "",Fifteenth!I247)</f>
        <v/>
      </c>
      <c r="J3744" s="66" t="str">
        <f>IF(Fifteenth!J247="", "",Fifteenth!J247)</f>
        <v/>
      </c>
      <c r="K3744" s="86" t="str">
        <f>IF(Fifteenth!K247="", "",Fifteenth!K247)</f>
        <v/>
      </c>
      <c r="M3744" s="67" t="str">
        <f t="shared" si="176"/>
        <v/>
      </c>
      <c r="N3744" s="76" t="str">
        <f t="shared" si="177"/>
        <v/>
      </c>
      <c r="O3744" s="33">
        <f t="shared" si="175"/>
        <v>0</v>
      </c>
    </row>
    <row r="3745" spans="1:15" x14ac:dyDescent="0.25">
      <c r="A3745" s="64" t="s">
        <v>186</v>
      </c>
      <c r="B3745" s="79" t="str">
        <f>IF(Fifteenth!B248="", "",Fifteenth!B248)</f>
        <v/>
      </c>
      <c r="C3745" s="66" t="str">
        <f>IF(Fifteenth!C248="", "",Fifteenth!C248)</f>
        <v/>
      </c>
      <c r="D3745" s="66" t="str">
        <f>IF(Fifteenth!D248="", "",Fifteenth!D248)</f>
        <v/>
      </c>
      <c r="E3745" s="66" t="str">
        <f>IF(Fifteenth!E248="", "",Fifteenth!E248)</f>
        <v/>
      </c>
      <c r="F3745" s="66" t="str">
        <f>IF(Fifteenth!F248="", "",Fifteenth!F248)</f>
        <v/>
      </c>
      <c r="G3745" s="66" t="str">
        <f>IF(Fifteenth!G248="", "",Fifteenth!G248)</f>
        <v/>
      </c>
      <c r="H3745" s="66" t="str">
        <f>IF(Fifteenth!H248="", "",Fifteenth!H248)</f>
        <v/>
      </c>
      <c r="I3745" s="66" t="str">
        <f>IF(Fifteenth!I248="", "",Fifteenth!I248)</f>
        <v/>
      </c>
      <c r="J3745" s="66" t="str">
        <f>IF(Fifteenth!J248="", "",Fifteenth!J248)</f>
        <v/>
      </c>
      <c r="K3745" s="86" t="str">
        <f>IF(Fifteenth!K248="", "",Fifteenth!K248)</f>
        <v/>
      </c>
      <c r="M3745" s="67" t="str">
        <f t="shared" si="176"/>
        <v/>
      </c>
      <c r="N3745" s="76" t="str">
        <f t="shared" si="177"/>
        <v/>
      </c>
      <c r="O3745" s="33">
        <f t="shared" si="175"/>
        <v>0</v>
      </c>
    </row>
    <row r="3746" spans="1:15" x14ac:dyDescent="0.25">
      <c r="A3746" s="64" t="s">
        <v>186</v>
      </c>
      <c r="B3746" s="79" t="str">
        <f>IF(Fifteenth!B249="", "",Fifteenth!B249)</f>
        <v/>
      </c>
      <c r="C3746" s="66" t="str">
        <f>IF(Fifteenth!C249="", "",Fifteenth!C249)</f>
        <v/>
      </c>
      <c r="D3746" s="66" t="str">
        <f>IF(Fifteenth!D249="", "",Fifteenth!D249)</f>
        <v/>
      </c>
      <c r="E3746" s="66" t="str">
        <f>IF(Fifteenth!E249="", "",Fifteenth!E249)</f>
        <v/>
      </c>
      <c r="F3746" s="66" t="str">
        <f>IF(Fifteenth!F249="", "",Fifteenth!F249)</f>
        <v/>
      </c>
      <c r="G3746" s="66" t="str">
        <f>IF(Fifteenth!G249="", "",Fifteenth!G249)</f>
        <v/>
      </c>
      <c r="H3746" s="66" t="str">
        <f>IF(Fifteenth!H249="", "",Fifteenth!H249)</f>
        <v/>
      </c>
      <c r="I3746" s="66" t="str">
        <f>IF(Fifteenth!I249="", "",Fifteenth!I249)</f>
        <v/>
      </c>
      <c r="J3746" s="66" t="str">
        <f>IF(Fifteenth!J249="", "",Fifteenth!J249)</f>
        <v/>
      </c>
      <c r="K3746" s="86" t="str">
        <f>IF(Fifteenth!K249="", "",Fifteenth!K249)</f>
        <v/>
      </c>
      <c r="M3746" s="67" t="str">
        <f t="shared" si="176"/>
        <v/>
      </c>
      <c r="N3746" s="76" t="str">
        <f t="shared" si="177"/>
        <v/>
      </c>
      <c r="O3746" s="33">
        <f t="shared" si="175"/>
        <v>0</v>
      </c>
    </row>
    <row r="3747" spans="1:15" x14ac:dyDescent="0.25">
      <c r="A3747" s="64" t="s">
        <v>186</v>
      </c>
      <c r="B3747" s="79" t="str">
        <f>IF(Fifteenth!B250="", "",Fifteenth!B250)</f>
        <v/>
      </c>
      <c r="C3747" s="66" t="str">
        <f>IF(Fifteenth!C250="", "",Fifteenth!C250)</f>
        <v/>
      </c>
      <c r="D3747" s="66" t="str">
        <f>IF(Fifteenth!D250="", "",Fifteenth!D250)</f>
        <v/>
      </c>
      <c r="E3747" s="66" t="str">
        <f>IF(Fifteenth!E250="", "",Fifteenth!E250)</f>
        <v/>
      </c>
      <c r="F3747" s="66" t="str">
        <f>IF(Fifteenth!F250="", "",Fifteenth!F250)</f>
        <v/>
      </c>
      <c r="G3747" s="66" t="str">
        <f>IF(Fifteenth!G250="", "",Fifteenth!G250)</f>
        <v/>
      </c>
      <c r="H3747" s="66" t="str">
        <f>IF(Fifteenth!H250="", "",Fifteenth!H250)</f>
        <v/>
      </c>
      <c r="I3747" s="66" t="str">
        <f>IF(Fifteenth!I250="", "",Fifteenth!I250)</f>
        <v/>
      </c>
      <c r="J3747" s="66" t="str">
        <f>IF(Fifteenth!J250="", "",Fifteenth!J250)</f>
        <v/>
      </c>
      <c r="K3747" s="86" t="str">
        <f>IF(Fifteenth!K250="", "",Fifteenth!K250)</f>
        <v/>
      </c>
      <c r="M3747" s="67" t="str">
        <f t="shared" si="176"/>
        <v/>
      </c>
      <c r="N3747" s="76" t="str">
        <f t="shared" si="177"/>
        <v/>
      </c>
      <c r="O3747" s="33">
        <f t="shared" si="175"/>
        <v>0</v>
      </c>
    </row>
    <row r="3748" spans="1:15" x14ac:dyDescent="0.25">
      <c r="A3748" s="64" t="s">
        <v>186</v>
      </c>
      <c r="B3748" s="79" t="str">
        <f>IF(Fifteenth!B251="", "",Fifteenth!B251)</f>
        <v/>
      </c>
      <c r="C3748" s="66" t="str">
        <f>IF(Fifteenth!C251="", "",Fifteenth!C251)</f>
        <v/>
      </c>
      <c r="D3748" s="66" t="str">
        <f>IF(Fifteenth!D251="", "",Fifteenth!D251)</f>
        <v/>
      </c>
      <c r="E3748" s="66" t="str">
        <f>IF(Fifteenth!E251="", "",Fifteenth!E251)</f>
        <v/>
      </c>
      <c r="F3748" s="66" t="str">
        <f>IF(Fifteenth!F251="", "",Fifteenth!F251)</f>
        <v/>
      </c>
      <c r="G3748" s="66" t="str">
        <f>IF(Fifteenth!G251="", "",Fifteenth!G251)</f>
        <v/>
      </c>
      <c r="H3748" s="66" t="str">
        <f>IF(Fifteenth!H251="", "",Fifteenth!H251)</f>
        <v/>
      </c>
      <c r="I3748" s="66" t="str">
        <f>IF(Fifteenth!I251="", "",Fifteenth!I251)</f>
        <v/>
      </c>
      <c r="J3748" s="66" t="str">
        <f>IF(Fifteenth!J251="", "",Fifteenth!J251)</f>
        <v/>
      </c>
      <c r="K3748" s="86" t="str">
        <f>IF(Fifteenth!K251="", "",Fifteenth!K251)</f>
        <v/>
      </c>
      <c r="M3748" s="67" t="str">
        <f t="shared" si="176"/>
        <v/>
      </c>
      <c r="N3748" s="76" t="str">
        <f t="shared" si="177"/>
        <v/>
      </c>
      <c r="O3748" s="33">
        <f t="shared" si="175"/>
        <v>0</v>
      </c>
    </row>
    <row r="3749" spans="1:15" x14ac:dyDescent="0.25">
      <c r="A3749" s="64" t="s">
        <v>186</v>
      </c>
      <c r="B3749" s="79" t="str">
        <f>IF(Fifteenth!B252="", "",Fifteenth!B252)</f>
        <v/>
      </c>
      <c r="C3749" s="66" t="str">
        <f>IF(Fifteenth!C252="", "",Fifteenth!C252)</f>
        <v/>
      </c>
      <c r="D3749" s="66" t="str">
        <f>IF(Fifteenth!D252="", "",Fifteenth!D252)</f>
        <v/>
      </c>
      <c r="E3749" s="66" t="str">
        <f>IF(Fifteenth!E252="", "",Fifteenth!E252)</f>
        <v/>
      </c>
      <c r="F3749" s="66" t="str">
        <f>IF(Fifteenth!F252="", "",Fifteenth!F252)</f>
        <v/>
      </c>
      <c r="G3749" s="66" t="str">
        <f>IF(Fifteenth!G252="", "",Fifteenth!G252)</f>
        <v/>
      </c>
      <c r="H3749" s="66" t="str">
        <f>IF(Fifteenth!H252="", "",Fifteenth!H252)</f>
        <v/>
      </c>
      <c r="I3749" s="66" t="str">
        <f>IF(Fifteenth!I252="", "",Fifteenth!I252)</f>
        <v/>
      </c>
      <c r="J3749" s="66" t="str">
        <f>IF(Fifteenth!J252="", "",Fifteenth!J252)</f>
        <v/>
      </c>
      <c r="K3749" s="86" t="str">
        <f>IF(Fifteenth!K252="", "",Fifteenth!K252)</f>
        <v/>
      </c>
      <c r="M3749" s="67" t="str">
        <f t="shared" si="176"/>
        <v/>
      </c>
      <c r="N3749" s="76" t="str">
        <f t="shared" si="177"/>
        <v/>
      </c>
      <c r="O3749" s="33">
        <f t="shared" si="175"/>
        <v>0</v>
      </c>
    </row>
    <row r="3750" spans="1:15" x14ac:dyDescent="0.25">
      <c r="A3750" s="64" t="s">
        <v>186</v>
      </c>
      <c r="B3750" s="79" t="str">
        <f>IF(Fifteenth!B253="", "",Fifteenth!B253)</f>
        <v/>
      </c>
      <c r="C3750" s="66" t="str">
        <f>IF(Fifteenth!C253="", "",Fifteenth!C253)</f>
        <v/>
      </c>
      <c r="D3750" s="66" t="str">
        <f>IF(Fifteenth!D253="", "",Fifteenth!D253)</f>
        <v/>
      </c>
      <c r="E3750" s="66" t="str">
        <f>IF(Fifteenth!E253="", "",Fifteenth!E253)</f>
        <v/>
      </c>
      <c r="F3750" s="66" t="str">
        <f>IF(Fifteenth!F253="", "",Fifteenth!F253)</f>
        <v/>
      </c>
      <c r="G3750" s="66" t="str">
        <f>IF(Fifteenth!G253="", "",Fifteenth!G253)</f>
        <v/>
      </c>
      <c r="H3750" s="66" t="str">
        <f>IF(Fifteenth!H253="", "",Fifteenth!H253)</f>
        <v/>
      </c>
      <c r="I3750" s="66" t="str">
        <f>IF(Fifteenth!I253="", "",Fifteenth!I253)</f>
        <v/>
      </c>
      <c r="J3750" s="66" t="str">
        <f>IF(Fifteenth!J253="", "",Fifteenth!J253)</f>
        <v/>
      </c>
      <c r="K3750" s="86" t="str">
        <f>IF(Fifteenth!K253="", "",Fifteenth!K253)</f>
        <v/>
      </c>
      <c r="M3750" s="67" t="str">
        <f t="shared" si="176"/>
        <v/>
      </c>
      <c r="N3750" s="76" t="str">
        <f t="shared" si="177"/>
        <v/>
      </c>
      <c r="O3750" s="33">
        <f t="shared" si="175"/>
        <v>0</v>
      </c>
    </row>
    <row r="3751" spans="1:15" ht="15.75" thickBot="1" x14ac:dyDescent="0.3">
      <c r="A3751" s="68" t="s">
        <v>186</v>
      </c>
      <c r="B3751" s="80" t="str">
        <f>IF(Fifteenth!B254="", "",Fifteenth!B254)</f>
        <v/>
      </c>
      <c r="C3751" s="70" t="str">
        <f>IF(Fifteenth!C254="", "",Fifteenth!C254)</f>
        <v/>
      </c>
      <c r="D3751" s="70" t="str">
        <f>IF(Fifteenth!D254="", "",Fifteenth!D254)</f>
        <v/>
      </c>
      <c r="E3751" s="70" t="str">
        <f>IF(Fifteenth!E254="", "",Fifteenth!E254)</f>
        <v/>
      </c>
      <c r="F3751" s="70" t="str">
        <f>IF(Fifteenth!F254="", "",Fifteenth!F254)</f>
        <v/>
      </c>
      <c r="G3751" s="70" t="str">
        <f>IF(Fifteenth!G254="", "",Fifteenth!G254)</f>
        <v/>
      </c>
      <c r="H3751" s="70" t="str">
        <f>IF(Fifteenth!H254="", "",Fifteenth!H254)</f>
        <v/>
      </c>
      <c r="I3751" s="70" t="str">
        <f>IF(Fifteenth!I254="", "",Fifteenth!I254)</f>
        <v/>
      </c>
      <c r="J3751" s="70" t="str">
        <f>IF(Fifteenth!J254="", "",Fifteenth!J254)</f>
        <v/>
      </c>
      <c r="K3751" s="90" t="str">
        <f>IF(Fifteenth!K254="", "",Fifteenth!K254)</f>
        <v/>
      </c>
      <c r="L3751" s="91"/>
      <c r="M3751" s="71" t="str">
        <f t="shared" si="176"/>
        <v/>
      </c>
      <c r="N3751" s="77" t="str">
        <f t="shared" si="177"/>
        <v/>
      </c>
      <c r="O3751" s="33">
        <f t="shared" si="175"/>
        <v>0</v>
      </c>
    </row>
    <row r="3752" spans="1:15" x14ac:dyDescent="0.25">
      <c r="A3752" s="64" t="s">
        <v>187</v>
      </c>
      <c r="B3752" s="79" t="str">
        <f>IF(Sixteenth!B5="", "",Sixteenth!B5)</f>
        <v/>
      </c>
      <c r="C3752" s="66" t="str">
        <f>IF(Sixteenth!C5="", "",Sixteenth!C5)</f>
        <v/>
      </c>
      <c r="D3752" s="66" t="str">
        <f>IF(Sixteenth!D5="", "",Sixteenth!D5)</f>
        <v/>
      </c>
      <c r="E3752" s="66" t="str">
        <f>IF(Sixteenth!E5="", "",Sixteenth!E5)</f>
        <v/>
      </c>
      <c r="F3752" s="66" t="str">
        <f>IF(Sixteenth!F5="", "",Sixteenth!F5)</f>
        <v/>
      </c>
      <c r="G3752" s="66" t="str">
        <f>IF(Sixteenth!G5="", "",Sixteenth!G5)</f>
        <v/>
      </c>
      <c r="H3752" s="66" t="str">
        <f>IF(Sixteenth!H5="", "",Sixteenth!H5)</f>
        <v/>
      </c>
      <c r="I3752" s="66" t="str">
        <f>IF(Sixteenth!I5="", "",Sixteenth!I5)</f>
        <v/>
      </c>
      <c r="J3752" s="66" t="str">
        <f>IF(Sixteenth!J5="", "",Sixteenth!J5)</f>
        <v/>
      </c>
      <c r="K3752" s="86" t="str">
        <f>IF(Sixteenth!K5="", "",Sixteenth!K5)</f>
        <v/>
      </c>
      <c r="M3752" s="67" t="str">
        <f t="shared" si="176"/>
        <v/>
      </c>
      <c r="N3752" s="76" t="str">
        <f t="shared" si="177"/>
        <v/>
      </c>
      <c r="O3752" s="33">
        <f t="shared" si="175"/>
        <v>0</v>
      </c>
    </row>
    <row r="3753" spans="1:15" x14ac:dyDescent="0.25">
      <c r="A3753" s="64" t="s">
        <v>187</v>
      </c>
      <c r="B3753" s="79" t="str">
        <f>IF(Sixteenth!B6="", "",Sixteenth!B6)</f>
        <v/>
      </c>
      <c r="C3753" s="66" t="str">
        <f>IF(Sixteenth!C6="", "",Sixteenth!C6)</f>
        <v/>
      </c>
      <c r="D3753" s="66" t="str">
        <f>IF(Sixteenth!D6="", "",Sixteenth!D6)</f>
        <v/>
      </c>
      <c r="E3753" s="66" t="str">
        <f>IF(Sixteenth!E6="", "",Sixteenth!E6)</f>
        <v/>
      </c>
      <c r="F3753" s="66" t="str">
        <f>IF(Sixteenth!F6="", "",Sixteenth!F6)</f>
        <v/>
      </c>
      <c r="G3753" s="66" t="str">
        <f>IF(Sixteenth!G6="", "",Sixteenth!G6)</f>
        <v/>
      </c>
      <c r="H3753" s="66" t="str">
        <f>IF(Sixteenth!H6="", "",Sixteenth!H6)</f>
        <v/>
      </c>
      <c r="I3753" s="66" t="str">
        <f>IF(Sixteenth!I6="", "",Sixteenth!I6)</f>
        <v/>
      </c>
      <c r="J3753" s="66" t="str">
        <f>IF(Sixteenth!J6="", "",Sixteenth!J6)</f>
        <v/>
      </c>
      <c r="K3753" s="86" t="str">
        <f>IF(Sixteenth!K6="", "",Sixteenth!K6)</f>
        <v/>
      </c>
      <c r="M3753" s="67" t="str">
        <f t="shared" si="176"/>
        <v/>
      </c>
      <c r="N3753" s="76" t="str">
        <f t="shared" si="177"/>
        <v/>
      </c>
      <c r="O3753" s="33">
        <f t="shared" si="175"/>
        <v>0</v>
      </c>
    </row>
    <row r="3754" spans="1:15" x14ac:dyDescent="0.25">
      <c r="A3754" s="64" t="s">
        <v>187</v>
      </c>
      <c r="B3754" s="79" t="str">
        <f>IF(Sixteenth!B7="", "",Sixteenth!B7)</f>
        <v/>
      </c>
      <c r="C3754" s="66" t="str">
        <f>IF(Sixteenth!C7="", "",Sixteenth!C7)</f>
        <v/>
      </c>
      <c r="D3754" s="66" t="str">
        <f>IF(Sixteenth!D7="", "",Sixteenth!D7)</f>
        <v/>
      </c>
      <c r="E3754" s="66" t="str">
        <f>IF(Sixteenth!E7="", "",Sixteenth!E7)</f>
        <v/>
      </c>
      <c r="F3754" s="66" t="str">
        <f>IF(Sixteenth!F7="", "",Sixteenth!F7)</f>
        <v/>
      </c>
      <c r="G3754" s="66" t="str">
        <f>IF(Sixteenth!G7="", "",Sixteenth!G7)</f>
        <v/>
      </c>
      <c r="H3754" s="66" t="str">
        <f>IF(Sixteenth!H7="", "",Sixteenth!H7)</f>
        <v/>
      </c>
      <c r="I3754" s="66" t="str">
        <f>IF(Sixteenth!I7="", "",Sixteenth!I7)</f>
        <v/>
      </c>
      <c r="J3754" s="66" t="str">
        <f>IF(Sixteenth!J7="", "",Sixteenth!J7)</f>
        <v/>
      </c>
      <c r="K3754" s="86" t="str">
        <f>IF(Sixteenth!K7="", "",Sixteenth!K7)</f>
        <v/>
      </c>
      <c r="M3754" s="67" t="str">
        <f t="shared" si="176"/>
        <v/>
      </c>
      <c r="N3754" s="76" t="str">
        <f t="shared" si="177"/>
        <v/>
      </c>
      <c r="O3754" s="33">
        <f t="shared" si="175"/>
        <v>0</v>
      </c>
    </row>
    <row r="3755" spans="1:15" x14ac:dyDescent="0.25">
      <c r="A3755" s="64" t="s">
        <v>187</v>
      </c>
      <c r="B3755" s="79" t="str">
        <f>IF(Sixteenth!B8="", "",Sixteenth!B8)</f>
        <v/>
      </c>
      <c r="C3755" s="66" t="str">
        <f>IF(Sixteenth!C8="", "",Sixteenth!C8)</f>
        <v/>
      </c>
      <c r="D3755" s="66" t="str">
        <f>IF(Sixteenth!D8="", "",Sixteenth!D8)</f>
        <v/>
      </c>
      <c r="E3755" s="66" t="str">
        <f>IF(Sixteenth!E8="", "",Sixteenth!E8)</f>
        <v/>
      </c>
      <c r="F3755" s="66" t="str">
        <f>IF(Sixteenth!F8="", "",Sixteenth!F8)</f>
        <v/>
      </c>
      <c r="G3755" s="66" t="str">
        <f>IF(Sixteenth!G8="", "",Sixteenth!G8)</f>
        <v/>
      </c>
      <c r="H3755" s="66" t="str">
        <f>IF(Sixteenth!H8="", "",Sixteenth!H8)</f>
        <v/>
      </c>
      <c r="I3755" s="66" t="str">
        <f>IF(Sixteenth!I8="", "",Sixteenth!I8)</f>
        <v/>
      </c>
      <c r="J3755" s="66" t="str">
        <f>IF(Sixteenth!J8="", "",Sixteenth!J8)</f>
        <v/>
      </c>
      <c r="K3755" s="86" t="str">
        <f>IF(Sixteenth!K8="", "",Sixteenth!K8)</f>
        <v/>
      </c>
      <c r="M3755" s="67" t="str">
        <f t="shared" si="176"/>
        <v/>
      </c>
      <c r="N3755" s="76" t="str">
        <f t="shared" si="177"/>
        <v/>
      </c>
      <c r="O3755" s="33">
        <f t="shared" si="175"/>
        <v>0</v>
      </c>
    </row>
    <row r="3756" spans="1:15" x14ac:dyDescent="0.25">
      <c r="A3756" s="64" t="s">
        <v>187</v>
      </c>
      <c r="B3756" s="79" t="str">
        <f>IF(Sixteenth!B9="", "",Sixteenth!B9)</f>
        <v/>
      </c>
      <c r="C3756" s="66" t="str">
        <f>IF(Sixteenth!C9="", "",Sixteenth!C9)</f>
        <v/>
      </c>
      <c r="D3756" s="66" t="str">
        <f>IF(Sixteenth!D9="", "",Sixteenth!D9)</f>
        <v/>
      </c>
      <c r="E3756" s="66" t="str">
        <f>IF(Sixteenth!E9="", "",Sixteenth!E9)</f>
        <v/>
      </c>
      <c r="F3756" s="66" t="str">
        <f>IF(Sixteenth!F9="", "",Sixteenth!F9)</f>
        <v/>
      </c>
      <c r="G3756" s="66" t="str">
        <f>IF(Sixteenth!G9="", "",Sixteenth!G9)</f>
        <v/>
      </c>
      <c r="H3756" s="66" t="str">
        <f>IF(Sixteenth!H9="", "",Sixteenth!H9)</f>
        <v/>
      </c>
      <c r="I3756" s="66" t="str">
        <f>IF(Sixteenth!I9="", "",Sixteenth!I9)</f>
        <v/>
      </c>
      <c r="J3756" s="66" t="str">
        <f>IF(Sixteenth!J9="", "",Sixteenth!J9)</f>
        <v/>
      </c>
      <c r="K3756" s="86" t="str">
        <f>IF(Sixteenth!K9="", "",Sixteenth!K9)</f>
        <v/>
      </c>
      <c r="M3756" s="67" t="str">
        <f t="shared" si="176"/>
        <v/>
      </c>
      <c r="N3756" s="76" t="str">
        <f t="shared" si="177"/>
        <v/>
      </c>
      <c r="O3756" s="33">
        <f t="shared" si="175"/>
        <v>0</v>
      </c>
    </row>
    <row r="3757" spans="1:15" x14ac:dyDescent="0.25">
      <c r="A3757" s="64" t="s">
        <v>187</v>
      </c>
      <c r="B3757" s="79" t="str">
        <f>IF(Sixteenth!B10="", "",Sixteenth!B10)</f>
        <v/>
      </c>
      <c r="C3757" s="66" t="str">
        <f>IF(Sixteenth!C10="", "",Sixteenth!C10)</f>
        <v/>
      </c>
      <c r="D3757" s="66" t="str">
        <f>IF(Sixteenth!D10="", "",Sixteenth!D10)</f>
        <v/>
      </c>
      <c r="E3757" s="66" t="str">
        <f>IF(Sixteenth!E10="", "",Sixteenth!E10)</f>
        <v/>
      </c>
      <c r="F3757" s="66" t="str">
        <f>IF(Sixteenth!F10="", "",Sixteenth!F10)</f>
        <v/>
      </c>
      <c r="G3757" s="66" t="str">
        <f>IF(Sixteenth!G10="", "",Sixteenth!G10)</f>
        <v/>
      </c>
      <c r="H3757" s="66" t="str">
        <f>IF(Sixteenth!H10="", "",Sixteenth!H10)</f>
        <v/>
      </c>
      <c r="I3757" s="66" t="str">
        <f>IF(Sixteenth!I10="", "",Sixteenth!I10)</f>
        <v/>
      </c>
      <c r="J3757" s="66" t="str">
        <f>IF(Sixteenth!J10="", "",Sixteenth!J10)</f>
        <v/>
      </c>
      <c r="K3757" s="86" t="str">
        <f>IF(Sixteenth!K10="", "",Sixteenth!K10)</f>
        <v/>
      </c>
      <c r="M3757" s="67" t="str">
        <f t="shared" si="176"/>
        <v/>
      </c>
      <c r="N3757" s="76" t="str">
        <f t="shared" si="177"/>
        <v/>
      </c>
      <c r="O3757" s="33">
        <f t="shared" si="175"/>
        <v>0</v>
      </c>
    </row>
    <row r="3758" spans="1:15" x14ac:dyDescent="0.25">
      <c r="A3758" s="64" t="s">
        <v>187</v>
      </c>
      <c r="B3758" s="79" t="str">
        <f>IF(Sixteenth!B11="", "",Sixteenth!B11)</f>
        <v/>
      </c>
      <c r="C3758" s="66" t="str">
        <f>IF(Sixteenth!C11="", "",Sixteenth!C11)</f>
        <v/>
      </c>
      <c r="D3758" s="66" t="str">
        <f>IF(Sixteenth!D11="", "",Sixteenth!D11)</f>
        <v/>
      </c>
      <c r="E3758" s="66" t="str">
        <f>IF(Sixteenth!E11="", "",Sixteenth!E11)</f>
        <v/>
      </c>
      <c r="F3758" s="66" t="str">
        <f>IF(Sixteenth!F11="", "",Sixteenth!F11)</f>
        <v/>
      </c>
      <c r="G3758" s="66" t="str">
        <f>IF(Sixteenth!G11="", "",Sixteenth!G11)</f>
        <v/>
      </c>
      <c r="H3758" s="66" t="str">
        <f>IF(Sixteenth!H11="", "",Sixteenth!H11)</f>
        <v/>
      </c>
      <c r="I3758" s="66" t="str">
        <f>IF(Sixteenth!I11="", "",Sixteenth!I11)</f>
        <v/>
      </c>
      <c r="J3758" s="66" t="str">
        <f>IF(Sixteenth!J11="", "",Sixteenth!J11)</f>
        <v/>
      </c>
      <c r="K3758" s="86" t="str">
        <f>IF(Sixteenth!K11="", "",Sixteenth!K11)</f>
        <v/>
      </c>
      <c r="M3758" s="67" t="str">
        <f t="shared" si="176"/>
        <v/>
      </c>
      <c r="N3758" s="76" t="str">
        <f t="shared" si="177"/>
        <v/>
      </c>
      <c r="O3758" s="33">
        <f t="shared" si="175"/>
        <v>0</v>
      </c>
    </row>
    <row r="3759" spans="1:15" x14ac:dyDescent="0.25">
      <c r="A3759" s="64" t="s">
        <v>187</v>
      </c>
      <c r="B3759" s="79" t="str">
        <f>IF(Sixteenth!B12="", "",Sixteenth!B12)</f>
        <v/>
      </c>
      <c r="C3759" s="66" t="str">
        <f>IF(Sixteenth!C12="", "",Sixteenth!C12)</f>
        <v/>
      </c>
      <c r="D3759" s="66" t="str">
        <f>IF(Sixteenth!D12="", "",Sixteenth!D12)</f>
        <v/>
      </c>
      <c r="E3759" s="66" t="str">
        <f>IF(Sixteenth!E12="", "",Sixteenth!E12)</f>
        <v/>
      </c>
      <c r="F3759" s="66" t="str">
        <f>IF(Sixteenth!F12="", "",Sixteenth!F12)</f>
        <v/>
      </c>
      <c r="G3759" s="66" t="str">
        <f>IF(Sixteenth!G12="", "",Sixteenth!G12)</f>
        <v/>
      </c>
      <c r="H3759" s="66" t="str">
        <f>IF(Sixteenth!H12="", "",Sixteenth!H12)</f>
        <v/>
      </c>
      <c r="I3759" s="66" t="str">
        <f>IF(Sixteenth!I12="", "",Sixteenth!I12)</f>
        <v/>
      </c>
      <c r="J3759" s="66" t="str">
        <f>IF(Sixteenth!J12="", "",Sixteenth!J12)</f>
        <v/>
      </c>
      <c r="K3759" s="86" t="str">
        <f>IF(Sixteenth!K12="", "",Sixteenth!K12)</f>
        <v/>
      </c>
      <c r="M3759" s="67" t="str">
        <f t="shared" si="176"/>
        <v/>
      </c>
      <c r="N3759" s="76" t="str">
        <f t="shared" si="177"/>
        <v/>
      </c>
      <c r="O3759" s="33">
        <f t="shared" si="175"/>
        <v>0</v>
      </c>
    </row>
    <row r="3760" spans="1:15" x14ac:dyDescent="0.25">
      <c r="A3760" s="64" t="s">
        <v>187</v>
      </c>
      <c r="B3760" s="79" t="str">
        <f>IF(Sixteenth!B13="", "",Sixteenth!B13)</f>
        <v/>
      </c>
      <c r="C3760" s="66" t="str">
        <f>IF(Sixteenth!C13="", "",Sixteenth!C13)</f>
        <v/>
      </c>
      <c r="D3760" s="66" t="str">
        <f>IF(Sixteenth!D13="", "",Sixteenth!D13)</f>
        <v/>
      </c>
      <c r="E3760" s="66" t="str">
        <f>IF(Sixteenth!E13="", "",Sixteenth!E13)</f>
        <v/>
      </c>
      <c r="F3760" s="66" t="str">
        <f>IF(Sixteenth!F13="", "",Sixteenth!F13)</f>
        <v/>
      </c>
      <c r="G3760" s="66" t="str">
        <f>IF(Sixteenth!G13="", "",Sixteenth!G13)</f>
        <v/>
      </c>
      <c r="H3760" s="66" t="str">
        <f>IF(Sixteenth!H13="", "",Sixteenth!H13)</f>
        <v/>
      </c>
      <c r="I3760" s="66" t="str">
        <f>IF(Sixteenth!I13="", "",Sixteenth!I13)</f>
        <v/>
      </c>
      <c r="J3760" s="66" t="str">
        <f>IF(Sixteenth!J13="", "",Sixteenth!J13)</f>
        <v/>
      </c>
      <c r="K3760" s="86" t="str">
        <f>IF(Sixteenth!K13="", "",Sixteenth!K13)</f>
        <v/>
      </c>
      <c r="M3760" s="67" t="str">
        <f t="shared" si="176"/>
        <v/>
      </c>
      <c r="N3760" s="76" t="str">
        <f t="shared" si="177"/>
        <v/>
      </c>
      <c r="O3760" s="33">
        <f t="shared" si="175"/>
        <v>0</v>
      </c>
    </row>
    <row r="3761" spans="1:15" x14ac:dyDescent="0.25">
      <c r="A3761" s="64" t="s">
        <v>187</v>
      </c>
      <c r="B3761" s="79" t="str">
        <f>IF(Sixteenth!B14="", "",Sixteenth!B14)</f>
        <v/>
      </c>
      <c r="C3761" s="66" t="str">
        <f>IF(Sixteenth!C14="", "",Sixteenth!C14)</f>
        <v/>
      </c>
      <c r="D3761" s="66" t="str">
        <f>IF(Sixteenth!D14="", "",Sixteenth!D14)</f>
        <v/>
      </c>
      <c r="E3761" s="66" t="str">
        <f>IF(Sixteenth!E14="", "",Sixteenth!E14)</f>
        <v/>
      </c>
      <c r="F3761" s="66" t="str">
        <f>IF(Sixteenth!F14="", "",Sixteenth!F14)</f>
        <v/>
      </c>
      <c r="G3761" s="66" t="str">
        <f>IF(Sixteenth!G14="", "",Sixteenth!G14)</f>
        <v/>
      </c>
      <c r="H3761" s="66" t="str">
        <f>IF(Sixteenth!H14="", "",Sixteenth!H14)</f>
        <v/>
      </c>
      <c r="I3761" s="66" t="str">
        <f>IF(Sixteenth!I14="", "",Sixteenth!I14)</f>
        <v/>
      </c>
      <c r="J3761" s="66" t="str">
        <f>IF(Sixteenth!J14="", "",Sixteenth!J14)</f>
        <v/>
      </c>
      <c r="K3761" s="86" t="str">
        <f>IF(Sixteenth!K14="", "",Sixteenth!K14)</f>
        <v/>
      </c>
      <c r="M3761" s="67" t="str">
        <f t="shared" si="176"/>
        <v/>
      </c>
      <c r="N3761" s="76" t="str">
        <f t="shared" si="177"/>
        <v/>
      </c>
      <c r="O3761" s="33">
        <f t="shared" si="175"/>
        <v>0</v>
      </c>
    </row>
    <row r="3762" spans="1:15" x14ac:dyDescent="0.25">
      <c r="A3762" s="64" t="s">
        <v>187</v>
      </c>
      <c r="B3762" s="79" t="str">
        <f>IF(Sixteenth!B15="", "",Sixteenth!B15)</f>
        <v/>
      </c>
      <c r="C3762" s="66" t="str">
        <f>IF(Sixteenth!C15="", "",Sixteenth!C15)</f>
        <v/>
      </c>
      <c r="D3762" s="66" t="str">
        <f>IF(Sixteenth!D15="", "",Sixteenth!D15)</f>
        <v/>
      </c>
      <c r="E3762" s="66" t="str">
        <f>IF(Sixteenth!E15="", "",Sixteenth!E15)</f>
        <v/>
      </c>
      <c r="F3762" s="66" t="str">
        <f>IF(Sixteenth!F15="", "",Sixteenth!F15)</f>
        <v/>
      </c>
      <c r="G3762" s="66" t="str">
        <f>IF(Sixteenth!G15="", "",Sixteenth!G15)</f>
        <v/>
      </c>
      <c r="H3762" s="66" t="str">
        <f>IF(Sixteenth!H15="", "",Sixteenth!H15)</f>
        <v/>
      </c>
      <c r="I3762" s="66" t="str">
        <f>IF(Sixteenth!I15="", "",Sixteenth!I15)</f>
        <v/>
      </c>
      <c r="J3762" s="66" t="str">
        <f>IF(Sixteenth!J15="", "",Sixteenth!J15)</f>
        <v/>
      </c>
      <c r="K3762" s="86" t="str">
        <f>IF(Sixteenth!K15="", "",Sixteenth!K15)</f>
        <v/>
      </c>
      <c r="M3762" s="67" t="str">
        <f t="shared" si="176"/>
        <v/>
      </c>
      <c r="N3762" s="76" t="str">
        <f t="shared" si="177"/>
        <v/>
      </c>
      <c r="O3762" s="33">
        <f t="shared" si="175"/>
        <v>0</v>
      </c>
    </row>
    <row r="3763" spans="1:15" x14ac:dyDescent="0.25">
      <c r="A3763" s="64" t="s">
        <v>187</v>
      </c>
      <c r="B3763" s="79" t="str">
        <f>IF(Sixteenth!B16="", "",Sixteenth!B16)</f>
        <v/>
      </c>
      <c r="C3763" s="66" t="str">
        <f>IF(Sixteenth!C16="", "",Sixteenth!C16)</f>
        <v/>
      </c>
      <c r="D3763" s="66" t="str">
        <f>IF(Sixteenth!D16="", "",Sixteenth!D16)</f>
        <v/>
      </c>
      <c r="E3763" s="66" t="str">
        <f>IF(Sixteenth!E16="", "",Sixteenth!E16)</f>
        <v/>
      </c>
      <c r="F3763" s="66" t="str">
        <f>IF(Sixteenth!F16="", "",Sixteenth!F16)</f>
        <v/>
      </c>
      <c r="G3763" s="66" t="str">
        <f>IF(Sixteenth!G16="", "",Sixteenth!G16)</f>
        <v/>
      </c>
      <c r="H3763" s="66" t="str">
        <f>IF(Sixteenth!H16="", "",Sixteenth!H16)</f>
        <v/>
      </c>
      <c r="I3763" s="66" t="str">
        <f>IF(Sixteenth!I16="", "",Sixteenth!I16)</f>
        <v/>
      </c>
      <c r="J3763" s="66" t="str">
        <f>IF(Sixteenth!J16="", "",Sixteenth!J16)</f>
        <v/>
      </c>
      <c r="K3763" s="86" t="str">
        <f>IF(Sixteenth!K16="", "",Sixteenth!K16)</f>
        <v/>
      </c>
      <c r="M3763" s="67" t="str">
        <f t="shared" si="176"/>
        <v/>
      </c>
      <c r="N3763" s="76" t="str">
        <f t="shared" si="177"/>
        <v/>
      </c>
      <c r="O3763" s="33">
        <f t="shared" si="175"/>
        <v>0</v>
      </c>
    </row>
    <row r="3764" spans="1:15" x14ac:dyDescent="0.25">
      <c r="A3764" s="64" t="s">
        <v>187</v>
      </c>
      <c r="B3764" s="79" t="str">
        <f>IF(Sixteenth!B17="", "",Sixteenth!B17)</f>
        <v/>
      </c>
      <c r="C3764" s="66" t="str">
        <f>IF(Sixteenth!C17="", "",Sixteenth!C17)</f>
        <v/>
      </c>
      <c r="D3764" s="66" t="str">
        <f>IF(Sixteenth!D17="", "",Sixteenth!D17)</f>
        <v/>
      </c>
      <c r="E3764" s="66" t="str">
        <f>IF(Sixteenth!E17="", "",Sixteenth!E17)</f>
        <v/>
      </c>
      <c r="F3764" s="66" t="str">
        <f>IF(Sixteenth!F17="", "",Sixteenth!F17)</f>
        <v/>
      </c>
      <c r="G3764" s="66" t="str">
        <f>IF(Sixteenth!G17="", "",Sixteenth!G17)</f>
        <v/>
      </c>
      <c r="H3764" s="66" t="str">
        <f>IF(Sixteenth!H17="", "",Sixteenth!H17)</f>
        <v/>
      </c>
      <c r="I3764" s="66" t="str">
        <f>IF(Sixteenth!I17="", "",Sixteenth!I17)</f>
        <v/>
      </c>
      <c r="J3764" s="66" t="str">
        <f>IF(Sixteenth!J17="", "",Sixteenth!J17)</f>
        <v/>
      </c>
      <c r="K3764" s="86" t="str">
        <f>IF(Sixteenth!K17="", "",Sixteenth!K17)</f>
        <v/>
      </c>
      <c r="M3764" s="67" t="str">
        <f t="shared" si="176"/>
        <v/>
      </c>
      <c r="N3764" s="76" t="str">
        <f t="shared" si="177"/>
        <v/>
      </c>
      <c r="O3764" s="33">
        <f t="shared" si="175"/>
        <v>0</v>
      </c>
    </row>
    <row r="3765" spans="1:15" x14ac:dyDescent="0.25">
      <c r="A3765" s="64" t="s">
        <v>187</v>
      </c>
      <c r="B3765" s="79" t="str">
        <f>IF(Sixteenth!B18="", "",Sixteenth!B18)</f>
        <v/>
      </c>
      <c r="C3765" s="66" t="str">
        <f>IF(Sixteenth!C18="", "",Sixteenth!C18)</f>
        <v/>
      </c>
      <c r="D3765" s="66" t="str">
        <f>IF(Sixteenth!D18="", "",Sixteenth!D18)</f>
        <v/>
      </c>
      <c r="E3765" s="66" t="str">
        <f>IF(Sixteenth!E18="", "",Sixteenth!E18)</f>
        <v/>
      </c>
      <c r="F3765" s="66" t="str">
        <f>IF(Sixteenth!F18="", "",Sixteenth!F18)</f>
        <v/>
      </c>
      <c r="G3765" s="66" t="str">
        <f>IF(Sixteenth!G18="", "",Sixteenth!G18)</f>
        <v/>
      </c>
      <c r="H3765" s="66" t="str">
        <f>IF(Sixteenth!H18="", "",Sixteenth!H18)</f>
        <v/>
      </c>
      <c r="I3765" s="66" t="str">
        <f>IF(Sixteenth!I18="", "",Sixteenth!I18)</f>
        <v/>
      </c>
      <c r="J3765" s="66" t="str">
        <f>IF(Sixteenth!J18="", "",Sixteenth!J18)</f>
        <v/>
      </c>
      <c r="K3765" s="86" t="str">
        <f>IF(Sixteenth!K18="", "",Sixteenth!K18)</f>
        <v/>
      </c>
      <c r="M3765" s="67" t="str">
        <f t="shared" si="176"/>
        <v/>
      </c>
      <c r="N3765" s="76" t="str">
        <f t="shared" si="177"/>
        <v/>
      </c>
      <c r="O3765" s="33">
        <f t="shared" si="175"/>
        <v>0</v>
      </c>
    </row>
    <row r="3766" spans="1:15" x14ac:dyDescent="0.25">
      <c r="A3766" s="64" t="s">
        <v>187</v>
      </c>
      <c r="B3766" s="79" t="str">
        <f>IF(Sixteenth!B19="", "",Sixteenth!B19)</f>
        <v/>
      </c>
      <c r="C3766" s="66" t="str">
        <f>IF(Sixteenth!C19="", "",Sixteenth!C19)</f>
        <v/>
      </c>
      <c r="D3766" s="66" t="str">
        <f>IF(Sixteenth!D19="", "",Sixteenth!D19)</f>
        <v/>
      </c>
      <c r="E3766" s="66" t="str">
        <f>IF(Sixteenth!E19="", "",Sixteenth!E19)</f>
        <v/>
      </c>
      <c r="F3766" s="66" t="str">
        <f>IF(Sixteenth!F19="", "",Sixteenth!F19)</f>
        <v/>
      </c>
      <c r="G3766" s="66" t="str">
        <f>IF(Sixteenth!G19="", "",Sixteenth!G19)</f>
        <v/>
      </c>
      <c r="H3766" s="66" t="str">
        <f>IF(Sixteenth!H19="", "",Sixteenth!H19)</f>
        <v/>
      </c>
      <c r="I3766" s="66" t="str">
        <f>IF(Sixteenth!I19="", "",Sixteenth!I19)</f>
        <v/>
      </c>
      <c r="J3766" s="66" t="str">
        <f>IF(Sixteenth!J19="", "",Sixteenth!J19)</f>
        <v/>
      </c>
      <c r="K3766" s="86" t="str">
        <f>IF(Sixteenth!K19="", "",Sixteenth!K19)</f>
        <v/>
      </c>
      <c r="M3766" s="67" t="str">
        <f t="shared" si="176"/>
        <v/>
      </c>
      <c r="N3766" s="76" t="str">
        <f t="shared" si="177"/>
        <v/>
      </c>
      <c r="O3766" s="33">
        <f t="shared" si="175"/>
        <v>0</v>
      </c>
    </row>
    <row r="3767" spans="1:15" x14ac:dyDescent="0.25">
      <c r="A3767" s="64" t="s">
        <v>187</v>
      </c>
      <c r="B3767" s="79" t="str">
        <f>IF(Sixteenth!B20="", "",Sixteenth!B20)</f>
        <v/>
      </c>
      <c r="C3767" s="66" t="str">
        <f>IF(Sixteenth!C20="", "",Sixteenth!C20)</f>
        <v/>
      </c>
      <c r="D3767" s="66" t="str">
        <f>IF(Sixteenth!D20="", "",Sixteenth!D20)</f>
        <v/>
      </c>
      <c r="E3767" s="66" t="str">
        <f>IF(Sixteenth!E20="", "",Sixteenth!E20)</f>
        <v/>
      </c>
      <c r="F3767" s="66" t="str">
        <f>IF(Sixteenth!F20="", "",Sixteenth!F20)</f>
        <v/>
      </c>
      <c r="G3767" s="66" t="str">
        <f>IF(Sixteenth!G20="", "",Sixteenth!G20)</f>
        <v/>
      </c>
      <c r="H3767" s="66" t="str">
        <f>IF(Sixteenth!H20="", "",Sixteenth!H20)</f>
        <v/>
      </c>
      <c r="I3767" s="66" t="str">
        <f>IF(Sixteenth!I20="", "",Sixteenth!I20)</f>
        <v/>
      </c>
      <c r="J3767" s="66" t="str">
        <f>IF(Sixteenth!J20="", "",Sixteenth!J20)</f>
        <v/>
      </c>
      <c r="K3767" s="86" t="str">
        <f>IF(Sixteenth!K20="", "",Sixteenth!K20)</f>
        <v/>
      </c>
      <c r="M3767" s="67" t="str">
        <f t="shared" si="176"/>
        <v/>
      </c>
      <c r="N3767" s="76" t="str">
        <f t="shared" si="177"/>
        <v/>
      </c>
      <c r="O3767" s="33">
        <f t="shared" si="175"/>
        <v>0</v>
      </c>
    </row>
    <row r="3768" spans="1:15" x14ac:dyDescent="0.25">
      <c r="A3768" s="64" t="s">
        <v>187</v>
      </c>
      <c r="B3768" s="79" t="str">
        <f>IF(Sixteenth!B21="", "",Sixteenth!B21)</f>
        <v/>
      </c>
      <c r="C3768" s="66" t="str">
        <f>IF(Sixteenth!C21="", "",Sixteenth!C21)</f>
        <v/>
      </c>
      <c r="D3768" s="66" t="str">
        <f>IF(Sixteenth!D21="", "",Sixteenth!D21)</f>
        <v/>
      </c>
      <c r="E3768" s="66" t="str">
        <f>IF(Sixteenth!E21="", "",Sixteenth!E21)</f>
        <v/>
      </c>
      <c r="F3768" s="66" t="str">
        <f>IF(Sixteenth!F21="", "",Sixteenth!F21)</f>
        <v/>
      </c>
      <c r="G3768" s="66" t="str">
        <f>IF(Sixteenth!G21="", "",Sixteenth!G21)</f>
        <v/>
      </c>
      <c r="H3768" s="66" t="str">
        <f>IF(Sixteenth!H21="", "",Sixteenth!H21)</f>
        <v/>
      </c>
      <c r="I3768" s="66" t="str">
        <f>IF(Sixteenth!I21="", "",Sixteenth!I21)</f>
        <v/>
      </c>
      <c r="J3768" s="66" t="str">
        <f>IF(Sixteenth!J21="", "",Sixteenth!J21)</f>
        <v/>
      </c>
      <c r="K3768" s="86" t="str">
        <f>IF(Sixteenth!K21="", "",Sixteenth!K21)</f>
        <v/>
      </c>
      <c r="M3768" s="67" t="str">
        <f t="shared" si="176"/>
        <v/>
      </c>
      <c r="N3768" s="76" t="str">
        <f t="shared" si="177"/>
        <v/>
      </c>
      <c r="O3768" s="33">
        <f t="shared" si="175"/>
        <v>0</v>
      </c>
    </row>
    <row r="3769" spans="1:15" x14ac:dyDescent="0.25">
      <c r="A3769" s="64" t="s">
        <v>187</v>
      </c>
      <c r="B3769" s="79" t="str">
        <f>IF(Sixteenth!B22="", "",Sixteenth!B22)</f>
        <v/>
      </c>
      <c r="C3769" s="66" t="str">
        <f>IF(Sixteenth!C22="", "",Sixteenth!C22)</f>
        <v/>
      </c>
      <c r="D3769" s="66" t="str">
        <f>IF(Sixteenth!D22="", "",Sixteenth!D22)</f>
        <v/>
      </c>
      <c r="E3769" s="66" t="str">
        <f>IF(Sixteenth!E22="", "",Sixteenth!E22)</f>
        <v/>
      </c>
      <c r="F3769" s="66" t="str">
        <f>IF(Sixteenth!F22="", "",Sixteenth!F22)</f>
        <v/>
      </c>
      <c r="G3769" s="66" t="str">
        <f>IF(Sixteenth!G22="", "",Sixteenth!G22)</f>
        <v/>
      </c>
      <c r="H3769" s="66" t="str">
        <f>IF(Sixteenth!H22="", "",Sixteenth!H22)</f>
        <v/>
      </c>
      <c r="I3769" s="66" t="str">
        <f>IF(Sixteenth!I22="", "",Sixteenth!I22)</f>
        <v/>
      </c>
      <c r="J3769" s="66" t="str">
        <f>IF(Sixteenth!J22="", "",Sixteenth!J22)</f>
        <v/>
      </c>
      <c r="K3769" s="86" t="str">
        <f>IF(Sixteenth!K22="", "",Sixteenth!K22)</f>
        <v/>
      </c>
      <c r="M3769" s="67" t="str">
        <f t="shared" si="176"/>
        <v/>
      </c>
      <c r="N3769" s="76" t="str">
        <f t="shared" si="177"/>
        <v/>
      </c>
      <c r="O3769" s="33">
        <f t="shared" si="175"/>
        <v>0</v>
      </c>
    </row>
    <row r="3770" spans="1:15" x14ac:dyDescent="0.25">
      <c r="A3770" s="64" t="s">
        <v>187</v>
      </c>
      <c r="B3770" s="79" t="str">
        <f>IF(Sixteenth!B23="", "",Sixteenth!B23)</f>
        <v/>
      </c>
      <c r="C3770" s="66" t="str">
        <f>IF(Sixteenth!C23="", "",Sixteenth!C23)</f>
        <v/>
      </c>
      <c r="D3770" s="66" t="str">
        <f>IF(Sixteenth!D23="", "",Sixteenth!D23)</f>
        <v/>
      </c>
      <c r="E3770" s="66" t="str">
        <f>IF(Sixteenth!E23="", "",Sixteenth!E23)</f>
        <v/>
      </c>
      <c r="F3770" s="66" t="str">
        <f>IF(Sixteenth!F23="", "",Sixteenth!F23)</f>
        <v/>
      </c>
      <c r="G3770" s="66" t="str">
        <f>IF(Sixteenth!G23="", "",Sixteenth!G23)</f>
        <v/>
      </c>
      <c r="H3770" s="66" t="str">
        <f>IF(Sixteenth!H23="", "",Sixteenth!H23)</f>
        <v/>
      </c>
      <c r="I3770" s="66" t="str">
        <f>IF(Sixteenth!I23="", "",Sixteenth!I23)</f>
        <v/>
      </c>
      <c r="J3770" s="66" t="str">
        <f>IF(Sixteenth!J23="", "",Sixteenth!J23)</f>
        <v/>
      </c>
      <c r="K3770" s="86" t="str">
        <f>IF(Sixteenth!K23="", "",Sixteenth!K23)</f>
        <v/>
      </c>
      <c r="M3770" s="67" t="str">
        <f t="shared" si="176"/>
        <v/>
      </c>
      <c r="N3770" s="76" t="str">
        <f t="shared" si="177"/>
        <v/>
      </c>
      <c r="O3770" s="33">
        <f t="shared" si="175"/>
        <v>0</v>
      </c>
    </row>
    <row r="3771" spans="1:15" x14ac:dyDescent="0.25">
      <c r="A3771" s="64" t="s">
        <v>187</v>
      </c>
      <c r="B3771" s="79" t="str">
        <f>IF(Sixteenth!B24="", "",Sixteenth!B24)</f>
        <v/>
      </c>
      <c r="C3771" s="66" t="str">
        <f>IF(Sixteenth!C24="", "",Sixteenth!C24)</f>
        <v/>
      </c>
      <c r="D3771" s="66" t="str">
        <f>IF(Sixteenth!D24="", "",Sixteenth!D24)</f>
        <v/>
      </c>
      <c r="E3771" s="66" t="str">
        <f>IF(Sixteenth!E24="", "",Sixteenth!E24)</f>
        <v/>
      </c>
      <c r="F3771" s="66" t="str">
        <f>IF(Sixteenth!F24="", "",Sixteenth!F24)</f>
        <v/>
      </c>
      <c r="G3771" s="66" t="str">
        <f>IF(Sixteenth!G24="", "",Sixteenth!G24)</f>
        <v/>
      </c>
      <c r="H3771" s="66" t="str">
        <f>IF(Sixteenth!H24="", "",Sixteenth!H24)</f>
        <v/>
      </c>
      <c r="I3771" s="66" t="str">
        <f>IF(Sixteenth!I24="", "",Sixteenth!I24)</f>
        <v/>
      </c>
      <c r="J3771" s="66" t="str">
        <f>IF(Sixteenth!J24="", "",Sixteenth!J24)</f>
        <v/>
      </c>
      <c r="K3771" s="86" t="str">
        <f>IF(Sixteenth!K24="", "",Sixteenth!K24)</f>
        <v/>
      </c>
      <c r="M3771" s="67" t="str">
        <f t="shared" si="176"/>
        <v/>
      </c>
      <c r="N3771" s="76" t="str">
        <f t="shared" si="177"/>
        <v/>
      </c>
      <c r="O3771" s="33">
        <f t="shared" si="175"/>
        <v>0</v>
      </c>
    </row>
    <row r="3772" spans="1:15" x14ac:dyDescent="0.25">
      <c r="A3772" s="64" t="s">
        <v>187</v>
      </c>
      <c r="B3772" s="79" t="str">
        <f>IF(Sixteenth!B25="", "",Sixteenth!B25)</f>
        <v/>
      </c>
      <c r="C3772" s="66" t="str">
        <f>IF(Sixteenth!C25="", "",Sixteenth!C25)</f>
        <v/>
      </c>
      <c r="D3772" s="66" t="str">
        <f>IF(Sixteenth!D25="", "",Sixteenth!D25)</f>
        <v/>
      </c>
      <c r="E3772" s="66" t="str">
        <f>IF(Sixteenth!E25="", "",Sixteenth!E25)</f>
        <v/>
      </c>
      <c r="F3772" s="66" t="str">
        <f>IF(Sixteenth!F25="", "",Sixteenth!F25)</f>
        <v/>
      </c>
      <c r="G3772" s="66" t="str">
        <f>IF(Sixteenth!G25="", "",Sixteenth!G25)</f>
        <v/>
      </c>
      <c r="H3772" s="66" t="str">
        <f>IF(Sixteenth!H25="", "",Sixteenth!H25)</f>
        <v/>
      </c>
      <c r="I3772" s="66" t="str">
        <f>IF(Sixteenth!I25="", "",Sixteenth!I25)</f>
        <v/>
      </c>
      <c r="J3772" s="66" t="str">
        <f>IF(Sixteenth!J25="", "",Sixteenth!J25)</f>
        <v/>
      </c>
      <c r="K3772" s="86" t="str">
        <f>IF(Sixteenth!K25="", "",Sixteenth!K25)</f>
        <v/>
      </c>
      <c r="M3772" s="67" t="str">
        <f t="shared" si="176"/>
        <v/>
      </c>
      <c r="N3772" s="76" t="str">
        <f t="shared" si="177"/>
        <v/>
      </c>
      <c r="O3772" s="33">
        <f t="shared" si="175"/>
        <v>0</v>
      </c>
    </row>
    <row r="3773" spans="1:15" x14ac:dyDescent="0.25">
      <c r="A3773" s="64" t="s">
        <v>187</v>
      </c>
      <c r="B3773" s="79" t="str">
        <f>IF(Sixteenth!B26="", "",Sixteenth!B26)</f>
        <v/>
      </c>
      <c r="C3773" s="66" t="str">
        <f>IF(Sixteenth!C26="", "",Sixteenth!C26)</f>
        <v/>
      </c>
      <c r="D3773" s="66" t="str">
        <f>IF(Sixteenth!D26="", "",Sixteenth!D26)</f>
        <v/>
      </c>
      <c r="E3773" s="66" t="str">
        <f>IF(Sixteenth!E26="", "",Sixteenth!E26)</f>
        <v/>
      </c>
      <c r="F3773" s="66" t="str">
        <f>IF(Sixteenth!F26="", "",Sixteenth!F26)</f>
        <v/>
      </c>
      <c r="G3773" s="66" t="str">
        <f>IF(Sixteenth!G26="", "",Sixteenth!G26)</f>
        <v/>
      </c>
      <c r="H3773" s="66" t="str">
        <f>IF(Sixteenth!H26="", "",Sixteenth!H26)</f>
        <v/>
      </c>
      <c r="I3773" s="66" t="str">
        <f>IF(Sixteenth!I26="", "",Sixteenth!I26)</f>
        <v/>
      </c>
      <c r="J3773" s="66" t="str">
        <f>IF(Sixteenth!J26="", "",Sixteenth!J26)</f>
        <v/>
      </c>
      <c r="K3773" s="86" t="str">
        <f>IF(Sixteenth!K26="", "",Sixteenth!K26)</f>
        <v/>
      </c>
      <c r="M3773" s="67" t="str">
        <f t="shared" si="176"/>
        <v/>
      </c>
      <c r="N3773" s="76" t="str">
        <f t="shared" si="177"/>
        <v/>
      </c>
      <c r="O3773" s="33">
        <f t="shared" si="175"/>
        <v>0</v>
      </c>
    </row>
    <row r="3774" spans="1:15" x14ac:dyDescent="0.25">
      <c r="A3774" s="64" t="s">
        <v>187</v>
      </c>
      <c r="B3774" s="79" t="str">
        <f>IF(Sixteenth!B27="", "",Sixteenth!B27)</f>
        <v/>
      </c>
      <c r="C3774" s="66" t="str">
        <f>IF(Sixteenth!C27="", "",Sixteenth!C27)</f>
        <v/>
      </c>
      <c r="D3774" s="66" t="str">
        <f>IF(Sixteenth!D27="", "",Sixteenth!D27)</f>
        <v/>
      </c>
      <c r="E3774" s="66" t="str">
        <f>IF(Sixteenth!E27="", "",Sixteenth!E27)</f>
        <v/>
      </c>
      <c r="F3774" s="66" t="str">
        <f>IF(Sixteenth!F27="", "",Sixteenth!F27)</f>
        <v/>
      </c>
      <c r="G3774" s="66" t="str">
        <f>IF(Sixteenth!G27="", "",Sixteenth!G27)</f>
        <v/>
      </c>
      <c r="H3774" s="66" t="str">
        <f>IF(Sixteenth!H27="", "",Sixteenth!H27)</f>
        <v/>
      </c>
      <c r="I3774" s="66" t="str">
        <f>IF(Sixteenth!I27="", "",Sixteenth!I27)</f>
        <v/>
      </c>
      <c r="J3774" s="66" t="str">
        <f>IF(Sixteenth!J27="", "",Sixteenth!J27)</f>
        <v/>
      </c>
      <c r="K3774" s="86" t="str">
        <f>IF(Sixteenth!K27="", "",Sixteenth!K27)</f>
        <v/>
      </c>
      <c r="M3774" s="67" t="str">
        <f t="shared" si="176"/>
        <v/>
      </c>
      <c r="N3774" s="76" t="str">
        <f t="shared" si="177"/>
        <v/>
      </c>
      <c r="O3774" s="33">
        <f t="shared" si="175"/>
        <v>0</v>
      </c>
    </row>
    <row r="3775" spans="1:15" x14ac:dyDescent="0.25">
      <c r="A3775" s="64" t="s">
        <v>187</v>
      </c>
      <c r="B3775" s="79" t="str">
        <f>IF(Sixteenth!B28="", "",Sixteenth!B28)</f>
        <v/>
      </c>
      <c r="C3775" s="66" t="str">
        <f>IF(Sixteenth!C28="", "",Sixteenth!C28)</f>
        <v/>
      </c>
      <c r="D3775" s="66" t="str">
        <f>IF(Sixteenth!D28="", "",Sixteenth!D28)</f>
        <v/>
      </c>
      <c r="E3775" s="66" t="str">
        <f>IF(Sixteenth!E28="", "",Sixteenth!E28)</f>
        <v/>
      </c>
      <c r="F3775" s="66" t="str">
        <f>IF(Sixteenth!F28="", "",Sixteenth!F28)</f>
        <v/>
      </c>
      <c r="G3775" s="66" t="str">
        <f>IF(Sixteenth!G28="", "",Sixteenth!G28)</f>
        <v/>
      </c>
      <c r="H3775" s="66" t="str">
        <f>IF(Sixteenth!H28="", "",Sixteenth!H28)</f>
        <v/>
      </c>
      <c r="I3775" s="66" t="str">
        <f>IF(Sixteenth!I28="", "",Sixteenth!I28)</f>
        <v/>
      </c>
      <c r="J3775" s="66" t="str">
        <f>IF(Sixteenth!J28="", "",Sixteenth!J28)</f>
        <v/>
      </c>
      <c r="K3775" s="86" t="str">
        <f>IF(Sixteenth!K28="", "",Sixteenth!K28)</f>
        <v/>
      </c>
      <c r="M3775" s="67" t="str">
        <f t="shared" si="176"/>
        <v/>
      </c>
      <c r="N3775" s="76" t="str">
        <f t="shared" si="177"/>
        <v/>
      </c>
      <c r="O3775" s="33">
        <f t="shared" si="175"/>
        <v>0</v>
      </c>
    </row>
    <row r="3776" spans="1:15" x14ac:dyDescent="0.25">
      <c r="A3776" s="64" t="s">
        <v>187</v>
      </c>
      <c r="B3776" s="79" t="str">
        <f>IF(Sixteenth!B29="", "",Sixteenth!B29)</f>
        <v/>
      </c>
      <c r="C3776" s="66" t="str">
        <f>IF(Sixteenth!C29="", "",Sixteenth!C29)</f>
        <v/>
      </c>
      <c r="D3776" s="66" t="str">
        <f>IF(Sixteenth!D29="", "",Sixteenth!D29)</f>
        <v/>
      </c>
      <c r="E3776" s="66" t="str">
        <f>IF(Sixteenth!E29="", "",Sixteenth!E29)</f>
        <v/>
      </c>
      <c r="F3776" s="66" t="str">
        <f>IF(Sixteenth!F29="", "",Sixteenth!F29)</f>
        <v/>
      </c>
      <c r="G3776" s="66" t="str">
        <f>IF(Sixteenth!G29="", "",Sixteenth!G29)</f>
        <v/>
      </c>
      <c r="H3776" s="66" t="str">
        <f>IF(Sixteenth!H29="", "",Sixteenth!H29)</f>
        <v/>
      </c>
      <c r="I3776" s="66" t="str">
        <f>IF(Sixteenth!I29="", "",Sixteenth!I29)</f>
        <v/>
      </c>
      <c r="J3776" s="66" t="str">
        <f>IF(Sixteenth!J29="", "",Sixteenth!J29)</f>
        <v/>
      </c>
      <c r="K3776" s="86" t="str">
        <f>IF(Sixteenth!K29="", "",Sixteenth!K29)</f>
        <v/>
      </c>
      <c r="M3776" s="67" t="str">
        <f t="shared" si="176"/>
        <v/>
      </c>
      <c r="N3776" s="76" t="str">
        <f t="shared" si="177"/>
        <v/>
      </c>
      <c r="O3776" s="33">
        <f t="shared" si="175"/>
        <v>0</v>
      </c>
    </row>
    <row r="3777" spans="1:15" x14ac:dyDescent="0.25">
      <c r="A3777" s="64" t="s">
        <v>187</v>
      </c>
      <c r="B3777" s="79" t="str">
        <f>IF(Sixteenth!B30="", "",Sixteenth!B30)</f>
        <v/>
      </c>
      <c r="C3777" s="66" t="str">
        <f>IF(Sixteenth!C30="", "",Sixteenth!C30)</f>
        <v/>
      </c>
      <c r="D3777" s="66" t="str">
        <f>IF(Sixteenth!D30="", "",Sixteenth!D30)</f>
        <v/>
      </c>
      <c r="E3777" s="66" t="str">
        <f>IF(Sixteenth!E30="", "",Sixteenth!E30)</f>
        <v/>
      </c>
      <c r="F3777" s="66" t="str">
        <f>IF(Sixteenth!F30="", "",Sixteenth!F30)</f>
        <v/>
      </c>
      <c r="G3777" s="66" t="str">
        <f>IF(Sixteenth!G30="", "",Sixteenth!G30)</f>
        <v/>
      </c>
      <c r="H3777" s="66" t="str">
        <f>IF(Sixteenth!H30="", "",Sixteenth!H30)</f>
        <v/>
      </c>
      <c r="I3777" s="66" t="str">
        <f>IF(Sixteenth!I30="", "",Sixteenth!I30)</f>
        <v/>
      </c>
      <c r="J3777" s="66" t="str">
        <f>IF(Sixteenth!J30="", "",Sixteenth!J30)</f>
        <v/>
      </c>
      <c r="K3777" s="86" t="str">
        <f>IF(Sixteenth!K30="", "",Sixteenth!K30)</f>
        <v/>
      </c>
      <c r="M3777" s="67" t="str">
        <f t="shared" si="176"/>
        <v/>
      </c>
      <c r="N3777" s="76" t="str">
        <f t="shared" si="177"/>
        <v/>
      </c>
      <c r="O3777" s="33">
        <f t="shared" si="175"/>
        <v>0</v>
      </c>
    </row>
    <row r="3778" spans="1:15" x14ac:dyDescent="0.25">
      <c r="A3778" s="64" t="s">
        <v>187</v>
      </c>
      <c r="B3778" s="79" t="str">
        <f>IF(Sixteenth!B31="", "",Sixteenth!B31)</f>
        <v/>
      </c>
      <c r="C3778" s="66" t="str">
        <f>IF(Sixteenth!C31="", "",Sixteenth!C31)</f>
        <v/>
      </c>
      <c r="D3778" s="66" t="str">
        <f>IF(Sixteenth!D31="", "",Sixteenth!D31)</f>
        <v/>
      </c>
      <c r="E3778" s="66" t="str">
        <f>IF(Sixteenth!E31="", "",Sixteenth!E31)</f>
        <v/>
      </c>
      <c r="F3778" s="66" t="str">
        <f>IF(Sixteenth!F31="", "",Sixteenth!F31)</f>
        <v/>
      </c>
      <c r="G3778" s="66" t="str">
        <f>IF(Sixteenth!G31="", "",Sixteenth!G31)</f>
        <v/>
      </c>
      <c r="H3778" s="66" t="str">
        <f>IF(Sixteenth!H31="", "",Sixteenth!H31)</f>
        <v/>
      </c>
      <c r="I3778" s="66" t="str">
        <f>IF(Sixteenth!I31="", "",Sixteenth!I31)</f>
        <v/>
      </c>
      <c r="J3778" s="66" t="str">
        <f>IF(Sixteenth!J31="", "",Sixteenth!J31)</f>
        <v/>
      </c>
      <c r="K3778" s="86" t="str">
        <f>IF(Sixteenth!K31="", "",Sixteenth!K31)</f>
        <v/>
      </c>
      <c r="M3778" s="67" t="str">
        <f t="shared" si="176"/>
        <v/>
      </c>
      <c r="N3778" s="76" t="str">
        <f t="shared" si="177"/>
        <v/>
      </c>
      <c r="O3778" s="33">
        <f t="shared" ref="O3778:O3841" si="178">SUM(M3778:N3778)</f>
        <v>0</v>
      </c>
    </row>
    <row r="3779" spans="1:15" x14ac:dyDescent="0.25">
      <c r="A3779" s="64" t="s">
        <v>187</v>
      </c>
      <c r="B3779" s="79" t="str">
        <f>IF(Sixteenth!B32="", "",Sixteenth!B32)</f>
        <v/>
      </c>
      <c r="C3779" s="66" t="str">
        <f>IF(Sixteenth!C32="", "",Sixteenth!C32)</f>
        <v/>
      </c>
      <c r="D3779" s="66" t="str">
        <f>IF(Sixteenth!D32="", "",Sixteenth!D32)</f>
        <v/>
      </c>
      <c r="E3779" s="66" t="str">
        <f>IF(Sixteenth!E32="", "",Sixteenth!E32)</f>
        <v/>
      </c>
      <c r="F3779" s="66" t="str">
        <f>IF(Sixteenth!F32="", "",Sixteenth!F32)</f>
        <v/>
      </c>
      <c r="G3779" s="66" t="str">
        <f>IF(Sixteenth!G32="", "",Sixteenth!G32)</f>
        <v/>
      </c>
      <c r="H3779" s="66" t="str">
        <f>IF(Sixteenth!H32="", "",Sixteenth!H32)</f>
        <v/>
      </c>
      <c r="I3779" s="66" t="str">
        <f>IF(Sixteenth!I32="", "",Sixteenth!I32)</f>
        <v/>
      </c>
      <c r="J3779" s="66" t="str">
        <f>IF(Sixteenth!J32="", "",Sixteenth!J32)</f>
        <v/>
      </c>
      <c r="K3779" s="86" t="str">
        <f>IF(Sixteenth!K32="", "",Sixteenth!K32)</f>
        <v/>
      </c>
      <c r="M3779" s="67" t="str">
        <f t="shared" ref="M3779:M3842" si="179">IF(C3779="PwC",(7-COUNTIF(B3779:H3779,"")),"")</f>
        <v/>
      </c>
      <c r="N3779" s="76" t="str">
        <f t="shared" ref="N3779:N3842" si="180">IF(C3779="Carer",(7-COUNTIF(B3779:H3779,"")),"")</f>
        <v/>
      </c>
      <c r="O3779" s="33">
        <f t="shared" si="178"/>
        <v>0</v>
      </c>
    </row>
    <row r="3780" spans="1:15" x14ac:dyDescent="0.25">
      <c r="A3780" s="64" t="s">
        <v>187</v>
      </c>
      <c r="B3780" s="79" t="str">
        <f>IF(Sixteenth!B33="", "",Sixteenth!B33)</f>
        <v/>
      </c>
      <c r="C3780" s="66" t="str">
        <f>IF(Sixteenth!C33="", "",Sixteenth!C33)</f>
        <v/>
      </c>
      <c r="D3780" s="66" t="str">
        <f>IF(Sixteenth!D33="", "",Sixteenth!D33)</f>
        <v/>
      </c>
      <c r="E3780" s="66" t="str">
        <f>IF(Sixteenth!E33="", "",Sixteenth!E33)</f>
        <v/>
      </c>
      <c r="F3780" s="66" t="str">
        <f>IF(Sixteenth!F33="", "",Sixteenth!F33)</f>
        <v/>
      </c>
      <c r="G3780" s="66" t="str">
        <f>IF(Sixteenth!G33="", "",Sixteenth!G33)</f>
        <v/>
      </c>
      <c r="H3780" s="66" t="str">
        <f>IF(Sixteenth!H33="", "",Sixteenth!H33)</f>
        <v/>
      </c>
      <c r="I3780" s="66" t="str">
        <f>IF(Sixteenth!I33="", "",Sixteenth!I33)</f>
        <v/>
      </c>
      <c r="J3780" s="66" t="str">
        <f>IF(Sixteenth!J33="", "",Sixteenth!J33)</f>
        <v/>
      </c>
      <c r="K3780" s="86" t="str">
        <f>IF(Sixteenth!K33="", "",Sixteenth!K33)</f>
        <v/>
      </c>
      <c r="M3780" s="67" t="str">
        <f t="shared" si="179"/>
        <v/>
      </c>
      <c r="N3780" s="76" t="str">
        <f t="shared" si="180"/>
        <v/>
      </c>
      <c r="O3780" s="33">
        <f t="shared" si="178"/>
        <v>0</v>
      </c>
    </row>
    <row r="3781" spans="1:15" x14ac:dyDescent="0.25">
      <c r="A3781" s="64" t="s">
        <v>187</v>
      </c>
      <c r="B3781" s="79" t="str">
        <f>IF(Sixteenth!B34="", "",Sixteenth!B34)</f>
        <v/>
      </c>
      <c r="C3781" s="66" t="str">
        <f>IF(Sixteenth!C34="", "",Sixteenth!C34)</f>
        <v/>
      </c>
      <c r="D3781" s="66" t="str">
        <f>IF(Sixteenth!D34="", "",Sixteenth!D34)</f>
        <v/>
      </c>
      <c r="E3781" s="66" t="str">
        <f>IF(Sixteenth!E34="", "",Sixteenth!E34)</f>
        <v/>
      </c>
      <c r="F3781" s="66" t="str">
        <f>IF(Sixteenth!F34="", "",Sixteenth!F34)</f>
        <v/>
      </c>
      <c r="G3781" s="66" t="str">
        <f>IF(Sixteenth!G34="", "",Sixteenth!G34)</f>
        <v/>
      </c>
      <c r="H3781" s="66" t="str">
        <f>IF(Sixteenth!H34="", "",Sixteenth!H34)</f>
        <v/>
      </c>
      <c r="I3781" s="66" t="str">
        <f>IF(Sixteenth!I34="", "",Sixteenth!I34)</f>
        <v/>
      </c>
      <c r="J3781" s="66" t="str">
        <f>IF(Sixteenth!J34="", "",Sixteenth!J34)</f>
        <v/>
      </c>
      <c r="K3781" s="86" t="str">
        <f>IF(Sixteenth!K34="", "",Sixteenth!K34)</f>
        <v/>
      </c>
      <c r="M3781" s="67" t="str">
        <f t="shared" si="179"/>
        <v/>
      </c>
      <c r="N3781" s="76" t="str">
        <f t="shared" si="180"/>
        <v/>
      </c>
      <c r="O3781" s="33">
        <f t="shared" si="178"/>
        <v>0</v>
      </c>
    </row>
    <row r="3782" spans="1:15" x14ac:dyDescent="0.25">
      <c r="A3782" s="64" t="s">
        <v>187</v>
      </c>
      <c r="B3782" s="79" t="str">
        <f>IF(Sixteenth!B35="", "",Sixteenth!B35)</f>
        <v/>
      </c>
      <c r="C3782" s="66" t="str">
        <f>IF(Sixteenth!C35="", "",Sixteenth!C35)</f>
        <v/>
      </c>
      <c r="D3782" s="66" t="str">
        <f>IF(Sixteenth!D35="", "",Sixteenth!D35)</f>
        <v/>
      </c>
      <c r="E3782" s="66" t="str">
        <f>IF(Sixteenth!E35="", "",Sixteenth!E35)</f>
        <v/>
      </c>
      <c r="F3782" s="66" t="str">
        <f>IF(Sixteenth!F35="", "",Sixteenth!F35)</f>
        <v/>
      </c>
      <c r="G3782" s="66" t="str">
        <f>IF(Sixteenth!G35="", "",Sixteenth!G35)</f>
        <v/>
      </c>
      <c r="H3782" s="66" t="str">
        <f>IF(Sixteenth!H35="", "",Sixteenth!H35)</f>
        <v/>
      </c>
      <c r="I3782" s="66" t="str">
        <f>IF(Sixteenth!I35="", "",Sixteenth!I35)</f>
        <v/>
      </c>
      <c r="J3782" s="66" t="str">
        <f>IF(Sixteenth!J35="", "",Sixteenth!J35)</f>
        <v/>
      </c>
      <c r="K3782" s="86" t="str">
        <f>IF(Sixteenth!K35="", "",Sixteenth!K35)</f>
        <v/>
      </c>
      <c r="M3782" s="67" t="str">
        <f t="shared" si="179"/>
        <v/>
      </c>
      <c r="N3782" s="76" t="str">
        <f t="shared" si="180"/>
        <v/>
      </c>
      <c r="O3782" s="33">
        <f t="shared" si="178"/>
        <v>0</v>
      </c>
    </row>
    <row r="3783" spans="1:15" x14ac:dyDescent="0.25">
      <c r="A3783" s="64" t="s">
        <v>187</v>
      </c>
      <c r="B3783" s="79" t="str">
        <f>IF(Sixteenth!B36="", "",Sixteenth!B36)</f>
        <v/>
      </c>
      <c r="C3783" s="66" t="str">
        <f>IF(Sixteenth!C36="", "",Sixteenth!C36)</f>
        <v/>
      </c>
      <c r="D3783" s="66" t="str">
        <f>IF(Sixteenth!D36="", "",Sixteenth!D36)</f>
        <v/>
      </c>
      <c r="E3783" s="66" t="str">
        <f>IF(Sixteenth!E36="", "",Sixteenth!E36)</f>
        <v/>
      </c>
      <c r="F3783" s="66" t="str">
        <f>IF(Sixteenth!F36="", "",Sixteenth!F36)</f>
        <v/>
      </c>
      <c r="G3783" s="66" t="str">
        <f>IF(Sixteenth!G36="", "",Sixteenth!G36)</f>
        <v/>
      </c>
      <c r="H3783" s="66" t="str">
        <f>IF(Sixteenth!H36="", "",Sixteenth!H36)</f>
        <v/>
      </c>
      <c r="I3783" s="66" t="str">
        <f>IF(Sixteenth!I36="", "",Sixteenth!I36)</f>
        <v/>
      </c>
      <c r="J3783" s="66" t="str">
        <f>IF(Sixteenth!J36="", "",Sixteenth!J36)</f>
        <v/>
      </c>
      <c r="K3783" s="86" t="str">
        <f>IF(Sixteenth!K36="", "",Sixteenth!K36)</f>
        <v/>
      </c>
      <c r="M3783" s="67" t="str">
        <f t="shared" si="179"/>
        <v/>
      </c>
      <c r="N3783" s="76" t="str">
        <f t="shared" si="180"/>
        <v/>
      </c>
      <c r="O3783" s="33">
        <f t="shared" si="178"/>
        <v>0</v>
      </c>
    </row>
    <row r="3784" spans="1:15" x14ac:dyDescent="0.25">
      <c r="A3784" s="64" t="s">
        <v>187</v>
      </c>
      <c r="B3784" s="79" t="str">
        <f>IF(Sixteenth!B37="", "",Sixteenth!B37)</f>
        <v/>
      </c>
      <c r="C3784" s="66" t="str">
        <f>IF(Sixteenth!C37="", "",Sixteenth!C37)</f>
        <v/>
      </c>
      <c r="D3784" s="66" t="str">
        <f>IF(Sixteenth!D37="", "",Sixteenth!D37)</f>
        <v/>
      </c>
      <c r="E3784" s="66" t="str">
        <f>IF(Sixteenth!E37="", "",Sixteenth!E37)</f>
        <v/>
      </c>
      <c r="F3784" s="66" t="str">
        <f>IF(Sixteenth!F37="", "",Sixteenth!F37)</f>
        <v/>
      </c>
      <c r="G3784" s="66" t="str">
        <f>IF(Sixteenth!G37="", "",Sixteenth!G37)</f>
        <v/>
      </c>
      <c r="H3784" s="66" t="str">
        <f>IF(Sixteenth!H37="", "",Sixteenth!H37)</f>
        <v/>
      </c>
      <c r="I3784" s="66" t="str">
        <f>IF(Sixteenth!I37="", "",Sixteenth!I37)</f>
        <v/>
      </c>
      <c r="J3784" s="66" t="str">
        <f>IF(Sixteenth!J37="", "",Sixteenth!J37)</f>
        <v/>
      </c>
      <c r="K3784" s="86" t="str">
        <f>IF(Sixteenth!K37="", "",Sixteenth!K37)</f>
        <v/>
      </c>
      <c r="M3784" s="67" t="str">
        <f t="shared" si="179"/>
        <v/>
      </c>
      <c r="N3784" s="76" t="str">
        <f t="shared" si="180"/>
        <v/>
      </c>
      <c r="O3784" s="33">
        <f t="shared" si="178"/>
        <v>0</v>
      </c>
    </row>
    <row r="3785" spans="1:15" x14ac:dyDescent="0.25">
      <c r="A3785" s="64" t="s">
        <v>187</v>
      </c>
      <c r="B3785" s="79" t="str">
        <f>IF(Sixteenth!B38="", "",Sixteenth!B38)</f>
        <v/>
      </c>
      <c r="C3785" s="66" t="str">
        <f>IF(Sixteenth!C38="", "",Sixteenth!C38)</f>
        <v/>
      </c>
      <c r="D3785" s="66" t="str">
        <f>IF(Sixteenth!D38="", "",Sixteenth!D38)</f>
        <v/>
      </c>
      <c r="E3785" s="66" t="str">
        <f>IF(Sixteenth!E38="", "",Sixteenth!E38)</f>
        <v/>
      </c>
      <c r="F3785" s="66" t="str">
        <f>IF(Sixteenth!F38="", "",Sixteenth!F38)</f>
        <v/>
      </c>
      <c r="G3785" s="66" t="str">
        <f>IF(Sixteenth!G38="", "",Sixteenth!G38)</f>
        <v/>
      </c>
      <c r="H3785" s="66" t="str">
        <f>IF(Sixteenth!H38="", "",Sixteenth!H38)</f>
        <v/>
      </c>
      <c r="I3785" s="66" t="str">
        <f>IF(Sixteenth!I38="", "",Sixteenth!I38)</f>
        <v/>
      </c>
      <c r="J3785" s="66" t="str">
        <f>IF(Sixteenth!J38="", "",Sixteenth!J38)</f>
        <v/>
      </c>
      <c r="K3785" s="86" t="str">
        <f>IF(Sixteenth!K38="", "",Sixteenth!K38)</f>
        <v/>
      </c>
      <c r="M3785" s="67" t="str">
        <f t="shared" si="179"/>
        <v/>
      </c>
      <c r="N3785" s="76" t="str">
        <f t="shared" si="180"/>
        <v/>
      </c>
      <c r="O3785" s="33">
        <f t="shared" si="178"/>
        <v>0</v>
      </c>
    </row>
    <row r="3786" spans="1:15" x14ac:dyDescent="0.25">
      <c r="A3786" s="64" t="s">
        <v>187</v>
      </c>
      <c r="B3786" s="79" t="str">
        <f>IF(Sixteenth!B39="", "",Sixteenth!B39)</f>
        <v/>
      </c>
      <c r="C3786" s="66" t="str">
        <f>IF(Sixteenth!C39="", "",Sixteenth!C39)</f>
        <v/>
      </c>
      <c r="D3786" s="66" t="str">
        <f>IF(Sixteenth!D39="", "",Sixteenth!D39)</f>
        <v/>
      </c>
      <c r="E3786" s="66" t="str">
        <f>IF(Sixteenth!E39="", "",Sixteenth!E39)</f>
        <v/>
      </c>
      <c r="F3786" s="66" t="str">
        <f>IF(Sixteenth!F39="", "",Sixteenth!F39)</f>
        <v/>
      </c>
      <c r="G3786" s="66" t="str">
        <f>IF(Sixteenth!G39="", "",Sixteenth!G39)</f>
        <v/>
      </c>
      <c r="H3786" s="66" t="str">
        <f>IF(Sixteenth!H39="", "",Sixteenth!H39)</f>
        <v/>
      </c>
      <c r="I3786" s="66" t="str">
        <f>IF(Sixteenth!I39="", "",Sixteenth!I39)</f>
        <v/>
      </c>
      <c r="J3786" s="66" t="str">
        <f>IF(Sixteenth!J39="", "",Sixteenth!J39)</f>
        <v/>
      </c>
      <c r="K3786" s="86" t="str">
        <f>IF(Sixteenth!K39="", "",Sixteenth!K39)</f>
        <v/>
      </c>
      <c r="M3786" s="67" t="str">
        <f t="shared" si="179"/>
        <v/>
      </c>
      <c r="N3786" s="76" t="str">
        <f t="shared" si="180"/>
        <v/>
      </c>
      <c r="O3786" s="33">
        <f t="shared" si="178"/>
        <v>0</v>
      </c>
    </row>
    <row r="3787" spans="1:15" x14ac:dyDescent="0.25">
      <c r="A3787" s="64" t="s">
        <v>187</v>
      </c>
      <c r="B3787" s="79" t="str">
        <f>IF(Sixteenth!B40="", "",Sixteenth!B40)</f>
        <v/>
      </c>
      <c r="C3787" s="66" t="str">
        <f>IF(Sixteenth!C40="", "",Sixteenth!C40)</f>
        <v/>
      </c>
      <c r="D3787" s="66" t="str">
        <f>IF(Sixteenth!D40="", "",Sixteenth!D40)</f>
        <v/>
      </c>
      <c r="E3787" s="66" t="str">
        <f>IF(Sixteenth!E40="", "",Sixteenth!E40)</f>
        <v/>
      </c>
      <c r="F3787" s="66" t="str">
        <f>IF(Sixteenth!F40="", "",Sixteenth!F40)</f>
        <v/>
      </c>
      <c r="G3787" s="66" t="str">
        <f>IF(Sixteenth!G40="", "",Sixteenth!G40)</f>
        <v/>
      </c>
      <c r="H3787" s="66" t="str">
        <f>IF(Sixteenth!H40="", "",Sixteenth!H40)</f>
        <v/>
      </c>
      <c r="I3787" s="66" t="str">
        <f>IF(Sixteenth!I40="", "",Sixteenth!I40)</f>
        <v/>
      </c>
      <c r="J3787" s="66" t="str">
        <f>IF(Sixteenth!J40="", "",Sixteenth!J40)</f>
        <v/>
      </c>
      <c r="K3787" s="86" t="str">
        <f>IF(Sixteenth!K40="", "",Sixteenth!K40)</f>
        <v/>
      </c>
      <c r="M3787" s="67" t="str">
        <f t="shared" si="179"/>
        <v/>
      </c>
      <c r="N3787" s="76" t="str">
        <f t="shared" si="180"/>
        <v/>
      </c>
      <c r="O3787" s="33">
        <f t="shared" si="178"/>
        <v>0</v>
      </c>
    </row>
    <row r="3788" spans="1:15" x14ac:dyDescent="0.25">
      <c r="A3788" s="64" t="s">
        <v>187</v>
      </c>
      <c r="B3788" s="79" t="str">
        <f>IF(Sixteenth!B41="", "",Sixteenth!B41)</f>
        <v/>
      </c>
      <c r="C3788" s="66" t="str">
        <f>IF(Sixteenth!C41="", "",Sixteenth!C41)</f>
        <v/>
      </c>
      <c r="D3788" s="66" t="str">
        <f>IF(Sixteenth!D41="", "",Sixteenth!D41)</f>
        <v/>
      </c>
      <c r="E3788" s="66" t="str">
        <f>IF(Sixteenth!E41="", "",Sixteenth!E41)</f>
        <v/>
      </c>
      <c r="F3788" s="66" t="str">
        <f>IF(Sixteenth!F41="", "",Sixteenth!F41)</f>
        <v/>
      </c>
      <c r="G3788" s="66" t="str">
        <f>IF(Sixteenth!G41="", "",Sixteenth!G41)</f>
        <v/>
      </c>
      <c r="H3788" s="66" t="str">
        <f>IF(Sixteenth!H41="", "",Sixteenth!H41)</f>
        <v/>
      </c>
      <c r="I3788" s="66" t="str">
        <f>IF(Sixteenth!I41="", "",Sixteenth!I41)</f>
        <v/>
      </c>
      <c r="J3788" s="66" t="str">
        <f>IF(Sixteenth!J41="", "",Sixteenth!J41)</f>
        <v/>
      </c>
      <c r="K3788" s="86" t="str">
        <f>IF(Sixteenth!K41="", "",Sixteenth!K41)</f>
        <v/>
      </c>
      <c r="M3788" s="67" t="str">
        <f t="shared" si="179"/>
        <v/>
      </c>
      <c r="N3788" s="76" t="str">
        <f t="shared" si="180"/>
        <v/>
      </c>
      <c r="O3788" s="33">
        <f t="shared" si="178"/>
        <v>0</v>
      </c>
    </row>
    <row r="3789" spans="1:15" x14ac:dyDescent="0.25">
      <c r="A3789" s="64" t="s">
        <v>187</v>
      </c>
      <c r="B3789" s="79" t="str">
        <f>IF(Sixteenth!B42="", "",Sixteenth!B42)</f>
        <v/>
      </c>
      <c r="C3789" s="66" t="str">
        <f>IF(Sixteenth!C42="", "",Sixteenth!C42)</f>
        <v/>
      </c>
      <c r="D3789" s="66" t="str">
        <f>IF(Sixteenth!D42="", "",Sixteenth!D42)</f>
        <v/>
      </c>
      <c r="E3789" s="66" t="str">
        <f>IF(Sixteenth!E42="", "",Sixteenth!E42)</f>
        <v/>
      </c>
      <c r="F3789" s="66" t="str">
        <f>IF(Sixteenth!F42="", "",Sixteenth!F42)</f>
        <v/>
      </c>
      <c r="G3789" s="66" t="str">
        <f>IF(Sixteenth!G42="", "",Sixteenth!G42)</f>
        <v/>
      </c>
      <c r="H3789" s="66" t="str">
        <f>IF(Sixteenth!H42="", "",Sixteenth!H42)</f>
        <v/>
      </c>
      <c r="I3789" s="66" t="str">
        <f>IF(Sixteenth!I42="", "",Sixteenth!I42)</f>
        <v/>
      </c>
      <c r="J3789" s="66" t="str">
        <f>IF(Sixteenth!J42="", "",Sixteenth!J42)</f>
        <v/>
      </c>
      <c r="K3789" s="86" t="str">
        <f>IF(Sixteenth!K42="", "",Sixteenth!K42)</f>
        <v/>
      </c>
      <c r="M3789" s="67" t="str">
        <f t="shared" si="179"/>
        <v/>
      </c>
      <c r="N3789" s="76" t="str">
        <f t="shared" si="180"/>
        <v/>
      </c>
      <c r="O3789" s="33">
        <f t="shared" si="178"/>
        <v>0</v>
      </c>
    </row>
    <row r="3790" spans="1:15" x14ac:dyDescent="0.25">
      <c r="A3790" s="64" t="s">
        <v>187</v>
      </c>
      <c r="B3790" s="79" t="str">
        <f>IF(Sixteenth!B43="", "",Sixteenth!B43)</f>
        <v/>
      </c>
      <c r="C3790" s="66" t="str">
        <f>IF(Sixteenth!C43="", "",Sixteenth!C43)</f>
        <v/>
      </c>
      <c r="D3790" s="66" t="str">
        <f>IF(Sixteenth!D43="", "",Sixteenth!D43)</f>
        <v/>
      </c>
      <c r="E3790" s="66" t="str">
        <f>IF(Sixteenth!E43="", "",Sixteenth!E43)</f>
        <v/>
      </c>
      <c r="F3790" s="66" t="str">
        <f>IF(Sixteenth!F43="", "",Sixteenth!F43)</f>
        <v/>
      </c>
      <c r="G3790" s="66" t="str">
        <f>IF(Sixteenth!G43="", "",Sixteenth!G43)</f>
        <v/>
      </c>
      <c r="H3790" s="66" t="str">
        <f>IF(Sixteenth!H43="", "",Sixteenth!H43)</f>
        <v/>
      </c>
      <c r="I3790" s="66" t="str">
        <f>IF(Sixteenth!I43="", "",Sixteenth!I43)</f>
        <v/>
      </c>
      <c r="J3790" s="66" t="str">
        <f>IF(Sixteenth!J43="", "",Sixteenth!J43)</f>
        <v/>
      </c>
      <c r="K3790" s="86" t="str">
        <f>IF(Sixteenth!K43="", "",Sixteenth!K43)</f>
        <v/>
      </c>
      <c r="M3790" s="67" t="str">
        <f t="shared" si="179"/>
        <v/>
      </c>
      <c r="N3790" s="76" t="str">
        <f t="shared" si="180"/>
        <v/>
      </c>
      <c r="O3790" s="33">
        <f t="shared" si="178"/>
        <v>0</v>
      </c>
    </row>
    <row r="3791" spans="1:15" x14ac:dyDescent="0.25">
      <c r="A3791" s="64" t="s">
        <v>187</v>
      </c>
      <c r="B3791" s="79" t="str">
        <f>IF(Sixteenth!B44="", "",Sixteenth!B44)</f>
        <v/>
      </c>
      <c r="C3791" s="66" t="str">
        <f>IF(Sixteenth!C44="", "",Sixteenth!C44)</f>
        <v/>
      </c>
      <c r="D3791" s="66" t="str">
        <f>IF(Sixteenth!D44="", "",Sixteenth!D44)</f>
        <v/>
      </c>
      <c r="E3791" s="66" t="str">
        <f>IF(Sixteenth!E44="", "",Sixteenth!E44)</f>
        <v/>
      </c>
      <c r="F3791" s="66" t="str">
        <f>IF(Sixteenth!F44="", "",Sixteenth!F44)</f>
        <v/>
      </c>
      <c r="G3791" s="66" t="str">
        <f>IF(Sixteenth!G44="", "",Sixteenth!G44)</f>
        <v/>
      </c>
      <c r="H3791" s="66" t="str">
        <f>IF(Sixteenth!H44="", "",Sixteenth!H44)</f>
        <v/>
      </c>
      <c r="I3791" s="66" t="str">
        <f>IF(Sixteenth!I44="", "",Sixteenth!I44)</f>
        <v/>
      </c>
      <c r="J3791" s="66" t="str">
        <f>IF(Sixteenth!J44="", "",Sixteenth!J44)</f>
        <v/>
      </c>
      <c r="K3791" s="86" t="str">
        <f>IF(Sixteenth!K44="", "",Sixteenth!K44)</f>
        <v/>
      </c>
      <c r="M3791" s="67" t="str">
        <f t="shared" si="179"/>
        <v/>
      </c>
      <c r="N3791" s="76" t="str">
        <f t="shared" si="180"/>
        <v/>
      </c>
      <c r="O3791" s="33">
        <f t="shared" si="178"/>
        <v>0</v>
      </c>
    </row>
    <row r="3792" spans="1:15" x14ac:dyDescent="0.25">
      <c r="A3792" s="64" t="s">
        <v>187</v>
      </c>
      <c r="B3792" s="79" t="str">
        <f>IF(Sixteenth!B45="", "",Sixteenth!B45)</f>
        <v/>
      </c>
      <c r="C3792" s="66" t="str">
        <f>IF(Sixteenth!C45="", "",Sixteenth!C45)</f>
        <v/>
      </c>
      <c r="D3792" s="66" t="str">
        <f>IF(Sixteenth!D45="", "",Sixteenth!D45)</f>
        <v/>
      </c>
      <c r="E3792" s="66" t="str">
        <f>IF(Sixteenth!E45="", "",Sixteenth!E45)</f>
        <v/>
      </c>
      <c r="F3792" s="66" t="str">
        <f>IF(Sixteenth!F45="", "",Sixteenth!F45)</f>
        <v/>
      </c>
      <c r="G3792" s="66" t="str">
        <f>IF(Sixteenth!G45="", "",Sixteenth!G45)</f>
        <v/>
      </c>
      <c r="H3792" s="66" t="str">
        <f>IF(Sixteenth!H45="", "",Sixteenth!H45)</f>
        <v/>
      </c>
      <c r="I3792" s="66" t="str">
        <f>IF(Sixteenth!I45="", "",Sixteenth!I45)</f>
        <v/>
      </c>
      <c r="J3792" s="66" t="str">
        <f>IF(Sixteenth!J45="", "",Sixteenth!J45)</f>
        <v/>
      </c>
      <c r="K3792" s="86" t="str">
        <f>IF(Sixteenth!K45="", "",Sixteenth!K45)</f>
        <v/>
      </c>
      <c r="M3792" s="67" t="str">
        <f t="shared" si="179"/>
        <v/>
      </c>
      <c r="N3792" s="76" t="str">
        <f t="shared" si="180"/>
        <v/>
      </c>
      <c r="O3792" s="33">
        <f t="shared" si="178"/>
        <v>0</v>
      </c>
    </row>
    <row r="3793" spans="1:15" x14ac:dyDescent="0.25">
      <c r="A3793" s="64" t="s">
        <v>187</v>
      </c>
      <c r="B3793" s="79" t="str">
        <f>IF(Sixteenth!B46="", "",Sixteenth!B46)</f>
        <v/>
      </c>
      <c r="C3793" s="66" t="str">
        <f>IF(Sixteenth!C46="", "",Sixteenth!C46)</f>
        <v/>
      </c>
      <c r="D3793" s="66" t="str">
        <f>IF(Sixteenth!D46="", "",Sixteenth!D46)</f>
        <v/>
      </c>
      <c r="E3793" s="66" t="str">
        <f>IF(Sixteenth!E46="", "",Sixteenth!E46)</f>
        <v/>
      </c>
      <c r="F3793" s="66" t="str">
        <f>IF(Sixteenth!F46="", "",Sixteenth!F46)</f>
        <v/>
      </c>
      <c r="G3793" s="66" t="str">
        <f>IF(Sixteenth!G46="", "",Sixteenth!G46)</f>
        <v/>
      </c>
      <c r="H3793" s="66" t="str">
        <f>IF(Sixteenth!H46="", "",Sixteenth!H46)</f>
        <v/>
      </c>
      <c r="I3793" s="66" t="str">
        <f>IF(Sixteenth!I46="", "",Sixteenth!I46)</f>
        <v/>
      </c>
      <c r="J3793" s="66" t="str">
        <f>IF(Sixteenth!J46="", "",Sixteenth!J46)</f>
        <v/>
      </c>
      <c r="K3793" s="86" t="str">
        <f>IF(Sixteenth!K46="", "",Sixteenth!K46)</f>
        <v/>
      </c>
      <c r="M3793" s="67" t="str">
        <f t="shared" si="179"/>
        <v/>
      </c>
      <c r="N3793" s="76" t="str">
        <f t="shared" si="180"/>
        <v/>
      </c>
      <c r="O3793" s="33">
        <f t="shared" si="178"/>
        <v>0</v>
      </c>
    </row>
    <row r="3794" spans="1:15" x14ac:dyDescent="0.25">
      <c r="A3794" s="64" t="s">
        <v>187</v>
      </c>
      <c r="B3794" s="79" t="str">
        <f>IF(Sixteenth!B47="", "",Sixteenth!B47)</f>
        <v/>
      </c>
      <c r="C3794" s="66" t="str">
        <f>IF(Sixteenth!C47="", "",Sixteenth!C47)</f>
        <v/>
      </c>
      <c r="D3794" s="66" t="str">
        <f>IF(Sixteenth!D47="", "",Sixteenth!D47)</f>
        <v/>
      </c>
      <c r="E3794" s="66" t="str">
        <f>IF(Sixteenth!E47="", "",Sixteenth!E47)</f>
        <v/>
      </c>
      <c r="F3794" s="66" t="str">
        <f>IF(Sixteenth!F47="", "",Sixteenth!F47)</f>
        <v/>
      </c>
      <c r="G3794" s="66" t="str">
        <f>IF(Sixteenth!G47="", "",Sixteenth!G47)</f>
        <v/>
      </c>
      <c r="H3794" s="66" t="str">
        <f>IF(Sixteenth!H47="", "",Sixteenth!H47)</f>
        <v/>
      </c>
      <c r="I3794" s="66" t="str">
        <f>IF(Sixteenth!I47="", "",Sixteenth!I47)</f>
        <v/>
      </c>
      <c r="J3794" s="66" t="str">
        <f>IF(Sixteenth!J47="", "",Sixteenth!J47)</f>
        <v/>
      </c>
      <c r="K3794" s="86" t="str">
        <f>IF(Sixteenth!K47="", "",Sixteenth!K47)</f>
        <v/>
      </c>
      <c r="M3794" s="67" t="str">
        <f t="shared" si="179"/>
        <v/>
      </c>
      <c r="N3794" s="76" t="str">
        <f t="shared" si="180"/>
        <v/>
      </c>
      <c r="O3794" s="33">
        <f t="shared" si="178"/>
        <v>0</v>
      </c>
    </row>
    <row r="3795" spans="1:15" x14ac:dyDescent="0.25">
      <c r="A3795" s="64" t="s">
        <v>187</v>
      </c>
      <c r="B3795" s="79" t="str">
        <f>IF(Sixteenth!B48="", "",Sixteenth!B48)</f>
        <v/>
      </c>
      <c r="C3795" s="66" t="str">
        <f>IF(Sixteenth!C48="", "",Sixteenth!C48)</f>
        <v/>
      </c>
      <c r="D3795" s="66" t="str">
        <f>IF(Sixteenth!D48="", "",Sixteenth!D48)</f>
        <v/>
      </c>
      <c r="E3795" s="66" t="str">
        <f>IF(Sixteenth!E48="", "",Sixteenth!E48)</f>
        <v/>
      </c>
      <c r="F3795" s="66" t="str">
        <f>IF(Sixteenth!F48="", "",Sixteenth!F48)</f>
        <v/>
      </c>
      <c r="G3795" s="66" t="str">
        <f>IF(Sixteenth!G48="", "",Sixteenth!G48)</f>
        <v/>
      </c>
      <c r="H3795" s="66" t="str">
        <f>IF(Sixteenth!H48="", "",Sixteenth!H48)</f>
        <v/>
      </c>
      <c r="I3795" s="66" t="str">
        <f>IF(Sixteenth!I48="", "",Sixteenth!I48)</f>
        <v/>
      </c>
      <c r="J3795" s="66" t="str">
        <f>IF(Sixteenth!J48="", "",Sixteenth!J48)</f>
        <v/>
      </c>
      <c r="K3795" s="86" t="str">
        <f>IF(Sixteenth!K48="", "",Sixteenth!K48)</f>
        <v/>
      </c>
      <c r="M3795" s="67" t="str">
        <f t="shared" si="179"/>
        <v/>
      </c>
      <c r="N3795" s="76" t="str">
        <f t="shared" si="180"/>
        <v/>
      </c>
      <c r="O3795" s="33">
        <f t="shared" si="178"/>
        <v>0</v>
      </c>
    </row>
    <row r="3796" spans="1:15" x14ac:dyDescent="0.25">
      <c r="A3796" s="64" t="s">
        <v>187</v>
      </c>
      <c r="B3796" s="79" t="str">
        <f>IF(Sixteenth!B49="", "",Sixteenth!B49)</f>
        <v/>
      </c>
      <c r="C3796" s="66" t="str">
        <f>IF(Sixteenth!C49="", "",Sixteenth!C49)</f>
        <v/>
      </c>
      <c r="D3796" s="66" t="str">
        <f>IF(Sixteenth!D49="", "",Sixteenth!D49)</f>
        <v/>
      </c>
      <c r="E3796" s="66" t="str">
        <f>IF(Sixteenth!E49="", "",Sixteenth!E49)</f>
        <v/>
      </c>
      <c r="F3796" s="66" t="str">
        <f>IF(Sixteenth!F49="", "",Sixteenth!F49)</f>
        <v/>
      </c>
      <c r="G3796" s="66" t="str">
        <f>IF(Sixteenth!G49="", "",Sixteenth!G49)</f>
        <v/>
      </c>
      <c r="H3796" s="66" t="str">
        <f>IF(Sixteenth!H49="", "",Sixteenth!H49)</f>
        <v/>
      </c>
      <c r="I3796" s="66" t="str">
        <f>IF(Sixteenth!I49="", "",Sixteenth!I49)</f>
        <v/>
      </c>
      <c r="J3796" s="66" t="str">
        <f>IF(Sixteenth!J49="", "",Sixteenth!J49)</f>
        <v/>
      </c>
      <c r="K3796" s="86" t="str">
        <f>IF(Sixteenth!K49="", "",Sixteenth!K49)</f>
        <v/>
      </c>
      <c r="M3796" s="67" t="str">
        <f t="shared" si="179"/>
        <v/>
      </c>
      <c r="N3796" s="76" t="str">
        <f t="shared" si="180"/>
        <v/>
      </c>
      <c r="O3796" s="33">
        <f t="shared" si="178"/>
        <v>0</v>
      </c>
    </row>
    <row r="3797" spans="1:15" x14ac:dyDescent="0.25">
      <c r="A3797" s="64" t="s">
        <v>187</v>
      </c>
      <c r="B3797" s="79" t="str">
        <f>IF(Sixteenth!B50="", "",Sixteenth!B50)</f>
        <v/>
      </c>
      <c r="C3797" s="66" t="str">
        <f>IF(Sixteenth!C50="", "",Sixteenth!C50)</f>
        <v/>
      </c>
      <c r="D3797" s="66" t="str">
        <f>IF(Sixteenth!D50="", "",Sixteenth!D50)</f>
        <v/>
      </c>
      <c r="E3797" s="66" t="str">
        <f>IF(Sixteenth!E50="", "",Sixteenth!E50)</f>
        <v/>
      </c>
      <c r="F3797" s="66" t="str">
        <f>IF(Sixteenth!F50="", "",Sixteenth!F50)</f>
        <v/>
      </c>
      <c r="G3797" s="66" t="str">
        <f>IF(Sixteenth!G50="", "",Sixteenth!G50)</f>
        <v/>
      </c>
      <c r="H3797" s="66" t="str">
        <f>IF(Sixteenth!H50="", "",Sixteenth!H50)</f>
        <v/>
      </c>
      <c r="I3797" s="66" t="str">
        <f>IF(Sixteenth!I50="", "",Sixteenth!I50)</f>
        <v/>
      </c>
      <c r="J3797" s="66" t="str">
        <f>IF(Sixteenth!J50="", "",Sixteenth!J50)</f>
        <v/>
      </c>
      <c r="K3797" s="86" t="str">
        <f>IF(Sixteenth!K50="", "",Sixteenth!K50)</f>
        <v/>
      </c>
      <c r="M3797" s="67" t="str">
        <f t="shared" si="179"/>
        <v/>
      </c>
      <c r="N3797" s="76" t="str">
        <f t="shared" si="180"/>
        <v/>
      </c>
      <c r="O3797" s="33">
        <f t="shared" si="178"/>
        <v>0</v>
      </c>
    </row>
    <row r="3798" spans="1:15" x14ac:dyDescent="0.25">
      <c r="A3798" s="64" t="s">
        <v>187</v>
      </c>
      <c r="B3798" s="79" t="str">
        <f>IF(Sixteenth!B51="", "",Sixteenth!B51)</f>
        <v/>
      </c>
      <c r="C3798" s="66" t="str">
        <f>IF(Sixteenth!C51="", "",Sixteenth!C51)</f>
        <v/>
      </c>
      <c r="D3798" s="66" t="str">
        <f>IF(Sixteenth!D51="", "",Sixteenth!D51)</f>
        <v/>
      </c>
      <c r="E3798" s="66" t="str">
        <f>IF(Sixteenth!E51="", "",Sixteenth!E51)</f>
        <v/>
      </c>
      <c r="F3798" s="66" t="str">
        <f>IF(Sixteenth!F51="", "",Sixteenth!F51)</f>
        <v/>
      </c>
      <c r="G3798" s="66" t="str">
        <f>IF(Sixteenth!G51="", "",Sixteenth!G51)</f>
        <v/>
      </c>
      <c r="H3798" s="66" t="str">
        <f>IF(Sixteenth!H51="", "",Sixteenth!H51)</f>
        <v/>
      </c>
      <c r="I3798" s="66" t="str">
        <f>IF(Sixteenth!I51="", "",Sixteenth!I51)</f>
        <v/>
      </c>
      <c r="J3798" s="66" t="str">
        <f>IF(Sixteenth!J51="", "",Sixteenth!J51)</f>
        <v/>
      </c>
      <c r="K3798" s="86" t="str">
        <f>IF(Sixteenth!K51="", "",Sixteenth!K51)</f>
        <v/>
      </c>
      <c r="M3798" s="67" t="str">
        <f t="shared" si="179"/>
        <v/>
      </c>
      <c r="N3798" s="76" t="str">
        <f t="shared" si="180"/>
        <v/>
      </c>
      <c r="O3798" s="33">
        <f t="shared" si="178"/>
        <v>0</v>
      </c>
    </row>
    <row r="3799" spans="1:15" x14ac:dyDescent="0.25">
      <c r="A3799" s="64" t="s">
        <v>187</v>
      </c>
      <c r="B3799" s="79" t="str">
        <f>IF(Sixteenth!B52="", "",Sixteenth!B52)</f>
        <v/>
      </c>
      <c r="C3799" s="66" t="str">
        <f>IF(Sixteenth!C52="", "",Sixteenth!C52)</f>
        <v/>
      </c>
      <c r="D3799" s="66" t="str">
        <f>IF(Sixteenth!D52="", "",Sixteenth!D52)</f>
        <v/>
      </c>
      <c r="E3799" s="66" t="str">
        <f>IF(Sixteenth!E52="", "",Sixteenth!E52)</f>
        <v/>
      </c>
      <c r="F3799" s="66" t="str">
        <f>IF(Sixteenth!F52="", "",Sixteenth!F52)</f>
        <v/>
      </c>
      <c r="G3799" s="66" t="str">
        <f>IF(Sixteenth!G52="", "",Sixteenth!G52)</f>
        <v/>
      </c>
      <c r="H3799" s="66" t="str">
        <f>IF(Sixteenth!H52="", "",Sixteenth!H52)</f>
        <v/>
      </c>
      <c r="I3799" s="66" t="str">
        <f>IF(Sixteenth!I52="", "",Sixteenth!I52)</f>
        <v/>
      </c>
      <c r="J3799" s="66" t="str">
        <f>IF(Sixteenth!J52="", "",Sixteenth!J52)</f>
        <v/>
      </c>
      <c r="K3799" s="86" t="str">
        <f>IF(Sixteenth!K52="", "",Sixteenth!K52)</f>
        <v/>
      </c>
      <c r="M3799" s="67" t="str">
        <f t="shared" si="179"/>
        <v/>
      </c>
      <c r="N3799" s="76" t="str">
        <f t="shared" si="180"/>
        <v/>
      </c>
      <c r="O3799" s="33">
        <f t="shared" si="178"/>
        <v>0</v>
      </c>
    </row>
    <row r="3800" spans="1:15" x14ac:dyDescent="0.25">
      <c r="A3800" s="64" t="s">
        <v>187</v>
      </c>
      <c r="B3800" s="79" t="str">
        <f>IF(Sixteenth!B53="", "",Sixteenth!B53)</f>
        <v/>
      </c>
      <c r="C3800" s="66" t="str">
        <f>IF(Sixteenth!C53="", "",Sixteenth!C53)</f>
        <v/>
      </c>
      <c r="D3800" s="66" t="str">
        <f>IF(Sixteenth!D53="", "",Sixteenth!D53)</f>
        <v/>
      </c>
      <c r="E3800" s="66" t="str">
        <f>IF(Sixteenth!E53="", "",Sixteenth!E53)</f>
        <v/>
      </c>
      <c r="F3800" s="66" t="str">
        <f>IF(Sixteenth!F53="", "",Sixteenth!F53)</f>
        <v/>
      </c>
      <c r="G3800" s="66" t="str">
        <f>IF(Sixteenth!G53="", "",Sixteenth!G53)</f>
        <v/>
      </c>
      <c r="H3800" s="66" t="str">
        <f>IF(Sixteenth!H53="", "",Sixteenth!H53)</f>
        <v/>
      </c>
      <c r="I3800" s="66" t="str">
        <f>IF(Sixteenth!I53="", "",Sixteenth!I53)</f>
        <v/>
      </c>
      <c r="J3800" s="66" t="str">
        <f>IF(Sixteenth!J53="", "",Sixteenth!J53)</f>
        <v/>
      </c>
      <c r="K3800" s="86" t="str">
        <f>IF(Sixteenth!K53="", "",Sixteenth!K53)</f>
        <v/>
      </c>
      <c r="M3800" s="67" t="str">
        <f t="shared" si="179"/>
        <v/>
      </c>
      <c r="N3800" s="76" t="str">
        <f t="shared" si="180"/>
        <v/>
      </c>
      <c r="O3800" s="33">
        <f t="shared" si="178"/>
        <v>0</v>
      </c>
    </row>
    <row r="3801" spans="1:15" x14ac:dyDescent="0.25">
      <c r="A3801" s="64" t="s">
        <v>187</v>
      </c>
      <c r="B3801" s="79" t="str">
        <f>IF(Sixteenth!B54="", "",Sixteenth!B54)</f>
        <v/>
      </c>
      <c r="C3801" s="66" t="str">
        <f>IF(Sixteenth!C54="", "",Sixteenth!C54)</f>
        <v/>
      </c>
      <c r="D3801" s="66" t="str">
        <f>IF(Sixteenth!D54="", "",Sixteenth!D54)</f>
        <v/>
      </c>
      <c r="E3801" s="66" t="str">
        <f>IF(Sixteenth!E54="", "",Sixteenth!E54)</f>
        <v/>
      </c>
      <c r="F3801" s="66" t="str">
        <f>IF(Sixteenth!F54="", "",Sixteenth!F54)</f>
        <v/>
      </c>
      <c r="G3801" s="66" t="str">
        <f>IF(Sixteenth!G54="", "",Sixteenth!G54)</f>
        <v/>
      </c>
      <c r="H3801" s="66" t="str">
        <f>IF(Sixteenth!H54="", "",Sixteenth!H54)</f>
        <v/>
      </c>
      <c r="I3801" s="66" t="str">
        <f>IF(Sixteenth!I54="", "",Sixteenth!I54)</f>
        <v/>
      </c>
      <c r="J3801" s="66" t="str">
        <f>IF(Sixteenth!J54="", "",Sixteenth!J54)</f>
        <v/>
      </c>
      <c r="K3801" s="86" t="str">
        <f>IF(Sixteenth!K54="", "",Sixteenth!K54)</f>
        <v/>
      </c>
      <c r="M3801" s="67" t="str">
        <f t="shared" si="179"/>
        <v/>
      </c>
      <c r="N3801" s="76" t="str">
        <f t="shared" si="180"/>
        <v/>
      </c>
      <c r="O3801" s="33">
        <f t="shared" si="178"/>
        <v>0</v>
      </c>
    </row>
    <row r="3802" spans="1:15" x14ac:dyDescent="0.25">
      <c r="A3802" s="64" t="s">
        <v>187</v>
      </c>
      <c r="B3802" s="79" t="str">
        <f>IF(Sixteenth!B55="", "",Sixteenth!B55)</f>
        <v/>
      </c>
      <c r="C3802" s="66" t="str">
        <f>IF(Sixteenth!C55="", "",Sixteenth!C55)</f>
        <v/>
      </c>
      <c r="D3802" s="66" t="str">
        <f>IF(Sixteenth!D55="", "",Sixteenth!D55)</f>
        <v/>
      </c>
      <c r="E3802" s="66" t="str">
        <f>IF(Sixteenth!E55="", "",Sixteenth!E55)</f>
        <v/>
      </c>
      <c r="F3802" s="66" t="str">
        <f>IF(Sixteenth!F55="", "",Sixteenth!F55)</f>
        <v/>
      </c>
      <c r="G3802" s="66" t="str">
        <f>IF(Sixteenth!G55="", "",Sixteenth!G55)</f>
        <v/>
      </c>
      <c r="H3802" s="66" t="str">
        <f>IF(Sixteenth!H55="", "",Sixteenth!H55)</f>
        <v/>
      </c>
      <c r="I3802" s="66" t="str">
        <f>IF(Sixteenth!I55="", "",Sixteenth!I55)</f>
        <v/>
      </c>
      <c r="J3802" s="66" t="str">
        <f>IF(Sixteenth!J55="", "",Sixteenth!J55)</f>
        <v/>
      </c>
      <c r="K3802" s="86" t="str">
        <f>IF(Sixteenth!K55="", "",Sixteenth!K55)</f>
        <v/>
      </c>
      <c r="M3802" s="67" t="str">
        <f t="shared" si="179"/>
        <v/>
      </c>
      <c r="N3802" s="76" t="str">
        <f t="shared" si="180"/>
        <v/>
      </c>
      <c r="O3802" s="33">
        <f t="shared" si="178"/>
        <v>0</v>
      </c>
    </row>
    <row r="3803" spans="1:15" x14ac:dyDescent="0.25">
      <c r="A3803" s="64" t="s">
        <v>187</v>
      </c>
      <c r="B3803" s="79" t="str">
        <f>IF(Sixteenth!B56="", "",Sixteenth!B56)</f>
        <v/>
      </c>
      <c r="C3803" s="66" t="str">
        <f>IF(Sixteenth!C56="", "",Sixteenth!C56)</f>
        <v/>
      </c>
      <c r="D3803" s="66" t="str">
        <f>IF(Sixteenth!D56="", "",Sixteenth!D56)</f>
        <v/>
      </c>
      <c r="E3803" s="66" t="str">
        <f>IF(Sixteenth!E56="", "",Sixteenth!E56)</f>
        <v/>
      </c>
      <c r="F3803" s="66" t="str">
        <f>IF(Sixteenth!F56="", "",Sixteenth!F56)</f>
        <v/>
      </c>
      <c r="G3803" s="66" t="str">
        <f>IF(Sixteenth!G56="", "",Sixteenth!G56)</f>
        <v/>
      </c>
      <c r="H3803" s="66" t="str">
        <f>IF(Sixteenth!H56="", "",Sixteenth!H56)</f>
        <v/>
      </c>
      <c r="I3803" s="66" t="str">
        <f>IF(Sixteenth!I56="", "",Sixteenth!I56)</f>
        <v/>
      </c>
      <c r="J3803" s="66" t="str">
        <f>IF(Sixteenth!J56="", "",Sixteenth!J56)</f>
        <v/>
      </c>
      <c r="K3803" s="86" t="str">
        <f>IF(Sixteenth!K56="", "",Sixteenth!K56)</f>
        <v/>
      </c>
      <c r="M3803" s="67" t="str">
        <f t="shared" si="179"/>
        <v/>
      </c>
      <c r="N3803" s="76" t="str">
        <f t="shared" si="180"/>
        <v/>
      </c>
      <c r="O3803" s="33">
        <f t="shared" si="178"/>
        <v>0</v>
      </c>
    </row>
    <row r="3804" spans="1:15" x14ac:dyDescent="0.25">
      <c r="A3804" s="64" t="s">
        <v>187</v>
      </c>
      <c r="B3804" s="79" t="str">
        <f>IF(Sixteenth!B57="", "",Sixteenth!B57)</f>
        <v/>
      </c>
      <c r="C3804" s="66" t="str">
        <f>IF(Sixteenth!C57="", "",Sixteenth!C57)</f>
        <v/>
      </c>
      <c r="D3804" s="66" t="str">
        <f>IF(Sixteenth!D57="", "",Sixteenth!D57)</f>
        <v/>
      </c>
      <c r="E3804" s="66" t="str">
        <f>IF(Sixteenth!E57="", "",Sixteenth!E57)</f>
        <v/>
      </c>
      <c r="F3804" s="66" t="str">
        <f>IF(Sixteenth!F57="", "",Sixteenth!F57)</f>
        <v/>
      </c>
      <c r="G3804" s="66" t="str">
        <f>IF(Sixteenth!G57="", "",Sixteenth!G57)</f>
        <v/>
      </c>
      <c r="H3804" s="66" t="str">
        <f>IF(Sixteenth!H57="", "",Sixteenth!H57)</f>
        <v/>
      </c>
      <c r="I3804" s="66" t="str">
        <f>IF(Sixteenth!I57="", "",Sixteenth!I57)</f>
        <v/>
      </c>
      <c r="J3804" s="66" t="str">
        <f>IF(Sixteenth!J57="", "",Sixteenth!J57)</f>
        <v/>
      </c>
      <c r="K3804" s="86" t="str">
        <f>IF(Sixteenth!K57="", "",Sixteenth!K57)</f>
        <v/>
      </c>
      <c r="M3804" s="67" t="str">
        <f t="shared" si="179"/>
        <v/>
      </c>
      <c r="N3804" s="76" t="str">
        <f t="shared" si="180"/>
        <v/>
      </c>
      <c r="O3804" s="33">
        <f t="shared" si="178"/>
        <v>0</v>
      </c>
    </row>
    <row r="3805" spans="1:15" x14ac:dyDescent="0.25">
      <c r="A3805" s="64" t="s">
        <v>187</v>
      </c>
      <c r="B3805" s="79" t="str">
        <f>IF(Sixteenth!B58="", "",Sixteenth!B58)</f>
        <v/>
      </c>
      <c r="C3805" s="66" t="str">
        <f>IF(Sixteenth!C58="", "",Sixteenth!C58)</f>
        <v/>
      </c>
      <c r="D3805" s="66" t="str">
        <f>IF(Sixteenth!D58="", "",Sixteenth!D58)</f>
        <v/>
      </c>
      <c r="E3805" s="66" t="str">
        <f>IF(Sixteenth!E58="", "",Sixteenth!E58)</f>
        <v/>
      </c>
      <c r="F3805" s="66" t="str">
        <f>IF(Sixteenth!F58="", "",Sixteenth!F58)</f>
        <v/>
      </c>
      <c r="G3805" s="66" t="str">
        <f>IF(Sixteenth!G58="", "",Sixteenth!G58)</f>
        <v/>
      </c>
      <c r="H3805" s="66" t="str">
        <f>IF(Sixteenth!H58="", "",Sixteenth!H58)</f>
        <v/>
      </c>
      <c r="I3805" s="66" t="str">
        <f>IF(Sixteenth!I58="", "",Sixteenth!I58)</f>
        <v/>
      </c>
      <c r="J3805" s="66" t="str">
        <f>IF(Sixteenth!J58="", "",Sixteenth!J58)</f>
        <v/>
      </c>
      <c r="K3805" s="86" t="str">
        <f>IF(Sixteenth!K58="", "",Sixteenth!K58)</f>
        <v/>
      </c>
      <c r="M3805" s="67" t="str">
        <f t="shared" si="179"/>
        <v/>
      </c>
      <c r="N3805" s="76" t="str">
        <f t="shared" si="180"/>
        <v/>
      </c>
      <c r="O3805" s="33">
        <f t="shared" si="178"/>
        <v>0</v>
      </c>
    </row>
    <row r="3806" spans="1:15" x14ac:dyDescent="0.25">
      <c r="A3806" s="64" t="s">
        <v>187</v>
      </c>
      <c r="B3806" s="79" t="str">
        <f>IF(Sixteenth!B59="", "",Sixteenth!B59)</f>
        <v/>
      </c>
      <c r="C3806" s="66" t="str">
        <f>IF(Sixteenth!C59="", "",Sixteenth!C59)</f>
        <v/>
      </c>
      <c r="D3806" s="66" t="str">
        <f>IF(Sixteenth!D59="", "",Sixteenth!D59)</f>
        <v/>
      </c>
      <c r="E3806" s="66" t="str">
        <f>IF(Sixteenth!E59="", "",Sixteenth!E59)</f>
        <v/>
      </c>
      <c r="F3806" s="66" t="str">
        <f>IF(Sixteenth!F59="", "",Sixteenth!F59)</f>
        <v/>
      </c>
      <c r="G3806" s="66" t="str">
        <f>IF(Sixteenth!G59="", "",Sixteenth!G59)</f>
        <v/>
      </c>
      <c r="H3806" s="66" t="str">
        <f>IF(Sixteenth!H59="", "",Sixteenth!H59)</f>
        <v/>
      </c>
      <c r="I3806" s="66" t="str">
        <f>IF(Sixteenth!I59="", "",Sixteenth!I59)</f>
        <v/>
      </c>
      <c r="J3806" s="66" t="str">
        <f>IF(Sixteenth!J59="", "",Sixteenth!J59)</f>
        <v/>
      </c>
      <c r="K3806" s="86" t="str">
        <f>IF(Sixteenth!K59="", "",Sixteenth!K59)</f>
        <v/>
      </c>
      <c r="M3806" s="67" t="str">
        <f t="shared" si="179"/>
        <v/>
      </c>
      <c r="N3806" s="76" t="str">
        <f t="shared" si="180"/>
        <v/>
      </c>
      <c r="O3806" s="33">
        <f t="shared" si="178"/>
        <v>0</v>
      </c>
    </row>
    <row r="3807" spans="1:15" x14ac:dyDescent="0.25">
      <c r="A3807" s="64" t="s">
        <v>187</v>
      </c>
      <c r="B3807" s="79" t="str">
        <f>IF(Sixteenth!B60="", "",Sixteenth!B60)</f>
        <v/>
      </c>
      <c r="C3807" s="66" t="str">
        <f>IF(Sixteenth!C60="", "",Sixteenth!C60)</f>
        <v/>
      </c>
      <c r="D3807" s="66" t="str">
        <f>IF(Sixteenth!D60="", "",Sixteenth!D60)</f>
        <v/>
      </c>
      <c r="E3807" s="66" t="str">
        <f>IF(Sixteenth!E60="", "",Sixteenth!E60)</f>
        <v/>
      </c>
      <c r="F3807" s="66" t="str">
        <f>IF(Sixteenth!F60="", "",Sixteenth!F60)</f>
        <v/>
      </c>
      <c r="G3807" s="66" t="str">
        <f>IF(Sixteenth!G60="", "",Sixteenth!G60)</f>
        <v/>
      </c>
      <c r="H3807" s="66" t="str">
        <f>IF(Sixteenth!H60="", "",Sixteenth!H60)</f>
        <v/>
      </c>
      <c r="I3807" s="66" t="str">
        <f>IF(Sixteenth!I60="", "",Sixteenth!I60)</f>
        <v/>
      </c>
      <c r="J3807" s="66" t="str">
        <f>IF(Sixteenth!J60="", "",Sixteenth!J60)</f>
        <v/>
      </c>
      <c r="K3807" s="86" t="str">
        <f>IF(Sixteenth!K60="", "",Sixteenth!K60)</f>
        <v/>
      </c>
      <c r="M3807" s="67" t="str">
        <f t="shared" si="179"/>
        <v/>
      </c>
      <c r="N3807" s="76" t="str">
        <f t="shared" si="180"/>
        <v/>
      </c>
      <c r="O3807" s="33">
        <f t="shared" si="178"/>
        <v>0</v>
      </c>
    </row>
    <row r="3808" spans="1:15" x14ac:dyDescent="0.25">
      <c r="A3808" s="64" t="s">
        <v>187</v>
      </c>
      <c r="B3808" s="79" t="str">
        <f>IF(Sixteenth!B61="", "",Sixteenth!B61)</f>
        <v/>
      </c>
      <c r="C3808" s="66" t="str">
        <f>IF(Sixteenth!C61="", "",Sixteenth!C61)</f>
        <v/>
      </c>
      <c r="D3808" s="66" t="str">
        <f>IF(Sixteenth!D61="", "",Sixteenth!D61)</f>
        <v/>
      </c>
      <c r="E3808" s="66" t="str">
        <f>IF(Sixteenth!E61="", "",Sixteenth!E61)</f>
        <v/>
      </c>
      <c r="F3808" s="66" t="str">
        <f>IF(Sixteenth!F61="", "",Sixteenth!F61)</f>
        <v/>
      </c>
      <c r="G3808" s="66" t="str">
        <f>IF(Sixteenth!G61="", "",Sixteenth!G61)</f>
        <v/>
      </c>
      <c r="H3808" s="66" t="str">
        <f>IF(Sixteenth!H61="", "",Sixteenth!H61)</f>
        <v/>
      </c>
      <c r="I3808" s="66" t="str">
        <f>IF(Sixteenth!I61="", "",Sixteenth!I61)</f>
        <v/>
      </c>
      <c r="J3808" s="66" t="str">
        <f>IF(Sixteenth!J61="", "",Sixteenth!J61)</f>
        <v/>
      </c>
      <c r="K3808" s="86" t="str">
        <f>IF(Sixteenth!K61="", "",Sixteenth!K61)</f>
        <v/>
      </c>
      <c r="M3808" s="67" t="str">
        <f t="shared" si="179"/>
        <v/>
      </c>
      <c r="N3808" s="76" t="str">
        <f t="shared" si="180"/>
        <v/>
      </c>
      <c r="O3808" s="33">
        <f t="shared" si="178"/>
        <v>0</v>
      </c>
    </row>
    <row r="3809" spans="1:15" x14ac:dyDescent="0.25">
      <c r="A3809" s="64" t="s">
        <v>187</v>
      </c>
      <c r="B3809" s="79" t="str">
        <f>IF(Sixteenth!B62="", "",Sixteenth!B62)</f>
        <v/>
      </c>
      <c r="C3809" s="66" t="str">
        <f>IF(Sixteenth!C62="", "",Sixteenth!C62)</f>
        <v/>
      </c>
      <c r="D3809" s="66" t="str">
        <f>IF(Sixteenth!D62="", "",Sixteenth!D62)</f>
        <v/>
      </c>
      <c r="E3809" s="66" t="str">
        <f>IF(Sixteenth!E62="", "",Sixteenth!E62)</f>
        <v/>
      </c>
      <c r="F3809" s="66" t="str">
        <f>IF(Sixteenth!F62="", "",Sixteenth!F62)</f>
        <v/>
      </c>
      <c r="G3809" s="66" t="str">
        <f>IF(Sixteenth!G62="", "",Sixteenth!G62)</f>
        <v/>
      </c>
      <c r="H3809" s="66" t="str">
        <f>IF(Sixteenth!H62="", "",Sixteenth!H62)</f>
        <v/>
      </c>
      <c r="I3809" s="66" t="str">
        <f>IF(Sixteenth!I62="", "",Sixteenth!I62)</f>
        <v/>
      </c>
      <c r="J3809" s="66" t="str">
        <f>IF(Sixteenth!J62="", "",Sixteenth!J62)</f>
        <v/>
      </c>
      <c r="K3809" s="86" t="str">
        <f>IF(Sixteenth!K62="", "",Sixteenth!K62)</f>
        <v/>
      </c>
      <c r="M3809" s="67" t="str">
        <f t="shared" si="179"/>
        <v/>
      </c>
      <c r="N3809" s="76" t="str">
        <f t="shared" si="180"/>
        <v/>
      </c>
      <c r="O3809" s="33">
        <f t="shared" si="178"/>
        <v>0</v>
      </c>
    </row>
    <row r="3810" spans="1:15" x14ac:dyDescent="0.25">
      <c r="A3810" s="64" t="s">
        <v>187</v>
      </c>
      <c r="B3810" s="79" t="str">
        <f>IF(Sixteenth!B63="", "",Sixteenth!B63)</f>
        <v/>
      </c>
      <c r="C3810" s="66" t="str">
        <f>IF(Sixteenth!C63="", "",Sixteenth!C63)</f>
        <v/>
      </c>
      <c r="D3810" s="66" t="str">
        <f>IF(Sixteenth!D63="", "",Sixteenth!D63)</f>
        <v/>
      </c>
      <c r="E3810" s="66" t="str">
        <f>IF(Sixteenth!E63="", "",Sixteenth!E63)</f>
        <v/>
      </c>
      <c r="F3810" s="66" t="str">
        <f>IF(Sixteenth!F63="", "",Sixteenth!F63)</f>
        <v/>
      </c>
      <c r="G3810" s="66" t="str">
        <f>IF(Sixteenth!G63="", "",Sixteenth!G63)</f>
        <v/>
      </c>
      <c r="H3810" s="66" t="str">
        <f>IF(Sixteenth!H63="", "",Sixteenth!H63)</f>
        <v/>
      </c>
      <c r="I3810" s="66" t="str">
        <f>IF(Sixteenth!I63="", "",Sixteenth!I63)</f>
        <v/>
      </c>
      <c r="J3810" s="66" t="str">
        <f>IF(Sixteenth!J63="", "",Sixteenth!J63)</f>
        <v/>
      </c>
      <c r="K3810" s="86" t="str">
        <f>IF(Sixteenth!K63="", "",Sixteenth!K63)</f>
        <v/>
      </c>
      <c r="M3810" s="67" t="str">
        <f t="shared" si="179"/>
        <v/>
      </c>
      <c r="N3810" s="76" t="str">
        <f t="shared" si="180"/>
        <v/>
      </c>
      <c r="O3810" s="33">
        <f t="shared" si="178"/>
        <v>0</v>
      </c>
    </row>
    <row r="3811" spans="1:15" x14ac:dyDescent="0.25">
      <c r="A3811" s="64" t="s">
        <v>187</v>
      </c>
      <c r="B3811" s="79" t="str">
        <f>IF(Sixteenth!B64="", "",Sixteenth!B64)</f>
        <v/>
      </c>
      <c r="C3811" s="66" t="str">
        <f>IF(Sixteenth!C64="", "",Sixteenth!C64)</f>
        <v/>
      </c>
      <c r="D3811" s="66" t="str">
        <f>IF(Sixteenth!D64="", "",Sixteenth!D64)</f>
        <v/>
      </c>
      <c r="E3811" s="66" t="str">
        <f>IF(Sixteenth!E64="", "",Sixteenth!E64)</f>
        <v/>
      </c>
      <c r="F3811" s="66" t="str">
        <f>IF(Sixteenth!F64="", "",Sixteenth!F64)</f>
        <v/>
      </c>
      <c r="G3811" s="66" t="str">
        <f>IF(Sixteenth!G64="", "",Sixteenth!G64)</f>
        <v/>
      </c>
      <c r="H3811" s="66" t="str">
        <f>IF(Sixteenth!H64="", "",Sixteenth!H64)</f>
        <v/>
      </c>
      <c r="I3811" s="66" t="str">
        <f>IF(Sixteenth!I64="", "",Sixteenth!I64)</f>
        <v/>
      </c>
      <c r="J3811" s="66" t="str">
        <f>IF(Sixteenth!J64="", "",Sixteenth!J64)</f>
        <v/>
      </c>
      <c r="K3811" s="86" t="str">
        <f>IF(Sixteenth!K64="", "",Sixteenth!K64)</f>
        <v/>
      </c>
      <c r="M3811" s="67" t="str">
        <f t="shared" si="179"/>
        <v/>
      </c>
      <c r="N3811" s="76" t="str">
        <f t="shared" si="180"/>
        <v/>
      </c>
      <c r="O3811" s="33">
        <f t="shared" si="178"/>
        <v>0</v>
      </c>
    </row>
    <row r="3812" spans="1:15" x14ac:dyDescent="0.25">
      <c r="A3812" s="64" t="s">
        <v>187</v>
      </c>
      <c r="B3812" s="79" t="str">
        <f>IF(Sixteenth!B65="", "",Sixteenth!B65)</f>
        <v/>
      </c>
      <c r="C3812" s="66" t="str">
        <f>IF(Sixteenth!C65="", "",Sixteenth!C65)</f>
        <v/>
      </c>
      <c r="D3812" s="66" t="str">
        <f>IF(Sixteenth!D65="", "",Sixteenth!D65)</f>
        <v/>
      </c>
      <c r="E3812" s="66" t="str">
        <f>IF(Sixteenth!E65="", "",Sixteenth!E65)</f>
        <v/>
      </c>
      <c r="F3812" s="66" t="str">
        <f>IF(Sixteenth!F65="", "",Sixteenth!F65)</f>
        <v/>
      </c>
      <c r="G3812" s="66" t="str">
        <f>IF(Sixteenth!G65="", "",Sixteenth!G65)</f>
        <v/>
      </c>
      <c r="H3812" s="66" t="str">
        <f>IF(Sixteenth!H65="", "",Sixteenth!H65)</f>
        <v/>
      </c>
      <c r="I3812" s="66" t="str">
        <f>IF(Sixteenth!I65="", "",Sixteenth!I65)</f>
        <v/>
      </c>
      <c r="J3812" s="66" t="str">
        <f>IF(Sixteenth!J65="", "",Sixteenth!J65)</f>
        <v/>
      </c>
      <c r="K3812" s="86" t="str">
        <f>IF(Sixteenth!K65="", "",Sixteenth!K65)</f>
        <v/>
      </c>
      <c r="M3812" s="67" t="str">
        <f t="shared" si="179"/>
        <v/>
      </c>
      <c r="N3812" s="76" t="str">
        <f t="shared" si="180"/>
        <v/>
      </c>
      <c r="O3812" s="33">
        <f t="shared" si="178"/>
        <v>0</v>
      </c>
    </row>
    <row r="3813" spans="1:15" x14ac:dyDescent="0.25">
      <c r="A3813" s="64" t="s">
        <v>187</v>
      </c>
      <c r="B3813" s="79" t="str">
        <f>IF(Sixteenth!B66="", "",Sixteenth!B66)</f>
        <v/>
      </c>
      <c r="C3813" s="66" t="str">
        <f>IF(Sixteenth!C66="", "",Sixteenth!C66)</f>
        <v/>
      </c>
      <c r="D3813" s="66" t="str">
        <f>IF(Sixteenth!D66="", "",Sixteenth!D66)</f>
        <v/>
      </c>
      <c r="E3813" s="66" t="str">
        <f>IF(Sixteenth!E66="", "",Sixteenth!E66)</f>
        <v/>
      </c>
      <c r="F3813" s="66" t="str">
        <f>IF(Sixteenth!F66="", "",Sixteenth!F66)</f>
        <v/>
      </c>
      <c r="G3813" s="66" t="str">
        <f>IF(Sixteenth!G66="", "",Sixteenth!G66)</f>
        <v/>
      </c>
      <c r="H3813" s="66" t="str">
        <f>IF(Sixteenth!H66="", "",Sixteenth!H66)</f>
        <v/>
      </c>
      <c r="I3813" s="66" t="str">
        <f>IF(Sixteenth!I66="", "",Sixteenth!I66)</f>
        <v/>
      </c>
      <c r="J3813" s="66" t="str">
        <f>IF(Sixteenth!J66="", "",Sixteenth!J66)</f>
        <v/>
      </c>
      <c r="K3813" s="86" t="str">
        <f>IF(Sixteenth!K66="", "",Sixteenth!K66)</f>
        <v/>
      </c>
      <c r="M3813" s="67" t="str">
        <f t="shared" si="179"/>
        <v/>
      </c>
      <c r="N3813" s="76" t="str">
        <f t="shared" si="180"/>
        <v/>
      </c>
      <c r="O3813" s="33">
        <f t="shared" si="178"/>
        <v>0</v>
      </c>
    </row>
    <row r="3814" spans="1:15" x14ac:dyDescent="0.25">
      <c r="A3814" s="64" t="s">
        <v>187</v>
      </c>
      <c r="B3814" s="79" t="str">
        <f>IF(Sixteenth!B67="", "",Sixteenth!B67)</f>
        <v/>
      </c>
      <c r="C3814" s="66" t="str">
        <f>IF(Sixteenth!C67="", "",Sixteenth!C67)</f>
        <v/>
      </c>
      <c r="D3814" s="66" t="str">
        <f>IF(Sixteenth!D67="", "",Sixteenth!D67)</f>
        <v/>
      </c>
      <c r="E3814" s="66" t="str">
        <f>IF(Sixteenth!E67="", "",Sixteenth!E67)</f>
        <v/>
      </c>
      <c r="F3814" s="66" t="str">
        <f>IF(Sixteenth!F67="", "",Sixteenth!F67)</f>
        <v/>
      </c>
      <c r="G3814" s="66" t="str">
        <f>IF(Sixteenth!G67="", "",Sixteenth!G67)</f>
        <v/>
      </c>
      <c r="H3814" s="66" t="str">
        <f>IF(Sixteenth!H67="", "",Sixteenth!H67)</f>
        <v/>
      </c>
      <c r="I3814" s="66" t="str">
        <f>IF(Sixteenth!I67="", "",Sixteenth!I67)</f>
        <v/>
      </c>
      <c r="J3814" s="66" t="str">
        <f>IF(Sixteenth!J67="", "",Sixteenth!J67)</f>
        <v/>
      </c>
      <c r="K3814" s="86" t="str">
        <f>IF(Sixteenth!K67="", "",Sixteenth!K67)</f>
        <v/>
      </c>
      <c r="M3814" s="67" t="str">
        <f t="shared" si="179"/>
        <v/>
      </c>
      <c r="N3814" s="76" t="str">
        <f t="shared" si="180"/>
        <v/>
      </c>
      <c r="O3814" s="33">
        <f t="shared" si="178"/>
        <v>0</v>
      </c>
    </row>
    <row r="3815" spans="1:15" x14ac:dyDescent="0.25">
      <c r="A3815" s="64" t="s">
        <v>187</v>
      </c>
      <c r="B3815" s="79" t="str">
        <f>IF(Sixteenth!B68="", "",Sixteenth!B68)</f>
        <v/>
      </c>
      <c r="C3815" s="66" t="str">
        <f>IF(Sixteenth!C68="", "",Sixteenth!C68)</f>
        <v/>
      </c>
      <c r="D3815" s="66" t="str">
        <f>IF(Sixteenth!D68="", "",Sixteenth!D68)</f>
        <v/>
      </c>
      <c r="E3815" s="66" t="str">
        <f>IF(Sixteenth!E68="", "",Sixteenth!E68)</f>
        <v/>
      </c>
      <c r="F3815" s="66" t="str">
        <f>IF(Sixteenth!F68="", "",Sixteenth!F68)</f>
        <v/>
      </c>
      <c r="G3815" s="66" t="str">
        <f>IF(Sixteenth!G68="", "",Sixteenth!G68)</f>
        <v/>
      </c>
      <c r="H3815" s="66" t="str">
        <f>IF(Sixteenth!H68="", "",Sixteenth!H68)</f>
        <v/>
      </c>
      <c r="I3815" s="66" t="str">
        <f>IF(Sixteenth!I68="", "",Sixteenth!I68)</f>
        <v/>
      </c>
      <c r="J3815" s="66" t="str">
        <f>IF(Sixteenth!J68="", "",Sixteenth!J68)</f>
        <v/>
      </c>
      <c r="K3815" s="86" t="str">
        <f>IF(Sixteenth!K68="", "",Sixteenth!K68)</f>
        <v/>
      </c>
      <c r="M3815" s="67" t="str">
        <f t="shared" si="179"/>
        <v/>
      </c>
      <c r="N3815" s="76" t="str">
        <f t="shared" si="180"/>
        <v/>
      </c>
      <c r="O3815" s="33">
        <f t="shared" si="178"/>
        <v>0</v>
      </c>
    </row>
    <row r="3816" spans="1:15" x14ac:dyDescent="0.25">
      <c r="A3816" s="64" t="s">
        <v>187</v>
      </c>
      <c r="B3816" s="79" t="str">
        <f>IF(Sixteenth!B69="", "",Sixteenth!B69)</f>
        <v/>
      </c>
      <c r="C3816" s="66" t="str">
        <f>IF(Sixteenth!C69="", "",Sixteenth!C69)</f>
        <v/>
      </c>
      <c r="D3816" s="66" t="str">
        <f>IF(Sixteenth!D69="", "",Sixteenth!D69)</f>
        <v/>
      </c>
      <c r="E3816" s="66" t="str">
        <f>IF(Sixteenth!E69="", "",Sixteenth!E69)</f>
        <v/>
      </c>
      <c r="F3816" s="66" t="str">
        <f>IF(Sixteenth!F69="", "",Sixteenth!F69)</f>
        <v/>
      </c>
      <c r="G3816" s="66" t="str">
        <f>IF(Sixteenth!G69="", "",Sixteenth!G69)</f>
        <v/>
      </c>
      <c r="H3816" s="66" t="str">
        <f>IF(Sixteenth!H69="", "",Sixteenth!H69)</f>
        <v/>
      </c>
      <c r="I3816" s="66" t="str">
        <f>IF(Sixteenth!I69="", "",Sixteenth!I69)</f>
        <v/>
      </c>
      <c r="J3816" s="66" t="str">
        <f>IF(Sixteenth!J69="", "",Sixteenth!J69)</f>
        <v/>
      </c>
      <c r="K3816" s="86" t="str">
        <f>IF(Sixteenth!K69="", "",Sixteenth!K69)</f>
        <v/>
      </c>
      <c r="M3816" s="67" t="str">
        <f t="shared" si="179"/>
        <v/>
      </c>
      <c r="N3816" s="76" t="str">
        <f t="shared" si="180"/>
        <v/>
      </c>
      <c r="O3816" s="33">
        <f t="shared" si="178"/>
        <v>0</v>
      </c>
    </row>
    <row r="3817" spans="1:15" x14ac:dyDescent="0.25">
      <c r="A3817" s="64" t="s">
        <v>187</v>
      </c>
      <c r="B3817" s="79" t="str">
        <f>IF(Sixteenth!B70="", "",Sixteenth!B70)</f>
        <v/>
      </c>
      <c r="C3817" s="66" t="str">
        <f>IF(Sixteenth!C70="", "",Sixteenth!C70)</f>
        <v/>
      </c>
      <c r="D3817" s="66" t="str">
        <f>IF(Sixteenth!D70="", "",Sixteenth!D70)</f>
        <v/>
      </c>
      <c r="E3817" s="66" t="str">
        <f>IF(Sixteenth!E70="", "",Sixteenth!E70)</f>
        <v/>
      </c>
      <c r="F3817" s="66" t="str">
        <f>IF(Sixteenth!F70="", "",Sixteenth!F70)</f>
        <v/>
      </c>
      <c r="G3817" s="66" t="str">
        <f>IF(Sixteenth!G70="", "",Sixteenth!G70)</f>
        <v/>
      </c>
      <c r="H3817" s="66" t="str">
        <f>IF(Sixteenth!H70="", "",Sixteenth!H70)</f>
        <v/>
      </c>
      <c r="I3817" s="66" t="str">
        <f>IF(Sixteenth!I70="", "",Sixteenth!I70)</f>
        <v/>
      </c>
      <c r="J3817" s="66" t="str">
        <f>IF(Sixteenth!J70="", "",Sixteenth!J70)</f>
        <v/>
      </c>
      <c r="K3817" s="86" t="str">
        <f>IF(Sixteenth!K70="", "",Sixteenth!K70)</f>
        <v/>
      </c>
      <c r="M3817" s="67" t="str">
        <f t="shared" si="179"/>
        <v/>
      </c>
      <c r="N3817" s="76" t="str">
        <f t="shared" si="180"/>
        <v/>
      </c>
      <c r="O3817" s="33">
        <f t="shared" si="178"/>
        <v>0</v>
      </c>
    </row>
    <row r="3818" spans="1:15" x14ac:dyDescent="0.25">
      <c r="A3818" s="64" t="s">
        <v>187</v>
      </c>
      <c r="B3818" s="79" t="str">
        <f>IF(Sixteenth!B71="", "",Sixteenth!B71)</f>
        <v/>
      </c>
      <c r="C3818" s="66" t="str">
        <f>IF(Sixteenth!C71="", "",Sixteenth!C71)</f>
        <v/>
      </c>
      <c r="D3818" s="66" t="str">
        <f>IF(Sixteenth!D71="", "",Sixteenth!D71)</f>
        <v/>
      </c>
      <c r="E3818" s="66" t="str">
        <f>IF(Sixteenth!E71="", "",Sixteenth!E71)</f>
        <v/>
      </c>
      <c r="F3818" s="66" t="str">
        <f>IF(Sixteenth!F71="", "",Sixteenth!F71)</f>
        <v/>
      </c>
      <c r="G3818" s="66" t="str">
        <f>IF(Sixteenth!G71="", "",Sixteenth!G71)</f>
        <v/>
      </c>
      <c r="H3818" s="66" t="str">
        <f>IF(Sixteenth!H71="", "",Sixteenth!H71)</f>
        <v/>
      </c>
      <c r="I3818" s="66" t="str">
        <f>IF(Sixteenth!I71="", "",Sixteenth!I71)</f>
        <v/>
      </c>
      <c r="J3818" s="66" t="str">
        <f>IF(Sixteenth!J71="", "",Sixteenth!J71)</f>
        <v/>
      </c>
      <c r="K3818" s="86" t="str">
        <f>IF(Sixteenth!K71="", "",Sixteenth!K71)</f>
        <v/>
      </c>
      <c r="M3818" s="67" t="str">
        <f t="shared" si="179"/>
        <v/>
      </c>
      <c r="N3818" s="76" t="str">
        <f t="shared" si="180"/>
        <v/>
      </c>
      <c r="O3818" s="33">
        <f t="shared" si="178"/>
        <v>0</v>
      </c>
    </row>
    <row r="3819" spans="1:15" x14ac:dyDescent="0.25">
      <c r="A3819" s="64" t="s">
        <v>187</v>
      </c>
      <c r="B3819" s="79" t="str">
        <f>IF(Sixteenth!B72="", "",Sixteenth!B72)</f>
        <v/>
      </c>
      <c r="C3819" s="66" t="str">
        <f>IF(Sixteenth!C72="", "",Sixteenth!C72)</f>
        <v/>
      </c>
      <c r="D3819" s="66" t="str">
        <f>IF(Sixteenth!D72="", "",Sixteenth!D72)</f>
        <v/>
      </c>
      <c r="E3819" s="66" t="str">
        <f>IF(Sixteenth!E72="", "",Sixteenth!E72)</f>
        <v/>
      </c>
      <c r="F3819" s="66" t="str">
        <f>IF(Sixteenth!F72="", "",Sixteenth!F72)</f>
        <v/>
      </c>
      <c r="G3819" s="66" t="str">
        <f>IF(Sixteenth!G72="", "",Sixteenth!G72)</f>
        <v/>
      </c>
      <c r="H3819" s="66" t="str">
        <f>IF(Sixteenth!H72="", "",Sixteenth!H72)</f>
        <v/>
      </c>
      <c r="I3819" s="66" t="str">
        <f>IF(Sixteenth!I72="", "",Sixteenth!I72)</f>
        <v/>
      </c>
      <c r="J3819" s="66" t="str">
        <f>IF(Sixteenth!J72="", "",Sixteenth!J72)</f>
        <v/>
      </c>
      <c r="K3819" s="86" t="str">
        <f>IF(Sixteenth!K72="", "",Sixteenth!K72)</f>
        <v/>
      </c>
      <c r="M3819" s="67" t="str">
        <f t="shared" si="179"/>
        <v/>
      </c>
      <c r="N3819" s="76" t="str">
        <f t="shared" si="180"/>
        <v/>
      </c>
      <c r="O3819" s="33">
        <f t="shared" si="178"/>
        <v>0</v>
      </c>
    </row>
    <row r="3820" spans="1:15" x14ac:dyDescent="0.25">
      <c r="A3820" s="64" t="s">
        <v>187</v>
      </c>
      <c r="B3820" s="79" t="str">
        <f>IF(Sixteenth!B73="", "",Sixteenth!B73)</f>
        <v/>
      </c>
      <c r="C3820" s="66" t="str">
        <f>IF(Sixteenth!C73="", "",Sixteenth!C73)</f>
        <v/>
      </c>
      <c r="D3820" s="66" t="str">
        <f>IF(Sixteenth!D73="", "",Sixteenth!D73)</f>
        <v/>
      </c>
      <c r="E3820" s="66" t="str">
        <f>IF(Sixteenth!E73="", "",Sixteenth!E73)</f>
        <v/>
      </c>
      <c r="F3820" s="66" t="str">
        <f>IF(Sixteenth!F73="", "",Sixteenth!F73)</f>
        <v/>
      </c>
      <c r="G3820" s="66" t="str">
        <f>IF(Sixteenth!G73="", "",Sixteenth!G73)</f>
        <v/>
      </c>
      <c r="H3820" s="66" t="str">
        <f>IF(Sixteenth!H73="", "",Sixteenth!H73)</f>
        <v/>
      </c>
      <c r="I3820" s="66" t="str">
        <f>IF(Sixteenth!I73="", "",Sixteenth!I73)</f>
        <v/>
      </c>
      <c r="J3820" s="66" t="str">
        <f>IF(Sixteenth!J73="", "",Sixteenth!J73)</f>
        <v/>
      </c>
      <c r="K3820" s="86" t="str">
        <f>IF(Sixteenth!K73="", "",Sixteenth!K73)</f>
        <v/>
      </c>
      <c r="M3820" s="67" t="str">
        <f t="shared" si="179"/>
        <v/>
      </c>
      <c r="N3820" s="76" t="str">
        <f t="shared" si="180"/>
        <v/>
      </c>
      <c r="O3820" s="33">
        <f t="shared" si="178"/>
        <v>0</v>
      </c>
    </row>
    <row r="3821" spans="1:15" x14ac:dyDescent="0.25">
      <c r="A3821" s="64" t="s">
        <v>187</v>
      </c>
      <c r="B3821" s="79" t="str">
        <f>IF(Sixteenth!B74="", "",Sixteenth!B74)</f>
        <v/>
      </c>
      <c r="C3821" s="66" t="str">
        <f>IF(Sixteenth!C74="", "",Sixteenth!C74)</f>
        <v/>
      </c>
      <c r="D3821" s="66" t="str">
        <f>IF(Sixteenth!D74="", "",Sixteenth!D74)</f>
        <v/>
      </c>
      <c r="E3821" s="66" t="str">
        <f>IF(Sixteenth!E74="", "",Sixteenth!E74)</f>
        <v/>
      </c>
      <c r="F3821" s="66" t="str">
        <f>IF(Sixteenth!F74="", "",Sixteenth!F74)</f>
        <v/>
      </c>
      <c r="G3821" s="66" t="str">
        <f>IF(Sixteenth!G74="", "",Sixteenth!G74)</f>
        <v/>
      </c>
      <c r="H3821" s="66" t="str">
        <f>IF(Sixteenth!H74="", "",Sixteenth!H74)</f>
        <v/>
      </c>
      <c r="I3821" s="66" t="str">
        <f>IF(Sixteenth!I74="", "",Sixteenth!I74)</f>
        <v/>
      </c>
      <c r="J3821" s="66" t="str">
        <f>IF(Sixteenth!J74="", "",Sixteenth!J74)</f>
        <v/>
      </c>
      <c r="K3821" s="86" t="str">
        <f>IF(Sixteenth!K74="", "",Sixteenth!K74)</f>
        <v/>
      </c>
      <c r="M3821" s="67" t="str">
        <f t="shared" si="179"/>
        <v/>
      </c>
      <c r="N3821" s="76" t="str">
        <f t="shared" si="180"/>
        <v/>
      </c>
      <c r="O3821" s="33">
        <f t="shared" si="178"/>
        <v>0</v>
      </c>
    </row>
    <row r="3822" spans="1:15" x14ac:dyDescent="0.25">
      <c r="A3822" s="64" t="s">
        <v>187</v>
      </c>
      <c r="B3822" s="79" t="str">
        <f>IF(Sixteenth!B75="", "",Sixteenth!B75)</f>
        <v/>
      </c>
      <c r="C3822" s="66" t="str">
        <f>IF(Sixteenth!C75="", "",Sixteenth!C75)</f>
        <v/>
      </c>
      <c r="D3822" s="66" t="str">
        <f>IF(Sixteenth!D75="", "",Sixteenth!D75)</f>
        <v/>
      </c>
      <c r="E3822" s="66" t="str">
        <f>IF(Sixteenth!E75="", "",Sixteenth!E75)</f>
        <v/>
      </c>
      <c r="F3822" s="66" t="str">
        <f>IF(Sixteenth!F75="", "",Sixteenth!F75)</f>
        <v/>
      </c>
      <c r="G3822" s="66" t="str">
        <f>IF(Sixteenth!G75="", "",Sixteenth!G75)</f>
        <v/>
      </c>
      <c r="H3822" s="66" t="str">
        <f>IF(Sixteenth!H75="", "",Sixteenth!H75)</f>
        <v/>
      </c>
      <c r="I3822" s="66" t="str">
        <f>IF(Sixteenth!I75="", "",Sixteenth!I75)</f>
        <v/>
      </c>
      <c r="J3822" s="66" t="str">
        <f>IF(Sixteenth!J75="", "",Sixteenth!J75)</f>
        <v/>
      </c>
      <c r="K3822" s="86" t="str">
        <f>IF(Sixteenth!K75="", "",Sixteenth!K75)</f>
        <v/>
      </c>
      <c r="M3822" s="67" t="str">
        <f t="shared" si="179"/>
        <v/>
      </c>
      <c r="N3822" s="76" t="str">
        <f t="shared" si="180"/>
        <v/>
      </c>
      <c r="O3822" s="33">
        <f t="shared" si="178"/>
        <v>0</v>
      </c>
    </row>
    <row r="3823" spans="1:15" x14ac:dyDescent="0.25">
      <c r="A3823" s="64" t="s">
        <v>187</v>
      </c>
      <c r="B3823" s="79" t="str">
        <f>IF(Sixteenth!B76="", "",Sixteenth!B76)</f>
        <v/>
      </c>
      <c r="C3823" s="66" t="str">
        <f>IF(Sixteenth!C76="", "",Sixteenth!C76)</f>
        <v/>
      </c>
      <c r="D3823" s="66" t="str">
        <f>IF(Sixteenth!D76="", "",Sixteenth!D76)</f>
        <v/>
      </c>
      <c r="E3823" s="66" t="str">
        <f>IF(Sixteenth!E76="", "",Sixteenth!E76)</f>
        <v/>
      </c>
      <c r="F3823" s="66" t="str">
        <f>IF(Sixteenth!F76="", "",Sixteenth!F76)</f>
        <v/>
      </c>
      <c r="G3823" s="66" t="str">
        <f>IF(Sixteenth!G76="", "",Sixteenth!G76)</f>
        <v/>
      </c>
      <c r="H3823" s="66" t="str">
        <f>IF(Sixteenth!H76="", "",Sixteenth!H76)</f>
        <v/>
      </c>
      <c r="I3823" s="66" t="str">
        <f>IF(Sixteenth!I76="", "",Sixteenth!I76)</f>
        <v/>
      </c>
      <c r="J3823" s="66" t="str">
        <f>IF(Sixteenth!J76="", "",Sixteenth!J76)</f>
        <v/>
      </c>
      <c r="K3823" s="86" t="str">
        <f>IF(Sixteenth!K76="", "",Sixteenth!K76)</f>
        <v/>
      </c>
      <c r="M3823" s="67" t="str">
        <f t="shared" si="179"/>
        <v/>
      </c>
      <c r="N3823" s="76" t="str">
        <f t="shared" si="180"/>
        <v/>
      </c>
      <c r="O3823" s="33">
        <f t="shared" si="178"/>
        <v>0</v>
      </c>
    </row>
    <row r="3824" spans="1:15" x14ac:dyDescent="0.25">
      <c r="A3824" s="64" t="s">
        <v>187</v>
      </c>
      <c r="B3824" s="79" t="str">
        <f>IF(Sixteenth!B77="", "",Sixteenth!B77)</f>
        <v/>
      </c>
      <c r="C3824" s="66" t="str">
        <f>IF(Sixteenth!C77="", "",Sixteenth!C77)</f>
        <v/>
      </c>
      <c r="D3824" s="66" t="str">
        <f>IF(Sixteenth!D77="", "",Sixteenth!D77)</f>
        <v/>
      </c>
      <c r="E3824" s="66" t="str">
        <f>IF(Sixteenth!E77="", "",Sixteenth!E77)</f>
        <v/>
      </c>
      <c r="F3824" s="66" t="str">
        <f>IF(Sixteenth!F77="", "",Sixteenth!F77)</f>
        <v/>
      </c>
      <c r="G3824" s="66" t="str">
        <f>IF(Sixteenth!G77="", "",Sixteenth!G77)</f>
        <v/>
      </c>
      <c r="H3824" s="66" t="str">
        <f>IF(Sixteenth!H77="", "",Sixteenth!H77)</f>
        <v/>
      </c>
      <c r="I3824" s="66" t="str">
        <f>IF(Sixteenth!I77="", "",Sixteenth!I77)</f>
        <v/>
      </c>
      <c r="J3824" s="66" t="str">
        <f>IF(Sixteenth!J77="", "",Sixteenth!J77)</f>
        <v/>
      </c>
      <c r="K3824" s="86" t="str">
        <f>IF(Sixteenth!K77="", "",Sixteenth!K77)</f>
        <v/>
      </c>
      <c r="M3824" s="67" t="str">
        <f t="shared" si="179"/>
        <v/>
      </c>
      <c r="N3824" s="76" t="str">
        <f t="shared" si="180"/>
        <v/>
      </c>
      <c r="O3824" s="33">
        <f t="shared" si="178"/>
        <v>0</v>
      </c>
    </row>
    <row r="3825" spans="1:15" x14ac:dyDescent="0.25">
      <c r="A3825" s="64" t="s">
        <v>187</v>
      </c>
      <c r="B3825" s="79" t="str">
        <f>IF(Sixteenth!B78="", "",Sixteenth!B78)</f>
        <v/>
      </c>
      <c r="C3825" s="66" t="str">
        <f>IF(Sixteenth!C78="", "",Sixteenth!C78)</f>
        <v/>
      </c>
      <c r="D3825" s="66" t="str">
        <f>IF(Sixteenth!D78="", "",Sixteenth!D78)</f>
        <v/>
      </c>
      <c r="E3825" s="66" t="str">
        <f>IF(Sixteenth!E78="", "",Sixteenth!E78)</f>
        <v/>
      </c>
      <c r="F3825" s="66" t="str">
        <f>IF(Sixteenth!F78="", "",Sixteenth!F78)</f>
        <v/>
      </c>
      <c r="G3825" s="66" t="str">
        <f>IF(Sixteenth!G78="", "",Sixteenth!G78)</f>
        <v/>
      </c>
      <c r="H3825" s="66" t="str">
        <f>IF(Sixteenth!H78="", "",Sixteenth!H78)</f>
        <v/>
      </c>
      <c r="I3825" s="66" t="str">
        <f>IF(Sixteenth!I78="", "",Sixteenth!I78)</f>
        <v/>
      </c>
      <c r="J3825" s="66" t="str">
        <f>IF(Sixteenth!J78="", "",Sixteenth!J78)</f>
        <v/>
      </c>
      <c r="K3825" s="86" t="str">
        <f>IF(Sixteenth!K78="", "",Sixteenth!K78)</f>
        <v/>
      </c>
      <c r="M3825" s="67" t="str">
        <f t="shared" si="179"/>
        <v/>
      </c>
      <c r="N3825" s="76" t="str">
        <f t="shared" si="180"/>
        <v/>
      </c>
      <c r="O3825" s="33">
        <f t="shared" si="178"/>
        <v>0</v>
      </c>
    </row>
    <row r="3826" spans="1:15" x14ac:dyDescent="0.25">
      <c r="A3826" s="64" t="s">
        <v>187</v>
      </c>
      <c r="B3826" s="79" t="str">
        <f>IF(Sixteenth!B79="", "",Sixteenth!B79)</f>
        <v/>
      </c>
      <c r="C3826" s="66" t="str">
        <f>IF(Sixteenth!C79="", "",Sixteenth!C79)</f>
        <v/>
      </c>
      <c r="D3826" s="66" t="str">
        <f>IF(Sixteenth!D79="", "",Sixteenth!D79)</f>
        <v/>
      </c>
      <c r="E3826" s="66" t="str">
        <f>IF(Sixteenth!E79="", "",Sixteenth!E79)</f>
        <v/>
      </c>
      <c r="F3826" s="66" t="str">
        <f>IF(Sixteenth!F79="", "",Sixteenth!F79)</f>
        <v/>
      </c>
      <c r="G3826" s="66" t="str">
        <f>IF(Sixteenth!G79="", "",Sixteenth!G79)</f>
        <v/>
      </c>
      <c r="H3826" s="66" t="str">
        <f>IF(Sixteenth!H79="", "",Sixteenth!H79)</f>
        <v/>
      </c>
      <c r="I3826" s="66" t="str">
        <f>IF(Sixteenth!I79="", "",Sixteenth!I79)</f>
        <v/>
      </c>
      <c r="J3826" s="66" t="str">
        <f>IF(Sixteenth!J79="", "",Sixteenth!J79)</f>
        <v/>
      </c>
      <c r="K3826" s="86" t="str">
        <f>IF(Sixteenth!K79="", "",Sixteenth!K79)</f>
        <v/>
      </c>
      <c r="M3826" s="67" t="str">
        <f t="shared" si="179"/>
        <v/>
      </c>
      <c r="N3826" s="76" t="str">
        <f t="shared" si="180"/>
        <v/>
      </c>
      <c r="O3826" s="33">
        <f t="shared" si="178"/>
        <v>0</v>
      </c>
    </row>
    <row r="3827" spans="1:15" x14ac:dyDescent="0.25">
      <c r="A3827" s="64" t="s">
        <v>187</v>
      </c>
      <c r="B3827" s="79" t="str">
        <f>IF(Sixteenth!B80="", "",Sixteenth!B80)</f>
        <v/>
      </c>
      <c r="C3827" s="66" t="str">
        <f>IF(Sixteenth!C80="", "",Sixteenth!C80)</f>
        <v/>
      </c>
      <c r="D3827" s="66" t="str">
        <f>IF(Sixteenth!D80="", "",Sixteenth!D80)</f>
        <v/>
      </c>
      <c r="E3827" s="66" t="str">
        <f>IF(Sixteenth!E80="", "",Sixteenth!E80)</f>
        <v/>
      </c>
      <c r="F3827" s="66" t="str">
        <f>IF(Sixteenth!F80="", "",Sixteenth!F80)</f>
        <v/>
      </c>
      <c r="G3827" s="66" t="str">
        <f>IF(Sixteenth!G80="", "",Sixteenth!G80)</f>
        <v/>
      </c>
      <c r="H3827" s="66" t="str">
        <f>IF(Sixteenth!H80="", "",Sixteenth!H80)</f>
        <v/>
      </c>
      <c r="I3827" s="66" t="str">
        <f>IF(Sixteenth!I80="", "",Sixteenth!I80)</f>
        <v/>
      </c>
      <c r="J3827" s="66" t="str">
        <f>IF(Sixteenth!J80="", "",Sixteenth!J80)</f>
        <v/>
      </c>
      <c r="K3827" s="86" t="str">
        <f>IF(Sixteenth!K80="", "",Sixteenth!K80)</f>
        <v/>
      </c>
      <c r="M3827" s="67" t="str">
        <f t="shared" si="179"/>
        <v/>
      </c>
      <c r="N3827" s="76" t="str">
        <f t="shared" si="180"/>
        <v/>
      </c>
      <c r="O3827" s="33">
        <f t="shared" si="178"/>
        <v>0</v>
      </c>
    </row>
    <row r="3828" spans="1:15" x14ac:dyDescent="0.25">
      <c r="A3828" s="64" t="s">
        <v>187</v>
      </c>
      <c r="B3828" s="79" t="str">
        <f>IF(Sixteenth!B81="", "",Sixteenth!B81)</f>
        <v/>
      </c>
      <c r="C3828" s="66" t="str">
        <f>IF(Sixteenth!C81="", "",Sixteenth!C81)</f>
        <v/>
      </c>
      <c r="D3828" s="66" t="str">
        <f>IF(Sixteenth!D81="", "",Sixteenth!D81)</f>
        <v/>
      </c>
      <c r="E3828" s="66" t="str">
        <f>IF(Sixteenth!E81="", "",Sixteenth!E81)</f>
        <v/>
      </c>
      <c r="F3828" s="66" t="str">
        <f>IF(Sixteenth!F81="", "",Sixteenth!F81)</f>
        <v/>
      </c>
      <c r="G3828" s="66" t="str">
        <f>IF(Sixteenth!G81="", "",Sixteenth!G81)</f>
        <v/>
      </c>
      <c r="H3828" s="66" t="str">
        <f>IF(Sixteenth!H81="", "",Sixteenth!H81)</f>
        <v/>
      </c>
      <c r="I3828" s="66" t="str">
        <f>IF(Sixteenth!I81="", "",Sixteenth!I81)</f>
        <v/>
      </c>
      <c r="J3828" s="66" t="str">
        <f>IF(Sixteenth!J81="", "",Sixteenth!J81)</f>
        <v/>
      </c>
      <c r="K3828" s="86" t="str">
        <f>IF(Sixteenth!K81="", "",Sixteenth!K81)</f>
        <v/>
      </c>
      <c r="M3828" s="67" t="str">
        <f t="shared" si="179"/>
        <v/>
      </c>
      <c r="N3828" s="76" t="str">
        <f t="shared" si="180"/>
        <v/>
      </c>
      <c r="O3828" s="33">
        <f t="shared" si="178"/>
        <v>0</v>
      </c>
    </row>
    <row r="3829" spans="1:15" x14ac:dyDescent="0.25">
      <c r="A3829" s="64" t="s">
        <v>187</v>
      </c>
      <c r="B3829" s="79" t="str">
        <f>IF(Sixteenth!B82="", "",Sixteenth!B82)</f>
        <v/>
      </c>
      <c r="C3829" s="66" t="str">
        <f>IF(Sixteenth!C82="", "",Sixteenth!C82)</f>
        <v/>
      </c>
      <c r="D3829" s="66" t="str">
        <f>IF(Sixteenth!D82="", "",Sixteenth!D82)</f>
        <v/>
      </c>
      <c r="E3829" s="66" t="str">
        <f>IF(Sixteenth!E82="", "",Sixteenth!E82)</f>
        <v/>
      </c>
      <c r="F3829" s="66" t="str">
        <f>IF(Sixteenth!F82="", "",Sixteenth!F82)</f>
        <v/>
      </c>
      <c r="G3829" s="66" t="str">
        <f>IF(Sixteenth!G82="", "",Sixteenth!G82)</f>
        <v/>
      </c>
      <c r="H3829" s="66" t="str">
        <f>IF(Sixteenth!H82="", "",Sixteenth!H82)</f>
        <v/>
      </c>
      <c r="I3829" s="66" t="str">
        <f>IF(Sixteenth!I82="", "",Sixteenth!I82)</f>
        <v/>
      </c>
      <c r="J3829" s="66" t="str">
        <f>IF(Sixteenth!J82="", "",Sixteenth!J82)</f>
        <v/>
      </c>
      <c r="K3829" s="86" t="str">
        <f>IF(Sixteenth!K82="", "",Sixteenth!K82)</f>
        <v/>
      </c>
      <c r="M3829" s="67" t="str">
        <f t="shared" si="179"/>
        <v/>
      </c>
      <c r="N3829" s="76" t="str">
        <f t="shared" si="180"/>
        <v/>
      </c>
      <c r="O3829" s="33">
        <f t="shared" si="178"/>
        <v>0</v>
      </c>
    </row>
    <row r="3830" spans="1:15" x14ac:dyDescent="0.25">
      <c r="A3830" s="64" t="s">
        <v>187</v>
      </c>
      <c r="B3830" s="79" t="str">
        <f>IF(Sixteenth!B83="", "",Sixteenth!B83)</f>
        <v/>
      </c>
      <c r="C3830" s="66" t="str">
        <f>IF(Sixteenth!C83="", "",Sixteenth!C83)</f>
        <v/>
      </c>
      <c r="D3830" s="66" t="str">
        <f>IF(Sixteenth!D83="", "",Sixteenth!D83)</f>
        <v/>
      </c>
      <c r="E3830" s="66" t="str">
        <f>IF(Sixteenth!E83="", "",Sixteenth!E83)</f>
        <v/>
      </c>
      <c r="F3830" s="66" t="str">
        <f>IF(Sixteenth!F83="", "",Sixteenth!F83)</f>
        <v/>
      </c>
      <c r="G3830" s="66" t="str">
        <f>IF(Sixteenth!G83="", "",Sixteenth!G83)</f>
        <v/>
      </c>
      <c r="H3830" s="66" t="str">
        <f>IF(Sixteenth!H83="", "",Sixteenth!H83)</f>
        <v/>
      </c>
      <c r="I3830" s="66" t="str">
        <f>IF(Sixteenth!I83="", "",Sixteenth!I83)</f>
        <v/>
      </c>
      <c r="J3830" s="66" t="str">
        <f>IF(Sixteenth!J83="", "",Sixteenth!J83)</f>
        <v/>
      </c>
      <c r="K3830" s="86" t="str">
        <f>IF(Sixteenth!K83="", "",Sixteenth!K83)</f>
        <v/>
      </c>
      <c r="M3830" s="67" t="str">
        <f t="shared" si="179"/>
        <v/>
      </c>
      <c r="N3830" s="76" t="str">
        <f t="shared" si="180"/>
        <v/>
      </c>
      <c r="O3830" s="33">
        <f t="shared" si="178"/>
        <v>0</v>
      </c>
    </row>
    <row r="3831" spans="1:15" x14ac:dyDescent="0.25">
      <c r="A3831" s="64" t="s">
        <v>187</v>
      </c>
      <c r="B3831" s="79" t="str">
        <f>IF(Sixteenth!B84="", "",Sixteenth!B84)</f>
        <v/>
      </c>
      <c r="C3831" s="66" t="str">
        <f>IF(Sixteenth!C84="", "",Sixteenth!C84)</f>
        <v/>
      </c>
      <c r="D3831" s="66" t="str">
        <f>IF(Sixteenth!D84="", "",Sixteenth!D84)</f>
        <v/>
      </c>
      <c r="E3831" s="66" t="str">
        <f>IF(Sixteenth!E84="", "",Sixteenth!E84)</f>
        <v/>
      </c>
      <c r="F3831" s="66" t="str">
        <f>IF(Sixteenth!F84="", "",Sixteenth!F84)</f>
        <v/>
      </c>
      <c r="G3831" s="66" t="str">
        <f>IF(Sixteenth!G84="", "",Sixteenth!G84)</f>
        <v/>
      </c>
      <c r="H3831" s="66" t="str">
        <f>IF(Sixteenth!H84="", "",Sixteenth!H84)</f>
        <v/>
      </c>
      <c r="I3831" s="66" t="str">
        <f>IF(Sixteenth!I84="", "",Sixteenth!I84)</f>
        <v/>
      </c>
      <c r="J3831" s="66" t="str">
        <f>IF(Sixteenth!J84="", "",Sixteenth!J84)</f>
        <v/>
      </c>
      <c r="K3831" s="86" t="str">
        <f>IF(Sixteenth!K84="", "",Sixteenth!K84)</f>
        <v/>
      </c>
      <c r="M3831" s="67" t="str">
        <f t="shared" si="179"/>
        <v/>
      </c>
      <c r="N3831" s="76" t="str">
        <f t="shared" si="180"/>
        <v/>
      </c>
      <c r="O3831" s="33">
        <f t="shared" si="178"/>
        <v>0</v>
      </c>
    </row>
    <row r="3832" spans="1:15" x14ac:dyDescent="0.25">
      <c r="A3832" s="64" t="s">
        <v>187</v>
      </c>
      <c r="B3832" s="79" t="str">
        <f>IF(Sixteenth!B85="", "",Sixteenth!B85)</f>
        <v/>
      </c>
      <c r="C3832" s="66" t="str">
        <f>IF(Sixteenth!C85="", "",Sixteenth!C85)</f>
        <v/>
      </c>
      <c r="D3832" s="66" t="str">
        <f>IF(Sixteenth!D85="", "",Sixteenth!D85)</f>
        <v/>
      </c>
      <c r="E3832" s="66" t="str">
        <f>IF(Sixteenth!E85="", "",Sixteenth!E85)</f>
        <v/>
      </c>
      <c r="F3832" s="66" t="str">
        <f>IF(Sixteenth!F85="", "",Sixteenth!F85)</f>
        <v/>
      </c>
      <c r="G3832" s="66" t="str">
        <f>IF(Sixteenth!G85="", "",Sixteenth!G85)</f>
        <v/>
      </c>
      <c r="H3832" s="66" t="str">
        <f>IF(Sixteenth!H85="", "",Sixteenth!H85)</f>
        <v/>
      </c>
      <c r="I3832" s="66" t="str">
        <f>IF(Sixteenth!I85="", "",Sixteenth!I85)</f>
        <v/>
      </c>
      <c r="J3832" s="66" t="str">
        <f>IF(Sixteenth!J85="", "",Sixteenth!J85)</f>
        <v/>
      </c>
      <c r="K3832" s="86" t="str">
        <f>IF(Sixteenth!K85="", "",Sixteenth!K85)</f>
        <v/>
      </c>
      <c r="M3832" s="67" t="str">
        <f t="shared" si="179"/>
        <v/>
      </c>
      <c r="N3832" s="76" t="str">
        <f t="shared" si="180"/>
        <v/>
      </c>
      <c r="O3832" s="33">
        <f t="shared" si="178"/>
        <v>0</v>
      </c>
    </row>
    <row r="3833" spans="1:15" x14ac:dyDescent="0.25">
      <c r="A3833" s="64" t="s">
        <v>187</v>
      </c>
      <c r="B3833" s="79" t="str">
        <f>IF(Sixteenth!B86="", "",Sixteenth!B86)</f>
        <v/>
      </c>
      <c r="C3833" s="66" t="str">
        <f>IF(Sixteenth!C86="", "",Sixteenth!C86)</f>
        <v/>
      </c>
      <c r="D3833" s="66" t="str">
        <f>IF(Sixteenth!D86="", "",Sixteenth!D86)</f>
        <v/>
      </c>
      <c r="E3833" s="66" t="str">
        <f>IF(Sixteenth!E86="", "",Sixteenth!E86)</f>
        <v/>
      </c>
      <c r="F3833" s="66" t="str">
        <f>IF(Sixteenth!F86="", "",Sixteenth!F86)</f>
        <v/>
      </c>
      <c r="G3833" s="66" t="str">
        <f>IF(Sixteenth!G86="", "",Sixteenth!G86)</f>
        <v/>
      </c>
      <c r="H3833" s="66" t="str">
        <f>IF(Sixteenth!H86="", "",Sixteenth!H86)</f>
        <v/>
      </c>
      <c r="I3833" s="66" t="str">
        <f>IF(Sixteenth!I86="", "",Sixteenth!I86)</f>
        <v/>
      </c>
      <c r="J3833" s="66" t="str">
        <f>IF(Sixteenth!J86="", "",Sixteenth!J86)</f>
        <v/>
      </c>
      <c r="K3833" s="86" t="str">
        <f>IF(Sixteenth!K86="", "",Sixteenth!K86)</f>
        <v/>
      </c>
      <c r="M3833" s="67" t="str">
        <f t="shared" si="179"/>
        <v/>
      </c>
      <c r="N3833" s="76" t="str">
        <f t="shared" si="180"/>
        <v/>
      </c>
      <c r="O3833" s="33">
        <f t="shared" si="178"/>
        <v>0</v>
      </c>
    </row>
    <row r="3834" spans="1:15" x14ac:dyDescent="0.25">
      <c r="A3834" s="64" t="s">
        <v>187</v>
      </c>
      <c r="B3834" s="79" t="str">
        <f>IF(Sixteenth!B87="", "",Sixteenth!B87)</f>
        <v/>
      </c>
      <c r="C3834" s="66" t="str">
        <f>IF(Sixteenth!C87="", "",Sixteenth!C87)</f>
        <v/>
      </c>
      <c r="D3834" s="66" t="str">
        <f>IF(Sixteenth!D87="", "",Sixteenth!D87)</f>
        <v/>
      </c>
      <c r="E3834" s="66" t="str">
        <f>IF(Sixteenth!E87="", "",Sixteenth!E87)</f>
        <v/>
      </c>
      <c r="F3834" s="66" t="str">
        <f>IF(Sixteenth!F87="", "",Sixteenth!F87)</f>
        <v/>
      </c>
      <c r="G3834" s="66" t="str">
        <f>IF(Sixteenth!G87="", "",Sixteenth!G87)</f>
        <v/>
      </c>
      <c r="H3834" s="66" t="str">
        <f>IF(Sixteenth!H87="", "",Sixteenth!H87)</f>
        <v/>
      </c>
      <c r="I3834" s="66" t="str">
        <f>IF(Sixteenth!I87="", "",Sixteenth!I87)</f>
        <v/>
      </c>
      <c r="J3834" s="66" t="str">
        <f>IF(Sixteenth!J87="", "",Sixteenth!J87)</f>
        <v/>
      </c>
      <c r="K3834" s="86" t="str">
        <f>IF(Sixteenth!K87="", "",Sixteenth!K87)</f>
        <v/>
      </c>
      <c r="M3834" s="67" t="str">
        <f t="shared" si="179"/>
        <v/>
      </c>
      <c r="N3834" s="76" t="str">
        <f t="shared" si="180"/>
        <v/>
      </c>
      <c r="O3834" s="33">
        <f t="shared" si="178"/>
        <v>0</v>
      </c>
    </row>
    <row r="3835" spans="1:15" x14ac:dyDescent="0.25">
      <c r="A3835" s="64" t="s">
        <v>187</v>
      </c>
      <c r="B3835" s="79" t="str">
        <f>IF(Sixteenth!B88="", "",Sixteenth!B88)</f>
        <v/>
      </c>
      <c r="C3835" s="66" t="str">
        <f>IF(Sixteenth!C88="", "",Sixteenth!C88)</f>
        <v/>
      </c>
      <c r="D3835" s="66" t="str">
        <f>IF(Sixteenth!D88="", "",Sixteenth!D88)</f>
        <v/>
      </c>
      <c r="E3835" s="66" t="str">
        <f>IF(Sixteenth!E88="", "",Sixteenth!E88)</f>
        <v/>
      </c>
      <c r="F3835" s="66" t="str">
        <f>IF(Sixteenth!F88="", "",Sixteenth!F88)</f>
        <v/>
      </c>
      <c r="G3835" s="66" t="str">
        <f>IF(Sixteenth!G88="", "",Sixteenth!G88)</f>
        <v/>
      </c>
      <c r="H3835" s="66" t="str">
        <f>IF(Sixteenth!H88="", "",Sixteenth!H88)</f>
        <v/>
      </c>
      <c r="I3835" s="66" t="str">
        <f>IF(Sixteenth!I88="", "",Sixteenth!I88)</f>
        <v/>
      </c>
      <c r="J3835" s="66" t="str">
        <f>IF(Sixteenth!J88="", "",Sixteenth!J88)</f>
        <v/>
      </c>
      <c r="K3835" s="86" t="str">
        <f>IF(Sixteenth!K88="", "",Sixteenth!K88)</f>
        <v/>
      </c>
      <c r="M3835" s="67" t="str">
        <f t="shared" si="179"/>
        <v/>
      </c>
      <c r="N3835" s="76" t="str">
        <f t="shared" si="180"/>
        <v/>
      </c>
      <c r="O3835" s="33">
        <f t="shared" si="178"/>
        <v>0</v>
      </c>
    </row>
    <row r="3836" spans="1:15" x14ac:dyDescent="0.25">
      <c r="A3836" s="64" t="s">
        <v>187</v>
      </c>
      <c r="B3836" s="79" t="str">
        <f>IF(Sixteenth!B89="", "",Sixteenth!B89)</f>
        <v/>
      </c>
      <c r="C3836" s="66" t="str">
        <f>IF(Sixteenth!C89="", "",Sixteenth!C89)</f>
        <v/>
      </c>
      <c r="D3836" s="66" t="str">
        <f>IF(Sixteenth!D89="", "",Sixteenth!D89)</f>
        <v/>
      </c>
      <c r="E3836" s="66" t="str">
        <f>IF(Sixteenth!E89="", "",Sixteenth!E89)</f>
        <v/>
      </c>
      <c r="F3836" s="66" t="str">
        <f>IF(Sixteenth!F89="", "",Sixteenth!F89)</f>
        <v/>
      </c>
      <c r="G3836" s="66" t="str">
        <f>IF(Sixteenth!G89="", "",Sixteenth!G89)</f>
        <v/>
      </c>
      <c r="H3836" s="66" t="str">
        <f>IF(Sixteenth!H89="", "",Sixteenth!H89)</f>
        <v/>
      </c>
      <c r="I3836" s="66" t="str">
        <f>IF(Sixteenth!I89="", "",Sixteenth!I89)</f>
        <v/>
      </c>
      <c r="J3836" s="66" t="str">
        <f>IF(Sixteenth!J89="", "",Sixteenth!J89)</f>
        <v/>
      </c>
      <c r="K3836" s="86" t="str">
        <f>IF(Sixteenth!K89="", "",Sixteenth!K89)</f>
        <v/>
      </c>
      <c r="M3836" s="67" t="str">
        <f t="shared" si="179"/>
        <v/>
      </c>
      <c r="N3836" s="76" t="str">
        <f t="shared" si="180"/>
        <v/>
      </c>
      <c r="O3836" s="33">
        <f t="shared" si="178"/>
        <v>0</v>
      </c>
    </row>
    <row r="3837" spans="1:15" x14ac:dyDescent="0.25">
      <c r="A3837" s="64" t="s">
        <v>187</v>
      </c>
      <c r="B3837" s="79" t="str">
        <f>IF(Sixteenth!B90="", "",Sixteenth!B90)</f>
        <v/>
      </c>
      <c r="C3837" s="66" t="str">
        <f>IF(Sixteenth!C90="", "",Sixteenth!C90)</f>
        <v/>
      </c>
      <c r="D3837" s="66" t="str">
        <f>IF(Sixteenth!D90="", "",Sixteenth!D90)</f>
        <v/>
      </c>
      <c r="E3837" s="66" t="str">
        <f>IF(Sixteenth!E90="", "",Sixteenth!E90)</f>
        <v/>
      </c>
      <c r="F3837" s="66" t="str">
        <f>IF(Sixteenth!F90="", "",Sixteenth!F90)</f>
        <v/>
      </c>
      <c r="G3837" s="66" t="str">
        <f>IF(Sixteenth!G90="", "",Sixteenth!G90)</f>
        <v/>
      </c>
      <c r="H3837" s="66" t="str">
        <f>IF(Sixteenth!H90="", "",Sixteenth!H90)</f>
        <v/>
      </c>
      <c r="I3837" s="66" t="str">
        <f>IF(Sixteenth!I90="", "",Sixteenth!I90)</f>
        <v/>
      </c>
      <c r="J3837" s="66" t="str">
        <f>IF(Sixteenth!J90="", "",Sixteenth!J90)</f>
        <v/>
      </c>
      <c r="K3837" s="86" t="str">
        <f>IF(Sixteenth!K90="", "",Sixteenth!K90)</f>
        <v/>
      </c>
      <c r="M3837" s="67" t="str">
        <f t="shared" si="179"/>
        <v/>
      </c>
      <c r="N3837" s="76" t="str">
        <f t="shared" si="180"/>
        <v/>
      </c>
      <c r="O3837" s="33">
        <f t="shared" si="178"/>
        <v>0</v>
      </c>
    </row>
    <row r="3838" spans="1:15" x14ac:dyDescent="0.25">
      <c r="A3838" s="64" t="s">
        <v>187</v>
      </c>
      <c r="B3838" s="79" t="str">
        <f>IF(Sixteenth!B91="", "",Sixteenth!B91)</f>
        <v/>
      </c>
      <c r="C3838" s="66" t="str">
        <f>IF(Sixteenth!C91="", "",Sixteenth!C91)</f>
        <v/>
      </c>
      <c r="D3838" s="66" t="str">
        <f>IF(Sixteenth!D91="", "",Sixteenth!D91)</f>
        <v/>
      </c>
      <c r="E3838" s="66" t="str">
        <f>IF(Sixteenth!E91="", "",Sixteenth!E91)</f>
        <v/>
      </c>
      <c r="F3838" s="66" t="str">
        <f>IF(Sixteenth!F91="", "",Sixteenth!F91)</f>
        <v/>
      </c>
      <c r="G3838" s="66" t="str">
        <f>IF(Sixteenth!G91="", "",Sixteenth!G91)</f>
        <v/>
      </c>
      <c r="H3838" s="66" t="str">
        <f>IF(Sixteenth!H91="", "",Sixteenth!H91)</f>
        <v/>
      </c>
      <c r="I3838" s="66" t="str">
        <f>IF(Sixteenth!I91="", "",Sixteenth!I91)</f>
        <v/>
      </c>
      <c r="J3838" s="66" t="str">
        <f>IF(Sixteenth!J91="", "",Sixteenth!J91)</f>
        <v/>
      </c>
      <c r="K3838" s="86" t="str">
        <f>IF(Sixteenth!K91="", "",Sixteenth!K91)</f>
        <v/>
      </c>
      <c r="M3838" s="67" t="str">
        <f t="shared" si="179"/>
        <v/>
      </c>
      <c r="N3838" s="76" t="str">
        <f t="shared" si="180"/>
        <v/>
      </c>
      <c r="O3838" s="33">
        <f t="shared" si="178"/>
        <v>0</v>
      </c>
    </row>
    <row r="3839" spans="1:15" x14ac:dyDescent="0.25">
      <c r="A3839" s="64" t="s">
        <v>187</v>
      </c>
      <c r="B3839" s="79" t="str">
        <f>IF(Sixteenth!B92="", "",Sixteenth!B92)</f>
        <v/>
      </c>
      <c r="C3839" s="66" t="str">
        <f>IF(Sixteenth!C92="", "",Sixteenth!C92)</f>
        <v/>
      </c>
      <c r="D3839" s="66" t="str">
        <f>IF(Sixteenth!D92="", "",Sixteenth!D92)</f>
        <v/>
      </c>
      <c r="E3839" s="66" t="str">
        <f>IF(Sixteenth!E92="", "",Sixteenth!E92)</f>
        <v/>
      </c>
      <c r="F3839" s="66" t="str">
        <f>IF(Sixteenth!F92="", "",Sixteenth!F92)</f>
        <v/>
      </c>
      <c r="G3839" s="66" t="str">
        <f>IF(Sixteenth!G92="", "",Sixteenth!G92)</f>
        <v/>
      </c>
      <c r="H3839" s="66" t="str">
        <f>IF(Sixteenth!H92="", "",Sixteenth!H92)</f>
        <v/>
      </c>
      <c r="I3839" s="66" t="str">
        <f>IF(Sixteenth!I92="", "",Sixteenth!I92)</f>
        <v/>
      </c>
      <c r="J3839" s="66" t="str">
        <f>IF(Sixteenth!J92="", "",Sixteenth!J92)</f>
        <v/>
      </c>
      <c r="K3839" s="86" t="str">
        <f>IF(Sixteenth!K92="", "",Sixteenth!K92)</f>
        <v/>
      </c>
      <c r="M3839" s="67" t="str">
        <f t="shared" si="179"/>
        <v/>
      </c>
      <c r="N3839" s="76" t="str">
        <f t="shared" si="180"/>
        <v/>
      </c>
      <c r="O3839" s="33">
        <f t="shared" si="178"/>
        <v>0</v>
      </c>
    </row>
    <row r="3840" spans="1:15" x14ac:dyDescent="0.25">
      <c r="A3840" s="64" t="s">
        <v>187</v>
      </c>
      <c r="B3840" s="79" t="str">
        <f>IF(Sixteenth!B93="", "",Sixteenth!B93)</f>
        <v/>
      </c>
      <c r="C3840" s="66" t="str">
        <f>IF(Sixteenth!C93="", "",Sixteenth!C93)</f>
        <v/>
      </c>
      <c r="D3840" s="66" t="str">
        <f>IF(Sixteenth!D93="", "",Sixteenth!D93)</f>
        <v/>
      </c>
      <c r="E3840" s="66" t="str">
        <f>IF(Sixteenth!E93="", "",Sixteenth!E93)</f>
        <v/>
      </c>
      <c r="F3840" s="66" t="str">
        <f>IF(Sixteenth!F93="", "",Sixteenth!F93)</f>
        <v/>
      </c>
      <c r="G3840" s="66" t="str">
        <f>IF(Sixteenth!G93="", "",Sixteenth!G93)</f>
        <v/>
      </c>
      <c r="H3840" s="66" t="str">
        <f>IF(Sixteenth!H93="", "",Sixteenth!H93)</f>
        <v/>
      </c>
      <c r="I3840" s="66" t="str">
        <f>IF(Sixteenth!I93="", "",Sixteenth!I93)</f>
        <v/>
      </c>
      <c r="J3840" s="66" t="str">
        <f>IF(Sixteenth!J93="", "",Sixteenth!J93)</f>
        <v/>
      </c>
      <c r="K3840" s="86" t="str">
        <f>IF(Sixteenth!K93="", "",Sixteenth!K93)</f>
        <v/>
      </c>
      <c r="M3840" s="67" t="str">
        <f t="shared" si="179"/>
        <v/>
      </c>
      <c r="N3840" s="76" t="str">
        <f t="shared" si="180"/>
        <v/>
      </c>
      <c r="O3840" s="33">
        <f t="shared" si="178"/>
        <v>0</v>
      </c>
    </row>
    <row r="3841" spans="1:15" x14ac:dyDescent="0.25">
      <c r="A3841" s="64" t="s">
        <v>187</v>
      </c>
      <c r="B3841" s="79" t="str">
        <f>IF(Sixteenth!B94="", "",Sixteenth!B94)</f>
        <v/>
      </c>
      <c r="C3841" s="66" t="str">
        <f>IF(Sixteenth!C94="", "",Sixteenth!C94)</f>
        <v/>
      </c>
      <c r="D3841" s="66" t="str">
        <f>IF(Sixteenth!D94="", "",Sixteenth!D94)</f>
        <v/>
      </c>
      <c r="E3841" s="66" t="str">
        <f>IF(Sixteenth!E94="", "",Sixteenth!E94)</f>
        <v/>
      </c>
      <c r="F3841" s="66" t="str">
        <f>IF(Sixteenth!F94="", "",Sixteenth!F94)</f>
        <v/>
      </c>
      <c r="G3841" s="66" t="str">
        <f>IF(Sixteenth!G94="", "",Sixteenth!G94)</f>
        <v/>
      </c>
      <c r="H3841" s="66" t="str">
        <f>IF(Sixteenth!H94="", "",Sixteenth!H94)</f>
        <v/>
      </c>
      <c r="I3841" s="66" t="str">
        <f>IF(Sixteenth!I94="", "",Sixteenth!I94)</f>
        <v/>
      </c>
      <c r="J3841" s="66" t="str">
        <f>IF(Sixteenth!J94="", "",Sixteenth!J94)</f>
        <v/>
      </c>
      <c r="K3841" s="86" t="str">
        <f>IF(Sixteenth!K94="", "",Sixteenth!K94)</f>
        <v/>
      </c>
      <c r="M3841" s="67" t="str">
        <f t="shared" si="179"/>
        <v/>
      </c>
      <c r="N3841" s="76" t="str">
        <f t="shared" si="180"/>
        <v/>
      </c>
      <c r="O3841" s="33">
        <f t="shared" si="178"/>
        <v>0</v>
      </c>
    </row>
    <row r="3842" spans="1:15" x14ac:dyDescent="0.25">
      <c r="A3842" s="64" t="s">
        <v>187</v>
      </c>
      <c r="B3842" s="79" t="str">
        <f>IF(Sixteenth!B95="", "",Sixteenth!B95)</f>
        <v/>
      </c>
      <c r="C3842" s="66" t="str">
        <f>IF(Sixteenth!C95="", "",Sixteenth!C95)</f>
        <v/>
      </c>
      <c r="D3842" s="66" t="str">
        <f>IF(Sixteenth!D95="", "",Sixteenth!D95)</f>
        <v/>
      </c>
      <c r="E3842" s="66" t="str">
        <f>IF(Sixteenth!E95="", "",Sixteenth!E95)</f>
        <v/>
      </c>
      <c r="F3842" s="66" t="str">
        <f>IF(Sixteenth!F95="", "",Sixteenth!F95)</f>
        <v/>
      </c>
      <c r="G3842" s="66" t="str">
        <f>IF(Sixteenth!G95="", "",Sixteenth!G95)</f>
        <v/>
      </c>
      <c r="H3842" s="66" t="str">
        <f>IF(Sixteenth!H95="", "",Sixteenth!H95)</f>
        <v/>
      </c>
      <c r="I3842" s="66" t="str">
        <f>IF(Sixteenth!I95="", "",Sixteenth!I95)</f>
        <v/>
      </c>
      <c r="J3842" s="66" t="str">
        <f>IF(Sixteenth!J95="", "",Sixteenth!J95)</f>
        <v/>
      </c>
      <c r="K3842" s="86" t="str">
        <f>IF(Sixteenth!K95="", "",Sixteenth!K95)</f>
        <v/>
      </c>
      <c r="M3842" s="67" t="str">
        <f t="shared" si="179"/>
        <v/>
      </c>
      <c r="N3842" s="76" t="str">
        <f t="shared" si="180"/>
        <v/>
      </c>
      <c r="O3842" s="33">
        <f t="shared" ref="O3842:O3905" si="181">SUM(M3842:N3842)</f>
        <v>0</v>
      </c>
    </row>
    <row r="3843" spans="1:15" x14ac:dyDescent="0.25">
      <c r="A3843" s="64" t="s">
        <v>187</v>
      </c>
      <c r="B3843" s="79" t="str">
        <f>IF(Sixteenth!B96="", "",Sixteenth!B96)</f>
        <v/>
      </c>
      <c r="C3843" s="66" t="str">
        <f>IF(Sixteenth!C96="", "",Sixteenth!C96)</f>
        <v/>
      </c>
      <c r="D3843" s="66" t="str">
        <f>IF(Sixteenth!D96="", "",Sixteenth!D96)</f>
        <v/>
      </c>
      <c r="E3843" s="66" t="str">
        <f>IF(Sixteenth!E96="", "",Sixteenth!E96)</f>
        <v/>
      </c>
      <c r="F3843" s="66" t="str">
        <f>IF(Sixteenth!F96="", "",Sixteenth!F96)</f>
        <v/>
      </c>
      <c r="G3843" s="66" t="str">
        <f>IF(Sixteenth!G96="", "",Sixteenth!G96)</f>
        <v/>
      </c>
      <c r="H3843" s="66" t="str">
        <f>IF(Sixteenth!H96="", "",Sixteenth!H96)</f>
        <v/>
      </c>
      <c r="I3843" s="66" t="str">
        <f>IF(Sixteenth!I96="", "",Sixteenth!I96)</f>
        <v/>
      </c>
      <c r="J3843" s="66" t="str">
        <f>IF(Sixteenth!J96="", "",Sixteenth!J96)</f>
        <v/>
      </c>
      <c r="K3843" s="86" t="str">
        <f>IF(Sixteenth!K96="", "",Sixteenth!K96)</f>
        <v/>
      </c>
      <c r="M3843" s="67" t="str">
        <f t="shared" ref="M3843:M3906" si="182">IF(C3843="PwC",(7-COUNTIF(B3843:H3843,"")),"")</f>
        <v/>
      </c>
      <c r="N3843" s="76" t="str">
        <f t="shared" ref="N3843:N3906" si="183">IF(C3843="Carer",(7-COUNTIF(B3843:H3843,"")),"")</f>
        <v/>
      </c>
      <c r="O3843" s="33">
        <f t="shared" si="181"/>
        <v>0</v>
      </c>
    </row>
    <row r="3844" spans="1:15" x14ac:dyDescent="0.25">
      <c r="A3844" s="64" t="s">
        <v>187</v>
      </c>
      <c r="B3844" s="79" t="str">
        <f>IF(Sixteenth!B97="", "",Sixteenth!B97)</f>
        <v/>
      </c>
      <c r="C3844" s="66" t="str">
        <f>IF(Sixteenth!C97="", "",Sixteenth!C97)</f>
        <v/>
      </c>
      <c r="D3844" s="66" t="str">
        <f>IF(Sixteenth!D97="", "",Sixteenth!D97)</f>
        <v/>
      </c>
      <c r="E3844" s="66" t="str">
        <f>IF(Sixteenth!E97="", "",Sixteenth!E97)</f>
        <v/>
      </c>
      <c r="F3844" s="66" t="str">
        <f>IF(Sixteenth!F97="", "",Sixteenth!F97)</f>
        <v/>
      </c>
      <c r="G3844" s="66" t="str">
        <f>IF(Sixteenth!G97="", "",Sixteenth!G97)</f>
        <v/>
      </c>
      <c r="H3844" s="66" t="str">
        <f>IF(Sixteenth!H97="", "",Sixteenth!H97)</f>
        <v/>
      </c>
      <c r="I3844" s="66" t="str">
        <f>IF(Sixteenth!I97="", "",Sixteenth!I97)</f>
        <v/>
      </c>
      <c r="J3844" s="66" t="str">
        <f>IF(Sixteenth!J97="", "",Sixteenth!J97)</f>
        <v/>
      </c>
      <c r="K3844" s="86" t="str">
        <f>IF(Sixteenth!K97="", "",Sixteenth!K97)</f>
        <v/>
      </c>
      <c r="M3844" s="67" t="str">
        <f t="shared" si="182"/>
        <v/>
      </c>
      <c r="N3844" s="76" t="str">
        <f t="shared" si="183"/>
        <v/>
      </c>
      <c r="O3844" s="33">
        <f t="shared" si="181"/>
        <v>0</v>
      </c>
    </row>
    <row r="3845" spans="1:15" x14ac:dyDescent="0.25">
      <c r="A3845" s="64" t="s">
        <v>187</v>
      </c>
      <c r="B3845" s="79" t="str">
        <f>IF(Sixteenth!B98="", "",Sixteenth!B98)</f>
        <v/>
      </c>
      <c r="C3845" s="66" t="str">
        <f>IF(Sixteenth!C98="", "",Sixteenth!C98)</f>
        <v/>
      </c>
      <c r="D3845" s="66" t="str">
        <f>IF(Sixteenth!D98="", "",Sixteenth!D98)</f>
        <v/>
      </c>
      <c r="E3845" s="66" t="str">
        <f>IF(Sixteenth!E98="", "",Sixteenth!E98)</f>
        <v/>
      </c>
      <c r="F3845" s="66" t="str">
        <f>IF(Sixteenth!F98="", "",Sixteenth!F98)</f>
        <v/>
      </c>
      <c r="G3845" s="66" t="str">
        <f>IF(Sixteenth!G98="", "",Sixteenth!G98)</f>
        <v/>
      </c>
      <c r="H3845" s="66" t="str">
        <f>IF(Sixteenth!H98="", "",Sixteenth!H98)</f>
        <v/>
      </c>
      <c r="I3845" s="66" t="str">
        <f>IF(Sixteenth!I98="", "",Sixteenth!I98)</f>
        <v/>
      </c>
      <c r="J3845" s="66" t="str">
        <f>IF(Sixteenth!J98="", "",Sixteenth!J98)</f>
        <v/>
      </c>
      <c r="K3845" s="86" t="str">
        <f>IF(Sixteenth!K98="", "",Sixteenth!K98)</f>
        <v/>
      </c>
      <c r="M3845" s="67" t="str">
        <f t="shared" si="182"/>
        <v/>
      </c>
      <c r="N3845" s="76" t="str">
        <f t="shared" si="183"/>
        <v/>
      </c>
      <c r="O3845" s="33">
        <f t="shared" si="181"/>
        <v>0</v>
      </c>
    </row>
    <row r="3846" spans="1:15" x14ac:dyDescent="0.25">
      <c r="A3846" s="64" t="s">
        <v>187</v>
      </c>
      <c r="B3846" s="79" t="str">
        <f>IF(Sixteenth!B99="", "",Sixteenth!B99)</f>
        <v/>
      </c>
      <c r="C3846" s="66" t="str">
        <f>IF(Sixteenth!C99="", "",Sixteenth!C99)</f>
        <v/>
      </c>
      <c r="D3846" s="66" t="str">
        <f>IF(Sixteenth!D99="", "",Sixteenth!D99)</f>
        <v/>
      </c>
      <c r="E3846" s="66" t="str">
        <f>IF(Sixteenth!E99="", "",Sixteenth!E99)</f>
        <v/>
      </c>
      <c r="F3846" s="66" t="str">
        <f>IF(Sixteenth!F99="", "",Sixteenth!F99)</f>
        <v/>
      </c>
      <c r="G3846" s="66" t="str">
        <f>IF(Sixteenth!G99="", "",Sixteenth!G99)</f>
        <v/>
      </c>
      <c r="H3846" s="66" t="str">
        <f>IF(Sixteenth!H99="", "",Sixteenth!H99)</f>
        <v/>
      </c>
      <c r="I3846" s="66" t="str">
        <f>IF(Sixteenth!I99="", "",Sixteenth!I99)</f>
        <v/>
      </c>
      <c r="J3846" s="66" t="str">
        <f>IF(Sixteenth!J99="", "",Sixteenth!J99)</f>
        <v/>
      </c>
      <c r="K3846" s="86" t="str">
        <f>IF(Sixteenth!K99="", "",Sixteenth!K99)</f>
        <v/>
      </c>
      <c r="M3846" s="67" t="str">
        <f t="shared" si="182"/>
        <v/>
      </c>
      <c r="N3846" s="76" t="str">
        <f t="shared" si="183"/>
        <v/>
      </c>
      <c r="O3846" s="33">
        <f t="shared" si="181"/>
        <v>0</v>
      </c>
    </row>
    <row r="3847" spans="1:15" x14ac:dyDescent="0.25">
      <c r="A3847" s="64" t="s">
        <v>187</v>
      </c>
      <c r="B3847" s="79" t="str">
        <f>IF(Sixteenth!B100="", "",Sixteenth!B100)</f>
        <v/>
      </c>
      <c r="C3847" s="66" t="str">
        <f>IF(Sixteenth!C100="", "",Sixteenth!C100)</f>
        <v/>
      </c>
      <c r="D3847" s="66" t="str">
        <f>IF(Sixteenth!D100="", "",Sixteenth!D100)</f>
        <v/>
      </c>
      <c r="E3847" s="66" t="str">
        <f>IF(Sixteenth!E100="", "",Sixteenth!E100)</f>
        <v/>
      </c>
      <c r="F3847" s="66" t="str">
        <f>IF(Sixteenth!F100="", "",Sixteenth!F100)</f>
        <v/>
      </c>
      <c r="G3847" s="66" t="str">
        <f>IF(Sixteenth!G100="", "",Sixteenth!G100)</f>
        <v/>
      </c>
      <c r="H3847" s="66" t="str">
        <f>IF(Sixteenth!H100="", "",Sixteenth!H100)</f>
        <v/>
      </c>
      <c r="I3847" s="66" t="str">
        <f>IF(Sixteenth!I100="", "",Sixteenth!I100)</f>
        <v/>
      </c>
      <c r="J3847" s="66" t="str">
        <f>IF(Sixteenth!J100="", "",Sixteenth!J100)</f>
        <v/>
      </c>
      <c r="K3847" s="86" t="str">
        <f>IF(Sixteenth!K100="", "",Sixteenth!K100)</f>
        <v/>
      </c>
      <c r="M3847" s="67" t="str">
        <f t="shared" si="182"/>
        <v/>
      </c>
      <c r="N3847" s="76" t="str">
        <f t="shared" si="183"/>
        <v/>
      </c>
      <c r="O3847" s="33">
        <f t="shared" si="181"/>
        <v>0</v>
      </c>
    </row>
    <row r="3848" spans="1:15" x14ac:dyDescent="0.25">
      <c r="A3848" s="64" t="s">
        <v>187</v>
      </c>
      <c r="B3848" s="79" t="str">
        <f>IF(Sixteenth!B101="", "",Sixteenth!B101)</f>
        <v/>
      </c>
      <c r="C3848" s="66" t="str">
        <f>IF(Sixteenth!C101="", "",Sixteenth!C101)</f>
        <v/>
      </c>
      <c r="D3848" s="66" t="str">
        <f>IF(Sixteenth!D101="", "",Sixteenth!D101)</f>
        <v/>
      </c>
      <c r="E3848" s="66" t="str">
        <f>IF(Sixteenth!E101="", "",Sixteenth!E101)</f>
        <v/>
      </c>
      <c r="F3848" s="66" t="str">
        <f>IF(Sixteenth!F101="", "",Sixteenth!F101)</f>
        <v/>
      </c>
      <c r="G3848" s="66" t="str">
        <f>IF(Sixteenth!G101="", "",Sixteenth!G101)</f>
        <v/>
      </c>
      <c r="H3848" s="66" t="str">
        <f>IF(Sixteenth!H101="", "",Sixteenth!H101)</f>
        <v/>
      </c>
      <c r="I3848" s="66" t="str">
        <f>IF(Sixteenth!I101="", "",Sixteenth!I101)</f>
        <v/>
      </c>
      <c r="J3848" s="66" t="str">
        <f>IF(Sixteenth!J101="", "",Sixteenth!J101)</f>
        <v/>
      </c>
      <c r="K3848" s="86" t="str">
        <f>IF(Sixteenth!K101="", "",Sixteenth!K101)</f>
        <v/>
      </c>
      <c r="M3848" s="67" t="str">
        <f t="shared" si="182"/>
        <v/>
      </c>
      <c r="N3848" s="76" t="str">
        <f t="shared" si="183"/>
        <v/>
      </c>
      <c r="O3848" s="33">
        <f t="shared" si="181"/>
        <v>0</v>
      </c>
    </row>
    <row r="3849" spans="1:15" x14ac:dyDescent="0.25">
      <c r="A3849" s="64" t="s">
        <v>187</v>
      </c>
      <c r="B3849" s="79" t="str">
        <f>IF(Sixteenth!B102="", "",Sixteenth!B102)</f>
        <v/>
      </c>
      <c r="C3849" s="66" t="str">
        <f>IF(Sixteenth!C102="", "",Sixteenth!C102)</f>
        <v/>
      </c>
      <c r="D3849" s="66" t="str">
        <f>IF(Sixteenth!D102="", "",Sixteenth!D102)</f>
        <v/>
      </c>
      <c r="E3849" s="66" t="str">
        <f>IF(Sixteenth!E102="", "",Sixteenth!E102)</f>
        <v/>
      </c>
      <c r="F3849" s="66" t="str">
        <f>IF(Sixteenth!F102="", "",Sixteenth!F102)</f>
        <v/>
      </c>
      <c r="G3849" s="66" t="str">
        <f>IF(Sixteenth!G102="", "",Sixteenth!G102)</f>
        <v/>
      </c>
      <c r="H3849" s="66" t="str">
        <f>IF(Sixteenth!H102="", "",Sixteenth!H102)</f>
        <v/>
      </c>
      <c r="I3849" s="66" t="str">
        <f>IF(Sixteenth!I102="", "",Sixteenth!I102)</f>
        <v/>
      </c>
      <c r="J3849" s="66" t="str">
        <f>IF(Sixteenth!J102="", "",Sixteenth!J102)</f>
        <v/>
      </c>
      <c r="K3849" s="86" t="str">
        <f>IF(Sixteenth!K102="", "",Sixteenth!K102)</f>
        <v/>
      </c>
      <c r="M3849" s="67" t="str">
        <f t="shared" si="182"/>
        <v/>
      </c>
      <c r="N3849" s="76" t="str">
        <f t="shared" si="183"/>
        <v/>
      </c>
      <c r="O3849" s="33">
        <f t="shared" si="181"/>
        <v>0</v>
      </c>
    </row>
    <row r="3850" spans="1:15" x14ac:dyDescent="0.25">
      <c r="A3850" s="64" t="s">
        <v>187</v>
      </c>
      <c r="B3850" s="79" t="str">
        <f>IF(Sixteenth!B103="", "",Sixteenth!B103)</f>
        <v/>
      </c>
      <c r="C3850" s="66" t="str">
        <f>IF(Sixteenth!C103="", "",Sixteenth!C103)</f>
        <v/>
      </c>
      <c r="D3850" s="66" t="str">
        <f>IF(Sixteenth!D103="", "",Sixteenth!D103)</f>
        <v/>
      </c>
      <c r="E3850" s="66" t="str">
        <f>IF(Sixteenth!E103="", "",Sixteenth!E103)</f>
        <v/>
      </c>
      <c r="F3850" s="66" t="str">
        <f>IF(Sixteenth!F103="", "",Sixteenth!F103)</f>
        <v/>
      </c>
      <c r="G3850" s="66" t="str">
        <f>IF(Sixteenth!G103="", "",Sixteenth!G103)</f>
        <v/>
      </c>
      <c r="H3850" s="66" t="str">
        <f>IF(Sixteenth!H103="", "",Sixteenth!H103)</f>
        <v/>
      </c>
      <c r="I3850" s="66" t="str">
        <f>IF(Sixteenth!I103="", "",Sixteenth!I103)</f>
        <v/>
      </c>
      <c r="J3850" s="66" t="str">
        <f>IF(Sixteenth!J103="", "",Sixteenth!J103)</f>
        <v/>
      </c>
      <c r="K3850" s="86" t="str">
        <f>IF(Sixteenth!K103="", "",Sixteenth!K103)</f>
        <v/>
      </c>
      <c r="M3850" s="67" t="str">
        <f t="shared" si="182"/>
        <v/>
      </c>
      <c r="N3850" s="76" t="str">
        <f t="shared" si="183"/>
        <v/>
      </c>
      <c r="O3850" s="33">
        <f t="shared" si="181"/>
        <v>0</v>
      </c>
    </row>
    <row r="3851" spans="1:15" x14ac:dyDescent="0.25">
      <c r="A3851" s="64" t="s">
        <v>187</v>
      </c>
      <c r="B3851" s="79" t="str">
        <f>IF(Sixteenth!B104="", "",Sixteenth!B104)</f>
        <v/>
      </c>
      <c r="C3851" s="66" t="str">
        <f>IF(Sixteenth!C104="", "",Sixteenth!C104)</f>
        <v/>
      </c>
      <c r="D3851" s="66" t="str">
        <f>IF(Sixteenth!D104="", "",Sixteenth!D104)</f>
        <v/>
      </c>
      <c r="E3851" s="66" t="str">
        <f>IF(Sixteenth!E104="", "",Sixteenth!E104)</f>
        <v/>
      </c>
      <c r="F3851" s="66" t="str">
        <f>IF(Sixteenth!F104="", "",Sixteenth!F104)</f>
        <v/>
      </c>
      <c r="G3851" s="66" t="str">
        <f>IF(Sixteenth!G104="", "",Sixteenth!G104)</f>
        <v/>
      </c>
      <c r="H3851" s="66" t="str">
        <f>IF(Sixteenth!H104="", "",Sixteenth!H104)</f>
        <v/>
      </c>
      <c r="I3851" s="66" t="str">
        <f>IF(Sixteenth!I104="", "",Sixteenth!I104)</f>
        <v/>
      </c>
      <c r="J3851" s="66" t="str">
        <f>IF(Sixteenth!J104="", "",Sixteenth!J104)</f>
        <v/>
      </c>
      <c r="K3851" s="86" t="str">
        <f>IF(Sixteenth!K104="", "",Sixteenth!K104)</f>
        <v/>
      </c>
      <c r="M3851" s="67" t="str">
        <f t="shared" si="182"/>
        <v/>
      </c>
      <c r="N3851" s="76" t="str">
        <f t="shared" si="183"/>
        <v/>
      </c>
      <c r="O3851" s="33">
        <f t="shared" si="181"/>
        <v>0</v>
      </c>
    </row>
    <row r="3852" spans="1:15" x14ac:dyDescent="0.25">
      <c r="A3852" s="64" t="s">
        <v>187</v>
      </c>
      <c r="B3852" s="79" t="str">
        <f>IF(Sixteenth!B105="", "",Sixteenth!B105)</f>
        <v/>
      </c>
      <c r="C3852" s="66" t="str">
        <f>IF(Sixteenth!C105="", "",Sixteenth!C105)</f>
        <v/>
      </c>
      <c r="D3852" s="66" t="str">
        <f>IF(Sixteenth!D105="", "",Sixteenth!D105)</f>
        <v/>
      </c>
      <c r="E3852" s="66" t="str">
        <f>IF(Sixteenth!E105="", "",Sixteenth!E105)</f>
        <v/>
      </c>
      <c r="F3852" s="66" t="str">
        <f>IF(Sixteenth!F105="", "",Sixteenth!F105)</f>
        <v/>
      </c>
      <c r="G3852" s="66" t="str">
        <f>IF(Sixteenth!G105="", "",Sixteenth!G105)</f>
        <v/>
      </c>
      <c r="H3852" s="66" t="str">
        <f>IF(Sixteenth!H105="", "",Sixteenth!H105)</f>
        <v/>
      </c>
      <c r="I3852" s="66" t="str">
        <f>IF(Sixteenth!I105="", "",Sixteenth!I105)</f>
        <v/>
      </c>
      <c r="J3852" s="66" t="str">
        <f>IF(Sixteenth!J105="", "",Sixteenth!J105)</f>
        <v/>
      </c>
      <c r="K3852" s="86" t="str">
        <f>IF(Sixteenth!K105="", "",Sixteenth!K105)</f>
        <v/>
      </c>
      <c r="M3852" s="67" t="str">
        <f t="shared" si="182"/>
        <v/>
      </c>
      <c r="N3852" s="76" t="str">
        <f t="shared" si="183"/>
        <v/>
      </c>
      <c r="O3852" s="33">
        <f t="shared" si="181"/>
        <v>0</v>
      </c>
    </row>
    <row r="3853" spans="1:15" x14ac:dyDescent="0.25">
      <c r="A3853" s="64" t="s">
        <v>187</v>
      </c>
      <c r="B3853" s="79" t="str">
        <f>IF(Sixteenth!B106="", "",Sixteenth!B106)</f>
        <v/>
      </c>
      <c r="C3853" s="66" t="str">
        <f>IF(Sixteenth!C106="", "",Sixteenth!C106)</f>
        <v/>
      </c>
      <c r="D3853" s="66" t="str">
        <f>IF(Sixteenth!D106="", "",Sixteenth!D106)</f>
        <v/>
      </c>
      <c r="E3853" s="66" t="str">
        <f>IF(Sixteenth!E106="", "",Sixteenth!E106)</f>
        <v/>
      </c>
      <c r="F3853" s="66" t="str">
        <f>IF(Sixteenth!F106="", "",Sixteenth!F106)</f>
        <v/>
      </c>
      <c r="G3853" s="66" t="str">
        <f>IF(Sixteenth!G106="", "",Sixteenth!G106)</f>
        <v/>
      </c>
      <c r="H3853" s="66" t="str">
        <f>IF(Sixteenth!H106="", "",Sixteenth!H106)</f>
        <v/>
      </c>
      <c r="I3853" s="66" t="str">
        <f>IF(Sixteenth!I106="", "",Sixteenth!I106)</f>
        <v/>
      </c>
      <c r="J3853" s="66" t="str">
        <f>IF(Sixteenth!J106="", "",Sixteenth!J106)</f>
        <v/>
      </c>
      <c r="K3853" s="86" t="str">
        <f>IF(Sixteenth!K106="", "",Sixteenth!K106)</f>
        <v/>
      </c>
      <c r="M3853" s="67" t="str">
        <f t="shared" si="182"/>
        <v/>
      </c>
      <c r="N3853" s="76" t="str">
        <f t="shared" si="183"/>
        <v/>
      </c>
      <c r="O3853" s="33">
        <f t="shared" si="181"/>
        <v>0</v>
      </c>
    </row>
    <row r="3854" spans="1:15" x14ac:dyDescent="0.25">
      <c r="A3854" s="64" t="s">
        <v>187</v>
      </c>
      <c r="B3854" s="79" t="str">
        <f>IF(Sixteenth!B107="", "",Sixteenth!B107)</f>
        <v/>
      </c>
      <c r="C3854" s="66" t="str">
        <f>IF(Sixteenth!C107="", "",Sixteenth!C107)</f>
        <v/>
      </c>
      <c r="D3854" s="66" t="str">
        <f>IF(Sixteenth!D107="", "",Sixteenth!D107)</f>
        <v/>
      </c>
      <c r="E3854" s="66" t="str">
        <f>IF(Sixteenth!E107="", "",Sixteenth!E107)</f>
        <v/>
      </c>
      <c r="F3854" s="66" t="str">
        <f>IF(Sixteenth!F107="", "",Sixteenth!F107)</f>
        <v/>
      </c>
      <c r="G3854" s="66" t="str">
        <f>IF(Sixteenth!G107="", "",Sixteenth!G107)</f>
        <v/>
      </c>
      <c r="H3854" s="66" t="str">
        <f>IF(Sixteenth!H107="", "",Sixteenth!H107)</f>
        <v/>
      </c>
      <c r="I3854" s="66" t="str">
        <f>IF(Sixteenth!I107="", "",Sixteenth!I107)</f>
        <v/>
      </c>
      <c r="J3854" s="66" t="str">
        <f>IF(Sixteenth!J107="", "",Sixteenth!J107)</f>
        <v/>
      </c>
      <c r="K3854" s="86" t="str">
        <f>IF(Sixteenth!K107="", "",Sixteenth!K107)</f>
        <v/>
      </c>
      <c r="M3854" s="67" t="str">
        <f t="shared" si="182"/>
        <v/>
      </c>
      <c r="N3854" s="76" t="str">
        <f t="shared" si="183"/>
        <v/>
      </c>
      <c r="O3854" s="33">
        <f t="shared" si="181"/>
        <v>0</v>
      </c>
    </row>
    <row r="3855" spans="1:15" x14ac:dyDescent="0.25">
      <c r="A3855" s="64" t="s">
        <v>187</v>
      </c>
      <c r="B3855" s="79" t="str">
        <f>IF(Sixteenth!B108="", "",Sixteenth!B108)</f>
        <v/>
      </c>
      <c r="C3855" s="66" t="str">
        <f>IF(Sixteenth!C108="", "",Sixteenth!C108)</f>
        <v/>
      </c>
      <c r="D3855" s="66" t="str">
        <f>IF(Sixteenth!D108="", "",Sixteenth!D108)</f>
        <v/>
      </c>
      <c r="E3855" s="66" t="str">
        <f>IF(Sixteenth!E108="", "",Sixteenth!E108)</f>
        <v/>
      </c>
      <c r="F3855" s="66" t="str">
        <f>IF(Sixteenth!F108="", "",Sixteenth!F108)</f>
        <v/>
      </c>
      <c r="G3855" s="66" t="str">
        <f>IF(Sixteenth!G108="", "",Sixteenth!G108)</f>
        <v/>
      </c>
      <c r="H3855" s="66" t="str">
        <f>IF(Sixteenth!H108="", "",Sixteenth!H108)</f>
        <v/>
      </c>
      <c r="I3855" s="66" t="str">
        <f>IF(Sixteenth!I108="", "",Sixteenth!I108)</f>
        <v/>
      </c>
      <c r="J3855" s="66" t="str">
        <f>IF(Sixteenth!J108="", "",Sixteenth!J108)</f>
        <v/>
      </c>
      <c r="K3855" s="86" t="str">
        <f>IF(Sixteenth!K108="", "",Sixteenth!K108)</f>
        <v/>
      </c>
      <c r="M3855" s="67" t="str">
        <f t="shared" si="182"/>
        <v/>
      </c>
      <c r="N3855" s="76" t="str">
        <f t="shared" si="183"/>
        <v/>
      </c>
      <c r="O3855" s="33">
        <f t="shared" si="181"/>
        <v>0</v>
      </c>
    </row>
    <row r="3856" spans="1:15" x14ac:dyDescent="0.25">
      <c r="A3856" s="64" t="s">
        <v>187</v>
      </c>
      <c r="B3856" s="79" t="str">
        <f>IF(Sixteenth!B109="", "",Sixteenth!B109)</f>
        <v/>
      </c>
      <c r="C3856" s="66" t="str">
        <f>IF(Sixteenth!C109="", "",Sixteenth!C109)</f>
        <v/>
      </c>
      <c r="D3856" s="66" t="str">
        <f>IF(Sixteenth!D109="", "",Sixteenth!D109)</f>
        <v/>
      </c>
      <c r="E3856" s="66" t="str">
        <f>IF(Sixteenth!E109="", "",Sixteenth!E109)</f>
        <v/>
      </c>
      <c r="F3856" s="66" t="str">
        <f>IF(Sixteenth!F109="", "",Sixteenth!F109)</f>
        <v/>
      </c>
      <c r="G3856" s="66" t="str">
        <f>IF(Sixteenth!G109="", "",Sixteenth!G109)</f>
        <v/>
      </c>
      <c r="H3856" s="66" t="str">
        <f>IF(Sixteenth!H109="", "",Sixteenth!H109)</f>
        <v/>
      </c>
      <c r="I3856" s="66" t="str">
        <f>IF(Sixteenth!I109="", "",Sixteenth!I109)</f>
        <v/>
      </c>
      <c r="J3856" s="66" t="str">
        <f>IF(Sixteenth!J109="", "",Sixteenth!J109)</f>
        <v/>
      </c>
      <c r="K3856" s="86" t="str">
        <f>IF(Sixteenth!K109="", "",Sixteenth!K109)</f>
        <v/>
      </c>
      <c r="M3856" s="67" t="str">
        <f t="shared" si="182"/>
        <v/>
      </c>
      <c r="N3856" s="76" t="str">
        <f t="shared" si="183"/>
        <v/>
      </c>
      <c r="O3856" s="33">
        <f t="shared" si="181"/>
        <v>0</v>
      </c>
    </row>
    <row r="3857" spans="1:15" x14ac:dyDescent="0.25">
      <c r="A3857" s="64" t="s">
        <v>187</v>
      </c>
      <c r="B3857" s="79" t="str">
        <f>IF(Sixteenth!B110="", "",Sixteenth!B110)</f>
        <v/>
      </c>
      <c r="C3857" s="66" t="str">
        <f>IF(Sixteenth!C110="", "",Sixteenth!C110)</f>
        <v/>
      </c>
      <c r="D3857" s="66" t="str">
        <f>IF(Sixteenth!D110="", "",Sixteenth!D110)</f>
        <v/>
      </c>
      <c r="E3857" s="66" t="str">
        <f>IF(Sixteenth!E110="", "",Sixteenth!E110)</f>
        <v/>
      </c>
      <c r="F3857" s="66" t="str">
        <f>IF(Sixteenth!F110="", "",Sixteenth!F110)</f>
        <v/>
      </c>
      <c r="G3857" s="66" t="str">
        <f>IF(Sixteenth!G110="", "",Sixteenth!G110)</f>
        <v/>
      </c>
      <c r="H3857" s="66" t="str">
        <f>IF(Sixteenth!H110="", "",Sixteenth!H110)</f>
        <v/>
      </c>
      <c r="I3857" s="66" t="str">
        <f>IF(Sixteenth!I110="", "",Sixteenth!I110)</f>
        <v/>
      </c>
      <c r="J3857" s="66" t="str">
        <f>IF(Sixteenth!J110="", "",Sixteenth!J110)</f>
        <v/>
      </c>
      <c r="K3857" s="86" t="str">
        <f>IF(Sixteenth!K110="", "",Sixteenth!K110)</f>
        <v/>
      </c>
      <c r="M3857" s="67" t="str">
        <f t="shared" si="182"/>
        <v/>
      </c>
      <c r="N3857" s="76" t="str">
        <f t="shared" si="183"/>
        <v/>
      </c>
      <c r="O3857" s="33">
        <f t="shared" si="181"/>
        <v>0</v>
      </c>
    </row>
    <row r="3858" spans="1:15" x14ac:dyDescent="0.25">
      <c r="A3858" s="64" t="s">
        <v>187</v>
      </c>
      <c r="B3858" s="79" t="str">
        <f>IF(Sixteenth!B111="", "",Sixteenth!B111)</f>
        <v/>
      </c>
      <c r="C3858" s="66" t="str">
        <f>IF(Sixteenth!C111="", "",Sixteenth!C111)</f>
        <v/>
      </c>
      <c r="D3858" s="66" t="str">
        <f>IF(Sixteenth!D111="", "",Sixteenth!D111)</f>
        <v/>
      </c>
      <c r="E3858" s="66" t="str">
        <f>IF(Sixteenth!E111="", "",Sixteenth!E111)</f>
        <v/>
      </c>
      <c r="F3858" s="66" t="str">
        <f>IF(Sixteenth!F111="", "",Sixteenth!F111)</f>
        <v/>
      </c>
      <c r="G3858" s="66" t="str">
        <f>IF(Sixteenth!G111="", "",Sixteenth!G111)</f>
        <v/>
      </c>
      <c r="H3858" s="66" t="str">
        <f>IF(Sixteenth!H111="", "",Sixteenth!H111)</f>
        <v/>
      </c>
      <c r="I3858" s="66" t="str">
        <f>IF(Sixteenth!I111="", "",Sixteenth!I111)</f>
        <v/>
      </c>
      <c r="J3858" s="66" t="str">
        <f>IF(Sixteenth!J111="", "",Sixteenth!J111)</f>
        <v/>
      </c>
      <c r="K3858" s="86" t="str">
        <f>IF(Sixteenth!K111="", "",Sixteenth!K111)</f>
        <v/>
      </c>
      <c r="M3858" s="67" t="str">
        <f t="shared" si="182"/>
        <v/>
      </c>
      <c r="N3858" s="76" t="str">
        <f t="shared" si="183"/>
        <v/>
      </c>
      <c r="O3858" s="33">
        <f t="shared" si="181"/>
        <v>0</v>
      </c>
    </row>
    <row r="3859" spans="1:15" x14ac:dyDescent="0.25">
      <c r="A3859" s="64" t="s">
        <v>187</v>
      </c>
      <c r="B3859" s="79" t="str">
        <f>IF(Sixteenth!B112="", "",Sixteenth!B112)</f>
        <v/>
      </c>
      <c r="C3859" s="66" t="str">
        <f>IF(Sixteenth!C112="", "",Sixteenth!C112)</f>
        <v/>
      </c>
      <c r="D3859" s="66" t="str">
        <f>IF(Sixteenth!D112="", "",Sixteenth!D112)</f>
        <v/>
      </c>
      <c r="E3859" s="66" t="str">
        <f>IF(Sixteenth!E112="", "",Sixteenth!E112)</f>
        <v/>
      </c>
      <c r="F3859" s="66" t="str">
        <f>IF(Sixteenth!F112="", "",Sixteenth!F112)</f>
        <v/>
      </c>
      <c r="G3859" s="66" t="str">
        <f>IF(Sixteenth!G112="", "",Sixteenth!G112)</f>
        <v/>
      </c>
      <c r="H3859" s="66" t="str">
        <f>IF(Sixteenth!H112="", "",Sixteenth!H112)</f>
        <v/>
      </c>
      <c r="I3859" s="66" t="str">
        <f>IF(Sixteenth!I112="", "",Sixteenth!I112)</f>
        <v/>
      </c>
      <c r="J3859" s="66" t="str">
        <f>IF(Sixteenth!J112="", "",Sixteenth!J112)</f>
        <v/>
      </c>
      <c r="K3859" s="86" t="str">
        <f>IF(Sixteenth!K112="", "",Sixteenth!K112)</f>
        <v/>
      </c>
      <c r="M3859" s="67" t="str">
        <f t="shared" si="182"/>
        <v/>
      </c>
      <c r="N3859" s="76" t="str">
        <f t="shared" si="183"/>
        <v/>
      </c>
      <c r="O3859" s="33">
        <f t="shared" si="181"/>
        <v>0</v>
      </c>
    </row>
    <row r="3860" spans="1:15" x14ac:dyDescent="0.25">
      <c r="A3860" s="64" t="s">
        <v>187</v>
      </c>
      <c r="B3860" s="79" t="str">
        <f>IF(Sixteenth!B113="", "",Sixteenth!B113)</f>
        <v/>
      </c>
      <c r="C3860" s="66" t="str">
        <f>IF(Sixteenth!C113="", "",Sixteenth!C113)</f>
        <v/>
      </c>
      <c r="D3860" s="66" t="str">
        <f>IF(Sixteenth!D113="", "",Sixteenth!D113)</f>
        <v/>
      </c>
      <c r="E3860" s="66" t="str">
        <f>IF(Sixteenth!E113="", "",Sixteenth!E113)</f>
        <v/>
      </c>
      <c r="F3860" s="66" t="str">
        <f>IF(Sixteenth!F113="", "",Sixteenth!F113)</f>
        <v/>
      </c>
      <c r="G3860" s="66" t="str">
        <f>IF(Sixteenth!G113="", "",Sixteenth!G113)</f>
        <v/>
      </c>
      <c r="H3860" s="66" t="str">
        <f>IF(Sixteenth!H113="", "",Sixteenth!H113)</f>
        <v/>
      </c>
      <c r="I3860" s="66" t="str">
        <f>IF(Sixteenth!I113="", "",Sixteenth!I113)</f>
        <v/>
      </c>
      <c r="J3860" s="66" t="str">
        <f>IF(Sixteenth!J113="", "",Sixteenth!J113)</f>
        <v/>
      </c>
      <c r="K3860" s="86" t="str">
        <f>IF(Sixteenth!K113="", "",Sixteenth!K113)</f>
        <v/>
      </c>
      <c r="M3860" s="67" t="str">
        <f t="shared" si="182"/>
        <v/>
      </c>
      <c r="N3860" s="76" t="str">
        <f t="shared" si="183"/>
        <v/>
      </c>
      <c r="O3860" s="33">
        <f t="shared" si="181"/>
        <v>0</v>
      </c>
    </row>
    <row r="3861" spans="1:15" x14ac:dyDescent="0.25">
      <c r="A3861" s="64" t="s">
        <v>187</v>
      </c>
      <c r="B3861" s="79" t="str">
        <f>IF(Sixteenth!B114="", "",Sixteenth!B114)</f>
        <v/>
      </c>
      <c r="C3861" s="66" t="str">
        <f>IF(Sixteenth!C114="", "",Sixteenth!C114)</f>
        <v/>
      </c>
      <c r="D3861" s="66" t="str">
        <f>IF(Sixteenth!D114="", "",Sixteenth!D114)</f>
        <v/>
      </c>
      <c r="E3861" s="66" t="str">
        <f>IF(Sixteenth!E114="", "",Sixteenth!E114)</f>
        <v/>
      </c>
      <c r="F3861" s="66" t="str">
        <f>IF(Sixteenth!F114="", "",Sixteenth!F114)</f>
        <v/>
      </c>
      <c r="G3861" s="66" t="str">
        <f>IF(Sixteenth!G114="", "",Sixteenth!G114)</f>
        <v/>
      </c>
      <c r="H3861" s="66" t="str">
        <f>IF(Sixteenth!H114="", "",Sixteenth!H114)</f>
        <v/>
      </c>
      <c r="I3861" s="66" t="str">
        <f>IF(Sixteenth!I114="", "",Sixteenth!I114)</f>
        <v/>
      </c>
      <c r="J3861" s="66" t="str">
        <f>IF(Sixteenth!J114="", "",Sixteenth!J114)</f>
        <v/>
      </c>
      <c r="K3861" s="86" t="str">
        <f>IF(Sixteenth!K114="", "",Sixteenth!K114)</f>
        <v/>
      </c>
      <c r="M3861" s="67" t="str">
        <f t="shared" si="182"/>
        <v/>
      </c>
      <c r="N3861" s="76" t="str">
        <f t="shared" si="183"/>
        <v/>
      </c>
      <c r="O3861" s="33">
        <f t="shared" si="181"/>
        <v>0</v>
      </c>
    </row>
    <row r="3862" spans="1:15" x14ac:dyDescent="0.25">
      <c r="A3862" s="64" t="s">
        <v>187</v>
      </c>
      <c r="B3862" s="79" t="str">
        <f>IF(Sixteenth!B115="", "",Sixteenth!B115)</f>
        <v/>
      </c>
      <c r="C3862" s="66" t="str">
        <f>IF(Sixteenth!C115="", "",Sixteenth!C115)</f>
        <v/>
      </c>
      <c r="D3862" s="66" t="str">
        <f>IF(Sixteenth!D115="", "",Sixteenth!D115)</f>
        <v/>
      </c>
      <c r="E3862" s="66" t="str">
        <f>IF(Sixteenth!E115="", "",Sixteenth!E115)</f>
        <v/>
      </c>
      <c r="F3862" s="66" t="str">
        <f>IF(Sixteenth!F115="", "",Sixteenth!F115)</f>
        <v/>
      </c>
      <c r="G3862" s="66" t="str">
        <f>IF(Sixteenth!G115="", "",Sixteenth!G115)</f>
        <v/>
      </c>
      <c r="H3862" s="66" t="str">
        <f>IF(Sixteenth!H115="", "",Sixteenth!H115)</f>
        <v/>
      </c>
      <c r="I3862" s="66" t="str">
        <f>IF(Sixteenth!I115="", "",Sixteenth!I115)</f>
        <v/>
      </c>
      <c r="J3862" s="66" t="str">
        <f>IF(Sixteenth!J115="", "",Sixteenth!J115)</f>
        <v/>
      </c>
      <c r="K3862" s="86" t="str">
        <f>IF(Sixteenth!K115="", "",Sixteenth!K115)</f>
        <v/>
      </c>
      <c r="M3862" s="67" t="str">
        <f t="shared" si="182"/>
        <v/>
      </c>
      <c r="N3862" s="76" t="str">
        <f t="shared" si="183"/>
        <v/>
      </c>
      <c r="O3862" s="33">
        <f t="shared" si="181"/>
        <v>0</v>
      </c>
    </row>
    <row r="3863" spans="1:15" x14ac:dyDescent="0.25">
      <c r="A3863" s="64" t="s">
        <v>187</v>
      </c>
      <c r="B3863" s="79" t="str">
        <f>IF(Sixteenth!B116="", "",Sixteenth!B116)</f>
        <v/>
      </c>
      <c r="C3863" s="66" t="str">
        <f>IF(Sixteenth!C116="", "",Sixteenth!C116)</f>
        <v/>
      </c>
      <c r="D3863" s="66" t="str">
        <f>IF(Sixteenth!D116="", "",Sixteenth!D116)</f>
        <v/>
      </c>
      <c r="E3863" s="66" t="str">
        <f>IF(Sixteenth!E116="", "",Sixteenth!E116)</f>
        <v/>
      </c>
      <c r="F3863" s="66" t="str">
        <f>IF(Sixteenth!F116="", "",Sixteenth!F116)</f>
        <v/>
      </c>
      <c r="G3863" s="66" t="str">
        <f>IF(Sixteenth!G116="", "",Sixteenth!G116)</f>
        <v/>
      </c>
      <c r="H3863" s="66" t="str">
        <f>IF(Sixteenth!H116="", "",Sixteenth!H116)</f>
        <v/>
      </c>
      <c r="I3863" s="66" t="str">
        <f>IF(Sixteenth!I116="", "",Sixteenth!I116)</f>
        <v/>
      </c>
      <c r="J3863" s="66" t="str">
        <f>IF(Sixteenth!J116="", "",Sixteenth!J116)</f>
        <v/>
      </c>
      <c r="K3863" s="86" t="str">
        <f>IF(Sixteenth!K116="", "",Sixteenth!K116)</f>
        <v/>
      </c>
      <c r="M3863" s="67" t="str">
        <f t="shared" si="182"/>
        <v/>
      </c>
      <c r="N3863" s="76" t="str">
        <f t="shared" si="183"/>
        <v/>
      </c>
      <c r="O3863" s="33">
        <f t="shared" si="181"/>
        <v>0</v>
      </c>
    </row>
    <row r="3864" spans="1:15" x14ac:dyDescent="0.25">
      <c r="A3864" s="64" t="s">
        <v>187</v>
      </c>
      <c r="B3864" s="79" t="str">
        <f>IF(Sixteenth!B117="", "",Sixteenth!B117)</f>
        <v/>
      </c>
      <c r="C3864" s="66" t="str">
        <f>IF(Sixteenth!C117="", "",Sixteenth!C117)</f>
        <v/>
      </c>
      <c r="D3864" s="66" t="str">
        <f>IF(Sixteenth!D117="", "",Sixteenth!D117)</f>
        <v/>
      </c>
      <c r="E3864" s="66" t="str">
        <f>IF(Sixteenth!E117="", "",Sixteenth!E117)</f>
        <v/>
      </c>
      <c r="F3864" s="66" t="str">
        <f>IF(Sixteenth!F117="", "",Sixteenth!F117)</f>
        <v/>
      </c>
      <c r="G3864" s="66" t="str">
        <f>IF(Sixteenth!G117="", "",Sixteenth!G117)</f>
        <v/>
      </c>
      <c r="H3864" s="66" t="str">
        <f>IF(Sixteenth!H117="", "",Sixteenth!H117)</f>
        <v/>
      </c>
      <c r="I3864" s="66" t="str">
        <f>IF(Sixteenth!I117="", "",Sixteenth!I117)</f>
        <v/>
      </c>
      <c r="J3864" s="66" t="str">
        <f>IF(Sixteenth!J117="", "",Sixteenth!J117)</f>
        <v/>
      </c>
      <c r="K3864" s="86" t="str">
        <f>IF(Sixteenth!K117="", "",Sixteenth!K117)</f>
        <v/>
      </c>
      <c r="M3864" s="67" t="str">
        <f t="shared" si="182"/>
        <v/>
      </c>
      <c r="N3864" s="76" t="str">
        <f t="shared" si="183"/>
        <v/>
      </c>
      <c r="O3864" s="33">
        <f t="shared" si="181"/>
        <v>0</v>
      </c>
    </row>
    <row r="3865" spans="1:15" x14ac:dyDescent="0.25">
      <c r="A3865" s="64" t="s">
        <v>187</v>
      </c>
      <c r="B3865" s="79" t="str">
        <f>IF(Sixteenth!B118="", "",Sixteenth!B118)</f>
        <v/>
      </c>
      <c r="C3865" s="66" t="str">
        <f>IF(Sixteenth!C118="", "",Sixteenth!C118)</f>
        <v/>
      </c>
      <c r="D3865" s="66" t="str">
        <f>IF(Sixteenth!D118="", "",Sixteenth!D118)</f>
        <v/>
      </c>
      <c r="E3865" s="66" t="str">
        <f>IF(Sixteenth!E118="", "",Sixteenth!E118)</f>
        <v/>
      </c>
      <c r="F3865" s="66" t="str">
        <f>IF(Sixteenth!F118="", "",Sixteenth!F118)</f>
        <v/>
      </c>
      <c r="G3865" s="66" t="str">
        <f>IF(Sixteenth!G118="", "",Sixteenth!G118)</f>
        <v/>
      </c>
      <c r="H3865" s="66" t="str">
        <f>IF(Sixteenth!H118="", "",Sixteenth!H118)</f>
        <v/>
      </c>
      <c r="I3865" s="66" t="str">
        <f>IF(Sixteenth!I118="", "",Sixteenth!I118)</f>
        <v/>
      </c>
      <c r="J3865" s="66" t="str">
        <f>IF(Sixteenth!J118="", "",Sixteenth!J118)</f>
        <v/>
      </c>
      <c r="K3865" s="86" t="str">
        <f>IF(Sixteenth!K118="", "",Sixteenth!K118)</f>
        <v/>
      </c>
      <c r="M3865" s="67" t="str">
        <f t="shared" si="182"/>
        <v/>
      </c>
      <c r="N3865" s="76" t="str">
        <f t="shared" si="183"/>
        <v/>
      </c>
      <c r="O3865" s="33">
        <f t="shared" si="181"/>
        <v>0</v>
      </c>
    </row>
    <row r="3866" spans="1:15" x14ac:dyDescent="0.25">
      <c r="A3866" s="64" t="s">
        <v>187</v>
      </c>
      <c r="B3866" s="79" t="str">
        <f>IF(Sixteenth!B119="", "",Sixteenth!B119)</f>
        <v/>
      </c>
      <c r="C3866" s="66" t="str">
        <f>IF(Sixteenth!C119="", "",Sixteenth!C119)</f>
        <v/>
      </c>
      <c r="D3866" s="66" t="str">
        <f>IF(Sixteenth!D119="", "",Sixteenth!D119)</f>
        <v/>
      </c>
      <c r="E3866" s="66" t="str">
        <f>IF(Sixteenth!E119="", "",Sixteenth!E119)</f>
        <v/>
      </c>
      <c r="F3866" s="66" t="str">
        <f>IF(Sixteenth!F119="", "",Sixteenth!F119)</f>
        <v/>
      </c>
      <c r="G3866" s="66" t="str">
        <f>IF(Sixteenth!G119="", "",Sixteenth!G119)</f>
        <v/>
      </c>
      <c r="H3866" s="66" t="str">
        <f>IF(Sixteenth!H119="", "",Sixteenth!H119)</f>
        <v/>
      </c>
      <c r="I3866" s="66" t="str">
        <f>IF(Sixteenth!I119="", "",Sixteenth!I119)</f>
        <v/>
      </c>
      <c r="J3866" s="66" t="str">
        <f>IF(Sixteenth!J119="", "",Sixteenth!J119)</f>
        <v/>
      </c>
      <c r="K3866" s="86" t="str">
        <f>IF(Sixteenth!K119="", "",Sixteenth!K119)</f>
        <v/>
      </c>
      <c r="M3866" s="67" t="str">
        <f t="shared" si="182"/>
        <v/>
      </c>
      <c r="N3866" s="76" t="str">
        <f t="shared" si="183"/>
        <v/>
      </c>
      <c r="O3866" s="33">
        <f t="shared" si="181"/>
        <v>0</v>
      </c>
    </row>
    <row r="3867" spans="1:15" x14ac:dyDescent="0.25">
      <c r="A3867" s="64" t="s">
        <v>187</v>
      </c>
      <c r="B3867" s="79" t="str">
        <f>IF(Sixteenth!B120="", "",Sixteenth!B120)</f>
        <v/>
      </c>
      <c r="C3867" s="66" t="str">
        <f>IF(Sixteenth!C120="", "",Sixteenth!C120)</f>
        <v/>
      </c>
      <c r="D3867" s="66" t="str">
        <f>IF(Sixteenth!D120="", "",Sixteenth!D120)</f>
        <v/>
      </c>
      <c r="E3867" s="66" t="str">
        <f>IF(Sixteenth!E120="", "",Sixteenth!E120)</f>
        <v/>
      </c>
      <c r="F3867" s="66" t="str">
        <f>IF(Sixteenth!F120="", "",Sixteenth!F120)</f>
        <v/>
      </c>
      <c r="G3867" s="66" t="str">
        <f>IF(Sixteenth!G120="", "",Sixteenth!G120)</f>
        <v/>
      </c>
      <c r="H3867" s="66" t="str">
        <f>IF(Sixteenth!H120="", "",Sixteenth!H120)</f>
        <v/>
      </c>
      <c r="I3867" s="66" t="str">
        <f>IF(Sixteenth!I120="", "",Sixteenth!I120)</f>
        <v/>
      </c>
      <c r="J3867" s="66" t="str">
        <f>IF(Sixteenth!J120="", "",Sixteenth!J120)</f>
        <v/>
      </c>
      <c r="K3867" s="86" t="str">
        <f>IF(Sixteenth!K120="", "",Sixteenth!K120)</f>
        <v/>
      </c>
      <c r="M3867" s="67" t="str">
        <f t="shared" si="182"/>
        <v/>
      </c>
      <c r="N3867" s="76" t="str">
        <f t="shared" si="183"/>
        <v/>
      </c>
      <c r="O3867" s="33">
        <f t="shared" si="181"/>
        <v>0</v>
      </c>
    </row>
    <row r="3868" spans="1:15" x14ac:dyDescent="0.25">
      <c r="A3868" s="64" t="s">
        <v>187</v>
      </c>
      <c r="B3868" s="79" t="str">
        <f>IF(Sixteenth!B121="", "",Sixteenth!B121)</f>
        <v/>
      </c>
      <c r="C3868" s="66" t="str">
        <f>IF(Sixteenth!C121="", "",Sixteenth!C121)</f>
        <v/>
      </c>
      <c r="D3868" s="66" t="str">
        <f>IF(Sixteenth!D121="", "",Sixteenth!D121)</f>
        <v/>
      </c>
      <c r="E3868" s="66" t="str">
        <f>IF(Sixteenth!E121="", "",Sixteenth!E121)</f>
        <v/>
      </c>
      <c r="F3868" s="66" t="str">
        <f>IF(Sixteenth!F121="", "",Sixteenth!F121)</f>
        <v/>
      </c>
      <c r="G3868" s="66" t="str">
        <f>IF(Sixteenth!G121="", "",Sixteenth!G121)</f>
        <v/>
      </c>
      <c r="H3868" s="66" t="str">
        <f>IF(Sixteenth!H121="", "",Sixteenth!H121)</f>
        <v/>
      </c>
      <c r="I3868" s="66" t="str">
        <f>IF(Sixteenth!I121="", "",Sixteenth!I121)</f>
        <v/>
      </c>
      <c r="J3868" s="66" t="str">
        <f>IF(Sixteenth!J121="", "",Sixteenth!J121)</f>
        <v/>
      </c>
      <c r="K3868" s="86" t="str">
        <f>IF(Sixteenth!K121="", "",Sixteenth!K121)</f>
        <v/>
      </c>
      <c r="M3868" s="67" t="str">
        <f t="shared" si="182"/>
        <v/>
      </c>
      <c r="N3868" s="76" t="str">
        <f t="shared" si="183"/>
        <v/>
      </c>
      <c r="O3868" s="33">
        <f t="shared" si="181"/>
        <v>0</v>
      </c>
    </row>
    <row r="3869" spans="1:15" x14ac:dyDescent="0.25">
      <c r="A3869" s="64" t="s">
        <v>187</v>
      </c>
      <c r="B3869" s="79" t="str">
        <f>IF(Sixteenth!B122="", "",Sixteenth!B122)</f>
        <v/>
      </c>
      <c r="C3869" s="66" t="str">
        <f>IF(Sixteenth!C122="", "",Sixteenth!C122)</f>
        <v/>
      </c>
      <c r="D3869" s="66" t="str">
        <f>IF(Sixteenth!D122="", "",Sixteenth!D122)</f>
        <v/>
      </c>
      <c r="E3869" s="66" t="str">
        <f>IF(Sixteenth!E122="", "",Sixteenth!E122)</f>
        <v/>
      </c>
      <c r="F3869" s="66" t="str">
        <f>IF(Sixteenth!F122="", "",Sixteenth!F122)</f>
        <v/>
      </c>
      <c r="G3869" s="66" t="str">
        <f>IF(Sixteenth!G122="", "",Sixteenth!G122)</f>
        <v/>
      </c>
      <c r="H3869" s="66" t="str">
        <f>IF(Sixteenth!H122="", "",Sixteenth!H122)</f>
        <v/>
      </c>
      <c r="I3869" s="66" t="str">
        <f>IF(Sixteenth!I122="", "",Sixteenth!I122)</f>
        <v/>
      </c>
      <c r="J3869" s="66" t="str">
        <f>IF(Sixteenth!J122="", "",Sixteenth!J122)</f>
        <v/>
      </c>
      <c r="K3869" s="86" t="str">
        <f>IF(Sixteenth!K122="", "",Sixteenth!K122)</f>
        <v/>
      </c>
      <c r="M3869" s="67" t="str">
        <f t="shared" si="182"/>
        <v/>
      </c>
      <c r="N3869" s="76" t="str">
        <f t="shared" si="183"/>
        <v/>
      </c>
      <c r="O3869" s="33">
        <f t="shared" si="181"/>
        <v>0</v>
      </c>
    </row>
    <row r="3870" spans="1:15" x14ac:dyDescent="0.25">
      <c r="A3870" s="64" t="s">
        <v>187</v>
      </c>
      <c r="B3870" s="79" t="str">
        <f>IF(Sixteenth!B123="", "",Sixteenth!B123)</f>
        <v/>
      </c>
      <c r="C3870" s="66" t="str">
        <f>IF(Sixteenth!C123="", "",Sixteenth!C123)</f>
        <v/>
      </c>
      <c r="D3870" s="66" t="str">
        <f>IF(Sixteenth!D123="", "",Sixteenth!D123)</f>
        <v/>
      </c>
      <c r="E3870" s="66" t="str">
        <f>IF(Sixteenth!E123="", "",Sixteenth!E123)</f>
        <v/>
      </c>
      <c r="F3870" s="66" t="str">
        <f>IF(Sixteenth!F123="", "",Sixteenth!F123)</f>
        <v/>
      </c>
      <c r="G3870" s="66" t="str">
        <f>IF(Sixteenth!G123="", "",Sixteenth!G123)</f>
        <v/>
      </c>
      <c r="H3870" s="66" t="str">
        <f>IF(Sixteenth!H123="", "",Sixteenth!H123)</f>
        <v/>
      </c>
      <c r="I3870" s="66" t="str">
        <f>IF(Sixteenth!I123="", "",Sixteenth!I123)</f>
        <v/>
      </c>
      <c r="J3870" s="66" t="str">
        <f>IF(Sixteenth!J123="", "",Sixteenth!J123)</f>
        <v/>
      </c>
      <c r="K3870" s="86" t="str">
        <f>IF(Sixteenth!K123="", "",Sixteenth!K123)</f>
        <v/>
      </c>
      <c r="M3870" s="67" t="str">
        <f t="shared" si="182"/>
        <v/>
      </c>
      <c r="N3870" s="76" t="str">
        <f t="shared" si="183"/>
        <v/>
      </c>
      <c r="O3870" s="33">
        <f t="shared" si="181"/>
        <v>0</v>
      </c>
    </row>
    <row r="3871" spans="1:15" x14ac:dyDescent="0.25">
      <c r="A3871" s="64" t="s">
        <v>187</v>
      </c>
      <c r="B3871" s="79" t="str">
        <f>IF(Sixteenth!B124="", "",Sixteenth!B124)</f>
        <v/>
      </c>
      <c r="C3871" s="66" t="str">
        <f>IF(Sixteenth!C124="", "",Sixteenth!C124)</f>
        <v/>
      </c>
      <c r="D3871" s="66" t="str">
        <f>IF(Sixteenth!D124="", "",Sixteenth!D124)</f>
        <v/>
      </c>
      <c r="E3871" s="66" t="str">
        <f>IF(Sixteenth!E124="", "",Sixteenth!E124)</f>
        <v/>
      </c>
      <c r="F3871" s="66" t="str">
        <f>IF(Sixteenth!F124="", "",Sixteenth!F124)</f>
        <v/>
      </c>
      <c r="G3871" s="66" t="str">
        <f>IF(Sixteenth!G124="", "",Sixteenth!G124)</f>
        <v/>
      </c>
      <c r="H3871" s="66" t="str">
        <f>IF(Sixteenth!H124="", "",Sixteenth!H124)</f>
        <v/>
      </c>
      <c r="I3871" s="66" t="str">
        <f>IF(Sixteenth!I124="", "",Sixteenth!I124)</f>
        <v/>
      </c>
      <c r="J3871" s="66" t="str">
        <f>IF(Sixteenth!J124="", "",Sixteenth!J124)</f>
        <v/>
      </c>
      <c r="K3871" s="86" t="str">
        <f>IF(Sixteenth!K124="", "",Sixteenth!K124)</f>
        <v/>
      </c>
      <c r="M3871" s="67" t="str">
        <f t="shared" si="182"/>
        <v/>
      </c>
      <c r="N3871" s="76" t="str">
        <f t="shared" si="183"/>
        <v/>
      </c>
      <c r="O3871" s="33">
        <f t="shared" si="181"/>
        <v>0</v>
      </c>
    </row>
    <row r="3872" spans="1:15" x14ac:dyDescent="0.25">
      <c r="A3872" s="64" t="s">
        <v>187</v>
      </c>
      <c r="B3872" s="79" t="str">
        <f>IF(Sixteenth!B125="", "",Sixteenth!B125)</f>
        <v/>
      </c>
      <c r="C3872" s="66" t="str">
        <f>IF(Sixteenth!C125="", "",Sixteenth!C125)</f>
        <v/>
      </c>
      <c r="D3872" s="66" t="str">
        <f>IF(Sixteenth!D125="", "",Sixteenth!D125)</f>
        <v/>
      </c>
      <c r="E3872" s="66" t="str">
        <f>IF(Sixteenth!E125="", "",Sixteenth!E125)</f>
        <v/>
      </c>
      <c r="F3872" s="66" t="str">
        <f>IF(Sixteenth!F125="", "",Sixteenth!F125)</f>
        <v/>
      </c>
      <c r="G3872" s="66" t="str">
        <f>IF(Sixteenth!G125="", "",Sixteenth!G125)</f>
        <v/>
      </c>
      <c r="H3872" s="66" t="str">
        <f>IF(Sixteenth!H125="", "",Sixteenth!H125)</f>
        <v/>
      </c>
      <c r="I3872" s="66" t="str">
        <f>IF(Sixteenth!I125="", "",Sixteenth!I125)</f>
        <v/>
      </c>
      <c r="J3872" s="66" t="str">
        <f>IF(Sixteenth!J125="", "",Sixteenth!J125)</f>
        <v/>
      </c>
      <c r="K3872" s="86" t="str">
        <f>IF(Sixteenth!K125="", "",Sixteenth!K125)</f>
        <v/>
      </c>
      <c r="M3872" s="67" t="str">
        <f t="shared" si="182"/>
        <v/>
      </c>
      <c r="N3872" s="76" t="str">
        <f t="shared" si="183"/>
        <v/>
      </c>
      <c r="O3872" s="33">
        <f t="shared" si="181"/>
        <v>0</v>
      </c>
    </row>
    <row r="3873" spans="1:15" x14ac:dyDescent="0.25">
      <c r="A3873" s="64" t="s">
        <v>187</v>
      </c>
      <c r="B3873" s="79" t="str">
        <f>IF(Sixteenth!B126="", "",Sixteenth!B126)</f>
        <v/>
      </c>
      <c r="C3873" s="66" t="str">
        <f>IF(Sixteenth!C126="", "",Sixteenth!C126)</f>
        <v/>
      </c>
      <c r="D3873" s="66" t="str">
        <f>IF(Sixteenth!D126="", "",Sixteenth!D126)</f>
        <v/>
      </c>
      <c r="E3873" s="66" t="str">
        <f>IF(Sixteenth!E126="", "",Sixteenth!E126)</f>
        <v/>
      </c>
      <c r="F3873" s="66" t="str">
        <f>IF(Sixteenth!F126="", "",Sixteenth!F126)</f>
        <v/>
      </c>
      <c r="G3873" s="66" t="str">
        <f>IF(Sixteenth!G126="", "",Sixteenth!G126)</f>
        <v/>
      </c>
      <c r="H3873" s="66" t="str">
        <f>IF(Sixteenth!H126="", "",Sixteenth!H126)</f>
        <v/>
      </c>
      <c r="I3873" s="66" t="str">
        <f>IF(Sixteenth!I126="", "",Sixteenth!I126)</f>
        <v/>
      </c>
      <c r="J3873" s="66" t="str">
        <f>IF(Sixteenth!J126="", "",Sixteenth!J126)</f>
        <v/>
      </c>
      <c r="K3873" s="86" t="str">
        <f>IF(Sixteenth!K126="", "",Sixteenth!K126)</f>
        <v/>
      </c>
      <c r="M3873" s="67" t="str">
        <f t="shared" si="182"/>
        <v/>
      </c>
      <c r="N3873" s="76" t="str">
        <f t="shared" si="183"/>
        <v/>
      </c>
      <c r="O3873" s="33">
        <f t="shared" si="181"/>
        <v>0</v>
      </c>
    </row>
    <row r="3874" spans="1:15" x14ac:dyDescent="0.25">
      <c r="A3874" s="64" t="s">
        <v>187</v>
      </c>
      <c r="B3874" s="79" t="str">
        <f>IF(Sixteenth!B127="", "",Sixteenth!B127)</f>
        <v/>
      </c>
      <c r="C3874" s="66" t="str">
        <f>IF(Sixteenth!C127="", "",Sixteenth!C127)</f>
        <v/>
      </c>
      <c r="D3874" s="66" t="str">
        <f>IF(Sixteenth!D127="", "",Sixteenth!D127)</f>
        <v/>
      </c>
      <c r="E3874" s="66" t="str">
        <f>IF(Sixteenth!E127="", "",Sixteenth!E127)</f>
        <v/>
      </c>
      <c r="F3874" s="66" t="str">
        <f>IF(Sixteenth!F127="", "",Sixteenth!F127)</f>
        <v/>
      </c>
      <c r="G3874" s="66" t="str">
        <f>IF(Sixteenth!G127="", "",Sixteenth!G127)</f>
        <v/>
      </c>
      <c r="H3874" s="66" t="str">
        <f>IF(Sixteenth!H127="", "",Sixteenth!H127)</f>
        <v/>
      </c>
      <c r="I3874" s="66" t="str">
        <f>IF(Sixteenth!I127="", "",Sixteenth!I127)</f>
        <v/>
      </c>
      <c r="J3874" s="66" t="str">
        <f>IF(Sixteenth!J127="", "",Sixteenth!J127)</f>
        <v/>
      </c>
      <c r="K3874" s="86" t="str">
        <f>IF(Sixteenth!K127="", "",Sixteenth!K127)</f>
        <v/>
      </c>
      <c r="M3874" s="67" t="str">
        <f t="shared" si="182"/>
        <v/>
      </c>
      <c r="N3874" s="76" t="str">
        <f t="shared" si="183"/>
        <v/>
      </c>
      <c r="O3874" s="33">
        <f t="shared" si="181"/>
        <v>0</v>
      </c>
    </row>
    <row r="3875" spans="1:15" x14ac:dyDescent="0.25">
      <c r="A3875" s="64" t="s">
        <v>187</v>
      </c>
      <c r="B3875" s="79" t="str">
        <f>IF(Sixteenth!B128="", "",Sixteenth!B128)</f>
        <v/>
      </c>
      <c r="C3875" s="66" t="str">
        <f>IF(Sixteenth!C128="", "",Sixteenth!C128)</f>
        <v/>
      </c>
      <c r="D3875" s="66" t="str">
        <f>IF(Sixteenth!D128="", "",Sixteenth!D128)</f>
        <v/>
      </c>
      <c r="E3875" s="66" t="str">
        <f>IF(Sixteenth!E128="", "",Sixteenth!E128)</f>
        <v/>
      </c>
      <c r="F3875" s="66" t="str">
        <f>IF(Sixteenth!F128="", "",Sixteenth!F128)</f>
        <v/>
      </c>
      <c r="G3875" s="66" t="str">
        <f>IF(Sixteenth!G128="", "",Sixteenth!G128)</f>
        <v/>
      </c>
      <c r="H3875" s="66" t="str">
        <f>IF(Sixteenth!H128="", "",Sixteenth!H128)</f>
        <v/>
      </c>
      <c r="I3875" s="66" t="str">
        <f>IF(Sixteenth!I128="", "",Sixteenth!I128)</f>
        <v/>
      </c>
      <c r="J3875" s="66" t="str">
        <f>IF(Sixteenth!J128="", "",Sixteenth!J128)</f>
        <v/>
      </c>
      <c r="K3875" s="86" t="str">
        <f>IF(Sixteenth!K128="", "",Sixteenth!K128)</f>
        <v/>
      </c>
      <c r="M3875" s="67" t="str">
        <f t="shared" si="182"/>
        <v/>
      </c>
      <c r="N3875" s="76" t="str">
        <f t="shared" si="183"/>
        <v/>
      </c>
      <c r="O3875" s="33">
        <f t="shared" si="181"/>
        <v>0</v>
      </c>
    </row>
    <row r="3876" spans="1:15" x14ac:dyDescent="0.25">
      <c r="A3876" s="64" t="s">
        <v>187</v>
      </c>
      <c r="B3876" s="79" t="str">
        <f>IF(Sixteenth!B129="", "",Sixteenth!B129)</f>
        <v/>
      </c>
      <c r="C3876" s="66" t="str">
        <f>IF(Sixteenth!C129="", "",Sixteenth!C129)</f>
        <v/>
      </c>
      <c r="D3876" s="66" t="str">
        <f>IF(Sixteenth!D129="", "",Sixteenth!D129)</f>
        <v/>
      </c>
      <c r="E3876" s="66" t="str">
        <f>IF(Sixteenth!E129="", "",Sixteenth!E129)</f>
        <v/>
      </c>
      <c r="F3876" s="66" t="str">
        <f>IF(Sixteenth!F129="", "",Sixteenth!F129)</f>
        <v/>
      </c>
      <c r="G3876" s="66" t="str">
        <f>IF(Sixteenth!G129="", "",Sixteenth!G129)</f>
        <v/>
      </c>
      <c r="H3876" s="66" t="str">
        <f>IF(Sixteenth!H129="", "",Sixteenth!H129)</f>
        <v/>
      </c>
      <c r="I3876" s="66" t="str">
        <f>IF(Sixteenth!I129="", "",Sixteenth!I129)</f>
        <v/>
      </c>
      <c r="J3876" s="66" t="str">
        <f>IF(Sixteenth!J129="", "",Sixteenth!J129)</f>
        <v/>
      </c>
      <c r="K3876" s="86" t="str">
        <f>IF(Sixteenth!K129="", "",Sixteenth!K129)</f>
        <v/>
      </c>
      <c r="M3876" s="67" t="str">
        <f t="shared" si="182"/>
        <v/>
      </c>
      <c r="N3876" s="76" t="str">
        <f t="shared" si="183"/>
        <v/>
      </c>
      <c r="O3876" s="33">
        <f t="shared" si="181"/>
        <v>0</v>
      </c>
    </row>
    <row r="3877" spans="1:15" x14ac:dyDescent="0.25">
      <c r="A3877" s="64" t="s">
        <v>187</v>
      </c>
      <c r="B3877" s="79" t="str">
        <f>IF(Sixteenth!B130="", "",Sixteenth!B130)</f>
        <v/>
      </c>
      <c r="C3877" s="66" t="str">
        <f>IF(Sixteenth!C130="", "",Sixteenth!C130)</f>
        <v/>
      </c>
      <c r="D3877" s="66" t="str">
        <f>IF(Sixteenth!D130="", "",Sixteenth!D130)</f>
        <v/>
      </c>
      <c r="E3877" s="66" t="str">
        <f>IF(Sixteenth!E130="", "",Sixteenth!E130)</f>
        <v/>
      </c>
      <c r="F3877" s="66" t="str">
        <f>IF(Sixteenth!F130="", "",Sixteenth!F130)</f>
        <v/>
      </c>
      <c r="G3877" s="66" t="str">
        <f>IF(Sixteenth!G130="", "",Sixteenth!G130)</f>
        <v/>
      </c>
      <c r="H3877" s="66" t="str">
        <f>IF(Sixteenth!H130="", "",Sixteenth!H130)</f>
        <v/>
      </c>
      <c r="I3877" s="66" t="str">
        <f>IF(Sixteenth!I130="", "",Sixteenth!I130)</f>
        <v/>
      </c>
      <c r="J3877" s="66" t="str">
        <f>IF(Sixteenth!J130="", "",Sixteenth!J130)</f>
        <v/>
      </c>
      <c r="K3877" s="86" t="str">
        <f>IF(Sixteenth!K130="", "",Sixteenth!K130)</f>
        <v/>
      </c>
      <c r="M3877" s="67" t="str">
        <f t="shared" si="182"/>
        <v/>
      </c>
      <c r="N3877" s="76" t="str">
        <f t="shared" si="183"/>
        <v/>
      </c>
      <c r="O3877" s="33">
        <f t="shared" si="181"/>
        <v>0</v>
      </c>
    </row>
    <row r="3878" spans="1:15" x14ac:dyDescent="0.25">
      <c r="A3878" s="64" t="s">
        <v>187</v>
      </c>
      <c r="B3878" s="79" t="str">
        <f>IF(Sixteenth!B131="", "",Sixteenth!B131)</f>
        <v/>
      </c>
      <c r="C3878" s="66" t="str">
        <f>IF(Sixteenth!C131="", "",Sixteenth!C131)</f>
        <v/>
      </c>
      <c r="D3878" s="66" t="str">
        <f>IF(Sixteenth!D131="", "",Sixteenth!D131)</f>
        <v/>
      </c>
      <c r="E3878" s="66" t="str">
        <f>IF(Sixteenth!E131="", "",Sixteenth!E131)</f>
        <v/>
      </c>
      <c r="F3878" s="66" t="str">
        <f>IF(Sixteenth!F131="", "",Sixteenth!F131)</f>
        <v/>
      </c>
      <c r="G3878" s="66" t="str">
        <f>IF(Sixteenth!G131="", "",Sixteenth!G131)</f>
        <v/>
      </c>
      <c r="H3878" s="66" t="str">
        <f>IF(Sixteenth!H131="", "",Sixteenth!H131)</f>
        <v/>
      </c>
      <c r="I3878" s="66" t="str">
        <f>IF(Sixteenth!I131="", "",Sixteenth!I131)</f>
        <v/>
      </c>
      <c r="J3878" s="66" t="str">
        <f>IF(Sixteenth!J131="", "",Sixteenth!J131)</f>
        <v/>
      </c>
      <c r="K3878" s="86" t="str">
        <f>IF(Sixteenth!K131="", "",Sixteenth!K131)</f>
        <v/>
      </c>
      <c r="M3878" s="67" t="str">
        <f t="shared" si="182"/>
        <v/>
      </c>
      <c r="N3878" s="76" t="str">
        <f t="shared" si="183"/>
        <v/>
      </c>
      <c r="O3878" s="33">
        <f t="shared" si="181"/>
        <v>0</v>
      </c>
    </row>
    <row r="3879" spans="1:15" x14ac:dyDescent="0.25">
      <c r="A3879" s="64" t="s">
        <v>187</v>
      </c>
      <c r="B3879" s="79" t="str">
        <f>IF(Sixteenth!B132="", "",Sixteenth!B132)</f>
        <v/>
      </c>
      <c r="C3879" s="66" t="str">
        <f>IF(Sixteenth!C132="", "",Sixteenth!C132)</f>
        <v/>
      </c>
      <c r="D3879" s="66" t="str">
        <f>IF(Sixteenth!D132="", "",Sixteenth!D132)</f>
        <v/>
      </c>
      <c r="E3879" s="66" t="str">
        <f>IF(Sixteenth!E132="", "",Sixteenth!E132)</f>
        <v/>
      </c>
      <c r="F3879" s="66" t="str">
        <f>IF(Sixteenth!F132="", "",Sixteenth!F132)</f>
        <v/>
      </c>
      <c r="G3879" s="66" t="str">
        <f>IF(Sixteenth!G132="", "",Sixteenth!G132)</f>
        <v/>
      </c>
      <c r="H3879" s="66" t="str">
        <f>IF(Sixteenth!H132="", "",Sixteenth!H132)</f>
        <v/>
      </c>
      <c r="I3879" s="66" t="str">
        <f>IF(Sixteenth!I132="", "",Sixteenth!I132)</f>
        <v/>
      </c>
      <c r="J3879" s="66" t="str">
        <f>IF(Sixteenth!J132="", "",Sixteenth!J132)</f>
        <v/>
      </c>
      <c r="K3879" s="86" t="str">
        <f>IF(Sixteenth!K132="", "",Sixteenth!K132)</f>
        <v/>
      </c>
      <c r="M3879" s="67" t="str">
        <f t="shared" si="182"/>
        <v/>
      </c>
      <c r="N3879" s="76" t="str">
        <f t="shared" si="183"/>
        <v/>
      </c>
      <c r="O3879" s="33">
        <f t="shared" si="181"/>
        <v>0</v>
      </c>
    </row>
    <row r="3880" spans="1:15" x14ac:dyDescent="0.25">
      <c r="A3880" s="64" t="s">
        <v>187</v>
      </c>
      <c r="B3880" s="79" t="str">
        <f>IF(Sixteenth!B133="", "",Sixteenth!B133)</f>
        <v/>
      </c>
      <c r="C3880" s="66" t="str">
        <f>IF(Sixteenth!C133="", "",Sixteenth!C133)</f>
        <v/>
      </c>
      <c r="D3880" s="66" t="str">
        <f>IF(Sixteenth!D133="", "",Sixteenth!D133)</f>
        <v/>
      </c>
      <c r="E3880" s="66" t="str">
        <f>IF(Sixteenth!E133="", "",Sixteenth!E133)</f>
        <v/>
      </c>
      <c r="F3880" s="66" t="str">
        <f>IF(Sixteenth!F133="", "",Sixteenth!F133)</f>
        <v/>
      </c>
      <c r="G3880" s="66" t="str">
        <f>IF(Sixteenth!G133="", "",Sixteenth!G133)</f>
        <v/>
      </c>
      <c r="H3880" s="66" t="str">
        <f>IF(Sixteenth!H133="", "",Sixteenth!H133)</f>
        <v/>
      </c>
      <c r="I3880" s="66" t="str">
        <f>IF(Sixteenth!I133="", "",Sixteenth!I133)</f>
        <v/>
      </c>
      <c r="J3880" s="66" t="str">
        <f>IF(Sixteenth!J133="", "",Sixteenth!J133)</f>
        <v/>
      </c>
      <c r="K3880" s="86" t="str">
        <f>IF(Sixteenth!K133="", "",Sixteenth!K133)</f>
        <v/>
      </c>
      <c r="M3880" s="67" t="str">
        <f t="shared" si="182"/>
        <v/>
      </c>
      <c r="N3880" s="76" t="str">
        <f t="shared" si="183"/>
        <v/>
      </c>
      <c r="O3880" s="33">
        <f t="shared" si="181"/>
        <v>0</v>
      </c>
    </row>
    <row r="3881" spans="1:15" x14ac:dyDescent="0.25">
      <c r="A3881" s="64" t="s">
        <v>187</v>
      </c>
      <c r="B3881" s="79" t="str">
        <f>IF(Sixteenth!B134="", "",Sixteenth!B134)</f>
        <v/>
      </c>
      <c r="C3881" s="66" t="str">
        <f>IF(Sixteenth!C134="", "",Sixteenth!C134)</f>
        <v/>
      </c>
      <c r="D3881" s="66" t="str">
        <f>IF(Sixteenth!D134="", "",Sixteenth!D134)</f>
        <v/>
      </c>
      <c r="E3881" s="66" t="str">
        <f>IF(Sixteenth!E134="", "",Sixteenth!E134)</f>
        <v/>
      </c>
      <c r="F3881" s="66" t="str">
        <f>IF(Sixteenth!F134="", "",Sixteenth!F134)</f>
        <v/>
      </c>
      <c r="G3881" s="66" t="str">
        <f>IF(Sixteenth!G134="", "",Sixteenth!G134)</f>
        <v/>
      </c>
      <c r="H3881" s="66" t="str">
        <f>IF(Sixteenth!H134="", "",Sixteenth!H134)</f>
        <v/>
      </c>
      <c r="I3881" s="66" t="str">
        <f>IF(Sixteenth!I134="", "",Sixteenth!I134)</f>
        <v/>
      </c>
      <c r="J3881" s="66" t="str">
        <f>IF(Sixteenth!J134="", "",Sixteenth!J134)</f>
        <v/>
      </c>
      <c r="K3881" s="86" t="str">
        <f>IF(Sixteenth!K134="", "",Sixteenth!K134)</f>
        <v/>
      </c>
      <c r="M3881" s="67" t="str">
        <f t="shared" si="182"/>
        <v/>
      </c>
      <c r="N3881" s="76" t="str">
        <f t="shared" si="183"/>
        <v/>
      </c>
      <c r="O3881" s="33">
        <f t="shared" si="181"/>
        <v>0</v>
      </c>
    </row>
    <row r="3882" spans="1:15" x14ac:dyDescent="0.25">
      <c r="A3882" s="64" t="s">
        <v>187</v>
      </c>
      <c r="B3882" s="79" t="str">
        <f>IF(Sixteenth!B135="", "",Sixteenth!B135)</f>
        <v/>
      </c>
      <c r="C3882" s="66" t="str">
        <f>IF(Sixteenth!C135="", "",Sixteenth!C135)</f>
        <v/>
      </c>
      <c r="D3882" s="66" t="str">
        <f>IF(Sixteenth!D135="", "",Sixteenth!D135)</f>
        <v/>
      </c>
      <c r="E3882" s="66" t="str">
        <f>IF(Sixteenth!E135="", "",Sixteenth!E135)</f>
        <v/>
      </c>
      <c r="F3882" s="66" t="str">
        <f>IF(Sixteenth!F135="", "",Sixteenth!F135)</f>
        <v/>
      </c>
      <c r="G3882" s="66" t="str">
        <f>IF(Sixteenth!G135="", "",Sixteenth!G135)</f>
        <v/>
      </c>
      <c r="H3882" s="66" t="str">
        <f>IF(Sixteenth!H135="", "",Sixteenth!H135)</f>
        <v/>
      </c>
      <c r="I3882" s="66" t="str">
        <f>IF(Sixteenth!I135="", "",Sixteenth!I135)</f>
        <v/>
      </c>
      <c r="J3882" s="66" t="str">
        <f>IF(Sixteenth!J135="", "",Sixteenth!J135)</f>
        <v/>
      </c>
      <c r="K3882" s="86" t="str">
        <f>IF(Sixteenth!K135="", "",Sixteenth!K135)</f>
        <v/>
      </c>
      <c r="M3882" s="67" t="str">
        <f t="shared" si="182"/>
        <v/>
      </c>
      <c r="N3882" s="76" t="str">
        <f t="shared" si="183"/>
        <v/>
      </c>
      <c r="O3882" s="33">
        <f t="shared" si="181"/>
        <v>0</v>
      </c>
    </row>
    <row r="3883" spans="1:15" x14ac:dyDescent="0.25">
      <c r="A3883" s="64" t="s">
        <v>187</v>
      </c>
      <c r="B3883" s="79" t="str">
        <f>IF(Sixteenth!B136="", "",Sixteenth!B136)</f>
        <v/>
      </c>
      <c r="C3883" s="66" t="str">
        <f>IF(Sixteenth!C136="", "",Sixteenth!C136)</f>
        <v/>
      </c>
      <c r="D3883" s="66" t="str">
        <f>IF(Sixteenth!D136="", "",Sixteenth!D136)</f>
        <v/>
      </c>
      <c r="E3883" s="66" t="str">
        <f>IF(Sixteenth!E136="", "",Sixteenth!E136)</f>
        <v/>
      </c>
      <c r="F3883" s="66" t="str">
        <f>IF(Sixteenth!F136="", "",Sixteenth!F136)</f>
        <v/>
      </c>
      <c r="G3883" s="66" t="str">
        <f>IF(Sixteenth!G136="", "",Sixteenth!G136)</f>
        <v/>
      </c>
      <c r="H3883" s="66" t="str">
        <f>IF(Sixteenth!H136="", "",Sixteenth!H136)</f>
        <v/>
      </c>
      <c r="I3883" s="66" t="str">
        <f>IF(Sixteenth!I136="", "",Sixteenth!I136)</f>
        <v/>
      </c>
      <c r="J3883" s="66" t="str">
        <f>IF(Sixteenth!J136="", "",Sixteenth!J136)</f>
        <v/>
      </c>
      <c r="K3883" s="86" t="str">
        <f>IF(Sixteenth!K136="", "",Sixteenth!K136)</f>
        <v/>
      </c>
      <c r="M3883" s="67" t="str">
        <f t="shared" si="182"/>
        <v/>
      </c>
      <c r="N3883" s="76" t="str">
        <f t="shared" si="183"/>
        <v/>
      </c>
      <c r="O3883" s="33">
        <f t="shared" si="181"/>
        <v>0</v>
      </c>
    </row>
    <row r="3884" spans="1:15" x14ac:dyDescent="0.25">
      <c r="A3884" s="64" t="s">
        <v>187</v>
      </c>
      <c r="B3884" s="79" t="str">
        <f>IF(Sixteenth!B137="", "",Sixteenth!B137)</f>
        <v/>
      </c>
      <c r="C3884" s="66" t="str">
        <f>IF(Sixteenth!C137="", "",Sixteenth!C137)</f>
        <v/>
      </c>
      <c r="D3884" s="66" t="str">
        <f>IF(Sixteenth!D137="", "",Sixteenth!D137)</f>
        <v/>
      </c>
      <c r="E3884" s="66" t="str">
        <f>IF(Sixteenth!E137="", "",Sixteenth!E137)</f>
        <v/>
      </c>
      <c r="F3884" s="66" t="str">
        <f>IF(Sixteenth!F137="", "",Sixteenth!F137)</f>
        <v/>
      </c>
      <c r="G3884" s="66" t="str">
        <f>IF(Sixteenth!G137="", "",Sixteenth!G137)</f>
        <v/>
      </c>
      <c r="H3884" s="66" t="str">
        <f>IF(Sixteenth!H137="", "",Sixteenth!H137)</f>
        <v/>
      </c>
      <c r="I3884" s="66" t="str">
        <f>IF(Sixteenth!I137="", "",Sixteenth!I137)</f>
        <v/>
      </c>
      <c r="J3884" s="66" t="str">
        <f>IF(Sixteenth!J137="", "",Sixteenth!J137)</f>
        <v/>
      </c>
      <c r="K3884" s="86" t="str">
        <f>IF(Sixteenth!K137="", "",Sixteenth!K137)</f>
        <v/>
      </c>
      <c r="M3884" s="67" t="str">
        <f t="shared" si="182"/>
        <v/>
      </c>
      <c r="N3884" s="76" t="str">
        <f t="shared" si="183"/>
        <v/>
      </c>
      <c r="O3884" s="33">
        <f t="shared" si="181"/>
        <v>0</v>
      </c>
    </row>
    <row r="3885" spans="1:15" x14ac:dyDescent="0.25">
      <c r="A3885" s="64" t="s">
        <v>187</v>
      </c>
      <c r="B3885" s="79" t="str">
        <f>IF(Sixteenth!B138="", "",Sixteenth!B138)</f>
        <v/>
      </c>
      <c r="C3885" s="66" t="str">
        <f>IF(Sixteenth!C138="", "",Sixteenth!C138)</f>
        <v/>
      </c>
      <c r="D3885" s="66" t="str">
        <f>IF(Sixteenth!D138="", "",Sixteenth!D138)</f>
        <v/>
      </c>
      <c r="E3885" s="66" t="str">
        <f>IF(Sixteenth!E138="", "",Sixteenth!E138)</f>
        <v/>
      </c>
      <c r="F3885" s="66" t="str">
        <f>IF(Sixteenth!F138="", "",Sixteenth!F138)</f>
        <v/>
      </c>
      <c r="G3885" s="66" t="str">
        <f>IF(Sixteenth!G138="", "",Sixteenth!G138)</f>
        <v/>
      </c>
      <c r="H3885" s="66" t="str">
        <f>IF(Sixteenth!H138="", "",Sixteenth!H138)</f>
        <v/>
      </c>
      <c r="I3885" s="66" t="str">
        <f>IF(Sixteenth!I138="", "",Sixteenth!I138)</f>
        <v/>
      </c>
      <c r="J3885" s="66" t="str">
        <f>IF(Sixteenth!J138="", "",Sixteenth!J138)</f>
        <v/>
      </c>
      <c r="K3885" s="86" t="str">
        <f>IF(Sixteenth!K138="", "",Sixteenth!K138)</f>
        <v/>
      </c>
      <c r="M3885" s="67" t="str">
        <f t="shared" si="182"/>
        <v/>
      </c>
      <c r="N3885" s="76" t="str">
        <f t="shared" si="183"/>
        <v/>
      </c>
      <c r="O3885" s="33">
        <f t="shared" si="181"/>
        <v>0</v>
      </c>
    </row>
    <row r="3886" spans="1:15" x14ac:dyDescent="0.25">
      <c r="A3886" s="64" t="s">
        <v>187</v>
      </c>
      <c r="B3886" s="79" t="str">
        <f>IF(Sixteenth!B139="", "",Sixteenth!B139)</f>
        <v/>
      </c>
      <c r="C3886" s="66" t="str">
        <f>IF(Sixteenth!C139="", "",Sixteenth!C139)</f>
        <v/>
      </c>
      <c r="D3886" s="66" t="str">
        <f>IF(Sixteenth!D139="", "",Sixteenth!D139)</f>
        <v/>
      </c>
      <c r="E3886" s="66" t="str">
        <f>IF(Sixteenth!E139="", "",Sixteenth!E139)</f>
        <v/>
      </c>
      <c r="F3886" s="66" t="str">
        <f>IF(Sixteenth!F139="", "",Sixteenth!F139)</f>
        <v/>
      </c>
      <c r="G3886" s="66" t="str">
        <f>IF(Sixteenth!G139="", "",Sixteenth!G139)</f>
        <v/>
      </c>
      <c r="H3886" s="66" t="str">
        <f>IF(Sixteenth!H139="", "",Sixteenth!H139)</f>
        <v/>
      </c>
      <c r="I3886" s="66" t="str">
        <f>IF(Sixteenth!I139="", "",Sixteenth!I139)</f>
        <v/>
      </c>
      <c r="J3886" s="66" t="str">
        <f>IF(Sixteenth!J139="", "",Sixteenth!J139)</f>
        <v/>
      </c>
      <c r="K3886" s="86" t="str">
        <f>IF(Sixteenth!K139="", "",Sixteenth!K139)</f>
        <v/>
      </c>
      <c r="M3886" s="67" t="str">
        <f t="shared" si="182"/>
        <v/>
      </c>
      <c r="N3886" s="76" t="str">
        <f t="shared" si="183"/>
        <v/>
      </c>
      <c r="O3886" s="33">
        <f t="shared" si="181"/>
        <v>0</v>
      </c>
    </row>
    <row r="3887" spans="1:15" x14ac:dyDescent="0.25">
      <c r="A3887" s="64" t="s">
        <v>187</v>
      </c>
      <c r="B3887" s="79" t="str">
        <f>IF(Sixteenth!B140="", "",Sixteenth!B140)</f>
        <v/>
      </c>
      <c r="C3887" s="66" t="str">
        <f>IF(Sixteenth!C140="", "",Sixteenth!C140)</f>
        <v/>
      </c>
      <c r="D3887" s="66" t="str">
        <f>IF(Sixteenth!D140="", "",Sixteenth!D140)</f>
        <v/>
      </c>
      <c r="E3887" s="66" t="str">
        <f>IF(Sixteenth!E140="", "",Sixteenth!E140)</f>
        <v/>
      </c>
      <c r="F3887" s="66" t="str">
        <f>IF(Sixteenth!F140="", "",Sixteenth!F140)</f>
        <v/>
      </c>
      <c r="G3887" s="66" t="str">
        <f>IF(Sixteenth!G140="", "",Sixteenth!G140)</f>
        <v/>
      </c>
      <c r="H3887" s="66" t="str">
        <f>IF(Sixteenth!H140="", "",Sixteenth!H140)</f>
        <v/>
      </c>
      <c r="I3887" s="66" t="str">
        <f>IF(Sixteenth!I140="", "",Sixteenth!I140)</f>
        <v/>
      </c>
      <c r="J3887" s="66" t="str">
        <f>IF(Sixteenth!J140="", "",Sixteenth!J140)</f>
        <v/>
      </c>
      <c r="K3887" s="86" t="str">
        <f>IF(Sixteenth!K140="", "",Sixteenth!K140)</f>
        <v/>
      </c>
      <c r="M3887" s="67" t="str">
        <f t="shared" si="182"/>
        <v/>
      </c>
      <c r="N3887" s="76" t="str">
        <f t="shared" si="183"/>
        <v/>
      </c>
      <c r="O3887" s="33">
        <f t="shared" si="181"/>
        <v>0</v>
      </c>
    </row>
    <row r="3888" spans="1:15" x14ac:dyDescent="0.25">
      <c r="A3888" s="64" t="s">
        <v>187</v>
      </c>
      <c r="B3888" s="79" t="str">
        <f>IF(Sixteenth!B141="", "",Sixteenth!B141)</f>
        <v/>
      </c>
      <c r="C3888" s="66" t="str">
        <f>IF(Sixteenth!C141="", "",Sixteenth!C141)</f>
        <v/>
      </c>
      <c r="D3888" s="66" t="str">
        <f>IF(Sixteenth!D141="", "",Sixteenth!D141)</f>
        <v/>
      </c>
      <c r="E3888" s="66" t="str">
        <f>IF(Sixteenth!E141="", "",Sixteenth!E141)</f>
        <v/>
      </c>
      <c r="F3888" s="66" t="str">
        <f>IF(Sixteenth!F141="", "",Sixteenth!F141)</f>
        <v/>
      </c>
      <c r="G3888" s="66" t="str">
        <f>IF(Sixteenth!G141="", "",Sixteenth!G141)</f>
        <v/>
      </c>
      <c r="H3888" s="66" t="str">
        <f>IF(Sixteenth!H141="", "",Sixteenth!H141)</f>
        <v/>
      </c>
      <c r="I3888" s="66" t="str">
        <f>IF(Sixteenth!I141="", "",Sixteenth!I141)</f>
        <v/>
      </c>
      <c r="J3888" s="66" t="str">
        <f>IF(Sixteenth!J141="", "",Sixteenth!J141)</f>
        <v/>
      </c>
      <c r="K3888" s="86" t="str">
        <f>IF(Sixteenth!K141="", "",Sixteenth!K141)</f>
        <v/>
      </c>
      <c r="M3888" s="67" t="str">
        <f t="shared" si="182"/>
        <v/>
      </c>
      <c r="N3888" s="76" t="str">
        <f t="shared" si="183"/>
        <v/>
      </c>
      <c r="O3888" s="33">
        <f t="shared" si="181"/>
        <v>0</v>
      </c>
    </row>
    <row r="3889" spans="1:15" x14ac:dyDescent="0.25">
      <c r="A3889" s="64" t="s">
        <v>187</v>
      </c>
      <c r="B3889" s="79" t="str">
        <f>IF(Sixteenth!B142="", "",Sixteenth!B142)</f>
        <v/>
      </c>
      <c r="C3889" s="66" t="str">
        <f>IF(Sixteenth!C142="", "",Sixteenth!C142)</f>
        <v/>
      </c>
      <c r="D3889" s="66" t="str">
        <f>IF(Sixteenth!D142="", "",Sixteenth!D142)</f>
        <v/>
      </c>
      <c r="E3889" s="66" t="str">
        <f>IF(Sixteenth!E142="", "",Sixteenth!E142)</f>
        <v/>
      </c>
      <c r="F3889" s="66" t="str">
        <f>IF(Sixteenth!F142="", "",Sixteenth!F142)</f>
        <v/>
      </c>
      <c r="G3889" s="66" t="str">
        <f>IF(Sixteenth!G142="", "",Sixteenth!G142)</f>
        <v/>
      </c>
      <c r="H3889" s="66" t="str">
        <f>IF(Sixteenth!H142="", "",Sixteenth!H142)</f>
        <v/>
      </c>
      <c r="I3889" s="66" t="str">
        <f>IF(Sixteenth!I142="", "",Sixteenth!I142)</f>
        <v/>
      </c>
      <c r="J3889" s="66" t="str">
        <f>IF(Sixteenth!J142="", "",Sixteenth!J142)</f>
        <v/>
      </c>
      <c r="K3889" s="86" t="str">
        <f>IF(Sixteenth!K142="", "",Sixteenth!K142)</f>
        <v/>
      </c>
      <c r="M3889" s="67" t="str">
        <f t="shared" si="182"/>
        <v/>
      </c>
      <c r="N3889" s="76" t="str">
        <f t="shared" si="183"/>
        <v/>
      </c>
      <c r="O3889" s="33">
        <f t="shared" si="181"/>
        <v>0</v>
      </c>
    </row>
    <row r="3890" spans="1:15" x14ac:dyDescent="0.25">
      <c r="A3890" s="64" t="s">
        <v>187</v>
      </c>
      <c r="B3890" s="79" t="str">
        <f>IF(Sixteenth!B143="", "",Sixteenth!B143)</f>
        <v/>
      </c>
      <c r="C3890" s="66" t="str">
        <f>IF(Sixteenth!C143="", "",Sixteenth!C143)</f>
        <v/>
      </c>
      <c r="D3890" s="66" t="str">
        <f>IF(Sixteenth!D143="", "",Sixteenth!D143)</f>
        <v/>
      </c>
      <c r="E3890" s="66" t="str">
        <f>IF(Sixteenth!E143="", "",Sixteenth!E143)</f>
        <v/>
      </c>
      <c r="F3890" s="66" t="str">
        <f>IF(Sixteenth!F143="", "",Sixteenth!F143)</f>
        <v/>
      </c>
      <c r="G3890" s="66" t="str">
        <f>IF(Sixteenth!G143="", "",Sixteenth!G143)</f>
        <v/>
      </c>
      <c r="H3890" s="66" t="str">
        <f>IF(Sixteenth!H143="", "",Sixteenth!H143)</f>
        <v/>
      </c>
      <c r="I3890" s="66" t="str">
        <f>IF(Sixteenth!I143="", "",Sixteenth!I143)</f>
        <v/>
      </c>
      <c r="J3890" s="66" t="str">
        <f>IF(Sixteenth!J143="", "",Sixteenth!J143)</f>
        <v/>
      </c>
      <c r="K3890" s="86" t="str">
        <f>IF(Sixteenth!K143="", "",Sixteenth!K143)</f>
        <v/>
      </c>
      <c r="M3890" s="67" t="str">
        <f t="shared" si="182"/>
        <v/>
      </c>
      <c r="N3890" s="76" t="str">
        <f t="shared" si="183"/>
        <v/>
      </c>
      <c r="O3890" s="33">
        <f t="shared" si="181"/>
        <v>0</v>
      </c>
    </row>
    <row r="3891" spans="1:15" x14ac:dyDescent="0.25">
      <c r="A3891" s="64" t="s">
        <v>187</v>
      </c>
      <c r="B3891" s="79" t="str">
        <f>IF(Sixteenth!B144="", "",Sixteenth!B144)</f>
        <v/>
      </c>
      <c r="C3891" s="66" t="str">
        <f>IF(Sixteenth!C144="", "",Sixteenth!C144)</f>
        <v/>
      </c>
      <c r="D3891" s="66" t="str">
        <f>IF(Sixteenth!D144="", "",Sixteenth!D144)</f>
        <v/>
      </c>
      <c r="E3891" s="66" t="str">
        <f>IF(Sixteenth!E144="", "",Sixteenth!E144)</f>
        <v/>
      </c>
      <c r="F3891" s="66" t="str">
        <f>IF(Sixteenth!F144="", "",Sixteenth!F144)</f>
        <v/>
      </c>
      <c r="G3891" s="66" t="str">
        <f>IF(Sixteenth!G144="", "",Sixteenth!G144)</f>
        <v/>
      </c>
      <c r="H3891" s="66" t="str">
        <f>IF(Sixteenth!H144="", "",Sixteenth!H144)</f>
        <v/>
      </c>
      <c r="I3891" s="66" t="str">
        <f>IF(Sixteenth!I144="", "",Sixteenth!I144)</f>
        <v/>
      </c>
      <c r="J3891" s="66" t="str">
        <f>IF(Sixteenth!J144="", "",Sixteenth!J144)</f>
        <v/>
      </c>
      <c r="K3891" s="86" t="str">
        <f>IF(Sixteenth!K144="", "",Sixteenth!K144)</f>
        <v/>
      </c>
      <c r="M3891" s="67" t="str">
        <f t="shared" si="182"/>
        <v/>
      </c>
      <c r="N3891" s="76" t="str">
        <f t="shared" si="183"/>
        <v/>
      </c>
      <c r="O3891" s="33">
        <f t="shared" si="181"/>
        <v>0</v>
      </c>
    </row>
    <row r="3892" spans="1:15" x14ac:dyDescent="0.25">
      <c r="A3892" s="64" t="s">
        <v>187</v>
      </c>
      <c r="B3892" s="79" t="str">
        <f>IF(Sixteenth!B145="", "",Sixteenth!B145)</f>
        <v/>
      </c>
      <c r="C3892" s="66" t="str">
        <f>IF(Sixteenth!C145="", "",Sixteenth!C145)</f>
        <v/>
      </c>
      <c r="D3892" s="66" t="str">
        <f>IF(Sixteenth!D145="", "",Sixteenth!D145)</f>
        <v/>
      </c>
      <c r="E3892" s="66" t="str">
        <f>IF(Sixteenth!E145="", "",Sixteenth!E145)</f>
        <v/>
      </c>
      <c r="F3892" s="66" t="str">
        <f>IF(Sixteenth!F145="", "",Sixteenth!F145)</f>
        <v/>
      </c>
      <c r="G3892" s="66" t="str">
        <f>IF(Sixteenth!G145="", "",Sixteenth!G145)</f>
        <v/>
      </c>
      <c r="H3892" s="66" t="str">
        <f>IF(Sixteenth!H145="", "",Sixteenth!H145)</f>
        <v/>
      </c>
      <c r="I3892" s="66" t="str">
        <f>IF(Sixteenth!I145="", "",Sixteenth!I145)</f>
        <v/>
      </c>
      <c r="J3892" s="66" t="str">
        <f>IF(Sixteenth!J145="", "",Sixteenth!J145)</f>
        <v/>
      </c>
      <c r="K3892" s="86" t="str">
        <f>IF(Sixteenth!K145="", "",Sixteenth!K145)</f>
        <v/>
      </c>
      <c r="M3892" s="67" t="str">
        <f t="shared" si="182"/>
        <v/>
      </c>
      <c r="N3892" s="76" t="str">
        <f t="shared" si="183"/>
        <v/>
      </c>
      <c r="O3892" s="33">
        <f t="shared" si="181"/>
        <v>0</v>
      </c>
    </row>
    <row r="3893" spans="1:15" x14ac:dyDescent="0.25">
      <c r="A3893" s="64" t="s">
        <v>187</v>
      </c>
      <c r="B3893" s="79" t="str">
        <f>IF(Sixteenth!B146="", "",Sixteenth!B146)</f>
        <v/>
      </c>
      <c r="C3893" s="66" t="str">
        <f>IF(Sixteenth!C146="", "",Sixteenth!C146)</f>
        <v/>
      </c>
      <c r="D3893" s="66" t="str">
        <f>IF(Sixteenth!D146="", "",Sixteenth!D146)</f>
        <v/>
      </c>
      <c r="E3893" s="66" t="str">
        <f>IF(Sixteenth!E146="", "",Sixteenth!E146)</f>
        <v/>
      </c>
      <c r="F3893" s="66" t="str">
        <f>IF(Sixteenth!F146="", "",Sixteenth!F146)</f>
        <v/>
      </c>
      <c r="G3893" s="66" t="str">
        <f>IF(Sixteenth!G146="", "",Sixteenth!G146)</f>
        <v/>
      </c>
      <c r="H3893" s="66" t="str">
        <f>IF(Sixteenth!H146="", "",Sixteenth!H146)</f>
        <v/>
      </c>
      <c r="I3893" s="66" t="str">
        <f>IF(Sixteenth!I146="", "",Sixteenth!I146)</f>
        <v/>
      </c>
      <c r="J3893" s="66" t="str">
        <f>IF(Sixteenth!J146="", "",Sixteenth!J146)</f>
        <v/>
      </c>
      <c r="K3893" s="86" t="str">
        <f>IF(Sixteenth!K146="", "",Sixteenth!K146)</f>
        <v/>
      </c>
      <c r="M3893" s="67" t="str">
        <f t="shared" si="182"/>
        <v/>
      </c>
      <c r="N3893" s="76" t="str">
        <f t="shared" si="183"/>
        <v/>
      </c>
      <c r="O3893" s="33">
        <f t="shared" si="181"/>
        <v>0</v>
      </c>
    </row>
    <row r="3894" spans="1:15" x14ac:dyDescent="0.25">
      <c r="A3894" s="64" t="s">
        <v>187</v>
      </c>
      <c r="B3894" s="79" t="str">
        <f>IF(Sixteenth!B147="", "",Sixteenth!B147)</f>
        <v/>
      </c>
      <c r="C3894" s="66" t="str">
        <f>IF(Sixteenth!C147="", "",Sixteenth!C147)</f>
        <v/>
      </c>
      <c r="D3894" s="66" t="str">
        <f>IF(Sixteenth!D147="", "",Sixteenth!D147)</f>
        <v/>
      </c>
      <c r="E3894" s="66" t="str">
        <f>IF(Sixteenth!E147="", "",Sixteenth!E147)</f>
        <v/>
      </c>
      <c r="F3894" s="66" t="str">
        <f>IF(Sixteenth!F147="", "",Sixteenth!F147)</f>
        <v/>
      </c>
      <c r="G3894" s="66" t="str">
        <f>IF(Sixteenth!G147="", "",Sixteenth!G147)</f>
        <v/>
      </c>
      <c r="H3894" s="66" t="str">
        <f>IF(Sixteenth!H147="", "",Sixteenth!H147)</f>
        <v/>
      </c>
      <c r="I3894" s="66" t="str">
        <f>IF(Sixteenth!I147="", "",Sixteenth!I147)</f>
        <v/>
      </c>
      <c r="J3894" s="66" t="str">
        <f>IF(Sixteenth!J147="", "",Sixteenth!J147)</f>
        <v/>
      </c>
      <c r="K3894" s="86" t="str">
        <f>IF(Sixteenth!K147="", "",Sixteenth!K147)</f>
        <v/>
      </c>
      <c r="M3894" s="67" t="str">
        <f t="shared" si="182"/>
        <v/>
      </c>
      <c r="N3894" s="76" t="str">
        <f t="shared" si="183"/>
        <v/>
      </c>
      <c r="O3894" s="33">
        <f t="shared" si="181"/>
        <v>0</v>
      </c>
    </row>
    <row r="3895" spans="1:15" x14ac:dyDescent="0.25">
      <c r="A3895" s="64" t="s">
        <v>187</v>
      </c>
      <c r="B3895" s="79" t="str">
        <f>IF(Sixteenth!B148="", "",Sixteenth!B148)</f>
        <v/>
      </c>
      <c r="C3895" s="66" t="str">
        <f>IF(Sixteenth!C148="", "",Sixteenth!C148)</f>
        <v/>
      </c>
      <c r="D3895" s="66" t="str">
        <f>IF(Sixteenth!D148="", "",Sixteenth!D148)</f>
        <v/>
      </c>
      <c r="E3895" s="66" t="str">
        <f>IF(Sixteenth!E148="", "",Sixteenth!E148)</f>
        <v/>
      </c>
      <c r="F3895" s="66" t="str">
        <f>IF(Sixteenth!F148="", "",Sixteenth!F148)</f>
        <v/>
      </c>
      <c r="G3895" s="66" t="str">
        <f>IF(Sixteenth!G148="", "",Sixteenth!G148)</f>
        <v/>
      </c>
      <c r="H3895" s="66" t="str">
        <f>IF(Sixteenth!H148="", "",Sixteenth!H148)</f>
        <v/>
      </c>
      <c r="I3895" s="66" t="str">
        <f>IF(Sixteenth!I148="", "",Sixteenth!I148)</f>
        <v/>
      </c>
      <c r="J3895" s="66" t="str">
        <f>IF(Sixteenth!J148="", "",Sixteenth!J148)</f>
        <v/>
      </c>
      <c r="K3895" s="86" t="str">
        <f>IF(Sixteenth!K148="", "",Sixteenth!K148)</f>
        <v/>
      </c>
      <c r="M3895" s="67" t="str">
        <f t="shared" si="182"/>
        <v/>
      </c>
      <c r="N3895" s="76" t="str">
        <f t="shared" si="183"/>
        <v/>
      </c>
      <c r="O3895" s="33">
        <f t="shared" si="181"/>
        <v>0</v>
      </c>
    </row>
    <row r="3896" spans="1:15" x14ac:dyDescent="0.25">
      <c r="A3896" s="64" t="s">
        <v>187</v>
      </c>
      <c r="B3896" s="79" t="str">
        <f>IF(Sixteenth!B149="", "",Sixteenth!B149)</f>
        <v/>
      </c>
      <c r="C3896" s="66" t="str">
        <f>IF(Sixteenth!C149="", "",Sixteenth!C149)</f>
        <v/>
      </c>
      <c r="D3896" s="66" t="str">
        <f>IF(Sixteenth!D149="", "",Sixteenth!D149)</f>
        <v/>
      </c>
      <c r="E3896" s="66" t="str">
        <f>IF(Sixteenth!E149="", "",Sixteenth!E149)</f>
        <v/>
      </c>
      <c r="F3896" s="66" t="str">
        <f>IF(Sixteenth!F149="", "",Sixteenth!F149)</f>
        <v/>
      </c>
      <c r="G3896" s="66" t="str">
        <f>IF(Sixteenth!G149="", "",Sixteenth!G149)</f>
        <v/>
      </c>
      <c r="H3896" s="66" t="str">
        <f>IF(Sixteenth!H149="", "",Sixteenth!H149)</f>
        <v/>
      </c>
      <c r="I3896" s="66" t="str">
        <f>IF(Sixteenth!I149="", "",Sixteenth!I149)</f>
        <v/>
      </c>
      <c r="J3896" s="66" t="str">
        <f>IF(Sixteenth!J149="", "",Sixteenth!J149)</f>
        <v/>
      </c>
      <c r="K3896" s="86" t="str">
        <f>IF(Sixteenth!K149="", "",Sixteenth!K149)</f>
        <v/>
      </c>
      <c r="M3896" s="67" t="str">
        <f t="shared" si="182"/>
        <v/>
      </c>
      <c r="N3896" s="76" t="str">
        <f t="shared" si="183"/>
        <v/>
      </c>
      <c r="O3896" s="33">
        <f t="shared" si="181"/>
        <v>0</v>
      </c>
    </row>
    <row r="3897" spans="1:15" x14ac:dyDescent="0.25">
      <c r="A3897" s="64" t="s">
        <v>187</v>
      </c>
      <c r="B3897" s="79" t="str">
        <f>IF(Sixteenth!B150="", "",Sixteenth!B150)</f>
        <v/>
      </c>
      <c r="C3897" s="66" t="str">
        <f>IF(Sixteenth!C150="", "",Sixteenth!C150)</f>
        <v/>
      </c>
      <c r="D3897" s="66" t="str">
        <f>IF(Sixteenth!D150="", "",Sixteenth!D150)</f>
        <v/>
      </c>
      <c r="E3897" s="66" t="str">
        <f>IF(Sixteenth!E150="", "",Sixteenth!E150)</f>
        <v/>
      </c>
      <c r="F3897" s="66" t="str">
        <f>IF(Sixteenth!F150="", "",Sixteenth!F150)</f>
        <v/>
      </c>
      <c r="G3897" s="66" t="str">
        <f>IF(Sixteenth!G150="", "",Sixteenth!G150)</f>
        <v/>
      </c>
      <c r="H3897" s="66" t="str">
        <f>IF(Sixteenth!H150="", "",Sixteenth!H150)</f>
        <v/>
      </c>
      <c r="I3897" s="66" t="str">
        <f>IF(Sixteenth!I150="", "",Sixteenth!I150)</f>
        <v/>
      </c>
      <c r="J3897" s="66" t="str">
        <f>IF(Sixteenth!J150="", "",Sixteenth!J150)</f>
        <v/>
      </c>
      <c r="K3897" s="86" t="str">
        <f>IF(Sixteenth!K150="", "",Sixteenth!K150)</f>
        <v/>
      </c>
      <c r="M3897" s="67" t="str">
        <f t="shared" si="182"/>
        <v/>
      </c>
      <c r="N3897" s="76" t="str">
        <f t="shared" si="183"/>
        <v/>
      </c>
      <c r="O3897" s="33">
        <f t="shared" si="181"/>
        <v>0</v>
      </c>
    </row>
    <row r="3898" spans="1:15" x14ac:dyDescent="0.25">
      <c r="A3898" s="64" t="s">
        <v>187</v>
      </c>
      <c r="B3898" s="79" t="str">
        <f>IF(Sixteenth!B151="", "",Sixteenth!B151)</f>
        <v/>
      </c>
      <c r="C3898" s="66" t="str">
        <f>IF(Sixteenth!C151="", "",Sixteenth!C151)</f>
        <v/>
      </c>
      <c r="D3898" s="66" t="str">
        <f>IF(Sixteenth!D151="", "",Sixteenth!D151)</f>
        <v/>
      </c>
      <c r="E3898" s="66" t="str">
        <f>IF(Sixteenth!E151="", "",Sixteenth!E151)</f>
        <v/>
      </c>
      <c r="F3898" s="66" t="str">
        <f>IF(Sixteenth!F151="", "",Sixteenth!F151)</f>
        <v/>
      </c>
      <c r="G3898" s="66" t="str">
        <f>IF(Sixteenth!G151="", "",Sixteenth!G151)</f>
        <v/>
      </c>
      <c r="H3898" s="66" t="str">
        <f>IF(Sixteenth!H151="", "",Sixteenth!H151)</f>
        <v/>
      </c>
      <c r="I3898" s="66" t="str">
        <f>IF(Sixteenth!I151="", "",Sixteenth!I151)</f>
        <v/>
      </c>
      <c r="J3898" s="66" t="str">
        <f>IF(Sixteenth!J151="", "",Sixteenth!J151)</f>
        <v/>
      </c>
      <c r="K3898" s="86" t="str">
        <f>IF(Sixteenth!K151="", "",Sixteenth!K151)</f>
        <v/>
      </c>
      <c r="M3898" s="67" t="str">
        <f t="shared" si="182"/>
        <v/>
      </c>
      <c r="N3898" s="76" t="str">
        <f t="shared" si="183"/>
        <v/>
      </c>
      <c r="O3898" s="33">
        <f t="shared" si="181"/>
        <v>0</v>
      </c>
    </row>
    <row r="3899" spans="1:15" x14ac:dyDescent="0.25">
      <c r="A3899" s="64" t="s">
        <v>187</v>
      </c>
      <c r="B3899" s="79" t="str">
        <f>IF(Sixteenth!B152="", "",Sixteenth!B152)</f>
        <v/>
      </c>
      <c r="C3899" s="66" t="str">
        <f>IF(Sixteenth!C152="", "",Sixteenth!C152)</f>
        <v/>
      </c>
      <c r="D3899" s="66" t="str">
        <f>IF(Sixteenth!D152="", "",Sixteenth!D152)</f>
        <v/>
      </c>
      <c r="E3899" s="66" t="str">
        <f>IF(Sixteenth!E152="", "",Sixteenth!E152)</f>
        <v/>
      </c>
      <c r="F3899" s="66" t="str">
        <f>IF(Sixteenth!F152="", "",Sixteenth!F152)</f>
        <v/>
      </c>
      <c r="G3899" s="66" t="str">
        <f>IF(Sixteenth!G152="", "",Sixteenth!G152)</f>
        <v/>
      </c>
      <c r="H3899" s="66" t="str">
        <f>IF(Sixteenth!H152="", "",Sixteenth!H152)</f>
        <v/>
      </c>
      <c r="I3899" s="66" t="str">
        <f>IF(Sixteenth!I152="", "",Sixteenth!I152)</f>
        <v/>
      </c>
      <c r="J3899" s="66" t="str">
        <f>IF(Sixteenth!J152="", "",Sixteenth!J152)</f>
        <v/>
      </c>
      <c r="K3899" s="86" t="str">
        <f>IF(Sixteenth!K152="", "",Sixteenth!K152)</f>
        <v/>
      </c>
      <c r="M3899" s="67" t="str">
        <f t="shared" si="182"/>
        <v/>
      </c>
      <c r="N3899" s="76" t="str">
        <f t="shared" si="183"/>
        <v/>
      </c>
      <c r="O3899" s="33">
        <f t="shared" si="181"/>
        <v>0</v>
      </c>
    </row>
    <row r="3900" spans="1:15" x14ac:dyDescent="0.25">
      <c r="A3900" s="64" t="s">
        <v>187</v>
      </c>
      <c r="B3900" s="79" t="str">
        <f>IF(Sixteenth!B153="", "",Sixteenth!B153)</f>
        <v/>
      </c>
      <c r="C3900" s="66" t="str">
        <f>IF(Sixteenth!C153="", "",Sixteenth!C153)</f>
        <v/>
      </c>
      <c r="D3900" s="66" t="str">
        <f>IF(Sixteenth!D153="", "",Sixteenth!D153)</f>
        <v/>
      </c>
      <c r="E3900" s="66" t="str">
        <f>IF(Sixteenth!E153="", "",Sixteenth!E153)</f>
        <v/>
      </c>
      <c r="F3900" s="66" t="str">
        <f>IF(Sixteenth!F153="", "",Sixteenth!F153)</f>
        <v/>
      </c>
      <c r="G3900" s="66" t="str">
        <f>IF(Sixteenth!G153="", "",Sixteenth!G153)</f>
        <v/>
      </c>
      <c r="H3900" s="66" t="str">
        <f>IF(Sixteenth!H153="", "",Sixteenth!H153)</f>
        <v/>
      </c>
      <c r="I3900" s="66" t="str">
        <f>IF(Sixteenth!I153="", "",Sixteenth!I153)</f>
        <v/>
      </c>
      <c r="J3900" s="66" t="str">
        <f>IF(Sixteenth!J153="", "",Sixteenth!J153)</f>
        <v/>
      </c>
      <c r="K3900" s="86" t="str">
        <f>IF(Sixteenth!K153="", "",Sixteenth!K153)</f>
        <v/>
      </c>
      <c r="M3900" s="67" t="str">
        <f t="shared" si="182"/>
        <v/>
      </c>
      <c r="N3900" s="76" t="str">
        <f t="shared" si="183"/>
        <v/>
      </c>
      <c r="O3900" s="33">
        <f t="shared" si="181"/>
        <v>0</v>
      </c>
    </row>
    <row r="3901" spans="1:15" x14ac:dyDescent="0.25">
      <c r="A3901" s="64" t="s">
        <v>187</v>
      </c>
      <c r="B3901" s="79" t="str">
        <f>IF(Sixteenth!B154="", "",Sixteenth!B154)</f>
        <v/>
      </c>
      <c r="C3901" s="66" t="str">
        <f>IF(Sixteenth!C154="", "",Sixteenth!C154)</f>
        <v/>
      </c>
      <c r="D3901" s="66" t="str">
        <f>IF(Sixteenth!D154="", "",Sixteenth!D154)</f>
        <v/>
      </c>
      <c r="E3901" s="66" t="str">
        <f>IF(Sixteenth!E154="", "",Sixteenth!E154)</f>
        <v/>
      </c>
      <c r="F3901" s="66" t="str">
        <f>IF(Sixteenth!F154="", "",Sixteenth!F154)</f>
        <v/>
      </c>
      <c r="G3901" s="66" t="str">
        <f>IF(Sixteenth!G154="", "",Sixteenth!G154)</f>
        <v/>
      </c>
      <c r="H3901" s="66" t="str">
        <f>IF(Sixteenth!H154="", "",Sixteenth!H154)</f>
        <v/>
      </c>
      <c r="I3901" s="66" t="str">
        <f>IF(Sixteenth!I154="", "",Sixteenth!I154)</f>
        <v/>
      </c>
      <c r="J3901" s="66" t="str">
        <f>IF(Sixteenth!J154="", "",Sixteenth!J154)</f>
        <v/>
      </c>
      <c r="K3901" s="86" t="str">
        <f>IF(Sixteenth!K154="", "",Sixteenth!K154)</f>
        <v/>
      </c>
      <c r="M3901" s="67" t="str">
        <f t="shared" si="182"/>
        <v/>
      </c>
      <c r="N3901" s="76" t="str">
        <f t="shared" si="183"/>
        <v/>
      </c>
      <c r="O3901" s="33">
        <f t="shared" si="181"/>
        <v>0</v>
      </c>
    </row>
    <row r="3902" spans="1:15" x14ac:dyDescent="0.25">
      <c r="A3902" s="64" t="s">
        <v>187</v>
      </c>
      <c r="B3902" s="79" t="str">
        <f>IF(Sixteenth!B155="", "",Sixteenth!B155)</f>
        <v/>
      </c>
      <c r="C3902" s="66" t="str">
        <f>IF(Sixteenth!C155="", "",Sixteenth!C155)</f>
        <v/>
      </c>
      <c r="D3902" s="66" t="str">
        <f>IF(Sixteenth!D155="", "",Sixteenth!D155)</f>
        <v/>
      </c>
      <c r="E3902" s="66" t="str">
        <f>IF(Sixteenth!E155="", "",Sixteenth!E155)</f>
        <v/>
      </c>
      <c r="F3902" s="66" t="str">
        <f>IF(Sixteenth!F155="", "",Sixteenth!F155)</f>
        <v/>
      </c>
      <c r="G3902" s="66" t="str">
        <f>IF(Sixteenth!G155="", "",Sixteenth!G155)</f>
        <v/>
      </c>
      <c r="H3902" s="66" t="str">
        <f>IF(Sixteenth!H155="", "",Sixteenth!H155)</f>
        <v/>
      </c>
      <c r="I3902" s="66" t="str">
        <f>IF(Sixteenth!I155="", "",Sixteenth!I155)</f>
        <v/>
      </c>
      <c r="J3902" s="66" t="str">
        <f>IF(Sixteenth!J155="", "",Sixteenth!J155)</f>
        <v/>
      </c>
      <c r="K3902" s="86" t="str">
        <f>IF(Sixteenth!K155="", "",Sixteenth!K155)</f>
        <v/>
      </c>
      <c r="M3902" s="67" t="str">
        <f t="shared" si="182"/>
        <v/>
      </c>
      <c r="N3902" s="76" t="str">
        <f t="shared" si="183"/>
        <v/>
      </c>
      <c r="O3902" s="33">
        <f t="shared" si="181"/>
        <v>0</v>
      </c>
    </row>
    <row r="3903" spans="1:15" x14ac:dyDescent="0.25">
      <c r="A3903" s="64" t="s">
        <v>187</v>
      </c>
      <c r="B3903" s="79" t="str">
        <f>IF(Sixteenth!B156="", "",Sixteenth!B156)</f>
        <v/>
      </c>
      <c r="C3903" s="66" t="str">
        <f>IF(Sixteenth!C156="", "",Sixteenth!C156)</f>
        <v/>
      </c>
      <c r="D3903" s="66" t="str">
        <f>IF(Sixteenth!D156="", "",Sixteenth!D156)</f>
        <v/>
      </c>
      <c r="E3903" s="66" t="str">
        <f>IF(Sixteenth!E156="", "",Sixteenth!E156)</f>
        <v/>
      </c>
      <c r="F3903" s="66" t="str">
        <f>IF(Sixteenth!F156="", "",Sixteenth!F156)</f>
        <v/>
      </c>
      <c r="G3903" s="66" t="str">
        <f>IF(Sixteenth!G156="", "",Sixteenth!G156)</f>
        <v/>
      </c>
      <c r="H3903" s="66" t="str">
        <f>IF(Sixteenth!H156="", "",Sixteenth!H156)</f>
        <v/>
      </c>
      <c r="I3903" s="66" t="str">
        <f>IF(Sixteenth!I156="", "",Sixteenth!I156)</f>
        <v/>
      </c>
      <c r="J3903" s="66" t="str">
        <f>IF(Sixteenth!J156="", "",Sixteenth!J156)</f>
        <v/>
      </c>
      <c r="K3903" s="86" t="str">
        <f>IF(Sixteenth!K156="", "",Sixteenth!K156)</f>
        <v/>
      </c>
      <c r="M3903" s="67" t="str">
        <f t="shared" si="182"/>
        <v/>
      </c>
      <c r="N3903" s="76" t="str">
        <f t="shared" si="183"/>
        <v/>
      </c>
      <c r="O3903" s="33">
        <f t="shared" si="181"/>
        <v>0</v>
      </c>
    </row>
    <row r="3904" spans="1:15" x14ac:dyDescent="0.25">
      <c r="A3904" s="64" t="s">
        <v>187</v>
      </c>
      <c r="B3904" s="79" t="str">
        <f>IF(Sixteenth!B157="", "",Sixteenth!B157)</f>
        <v/>
      </c>
      <c r="C3904" s="66" t="str">
        <f>IF(Sixteenth!C157="", "",Sixteenth!C157)</f>
        <v/>
      </c>
      <c r="D3904" s="66" t="str">
        <f>IF(Sixteenth!D157="", "",Sixteenth!D157)</f>
        <v/>
      </c>
      <c r="E3904" s="66" t="str">
        <f>IF(Sixteenth!E157="", "",Sixteenth!E157)</f>
        <v/>
      </c>
      <c r="F3904" s="66" t="str">
        <f>IF(Sixteenth!F157="", "",Sixteenth!F157)</f>
        <v/>
      </c>
      <c r="G3904" s="66" t="str">
        <f>IF(Sixteenth!G157="", "",Sixteenth!G157)</f>
        <v/>
      </c>
      <c r="H3904" s="66" t="str">
        <f>IF(Sixteenth!H157="", "",Sixteenth!H157)</f>
        <v/>
      </c>
      <c r="I3904" s="66" t="str">
        <f>IF(Sixteenth!I157="", "",Sixteenth!I157)</f>
        <v/>
      </c>
      <c r="J3904" s="66" t="str">
        <f>IF(Sixteenth!J157="", "",Sixteenth!J157)</f>
        <v/>
      </c>
      <c r="K3904" s="86" t="str">
        <f>IF(Sixteenth!K157="", "",Sixteenth!K157)</f>
        <v/>
      </c>
      <c r="M3904" s="67" t="str">
        <f t="shared" si="182"/>
        <v/>
      </c>
      <c r="N3904" s="76" t="str">
        <f t="shared" si="183"/>
        <v/>
      </c>
      <c r="O3904" s="33">
        <f t="shared" si="181"/>
        <v>0</v>
      </c>
    </row>
    <row r="3905" spans="1:15" x14ac:dyDescent="0.25">
      <c r="A3905" s="64" t="s">
        <v>187</v>
      </c>
      <c r="B3905" s="79" t="str">
        <f>IF(Sixteenth!B158="", "",Sixteenth!B158)</f>
        <v/>
      </c>
      <c r="C3905" s="66" t="str">
        <f>IF(Sixteenth!C158="", "",Sixteenth!C158)</f>
        <v/>
      </c>
      <c r="D3905" s="66" t="str">
        <f>IF(Sixteenth!D158="", "",Sixteenth!D158)</f>
        <v/>
      </c>
      <c r="E3905" s="66" t="str">
        <f>IF(Sixteenth!E158="", "",Sixteenth!E158)</f>
        <v/>
      </c>
      <c r="F3905" s="66" t="str">
        <f>IF(Sixteenth!F158="", "",Sixteenth!F158)</f>
        <v/>
      </c>
      <c r="G3905" s="66" t="str">
        <f>IF(Sixteenth!G158="", "",Sixteenth!G158)</f>
        <v/>
      </c>
      <c r="H3905" s="66" t="str">
        <f>IF(Sixteenth!H158="", "",Sixteenth!H158)</f>
        <v/>
      </c>
      <c r="I3905" s="66" t="str">
        <f>IF(Sixteenth!I158="", "",Sixteenth!I158)</f>
        <v/>
      </c>
      <c r="J3905" s="66" t="str">
        <f>IF(Sixteenth!J158="", "",Sixteenth!J158)</f>
        <v/>
      </c>
      <c r="K3905" s="86" t="str">
        <f>IF(Sixteenth!K158="", "",Sixteenth!K158)</f>
        <v/>
      </c>
      <c r="M3905" s="67" t="str">
        <f t="shared" si="182"/>
        <v/>
      </c>
      <c r="N3905" s="76" t="str">
        <f t="shared" si="183"/>
        <v/>
      </c>
      <c r="O3905" s="33">
        <f t="shared" si="181"/>
        <v>0</v>
      </c>
    </row>
    <row r="3906" spans="1:15" x14ac:dyDescent="0.25">
      <c r="A3906" s="64" t="s">
        <v>187</v>
      </c>
      <c r="B3906" s="79" t="str">
        <f>IF(Sixteenth!B159="", "",Sixteenth!B159)</f>
        <v/>
      </c>
      <c r="C3906" s="66" t="str">
        <f>IF(Sixteenth!C159="", "",Sixteenth!C159)</f>
        <v/>
      </c>
      <c r="D3906" s="66" t="str">
        <f>IF(Sixteenth!D159="", "",Sixteenth!D159)</f>
        <v/>
      </c>
      <c r="E3906" s="66" t="str">
        <f>IF(Sixteenth!E159="", "",Sixteenth!E159)</f>
        <v/>
      </c>
      <c r="F3906" s="66" t="str">
        <f>IF(Sixteenth!F159="", "",Sixteenth!F159)</f>
        <v/>
      </c>
      <c r="G3906" s="66" t="str">
        <f>IF(Sixteenth!G159="", "",Sixteenth!G159)</f>
        <v/>
      </c>
      <c r="H3906" s="66" t="str">
        <f>IF(Sixteenth!H159="", "",Sixteenth!H159)</f>
        <v/>
      </c>
      <c r="I3906" s="66" t="str">
        <f>IF(Sixteenth!I159="", "",Sixteenth!I159)</f>
        <v/>
      </c>
      <c r="J3906" s="66" t="str">
        <f>IF(Sixteenth!J159="", "",Sixteenth!J159)</f>
        <v/>
      </c>
      <c r="K3906" s="86" t="str">
        <f>IF(Sixteenth!K159="", "",Sixteenth!K159)</f>
        <v/>
      </c>
      <c r="M3906" s="67" t="str">
        <f t="shared" si="182"/>
        <v/>
      </c>
      <c r="N3906" s="76" t="str">
        <f t="shared" si="183"/>
        <v/>
      </c>
      <c r="O3906" s="33">
        <f t="shared" ref="O3906:O3969" si="184">SUM(M3906:N3906)</f>
        <v>0</v>
      </c>
    </row>
    <row r="3907" spans="1:15" x14ac:dyDescent="0.25">
      <c r="A3907" s="64" t="s">
        <v>187</v>
      </c>
      <c r="B3907" s="79" t="str">
        <f>IF(Sixteenth!B160="", "",Sixteenth!B160)</f>
        <v/>
      </c>
      <c r="C3907" s="66" t="str">
        <f>IF(Sixteenth!C160="", "",Sixteenth!C160)</f>
        <v/>
      </c>
      <c r="D3907" s="66" t="str">
        <f>IF(Sixteenth!D160="", "",Sixteenth!D160)</f>
        <v/>
      </c>
      <c r="E3907" s="66" t="str">
        <f>IF(Sixteenth!E160="", "",Sixteenth!E160)</f>
        <v/>
      </c>
      <c r="F3907" s="66" t="str">
        <f>IF(Sixteenth!F160="", "",Sixteenth!F160)</f>
        <v/>
      </c>
      <c r="G3907" s="66" t="str">
        <f>IF(Sixteenth!G160="", "",Sixteenth!G160)</f>
        <v/>
      </c>
      <c r="H3907" s="66" t="str">
        <f>IF(Sixteenth!H160="", "",Sixteenth!H160)</f>
        <v/>
      </c>
      <c r="I3907" s="66" t="str">
        <f>IF(Sixteenth!I160="", "",Sixteenth!I160)</f>
        <v/>
      </c>
      <c r="J3907" s="66" t="str">
        <f>IF(Sixteenth!J160="", "",Sixteenth!J160)</f>
        <v/>
      </c>
      <c r="K3907" s="86" t="str">
        <f>IF(Sixteenth!K160="", "",Sixteenth!K160)</f>
        <v/>
      </c>
      <c r="M3907" s="67" t="str">
        <f t="shared" ref="M3907:M3970" si="185">IF(C3907="PwC",(7-COUNTIF(B3907:H3907,"")),"")</f>
        <v/>
      </c>
      <c r="N3907" s="76" t="str">
        <f t="shared" ref="N3907:N3970" si="186">IF(C3907="Carer",(7-COUNTIF(B3907:H3907,"")),"")</f>
        <v/>
      </c>
      <c r="O3907" s="33">
        <f t="shared" si="184"/>
        <v>0</v>
      </c>
    </row>
    <row r="3908" spans="1:15" x14ac:dyDescent="0.25">
      <c r="A3908" s="64" t="s">
        <v>187</v>
      </c>
      <c r="B3908" s="79" t="str">
        <f>IF(Sixteenth!B161="", "",Sixteenth!B161)</f>
        <v/>
      </c>
      <c r="C3908" s="66" t="str">
        <f>IF(Sixteenth!C161="", "",Sixteenth!C161)</f>
        <v/>
      </c>
      <c r="D3908" s="66" t="str">
        <f>IF(Sixteenth!D161="", "",Sixteenth!D161)</f>
        <v/>
      </c>
      <c r="E3908" s="66" t="str">
        <f>IF(Sixteenth!E161="", "",Sixteenth!E161)</f>
        <v/>
      </c>
      <c r="F3908" s="66" t="str">
        <f>IF(Sixteenth!F161="", "",Sixteenth!F161)</f>
        <v/>
      </c>
      <c r="G3908" s="66" t="str">
        <f>IF(Sixteenth!G161="", "",Sixteenth!G161)</f>
        <v/>
      </c>
      <c r="H3908" s="66" t="str">
        <f>IF(Sixteenth!H161="", "",Sixteenth!H161)</f>
        <v/>
      </c>
      <c r="I3908" s="66" t="str">
        <f>IF(Sixteenth!I161="", "",Sixteenth!I161)</f>
        <v/>
      </c>
      <c r="J3908" s="66" t="str">
        <f>IF(Sixteenth!J161="", "",Sixteenth!J161)</f>
        <v/>
      </c>
      <c r="K3908" s="86" t="str">
        <f>IF(Sixteenth!K161="", "",Sixteenth!K161)</f>
        <v/>
      </c>
      <c r="M3908" s="67" t="str">
        <f t="shared" si="185"/>
        <v/>
      </c>
      <c r="N3908" s="76" t="str">
        <f t="shared" si="186"/>
        <v/>
      </c>
      <c r="O3908" s="33">
        <f t="shared" si="184"/>
        <v>0</v>
      </c>
    </row>
    <row r="3909" spans="1:15" x14ac:dyDescent="0.25">
      <c r="A3909" s="64" t="s">
        <v>187</v>
      </c>
      <c r="B3909" s="79" t="str">
        <f>IF(Sixteenth!B162="", "",Sixteenth!B162)</f>
        <v/>
      </c>
      <c r="C3909" s="66" t="str">
        <f>IF(Sixteenth!C162="", "",Sixteenth!C162)</f>
        <v/>
      </c>
      <c r="D3909" s="66" t="str">
        <f>IF(Sixteenth!D162="", "",Sixteenth!D162)</f>
        <v/>
      </c>
      <c r="E3909" s="66" t="str">
        <f>IF(Sixteenth!E162="", "",Sixteenth!E162)</f>
        <v/>
      </c>
      <c r="F3909" s="66" t="str">
        <f>IF(Sixteenth!F162="", "",Sixteenth!F162)</f>
        <v/>
      </c>
      <c r="G3909" s="66" t="str">
        <f>IF(Sixteenth!G162="", "",Sixteenth!G162)</f>
        <v/>
      </c>
      <c r="H3909" s="66" t="str">
        <f>IF(Sixteenth!H162="", "",Sixteenth!H162)</f>
        <v/>
      </c>
      <c r="I3909" s="66" t="str">
        <f>IF(Sixteenth!I162="", "",Sixteenth!I162)</f>
        <v/>
      </c>
      <c r="J3909" s="66" t="str">
        <f>IF(Sixteenth!J162="", "",Sixteenth!J162)</f>
        <v/>
      </c>
      <c r="K3909" s="86" t="str">
        <f>IF(Sixteenth!K162="", "",Sixteenth!K162)</f>
        <v/>
      </c>
      <c r="M3909" s="67" t="str">
        <f t="shared" si="185"/>
        <v/>
      </c>
      <c r="N3909" s="76" t="str">
        <f t="shared" si="186"/>
        <v/>
      </c>
      <c r="O3909" s="33">
        <f t="shared" si="184"/>
        <v>0</v>
      </c>
    </row>
    <row r="3910" spans="1:15" x14ac:dyDescent="0.25">
      <c r="A3910" s="64" t="s">
        <v>187</v>
      </c>
      <c r="B3910" s="79" t="str">
        <f>IF(Sixteenth!B163="", "",Sixteenth!B163)</f>
        <v/>
      </c>
      <c r="C3910" s="66" t="str">
        <f>IF(Sixteenth!C163="", "",Sixteenth!C163)</f>
        <v/>
      </c>
      <c r="D3910" s="66" t="str">
        <f>IF(Sixteenth!D163="", "",Sixteenth!D163)</f>
        <v/>
      </c>
      <c r="E3910" s="66" t="str">
        <f>IF(Sixteenth!E163="", "",Sixteenth!E163)</f>
        <v/>
      </c>
      <c r="F3910" s="66" t="str">
        <f>IF(Sixteenth!F163="", "",Sixteenth!F163)</f>
        <v/>
      </c>
      <c r="G3910" s="66" t="str">
        <f>IF(Sixteenth!G163="", "",Sixteenth!G163)</f>
        <v/>
      </c>
      <c r="H3910" s="66" t="str">
        <f>IF(Sixteenth!H163="", "",Sixteenth!H163)</f>
        <v/>
      </c>
      <c r="I3910" s="66" t="str">
        <f>IF(Sixteenth!I163="", "",Sixteenth!I163)</f>
        <v/>
      </c>
      <c r="J3910" s="66" t="str">
        <f>IF(Sixteenth!J163="", "",Sixteenth!J163)</f>
        <v/>
      </c>
      <c r="K3910" s="86" t="str">
        <f>IF(Sixteenth!K163="", "",Sixteenth!K163)</f>
        <v/>
      </c>
      <c r="M3910" s="67" t="str">
        <f t="shared" si="185"/>
        <v/>
      </c>
      <c r="N3910" s="76" t="str">
        <f t="shared" si="186"/>
        <v/>
      </c>
      <c r="O3910" s="33">
        <f t="shared" si="184"/>
        <v>0</v>
      </c>
    </row>
    <row r="3911" spans="1:15" x14ac:dyDescent="0.25">
      <c r="A3911" s="64" t="s">
        <v>187</v>
      </c>
      <c r="B3911" s="79" t="str">
        <f>IF(Sixteenth!B164="", "",Sixteenth!B164)</f>
        <v/>
      </c>
      <c r="C3911" s="66" t="str">
        <f>IF(Sixteenth!C164="", "",Sixteenth!C164)</f>
        <v/>
      </c>
      <c r="D3911" s="66" t="str">
        <f>IF(Sixteenth!D164="", "",Sixteenth!D164)</f>
        <v/>
      </c>
      <c r="E3911" s="66" t="str">
        <f>IF(Sixteenth!E164="", "",Sixteenth!E164)</f>
        <v/>
      </c>
      <c r="F3911" s="66" t="str">
        <f>IF(Sixteenth!F164="", "",Sixteenth!F164)</f>
        <v/>
      </c>
      <c r="G3911" s="66" t="str">
        <f>IF(Sixteenth!G164="", "",Sixteenth!G164)</f>
        <v/>
      </c>
      <c r="H3911" s="66" t="str">
        <f>IF(Sixteenth!H164="", "",Sixteenth!H164)</f>
        <v/>
      </c>
      <c r="I3911" s="66" t="str">
        <f>IF(Sixteenth!I164="", "",Sixteenth!I164)</f>
        <v/>
      </c>
      <c r="J3911" s="66" t="str">
        <f>IF(Sixteenth!J164="", "",Sixteenth!J164)</f>
        <v/>
      </c>
      <c r="K3911" s="86" t="str">
        <f>IF(Sixteenth!K164="", "",Sixteenth!K164)</f>
        <v/>
      </c>
      <c r="M3911" s="67" t="str">
        <f t="shared" si="185"/>
        <v/>
      </c>
      <c r="N3911" s="76" t="str">
        <f t="shared" si="186"/>
        <v/>
      </c>
      <c r="O3911" s="33">
        <f t="shared" si="184"/>
        <v>0</v>
      </c>
    </row>
    <row r="3912" spans="1:15" x14ac:dyDescent="0.25">
      <c r="A3912" s="64" t="s">
        <v>187</v>
      </c>
      <c r="B3912" s="79" t="str">
        <f>IF(Sixteenth!B165="", "",Sixteenth!B165)</f>
        <v/>
      </c>
      <c r="C3912" s="66" t="str">
        <f>IF(Sixteenth!C165="", "",Sixteenth!C165)</f>
        <v/>
      </c>
      <c r="D3912" s="66" t="str">
        <f>IF(Sixteenth!D165="", "",Sixteenth!D165)</f>
        <v/>
      </c>
      <c r="E3912" s="66" t="str">
        <f>IF(Sixteenth!E165="", "",Sixteenth!E165)</f>
        <v/>
      </c>
      <c r="F3912" s="66" t="str">
        <f>IF(Sixteenth!F165="", "",Sixteenth!F165)</f>
        <v/>
      </c>
      <c r="G3912" s="66" t="str">
        <f>IF(Sixteenth!G165="", "",Sixteenth!G165)</f>
        <v/>
      </c>
      <c r="H3912" s="66" t="str">
        <f>IF(Sixteenth!H165="", "",Sixteenth!H165)</f>
        <v/>
      </c>
      <c r="I3912" s="66" t="str">
        <f>IF(Sixteenth!I165="", "",Sixteenth!I165)</f>
        <v/>
      </c>
      <c r="J3912" s="66" t="str">
        <f>IF(Sixteenth!J165="", "",Sixteenth!J165)</f>
        <v/>
      </c>
      <c r="K3912" s="86" t="str">
        <f>IF(Sixteenth!K165="", "",Sixteenth!K165)</f>
        <v/>
      </c>
      <c r="M3912" s="67" t="str">
        <f t="shared" si="185"/>
        <v/>
      </c>
      <c r="N3912" s="76" t="str">
        <f t="shared" si="186"/>
        <v/>
      </c>
      <c r="O3912" s="33">
        <f t="shared" si="184"/>
        <v>0</v>
      </c>
    </row>
    <row r="3913" spans="1:15" x14ac:dyDescent="0.25">
      <c r="A3913" s="64" t="s">
        <v>187</v>
      </c>
      <c r="B3913" s="79" t="str">
        <f>IF(Sixteenth!B166="", "",Sixteenth!B166)</f>
        <v/>
      </c>
      <c r="C3913" s="66" t="str">
        <f>IF(Sixteenth!C166="", "",Sixteenth!C166)</f>
        <v/>
      </c>
      <c r="D3913" s="66" t="str">
        <f>IF(Sixteenth!D166="", "",Sixteenth!D166)</f>
        <v/>
      </c>
      <c r="E3913" s="66" t="str">
        <f>IF(Sixteenth!E166="", "",Sixteenth!E166)</f>
        <v/>
      </c>
      <c r="F3913" s="66" t="str">
        <f>IF(Sixteenth!F166="", "",Sixteenth!F166)</f>
        <v/>
      </c>
      <c r="G3913" s="66" t="str">
        <f>IF(Sixteenth!G166="", "",Sixteenth!G166)</f>
        <v/>
      </c>
      <c r="H3913" s="66" t="str">
        <f>IF(Sixteenth!H166="", "",Sixteenth!H166)</f>
        <v/>
      </c>
      <c r="I3913" s="66" t="str">
        <f>IF(Sixteenth!I166="", "",Sixteenth!I166)</f>
        <v/>
      </c>
      <c r="J3913" s="66" t="str">
        <f>IF(Sixteenth!J166="", "",Sixteenth!J166)</f>
        <v/>
      </c>
      <c r="K3913" s="86" t="str">
        <f>IF(Sixteenth!K166="", "",Sixteenth!K166)</f>
        <v/>
      </c>
      <c r="M3913" s="67" t="str">
        <f t="shared" si="185"/>
        <v/>
      </c>
      <c r="N3913" s="76" t="str">
        <f t="shared" si="186"/>
        <v/>
      </c>
      <c r="O3913" s="33">
        <f t="shared" si="184"/>
        <v>0</v>
      </c>
    </row>
    <row r="3914" spans="1:15" x14ac:dyDescent="0.25">
      <c r="A3914" s="64" t="s">
        <v>187</v>
      </c>
      <c r="B3914" s="79" t="str">
        <f>IF(Sixteenth!B167="", "",Sixteenth!B167)</f>
        <v/>
      </c>
      <c r="C3914" s="66" t="str">
        <f>IF(Sixteenth!C167="", "",Sixteenth!C167)</f>
        <v/>
      </c>
      <c r="D3914" s="66" t="str">
        <f>IF(Sixteenth!D167="", "",Sixteenth!D167)</f>
        <v/>
      </c>
      <c r="E3914" s="66" t="str">
        <f>IF(Sixteenth!E167="", "",Sixteenth!E167)</f>
        <v/>
      </c>
      <c r="F3914" s="66" t="str">
        <f>IF(Sixteenth!F167="", "",Sixteenth!F167)</f>
        <v/>
      </c>
      <c r="G3914" s="66" t="str">
        <f>IF(Sixteenth!G167="", "",Sixteenth!G167)</f>
        <v/>
      </c>
      <c r="H3914" s="66" t="str">
        <f>IF(Sixteenth!H167="", "",Sixteenth!H167)</f>
        <v/>
      </c>
      <c r="I3914" s="66" t="str">
        <f>IF(Sixteenth!I167="", "",Sixteenth!I167)</f>
        <v/>
      </c>
      <c r="J3914" s="66" t="str">
        <f>IF(Sixteenth!J167="", "",Sixteenth!J167)</f>
        <v/>
      </c>
      <c r="K3914" s="86" t="str">
        <f>IF(Sixteenth!K167="", "",Sixteenth!K167)</f>
        <v/>
      </c>
      <c r="M3914" s="67" t="str">
        <f t="shared" si="185"/>
        <v/>
      </c>
      <c r="N3914" s="76" t="str">
        <f t="shared" si="186"/>
        <v/>
      </c>
      <c r="O3914" s="33">
        <f t="shared" si="184"/>
        <v>0</v>
      </c>
    </row>
    <row r="3915" spans="1:15" x14ac:dyDescent="0.25">
      <c r="A3915" s="64" t="s">
        <v>187</v>
      </c>
      <c r="B3915" s="79" t="str">
        <f>IF(Sixteenth!B168="", "",Sixteenth!B168)</f>
        <v/>
      </c>
      <c r="C3915" s="66" t="str">
        <f>IF(Sixteenth!C168="", "",Sixteenth!C168)</f>
        <v/>
      </c>
      <c r="D3915" s="66" t="str">
        <f>IF(Sixteenth!D168="", "",Sixteenth!D168)</f>
        <v/>
      </c>
      <c r="E3915" s="66" t="str">
        <f>IF(Sixteenth!E168="", "",Sixteenth!E168)</f>
        <v/>
      </c>
      <c r="F3915" s="66" t="str">
        <f>IF(Sixteenth!F168="", "",Sixteenth!F168)</f>
        <v/>
      </c>
      <c r="G3915" s="66" t="str">
        <f>IF(Sixteenth!G168="", "",Sixteenth!G168)</f>
        <v/>
      </c>
      <c r="H3915" s="66" t="str">
        <f>IF(Sixteenth!H168="", "",Sixteenth!H168)</f>
        <v/>
      </c>
      <c r="I3915" s="66" t="str">
        <f>IF(Sixteenth!I168="", "",Sixteenth!I168)</f>
        <v/>
      </c>
      <c r="J3915" s="66" t="str">
        <f>IF(Sixteenth!J168="", "",Sixteenth!J168)</f>
        <v/>
      </c>
      <c r="K3915" s="86" t="str">
        <f>IF(Sixteenth!K168="", "",Sixteenth!K168)</f>
        <v/>
      </c>
      <c r="M3915" s="67" t="str">
        <f t="shared" si="185"/>
        <v/>
      </c>
      <c r="N3915" s="76" t="str">
        <f t="shared" si="186"/>
        <v/>
      </c>
      <c r="O3915" s="33">
        <f t="shared" si="184"/>
        <v>0</v>
      </c>
    </row>
    <row r="3916" spans="1:15" x14ac:dyDescent="0.25">
      <c r="A3916" s="64" t="s">
        <v>187</v>
      </c>
      <c r="B3916" s="79" t="str">
        <f>IF(Sixteenth!B169="", "",Sixteenth!B169)</f>
        <v/>
      </c>
      <c r="C3916" s="66" t="str">
        <f>IF(Sixteenth!C169="", "",Sixteenth!C169)</f>
        <v/>
      </c>
      <c r="D3916" s="66" t="str">
        <f>IF(Sixteenth!D169="", "",Sixteenth!D169)</f>
        <v/>
      </c>
      <c r="E3916" s="66" t="str">
        <f>IF(Sixteenth!E169="", "",Sixteenth!E169)</f>
        <v/>
      </c>
      <c r="F3916" s="66" t="str">
        <f>IF(Sixteenth!F169="", "",Sixteenth!F169)</f>
        <v/>
      </c>
      <c r="G3916" s="66" t="str">
        <f>IF(Sixteenth!G169="", "",Sixteenth!G169)</f>
        <v/>
      </c>
      <c r="H3916" s="66" t="str">
        <f>IF(Sixteenth!H169="", "",Sixteenth!H169)</f>
        <v/>
      </c>
      <c r="I3916" s="66" t="str">
        <f>IF(Sixteenth!I169="", "",Sixteenth!I169)</f>
        <v/>
      </c>
      <c r="J3916" s="66" t="str">
        <f>IF(Sixteenth!J169="", "",Sixteenth!J169)</f>
        <v/>
      </c>
      <c r="K3916" s="86" t="str">
        <f>IF(Sixteenth!K169="", "",Sixteenth!K169)</f>
        <v/>
      </c>
      <c r="M3916" s="67" t="str">
        <f t="shared" si="185"/>
        <v/>
      </c>
      <c r="N3916" s="76" t="str">
        <f t="shared" si="186"/>
        <v/>
      </c>
      <c r="O3916" s="33">
        <f t="shared" si="184"/>
        <v>0</v>
      </c>
    </row>
    <row r="3917" spans="1:15" x14ac:dyDescent="0.25">
      <c r="A3917" s="64" t="s">
        <v>187</v>
      </c>
      <c r="B3917" s="79" t="str">
        <f>IF(Sixteenth!B170="", "",Sixteenth!B170)</f>
        <v/>
      </c>
      <c r="C3917" s="66" t="str">
        <f>IF(Sixteenth!C170="", "",Sixteenth!C170)</f>
        <v/>
      </c>
      <c r="D3917" s="66" t="str">
        <f>IF(Sixteenth!D170="", "",Sixteenth!D170)</f>
        <v/>
      </c>
      <c r="E3917" s="66" t="str">
        <f>IF(Sixteenth!E170="", "",Sixteenth!E170)</f>
        <v/>
      </c>
      <c r="F3917" s="66" t="str">
        <f>IF(Sixteenth!F170="", "",Sixteenth!F170)</f>
        <v/>
      </c>
      <c r="G3917" s="66" t="str">
        <f>IF(Sixteenth!G170="", "",Sixteenth!G170)</f>
        <v/>
      </c>
      <c r="H3917" s="66" t="str">
        <f>IF(Sixteenth!H170="", "",Sixteenth!H170)</f>
        <v/>
      </c>
      <c r="I3917" s="66" t="str">
        <f>IF(Sixteenth!I170="", "",Sixteenth!I170)</f>
        <v/>
      </c>
      <c r="J3917" s="66" t="str">
        <f>IF(Sixteenth!J170="", "",Sixteenth!J170)</f>
        <v/>
      </c>
      <c r="K3917" s="86" t="str">
        <f>IF(Sixteenth!K170="", "",Sixteenth!K170)</f>
        <v/>
      </c>
      <c r="M3917" s="67" t="str">
        <f t="shared" si="185"/>
        <v/>
      </c>
      <c r="N3917" s="76" t="str">
        <f t="shared" si="186"/>
        <v/>
      </c>
      <c r="O3917" s="33">
        <f t="shared" si="184"/>
        <v>0</v>
      </c>
    </row>
    <row r="3918" spans="1:15" x14ac:dyDescent="0.25">
      <c r="A3918" s="64" t="s">
        <v>187</v>
      </c>
      <c r="B3918" s="79" t="str">
        <f>IF(Sixteenth!B171="", "",Sixteenth!B171)</f>
        <v/>
      </c>
      <c r="C3918" s="66" t="str">
        <f>IF(Sixteenth!C171="", "",Sixteenth!C171)</f>
        <v/>
      </c>
      <c r="D3918" s="66" t="str">
        <f>IF(Sixteenth!D171="", "",Sixteenth!D171)</f>
        <v/>
      </c>
      <c r="E3918" s="66" t="str">
        <f>IF(Sixteenth!E171="", "",Sixteenth!E171)</f>
        <v/>
      </c>
      <c r="F3918" s="66" t="str">
        <f>IF(Sixteenth!F171="", "",Sixteenth!F171)</f>
        <v/>
      </c>
      <c r="G3918" s="66" t="str">
        <f>IF(Sixteenth!G171="", "",Sixteenth!G171)</f>
        <v/>
      </c>
      <c r="H3918" s="66" t="str">
        <f>IF(Sixteenth!H171="", "",Sixteenth!H171)</f>
        <v/>
      </c>
      <c r="I3918" s="66" t="str">
        <f>IF(Sixteenth!I171="", "",Sixteenth!I171)</f>
        <v/>
      </c>
      <c r="J3918" s="66" t="str">
        <f>IF(Sixteenth!J171="", "",Sixteenth!J171)</f>
        <v/>
      </c>
      <c r="K3918" s="86" t="str">
        <f>IF(Sixteenth!K171="", "",Sixteenth!K171)</f>
        <v/>
      </c>
      <c r="M3918" s="67" t="str">
        <f t="shared" si="185"/>
        <v/>
      </c>
      <c r="N3918" s="76" t="str">
        <f t="shared" si="186"/>
        <v/>
      </c>
      <c r="O3918" s="33">
        <f t="shared" si="184"/>
        <v>0</v>
      </c>
    </row>
    <row r="3919" spans="1:15" x14ac:dyDescent="0.25">
      <c r="A3919" s="64" t="s">
        <v>187</v>
      </c>
      <c r="B3919" s="79" t="str">
        <f>IF(Sixteenth!B172="", "",Sixteenth!B172)</f>
        <v/>
      </c>
      <c r="C3919" s="66" t="str">
        <f>IF(Sixteenth!C172="", "",Sixteenth!C172)</f>
        <v/>
      </c>
      <c r="D3919" s="66" t="str">
        <f>IF(Sixteenth!D172="", "",Sixteenth!D172)</f>
        <v/>
      </c>
      <c r="E3919" s="66" t="str">
        <f>IF(Sixteenth!E172="", "",Sixteenth!E172)</f>
        <v/>
      </c>
      <c r="F3919" s="66" t="str">
        <f>IF(Sixteenth!F172="", "",Sixteenth!F172)</f>
        <v/>
      </c>
      <c r="G3919" s="66" t="str">
        <f>IF(Sixteenth!G172="", "",Sixteenth!G172)</f>
        <v/>
      </c>
      <c r="H3919" s="66" t="str">
        <f>IF(Sixteenth!H172="", "",Sixteenth!H172)</f>
        <v/>
      </c>
      <c r="I3919" s="66" t="str">
        <f>IF(Sixteenth!I172="", "",Sixteenth!I172)</f>
        <v/>
      </c>
      <c r="J3919" s="66" t="str">
        <f>IF(Sixteenth!J172="", "",Sixteenth!J172)</f>
        <v/>
      </c>
      <c r="K3919" s="86" t="str">
        <f>IF(Sixteenth!K172="", "",Sixteenth!K172)</f>
        <v/>
      </c>
      <c r="M3919" s="67" t="str">
        <f t="shared" si="185"/>
        <v/>
      </c>
      <c r="N3919" s="76" t="str">
        <f t="shared" si="186"/>
        <v/>
      </c>
      <c r="O3919" s="33">
        <f t="shared" si="184"/>
        <v>0</v>
      </c>
    </row>
    <row r="3920" spans="1:15" x14ac:dyDescent="0.25">
      <c r="A3920" s="64" t="s">
        <v>187</v>
      </c>
      <c r="B3920" s="79" t="str">
        <f>IF(Sixteenth!B173="", "",Sixteenth!B173)</f>
        <v/>
      </c>
      <c r="C3920" s="66" t="str">
        <f>IF(Sixteenth!C173="", "",Sixteenth!C173)</f>
        <v/>
      </c>
      <c r="D3920" s="66" t="str">
        <f>IF(Sixteenth!D173="", "",Sixteenth!D173)</f>
        <v/>
      </c>
      <c r="E3920" s="66" t="str">
        <f>IF(Sixteenth!E173="", "",Sixteenth!E173)</f>
        <v/>
      </c>
      <c r="F3920" s="66" t="str">
        <f>IF(Sixteenth!F173="", "",Sixteenth!F173)</f>
        <v/>
      </c>
      <c r="G3920" s="66" t="str">
        <f>IF(Sixteenth!G173="", "",Sixteenth!G173)</f>
        <v/>
      </c>
      <c r="H3920" s="66" t="str">
        <f>IF(Sixteenth!H173="", "",Sixteenth!H173)</f>
        <v/>
      </c>
      <c r="I3920" s="66" t="str">
        <f>IF(Sixteenth!I173="", "",Sixteenth!I173)</f>
        <v/>
      </c>
      <c r="J3920" s="66" t="str">
        <f>IF(Sixteenth!J173="", "",Sixteenth!J173)</f>
        <v/>
      </c>
      <c r="K3920" s="86" t="str">
        <f>IF(Sixteenth!K173="", "",Sixteenth!K173)</f>
        <v/>
      </c>
      <c r="M3920" s="67" t="str">
        <f t="shared" si="185"/>
        <v/>
      </c>
      <c r="N3920" s="76" t="str">
        <f t="shared" si="186"/>
        <v/>
      </c>
      <c r="O3920" s="33">
        <f t="shared" si="184"/>
        <v>0</v>
      </c>
    </row>
    <row r="3921" spans="1:15" x14ac:dyDescent="0.25">
      <c r="A3921" s="64" t="s">
        <v>187</v>
      </c>
      <c r="B3921" s="79" t="str">
        <f>IF(Sixteenth!B174="", "",Sixteenth!B174)</f>
        <v/>
      </c>
      <c r="C3921" s="66" t="str">
        <f>IF(Sixteenth!C174="", "",Sixteenth!C174)</f>
        <v/>
      </c>
      <c r="D3921" s="66" t="str">
        <f>IF(Sixteenth!D174="", "",Sixteenth!D174)</f>
        <v/>
      </c>
      <c r="E3921" s="66" t="str">
        <f>IF(Sixteenth!E174="", "",Sixteenth!E174)</f>
        <v/>
      </c>
      <c r="F3921" s="66" t="str">
        <f>IF(Sixteenth!F174="", "",Sixteenth!F174)</f>
        <v/>
      </c>
      <c r="G3921" s="66" t="str">
        <f>IF(Sixteenth!G174="", "",Sixteenth!G174)</f>
        <v/>
      </c>
      <c r="H3921" s="66" t="str">
        <f>IF(Sixteenth!H174="", "",Sixteenth!H174)</f>
        <v/>
      </c>
      <c r="I3921" s="66" t="str">
        <f>IF(Sixteenth!I174="", "",Sixteenth!I174)</f>
        <v/>
      </c>
      <c r="J3921" s="66" t="str">
        <f>IF(Sixteenth!J174="", "",Sixteenth!J174)</f>
        <v/>
      </c>
      <c r="K3921" s="86" t="str">
        <f>IF(Sixteenth!K174="", "",Sixteenth!K174)</f>
        <v/>
      </c>
      <c r="M3921" s="67" t="str">
        <f t="shared" si="185"/>
        <v/>
      </c>
      <c r="N3921" s="76" t="str">
        <f t="shared" si="186"/>
        <v/>
      </c>
      <c r="O3921" s="33">
        <f t="shared" si="184"/>
        <v>0</v>
      </c>
    </row>
    <row r="3922" spans="1:15" x14ac:dyDescent="0.25">
      <c r="A3922" s="64" t="s">
        <v>187</v>
      </c>
      <c r="B3922" s="79" t="str">
        <f>IF(Sixteenth!B175="", "",Sixteenth!B175)</f>
        <v/>
      </c>
      <c r="C3922" s="66" t="str">
        <f>IF(Sixteenth!C175="", "",Sixteenth!C175)</f>
        <v/>
      </c>
      <c r="D3922" s="66" t="str">
        <f>IF(Sixteenth!D175="", "",Sixteenth!D175)</f>
        <v/>
      </c>
      <c r="E3922" s="66" t="str">
        <f>IF(Sixteenth!E175="", "",Sixteenth!E175)</f>
        <v/>
      </c>
      <c r="F3922" s="66" t="str">
        <f>IF(Sixteenth!F175="", "",Sixteenth!F175)</f>
        <v/>
      </c>
      <c r="G3922" s="66" t="str">
        <f>IF(Sixteenth!G175="", "",Sixteenth!G175)</f>
        <v/>
      </c>
      <c r="H3922" s="66" t="str">
        <f>IF(Sixteenth!H175="", "",Sixteenth!H175)</f>
        <v/>
      </c>
      <c r="I3922" s="66" t="str">
        <f>IF(Sixteenth!I175="", "",Sixteenth!I175)</f>
        <v/>
      </c>
      <c r="J3922" s="66" t="str">
        <f>IF(Sixteenth!J175="", "",Sixteenth!J175)</f>
        <v/>
      </c>
      <c r="K3922" s="86" t="str">
        <f>IF(Sixteenth!K175="", "",Sixteenth!K175)</f>
        <v/>
      </c>
      <c r="M3922" s="67" t="str">
        <f t="shared" si="185"/>
        <v/>
      </c>
      <c r="N3922" s="76" t="str">
        <f t="shared" si="186"/>
        <v/>
      </c>
      <c r="O3922" s="33">
        <f t="shared" si="184"/>
        <v>0</v>
      </c>
    </row>
    <row r="3923" spans="1:15" x14ac:dyDescent="0.25">
      <c r="A3923" s="64" t="s">
        <v>187</v>
      </c>
      <c r="B3923" s="79" t="str">
        <f>IF(Sixteenth!B176="", "",Sixteenth!B176)</f>
        <v/>
      </c>
      <c r="C3923" s="66" t="str">
        <f>IF(Sixteenth!C176="", "",Sixteenth!C176)</f>
        <v/>
      </c>
      <c r="D3923" s="66" t="str">
        <f>IF(Sixteenth!D176="", "",Sixteenth!D176)</f>
        <v/>
      </c>
      <c r="E3923" s="66" t="str">
        <f>IF(Sixteenth!E176="", "",Sixteenth!E176)</f>
        <v/>
      </c>
      <c r="F3923" s="66" t="str">
        <f>IF(Sixteenth!F176="", "",Sixteenth!F176)</f>
        <v/>
      </c>
      <c r="G3923" s="66" t="str">
        <f>IF(Sixteenth!G176="", "",Sixteenth!G176)</f>
        <v/>
      </c>
      <c r="H3923" s="66" t="str">
        <f>IF(Sixteenth!H176="", "",Sixteenth!H176)</f>
        <v/>
      </c>
      <c r="I3923" s="66" t="str">
        <f>IF(Sixteenth!I176="", "",Sixteenth!I176)</f>
        <v/>
      </c>
      <c r="J3923" s="66" t="str">
        <f>IF(Sixteenth!J176="", "",Sixteenth!J176)</f>
        <v/>
      </c>
      <c r="K3923" s="86" t="str">
        <f>IF(Sixteenth!K176="", "",Sixteenth!K176)</f>
        <v/>
      </c>
      <c r="M3923" s="67" t="str">
        <f t="shared" si="185"/>
        <v/>
      </c>
      <c r="N3923" s="76" t="str">
        <f t="shared" si="186"/>
        <v/>
      </c>
      <c r="O3923" s="33">
        <f t="shared" si="184"/>
        <v>0</v>
      </c>
    </row>
    <row r="3924" spans="1:15" x14ac:dyDescent="0.25">
      <c r="A3924" s="64" t="s">
        <v>187</v>
      </c>
      <c r="B3924" s="79" t="str">
        <f>IF(Sixteenth!B177="", "",Sixteenth!B177)</f>
        <v/>
      </c>
      <c r="C3924" s="66" t="str">
        <f>IF(Sixteenth!C177="", "",Sixteenth!C177)</f>
        <v/>
      </c>
      <c r="D3924" s="66" t="str">
        <f>IF(Sixteenth!D177="", "",Sixteenth!D177)</f>
        <v/>
      </c>
      <c r="E3924" s="66" t="str">
        <f>IF(Sixteenth!E177="", "",Sixteenth!E177)</f>
        <v/>
      </c>
      <c r="F3924" s="66" t="str">
        <f>IF(Sixteenth!F177="", "",Sixteenth!F177)</f>
        <v/>
      </c>
      <c r="G3924" s="66" t="str">
        <f>IF(Sixteenth!G177="", "",Sixteenth!G177)</f>
        <v/>
      </c>
      <c r="H3924" s="66" t="str">
        <f>IF(Sixteenth!H177="", "",Sixteenth!H177)</f>
        <v/>
      </c>
      <c r="I3924" s="66" t="str">
        <f>IF(Sixteenth!I177="", "",Sixteenth!I177)</f>
        <v/>
      </c>
      <c r="J3924" s="66" t="str">
        <f>IF(Sixteenth!J177="", "",Sixteenth!J177)</f>
        <v/>
      </c>
      <c r="K3924" s="86" t="str">
        <f>IF(Sixteenth!K177="", "",Sixteenth!K177)</f>
        <v/>
      </c>
      <c r="M3924" s="67" t="str">
        <f t="shared" si="185"/>
        <v/>
      </c>
      <c r="N3924" s="76" t="str">
        <f t="shared" si="186"/>
        <v/>
      </c>
      <c r="O3924" s="33">
        <f t="shared" si="184"/>
        <v>0</v>
      </c>
    </row>
    <row r="3925" spans="1:15" x14ac:dyDescent="0.25">
      <c r="A3925" s="64" t="s">
        <v>187</v>
      </c>
      <c r="B3925" s="79" t="str">
        <f>IF(Sixteenth!B178="", "",Sixteenth!B178)</f>
        <v/>
      </c>
      <c r="C3925" s="66" t="str">
        <f>IF(Sixteenth!C178="", "",Sixteenth!C178)</f>
        <v/>
      </c>
      <c r="D3925" s="66" t="str">
        <f>IF(Sixteenth!D178="", "",Sixteenth!D178)</f>
        <v/>
      </c>
      <c r="E3925" s="66" t="str">
        <f>IF(Sixteenth!E178="", "",Sixteenth!E178)</f>
        <v/>
      </c>
      <c r="F3925" s="66" t="str">
        <f>IF(Sixteenth!F178="", "",Sixteenth!F178)</f>
        <v/>
      </c>
      <c r="G3925" s="66" t="str">
        <f>IF(Sixteenth!G178="", "",Sixteenth!G178)</f>
        <v/>
      </c>
      <c r="H3925" s="66" t="str">
        <f>IF(Sixteenth!H178="", "",Sixteenth!H178)</f>
        <v/>
      </c>
      <c r="I3925" s="66" t="str">
        <f>IF(Sixteenth!I178="", "",Sixteenth!I178)</f>
        <v/>
      </c>
      <c r="J3925" s="66" t="str">
        <f>IF(Sixteenth!J178="", "",Sixteenth!J178)</f>
        <v/>
      </c>
      <c r="K3925" s="86" t="str">
        <f>IF(Sixteenth!K178="", "",Sixteenth!K178)</f>
        <v/>
      </c>
      <c r="M3925" s="67" t="str">
        <f t="shared" si="185"/>
        <v/>
      </c>
      <c r="N3925" s="76" t="str">
        <f t="shared" si="186"/>
        <v/>
      </c>
      <c r="O3925" s="33">
        <f t="shared" si="184"/>
        <v>0</v>
      </c>
    </row>
    <row r="3926" spans="1:15" x14ac:dyDescent="0.25">
      <c r="A3926" s="64" t="s">
        <v>187</v>
      </c>
      <c r="B3926" s="79" t="str">
        <f>IF(Sixteenth!B179="", "",Sixteenth!B179)</f>
        <v/>
      </c>
      <c r="C3926" s="66" t="str">
        <f>IF(Sixteenth!C179="", "",Sixteenth!C179)</f>
        <v/>
      </c>
      <c r="D3926" s="66" t="str">
        <f>IF(Sixteenth!D179="", "",Sixteenth!D179)</f>
        <v/>
      </c>
      <c r="E3926" s="66" t="str">
        <f>IF(Sixteenth!E179="", "",Sixteenth!E179)</f>
        <v/>
      </c>
      <c r="F3926" s="66" t="str">
        <f>IF(Sixteenth!F179="", "",Sixteenth!F179)</f>
        <v/>
      </c>
      <c r="G3926" s="66" t="str">
        <f>IF(Sixteenth!G179="", "",Sixteenth!G179)</f>
        <v/>
      </c>
      <c r="H3926" s="66" t="str">
        <f>IF(Sixteenth!H179="", "",Sixteenth!H179)</f>
        <v/>
      </c>
      <c r="I3926" s="66" t="str">
        <f>IF(Sixteenth!I179="", "",Sixteenth!I179)</f>
        <v/>
      </c>
      <c r="J3926" s="66" t="str">
        <f>IF(Sixteenth!J179="", "",Sixteenth!J179)</f>
        <v/>
      </c>
      <c r="K3926" s="86" t="str">
        <f>IF(Sixteenth!K179="", "",Sixteenth!K179)</f>
        <v/>
      </c>
      <c r="M3926" s="67" t="str">
        <f t="shared" si="185"/>
        <v/>
      </c>
      <c r="N3926" s="76" t="str">
        <f t="shared" si="186"/>
        <v/>
      </c>
      <c r="O3926" s="33">
        <f t="shared" si="184"/>
        <v>0</v>
      </c>
    </row>
    <row r="3927" spans="1:15" x14ac:dyDescent="0.25">
      <c r="A3927" s="64" t="s">
        <v>187</v>
      </c>
      <c r="B3927" s="79" t="str">
        <f>IF(Sixteenth!B180="", "",Sixteenth!B180)</f>
        <v/>
      </c>
      <c r="C3927" s="66" t="str">
        <f>IF(Sixteenth!C180="", "",Sixteenth!C180)</f>
        <v/>
      </c>
      <c r="D3927" s="66" t="str">
        <f>IF(Sixteenth!D180="", "",Sixteenth!D180)</f>
        <v/>
      </c>
      <c r="E3927" s="66" t="str">
        <f>IF(Sixteenth!E180="", "",Sixteenth!E180)</f>
        <v/>
      </c>
      <c r="F3927" s="66" t="str">
        <f>IF(Sixteenth!F180="", "",Sixteenth!F180)</f>
        <v/>
      </c>
      <c r="G3927" s="66" t="str">
        <f>IF(Sixteenth!G180="", "",Sixteenth!G180)</f>
        <v/>
      </c>
      <c r="H3927" s="66" t="str">
        <f>IF(Sixteenth!H180="", "",Sixteenth!H180)</f>
        <v/>
      </c>
      <c r="I3927" s="66" t="str">
        <f>IF(Sixteenth!I180="", "",Sixteenth!I180)</f>
        <v/>
      </c>
      <c r="J3927" s="66" t="str">
        <f>IF(Sixteenth!J180="", "",Sixteenth!J180)</f>
        <v/>
      </c>
      <c r="K3927" s="86" t="str">
        <f>IF(Sixteenth!K180="", "",Sixteenth!K180)</f>
        <v/>
      </c>
      <c r="M3927" s="67" t="str">
        <f t="shared" si="185"/>
        <v/>
      </c>
      <c r="N3927" s="76" t="str">
        <f t="shared" si="186"/>
        <v/>
      </c>
      <c r="O3927" s="33">
        <f t="shared" si="184"/>
        <v>0</v>
      </c>
    </row>
    <row r="3928" spans="1:15" x14ac:dyDescent="0.25">
      <c r="A3928" s="64" t="s">
        <v>187</v>
      </c>
      <c r="B3928" s="79" t="str">
        <f>IF(Sixteenth!B181="", "",Sixteenth!B181)</f>
        <v/>
      </c>
      <c r="C3928" s="66" t="str">
        <f>IF(Sixteenth!C181="", "",Sixteenth!C181)</f>
        <v/>
      </c>
      <c r="D3928" s="66" t="str">
        <f>IF(Sixteenth!D181="", "",Sixteenth!D181)</f>
        <v/>
      </c>
      <c r="E3928" s="66" t="str">
        <f>IF(Sixteenth!E181="", "",Sixteenth!E181)</f>
        <v/>
      </c>
      <c r="F3928" s="66" t="str">
        <f>IF(Sixteenth!F181="", "",Sixteenth!F181)</f>
        <v/>
      </c>
      <c r="G3928" s="66" t="str">
        <f>IF(Sixteenth!G181="", "",Sixteenth!G181)</f>
        <v/>
      </c>
      <c r="H3928" s="66" t="str">
        <f>IF(Sixteenth!H181="", "",Sixteenth!H181)</f>
        <v/>
      </c>
      <c r="I3928" s="66" t="str">
        <f>IF(Sixteenth!I181="", "",Sixteenth!I181)</f>
        <v/>
      </c>
      <c r="J3928" s="66" t="str">
        <f>IF(Sixteenth!J181="", "",Sixteenth!J181)</f>
        <v/>
      </c>
      <c r="K3928" s="86" t="str">
        <f>IF(Sixteenth!K181="", "",Sixteenth!K181)</f>
        <v/>
      </c>
      <c r="M3928" s="67" t="str">
        <f t="shared" si="185"/>
        <v/>
      </c>
      <c r="N3928" s="76" t="str">
        <f t="shared" si="186"/>
        <v/>
      </c>
      <c r="O3928" s="33">
        <f t="shared" si="184"/>
        <v>0</v>
      </c>
    </row>
    <row r="3929" spans="1:15" x14ac:dyDescent="0.25">
      <c r="A3929" s="64" t="s">
        <v>187</v>
      </c>
      <c r="B3929" s="79" t="str">
        <f>IF(Sixteenth!B182="", "",Sixteenth!B182)</f>
        <v/>
      </c>
      <c r="C3929" s="66" t="str">
        <f>IF(Sixteenth!C182="", "",Sixteenth!C182)</f>
        <v/>
      </c>
      <c r="D3929" s="66" t="str">
        <f>IF(Sixteenth!D182="", "",Sixteenth!D182)</f>
        <v/>
      </c>
      <c r="E3929" s="66" t="str">
        <f>IF(Sixteenth!E182="", "",Sixteenth!E182)</f>
        <v/>
      </c>
      <c r="F3929" s="66" t="str">
        <f>IF(Sixteenth!F182="", "",Sixteenth!F182)</f>
        <v/>
      </c>
      <c r="G3929" s="66" t="str">
        <f>IF(Sixteenth!G182="", "",Sixteenth!G182)</f>
        <v/>
      </c>
      <c r="H3929" s="66" t="str">
        <f>IF(Sixteenth!H182="", "",Sixteenth!H182)</f>
        <v/>
      </c>
      <c r="I3929" s="66" t="str">
        <f>IF(Sixteenth!I182="", "",Sixteenth!I182)</f>
        <v/>
      </c>
      <c r="J3929" s="66" t="str">
        <f>IF(Sixteenth!J182="", "",Sixteenth!J182)</f>
        <v/>
      </c>
      <c r="K3929" s="86" t="str">
        <f>IF(Sixteenth!K182="", "",Sixteenth!K182)</f>
        <v/>
      </c>
      <c r="M3929" s="67" t="str">
        <f t="shared" si="185"/>
        <v/>
      </c>
      <c r="N3929" s="76" t="str">
        <f t="shared" si="186"/>
        <v/>
      </c>
      <c r="O3929" s="33">
        <f t="shared" si="184"/>
        <v>0</v>
      </c>
    </row>
    <row r="3930" spans="1:15" x14ac:dyDescent="0.25">
      <c r="A3930" s="64" t="s">
        <v>187</v>
      </c>
      <c r="B3930" s="79" t="str">
        <f>IF(Sixteenth!B183="", "",Sixteenth!B183)</f>
        <v/>
      </c>
      <c r="C3930" s="66" t="str">
        <f>IF(Sixteenth!C183="", "",Sixteenth!C183)</f>
        <v/>
      </c>
      <c r="D3930" s="66" t="str">
        <f>IF(Sixteenth!D183="", "",Sixteenth!D183)</f>
        <v/>
      </c>
      <c r="E3930" s="66" t="str">
        <f>IF(Sixteenth!E183="", "",Sixteenth!E183)</f>
        <v/>
      </c>
      <c r="F3930" s="66" t="str">
        <f>IF(Sixteenth!F183="", "",Sixteenth!F183)</f>
        <v/>
      </c>
      <c r="G3930" s="66" t="str">
        <f>IF(Sixteenth!G183="", "",Sixteenth!G183)</f>
        <v/>
      </c>
      <c r="H3930" s="66" t="str">
        <f>IF(Sixteenth!H183="", "",Sixteenth!H183)</f>
        <v/>
      </c>
      <c r="I3930" s="66" t="str">
        <f>IF(Sixteenth!I183="", "",Sixteenth!I183)</f>
        <v/>
      </c>
      <c r="J3930" s="66" t="str">
        <f>IF(Sixteenth!J183="", "",Sixteenth!J183)</f>
        <v/>
      </c>
      <c r="K3930" s="86" t="str">
        <f>IF(Sixteenth!K183="", "",Sixteenth!K183)</f>
        <v/>
      </c>
      <c r="M3930" s="67" t="str">
        <f t="shared" si="185"/>
        <v/>
      </c>
      <c r="N3930" s="76" t="str">
        <f t="shared" si="186"/>
        <v/>
      </c>
      <c r="O3930" s="33">
        <f t="shared" si="184"/>
        <v>0</v>
      </c>
    </row>
    <row r="3931" spans="1:15" x14ac:dyDescent="0.25">
      <c r="A3931" s="64" t="s">
        <v>187</v>
      </c>
      <c r="B3931" s="79" t="str">
        <f>IF(Sixteenth!B184="", "",Sixteenth!B184)</f>
        <v/>
      </c>
      <c r="C3931" s="66" t="str">
        <f>IF(Sixteenth!C184="", "",Sixteenth!C184)</f>
        <v/>
      </c>
      <c r="D3931" s="66" t="str">
        <f>IF(Sixteenth!D184="", "",Sixteenth!D184)</f>
        <v/>
      </c>
      <c r="E3931" s="66" t="str">
        <f>IF(Sixteenth!E184="", "",Sixteenth!E184)</f>
        <v/>
      </c>
      <c r="F3931" s="66" t="str">
        <f>IF(Sixteenth!F184="", "",Sixteenth!F184)</f>
        <v/>
      </c>
      <c r="G3931" s="66" t="str">
        <f>IF(Sixteenth!G184="", "",Sixteenth!G184)</f>
        <v/>
      </c>
      <c r="H3931" s="66" t="str">
        <f>IF(Sixteenth!H184="", "",Sixteenth!H184)</f>
        <v/>
      </c>
      <c r="I3931" s="66" t="str">
        <f>IF(Sixteenth!I184="", "",Sixteenth!I184)</f>
        <v/>
      </c>
      <c r="J3931" s="66" t="str">
        <f>IF(Sixteenth!J184="", "",Sixteenth!J184)</f>
        <v/>
      </c>
      <c r="K3931" s="86" t="str">
        <f>IF(Sixteenth!K184="", "",Sixteenth!K184)</f>
        <v/>
      </c>
      <c r="M3931" s="67" t="str">
        <f t="shared" si="185"/>
        <v/>
      </c>
      <c r="N3931" s="76" t="str">
        <f t="shared" si="186"/>
        <v/>
      </c>
      <c r="O3931" s="33">
        <f t="shared" si="184"/>
        <v>0</v>
      </c>
    </row>
    <row r="3932" spans="1:15" x14ac:dyDescent="0.25">
      <c r="A3932" s="64" t="s">
        <v>187</v>
      </c>
      <c r="B3932" s="79" t="str">
        <f>IF(Sixteenth!B185="", "",Sixteenth!B185)</f>
        <v/>
      </c>
      <c r="C3932" s="66" t="str">
        <f>IF(Sixteenth!C185="", "",Sixteenth!C185)</f>
        <v/>
      </c>
      <c r="D3932" s="66" t="str">
        <f>IF(Sixteenth!D185="", "",Sixteenth!D185)</f>
        <v/>
      </c>
      <c r="E3932" s="66" t="str">
        <f>IF(Sixteenth!E185="", "",Sixteenth!E185)</f>
        <v/>
      </c>
      <c r="F3932" s="66" t="str">
        <f>IF(Sixteenth!F185="", "",Sixteenth!F185)</f>
        <v/>
      </c>
      <c r="G3932" s="66" t="str">
        <f>IF(Sixteenth!G185="", "",Sixteenth!G185)</f>
        <v/>
      </c>
      <c r="H3932" s="66" t="str">
        <f>IF(Sixteenth!H185="", "",Sixteenth!H185)</f>
        <v/>
      </c>
      <c r="I3932" s="66" t="str">
        <f>IF(Sixteenth!I185="", "",Sixteenth!I185)</f>
        <v/>
      </c>
      <c r="J3932" s="66" t="str">
        <f>IF(Sixteenth!J185="", "",Sixteenth!J185)</f>
        <v/>
      </c>
      <c r="K3932" s="86" t="str">
        <f>IF(Sixteenth!K185="", "",Sixteenth!K185)</f>
        <v/>
      </c>
      <c r="M3932" s="67" t="str">
        <f t="shared" si="185"/>
        <v/>
      </c>
      <c r="N3932" s="76" t="str">
        <f t="shared" si="186"/>
        <v/>
      </c>
      <c r="O3932" s="33">
        <f t="shared" si="184"/>
        <v>0</v>
      </c>
    </row>
    <row r="3933" spans="1:15" x14ac:dyDescent="0.25">
      <c r="A3933" s="64" t="s">
        <v>187</v>
      </c>
      <c r="B3933" s="79" t="str">
        <f>IF(Sixteenth!B186="", "",Sixteenth!B186)</f>
        <v/>
      </c>
      <c r="C3933" s="66" t="str">
        <f>IF(Sixteenth!C186="", "",Sixteenth!C186)</f>
        <v/>
      </c>
      <c r="D3933" s="66" t="str">
        <f>IF(Sixteenth!D186="", "",Sixteenth!D186)</f>
        <v/>
      </c>
      <c r="E3933" s="66" t="str">
        <f>IF(Sixteenth!E186="", "",Sixteenth!E186)</f>
        <v/>
      </c>
      <c r="F3933" s="66" t="str">
        <f>IF(Sixteenth!F186="", "",Sixteenth!F186)</f>
        <v/>
      </c>
      <c r="G3933" s="66" t="str">
        <f>IF(Sixteenth!G186="", "",Sixteenth!G186)</f>
        <v/>
      </c>
      <c r="H3933" s="66" t="str">
        <f>IF(Sixteenth!H186="", "",Sixteenth!H186)</f>
        <v/>
      </c>
      <c r="I3933" s="66" t="str">
        <f>IF(Sixteenth!I186="", "",Sixteenth!I186)</f>
        <v/>
      </c>
      <c r="J3933" s="66" t="str">
        <f>IF(Sixteenth!J186="", "",Sixteenth!J186)</f>
        <v/>
      </c>
      <c r="K3933" s="86" t="str">
        <f>IF(Sixteenth!K186="", "",Sixteenth!K186)</f>
        <v/>
      </c>
      <c r="M3933" s="67" t="str">
        <f t="shared" si="185"/>
        <v/>
      </c>
      <c r="N3933" s="76" t="str">
        <f t="shared" si="186"/>
        <v/>
      </c>
      <c r="O3933" s="33">
        <f t="shared" si="184"/>
        <v>0</v>
      </c>
    </row>
    <row r="3934" spans="1:15" x14ac:dyDescent="0.25">
      <c r="A3934" s="64" t="s">
        <v>187</v>
      </c>
      <c r="B3934" s="79" t="str">
        <f>IF(Sixteenth!B187="", "",Sixteenth!B187)</f>
        <v/>
      </c>
      <c r="C3934" s="66" t="str">
        <f>IF(Sixteenth!C187="", "",Sixteenth!C187)</f>
        <v/>
      </c>
      <c r="D3934" s="66" t="str">
        <f>IF(Sixteenth!D187="", "",Sixteenth!D187)</f>
        <v/>
      </c>
      <c r="E3934" s="66" t="str">
        <f>IF(Sixteenth!E187="", "",Sixteenth!E187)</f>
        <v/>
      </c>
      <c r="F3934" s="66" t="str">
        <f>IF(Sixteenth!F187="", "",Sixteenth!F187)</f>
        <v/>
      </c>
      <c r="G3934" s="66" t="str">
        <f>IF(Sixteenth!G187="", "",Sixteenth!G187)</f>
        <v/>
      </c>
      <c r="H3934" s="66" t="str">
        <f>IF(Sixteenth!H187="", "",Sixteenth!H187)</f>
        <v/>
      </c>
      <c r="I3934" s="66" t="str">
        <f>IF(Sixteenth!I187="", "",Sixteenth!I187)</f>
        <v/>
      </c>
      <c r="J3934" s="66" t="str">
        <f>IF(Sixteenth!J187="", "",Sixteenth!J187)</f>
        <v/>
      </c>
      <c r="K3934" s="86" t="str">
        <f>IF(Sixteenth!K187="", "",Sixteenth!K187)</f>
        <v/>
      </c>
      <c r="M3934" s="67" t="str">
        <f t="shared" si="185"/>
        <v/>
      </c>
      <c r="N3934" s="76" t="str">
        <f t="shared" si="186"/>
        <v/>
      </c>
      <c r="O3934" s="33">
        <f t="shared" si="184"/>
        <v>0</v>
      </c>
    </row>
    <row r="3935" spans="1:15" x14ac:dyDescent="0.25">
      <c r="A3935" s="64" t="s">
        <v>187</v>
      </c>
      <c r="B3935" s="79" t="str">
        <f>IF(Sixteenth!B188="", "",Sixteenth!B188)</f>
        <v/>
      </c>
      <c r="C3935" s="66" t="str">
        <f>IF(Sixteenth!C188="", "",Sixteenth!C188)</f>
        <v/>
      </c>
      <c r="D3935" s="66" t="str">
        <f>IF(Sixteenth!D188="", "",Sixteenth!D188)</f>
        <v/>
      </c>
      <c r="E3935" s="66" t="str">
        <f>IF(Sixteenth!E188="", "",Sixteenth!E188)</f>
        <v/>
      </c>
      <c r="F3935" s="66" t="str">
        <f>IF(Sixteenth!F188="", "",Sixteenth!F188)</f>
        <v/>
      </c>
      <c r="G3935" s="66" t="str">
        <f>IF(Sixteenth!G188="", "",Sixteenth!G188)</f>
        <v/>
      </c>
      <c r="H3935" s="66" t="str">
        <f>IF(Sixteenth!H188="", "",Sixteenth!H188)</f>
        <v/>
      </c>
      <c r="I3935" s="66" t="str">
        <f>IF(Sixteenth!I188="", "",Sixteenth!I188)</f>
        <v/>
      </c>
      <c r="J3935" s="66" t="str">
        <f>IF(Sixteenth!J188="", "",Sixteenth!J188)</f>
        <v/>
      </c>
      <c r="K3935" s="86" t="str">
        <f>IF(Sixteenth!K188="", "",Sixteenth!K188)</f>
        <v/>
      </c>
      <c r="M3935" s="67" t="str">
        <f t="shared" si="185"/>
        <v/>
      </c>
      <c r="N3935" s="76" t="str">
        <f t="shared" si="186"/>
        <v/>
      </c>
      <c r="O3935" s="33">
        <f t="shared" si="184"/>
        <v>0</v>
      </c>
    </row>
    <row r="3936" spans="1:15" x14ac:dyDescent="0.25">
      <c r="A3936" s="64" t="s">
        <v>187</v>
      </c>
      <c r="B3936" s="79" t="str">
        <f>IF(Sixteenth!B189="", "",Sixteenth!B189)</f>
        <v/>
      </c>
      <c r="C3936" s="66" t="str">
        <f>IF(Sixteenth!C189="", "",Sixteenth!C189)</f>
        <v/>
      </c>
      <c r="D3936" s="66" t="str">
        <f>IF(Sixteenth!D189="", "",Sixteenth!D189)</f>
        <v/>
      </c>
      <c r="E3936" s="66" t="str">
        <f>IF(Sixteenth!E189="", "",Sixteenth!E189)</f>
        <v/>
      </c>
      <c r="F3936" s="66" t="str">
        <f>IF(Sixteenth!F189="", "",Sixteenth!F189)</f>
        <v/>
      </c>
      <c r="G3936" s="66" t="str">
        <f>IF(Sixteenth!G189="", "",Sixteenth!G189)</f>
        <v/>
      </c>
      <c r="H3936" s="66" t="str">
        <f>IF(Sixteenth!H189="", "",Sixteenth!H189)</f>
        <v/>
      </c>
      <c r="I3936" s="66" t="str">
        <f>IF(Sixteenth!I189="", "",Sixteenth!I189)</f>
        <v/>
      </c>
      <c r="J3936" s="66" t="str">
        <f>IF(Sixteenth!J189="", "",Sixteenth!J189)</f>
        <v/>
      </c>
      <c r="K3936" s="86" t="str">
        <f>IF(Sixteenth!K189="", "",Sixteenth!K189)</f>
        <v/>
      </c>
      <c r="M3936" s="67" t="str">
        <f t="shared" si="185"/>
        <v/>
      </c>
      <c r="N3936" s="76" t="str">
        <f t="shared" si="186"/>
        <v/>
      </c>
      <c r="O3936" s="33">
        <f t="shared" si="184"/>
        <v>0</v>
      </c>
    </row>
    <row r="3937" spans="1:15" x14ac:dyDescent="0.25">
      <c r="A3937" s="64" t="s">
        <v>187</v>
      </c>
      <c r="B3937" s="79" t="str">
        <f>IF(Sixteenth!B190="", "",Sixteenth!B190)</f>
        <v/>
      </c>
      <c r="C3937" s="66" t="str">
        <f>IF(Sixteenth!C190="", "",Sixteenth!C190)</f>
        <v/>
      </c>
      <c r="D3937" s="66" t="str">
        <f>IF(Sixteenth!D190="", "",Sixteenth!D190)</f>
        <v/>
      </c>
      <c r="E3937" s="66" t="str">
        <f>IF(Sixteenth!E190="", "",Sixteenth!E190)</f>
        <v/>
      </c>
      <c r="F3937" s="66" t="str">
        <f>IF(Sixteenth!F190="", "",Sixteenth!F190)</f>
        <v/>
      </c>
      <c r="G3937" s="66" t="str">
        <f>IF(Sixteenth!G190="", "",Sixteenth!G190)</f>
        <v/>
      </c>
      <c r="H3937" s="66" t="str">
        <f>IF(Sixteenth!H190="", "",Sixteenth!H190)</f>
        <v/>
      </c>
      <c r="I3937" s="66" t="str">
        <f>IF(Sixteenth!I190="", "",Sixteenth!I190)</f>
        <v/>
      </c>
      <c r="J3937" s="66" t="str">
        <f>IF(Sixteenth!J190="", "",Sixteenth!J190)</f>
        <v/>
      </c>
      <c r="K3937" s="86" t="str">
        <f>IF(Sixteenth!K190="", "",Sixteenth!K190)</f>
        <v/>
      </c>
      <c r="M3937" s="67" t="str">
        <f t="shared" si="185"/>
        <v/>
      </c>
      <c r="N3937" s="76" t="str">
        <f t="shared" si="186"/>
        <v/>
      </c>
      <c r="O3937" s="33">
        <f t="shared" si="184"/>
        <v>0</v>
      </c>
    </row>
    <row r="3938" spans="1:15" x14ac:dyDescent="0.25">
      <c r="A3938" s="64" t="s">
        <v>187</v>
      </c>
      <c r="B3938" s="79" t="str">
        <f>IF(Sixteenth!B191="", "",Sixteenth!B191)</f>
        <v/>
      </c>
      <c r="C3938" s="66" t="str">
        <f>IF(Sixteenth!C191="", "",Sixteenth!C191)</f>
        <v/>
      </c>
      <c r="D3938" s="66" t="str">
        <f>IF(Sixteenth!D191="", "",Sixteenth!D191)</f>
        <v/>
      </c>
      <c r="E3938" s="66" t="str">
        <f>IF(Sixteenth!E191="", "",Sixteenth!E191)</f>
        <v/>
      </c>
      <c r="F3938" s="66" t="str">
        <f>IF(Sixteenth!F191="", "",Sixteenth!F191)</f>
        <v/>
      </c>
      <c r="G3938" s="66" t="str">
        <f>IF(Sixteenth!G191="", "",Sixteenth!G191)</f>
        <v/>
      </c>
      <c r="H3938" s="66" t="str">
        <f>IF(Sixteenth!H191="", "",Sixteenth!H191)</f>
        <v/>
      </c>
      <c r="I3938" s="66" t="str">
        <f>IF(Sixteenth!I191="", "",Sixteenth!I191)</f>
        <v/>
      </c>
      <c r="J3938" s="66" t="str">
        <f>IF(Sixteenth!J191="", "",Sixteenth!J191)</f>
        <v/>
      </c>
      <c r="K3938" s="86" t="str">
        <f>IF(Sixteenth!K191="", "",Sixteenth!K191)</f>
        <v/>
      </c>
      <c r="M3938" s="67" t="str">
        <f t="shared" si="185"/>
        <v/>
      </c>
      <c r="N3938" s="76" t="str">
        <f t="shared" si="186"/>
        <v/>
      </c>
      <c r="O3938" s="33">
        <f t="shared" si="184"/>
        <v>0</v>
      </c>
    </row>
    <row r="3939" spans="1:15" x14ac:dyDescent="0.25">
      <c r="A3939" s="64" t="s">
        <v>187</v>
      </c>
      <c r="B3939" s="79" t="str">
        <f>IF(Sixteenth!B192="", "",Sixteenth!B192)</f>
        <v/>
      </c>
      <c r="C3939" s="66" t="str">
        <f>IF(Sixteenth!C192="", "",Sixteenth!C192)</f>
        <v/>
      </c>
      <c r="D3939" s="66" t="str">
        <f>IF(Sixteenth!D192="", "",Sixteenth!D192)</f>
        <v/>
      </c>
      <c r="E3939" s="66" t="str">
        <f>IF(Sixteenth!E192="", "",Sixteenth!E192)</f>
        <v/>
      </c>
      <c r="F3939" s="66" t="str">
        <f>IF(Sixteenth!F192="", "",Sixteenth!F192)</f>
        <v/>
      </c>
      <c r="G3939" s="66" t="str">
        <f>IF(Sixteenth!G192="", "",Sixteenth!G192)</f>
        <v/>
      </c>
      <c r="H3939" s="66" t="str">
        <f>IF(Sixteenth!H192="", "",Sixteenth!H192)</f>
        <v/>
      </c>
      <c r="I3939" s="66" t="str">
        <f>IF(Sixteenth!I192="", "",Sixteenth!I192)</f>
        <v/>
      </c>
      <c r="J3939" s="66" t="str">
        <f>IF(Sixteenth!J192="", "",Sixteenth!J192)</f>
        <v/>
      </c>
      <c r="K3939" s="86" t="str">
        <f>IF(Sixteenth!K192="", "",Sixteenth!K192)</f>
        <v/>
      </c>
      <c r="M3939" s="67" t="str">
        <f t="shared" si="185"/>
        <v/>
      </c>
      <c r="N3939" s="76" t="str">
        <f t="shared" si="186"/>
        <v/>
      </c>
      <c r="O3939" s="33">
        <f t="shared" si="184"/>
        <v>0</v>
      </c>
    </row>
    <row r="3940" spans="1:15" x14ac:dyDescent="0.25">
      <c r="A3940" s="64" t="s">
        <v>187</v>
      </c>
      <c r="B3940" s="79" t="str">
        <f>IF(Sixteenth!B193="", "",Sixteenth!B193)</f>
        <v/>
      </c>
      <c r="C3940" s="66" t="str">
        <f>IF(Sixteenth!C193="", "",Sixteenth!C193)</f>
        <v/>
      </c>
      <c r="D3940" s="66" t="str">
        <f>IF(Sixteenth!D193="", "",Sixteenth!D193)</f>
        <v/>
      </c>
      <c r="E3940" s="66" t="str">
        <f>IF(Sixteenth!E193="", "",Sixteenth!E193)</f>
        <v/>
      </c>
      <c r="F3940" s="66" t="str">
        <f>IF(Sixteenth!F193="", "",Sixteenth!F193)</f>
        <v/>
      </c>
      <c r="G3940" s="66" t="str">
        <f>IF(Sixteenth!G193="", "",Sixteenth!G193)</f>
        <v/>
      </c>
      <c r="H3940" s="66" t="str">
        <f>IF(Sixteenth!H193="", "",Sixteenth!H193)</f>
        <v/>
      </c>
      <c r="I3940" s="66" t="str">
        <f>IF(Sixteenth!I193="", "",Sixteenth!I193)</f>
        <v/>
      </c>
      <c r="J3940" s="66" t="str">
        <f>IF(Sixteenth!J193="", "",Sixteenth!J193)</f>
        <v/>
      </c>
      <c r="K3940" s="86" t="str">
        <f>IF(Sixteenth!K193="", "",Sixteenth!K193)</f>
        <v/>
      </c>
      <c r="M3940" s="67" t="str">
        <f t="shared" si="185"/>
        <v/>
      </c>
      <c r="N3940" s="76" t="str">
        <f t="shared" si="186"/>
        <v/>
      </c>
      <c r="O3940" s="33">
        <f t="shared" si="184"/>
        <v>0</v>
      </c>
    </row>
    <row r="3941" spans="1:15" x14ac:dyDescent="0.25">
      <c r="A3941" s="64" t="s">
        <v>187</v>
      </c>
      <c r="B3941" s="79" t="str">
        <f>IF(Sixteenth!B194="", "",Sixteenth!B194)</f>
        <v/>
      </c>
      <c r="C3941" s="66" t="str">
        <f>IF(Sixteenth!C194="", "",Sixteenth!C194)</f>
        <v/>
      </c>
      <c r="D3941" s="66" t="str">
        <f>IF(Sixteenth!D194="", "",Sixteenth!D194)</f>
        <v/>
      </c>
      <c r="E3941" s="66" t="str">
        <f>IF(Sixteenth!E194="", "",Sixteenth!E194)</f>
        <v/>
      </c>
      <c r="F3941" s="66" t="str">
        <f>IF(Sixteenth!F194="", "",Sixteenth!F194)</f>
        <v/>
      </c>
      <c r="G3941" s="66" t="str">
        <f>IF(Sixteenth!G194="", "",Sixteenth!G194)</f>
        <v/>
      </c>
      <c r="H3941" s="66" t="str">
        <f>IF(Sixteenth!H194="", "",Sixteenth!H194)</f>
        <v/>
      </c>
      <c r="I3941" s="66" t="str">
        <f>IF(Sixteenth!I194="", "",Sixteenth!I194)</f>
        <v/>
      </c>
      <c r="J3941" s="66" t="str">
        <f>IF(Sixteenth!J194="", "",Sixteenth!J194)</f>
        <v/>
      </c>
      <c r="K3941" s="86" t="str">
        <f>IF(Sixteenth!K194="", "",Sixteenth!K194)</f>
        <v/>
      </c>
      <c r="M3941" s="67" t="str">
        <f t="shared" si="185"/>
        <v/>
      </c>
      <c r="N3941" s="76" t="str">
        <f t="shared" si="186"/>
        <v/>
      </c>
      <c r="O3941" s="33">
        <f t="shared" si="184"/>
        <v>0</v>
      </c>
    </row>
    <row r="3942" spans="1:15" x14ac:dyDescent="0.25">
      <c r="A3942" s="64" t="s">
        <v>187</v>
      </c>
      <c r="B3942" s="79" t="str">
        <f>IF(Sixteenth!B195="", "",Sixteenth!B195)</f>
        <v/>
      </c>
      <c r="C3942" s="66" t="str">
        <f>IF(Sixteenth!C195="", "",Sixteenth!C195)</f>
        <v/>
      </c>
      <c r="D3942" s="66" t="str">
        <f>IF(Sixteenth!D195="", "",Sixteenth!D195)</f>
        <v/>
      </c>
      <c r="E3942" s="66" t="str">
        <f>IF(Sixteenth!E195="", "",Sixteenth!E195)</f>
        <v/>
      </c>
      <c r="F3942" s="66" t="str">
        <f>IF(Sixteenth!F195="", "",Sixteenth!F195)</f>
        <v/>
      </c>
      <c r="G3942" s="66" t="str">
        <f>IF(Sixteenth!G195="", "",Sixteenth!G195)</f>
        <v/>
      </c>
      <c r="H3942" s="66" t="str">
        <f>IF(Sixteenth!H195="", "",Sixteenth!H195)</f>
        <v/>
      </c>
      <c r="I3942" s="66" t="str">
        <f>IF(Sixteenth!I195="", "",Sixteenth!I195)</f>
        <v/>
      </c>
      <c r="J3942" s="66" t="str">
        <f>IF(Sixteenth!J195="", "",Sixteenth!J195)</f>
        <v/>
      </c>
      <c r="K3942" s="86" t="str">
        <f>IF(Sixteenth!K195="", "",Sixteenth!K195)</f>
        <v/>
      </c>
      <c r="M3942" s="67" t="str">
        <f t="shared" si="185"/>
        <v/>
      </c>
      <c r="N3942" s="76" t="str">
        <f t="shared" si="186"/>
        <v/>
      </c>
      <c r="O3942" s="33">
        <f t="shared" si="184"/>
        <v>0</v>
      </c>
    </row>
    <row r="3943" spans="1:15" x14ac:dyDescent="0.25">
      <c r="A3943" s="64" t="s">
        <v>187</v>
      </c>
      <c r="B3943" s="79" t="str">
        <f>IF(Sixteenth!B196="", "",Sixteenth!B196)</f>
        <v/>
      </c>
      <c r="C3943" s="66" t="str">
        <f>IF(Sixteenth!C196="", "",Sixteenth!C196)</f>
        <v/>
      </c>
      <c r="D3943" s="66" t="str">
        <f>IF(Sixteenth!D196="", "",Sixteenth!D196)</f>
        <v/>
      </c>
      <c r="E3943" s="66" t="str">
        <f>IF(Sixteenth!E196="", "",Sixteenth!E196)</f>
        <v/>
      </c>
      <c r="F3943" s="66" t="str">
        <f>IF(Sixteenth!F196="", "",Sixteenth!F196)</f>
        <v/>
      </c>
      <c r="G3943" s="66" t="str">
        <f>IF(Sixteenth!G196="", "",Sixteenth!G196)</f>
        <v/>
      </c>
      <c r="H3943" s="66" t="str">
        <f>IF(Sixteenth!H196="", "",Sixteenth!H196)</f>
        <v/>
      </c>
      <c r="I3943" s="66" t="str">
        <f>IF(Sixteenth!I196="", "",Sixteenth!I196)</f>
        <v/>
      </c>
      <c r="J3943" s="66" t="str">
        <f>IF(Sixteenth!J196="", "",Sixteenth!J196)</f>
        <v/>
      </c>
      <c r="K3943" s="86" t="str">
        <f>IF(Sixteenth!K196="", "",Sixteenth!K196)</f>
        <v/>
      </c>
      <c r="M3943" s="67" t="str">
        <f t="shared" si="185"/>
        <v/>
      </c>
      <c r="N3943" s="76" t="str">
        <f t="shared" si="186"/>
        <v/>
      </c>
      <c r="O3943" s="33">
        <f t="shared" si="184"/>
        <v>0</v>
      </c>
    </row>
    <row r="3944" spans="1:15" x14ac:dyDescent="0.25">
      <c r="A3944" s="64" t="s">
        <v>187</v>
      </c>
      <c r="B3944" s="79" t="str">
        <f>IF(Sixteenth!B197="", "",Sixteenth!B197)</f>
        <v/>
      </c>
      <c r="C3944" s="66" t="str">
        <f>IF(Sixteenth!C197="", "",Sixteenth!C197)</f>
        <v/>
      </c>
      <c r="D3944" s="66" t="str">
        <f>IF(Sixteenth!D197="", "",Sixteenth!D197)</f>
        <v/>
      </c>
      <c r="E3944" s="66" t="str">
        <f>IF(Sixteenth!E197="", "",Sixteenth!E197)</f>
        <v/>
      </c>
      <c r="F3944" s="66" t="str">
        <f>IF(Sixteenth!F197="", "",Sixteenth!F197)</f>
        <v/>
      </c>
      <c r="G3944" s="66" t="str">
        <f>IF(Sixteenth!G197="", "",Sixteenth!G197)</f>
        <v/>
      </c>
      <c r="H3944" s="66" t="str">
        <f>IF(Sixteenth!H197="", "",Sixteenth!H197)</f>
        <v/>
      </c>
      <c r="I3944" s="66" t="str">
        <f>IF(Sixteenth!I197="", "",Sixteenth!I197)</f>
        <v/>
      </c>
      <c r="J3944" s="66" t="str">
        <f>IF(Sixteenth!J197="", "",Sixteenth!J197)</f>
        <v/>
      </c>
      <c r="K3944" s="86" t="str">
        <f>IF(Sixteenth!K197="", "",Sixteenth!K197)</f>
        <v/>
      </c>
      <c r="M3944" s="67" t="str">
        <f t="shared" si="185"/>
        <v/>
      </c>
      <c r="N3944" s="76" t="str">
        <f t="shared" si="186"/>
        <v/>
      </c>
      <c r="O3944" s="33">
        <f t="shared" si="184"/>
        <v>0</v>
      </c>
    </row>
    <row r="3945" spans="1:15" x14ac:dyDescent="0.25">
      <c r="A3945" s="64" t="s">
        <v>187</v>
      </c>
      <c r="B3945" s="79" t="str">
        <f>IF(Sixteenth!B198="", "",Sixteenth!B198)</f>
        <v/>
      </c>
      <c r="C3945" s="66" t="str">
        <f>IF(Sixteenth!C198="", "",Sixteenth!C198)</f>
        <v/>
      </c>
      <c r="D3945" s="66" t="str">
        <f>IF(Sixteenth!D198="", "",Sixteenth!D198)</f>
        <v/>
      </c>
      <c r="E3945" s="66" t="str">
        <f>IF(Sixteenth!E198="", "",Sixteenth!E198)</f>
        <v/>
      </c>
      <c r="F3945" s="66" t="str">
        <f>IF(Sixteenth!F198="", "",Sixteenth!F198)</f>
        <v/>
      </c>
      <c r="G3945" s="66" t="str">
        <f>IF(Sixteenth!G198="", "",Sixteenth!G198)</f>
        <v/>
      </c>
      <c r="H3945" s="66" t="str">
        <f>IF(Sixteenth!H198="", "",Sixteenth!H198)</f>
        <v/>
      </c>
      <c r="I3945" s="66" t="str">
        <f>IF(Sixteenth!I198="", "",Sixteenth!I198)</f>
        <v/>
      </c>
      <c r="J3945" s="66" t="str">
        <f>IF(Sixteenth!J198="", "",Sixteenth!J198)</f>
        <v/>
      </c>
      <c r="K3945" s="86" t="str">
        <f>IF(Sixteenth!K198="", "",Sixteenth!K198)</f>
        <v/>
      </c>
      <c r="M3945" s="67" t="str">
        <f t="shared" si="185"/>
        <v/>
      </c>
      <c r="N3945" s="76" t="str">
        <f t="shared" si="186"/>
        <v/>
      </c>
      <c r="O3945" s="33">
        <f t="shared" si="184"/>
        <v>0</v>
      </c>
    </row>
    <row r="3946" spans="1:15" x14ac:dyDescent="0.25">
      <c r="A3946" s="64" t="s">
        <v>187</v>
      </c>
      <c r="B3946" s="79" t="str">
        <f>IF(Sixteenth!B199="", "",Sixteenth!B199)</f>
        <v/>
      </c>
      <c r="C3946" s="66" t="str">
        <f>IF(Sixteenth!C199="", "",Sixteenth!C199)</f>
        <v/>
      </c>
      <c r="D3946" s="66" t="str">
        <f>IF(Sixteenth!D199="", "",Sixteenth!D199)</f>
        <v/>
      </c>
      <c r="E3946" s="66" t="str">
        <f>IF(Sixteenth!E199="", "",Sixteenth!E199)</f>
        <v/>
      </c>
      <c r="F3946" s="66" t="str">
        <f>IF(Sixteenth!F199="", "",Sixteenth!F199)</f>
        <v/>
      </c>
      <c r="G3946" s="66" t="str">
        <f>IF(Sixteenth!G199="", "",Sixteenth!G199)</f>
        <v/>
      </c>
      <c r="H3946" s="66" t="str">
        <f>IF(Sixteenth!H199="", "",Sixteenth!H199)</f>
        <v/>
      </c>
      <c r="I3946" s="66" t="str">
        <f>IF(Sixteenth!I199="", "",Sixteenth!I199)</f>
        <v/>
      </c>
      <c r="J3946" s="66" t="str">
        <f>IF(Sixteenth!J199="", "",Sixteenth!J199)</f>
        <v/>
      </c>
      <c r="K3946" s="86" t="str">
        <f>IF(Sixteenth!K199="", "",Sixteenth!K199)</f>
        <v/>
      </c>
      <c r="M3946" s="67" t="str">
        <f t="shared" si="185"/>
        <v/>
      </c>
      <c r="N3946" s="76" t="str">
        <f t="shared" si="186"/>
        <v/>
      </c>
      <c r="O3946" s="33">
        <f t="shared" si="184"/>
        <v>0</v>
      </c>
    </row>
    <row r="3947" spans="1:15" x14ac:dyDescent="0.25">
      <c r="A3947" s="64" t="s">
        <v>187</v>
      </c>
      <c r="B3947" s="79" t="str">
        <f>IF(Sixteenth!B200="", "",Sixteenth!B200)</f>
        <v/>
      </c>
      <c r="C3947" s="66" t="str">
        <f>IF(Sixteenth!C200="", "",Sixteenth!C200)</f>
        <v/>
      </c>
      <c r="D3947" s="66" t="str">
        <f>IF(Sixteenth!D200="", "",Sixteenth!D200)</f>
        <v/>
      </c>
      <c r="E3947" s="66" t="str">
        <f>IF(Sixteenth!E200="", "",Sixteenth!E200)</f>
        <v/>
      </c>
      <c r="F3947" s="66" t="str">
        <f>IF(Sixteenth!F200="", "",Sixteenth!F200)</f>
        <v/>
      </c>
      <c r="G3947" s="66" t="str">
        <f>IF(Sixteenth!G200="", "",Sixteenth!G200)</f>
        <v/>
      </c>
      <c r="H3947" s="66" t="str">
        <f>IF(Sixteenth!H200="", "",Sixteenth!H200)</f>
        <v/>
      </c>
      <c r="I3947" s="66" t="str">
        <f>IF(Sixteenth!I200="", "",Sixteenth!I200)</f>
        <v/>
      </c>
      <c r="J3947" s="66" t="str">
        <f>IF(Sixteenth!J200="", "",Sixteenth!J200)</f>
        <v/>
      </c>
      <c r="K3947" s="86" t="str">
        <f>IF(Sixteenth!K200="", "",Sixteenth!K200)</f>
        <v/>
      </c>
      <c r="M3947" s="67" t="str">
        <f t="shared" si="185"/>
        <v/>
      </c>
      <c r="N3947" s="76" t="str">
        <f t="shared" si="186"/>
        <v/>
      </c>
      <c r="O3947" s="33">
        <f t="shared" si="184"/>
        <v>0</v>
      </c>
    </row>
    <row r="3948" spans="1:15" x14ac:dyDescent="0.25">
      <c r="A3948" s="64" t="s">
        <v>187</v>
      </c>
      <c r="B3948" s="79" t="str">
        <f>IF(Sixteenth!B201="", "",Sixteenth!B201)</f>
        <v/>
      </c>
      <c r="C3948" s="66" t="str">
        <f>IF(Sixteenth!C201="", "",Sixteenth!C201)</f>
        <v/>
      </c>
      <c r="D3948" s="66" t="str">
        <f>IF(Sixteenth!D201="", "",Sixteenth!D201)</f>
        <v/>
      </c>
      <c r="E3948" s="66" t="str">
        <f>IF(Sixteenth!E201="", "",Sixteenth!E201)</f>
        <v/>
      </c>
      <c r="F3948" s="66" t="str">
        <f>IF(Sixteenth!F201="", "",Sixteenth!F201)</f>
        <v/>
      </c>
      <c r="G3948" s="66" t="str">
        <f>IF(Sixteenth!G201="", "",Sixteenth!G201)</f>
        <v/>
      </c>
      <c r="H3948" s="66" t="str">
        <f>IF(Sixteenth!H201="", "",Sixteenth!H201)</f>
        <v/>
      </c>
      <c r="I3948" s="66" t="str">
        <f>IF(Sixteenth!I201="", "",Sixteenth!I201)</f>
        <v/>
      </c>
      <c r="J3948" s="66" t="str">
        <f>IF(Sixteenth!J201="", "",Sixteenth!J201)</f>
        <v/>
      </c>
      <c r="K3948" s="86" t="str">
        <f>IF(Sixteenth!K201="", "",Sixteenth!K201)</f>
        <v/>
      </c>
      <c r="M3948" s="67" t="str">
        <f t="shared" si="185"/>
        <v/>
      </c>
      <c r="N3948" s="76" t="str">
        <f t="shared" si="186"/>
        <v/>
      </c>
      <c r="O3948" s="33">
        <f t="shared" si="184"/>
        <v>0</v>
      </c>
    </row>
    <row r="3949" spans="1:15" x14ac:dyDescent="0.25">
      <c r="A3949" s="64" t="s">
        <v>187</v>
      </c>
      <c r="B3949" s="79" t="str">
        <f>IF(Sixteenth!B202="", "",Sixteenth!B202)</f>
        <v/>
      </c>
      <c r="C3949" s="66" t="str">
        <f>IF(Sixteenth!C202="", "",Sixteenth!C202)</f>
        <v/>
      </c>
      <c r="D3949" s="66" t="str">
        <f>IF(Sixteenth!D202="", "",Sixteenth!D202)</f>
        <v/>
      </c>
      <c r="E3949" s="66" t="str">
        <f>IF(Sixteenth!E202="", "",Sixteenth!E202)</f>
        <v/>
      </c>
      <c r="F3949" s="66" t="str">
        <f>IF(Sixteenth!F202="", "",Sixteenth!F202)</f>
        <v/>
      </c>
      <c r="G3949" s="66" t="str">
        <f>IF(Sixteenth!G202="", "",Sixteenth!G202)</f>
        <v/>
      </c>
      <c r="H3949" s="66" t="str">
        <f>IF(Sixteenth!H202="", "",Sixteenth!H202)</f>
        <v/>
      </c>
      <c r="I3949" s="66" t="str">
        <f>IF(Sixteenth!I202="", "",Sixteenth!I202)</f>
        <v/>
      </c>
      <c r="J3949" s="66" t="str">
        <f>IF(Sixteenth!J202="", "",Sixteenth!J202)</f>
        <v/>
      </c>
      <c r="K3949" s="86" t="str">
        <f>IF(Sixteenth!K202="", "",Sixteenth!K202)</f>
        <v/>
      </c>
      <c r="M3949" s="67" t="str">
        <f t="shared" si="185"/>
        <v/>
      </c>
      <c r="N3949" s="76" t="str">
        <f t="shared" si="186"/>
        <v/>
      </c>
      <c r="O3949" s="33">
        <f t="shared" si="184"/>
        <v>0</v>
      </c>
    </row>
    <row r="3950" spans="1:15" x14ac:dyDescent="0.25">
      <c r="A3950" s="64" t="s">
        <v>187</v>
      </c>
      <c r="B3950" s="79" t="str">
        <f>IF(Sixteenth!B203="", "",Sixteenth!B203)</f>
        <v/>
      </c>
      <c r="C3950" s="66" t="str">
        <f>IF(Sixteenth!C203="", "",Sixteenth!C203)</f>
        <v/>
      </c>
      <c r="D3950" s="66" t="str">
        <f>IF(Sixteenth!D203="", "",Sixteenth!D203)</f>
        <v/>
      </c>
      <c r="E3950" s="66" t="str">
        <f>IF(Sixteenth!E203="", "",Sixteenth!E203)</f>
        <v/>
      </c>
      <c r="F3950" s="66" t="str">
        <f>IF(Sixteenth!F203="", "",Sixteenth!F203)</f>
        <v/>
      </c>
      <c r="G3950" s="66" t="str">
        <f>IF(Sixteenth!G203="", "",Sixteenth!G203)</f>
        <v/>
      </c>
      <c r="H3950" s="66" t="str">
        <f>IF(Sixteenth!H203="", "",Sixteenth!H203)</f>
        <v/>
      </c>
      <c r="I3950" s="66" t="str">
        <f>IF(Sixteenth!I203="", "",Sixteenth!I203)</f>
        <v/>
      </c>
      <c r="J3950" s="66" t="str">
        <f>IF(Sixteenth!J203="", "",Sixteenth!J203)</f>
        <v/>
      </c>
      <c r="K3950" s="86" t="str">
        <f>IF(Sixteenth!K203="", "",Sixteenth!K203)</f>
        <v/>
      </c>
      <c r="M3950" s="67" t="str">
        <f t="shared" si="185"/>
        <v/>
      </c>
      <c r="N3950" s="76" t="str">
        <f t="shared" si="186"/>
        <v/>
      </c>
      <c r="O3950" s="33">
        <f t="shared" si="184"/>
        <v>0</v>
      </c>
    </row>
    <row r="3951" spans="1:15" x14ac:dyDescent="0.25">
      <c r="A3951" s="64" t="s">
        <v>187</v>
      </c>
      <c r="B3951" s="79" t="str">
        <f>IF(Sixteenth!B204="", "",Sixteenth!B204)</f>
        <v/>
      </c>
      <c r="C3951" s="66" t="str">
        <f>IF(Sixteenth!C204="", "",Sixteenth!C204)</f>
        <v/>
      </c>
      <c r="D3951" s="66" t="str">
        <f>IF(Sixteenth!D204="", "",Sixteenth!D204)</f>
        <v/>
      </c>
      <c r="E3951" s="66" t="str">
        <f>IF(Sixteenth!E204="", "",Sixteenth!E204)</f>
        <v/>
      </c>
      <c r="F3951" s="66" t="str">
        <f>IF(Sixteenth!F204="", "",Sixteenth!F204)</f>
        <v/>
      </c>
      <c r="G3951" s="66" t="str">
        <f>IF(Sixteenth!G204="", "",Sixteenth!G204)</f>
        <v/>
      </c>
      <c r="H3951" s="66" t="str">
        <f>IF(Sixteenth!H204="", "",Sixteenth!H204)</f>
        <v/>
      </c>
      <c r="I3951" s="66" t="str">
        <f>IF(Sixteenth!I204="", "",Sixteenth!I204)</f>
        <v/>
      </c>
      <c r="J3951" s="66" t="str">
        <f>IF(Sixteenth!J204="", "",Sixteenth!J204)</f>
        <v/>
      </c>
      <c r="K3951" s="86" t="str">
        <f>IF(Sixteenth!K204="", "",Sixteenth!K204)</f>
        <v/>
      </c>
      <c r="M3951" s="67" t="str">
        <f t="shared" si="185"/>
        <v/>
      </c>
      <c r="N3951" s="76" t="str">
        <f t="shared" si="186"/>
        <v/>
      </c>
      <c r="O3951" s="33">
        <f t="shared" si="184"/>
        <v>0</v>
      </c>
    </row>
    <row r="3952" spans="1:15" x14ac:dyDescent="0.25">
      <c r="A3952" s="64" t="s">
        <v>187</v>
      </c>
      <c r="B3952" s="79" t="str">
        <f>IF(Sixteenth!B205="", "",Sixteenth!B205)</f>
        <v/>
      </c>
      <c r="C3952" s="66" t="str">
        <f>IF(Sixteenth!C205="", "",Sixteenth!C205)</f>
        <v/>
      </c>
      <c r="D3952" s="66" t="str">
        <f>IF(Sixteenth!D205="", "",Sixteenth!D205)</f>
        <v/>
      </c>
      <c r="E3952" s="66" t="str">
        <f>IF(Sixteenth!E205="", "",Sixteenth!E205)</f>
        <v/>
      </c>
      <c r="F3952" s="66" t="str">
        <f>IF(Sixteenth!F205="", "",Sixteenth!F205)</f>
        <v/>
      </c>
      <c r="G3952" s="66" t="str">
        <f>IF(Sixteenth!G205="", "",Sixteenth!G205)</f>
        <v/>
      </c>
      <c r="H3952" s="66" t="str">
        <f>IF(Sixteenth!H205="", "",Sixteenth!H205)</f>
        <v/>
      </c>
      <c r="I3952" s="66" t="str">
        <f>IF(Sixteenth!I205="", "",Sixteenth!I205)</f>
        <v/>
      </c>
      <c r="J3952" s="66" t="str">
        <f>IF(Sixteenth!J205="", "",Sixteenth!J205)</f>
        <v/>
      </c>
      <c r="K3952" s="86" t="str">
        <f>IF(Sixteenth!K205="", "",Sixteenth!K205)</f>
        <v/>
      </c>
      <c r="M3952" s="67" t="str">
        <f t="shared" si="185"/>
        <v/>
      </c>
      <c r="N3952" s="76" t="str">
        <f t="shared" si="186"/>
        <v/>
      </c>
      <c r="O3952" s="33">
        <f t="shared" si="184"/>
        <v>0</v>
      </c>
    </row>
    <row r="3953" spans="1:15" x14ac:dyDescent="0.25">
      <c r="A3953" s="64" t="s">
        <v>187</v>
      </c>
      <c r="B3953" s="79" t="str">
        <f>IF(Sixteenth!B206="", "",Sixteenth!B206)</f>
        <v/>
      </c>
      <c r="C3953" s="66" t="str">
        <f>IF(Sixteenth!C206="", "",Sixteenth!C206)</f>
        <v/>
      </c>
      <c r="D3953" s="66" t="str">
        <f>IF(Sixteenth!D206="", "",Sixteenth!D206)</f>
        <v/>
      </c>
      <c r="E3953" s="66" t="str">
        <f>IF(Sixteenth!E206="", "",Sixteenth!E206)</f>
        <v/>
      </c>
      <c r="F3953" s="66" t="str">
        <f>IF(Sixteenth!F206="", "",Sixteenth!F206)</f>
        <v/>
      </c>
      <c r="G3953" s="66" t="str">
        <f>IF(Sixteenth!G206="", "",Sixteenth!G206)</f>
        <v/>
      </c>
      <c r="H3953" s="66" t="str">
        <f>IF(Sixteenth!H206="", "",Sixteenth!H206)</f>
        <v/>
      </c>
      <c r="I3953" s="66" t="str">
        <f>IF(Sixteenth!I206="", "",Sixteenth!I206)</f>
        <v/>
      </c>
      <c r="J3953" s="66" t="str">
        <f>IF(Sixteenth!J206="", "",Sixteenth!J206)</f>
        <v/>
      </c>
      <c r="K3953" s="86" t="str">
        <f>IF(Sixteenth!K206="", "",Sixteenth!K206)</f>
        <v/>
      </c>
      <c r="M3953" s="67" t="str">
        <f t="shared" si="185"/>
        <v/>
      </c>
      <c r="N3953" s="76" t="str">
        <f t="shared" si="186"/>
        <v/>
      </c>
      <c r="O3953" s="33">
        <f t="shared" si="184"/>
        <v>0</v>
      </c>
    </row>
    <row r="3954" spans="1:15" x14ac:dyDescent="0.25">
      <c r="A3954" s="64" t="s">
        <v>187</v>
      </c>
      <c r="B3954" s="79" t="str">
        <f>IF(Sixteenth!B207="", "",Sixteenth!B207)</f>
        <v/>
      </c>
      <c r="C3954" s="66" t="str">
        <f>IF(Sixteenth!C207="", "",Sixteenth!C207)</f>
        <v/>
      </c>
      <c r="D3954" s="66" t="str">
        <f>IF(Sixteenth!D207="", "",Sixteenth!D207)</f>
        <v/>
      </c>
      <c r="E3954" s="66" t="str">
        <f>IF(Sixteenth!E207="", "",Sixteenth!E207)</f>
        <v/>
      </c>
      <c r="F3954" s="66" t="str">
        <f>IF(Sixteenth!F207="", "",Sixteenth!F207)</f>
        <v/>
      </c>
      <c r="G3954" s="66" t="str">
        <f>IF(Sixteenth!G207="", "",Sixteenth!G207)</f>
        <v/>
      </c>
      <c r="H3954" s="66" t="str">
        <f>IF(Sixteenth!H207="", "",Sixteenth!H207)</f>
        <v/>
      </c>
      <c r="I3954" s="66" t="str">
        <f>IF(Sixteenth!I207="", "",Sixteenth!I207)</f>
        <v/>
      </c>
      <c r="J3954" s="66" t="str">
        <f>IF(Sixteenth!J207="", "",Sixteenth!J207)</f>
        <v/>
      </c>
      <c r="K3954" s="86" t="str">
        <f>IF(Sixteenth!K207="", "",Sixteenth!K207)</f>
        <v/>
      </c>
      <c r="M3954" s="67" t="str">
        <f t="shared" si="185"/>
        <v/>
      </c>
      <c r="N3954" s="76" t="str">
        <f t="shared" si="186"/>
        <v/>
      </c>
      <c r="O3954" s="33">
        <f t="shared" si="184"/>
        <v>0</v>
      </c>
    </row>
    <row r="3955" spans="1:15" x14ac:dyDescent="0.25">
      <c r="A3955" s="64" t="s">
        <v>187</v>
      </c>
      <c r="B3955" s="79" t="str">
        <f>IF(Sixteenth!B208="", "",Sixteenth!B208)</f>
        <v/>
      </c>
      <c r="C3955" s="66" t="str">
        <f>IF(Sixteenth!C208="", "",Sixteenth!C208)</f>
        <v/>
      </c>
      <c r="D3955" s="66" t="str">
        <f>IF(Sixteenth!D208="", "",Sixteenth!D208)</f>
        <v/>
      </c>
      <c r="E3955" s="66" t="str">
        <f>IF(Sixteenth!E208="", "",Sixteenth!E208)</f>
        <v/>
      </c>
      <c r="F3955" s="66" t="str">
        <f>IF(Sixteenth!F208="", "",Sixteenth!F208)</f>
        <v/>
      </c>
      <c r="G3955" s="66" t="str">
        <f>IF(Sixteenth!G208="", "",Sixteenth!G208)</f>
        <v/>
      </c>
      <c r="H3955" s="66" t="str">
        <f>IF(Sixteenth!H208="", "",Sixteenth!H208)</f>
        <v/>
      </c>
      <c r="I3955" s="66" t="str">
        <f>IF(Sixteenth!I208="", "",Sixteenth!I208)</f>
        <v/>
      </c>
      <c r="J3955" s="66" t="str">
        <f>IF(Sixteenth!J208="", "",Sixteenth!J208)</f>
        <v/>
      </c>
      <c r="K3955" s="86" t="str">
        <f>IF(Sixteenth!K208="", "",Sixteenth!K208)</f>
        <v/>
      </c>
      <c r="M3955" s="67" t="str">
        <f t="shared" si="185"/>
        <v/>
      </c>
      <c r="N3955" s="76" t="str">
        <f t="shared" si="186"/>
        <v/>
      </c>
      <c r="O3955" s="33">
        <f t="shared" si="184"/>
        <v>0</v>
      </c>
    </row>
    <row r="3956" spans="1:15" x14ac:dyDescent="0.25">
      <c r="A3956" s="64" t="s">
        <v>187</v>
      </c>
      <c r="B3956" s="79" t="str">
        <f>IF(Sixteenth!B209="", "",Sixteenth!B209)</f>
        <v/>
      </c>
      <c r="C3956" s="66" t="str">
        <f>IF(Sixteenth!C209="", "",Sixteenth!C209)</f>
        <v/>
      </c>
      <c r="D3956" s="66" t="str">
        <f>IF(Sixteenth!D209="", "",Sixteenth!D209)</f>
        <v/>
      </c>
      <c r="E3956" s="66" t="str">
        <f>IF(Sixteenth!E209="", "",Sixteenth!E209)</f>
        <v/>
      </c>
      <c r="F3956" s="66" t="str">
        <f>IF(Sixteenth!F209="", "",Sixteenth!F209)</f>
        <v/>
      </c>
      <c r="G3956" s="66" t="str">
        <f>IF(Sixteenth!G209="", "",Sixteenth!G209)</f>
        <v/>
      </c>
      <c r="H3956" s="66" t="str">
        <f>IF(Sixteenth!H209="", "",Sixteenth!H209)</f>
        <v/>
      </c>
      <c r="I3956" s="66" t="str">
        <f>IF(Sixteenth!I209="", "",Sixteenth!I209)</f>
        <v/>
      </c>
      <c r="J3956" s="66" t="str">
        <f>IF(Sixteenth!J209="", "",Sixteenth!J209)</f>
        <v/>
      </c>
      <c r="K3956" s="86" t="str">
        <f>IF(Sixteenth!K209="", "",Sixteenth!K209)</f>
        <v/>
      </c>
      <c r="M3956" s="67" t="str">
        <f t="shared" si="185"/>
        <v/>
      </c>
      <c r="N3956" s="76" t="str">
        <f t="shared" si="186"/>
        <v/>
      </c>
      <c r="O3956" s="33">
        <f t="shared" si="184"/>
        <v>0</v>
      </c>
    </row>
    <row r="3957" spans="1:15" x14ac:dyDescent="0.25">
      <c r="A3957" s="64" t="s">
        <v>187</v>
      </c>
      <c r="B3957" s="79" t="str">
        <f>IF(Sixteenth!B210="", "",Sixteenth!B210)</f>
        <v/>
      </c>
      <c r="C3957" s="66" t="str">
        <f>IF(Sixteenth!C210="", "",Sixteenth!C210)</f>
        <v/>
      </c>
      <c r="D3957" s="66" t="str">
        <f>IF(Sixteenth!D210="", "",Sixteenth!D210)</f>
        <v/>
      </c>
      <c r="E3957" s="66" t="str">
        <f>IF(Sixteenth!E210="", "",Sixteenth!E210)</f>
        <v/>
      </c>
      <c r="F3957" s="66" t="str">
        <f>IF(Sixteenth!F210="", "",Sixteenth!F210)</f>
        <v/>
      </c>
      <c r="G3957" s="66" t="str">
        <f>IF(Sixteenth!G210="", "",Sixteenth!G210)</f>
        <v/>
      </c>
      <c r="H3957" s="66" t="str">
        <f>IF(Sixteenth!H210="", "",Sixteenth!H210)</f>
        <v/>
      </c>
      <c r="I3957" s="66" t="str">
        <f>IF(Sixteenth!I210="", "",Sixteenth!I210)</f>
        <v/>
      </c>
      <c r="J3957" s="66" t="str">
        <f>IF(Sixteenth!J210="", "",Sixteenth!J210)</f>
        <v/>
      </c>
      <c r="K3957" s="86" t="str">
        <f>IF(Sixteenth!K210="", "",Sixteenth!K210)</f>
        <v/>
      </c>
      <c r="M3957" s="67" t="str">
        <f t="shared" si="185"/>
        <v/>
      </c>
      <c r="N3957" s="76" t="str">
        <f t="shared" si="186"/>
        <v/>
      </c>
      <c r="O3957" s="33">
        <f t="shared" si="184"/>
        <v>0</v>
      </c>
    </row>
    <row r="3958" spans="1:15" x14ac:dyDescent="0.25">
      <c r="A3958" s="64" t="s">
        <v>187</v>
      </c>
      <c r="B3958" s="79" t="str">
        <f>IF(Sixteenth!B211="", "",Sixteenth!B211)</f>
        <v/>
      </c>
      <c r="C3958" s="66" t="str">
        <f>IF(Sixteenth!C211="", "",Sixteenth!C211)</f>
        <v/>
      </c>
      <c r="D3958" s="66" t="str">
        <f>IF(Sixteenth!D211="", "",Sixteenth!D211)</f>
        <v/>
      </c>
      <c r="E3958" s="66" t="str">
        <f>IF(Sixteenth!E211="", "",Sixteenth!E211)</f>
        <v/>
      </c>
      <c r="F3958" s="66" t="str">
        <f>IF(Sixteenth!F211="", "",Sixteenth!F211)</f>
        <v/>
      </c>
      <c r="G3958" s="66" t="str">
        <f>IF(Sixteenth!G211="", "",Sixteenth!G211)</f>
        <v/>
      </c>
      <c r="H3958" s="66" t="str">
        <f>IF(Sixteenth!H211="", "",Sixteenth!H211)</f>
        <v/>
      </c>
      <c r="I3958" s="66" t="str">
        <f>IF(Sixteenth!I211="", "",Sixteenth!I211)</f>
        <v/>
      </c>
      <c r="J3958" s="66" t="str">
        <f>IF(Sixteenth!J211="", "",Sixteenth!J211)</f>
        <v/>
      </c>
      <c r="K3958" s="86" t="str">
        <f>IF(Sixteenth!K211="", "",Sixteenth!K211)</f>
        <v/>
      </c>
      <c r="M3958" s="67" t="str">
        <f t="shared" si="185"/>
        <v/>
      </c>
      <c r="N3958" s="76" t="str">
        <f t="shared" si="186"/>
        <v/>
      </c>
      <c r="O3958" s="33">
        <f t="shared" si="184"/>
        <v>0</v>
      </c>
    </row>
    <row r="3959" spans="1:15" x14ac:dyDescent="0.25">
      <c r="A3959" s="64" t="s">
        <v>187</v>
      </c>
      <c r="B3959" s="79" t="str">
        <f>IF(Sixteenth!B212="", "",Sixteenth!B212)</f>
        <v/>
      </c>
      <c r="C3959" s="66" t="str">
        <f>IF(Sixteenth!C212="", "",Sixteenth!C212)</f>
        <v/>
      </c>
      <c r="D3959" s="66" t="str">
        <f>IF(Sixteenth!D212="", "",Sixteenth!D212)</f>
        <v/>
      </c>
      <c r="E3959" s="66" t="str">
        <f>IF(Sixteenth!E212="", "",Sixteenth!E212)</f>
        <v/>
      </c>
      <c r="F3959" s="66" t="str">
        <f>IF(Sixteenth!F212="", "",Sixteenth!F212)</f>
        <v/>
      </c>
      <c r="G3959" s="66" t="str">
        <f>IF(Sixteenth!G212="", "",Sixteenth!G212)</f>
        <v/>
      </c>
      <c r="H3959" s="66" t="str">
        <f>IF(Sixteenth!H212="", "",Sixteenth!H212)</f>
        <v/>
      </c>
      <c r="I3959" s="66" t="str">
        <f>IF(Sixteenth!I212="", "",Sixteenth!I212)</f>
        <v/>
      </c>
      <c r="J3959" s="66" t="str">
        <f>IF(Sixteenth!J212="", "",Sixteenth!J212)</f>
        <v/>
      </c>
      <c r="K3959" s="86" t="str">
        <f>IF(Sixteenth!K212="", "",Sixteenth!K212)</f>
        <v/>
      </c>
      <c r="M3959" s="67" t="str">
        <f t="shared" si="185"/>
        <v/>
      </c>
      <c r="N3959" s="76" t="str">
        <f t="shared" si="186"/>
        <v/>
      </c>
      <c r="O3959" s="33">
        <f t="shared" si="184"/>
        <v>0</v>
      </c>
    </row>
    <row r="3960" spans="1:15" x14ac:dyDescent="0.25">
      <c r="A3960" s="64" t="s">
        <v>187</v>
      </c>
      <c r="B3960" s="79" t="str">
        <f>IF(Sixteenth!B213="", "",Sixteenth!B213)</f>
        <v/>
      </c>
      <c r="C3960" s="66" t="str">
        <f>IF(Sixteenth!C213="", "",Sixteenth!C213)</f>
        <v/>
      </c>
      <c r="D3960" s="66" t="str">
        <f>IF(Sixteenth!D213="", "",Sixteenth!D213)</f>
        <v/>
      </c>
      <c r="E3960" s="66" t="str">
        <f>IF(Sixteenth!E213="", "",Sixteenth!E213)</f>
        <v/>
      </c>
      <c r="F3960" s="66" t="str">
        <f>IF(Sixteenth!F213="", "",Sixteenth!F213)</f>
        <v/>
      </c>
      <c r="G3960" s="66" t="str">
        <f>IF(Sixteenth!G213="", "",Sixteenth!G213)</f>
        <v/>
      </c>
      <c r="H3960" s="66" t="str">
        <f>IF(Sixteenth!H213="", "",Sixteenth!H213)</f>
        <v/>
      </c>
      <c r="I3960" s="66" t="str">
        <f>IF(Sixteenth!I213="", "",Sixteenth!I213)</f>
        <v/>
      </c>
      <c r="J3960" s="66" t="str">
        <f>IF(Sixteenth!J213="", "",Sixteenth!J213)</f>
        <v/>
      </c>
      <c r="K3960" s="86" t="str">
        <f>IF(Sixteenth!K213="", "",Sixteenth!K213)</f>
        <v/>
      </c>
      <c r="M3960" s="67" t="str">
        <f t="shared" si="185"/>
        <v/>
      </c>
      <c r="N3960" s="76" t="str">
        <f t="shared" si="186"/>
        <v/>
      </c>
      <c r="O3960" s="33">
        <f t="shared" si="184"/>
        <v>0</v>
      </c>
    </row>
    <row r="3961" spans="1:15" x14ac:dyDescent="0.25">
      <c r="A3961" s="64" t="s">
        <v>187</v>
      </c>
      <c r="B3961" s="79" t="str">
        <f>IF(Sixteenth!B214="", "",Sixteenth!B214)</f>
        <v/>
      </c>
      <c r="C3961" s="66" t="str">
        <f>IF(Sixteenth!C214="", "",Sixteenth!C214)</f>
        <v/>
      </c>
      <c r="D3961" s="66" t="str">
        <f>IF(Sixteenth!D214="", "",Sixteenth!D214)</f>
        <v/>
      </c>
      <c r="E3961" s="66" t="str">
        <f>IF(Sixteenth!E214="", "",Sixteenth!E214)</f>
        <v/>
      </c>
      <c r="F3961" s="66" t="str">
        <f>IF(Sixteenth!F214="", "",Sixteenth!F214)</f>
        <v/>
      </c>
      <c r="G3961" s="66" t="str">
        <f>IF(Sixteenth!G214="", "",Sixteenth!G214)</f>
        <v/>
      </c>
      <c r="H3961" s="66" t="str">
        <f>IF(Sixteenth!H214="", "",Sixteenth!H214)</f>
        <v/>
      </c>
      <c r="I3961" s="66" t="str">
        <f>IF(Sixteenth!I214="", "",Sixteenth!I214)</f>
        <v/>
      </c>
      <c r="J3961" s="66" t="str">
        <f>IF(Sixteenth!J214="", "",Sixteenth!J214)</f>
        <v/>
      </c>
      <c r="K3961" s="86" t="str">
        <f>IF(Sixteenth!K214="", "",Sixteenth!K214)</f>
        <v/>
      </c>
      <c r="M3961" s="67" t="str">
        <f t="shared" si="185"/>
        <v/>
      </c>
      <c r="N3961" s="76" t="str">
        <f t="shared" si="186"/>
        <v/>
      </c>
      <c r="O3961" s="33">
        <f t="shared" si="184"/>
        <v>0</v>
      </c>
    </row>
    <row r="3962" spans="1:15" x14ac:dyDescent="0.25">
      <c r="A3962" s="64" t="s">
        <v>187</v>
      </c>
      <c r="B3962" s="79" t="str">
        <f>IF(Sixteenth!B215="", "",Sixteenth!B215)</f>
        <v/>
      </c>
      <c r="C3962" s="66" t="str">
        <f>IF(Sixteenth!C215="", "",Sixteenth!C215)</f>
        <v/>
      </c>
      <c r="D3962" s="66" t="str">
        <f>IF(Sixteenth!D215="", "",Sixteenth!D215)</f>
        <v/>
      </c>
      <c r="E3962" s="66" t="str">
        <f>IF(Sixteenth!E215="", "",Sixteenth!E215)</f>
        <v/>
      </c>
      <c r="F3962" s="66" t="str">
        <f>IF(Sixteenth!F215="", "",Sixteenth!F215)</f>
        <v/>
      </c>
      <c r="G3962" s="66" t="str">
        <f>IF(Sixteenth!G215="", "",Sixteenth!G215)</f>
        <v/>
      </c>
      <c r="H3962" s="66" t="str">
        <f>IF(Sixteenth!H215="", "",Sixteenth!H215)</f>
        <v/>
      </c>
      <c r="I3962" s="66" t="str">
        <f>IF(Sixteenth!I215="", "",Sixteenth!I215)</f>
        <v/>
      </c>
      <c r="J3962" s="66" t="str">
        <f>IF(Sixteenth!J215="", "",Sixteenth!J215)</f>
        <v/>
      </c>
      <c r="K3962" s="86" t="str">
        <f>IF(Sixteenth!K215="", "",Sixteenth!K215)</f>
        <v/>
      </c>
      <c r="M3962" s="67" t="str">
        <f t="shared" si="185"/>
        <v/>
      </c>
      <c r="N3962" s="76" t="str">
        <f t="shared" si="186"/>
        <v/>
      </c>
      <c r="O3962" s="33">
        <f t="shared" si="184"/>
        <v>0</v>
      </c>
    </row>
    <row r="3963" spans="1:15" x14ac:dyDescent="0.25">
      <c r="A3963" s="64" t="s">
        <v>187</v>
      </c>
      <c r="B3963" s="79" t="str">
        <f>IF(Sixteenth!B216="", "",Sixteenth!B216)</f>
        <v/>
      </c>
      <c r="C3963" s="66" t="str">
        <f>IF(Sixteenth!C216="", "",Sixteenth!C216)</f>
        <v/>
      </c>
      <c r="D3963" s="66" t="str">
        <f>IF(Sixteenth!D216="", "",Sixteenth!D216)</f>
        <v/>
      </c>
      <c r="E3963" s="66" t="str">
        <f>IF(Sixteenth!E216="", "",Sixteenth!E216)</f>
        <v/>
      </c>
      <c r="F3963" s="66" t="str">
        <f>IF(Sixteenth!F216="", "",Sixteenth!F216)</f>
        <v/>
      </c>
      <c r="G3963" s="66" t="str">
        <f>IF(Sixteenth!G216="", "",Sixteenth!G216)</f>
        <v/>
      </c>
      <c r="H3963" s="66" t="str">
        <f>IF(Sixteenth!H216="", "",Sixteenth!H216)</f>
        <v/>
      </c>
      <c r="I3963" s="66" t="str">
        <f>IF(Sixteenth!I216="", "",Sixteenth!I216)</f>
        <v/>
      </c>
      <c r="J3963" s="66" t="str">
        <f>IF(Sixteenth!J216="", "",Sixteenth!J216)</f>
        <v/>
      </c>
      <c r="K3963" s="86" t="str">
        <f>IF(Sixteenth!K216="", "",Sixteenth!K216)</f>
        <v/>
      </c>
      <c r="M3963" s="67" t="str">
        <f t="shared" si="185"/>
        <v/>
      </c>
      <c r="N3963" s="76" t="str">
        <f t="shared" si="186"/>
        <v/>
      </c>
      <c r="O3963" s="33">
        <f t="shared" si="184"/>
        <v>0</v>
      </c>
    </row>
    <row r="3964" spans="1:15" x14ac:dyDescent="0.25">
      <c r="A3964" s="64" t="s">
        <v>187</v>
      </c>
      <c r="B3964" s="79" t="str">
        <f>IF(Sixteenth!B217="", "",Sixteenth!B217)</f>
        <v/>
      </c>
      <c r="C3964" s="66" t="str">
        <f>IF(Sixteenth!C217="", "",Sixteenth!C217)</f>
        <v/>
      </c>
      <c r="D3964" s="66" t="str">
        <f>IF(Sixteenth!D217="", "",Sixteenth!D217)</f>
        <v/>
      </c>
      <c r="E3964" s="66" t="str">
        <f>IF(Sixteenth!E217="", "",Sixteenth!E217)</f>
        <v/>
      </c>
      <c r="F3964" s="66" t="str">
        <f>IF(Sixteenth!F217="", "",Sixteenth!F217)</f>
        <v/>
      </c>
      <c r="G3964" s="66" t="str">
        <f>IF(Sixteenth!G217="", "",Sixteenth!G217)</f>
        <v/>
      </c>
      <c r="H3964" s="66" t="str">
        <f>IF(Sixteenth!H217="", "",Sixteenth!H217)</f>
        <v/>
      </c>
      <c r="I3964" s="66" t="str">
        <f>IF(Sixteenth!I217="", "",Sixteenth!I217)</f>
        <v/>
      </c>
      <c r="J3964" s="66" t="str">
        <f>IF(Sixteenth!J217="", "",Sixteenth!J217)</f>
        <v/>
      </c>
      <c r="K3964" s="86" t="str">
        <f>IF(Sixteenth!K217="", "",Sixteenth!K217)</f>
        <v/>
      </c>
      <c r="M3964" s="67" t="str">
        <f t="shared" si="185"/>
        <v/>
      </c>
      <c r="N3964" s="76" t="str">
        <f t="shared" si="186"/>
        <v/>
      </c>
      <c r="O3964" s="33">
        <f t="shared" si="184"/>
        <v>0</v>
      </c>
    </row>
    <row r="3965" spans="1:15" x14ac:dyDescent="0.25">
      <c r="A3965" s="64" t="s">
        <v>187</v>
      </c>
      <c r="B3965" s="79" t="str">
        <f>IF(Sixteenth!B218="", "",Sixteenth!B218)</f>
        <v/>
      </c>
      <c r="C3965" s="66" t="str">
        <f>IF(Sixteenth!C218="", "",Sixteenth!C218)</f>
        <v/>
      </c>
      <c r="D3965" s="66" t="str">
        <f>IF(Sixteenth!D218="", "",Sixteenth!D218)</f>
        <v/>
      </c>
      <c r="E3965" s="66" t="str">
        <f>IF(Sixteenth!E218="", "",Sixteenth!E218)</f>
        <v/>
      </c>
      <c r="F3965" s="66" t="str">
        <f>IF(Sixteenth!F218="", "",Sixteenth!F218)</f>
        <v/>
      </c>
      <c r="G3965" s="66" t="str">
        <f>IF(Sixteenth!G218="", "",Sixteenth!G218)</f>
        <v/>
      </c>
      <c r="H3965" s="66" t="str">
        <f>IF(Sixteenth!H218="", "",Sixteenth!H218)</f>
        <v/>
      </c>
      <c r="I3965" s="66" t="str">
        <f>IF(Sixteenth!I218="", "",Sixteenth!I218)</f>
        <v/>
      </c>
      <c r="J3965" s="66" t="str">
        <f>IF(Sixteenth!J218="", "",Sixteenth!J218)</f>
        <v/>
      </c>
      <c r="K3965" s="86" t="str">
        <f>IF(Sixteenth!K218="", "",Sixteenth!K218)</f>
        <v/>
      </c>
      <c r="M3965" s="67" t="str">
        <f t="shared" si="185"/>
        <v/>
      </c>
      <c r="N3965" s="76" t="str">
        <f t="shared" si="186"/>
        <v/>
      </c>
      <c r="O3965" s="33">
        <f t="shared" si="184"/>
        <v>0</v>
      </c>
    </row>
    <row r="3966" spans="1:15" x14ac:dyDescent="0.25">
      <c r="A3966" s="64" t="s">
        <v>187</v>
      </c>
      <c r="B3966" s="79" t="str">
        <f>IF(Sixteenth!B219="", "",Sixteenth!B219)</f>
        <v/>
      </c>
      <c r="C3966" s="66" t="str">
        <f>IF(Sixteenth!C219="", "",Sixteenth!C219)</f>
        <v/>
      </c>
      <c r="D3966" s="66" t="str">
        <f>IF(Sixteenth!D219="", "",Sixteenth!D219)</f>
        <v/>
      </c>
      <c r="E3966" s="66" t="str">
        <f>IF(Sixteenth!E219="", "",Sixteenth!E219)</f>
        <v/>
      </c>
      <c r="F3966" s="66" t="str">
        <f>IF(Sixteenth!F219="", "",Sixteenth!F219)</f>
        <v/>
      </c>
      <c r="G3966" s="66" t="str">
        <f>IF(Sixteenth!G219="", "",Sixteenth!G219)</f>
        <v/>
      </c>
      <c r="H3966" s="66" t="str">
        <f>IF(Sixteenth!H219="", "",Sixteenth!H219)</f>
        <v/>
      </c>
      <c r="I3966" s="66" t="str">
        <f>IF(Sixteenth!I219="", "",Sixteenth!I219)</f>
        <v/>
      </c>
      <c r="J3966" s="66" t="str">
        <f>IF(Sixteenth!J219="", "",Sixteenth!J219)</f>
        <v/>
      </c>
      <c r="K3966" s="86" t="str">
        <f>IF(Sixteenth!K219="", "",Sixteenth!K219)</f>
        <v/>
      </c>
      <c r="M3966" s="67" t="str">
        <f t="shared" si="185"/>
        <v/>
      </c>
      <c r="N3966" s="76" t="str">
        <f t="shared" si="186"/>
        <v/>
      </c>
      <c r="O3966" s="33">
        <f t="shared" si="184"/>
        <v>0</v>
      </c>
    </row>
    <row r="3967" spans="1:15" x14ac:dyDescent="0.25">
      <c r="A3967" s="64" t="s">
        <v>187</v>
      </c>
      <c r="B3967" s="79" t="str">
        <f>IF(Sixteenth!B220="", "",Sixteenth!B220)</f>
        <v/>
      </c>
      <c r="C3967" s="66" t="str">
        <f>IF(Sixteenth!C220="", "",Sixteenth!C220)</f>
        <v/>
      </c>
      <c r="D3967" s="66" t="str">
        <f>IF(Sixteenth!D220="", "",Sixteenth!D220)</f>
        <v/>
      </c>
      <c r="E3967" s="66" t="str">
        <f>IF(Sixteenth!E220="", "",Sixteenth!E220)</f>
        <v/>
      </c>
      <c r="F3967" s="66" t="str">
        <f>IF(Sixteenth!F220="", "",Sixteenth!F220)</f>
        <v/>
      </c>
      <c r="G3967" s="66" t="str">
        <f>IF(Sixteenth!G220="", "",Sixteenth!G220)</f>
        <v/>
      </c>
      <c r="H3967" s="66" t="str">
        <f>IF(Sixteenth!H220="", "",Sixteenth!H220)</f>
        <v/>
      </c>
      <c r="I3967" s="66" t="str">
        <f>IF(Sixteenth!I220="", "",Sixteenth!I220)</f>
        <v/>
      </c>
      <c r="J3967" s="66" t="str">
        <f>IF(Sixteenth!J220="", "",Sixteenth!J220)</f>
        <v/>
      </c>
      <c r="K3967" s="86" t="str">
        <f>IF(Sixteenth!K220="", "",Sixteenth!K220)</f>
        <v/>
      </c>
      <c r="M3967" s="67" t="str">
        <f t="shared" si="185"/>
        <v/>
      </c>
      <c r="N3967" s="76" t="str">
        <f t="shared" si="186"/>
        <v/>
      </c>
      <c r="O3967" s="33">
        <f t="shared" si="184"/>
        <v>0</v>
      </c>
    </row>
    <row r="3968" spans="1:15" x14ac:dyDescent="0.25">
      <c r="A3968" s="64" t="s">
        <v>187</v>
      </c>
      <c r="B3968" s="79" t="str">
        <f>IF(Sixteenth!B221="", "",Sixteenth!B221)</f>
        <v/>
      </c>
      <c r="C3968" s="66" t="str">
        <f>IF(Sixteenth!C221="", "",Sixteenth!C221)</f>
        <v/>
      </c>
      <c r="D3968" s="66" t="str">
        <f>IF(Sixteenth!D221="", "",Sixteenth!D221)</f>
        <v/>
      </c>
      <c r="E3968" s="66" t="str">
        <f>IF(Sixteenth!E221="", "",Sixteenth!E221)</f>
        <v/>
      </c>
      <c r="F3968" s="66" t="str">
        <f>IF(Sixteenth!F221="", "",Sixteenth!F221)</f>
        <v/>
      </c>
      <c r="G3968" s="66" t="str">
        <f>IF(Sixteenth!G221="", "",Sixteenth!G221)</f>
        <v/>
      </c>
      <c r="H3968" s="66" t="str">
        <f>IF(Sixteenth!H221="", "",Sixteenth!H221)</f>
        <v/>
      </c>
      <c r="I3968" s="66" t="str">
        <f>IF(Sixteenth!I221="", "",Sixteenth!I221)</f>
        <v/>
      </c>
      <c r="J3968" s="66" t="str">
        <f>IF(Sixteenth!J221="", "",Sixteenth!J221)</f>
        <v/>
      </c>
      <c r="K3968" s="86" t="str">
        <f>IF(Sixteenth!K221="", "",Sixteenth!K221)</f>
        <v/>
      </c>
      <c r="M3968" s="67" t="str">
        <f t="shared" si="185"/>
        <v/>
      </c>
      <c r="N3968" s="76" t="str">
        <f t="shared" si="186"/>
        <v/>
      </c>
      <c r="O3968" s="33">
        <f t="shared" si="184"/>
        <v>0</v>
      </c>
    </row>
    <row r="3969" spans="1:15" x14ac:dyDescent="0.25">
      <c r="A3969" s="64" t="s">
        <v>187</v>
      </c>
      <c r="B3969" s="79" t="str">
        <f>IF(Sixteenth!B222="", "",Sixteenth!B222)</f>
        <v/>
      </c>
      <c r="C3969" s="66" t="str">
        <f>IF(Sixteenth!C222="", "",Sixteenth!C222)</f>
        <v/>
      </c>
      <c r="D3969" s="66" t="str">
        <f>IF(Sixteenth!D222="", "",Sixteenth!D222)</f>
        <v/>
      </c>
      <c r="E3969" s="66" t="str">
        <f>IF(Sixteenth!E222="", "",Sixteenth!E222)</f>
        <v/>
      </c>
      <c r="F3969" s="66" t="str">
        <f>IF(Sixteenth!F222="", "",Sixteenth!F222)</f>
        <v/>
      </c>
      <c r="G3969" s="66" t="str">
        <f>IF(Sixteenth!G222="", "",Sixteenth!G222)</f>
        <v/>
      </c>
      <c r="H3969" s="66" t="str">
        <f>IF(Sixteenth!H222="", "",Sixteenth!H222)</f>
        <v/>
      </c>
      <c r="I3969" s="66" t="str">
        <f>IF(Sixteenth!I222="", "",Sixteenth!I222)</f>
        <v/>
      </c>
      <c r="J3969" s="66" t="str">
        <f>IF(Sixteenth!J222="", "",Sixteenth!J222)</f>
        <v/>
      </c>
      <c r="K3969" s="86" t="str">
        <f>IF(Sixteenth!K222="", "",Sixteenth!K222)</f>
        <v/>
      </c>
      <c r="M3969" s="67" t="str">
        <f t="shared" si="185"/>
        <v/>
      </c>
      <c r="N3969" s="76" t="str">
        <f t="shared" si="186"/>
        <v/>
      </c>
      <c r="O3969" s="33">
        <f t="shared" si="184"/>
        <v>0</v>
      </c>
    </row>
    <row r="3970" spans="1:15" x14ac:dyDescent="0.25">
      <c r="A3970" s="64" t="s">
        <v>187</v>
      </c>
      <c r="B3970" s="79" t="str">
        <f>IF(Sixteenth!B223="", "",Sixteenth!B223)</f>
        <v/>
      </c>
      <c r="C3970" s="66" t="str">
        <f>IF(Sixteenth!C223="", "",Sixteenth!C223)</f>
        <v/>
      </c>
      <c r="D3970" s="66" t="str">
        <f>IF(Sixteenth!D223="", "",Sixteenth!D223)</f>
        <v/>
      </c>
      <c r="E3970" s="66" t="str">
        <f>IF(Sixteenth!E223="", "",Sixteenth!E223)</f>
        <v/>
      </c>
      <c r="F3970" s="66" t="str">
        <f>IF(Sixteenth!F223="", "",Sixteenth!F223)</f>
        <v/>
      </c>
      <c r="G3970" s="66" t="str">
        <f>IF(Sixteenth!G223="", "",Sixteenth!G223)</f>
        <v/>
      </c>
      <c r="H3970" s="66" t="str">
        <f>IF(Sixteenth!H223="", "",Sixteenth!H223)</f>
        <v/>
      </c>
      <c r="I3970" s="66" t="str">
        <f>IF(Sixteenth!I223="", "",Sixteenth!I223)</f>
        <v/>
      </c>
      <c r="J3970" s="66" t="str">
        <f>IF(Sixteenth!J223="", "",Sixteenth!J223)</f>
        <v/>
      </c>
      <c r="K3970" s="86" t="str">
        <f>IF(Sixteenth!K223="", "",Sixteenth!K223)</f>
        <v/>
      </c>
      <c r="M3970" s="67" t="str">
        <f t="shared" si="185"/>
        <v/>
      </c>
      <c r="N3970" s="76" t="str">
        <f t="shared" si="186"/>
        <v/>
      </c>
      <c r="O3970" s="33">
        <f t="shared" ref="O3970:O4033" si="187">SUM(M3970:N3970)</f>
        <v>0</v>
      </c>
    </row>
    <row r="3971" spans="1:15" x14ac:dyDescent="0.25">
      <c r="A3971" s="64" t="s">
        <v>187</v>
      </c>
      <c r="B3971" s="79" t="str">
        <f>IF(Sixteenth!B224="", "",Sixteenth!B224)</f>
        <v/>
      </c>
      <c r="C3971" s="66" t="str">
        <f>IF(Sixteenth!C224="", "",Sixteenth!C224)</f>
        <v/>
      </c>
      <c r="D3971" s="66" t="str">
        <f>IF(Sixteenth!D224="", "",Sixteenth!D224)</f>
        <v/>
      </c>
      <c r="E3971" s="66" t="str">
        <f>IF(Sixteenth!E224="", "",Sixteenth!E224)</f>
        <v/>
      </c>
      <c r="F3971" s="66" t="str">
        <f>IF(Sixteenth!F224="", "",Sixteenth!F224)</f>
        <v/>
      </c>
      <c r="G3971" s="66" t="str">
        <f>IF(Sixteenth!G224="", "",Sixteenth!G224)</f>
        <v/>
      </c>
      <c r="H3971" s="66" t="str">
        <f>IF(Sixteenth!H224="", "",Sixteenth!H224)</f>
        <v/>
      </c>
      <c r="I3971" s="66" t="str">
        <f>IF(Sixteenth!I224="", "",Sixteenth!I224)</f>
        <v/>
      </c>
      <c r="J3971" s="66" t="str">
        <f>IF(Sixteenth!J224="", "",Sixteenth!J224)</f>
        <v/>
      </c>
      <c r="K3971" s="86" t="str">
        <f>IF(Sixteenth!K224="", "",Sixteenth!K224)</f>
        <v/>
      </c>
      <c r="M3971" s="67" t="str">
        <f t="shared" ref="M3971:M4034" si="188">IF(C3971="PwC",(7-COUNTIF(B3971:H3971,"")),"")</f>
        <v/>
      </c>
      <c r="N3971" s="76" t="str">
        <f t="shared" ref="N3971:N4034" si="189">IF(C3971="Carer",(7-COUNTIF(B3971:H3971,"")),"")</f>
        <v/>
      </c>
      <c r="O3971" s="33">
        <f t="shared" si="187"/>
        <v>0</v>
      </c>
    </row>
    <row r="3972" spans="1:15" x14ac:dyDescent="0.25">
      <c r="A3972" s="64" t="s">
        <v>187</v>
      </c>
      <c r="B3972" s="79" t="str">
        <f>IF(Sixteenth!B225="", "",Sixteenth!B225)</f>
        <v/>
      </c>
      <c r="C3972" s="66" t="str">
        <f>IF(Sixteenth!C225="", "",Sixteenth!C225)</f>
        <v/>
      </c>
      <c r="D3972" s="66" t="str">
        <f>IF(Sixteenth!D225="", "",Sixteenth!D225)</f>
        <v/>
      </c>
      <c r="E3972" s="66" t="str">
        <f>IF(Sixteenth!E225="", "",Sixteenth!E225)</f>
        <v/>
      </c>
      <c r="F3972" s="66" t="str">
        <f>IF(Sixteenth!F225="", "",Sixteenth!F225)</f>
        <v/>
      </c>
      <c r="G3972" s="66" t="str">
        <f>IF(Sixteenth!G225="", "",Sixteenth!G225)</f>
        <v/>
      </c>
      <c r="H3972" s="66" t="str">
        <f>IF(Sixteenth!H225="", "",Sixteenth!H225)</f>
        <v/>
      </c>
      <c r="I3972" s="66" t="str">
        <f>IF(Sixteenth!I225="", "",Sixteenth!I225)</f>
        <v/>
      </c>
      <c r="J3972" s="66" t="str">
        <f>IF(Sixteenth!J225="", "",Sixteenth!J225)</f>
        <v/>
      </c>
      <c r="K3972" s="86" t="str">
        <f>IF(Sixteenth!K225="", "",Sixteenth!K225)</f>
        <v/>
      </c>
      <c r="M3972" s="67" t="str">
        <f t="shared" si="188"/>
        <v/>
      </c>
      <c r="N3972" s="76" t="str">
        <f t="shared" si="189"/>
        <v/>
      </c>
      <c r="O3972" s="33">
        <f t="shared" si="187"/>
        <v>0</v>
      </c>
    </row>
    <row r="3973" spans="1:15" x14ac:dyDescent="0.25">
      <c r="A3973" s="64" t="s">
        <v>187</v>
      </c>
      <c r="B3973" s="79" t="str">
        <f>IF(Sixteenth!B226="", "",Sixteenth!B226)</f>
        <v/>
      </c>
      <c r="C3973" s="66" t="str">
        <f>IF(Sixteenth!C226="", "",Sixteenth!C226)</f>
        <v/>
      </c>
      <c r="D3973" s="66" t="str">
        <f>IF(Sixteenth!D226="", "",Sixteenth!D226)</f>
        <v/>
      </c>
      <c r="E3973" s="66" t="str">
        <f>IF(Sixteenth!E226="", "",Sixteenth!E226)</f>
        <v/>
      </c>
      <c r="F3973" s="66" t="str">
        <f>IF(Sixteenth!F226="", "",Sixteenth!F226)</f>
        <v/>
      </c>
      <c r="G3973" s="66" t="str">
        <f>IF(Sixteenth!G226="", "",Sixteenth!G226)</f>
        <v/>
      </c>
      <c r="H3973" s="66" t="str">
        <f>IF(Sixteenth!H226="", "",Sixteenth!H226)</f>
        <v/>
      </c>
      <c r="I3973" s="66" t="str">
        <f>IF(Sixteenth!I226="", "",Sixteenth!I226)</f>
        <v/>
      </c>
      <c r="J3973" s="66" t="str">
        <f>IF(Sixteenth!J226="", "",Sixteenth!J226)</f>
        <v/>
      </c>
      <c r="K3973" s="86" t="str">
        <f>IF(Sixteenth!K226="", "",Sixteenth!K226)</f>
        <v/>
      </c>
      <c r="M3973" s="67" t="str">
        <f t="shared" si="188"/>
        <v/>
      </c>
      <c r="N3973" s="76" t="str">
        <f t="shared" si="189"/>
        <v/>
      </c>
      <c r="O3973" s="33">
        <f t="shared" si="187"/>
        <v>0</v>
      </c>
    </row>
    <row r="3974" spans="1:15" x14ac:dyDescent="0.25">
      <c r="A3974" s="64" t="s">
        <v>187</v>
      </c>
      <c r="B3974" s="79" t="str">
        <f>IF(Sixteenth!B227="", "",Sixteenth!B227)</f>
        <v/>
      </c>
      <c r="C3974" s="66" t="str">
        <f>IF(Sixteenth!C227="", "",Sixteenth!C227)</f>
        <v/>
      </c>
      <c r="D3974" s="66" t="str">
        <f>IF(Sixteenth!D227="", "",Sixteenth!D227)</f>
        <v/>
      </c>
      <c r="E3974" s="66" t="str">
        <f>IF(Sixteenth!E227="", "",Sixteenth!E227)</f>
        <v/>
      </c>
      <c r="F3974" s="66" t="str">
        <f>IF(Sixteenth!F227="", "",Sixteenth!F227)</f>
        <v/>
      </c>
      <c r="G3974" s="66" t="str">
        <f>IF(Sixteenth!G227="", "",Sixteenth!G227)</f>
        <v/>
      </c>
      <c r="H3974" s="66" t="str">
        <f>IF(Sixteenth!H227="", "",Sixteenth!H227)</f>
        <v/>
      </c>
      <c r="I3974" s="66" t="str">
        <f>IF(Sixteenth!I227="", "",Sixteenth!I227)</f>
        <v/>
      </c>
      <c r="J3974" s="66" t="str">
        <f>IF(Sixteenth!J227="", "",Sixteenth!J227)</f>
        <v/>
      </c>
      <c r="K3974" s="86" t="str">
        <f>IF(Sixteenth!K227="", "",Sixteenth!K227)</f>
        <v/>
      </c>
      <c r="M3974" s="67" t="str">
        <f t="shared" si="188"/>
        <v/>
      </c>
      <c r="N3974" s="76" t="str">
        <f t="shared" si="189"/>
        <v/>
      </c>
      <c r="O3974" s="33">
        <f t="shared" si="187"/>
        <v>0</v>
      </c>
    </row>
    <row r="3975" spans="1:15" x14ac:dyDescent="0.25">
      <c r="A3975" s="64" t="s">
        <v>187</v>
      </c>
      <c r="B3975" s="79" t="str">
        <f>IF(Sixteenth!B228="", "",Sixteenth!B228)</f>
        <v/>
      </c>
      <c r="C3975" s="66" t="str">
        <f>IF(Sixteenth!C228="", "",Sixteenth!C228)</f>
        <v/>
      </c>
      <c r="D3975" s="66" t="str">
        <f>IF(Sixteenth!D228="", "",Sixteenth!D228)</f>
        <v/>
      </c>
      <c r="E3975" s="66" t="str">
        <f>IF(Sixteenth!E228="", "",Sixteenth!E228)</f>
        <v/>
      </c>
      <c r="F3975" s="66" t="str">
        <f>IF(Sixteenth!F228="", "",Sixteenth!F228)</f>
        <v/>
      </c>
      <c r="G3975" s="66" t="str">
        <f>IF(Sixteenth!G228="", "",Sixteenth!G228)</f>
        <v/>
      </c>
      <c r="H3975" s="66" t="str">
        <f>IF(Sixteenth!H228="", "",Sixteenth!H228)</f>
        <v/>
      </c>
      <c r="I3975" s="66" t="str">
        <f>IF(Sixteenth!I228="", "",Sixteenth!I228)</f>
        <v/>
      </c>
      <c r="J3975" s="66" t="str">
        <f>IF(Sixteenth!J228="", "",Sixteenth!J228)</f>
        <v/>
      </c>
      <c r="K3975" s="86" t="str">
        <f>IF(Sixteenth!K228="", "",Sixteenth!K228)</f>
        <v/>
      </c>
      <c r="M3975" s="67" t="str">
        <f t="shared" si="188"/>
        <v/>
      </c>
      <c r="N3975" s="76" t="str">
        <f t="shared" si="189"/>
        <v/>
      </c>
      <c r="O3975" s="33">
        <f t="shared" si="187"/>
        <v>0</v>
      </c>
    </row>
    <row r="3976" spans="1:15" x14ac:dyDescent="0.25">
      <c r="A3976" s="64" t="s">
        <v>187</v>
      </c>
      <c r="B3976" s="79" t="str">
        <f>IF(Sixteenth!B229="", "",Sixteenth!B229)</f>
        <v/>
      </c>
      <c r="C3976" s="66" t="str">
        <f>IF(Sixteenth!C229="", "",Sixteenth!C229)</f>
        <v/>
      </c>
      <c r="D3976" s="66" t="str">
        <f>IF(Sixteenth!D229="", "",Sixteenth!D229)</f>
        <v/>
      </c>
      <c r="E3976" s="66" t="str">
        <f>IF(Sixteenth!E229="", "",Sixteenth!E229)</f>
        <v/>
      </c>
      <c r="F3976" s="66" t="str">
        <f>IF(Sixteenth!F229="", "",Sixteenth!F229)</f>
        <v/>
      </c>
      <c r="G3976" s="66" t="str">
        <f>IF(Sixteenth!G229="", "",Sixteenth!G229)</f>
        <v/>
      </c>
      <c r="H3976" s="66" t="str">
        <f>IF(Sixteenth!H229="", "",Sixteenth!H229)</f>
        <v/>
      </c>
      <c r="I3976" s="66" t="str">
        <f>IF(Sixteenth!I229="", "",Sixteenth!I229)</f>
        <v/>
      </c>
      <c r="J3976" s="66" t="str">
        <f>IF(Sixteenth!J229="", "",Sixteenth!J229)</f>
        <v/>
      </c>
      <c r="K3976" s="86" t="str">
        <f>IF(Sixteenth!K229="", "",Sixteenth!K229)</f>
        <v/>
      </c>
      <c r="M3976" s="67" t="str">
        <f t="shared" si="188"/>
        <v/>
      </c>
      <c r="N3976" s="76" t="str">
        <f t="shared" si="189"/>
        <v/>
      </c>
      <c r="O3976" s="33">
        <f t="shared" si="187"/>
        <v>0</v>
      </c>
    </row>
    <row r="3977" spans="1:15" x14ac:dyDescent="0.25">
      <c r="A3977" s="64" t="s">
        <v>187</v>
      </c>
      <c r="B3977" s="79" t="str">
        <f>IF(Sixteenth!B230="", "",Sixteenth!B230)</f>
        <v/>
      </c>
      <c r="C3977" s="66" t="str">
        <f>IF(Sixteenth!C230="", "",Sixteenth!C230)</f>
        <v/>
      </c>
      <c r="D3977" s="66" t="str">
        <f>IF(Sixteenth!D230="", "",Sixteenth!D230)</f>
        <v/>
      </c>
      <c r="E3977" s="66" t="str">
        <f>IF(Sixteenth!E230="", "",Sixteenth!E230)</f>
        <v/>
      </c>
      <c r="F3977" s="66" t="str">
        <f>IF(Sixteenth!F230="", "",Sixteenth!F230)</f>
        <v/>
      </c>
      <c r="G3977" s="66" t="str">
        <f>IF(Sixteenth!G230="", "",Sixteenth!G230)</f>
        <v/>
      </c>
      <c r="H3977" s="66" t="str">
        <f>IF(Sixteenth!H230="", "",Sixteenth!H230)</f>
        <v/>
      </c>
      <c r="I3977" s="66" t="str">
        <f>IF(Sixteenth!I230="", "",Sixteenth!I230)</f>
        <v/>
      </c>
      <c r="J3977" s="66" t="str">
        <f>IF(Sixteenth!J230="", "",Sixteenth!J230)</f>
        <v/>
      </c>
      <c r="K3977" s="86" t="str">
        <f>IF(Sixteenth!K230="", "",Sixteenth!K230)</f>
        <v/>
      </c>
      <c r="M3977" s="67" t="str">
        <f t="shared" si="188"/>
        <v/>
      </c>
      <c r="N3977" s="76" t="str">
        <f t="shared" si="189"/>
        <v/>
      </c>
      <c r="O3977" s="33">
        <f t="shared" si="187"/>
        <v>0</v>
      </c>
    </row>
    <row r="3978" spans="1:15" x14ac:dyDescent="0.25">
      <c r="A3978" s="64" t="s">
        <v>187</v>
      </c>
      <c r="B3978" s="79" t="str">
        <f>IF(Sixteenth!B231="", "",Sixteenth!B231)</f>
        <v/>
      </c>
      <c r="C3978" s="66" t="str">
        <f>IF(Sixteenth!C231="", "",Sixteenth!C231)</f>
        <v/>
      </c>
      <c r="D3978" s="66" t="str">
        <f>IF(Sixteenth!D231="", "",Sixteenth!D231)</f>
        <v/>
      </c>
      <c r="E3978" s="66" t="str">
        <f>IF(Sixteenth!E231="", "",Sixteenth!E231)</f>
        <v/>
      </c>
      <c r="F3978" s="66" t="str">
        <f>IF(Sixteenth!F231="", "",Sixteenth!F231)</f>
        <v/>
      </c>
      <c r="G3978" s="66" t="str">
        <f>IF(Sixteenth!G231="", "",Sixteenth!G231)</f>
        <v/>
      </c>
      <c r="H3978" s="66" t="str">
        <f>IF(Sixteenth!H231="", "",Sixteenth!H231)</f>
        <v/>
      </c>
      <c r="I3978" s="66" t="str">
        <f>IF(Sixteenth!I231="", "",Sixteenth!I231)</f>
        <v/>
      </c>
      <c r="J3978" s="66" t="str">
        <f>IF(Sixteenth!J231="", "",Sixteenth!J231)</f>
        <v/>
      </c>
      <c r="K3978" s="86" t="str">
        <f>IF(Sixteenth!K231="", "",Sixteenth!K231)</f>
        <v/>
      </c>
      <c r="M3978" s="67" t="str">
        <f t="shared" si="188"/>
        <v/>
      </c>
      <c r="N3978" s="76" t="str">
        <f t="shared" si="189"/>
        <v/>
      </c>
      <c r="O3978" s="33">
        <f t="shared" si="187"/>
        <v>0</v>
      </c>
    </row>
    <row r="3979" spans="1:15" x14ac:dyDescent="0.25">
      <c r="A3979" s="64" t="s">
        <v>187</v>
      </c>
      <c r="B3979" s="79" t="str">
        <f>IF(Sixteenth!B232="", "",Sixteenth!B232)</f>
        <v/>
      </c>
      <c r="C3979" s="66" t="str">
        <f>IF(Sixteenth!C232="", "",Sixteenth!C232)</f>
        <v/>
      </c>
      <c r="D3979" s="66" t="str">
        <f>IF(Sixteenth!D232="", "",Sixteenth!D232)</f>
        <v/>
      </c>
      <c r="E3979" s="66" t="str">
        <f>IF(Sixteenth!E232="", "",Sixteenth!E232)</f>
        <v/>
      </c>
      <c r="F3979" s="66" t="str">
        <f>IF(Sixteenth!F232="", "",Sixteenth!F232)</f>
        <v/>
      </c>
      <c r="G3979" s="66" t="str">
        <f>IF(Sixteenth!G232="", "",Sixteenth!G232)</f>
        <v/>
      </c>
      <c r="H3979" s="66" t="str">
        <f>IF(Sixteenth!H232="", "",Sixteenth!H232)</f>
        <v/>
      </c>
      <c r="I3979" s="66" t="str">
        <f>IF(Sixteenth!I232="", "",Sixteenth!I232)</f>
        <v/>
      </c>
      <c r="J3979" s="66" t="str">
        <f>IF(Sixteenth!J232="", "",Sixteenth!J232)</f>
        <v/>
      </c>
      <c r="K3979" s="86" t="str">
        <f>IF(Sixteenth!K232="", "",Sixteenth!K232)</f>
        <v/>
      </c>
      <c r="M3979" s="67" t="str">
        <f t="shared" si="188"/>
        <v/>
      </c>
      <c r="N3979" s="76" t="str">
        <f t="shared" si="189"/>
        <v/>
      </c>
      <c r="O3979" s="33">
        <f t="shared" si="187"/>
        <v>0</v>
      </c>
    </row>
    <row r="3980" spans="1:15" x14ac:dyDescent="0.25">
      <c r="A3980" s="64" t="s">
        <v>187</v>
      </c>
      <c r="B3980" s="79" t="str">
        <f>IF(Sixteenth!B233="", "",Sixteenth!B233)</f>
        <v/>
      </c>
      <c r="C3980" s="66" t="str">
        <f>IF(Sixteenth!C233="", "",Sixteenth!C233)</f>
        <v/>
      </c>
      <c r="D3980" s="66" t="str">
        <f>IF(Sixteenth!D233="", "",Sixteenth!D233)</f>
        <v/>
      </c>
      <c r="E3980" s="66" t="str">
        <f>IF(Sixteenth!E233="", "",Sixteenth!E233)</f>
        <v/>
      </c>
      <c r="F3980" s="66" t="str">
        <f>IF(Sixteenth!F233="", "",Sixteenth!F233)</f>
        <v/>
      </c>
      <c r="G3980" s="66" t="str">
        <f>IF(Sixteenth!G233="", "",Sixteenth!G233)</f>
        <v/>
      </c>
      <c r="H3980" s="66" t="str">
        <f>IF(Sixteenth!H233="", "",Sixteenth!H233)</f>
        <v/>
      </c>
      <c r="I3980" s="66" t="str">
        <f>IF(Sixteenth!I233="", "",Sixteenth!I233)</f>
        <v/>
      </c>
      <c r="J3980" s="66" t="str">
        <f>IF(Sixteenth!J233="", "",Sixteenth!J233)</f>
        <v/>
      </c>
      <c r="K3980" s="86" t="str">
        <f>IF(Sixteenth!K233="", "",Sixteenth!K233)</f>
        <v/>
      </c>
      <c r="M3980" s="67" t="str">
        <f t="shared" si="188"/>
        <v/>
      </c>
      <c r="N3980" s="76" t="str">
        <f t="shared" si="189"/>
        <v/>
      </c>
      <c r="O3980" s="33">
        <f t="shared" si="187"/>
        <v>0</v>
      </c>
    </row>
    <row r="3981" spans="1:15" x14ac:dyDescent="0.25">
      <c r="A3981" s="64" t="s">
        <v>187</v>
      </c>
      <c r="B3981" s="79" t="str">
        <f>IF(Sixteenth!B234="", "",Sixteenth!B234)</f>
        <v/>
      </c>
      <c r="C3981" s="66" t="str">
        <f>IF(Sixteenth!C234="", "",Sixteenth!C234)</f>
        <v/>
      </c>
      <c r="D3981" s="66" t="str">
        <f>IF(Sixteenth!D234="", "",Sixteenth!D234)</f>
        <v/>
      </c>
      <c r="E3981" s="66" t="str">
        <f>IF(Sixteenth!E234="", "",Sixteenth!E234)</f>
        <v/>
      </c>
      <c r="F3981" s="66" t="str">
        <f>IF(Sixteenth!F234="", "",Sixteenth!F234)</f>
        <v/>
      </c>
      <c r="G3981" s="66" t="str">
        <f>IF(Sixteenth!G234="", "",Sixteenth!G234)</f>
        <v/>
      </c>
      <c r="H3981" s="66" t="str">
        <f>IF(Sixteenth!H234="", "",Sixteenth!H234)</f>
        <v/>
      </c>
      <c r="I3981" s="66" t="str">
        <f>IF(Sixteenth!I234="", "",Sixteenth!I234)</f>
        <v/>
      </c>
      <c r="J3981" s="66" t="str">
        <f>IF(Sixteenth!J234="", "",Sixteenth!J234)</f>
        <v/>
      </c>
      <c r="K3981" s="86" t="str">
        <f>IF(Sixteenth!K234="", "",Sixteenth!K234)</f>
        <v/>
      </c>
      <c r="M3981" s="67" t="str">
        <f t="shared" si="188"/>
        <v/>
      </c>
      <c r="N3981" s="76" t="str">
        <f t="shared" si="189"/>
        <v/>
      </c>
      <c r="O3981" s="33">
        <f t="shared" si="187"/>
        <v>0</v>
      </c>
    </row>
    <row r="3982" spans="1:15" x14ac:dyDescent="0.25">
      <c r="A3982" s="64" t="s">
        <v>187</v>
      </c>
      <c r="B3982" s="79" t="str">
        <f>IF(Sixteenth!B235="", "",Sixteenth!B235)</f>
        <v/>
      </c>
      <c r="C3982" s="66" t="str">
        <f>IF(Sixteenth!C235="", "",Sixteenth!C235)</f>
        <v/>
      </c>
      <c r="D3982" s="66" t="str">
        <f>IF(Sixteenth!D235="", "",Sixteenth!D235)</f>
        <v/>
      </c>
      <c r="E3982" s="66" t="str">
        <f>IF(Sixteenth!E235="", "",Sixteenth!E235)</f>
        <v/>
      </c>
      <c r="F3982" s="66" t="str">
        <f>IF(Sixteenth!F235="", "",Sixteenth!F235)</f>
        <v/>
      </c>
      <c r="G3982" s="66" t="str">
        <f>IF(Sixteenth!G235="", "",Sixteenth!G235)</f>
        <v/>
      </c>
      <c r="H3982" s="66" t="str">
        <f>IF(Sixteenth!H235="", "",Sixteenth!H235)</f>
        <v/>
      </c>
      <c r="I3982" s="66" t="str">
        <f>IF(Sixteenth!I235="", "",Sixteenth!I235)</f>
        <v/>
      </c>
      <c r="J3982" s="66" t="str">
        <f>IF(Sixteenth!J235="", "",Sixteenth!J235)</f>
        <v/>
      </c>
      <c r="K3982" s="86" t="str">
        <f>IF(Sixteenth!K235="", "",Sixteenth!K235)</f>
        <v/>
      </c>
      <c r="M3982" s="67" t="str">
        <f t="shared" si="188"/>
        <v/>
      </c>
      <c r="N3982" s="76" t="str">
        <f t="shared" si="189"/>
        <v/>
      </c>
      <c r="O3982" s="33">
        <f t="shared" si="187"/>
        <v>0</v>
      </c>
    </row>
    <row r="3983" spans="1:15" x14ac:dyDescent="0.25">
      <c r="A3983" s="64" t="s">
        <v>187</v>
      </c>
      <c r="B3983" s="79" t="str">
        <f>IF(Sixteenth!B236="", "",Sixteenth!B236)</f>
        <v/>
      </c>
      <c r="C3983" s="66" t="str">
        <f>IF(Sixteenth!C236="", "",Sixteenth!C236)</f>
        <v/>
      </c>
      <c r="D3983" s="66" t="str">
        <f>IF(Sixteenth!D236="", "",Sixteenth!D236)</f>
        <v/>
      </c>
      <c r="E3983" s="66" t="str">
        <f>IF(Sixteenth!E236="", "",Sixteenth!E236)</f>
        <v/>
      </c>
      <c r="F3983" s="66" t="str">
        <f>IF(Sixteenth!F236="", "",Sixteenth!F236)</f>
        <v/>
      </c>
      <c r="G3983" s="66" t="str">
        <f>IF(Sixteenth!G236="", "",Sixteenth!G236)</f>
        <v/>
      </c>
      <c r="H3983" s="66" t="str">
        <f>IF(Sixteenth!H236="", "",Sixteenth!H236)</f>
        <v/>
      </c>
      <c r="I3983" s="66" t="str">
        <f>IF(Sixteenth!I236="", "",Sixteenth!I236)</f>
        <v/>
      </c>
      <c r="J3983" s="66" t="str">
        <f>IF(Sixteenth!J236="", "",Sixteenth!J236)</f>
        <v/>
      </c>
      <c r="K3983" s="86" t="str">
        <f>IF(Sixteenth!K236="", "",Sixteenth!K236)</f>
        <v/>
      </c>
      <c r="M3983" s="67" t="str">
        <f t="shared" si="188"/>
        <v/>
      </c>
      <c r="N3983" s="76" t="str">
        <f t="shared" si="189"/>
        <v/>
      </c>
      <c r="O3983" s="33">
        <f t="shared" si="187"/>
        <v>0</v>
      </c>
    </row>
    <row r="3984" spans="1:15" x14ac:dyDescent="0.25">
      <c r="A3984" s="64" t="s">
        <v>187</v>
      </c>
      <c r="B3984" s="79" t="str">
        <f>IF(Sixteenth!B237="", "",Sixteenth!B237)</f>
        <v/>
      </c>
      <c r="C3984" s="66" t="str">
        <f>IF(Sixteenth!C237="", "",Sixteenth!C237)</f>
        <v/>
      </c>
      <c r="D3984" s="66" t="str">
        <f>IF(Sixteenth!D237="", "",Sixteenth!D237)</f>
        <v/>
      </c>
      <c r="E3984" s="66" t="str">
        <f>IF(Sixteenth!E237="", "",Sixteenth!E237)</f>
        <v/>
      </c>
      <c r="F3984" s="66" t="str">
        <f>IF(Sixteenth!F237="", "",Sixteenth!F237)</f>
        <v/>
      </c>
      <c r="G3984" s="66" t="str">
        <f>IF(Sixteenth!G237="", "",Sixteenth!G237)</f>
        <v/>
      </c>
      <c r="H3984" s="66" t="str">
        <f>IF(Sixteenth!H237="", "",Sixteenth!H237)</f>
        <v/>
      </c>
      <c r="I3984" s="66" t="str">
        <f>IF(Sixteenth!I237="", "",Sixteenth!I237)</f>
        <v/>
      </c>
      <c r="J3984" s="66" t="str">
        <f>IF(Sixteenth!J237="", "",Sixteenth!J237)</f>
        <v/>
      </c>
      <c r="K3984" s="86" t="str">
        <f>IF(Sixteenth!K237="", "",Sixteenth!K237)</f>
        <v/>
      </c>
      <c r="M3984" s="67" t="str">
        <f t="shared" si="188"/>
        <v/>
      </c>
      <c r="N3984" s="76" t="str">
        <f t="shared" si="189"/>
        <v/>
      </c>
      <c r="O3984" s="33">
        <f t="shared" si="187"/>
        <v>0</v>
      </c>
    </row>
    <row r="3985" spans="1:15" x14ac:dyDescent="0.25">
      <c r="A3985" s="64" t="s">
        <v>187</v>
      </c>
      <c r="B3985" s="79" t="str">
        <f>IF(Sixteenth!B238="", "",Sixteenth!B238)</f>
        <v/>
      </c>
      <c r="C3985" s="66" t="str">
        <f>IF(Sixteenth!C238="", "",Sixteenth!C238)</f>
        <v/>
      </c>
      <c r="D3985" s="66" t="str">
        <f>IF(Sixteenth!D238="", "",Sixteenth!D238)</f>
        <v/>
      </c>
      <c r="E3985" s="66" t="str">
        <f>IF(Sixteenth!E238="", "",Sixteenth!E238)</f>
        <v/>
      </c>
      <c r="F3985" s="66" t="str">
        <f>IF(Sixteenth!F238="", "",Sixteenth!F238)</f>
        <v/>
      </c>
      <c r="G3985" s="66" t="str">
        <f>IF(Sixteenth!G238="", "",Sixteenth!G238)</f>
        <v/>
      </c>
      <c r="H3985" s="66" t="str">
        <f>IF(Sixteenth!H238="", "",Sixteenth!H238)</f>
        <v/>
      </c>
      <c r="I3985" s="66" t="str">
        <f>IF(Sixteenth!I238="", "",Sixteenth!I238)</f>
        <v/>
      </c>
      <c r="J3985" s="66" t="str">
        <f>IF(Sixteenth!J238="", "",Sixteenth!J238)</f>
        <v/>
      </c>
      <c r="K3985" s="86" t="str">
        <f>IF(Sixteenth!K238="", "",Sixteenth!K238)</f>
        <v/>
      </c>
      <c r="M3985" s="67" t="str">
        <f t="shared" si="188"/>
        <v/>
      </c>
      <c r="N3985" s="76" t="str">
        <f t="shared" si="189"/>
        <v/>
      </c>
      <c r="O3985" s="33">
        <f t="shared" si="187"/>
        <v>0</v>
      </c>
    </row>
    <row r="3986" spans="1:15" x14ac:dyDescent="0.25">
      <c r="A3986" s="64" t="s">
        <v>187</v>
      </c>
      <c r="B3986" s="79" t="str">
        <f>IF(Sixteenth!B239="", "",Sixteenth!B239)</f>
        <v/>
      </c>
      <c r="C3986" s="66" t="str">
        <f>IF(Sixteenth!C239="", "",Sixteenth!C239)</f>
        <v/>
      </c>
      <c r="D3986" s="66" t="str">
        <f>IF(Sixteenth!D239="", "",Sixteenth!D239)</f>
        <v/>
      </c>
      <c r="E3986" s="66" t="str">
        <f>IF(Sixteenth!E239="", "",Sixteenth!E239)</f>
        <v/>
      </c>
      <c r="F3986" s="66" t="str">
        <f>IF(Sixteenth!F239="", "",Sixteenth!F239)</f>
        <v/>
      </c>
      <c r="G3986" s="66" t="str">
        <f>IF(Sixteenth!G239="", "",Sixteenth!G239)</f>
        <v/>
      </c>
      <c r="H3986" s="66" t="str">
        <f>IF(Sixteenth!H239="", "",Sixteenth!H239)</f>
        <v/>
      </c>
      <c r="I3986" s="66" t="str">
        <f>IF(Sixteenth!I239="", "",Sixteenth!I239)</f>
        <v/>
      </c>
      <c r="J3986" s="66" t="str">
        <f>IF(Sixteenth!J239="", "",Sixteenth!J239)</f>
        <v/>
      </c>
      <c r="K3986" s="86" t="str">
        <f>IF(Sixteenth!K239="", "",Sixteenth!K239)</f>
        <v/>
      </c>
      <c r="M3986" s="67" t="str">
        <f t="shared" si="188"/>
        <v/>
      </c>
      <c r="N3986" s="76" t="str">
        <f t="shared" si="189"/>
        <v/>
      </c>
      <c r="O3986" s="33">
        <f t="shared" si="187"/>
        <v>0</v>
      </c>
    </row>
    <row r="3987" spans="1:15" x14ac:dyDescent="0.25">
      <c r="A3987" s="64" t="s">
        <v>187</v>
      </c>
      <c r="B3987" s="79" t="str">
        <f>IF(Sixteenth!B240="", "",Sixteenth!B240)</f>
        <v/>
      </c>
      <c r="C3987" s="66" t="str">
        <f>IF(Sixteenth!C240="", "",Sixteenth!C240)</f>
        <v/>
      </c>
      <c r="D3987" s="66" t="str">
        <f>IF(Sixteenth!D240="", "",Sixteenth!D240)</f>
        <v/>
      </c>
      <c r="E3987" s="66" t="str">
        <f>IF(Sixteenth!E240="", "",Sixteenth!E240)</f>
        <v/>
      </c>
      <c r="F3987" s="66" t="str">
        <f>IF(Sixteenth!F240="", "",Sixteenth!F240)</f>
        <v/>
      </c>
      <c r="G3987" s="66" t="str">
        <f>IF(Sixteenth!G240="", "",Sixteenth!G240)</f>
        <v/>
      </c>
      <c r="H3987" s="66" t="str">
        <f>IF(Sixteenth!H240="", "",Sixteenth!H240)</f>
        <v/>
      </c>
      <c r="I3987" s="66" t="str">
        <f>IF(Sixteenth!I240="", "",Sixteenth!I240)</f>
        <v/>
      </c>
      <c r="J3987" s="66" t="str">
        <f>IF(Sixteenth!J240="", "",Sixteenth!J240)</f>
        <v/>
      </c>
      <c r="K3987" s="86" t="str">
        <f>IF(Sixteenth!K240="", "",Sixteenth!K240)</f>
        <v/>
      </c>
      <c r="M3987" s="67" t="str">
        <f t="shared" si="188"/>
        <v/>
      </c>
      <c r="N3987" s="76" t="str">
        <f t="shared" si="189"/>
        <v/>
      </c>
      <c r="O3987" s="33">
        <f t="shared" si="187"/>
        <v>0</v>
      </c>
    </row>
    <row r="3988" spans="1:15" x14ac:dyDescent="0.25">
      <c r="A3988" s="64" t="s">
        <v>187</v>
      </c>
      <c r="B3988" s="79" t="str">
        <f>IF(Sixteenth!B241="", "",Sixteenth!B241)</f>
        <v/>
      </c>
      <c r="C3988" s="66" t="str">
        <f>IF(Sixteenth!C241="", "",Sixteenth!C241)</f>
        <v/>
      </c>
      <c r="D3988" s="66" t="str">
        <f>IF(Sixteenth!D241="", "",Sixteenth!D241)</f>
        <v/>
      </c>
      <c r="E3988" s="66" t="str">
        <f>IF(Sixteenth!E241="", "",Sixteenth!E241)</f>
        <v/>
      </c>
      <c r="F3988" s="66" t="str">
        <f>IF(Sixteenth!F241="", "",Sixteenth!F241)</f>
        <v/>
      </c>
      <c r="G3988" s="66" t="str">
        <f>IF(Sixteenth!G241="", "",Sixteenth!G241)</f>
        <v/>
      </c>
      <c r="H3988" s="66" t="str">
        <f>IF(Sixteenth!H241="", "",Sixteenth!H241)</f>
        <v/>
      </c>
      <c r="I3988" s="66" t="str">
        <f>IF(Sixteenth!I241="", "",Sixteenth!I241)</f>
        <v/>
      </c>
      <c r="J3988" s="66" t="str">
        <f>IF(Sixteenth!J241="", "",Sixteenth!J241)</f>
        <v/>
      </c>
      <c r="K3988" s="86" t="str">
        <f>IF(Sixteenth!K241="", "",Sixteenth!K241)</f>
        <v/>
      </c>
      <c r="M3988" s="67" t="str">
        <f t="shared" si="188"/>
        <v/>
      </c>
      <c r="N3988" s="76" t="str">
        <f t="shared" si="189"/>
        <v/>
      </c>
      <c r="O3988" s="33">
        <f t="shared" si="187"/>
        <v>0</v>
      </c>
    </row>
    <row r="3989" spans="1:15" x14ac:dyDescent="0.25">
      <c r="A3989" s="64" t="s">
        <v>187</v>
      </c>
      <c r="B3989" s="79" t="str">
        <f>IF(Sixteenth!B242="", "",Sixteenth!B242)</f>
        <v/>
      </c>
      <c r="C3989" s="66" t="str">
        <f>IF(Sixteenth!C242="", "",Sixteenth!C242)</f>
        <v/>
      </c>
      <c r="D3989" s="66" t="str">
        <f>IF(Sixteenth!D242="", "",Sixteenth!D242)</f>
        <v/>
      </c>
      <c r="E3989" s="66" t="str">
        <f>IF(Sixteenth!E242="", "",Sixteenth!E242)</f>
        <v/>
      </c>
      <c r="F3989" s="66" t="str">
        <f>IF(Sixteenth!F242="", "",Sixteenth!F242)</f>
        <v/>
      </c>
      <c r="G3989" s="66" t="str">
        <f>IF(Sixteenth!G242="", "",Sixteenth!G242)</f>
        <v/>
      </c>
      <c r="H3989" s="66" t="str">
        <f>IF(Sixteenth!H242="", "",Sixteenth!H242)</f>
        <v/>
      </c>
      <c r="I3989" s="66" t="str">
        <f>IF(Sixteenth!I242="", "",Sixteenth!I242)</f>
        <v/>
      </c>
      <c r="J3989" s="66" t="str">
        <f>IF(Sixteenth!J242="", "",Sixteenth!J242)</f>
        <v/>
      </c>
      <c r="K3989" s="86" t="str">
        <f>IF(Sixteenth!K242="", "",Sixteenth!K242)</f>
        <v/>
      </c>
      <c r="M3989" s="67" t="str">
        <f t="shared" si="188"/>
        <v/>
      </c>
      <c r="N3989" s="76" t="str">
        <f t="shared" si="189"/>
        <v/>
      </c>
      <c r="O3989" s="33">
        <f t="shared" si="187"/>
        <v>0</v>
      </c>
    </row>
    <row r="3990" spans="1:15" x14ac:dyDescent="0.25">
      <c r="A3990" s="64" t="s">
        <v>187</v>
      </c>
      <c r="B3990" s="79" t="str">
        <f>IF(Sixteenth!B243="", "",Sixteenth!B243)</f>
        <v/>
      </c>
      <c r="C3990" s="66" t="str">
        <f>IF(Sixteenth!C243="", "",Sixteenth!C243)</f>
        <v/>
      </c>
      <c r="D3990" s="66" t="str">
        <f>IF(Sixteenth!D243="", "",Sixteenth!D243)</f>
        <v/>
      </c>
      <c r="E3990" s="66" t="str">
        <f>IF(Sixteenth!E243="", "",Sixteenth!E243)</f>
        <v/>
      </c>
      <c r="F3990" s="66" t="str">
        <f>IF(Sixteenth!F243="", "",Sixteenth!F243)</f>
        <v/>
      </c>
      <c r="G3990" s="66" t="str">
        <f>IF(Sixteenth!G243="", "",Sixteenth!G243)</f>
        <v/>
      </c>
      <c r="H3990" s="66" t="str">
        <f>IF(Sixteenth!H243="", "",Sixteenth!H243)</f>
        <v/>
      </c>
      <c r="I3990" s="66" t="str">
        <f>IF(Sixteenth!I243="", "",Sixteenth!I243)</f>
        <v/>
      </c>
      <c r="J3990" s="66" t="str">
        <f>IF(Sixteenth!J243="", "",Sixteenth!J243)</f>
        <v/>
      </c>
      <c r="K3990" s="86" t="str">
        <f>IF(Sixteenth!K243="", "",Sixteenth!K243)</f>
        <v/>
      </c>
      <c r="M3990" s="67" t="str">
        <f t="shared" si="188"/>
        <v/>
      </c>
      <c r="N3990" s="76" t="str">
        <f t="shared" si="189"/>
        <v/>
      </c>
      <c r="O3990" s="33">
        <f t="shared" si="187"/>
        <v>0</v>
      </c>
    </row>
    <row r="3991" spans="1:15" x14ac:dyDescent="0.25">
      <c r="A3991" s="64" t="s">
        <v>187</v>
      </c>
      <c r="B3991" s="79" t="str">
        <f>IF(Sixteenth!B244="", "",Sixteenth!B244)</f>
        <v/>
      </c>
      <c r="C3991" s="66" t="str">
        <f>IF(Sixteenth!C244="", "",Sixteenth!C244)</f>
        <v/>
      </c>
      <c r="D3991" s="66" t="str">
        <f>IF(Sixteenth!D244="", "",Sixteenth!D244)</f>
        <v/>
      </c>
      <c r="E3991" s="66" t="str">
        <f>IF(Sixteenth!E244="", "",Sixteenth!E244)</f>
        <v/>
      </c>
      <c r="F3991" s="66" t="str">
        <f>IF(Sixteenth!F244="", "",Sixteenth!F244)</f>
        <v/>
      </c>
      <c r="G3991" s="66" t="str">
        <f>IF(Sixteenth!G244="", "",Sixteenth!G244)</f>
        <v/>
      </c>
      <c r="H3991" s="66" t="str">
        <f>IF(Sixteenth!H244="", "",Sixteenth!H244)</f>
        <v/>
      </c>
      <c r="I3991" s="66" t="str">
        <f>IF(Sixteenth!I244="", "",Sixteenth!I244)</f>
        <v/>
      </c>
      <c r="J3991" s="66" t="str">
        <f>IF(Sixteenth!J244="", "",Sixteenth!J244)</f>
        <v/>
      </c>
      <c r="K3991" s="86" t="str">
        <f>IF(Sixteenth!K244="", "",Sixteenth!K244)</f>
        <v/>
      </c>
      <c r="M3991" s="67" t="str">
        <f t="shared" si="188"/>
        <v/>
      </c>
      <c r="N3991" s="76" t="str">
        <f t="shared" si="189"/>
        <v/>
      </c>
      <c r="O3991" s="33">
        <f t="shared" si="187"/>
        <v>0</v>
      </c>
    </row>
    <row r="3992" spans="1:15" x14ac:dyDescent="0.25">
      <c r="A3992" s="64" t="s">
        <v>187</v>
      </c>
      <c r="B3992" s="79" t="str">
        <f>IF(Sixteenth!B245="", "",Sixteenth!B245)</f>
        <v/>
      </c>
      <c r="C3992" s="66" t="str">
        <f>IF(Sixteenth!C245="", "",Sixteenth!C245)</f>
        <v/>
      </c>
      <c r="D3992" s="66" t="str">
        <f>IF(Sixteenth!D245="", "",Sixteenth!D245)</f>
        <v/>
      </c>
      <c r="E3992" s="66" t="str">
        <f>IF(Sixteenth!E245="", "",Sixteenth!E245)</f>
        <v/>
      </c>
      <c r="F3992" s="66" t="str">
        <f>IF(Sixteenth!F245="", "",Sixteenth!F245)</f>
        <v/>
      </c>
      <c r="G3992" s="66" t="str">
        <f>IF(Sixteenth!G245="", "",Sixteenth!G245)</f>
        <v/>
      </c>
      <c r="H3992" s="66" t="str">
        <f>IF(Sixteenth!H245="", "",Sixteenth!H245)</f>
        <v/>
      </c>
      <c r="I3992" s="66" t="str">
        <f>IF(Sixteenth!I245="", "",Sixteenth!I245)</f>
        <v/>
      </c>
      <c r="J3992" s="66" t="str">
        <f>IF(Sixteenth!J245="", "",Sixteenth!J245)</f>
        <v/>
      </c>
      <c r="K3992" s="86" t="str">
        <f>IF(Sixteenth!K245="", "",Sixteenth!K245)</f>
        <v/>
      </c>
      <c r="M3992" s="67" t="str">
        <f t="shared" si="188"/>
        <v/>
      </c>
      <c r="N3992" s="76" t="str">
        <f t="shared" si="189"/>
        <v/>
      </c>
      <c r="O3992" s="33">
        <f t="shared" si="187"/>
        <v>0</v>
      </c>
    </row>
    <row r="3993" spans="1:15" x14ac:dyDescent="0.25">
      <c r="A3993" s="64" t="s">
        <v>187</v>
      </c>
      <c r="B3993" s="79" t="str">
        <f>IF(Sixteenth!B246="", "",Sixteenth!B246)</f>
        <v/>
      </c>
      <c r="C3993" s="66" t="str">
        <f>IF(Sixteenth!C246="", "",Sixteenth!C246)</f>
        <v/>
      </c>
      <c r="D3993" s="66" t="str">
        <f>IF(Sixteenth!D246="", "",Sixteenth!D246)</f>
        <v/>
      </c>
      <c r="E3993" s="66" t="str">
        <f>IF(Sixteenth!E246="", "",Sixteenth!E246)</f>
        <v/>
      </c>
      <c r="F3993" s="66" t="str">
        <f>IF(Sixteenth!F246="", "",Sixteenth!F246)</f>
        <v/>
      </c>
      <c r="G3993" s="66" t="str">
        <f>IF(Sixteenth!G246="", "",Sixteenth!G246)</f>
        <v/>
      </c>
      <c r="H3993" s="66" t="str">
        <f>IF(Sixteenth!H246="", "",Sixteenth!H246)</f>
        <v/>
      </c>
      <c r="I3993" s="66" t="str">
        <f>IF(Sixteenth!I246="", "",Sixteenth!I246)</f>
        <v/>
      </c>
      <c r="J3993" s="66" t="str">
        <f>IF(Sixteenth!J246="", "",Sixteenth!J246)</f>
        <v/>
      </c>
      <c r="K3993" s="86" t="str">
        <f>IF(Sixteenth!K246="", "",Sixteenth!K246)</f>
        <v/>
      </c>
      <c r="M3993" s="67" t="str">
        <f t="shared" si="188"/>
        <v/>
      </c>
      <c r="N3993" s="76" t="str">
        <f t="shared" si="189"/>
        <v/>
      </c>
      <c r="O3993" s="33">
        <f t="shared" si="187"/>
        <v>0</v>
      </c>
    </row>
    <row r="3994" spans="1:15" x14ac:dyDescent="0.25">
      <c r="A3994" s="64" t="s">
        <v>187</v>
      </c>
      <c r="B3994" s="79" t="str">
        <f>IF(Sixteenth!B247="", "",Sixteenth!B247)</f>
        <v/>
      </c>
      <c r="C3994" s="66" t="str">
        <f>IF(Sixteenth!C247="", "",Sixteenth!C247)</f>
        <v/>
      </c>
      <c r="D3994" s="66" t="str">
        <f>IF(Sixteenth!D247="", "",Sixteenth!D247)</f>
        <v/>
      </c>
      <c r="E3994" s="66" t="str">
        <f>IF(Sixteenth!E247="", "",Sixteenth!E247)</f>
        <v/>
      </c>
      <c r="F3994" s="66" t="str">
        <f>IF(Sixteenth!F247="", "",Sixteenth!F247)</f>
        <v/>
      </c>
      <c r="G3994" s="66" t="str">
        <f>IF(Sixteenth!G247="", "",Sixteenth!G247)</f>
        <v/>
      </c>
      <c r="H3994" s="66" t="str">
        <f>IF(Sixteenth!H247="", "",Sixteenth!H247)</f>
        <v/>
      </c>
      <c r="I3994" s="66" t="str">
        <f>IF(Sixteenth!I247="", "",Sixteenth!I247)</f>
        <v/>
      </c>
      <c r="J3994" s="66" t="str">
        <f>IF(Sixteenth!J247="", "",Sixteenth!J247)</f>
        <v/>
      </c>
      <c r="K3994" s="86" t="str">
        <f>IF(Sixteenth!K247="", "",Sixteenth!K247)</f>
        <v/>
      </c>
      <c r="M3994" s="67" t="str">
        <f t="shared" si="188"/>
        <v/>
      </c>
      <c r="N3994" s="76" t="str">
        <f t="shared" si="189"/>
        <v/>
      </c>
      <c r="O3994" s="33">
        <f t="shared" si="187"/>
        <v>0</v>
      </c>
    </row>
    <row r="3995" spans="1:15" x14ac:dyDescent="0.25">
      <c r="A3995" s="64" t="s">
        <v>187</v>
      </c>
      <c r="B3995" s="79" t="str">
        <f>IF(Sixteenth!B248="", "",Sixteenth!B248)</f>
        <v/>
      </c>
      <c r="C3995" s="66" t="str">
        <f>IF(Sixteenth!C248="", "",Sixteenth!C248)</f>
        <v/>
      </c>
      <c r="D3995" s="66" t="str">
        <f>IF(Sixteenth!D248="", "",Sixteenth!D248)</f>
        <v/>
      </c>
      <c r="E3995" s="66" t="str">
        <f>IF(Sixteenth!E248="", "",Sixteenth!E248)</f>
        <v/>
      </c>
      <c r="F3995" s="66" t="str">
        <f>IF(Sixteenth!F248="", "",Sixteenth!F248)</f>
        <v/>
      </c>
      <c r="G3995" s="66" t="str">
        <f>IF(Sixteenth!G248="", "",Sixteenth!G248)</f>
        <v/>
      </c>
      <c r="H3995" s="66" t="str">
        <f>IF(Sixteenth!H248="", "",Sixteenth!H248)</f>
        <v/>
      </c>
      <c r="I3995" s="66" t="str">
        <f>IF(Sixteenth!I248="", "",Sixteenth!I248)</f>
        <v/>
      </c>
      <c r="J3995" s="66" t="str">
        <f>IF(Sixteenth!J248="", "",Sixteenth!J248)</f>
        <v/>
      </c>
      <c r="K3995" s="86" t="str">
        <f>IF(Sixteenth!K248="", "",Sixteenth!K248)</f>
        <v/>
      </c>
      <c r="M3995" s="67" t="str">
        <f t="shared" si="188"/>
        <v/>
      </c>
      <c r="N3995" s="76" t="str">
        <f t="shared" si="189"/>
        <v/>
      </c>
      <c r="O3995" s="33">
        <f t="shared" si="187"/>
        <v>0</v>
      </c>
    </row>
    <row r="3996" spans="1:15" x14ac:dyDescent="0.25">
      <c r="A3996" s="64" t="s">
        <v>187</v>
      </c>
      <c r="B3996" s="79" t="str">
        <f>IF(Sixteenth!B249="", "",Sixteenth!B249)</f>
        <v/>
      </c>
      <c r="C3996" s="66" t="str">
        <f>IF(Sixteenth!C249="", "",Sixteenth!C249)</f>
        <v/>
      </c>
      <c r="D3996" s="66" t="str">
        <f>IF(Sixteenth!D249="", "",Sixteenth!D249)</f>
        <v/>
      </c>
      <c r="E3996" s="66" t="str">
        <f>IF(Sixteenth!E249="", "",Sixteenth!E249)</f>
        <v/>
      </c>
      <c r="F3996" s="66" t="str">
        <f>IF(Sixteenth!F249="", "",Sixteenth!F249)</f>
        <v/>
      </c>
      <c r="G3996" s="66" t="str">
        <f>IF(Sixteenth!G249="", "",Sixteenth!G249)</f>
        <v/>
      </c>
      <c r="H3996" s="66" t="str">
        <f>IF(Sixteenth!H249="", "",Sixteenth!H249)</f>
        <v/>
      </c>
      <c r="I3996" s="66" t="str">
        <f>IF(Sixteenth!I249="", "",Sixteenth!I249)</f>
        <v/>
      </c>
      <c r="J3996" s="66" t="str">
        <f>IF(Sixteenth!J249="", "",Sixteenth!J249)</f>
        <v/>
      </c>
      <c r="K3996" s="86" t="str">
        <f>IF(Sixteenth!K249="", "",Sixteenth!K249)</f>
        <v/>
      </c>
      <c r="M3996" s="67" t="str">
        <f t="shared" si="188"/>
        <v/>
      </c>
      <c r="N3996" s="76" t="str">
        <f t="shared" si="189"/>
        <v/>
      </c>
      <c r="O3996" s="33">
        <f t="shared" si="187"/>
        <v>0</v>
      </c>
    </row>
    <row r="3997" spans="1:15" x14ac:dyDescent="0.25">
      <c r="A3997" s="64" t="s">
        <v>187</v>
      </c>
      <c r="B3997" s="79" t="str">
        <f>IF(Sixteenth!B250="", "",Sixteenth!B250)</f>
        <v/>
      </c>
      <c r="C3997" s="66" t="str">
        <f>IF(Sixteenth!C250="", "",Sixteenth!C250)</f>
        <v/>
      </c>
      <c r="D3997" s="66" t="str">
        <f>IF(Sixteenth!D250="", "",Sixteenth!D250)</f>
        <v/>
      </c>
      <c r="E3997" s="66" t="str">
        <f>IF(Sixteenth!E250="", "",Sixteenth!E250)</f>
        <v/>
      </c>
      <c r="F3997" s="66" t="str">
        <f>IF(Sixteenth!F250="", "",Sixteenth!F250)</f>
        <v/>
      </c>
      <c r="G3997" s="66" t="str">
        <f>IF(Sixteenth!G250="", "",Sixteenth!G250)</f>
        <v/>
      </c>
      <c r="H3997" s="66" t="str">
        <f>IF(Sixteenth!H250="", "",Sixteenth!H250)</f>
        <v/>
      </c>
      <c r="I3997" s="66" t="str">
        <f>IF(Sixteenth!I250="", "",Sixteenth!I250)</f>
        <v/>
      </c>
      <c r="J3997" s="66" t="str">
        <f>IF(Sixteenth!J250="", "",Sixteenth!J250)</f>
        <v/>
      </c>
      <c r="K3997" s="86" t="str">
        <f>IF(Sixteenth!K250="", "",Sixteenth!K250)</f>
        <v/>
      </c>
      <c r="M3997" s="67" t="str">
        <f t="shared" si="188"/>
        <v/>
      </c>
      <c r="N3997" s="76" t="str">
        <f t="shared" si="189"/>
        <v/>
      </c>
      <c r="O3997" s="33">
        <f t="shared" si="187"/>
        <v>0</v>
      </c>
    </row>
    <row r="3998" spans="1:15" x14ac:dyDescent="0.25">
      <c r="A3998" s="64" t="s">
        <v>187</v>
      </c>
      <c r="B3998" s="79" t="str">
        <f>IF(Sixteenth!B251="", "",Sixteenth!B251)</f>
        <v/>
      </c>
      <c r="C3998" s="66" t="str">
        <f>IF(Sixteenth!C251="", "",Sixteenth!C251)</f>
        <v/>
      </c>
      <c r="D3998" s="66" t="str">
        <f>IF(Sixteenth!D251="", "",Sixteenth!D251)</f>
        <v/>
      </c>
      <c r="E3998" s="66" t="str">
        <f>IF(Sixteenth!E251="", "",Sixteenth!E251)</f>
        <v/>
      </c>
      <c r="F3998" s="66" t="str">
        <f>IF(Sixteenth!F251="", "",Sixteenth!F251)</f>
        <v/>
      </c>
      <c r="G3998" s="66" t="str">
        <f>IF(Sixteenth!G251="", "",Sixteenth!G251)</f>
        <v/>
      </c>
      <c r="H3998" s="66" t="str">
        <f>IF(Sixteenth!H251="", "",Sixteenth!H251)</f>
        <v/>
      </c>
      <c r="I3998" s="66" t="str">
        <f>IF(Sixteenth!I251="", "",Sixteenth!I251)</f>
        <v/>
      </c>
      <c r="J3998" s="66" t="str">
        <f>IF(Sixteenth!J251="", "",Sixteenth!J251)</f>
        <v/>
      </c>
      <c r="K3998" s="86" t="str">
        <f>IF(Sixteenth!K251="", "",Sixteenth!K251)</f>
        <v/>
      </c>
      <c r="M3998" s="67" t="str">
        <f t="shared" si="188"/>
        <v/>
      </c>
      <c r="N3998" s="76" t="str">
        <f t="shared" si="189"/>
        <v/>
      </c>
      <c r="O3998" s="33">
        <f t="shared" si="187"/>
        <v>0</v>
      </c>
    </row>
    <row r="3999" spans="1:15" x14ac:dyDescent="0.25">
      <c r="A3999" s="64" t="s">
        <v>187</v>
      </c>
      <c r="B3999" s="79" t="str">
        <f>IF(Sixteenth!B252="", "",Sixteenth!B252)</f>
        <v/>
      </c>
      <c r="C3999" s="66" t="str">
        <f>IF(Sixteenth!C252="", "",Sixteenth!C252)</f>
        <v/>
      </c>
      <c r="D3999" s="66" t="str">
        <f>IF(Sixteenth!D252="", "",Sixteenth!D252)</f>
        <v/>
      </c>
      <c r="E3999" s="66" t="str">
        <f>IF(Sixteenth!E252="", "",Sixteenth!E252)</f>
        <v/>
      </c>
      <c r="F3999" s="66" t="str">
        <f>IF(Sixteenth!F252="", "",Sixteenth!F252)</f>
        <v/>
      </c>
      <c r="G3999" s="66" t="str">
        <f>IF(Sixteenth!G252="", "",Sixteenth!G252)</f>
        <v/>
      </c>
      <c r="H3999" s="66" t="str">
        <f>IF(Sixteenth!H252="", "",Sixteenth!H252)</f>
        <v/>
      </c>
      <c r="I3999" s="66" t="str">
        <f>IF(Sixteenth!I252="", "",Sixteenth!I252)</f>
        <v/>
      </c>
      <c r="J3999" s="66" t="str">
        <f>IF(Sixteenth!J252="", "",Sixteenth!J252)</f>
        <v/>
      </c>
      <c r="K3999" s="86" t="str">
        <f>IF(Sixteenth!K252="", "",Sixteenth!K252)</f>
        <v/>
      </c>
      <c r="M3999" s="67" t="str">
        <f t="shared" si="188"/>
        <v/>
      </c>
      <c r="N3999" s="76" t="str">
        <f t="shared" si="189"/>
        <v/>
      </c>
      <c r="O3999" s="33">
        <f t="shared" si="187"/>
        <v>0</v>
      </c>
    </row>
    <row r="4000" spans="1:15" x14ac:dyDescent="0.25">
      <c r="A4000" s="64" t="s">
        <v>187</v>
      </c>
      <c r="B4000" s="79" t="str">
        <f>IF(Sixteenth!B253="", "",Sixteenth!B253)</f>
        <v/>
      </c>
      <c r="C4000" s="66" t="str">
        <f>IF(Sixteenth!C253="", "",Sixteenth!C253)</f>
        <v/>
      </c>
      <c r="D4000" s="66" t="str">
        <f>IF(Sixteenth!D253="", "",Sixteenth!D253)</f>
        <v/>
      </c>
      <c r="E4000" s="66" t="str">
        <f>IF(Sixteenth!E253="", "",Sixteenth!E253)</f>
        <v/>
      </c>
      <c r="F4000" s="66" t="str">
        <f>IF(Sixteenth!F253="", "",Sixteenth!F253)</f>
        <v/>
      </c>
      <c r="G4000" s="66" t="str">
        <f>IF(Sixteenth!G253="", "",Sixteenth!G253)</f>
        <v/>
      </c>
      <c r="H4000" s="66" t="str">
        <f>IF(Sixteenth!H253="", "",Sixteenth!H253)</f>
        <v/>
      </c>
      <c r="I4000" s="66" t="str">
        <f>IF(Sixteenth!I253="", "",Sixteenth!I253)</f>
        <v/>
      </c>
      <c r="J4000" s="66" t="str">
        <f>IF(Sixteenth!J253="", "",Sixteenth!J253)</f>
        <v/>
      </c>
      <c r="K4000" s="86" t="str">
        <f>IF(Sixteenth!K253="", "",Sixteenth!K253)</f>
        <v/>
      </c>
      <c r="M4000" s="67" t="str">
        <f t="shared" si="188"/>
        <v/>
      </c>
      <c r="N4000" s="76" t="str">
        <f t="shared" si="189"/>
        <v/>
      </c>
      <c r="O4000" s="33">
        <f t="shared" si="187"/>
        <v>0</v>
      </c>
    </row>
    <row r="4001" spans="1:15" ht="15.75" thickBot="1" x14ac:dyDescent="0.3">
      <c r="A4001" s="68" t="s">
        <v>187</v>
      </c>
      <c r="B4001" s="80" t="str">
        <f>IF(Sixteenth!B254="", "",Sixteenth!B254)</f>
        <v/>
      </c>
      <c r="C4001" s="70" t="str">
        <f>IF(Sixteenth!C254="", "",Sixteenth!C254)</f>
        <v/>
      </c>
      <c r="D4001" s="70" t="str">
        <f>IF(Sixteenth!D254="", "",Sixteenth!D254)</f>
        <v/>
      </c>
      <c r="E4001" s="70" t="str">
        <f>IF(Sixteenth!E254="", "",Sixteenth!E254)</f>
        <v/>
      </c>
      <c r="F4001" s="70" t="str">
        <f>IF(Sixteenth!F254="", "",Sixteenth!F254)</f>
        <v/>
      </c>
      <c r="G4001" s="70" t="str">
        <f>IF(Sixteenth!G254="", "",Sixteenth!G254)</f>
        <v/>
      </c>
      <c r="H4001" s="70" t="str">
        <f>IF(Sixteenth!H254="", "",Sixteenth!H254)</f>
        <v/>
      </c>
      <c r="I4001" s="70" t="str">
        <f>IF(Sixteenth!I254="", "",Sixteenth!I254)</f>
        <v/>
      </c>
      <c r="J4001" s="70" t="str">
        <f>IF(Sixteenth!J254="", "",Sixteenth!J254)</f>
        <v/>
      </c>
      <c r="K4001" s="90" t="str">
        <f>IF(Sixteenth!K254="", "",Sixteenth!K254)</f>
        <v/>
      </c>
      <c r="L4001" s="91"/>
      <c r="M4001" s="71" t="str">
        <f t="shared" si="188"/>
        <v/>
      </c>
      <c r="N4001" s="77" t="str">
        <f t="shared" si="189"/>
        <v/>
      </c>
      <c r="O4001" s="33">
        <f t="shared" si="187"/>
        <v>0</v>
      </c>
    </row>
    <row r="4002" spans="1:15" x14ac:dyDescent="0.25">
      <c r="A4002" s="64" t="s">
        <v>188</v>
      </c>
      <c r="B4002" s="79" t="str">
        <f>IF(Seventeenth!B5="", "",Seventeenth!B5)</f>
        <v/>
      </c>
      <c r="C4002" s="66" t="str">
        <f>IF(Seventeenth!C5="", "",Seventeenth!C5)</f>
        <v/>
      </c>
      <c r="D4002" s="66" t="str">
        <f>IF(Seventeenth!D5="", "",Seventeenth!D5)</f>
        <v/>
      </c>
      <c r="E4002" s="66" t="str">
        <f>IF(Seventeenth!E5="", "",Seventeenth!E5)</f>
        <v/>
      </c>
      <c r="F4002" s="66" t="str">
        <f>IF(Seventeenth!F5="", "",Seventeenth!F5)</f>
        <v/>
      </c>
      <c r="G4002" s="66" t="str">
        <f>IF(Seventeenth!G5="", "",Seventeenth!G5)</f>
        <v/>
      </c>
      <c r="H4002" s="66" t="str">
        <f>IF(Seventeenth!H5="", "",Seventeenth!H5)</f>
        <v/>
      </c>
      <c r="I4002" s="66" t="str">
        <f>IF(Seventeenth!I5="", "",Seventeenth!I5)</f>
        <v/>
      </c>
      <c r="J4002" s="66" t="str">
        <f>IF(Seventeenth!J5="", "",Seventeenth!J5)</f>
        <v/>
      </c>
      <c r="K4002" s="86" t="str">
        <f>IF(Seventeenth!K5="", "",Seventeenth!K5)</f>
        <v/>
      </c>
      <c r="M4002" s="67" t="str">
        <f t="shared" si="188"/>
        <v/>
      </c>
      <c r="N4002" s="76" t="str">
        <f t="shared" si="189"/>
        <v/>
      </c>
      <c r="O4002" s="33">
        <f t="shared" si="187"/>
        <v>0</v>
      </c>
    </row>
    <row r="4003" spans="1:15" x14ac:dyDescent="0.25">
      <c r="A4003" s="64" t="s">
        <v>188</v>
      </c>
      <c r="B4003" s="79" t="str">
        <f>IF(Seventeenth!B6="", "",Seventeenth!B6)</f>
        <v/>
      </c>
      <c r="C4003" s="66" t="str">
        <f>IF(Seventeenth!C6="", "",Seventeenth!C6)</f>
        <v/>
      </c>
      <c r="D4003" s="66" t="str">
        <f>IF(Seventeenth!D6="", "",Seventeenth!D6)</f>
        <v/>
      </c>
      <c r="E4003" s="66" t="str">
        <f>IF(Seventeenth!E6="", "",Seventeenth!E6)</f>
        <v/>
      </c>
      <c r="F4003" s="66" t="str">
        <f>IF(Seventeenth!F6="", "",Seventeenth!F6)</f>
        <v/>
      </c>
      <c r="G4003" s="66" t="str">
        <f>IF(Seventeenth!G6="", "",Seventeenth!G6)</f>
        <v/>
      </c>
      <c r="H4003" s="66" t="str">
        <f>IF(Seventeenth!H6="", "",Seventeenth!H6)</f>
        <v/>
      </c>
      <c r="I4003" s="66" t="str">
        <f>IF(Seventeenth!I6="", "",Seventeenth!I6)</f>
        <v/>
      </c>
      <c r="J4003" s="66" t="str">
        <f>IF(Seventeenth!J6="", "",Seventeenth!J6)</f>
        <v/>
      </c>
      <c r="K4003" s="86" t="str">
        <f>IF(Seventeenth!K6="", "",Seventeenth!K6)</f>
        <v/>
      </c>
      <c r="M4003" s="67" t="str">
        <f t="shared" si="188"/>
        <v/>
      </c>
      <c r="N4003" s="76" t="str">
        <f t="shared" si="189"/>
        <v/>
      </c>
      <c r="O4003" s="33">
        <f t="shared" si="187"/>
        <v>0</v>
      </c>
    </row>
    <row r="4004" spans="1:15" x14ac:dyDescent="0.25">
      <c r="A4004" s="64" t="s">
        <v>188</v>
      </c>
      <c r="B4004" s="79" t="str">
        <f>IF(Seventeenth!B7="", "",Seventeenth!B7)</f>
        <v/>
      </c>
      <c r="C4004" s="66" t="str">
        <f>IF(Seventeenth!C7="", "",Seventeenth!C7)</f>
        <v/>
      </c>
      <c r="D4004" s="66" t="str">
        <f>IF(Seventeenth!D7="", "",Seventeenth!D7)</f>
        <v/>
      </c>
      <c r="E4004" s="66" t="str">
        <f>IF(Seventeenth!E7="", "",Seventeenth!E7)</f>
        <v/>
      </c>
      <c r="F4004" s="66" t="str">
        <f>IF(Seventeenth!F7="", "",Seventeenth!F7)</f>
        <v/>
      </c>
      <c r="G4004" s="66" t="str">
        <f>IF(Seventeenth!G7="", "",Seventeenth!G7)</f>
        <v/>
      </c>
      <c r="H4004" s="66" t="str">
        <f>IF(Seventeenth!H7="", "",Seventeenth!H7)</f>
        <v/>
      </c>
      <c r="I4004" s="66" t="str">
        <f>IF(Seventeenth!I7="", "",Seventeenth!I7)</f>
        <v/>
      </c>
      <c r="J4004" s="66" t="str">
        <f>IF(Seventeenth!J7="", "",Seventeenth!J7)</f>
        <v/>
      </c>
      <c r="K4004" s="86" t="str">
        <f>IF(Seventeenth!K7="", "",Seventeenth!K7)</f>
        <v/>
      </c>
      <c r="M4004" s="67" t="str">
        <f t="shared" si="188"/>
        <v/>
      </c>
      <c r="N4004" s="76" t="str">
        <f t="shared" si="189"/>
        <v/>
      </c>
      <c r="O4004" s="33">
        <f t="shared" si="187"/>
        <v>0</v>
      </c>
    </row>
    <row r="4005" spans="1:15" x14ac:dyDescent="0.25">
      <c r="A4005" s="64" t="s">
        <v>188</v>
      </c>
      <c r="B4005" s="79" t="str">
        <f>IF(Seventeenth!B8="", "",Seventeenth!B8)</f>
        <v/>
      </c>
      <c r="C4005" s="66" t="str">
        <f>IF(Seventeenth!C8="", "",Seventeenth!C8)</f>
        <v/>
      </c>
      <c r="D4005" s="66" t="str">
        <f>IF(Seventeenth!D8="", "",Seventeenth!D8)</f>
        <v/>
      </c>
      <c r="E4005" s="66" t="str">
        <f>IF(Seventeenth!E8="", "",Seventeenth!E8)</f>
        <v/>
      </c>
      <c r="F4005" s="66" t="str">
        <f>IF(Seventeenth!F8="", "",Seventeenth!F8)</f>
        <v/>
      </c>
      <c r="G4005" s="66" t="str">
        <f>IF(Seventeenth!G8="", "",Seventeenth!G8)</f>
        <v/>
      </c>
      <c r="H4005" s="66" t="str">
        <f>IF(Seventeenth!H8="", "",Seventeenth!H8)</f>
        <v/>
      </c>
      <c r="I4005" s="66" t="str">
        <f>IF(Seventeenth!I8="", "",Seventeenth!I8)</f>
        <v/>
      </c>
      <c r="J4005" s="66" t="str">
        <f>IF(Seventeenth!J8="", "",Seventeenth!J8)</f>
        <v/>
      </c>
      <c r="K4005" s="86" t="str">
        <f>IF(Seventeenth!K8="", "",Seventeenth!K8)</f>
        <v/>
      </c>
      <c r="M4005" s="67" t="str">
        <f t="shared" si="188"/>
        <v/>
      </c>
      <c r="N4005" s="76" t="str">
        <f t="shared" si="189"/>
        <v/>
      </c>
      <c r="O4005" s="33">
        <f t="shared" si="187"/>
        <v>0</v>
      </c>
    </row>
    <row r="4006" spans="1:15" x14ac:dyDescent="0.25">
      <c r="A4006" s="64" t="s">
        <v>188</v>
      </c>
      <c r="B4006" s="79" t="str">
        <f>IF(Seventeenth!B9="", "",Seventeenth!B9)</f>
        <v/>
      </c>
      <c r="C4006" s="66" t="str">
        <f>IF(Seventeenth!C9="", "",Seventeenth!C9)</f>
        <v/>
      </c>
      <c r="D4006" s="66" t="str">
        <f>IF(Seventeenth!D9="", "",Seventeenth!D9)</f>
        <v/>
      </c>
      <c r="E4006" s="66" t="str">
        <f>IF(Seventeenth!E9="", "",Seventeenth!E9)</f>
        <v/>
      </c>
      <c r="F4006" s="66" t="str">
        <f>IF(Seventeenth!F9="", "",Seventeenth!F9)</f>
        <v/>
      </c>
      <c r="G4006" s="66" t="str">
        <f>IF(Seventeenth!G9="", "",Seventeenth!G9)</f>
        <v/>
      </c>
      <c r="H4006" s="66" t="str">
        <f>IF(Seventeenth!H9="", "",Seventeenth!H9)</f>
        <v/>
      </c>
      <c r="I4006" s="66" t="str">
        <f>IF(Seventeenth!I9="", "",Seventeenth!I9)</f>
        <v/>
      </c>
      <c r="J4006" s="66" t="str">
        <f>IF(Seventeenth!J9="", "",Seventeenth!J9)</f>
        <v/>
      </c>
      <c r="K4006" s="86" t="str">
        <f>IF(Seventeenth!K9="", "",Seventeenth!K9)</f>
        <v/>
      </c>
      <c r="M4006" s="67" t="str">
        <f t="shared" si="188"/>
        <v/>
      </c>
      <c r="N4006" s="76" t="str">
        <f t="shared" si="189"/>
        <v/>
      </c>
      <c r="O4006" s="33">
        <f t="shared" si="187"/>
        <v>0</v>
      </c>
    </row>
    <row r="4007" spans="1:15" x14ac:dyDescent="0.25">
      <c r="A4007" s="64" t="s">
        <v>188</v>
      </c>
      <c r="B4007" s="79" t="str">
        <f>IF(Seventeenth!B10="", "",Seventeenth!B10)</f>
        <v/>
      </c>
      <c r="C4007" s="66" t="str">
        <f>IF(Seventeenth!C10="", "",Seventeenth!C10)</f>
        <v/>
      </c>
      <c r="D4007" s="66" t="str">
        <f>IF(Seventeenth!D10="", "",Seventeenth!D10)</f>
        <v/>
      </c>
      <c r="E4007" s="66" t="str">
        <f>IF(Seventeenth!E10="", "",Seventeenth!E10)</f>
        <v/>
      </c>
      <c r="F4007" s="66" t="str">
        <f>IF(Seventeenth!F10="", "",Seventeenth!F10)</f>
        <v/>
      </c>
      <c r="G4007" s="66" t="str">
        <f>IF(Seventeenth!G10="", "",Seventeenth!G10)</f>
        <v/>
      </c>
      <c r="H4007" s="66" t="str">
        <f>IF(Seventeenth!H10="", "",Seventeenth!H10)</f>
        <v/>
      </c>
      <c r="I4007" s="66" t="str">
        <f>IF(Seventeenth!I10="", "",Seventeenth!I10)</f>
        <v/>
      </c>
      <c r="J4007" s="66" t="str">
        <f>IF(Seventeenth!J10="", "",Seventeenth!J10)</f>
        <v/>
      </c>
      <c r="K4007" s="86" t="str">
        <f>IF(Seventeenth!K10="", "",Seventeenth!K10)</f>
        <v/>
      </c>
      <c r="M4007" s="67" t="str">
        <f t="shared" si="188"/>
        <v/>
      </c>
      <c r="N4007" s="76" t="str">
        <f t="shared" si="189"/>
        <v/>
      </c>
      <c r="O4007" s="33">
        <f t="shared" si="187"/>
        <v>0</v>
      </c>
    </row>
    <row r="4008" spans="1:15" x14ac:dyDescent="0.25">
      <c r="A4008" s="64" t="s">
        <v>188</v>
      </c>
      <c r="B4008" s="79" t="str">
        <f>IF(Seventeenth!B11="", "",Seventeenth!B11)</f>
        <v/>
      </c>
      <c r="C4008" s="66" t="str">
        <f>IF(Seventeenth!C11="", "",Seventeenth!C11)</f>
        <v/>
      </c>
      <c r="D4008" s="66" t="str">
        <f>IF(Seventeenth!D11="", "",Seventeenth!D11)</f>
        <v/>
      </c>
      <c r="E4008" s="66" t="str">
        <f>IF(Seventeenth!E11="", "",Seventeenth!E11)</f>
        <v/>
      </c>
      <c r="F4008" s="66" t="str">
        <f>IF(Seventeenth!F11="", "",Seventeenth!F11)</f>
        <v/>
      </c>
      <c r="G4008" s="66" t="str">
        <f>IF(Seventeenth!G11="", "",Seventeenth!G11)</f>
        <v/>
      </c>
      <c r="H4008" s="66" t="str">
        <f>IF(Seventeenth!H11="", "",Seventeenth!H11)</f>
        <v/>
      </c>
      <c r="I4008" s="66" t="str">
        <f>IF(Seventeenth!I11="", "",Seventeenth!I11)</f>
        <v/>
      </c>
      <c r="J4008" s="66" t="str">
        <f>IF(Seventeenth!J11="", "",Seventeenth!J11)</f>
        <v/>
      </c>
      <c r="K4008" s="86" t="str">
        <f>IF(Seventeenth!K11="", "",Seventeenth!K11)</f>
        <v/>
      </c>
      <c r="M4008" s="67" t="str">
        <f t="shared" si="188"/>
        <v/>
      </c>
      <c r="N4008" s="76" t="str">
        <f t="shared" si="189"/>
        <v/>
      </c>
      <c r="O4008" s="33">
        <f t="shared" si="187"/>
        <v>0</v>
      </c>
    </row>
    <row r="4009" spans="1:15" x14ac:dyDescent="0.25">
      <c r="A4009" s="64" t="s">
        <v>188</v>
      </c>
      <c r="B4009" s="79" t="str">
        <f>IF(Seventeenth!B12="", "",Seventeenth!B12)</f>
        <v/>
      </c>
      <c r="C4009" s="66" t="str">
        <f>IF(Seventeenth!C12="", "",Seventeenth!C12)</f>
        <v/>
      </c>
      <c r="D4009" s="66" t="str">
        <f>IF(Seventeenth!D12="", "",Seventeenth!D12)</f>
        <v/>
      </c>
      <c r="E4009" s="66" t="str">
        <f>IF(Seventeenth!E12="", "",Seventeenth!E12)</f>
        <v/>
      </c>
      <c r="F4009" s="66" t="str">
        <f>IF(Seventeenth!F12="", "",Seventeenth!F12)</f>
        <v/>
      </c>
      <c r="G4009" s="66" t="str">
        <f>IF(Seventeenth!G12="", "",Seventeenth!G12)</f>
        <v/>
      </c>
      <c r="H4009" s="66" t="str">
        <f>IF(Seventeenth!H12="", "",Seventeenth!H12)</f>
        <v/>
      </c>
      <c r="I4009" s="66" t="str">
        <f>IF(Seventeenth!I12="", "",Seventeenth!I12)</f>
        <v/>
      </c>
      <c r="J4009" s="66" t="str">
        <f>IF(Seventeenth!J12="", "",Seventeenth!J12)</f>
        <v/>
      </c>
      <c r="K4009" s="86" t="str">
        <f>IF(Seventeenth!K12="", "",Seventeenth!K12)</f>
        <v/>
      </c>
      <c r="M4009" s="67" t="str">
        <f t="shared" si="188"/>
        <v/>
      </c>
      <c r="N4009" s="76" t="str">
        <f t="shared" si="189"/>
        <v/>
      </c>
      <c r="O4009" s="33">
        <f t="shared" si="187"/>
        <v>0</v>
      </c>
    </row>
    <row r="4010" spans="1:15" x14ac:dyDescent="0.25">
      <c r="A4010" s="64" t="s">
        <v>188</v>
      </c>
      <c r="B4010" s="79" t="str">
        <f>IF(Seventeenth!B13="", "",Seventeenth!B13)</f>
        <v/>
      </c>
      <c r="C4010" s="66" t="str">
        <f>IF(Seventeenth!C13="", "",Seventeenth!C13)</f>
        <v/>
      </c>
      <c r="D4010" s="66" t="str">
        <f>IF(Seventeenth!D13="", "",Seventeenth!D13)</f>
        <v/>
      </c>
      <c r="E4010" s="66" t="str">
        <f>IF(Seventeenth!E13="", "",Seventeenth!E13)</f>
        <v/>
      </c>
      <c r="F4010" s="66" t="str">
        <f>IF(Seventeenth!F13="", "",Seventeenth!F13)</f>
        <v/>
      </c>
      <c r="G4010" s="66" t="str">
        <f>IF(Seventeenth!G13="", "",Seventeenth!G13)</f>
        <v/>
      </c>
      <c r="H4010" s="66" t="str">
        <f>IF(Seventeenth!H13="", "",Seventeenth!H13)</f>
        <v/>
      </c>
      <c r="I4010" s="66" t="str">
        <f>IF(Seventeenth!I13="", "",Seventeenth!I13)</f>
        <v/>
      </c>
      <c r="J4010" s="66" t="str">
        <f>IF(Seventeenth!J13="", "",Seventeenth!J13)</f>
        <v/>
      </c>
      <c r="K4010" s="86" t="str">
        <f>IF(Seventeenth!K13="", "",Seventeenth!K13)</f>
        <v/>
      </c>
      <c r="M4010" s="67" t="str">
        <f t="shared" si="188"/>
        <v/>
      </c>
      <c r="N4010" s="76" t="str">
        <f t="shared" si="189"/>
        <v/>
      </c>
      <c r="O4010" s="33">
        <f t="shared" si="187"/>
        <v>0</v>
      </c>
    </row>
    <row r="4011" spans="1:15" x14ac:dyDescent="0.25">
      <c r="A4011" s="64" t="s">
        <v>188</v>
      </c>
      <c r="B4011" s="79" t="str">
        <f>IF(Seventeenth!B14="", "",Seventeenth!B14)</f>
        <v/>
      </c>
      <c r="C4011" s="66" t="str">
        <f>IF(Seventeenth!C14="", "",Seventeenth!C14)</f>
        <v/>
      </c>
      <c r="D4011" s="66" t="str">
        <f>IF(Seventeenth!D14="", "",Seventeenth!D14)</f>
        <v/>
      </c>
      <c r="E4011" s="66" t="str">
        <f>IF(Seventeenth!E14="", "",Seventeenth!E14)</f>
        <v/>
      </c>
      <c r="F4011" s="66" t="str">
        <f>IF(Seventeenth!F14="", "",Seventeenth!F14)</f>
        <v/>
      </c>
      <c r="G4011" s="66" t="str">
        <f>IF(Seventeenth!G14="", "",Seventeenth!G14)</f>
        <v/>
      </c>
      <c r="H4011" s="66" t="str">
        <f>IF(Seventeenth!H14="", "",Seventeenth!H14)</f>
        <v/>
      </c>
      <c r="I4011" s="66" t="str">
        <f>IF(Seventeenth!I14="", "",Seventeenth!I14)</f>
        <v/>
      </c>
      <c r="J4011" s="66" t="str">
        <f>IF(Seventeenth!J14="", "",Seventeenth!J14)</f>
        <v/>
      </c>
      <c r="K4011" s="86" t="str">
        <f>IF(Seventeenth!K14="", "",Seventeenth!K14)</f>
        <v/>
      </c>
      <c r="M4011" s="67" t="str">
        <f t="shared" si="188"/>
        <v/>
      </c>
      <c r="N4011" s="76" t="str">
        <f t="shared" si="189"/>
        <v/>
      </c>
      <c r="O4011" s="33">
        <f t="shared" si="187"/>
        <v>0</v>
      </c>
    </row>
    <row r="4012" spans="1:15" x14ac:dyDescent="0.25">
      <c r="A4012" s="64" t="s">
        <v>188</v>
      </c>
      <c r="B4012" s="79" t="str">
        <f>IF(Seventeenth!B15="", "",Seventeenth!B15)</f>
        <v/>
      </c>
      <c r="C4012" s="66" t="str">
        <f>IF(Seventeenth!C15="", "",Seventeenth!C15)</f>
        <v/>
      </c>
      <c r="D4012" s="66" t="str">
        <f>IF(Seventeenth!D15="", "",Seventeenth!D15)</f>
        <v/>
      </c>
      <c r="E4012" s="66" t="str">
        <f>IF(Seventeenth!E15="", "",Seventeenth!E15)</f>
        <v/>
      </c>
      <c r="F4012" s="66" t="str">
        <f>IF(Seventeenth!F15="", "",Seventeenth!F15)</f>
        <v/>
      </c>
      <c r="G4012" s="66" t="str">
        <f>IF(Seventeenth!G15="", "",Seventeenth!G15)</f>
        <v/>
      </c>
      <c r="H4012" s="66" t="str">
        <f>IF(Seventeenth!H15="", "",Seventeenth!H15)</f>
        <v/>
      </c>
      <c r="I4012" s="66" t="str">
        <f>IF(Seventeenth!I15="", "",Seventeenth!I15)</f>
        <v/>
      </c>
      <c r="J4012" s="66" t="str">
        <f>IF(Seventeenth!J15="", "",Seventeenth!J15)</f>
        <v/>
      </c>
      <c r="K4012" s="86" t="str">
        <f>IF(Seventeenth!K15="", "",Seventeenth!K15)</f>
        <v/>
      </c>
      <c r="M4012" s="67" t="str">
        <f t="shared" si="188"/>
        <v/>
      </c>
      <c r="N4012" s="76" t="str">
        <f t="shared" si="189"/>
        <v/>
      </c>
      <c r="O4012" s="33">
        <f t="shared" si="187"/>
        <v>0</v>
      </c>
    </row>
    <row r="4013" spans="1:15" x14ac:dyDescent="0.25">
      <c r="A4013" s="64" t="s">
        <v>188</v>
      </c>
      <c r="B4013" s="79" t="str">
        <f>IF(Seventeenth!B16="", "",Seventeenth!B16)</f>
        <v/>
      </c>
      <c r="C4013" s="66" t="str">
        <f>IF(Seventeenth!C16="", "",Seventeenth!C16)</f>
        <v/>
      </c>
      <c r="D4013" s="66" t="str">
        <f>IF(Seventeenth!D16="", "",Seventeenth!D16)</f>
        <v/>
      </c>
      <c r="E4013" s="66" t="str">
        <f>IF(Seventeenth!E16="", "",Seventeenth!E16)</f>
        <v/>
      </c>
      <c r="F4013" s="66" t="str">
        <f>IF(Seventeenth!F16="", "",Seventeenth!F16)</f>
        <v/>
      </c>
      <c r="G4013" s="66" t="str">
        <f>IF(Seventeenth!G16="", "",Seventeenth!G16)</f>
        <v/>
      </c>
      <c r="H4013" s="66" t="str">
        <f>IF(Seventeenth!H16="", "",Seventeenth!H16)</f>
        <v/>
      </c>
      <c r="I4013" s="66" t="str">
        <f>IF(Seventeenth!I16="", "",Seventeenth!I16)</f>
        <v/>
      </c>
      <c r="J4013" s="66" t="str">
        <f>IF(Seventeenth!J16="", "",Seventeenth!J16)</f>
        <v/>
      </c>
      <c r="K4013" s="86" t="str">
        <f>IF(Seventeenth!K16="", "",Seventeenth!K16)</f>
        <v/>
      </c>
      <c r="M4013" s="67" t="str">
        <f t="shared" si="188"/>
        <v/>
      </c>
      <c r="N4013" s="76" t="str">
        <f t="shared" si="189"/>
        <v/>
      </c>
      <c r="O4013" s="33">
        <f t="shared" si="187"/>
        <v>0</v>
      </c>
    </row>
    <row r="4014" spans="1:15" x14ac:dyDescent="0.25">
      <c r="A4014" s="64" t="s">
        <v>188</v>
      </c>
      <c r="B4014" s="79" t="str">
        <f>IF(Seventeenth!B17="", "",Seventeenth!B17)</f>
        <v/>
      </c>
      <c r="C4014" s="66" t="str">
        <f>IF(Seventeenth!C17="", "",Seventeenth!C17)</f>
        <v/>
      </c>
      <c r="D4014" s="66" t="str">
        <f>IF(Seventeenth!D17="", "",Seventeenth!D17)</f>
        <v/>
      </c>
      <c r="E4014" s="66" t="str">
        <f>IF(Seventeenth!E17="", "",Seventeenth!E17)</f>
        <v/>
      </c>
      <c r="F4014" s="66" t="str">
        <f>IF(Seventeenth!F17="", "",Seventeenth!F17)</f>
        <v/>
      </c>
      <c r="G4014" s="66" t="str">
        <f>IF(Seventeenth!G17="", "",Seventeenth!G17)</f>
        <v/>
      </c>
      <c r="H4014" s="66" t="str">
        <f>IF(Seventeenth!H17="", "",Seventeenth!H17)</f>
        <v/>
      </c>
      <c r="I4014" s="66" t="str">
        <f>IF(Seventeenth!I17="", "",Seventeenth!I17)</f>
        <v/>
      </c>
      <c r="J4014" s="66" t="str">
        <f>IF(Seventeenth!J17="", "",Seventeenth!J17)</f>
        <v/>
      </c>
      <c r="K4014" s="86" t="str">
        <f>IF(Seventeenth!K17="", "",Seventeenth!K17)</f>
        <v/>
      </c>
      <c r="M4014" s="67" t="str">
        <f t="shared" si="188"/>
        <v/>
      </c>
      <c r="N4014" s="76" t="str">
        <f t="shared" si="189"/>
        <v/>
      </c>
      <c r="O4014" s="33">
        <f t="shared" si="187"/>
        <v>0</v>
      </c>
    </row>
    <row r="4015" spans="1:15" x14ac:dyDescent="0.25">
      <c r="A4015" s="64" t="s">
        <v>188</v>
      </c>
      <c r="B4015" s="79" t="str">
        <f>IF(Seventeenth!B18="", "",Seventeenth!B18)</f>
        <v/>
      </c>
      <c r="C4015" s="66" t="str">
        <f>IF(Seventeenth!C18="", "",Seventeenth!C18)</f>
        <v/>
      </c>
      <c r="D4015" s="66" t="str">
        <f>IF(Seventeenth!D18="", "",Seventeenth!D18)</f>
        <v/>
      </c>
      <c r="E4015" s="66" t="str">
        <f>IF(Seventeenth!E18="", "",Seventeenth!E18)</f>
        <v/>
      </c>
      <c r="F4015" s="66" t="str">
        <f>IF(Seventeenth!F18="", "",Seventeenth!F18)</f>
        <v/>
      </c>
      <c r="G4015" s="66" t="str">
        <f>IF(Seventeenth!G18="", "",Seventeenth!G18)</f>
        <v/>
      </c>
      <c r="H4015" s="66" t="str">
        <f>IF(Seventeenth!H18="", "",Seventeenth!H18)</f>
        <v/>
      </c>
      <c r="I4015" s="66" t="str">
        <f>IF(Seventeenth!I18="", "",Seventeenth!I18)</f>
        <v/>
      </c>
      <c r="J4015" s="66" t="str">
        <f>IF(Seventeenth!J18="", "",Seventeenth!J18)</f>
        <v/>
      </c>
      <c r="K4015" s="86" t="str">
        <f>IF(Seventeenth!K18="", "",Seventeenth!K18)</f>
        <v/>
      </c>
      <c r="M4015" s="67" t="str">
        <f t="shared" si="188"/>
        <v/>
      </c>
      <c r="N4015" s="76" t="str">
        <f t="shared" si="189"/>
        <v/>
      </c>
      <c r="O4015" s="33">
        <f t="shared" si="187"/>
        <v>0</v>
      </c>
    </row>
    <row r="4016" spans="1:15" x14ac:dyDescent="0.25">
      <c r="A4016" s="64" t="s">
        <v>188</v>
      </c>
      <c r="B4016" s="79" t="str">
        <f>IF(Seventeenth!B19="", "",Seventeenth!B19)</f>
        <v/>
      </c>
      <c r="C4016" s="66" t="str">
        <f>IF(Seventeenth!C19="", "",Seventeenth!C19)</f>
        <v/>
      </c>
      <c r="D4016" s="66" t="str">
        <f>IF(Seventeenth!D19="", "",Seventeenth!D19)</f>
        <v/>
      </c>
      <c r="E4016" s="66" t="str">
        <f>IF(Seventeenth!E19="", "",Seventeenth!E19)</f>
        <v/>
      </c>
      <c r="F4016" s="66" t="str">
        <f>IF(Seventeenth!F19="", "",Seventeenth!F19)</f>
        <v/>
      </c>
      <c r="G4016" s="66" t="str">
        <f>IF(Seventeenth!G19="", "",Seventeenth!G19)</f>
        <v/>
      </c>
      <c r="H4016" s="66" t="str">
        <f>IF(Seventeenth!H19="", "",Seventeenth!H19)</f>
        <v/>
      </c>
      <c r="I4016" s="66" t="str">
        <f>IF(Seventeenth!I19="", "",Seventeenth!I19)</f>
        <v/>
      </c>
      <c r="J4016" s="66" t="str">
        <f>IF(Seventeenth!J19="", "",Seventeenth!J19)</f>
        <v/>
      </c>
      <c r="K4016" s="86" t="str">
        <f>IF(Seventeenth!K19="", "",Seventeenth!K19)</f>
        <v/>
      </c>
      <c r="M4016" s="67" t="str">
        <f t="shared" si="188"/>
        <v/>
      </c>
      <c r="N4016" s="76" t="str">
        <f t="shared" si="189"/>
        <v/>
      </c>
      <c r="O4016" s="33">
        <f t="shared" si="187"/>
        <v>0</v>
      </c>
    </row>
    <row r="4017" spans="1:15" x14ac:dyDescent="0.25">
      <c r="A4017" s="64" t="s">
        <v>188</v>
      </c>
      <c r="B4017" s="79" t="str">
        <f>IF(Seventeenth!B20="", "",Seventeenth!B20)</f>
        <v/>
      </c>
      <c r="C4017" s="66" t="str">
        <f>IF(Seventeenth!C20="", "",Seventeenth!C20)</f>
        <v/>
      </c>
      <c r="D4017" s="66" t="str">
        <f>IF(Seventeenth!D20="", "",Seventeenth!D20)</f>
        <v/>
      </c>
      <c r="E4017" s="66" t="str">
        <f>IF(Seventeenth!E20="", "",Seventeenth!E20)</f>
        <v/>
      </c>
      <c r="F4017" s="66" t="str">
        <f>IF(Seventeenth!F20="", "",Seventeenth!F20)</f>
        <v/>
      </c>
      <c r="G4017" s="66" t="str">
        <f>IF(Seventeenth!G20="", "",Seventeenth!G20)</f>
        <v/>
      </c>
      <c r="H4017" s="66" t="str">
        <f>IF(Seventeenth!H20="", "",Seventeenth!H20)</f>
        <v/>
      </c>
      <c r="I4017" s="66" t="str">
        <f>IF(Seventeenth!I20="", "",Seventeenth!I20)</f>
        <v/>
      </c>
      <c r="J4017" s="66" t="str">
        <f>IF(Seventeenth!J20="", "",Seventeenth!J20)</f>
        <v/>
      </c>
      <c r="K4017" s="86" t="str">
        <f>IF(Seventeenth!K20="", "",Seventeenth!K20)</f>
        <v/>
      </c>
      <c r="M4017" s="67" t="str">
        <f t="shared" si="188"/>
        <v/>
      </c>
      <c r="N4017" s="76" t="str">
        <f t="shared" si="189"/>
        <v/>
      </c>
      <c r="O4017" s="33">
        <f t="shared" si="187"/>
        <v>0</v>
      </c>
    </row>
    <row r="4018" spans="1:15" x14ac:dyDescent="0.25">
      <c r="A4018" s="64" t="s">
        <v>188</v>
      </c>
      <c r="B4018" s="79" t="str">
        <f>IF(Seventeenth!B21="", "",Seventeenth!B21)</f>
        <v/>
      </c>
      <c r="C4018" s="66" t="str">
        <f>IF(Seventeenth!C21="", "",Seventeenth!C21)</f>
        <v/>
      </c>
      <c r="D4018" s="66" t="str">
        <f>IF(Seventeenth!D21="", "",Seventeenth!D21)</f>
        <v/>
      </c>
      <c r="E4018" s="66" t="str">
        <f>IF(Seventeenth!E21="", "",Seventeenth!E21)</f>
        <v/>
      </c>
      <c r="F4018" s="66" t="str">
        <f>IF(Seventeenth!F21="", "",Seventeenth!F21)</f>
        <v/>
      </c>
      <c r="G4018" s="66" t="str">
        <f>IF(Seventeenth!G21="", "",Seventeenth!G21)</f>
        <v/>
      </c>
      <c r="H4018" s="66" t="str">
        <f>IF(Seventeenth!H21="", "",Seventeenth!H21)</f>
        <v/>
      </c>
      <c r="I4018" s="66" t="str">
        <f>IF(Seventeenth!I21="", "",Seventeenth!I21)</f>
        <v/>
      </c>
      <c r="J4018" s="66" t="str">
        <f>IF(Seventeenth!J21="", "",Seventeenth!J21)</f>
        <v/>
      </c>
      <c r="K4018" s="86" t="str">
        <f>IF(Seventeenth!K21="", "",Seventeenth!K21)</f>
        <v/>
      </c>
      <c r="M4018" s="67" t="str">
        <f t="shared" si="188"/>
        <v/>
      </c>
      <c r="N4018" s="76" t="str">
        <f t="shared" si="189"/>
        <v/>
      </c>
      <c r="O4018" s="33">
        <f t="shared" si="187"/>
        <v>0</v>
      </c>
    </row>
    <row r="4019" spans="1:15" x14ac:dyDescent="0.25">
      <c r="A4019" s="64" t="s">
        <v>188</v>
      </c>
      <c r="B4019" s="79" t="str">
        <f>IF(Seventeenth!B22="", "",Seventeenth!B22)</f>
        <v/>
      </c>
      <c r="C4019" s="66" t="str">
        <f>IF(Seventeenth!C22="", "",Seventeenth!C22)</f>
        <v/>
      </c>
      <c r="D4019" s="66" t="str">
        <f>IF(Seventeenth!D22="", "",Seventeenth!D22)</f>
        <v/>
      </c>
      <c r="E4019" s="66" t="str">
        <f>IF(Seventeenth!E22="", "",Seventeenth!E22)</f>
        <v/>
      </c>
      <c r="F4019" s="66" t="str">
        <f>IF(Seventeenth!F22="", "",Seventeenth!F22)</f>
        <v/>
      </c>
      <c r="G4019" s="66" t="str">
        <f>IF(Seventeenth!G22="", "",Seventeenth!G22)</f>
        <v/>
      </c>
      <c r="H4019" s="66" t="str">
        <f>IF(Seventeenth!H22="", "",Seventeenth!H22)</f>
        <v/>
      </c>
      <c r="I4019" s="66" t="str">
        <f>IF(Seventeenth!I22="", "",Seventeenth!I22)</f>
        <v/>
      </c>
      <c r="J4019" s="66" t="str">
        <f>IF(Seventeenth!J22="", "",Seventeenth!J22)</f>
        <v/>
      </c>
      <c r="K4019" s="86" t="str">
        <f>IF(Seventeenth!K22="", "",Seventeenth!K22)</f>
        <v/>
      </c>
      <c r="M4019" s="67" t="str">
        <f t="shared" si="188"/>
        <v/>
      </c>
      <c r="N4019" s="76" t="str">
        <f t="shared" si="189"/>
        <v/>
      </c>
      <c r="O4019" s="33">
        <f t="shared" si="187"/>
        <v>0</v>
      </c>
    </row>
    <row r="4020" spans="1:15" x14ac:dyDescent="0.25">
      <c r="A4020" s="64" t="s">
        <v>188</v>
      </c>
      <c r="B4020" s="79" t="str">
        <f>IF(Seventeenth!B23="", "",Seventeenth!B23)</f>
        <v/>
      </c>
      <c r="C4020" s="66" t="str">
        <f>IF(Seventeenth!C23="", "",Seventeenth!C23)</f>
        <v/>
      </c>
      <c r="D4020" s="66" t="str">
        <f>IF(Seventeenth!D23="", "",Seventeenth!D23)</f>
        <v/>
      </c>
      <c r="E4020" s="66" t="str">
        <f>IF(Seventeenth!E23="", "",Seventeenth!E23)</f>
        <v/>
      </c>
      <c r="F4020" s="66" t="str">
        <f>IF(Seventeenth!F23="", "",Seventeenth!F23)</f>
        <v/>
      </c>
      <c r="G4020" s="66" t="str">
        <f>IF(Seventeenth!G23="", "",Seventeenth!G23)</f>
        <v/>
      </c>
      <c r="H4020" s="66" t="str">
        <f>IF(Seventeenth!H23="", "",Seventeenth!H23)</f>
        <v/>
      </c>
      <c r="I4020" s="66" t="str">
        <f>IF(Seventeenth!I23="", "",Seventeenth!I23)</f>
        <v/>
      </c>
      <c r="J4020" s="66" t="str">
        <f>IF(Seventeenth!J23="", "",Seventeenth!J23)</f>
        <v/>
      </c>
      <c r="K4020" s="86" t="str">
        <f>IF(Seventeenth!K23="", "",Seventeenth!K23)</f>
        <v/>
      </c>
      <c r="M4020" s="67" t="str">
        <f t="shared" si="188"/>
        <v/>
      </c>
      <c r="N4020" s="76" t="str">
        <f t="shared" si="189"/>
        <v/>
      </c>
      <c r="O4020" s="33">
        <f t="shared" si="187"/>
        <v>0</v>
      </c>
    </row>
    <row r="4021" spans="1:15" x14ac:dyDescent="0.25">
      <c r="A4021" s="64" t="s">
        <v>188</v>
      </c>
      <c r="B4021" s="79" t="str">
        <f>IF(Seventeenth!B24="", "",Seventeenth!B24)</f>
        <v/>
      </c>
      <c r="C4021" s="66" t="str">
        <f>IF(Seventeenth!C24="", "",Seventeenth!C24)</f>
        <v/>
      </c>
      <c r="D4021" s="66" t="str">
        <f>IF(Seventeenth!D24="", "",Seventeenth!D24)</f>
        <v/>
      </c>
      <c r="E4021" s="66" t="str">
        <f>IF(Seventeenth!E24="", "",Seventeenth!E24)</f>
        <v/>
      </c>
      <c r="F4021" s="66" t="str">
        <f>IF(Seventeenth!F24="", "",Seventeenth!F24)</f>
        <v/>
      </c>
      <c r="G4021" s="66" t="str">
        <f>IF(Seventeenth!G24="", "",Seventeenth!G24)</f>
        <v/>
      </c>
      <c r="H4021" s="66" t="str">
        <f>IF(Seventeenth!H24="", "",Seventeenth!H24)</f>
        <v/>
      </c>
      <c r="I4021" s="66" t="str">
        <f>IF(Seventeenth!I24="", "",Seventeenth!I24)</f>
        <v/>
      </c>
      <c r="J4021" s="66" t="str">
        <f>IF(Seventeenth!J24="", "",Seventeenth!J24)</f>
        <v/>
      </c>
      <c r="K4021" s="86" t="str">
        <f>IF(Seventeenth!K24="", "",Seventeenth!K24)</f>
        <v/>
      </c>
      <c r="M4021" s="67" t="str">
        <f t="shared" si="188"/>
        <v/>
      </c>
      <c r="N4021" s="76" t="str">
        <f t="shared" si="189"/>
        <v/>
      </c>
      <c r="O4021" s="33">
        <f t="shared" si="187"/>
        <v>0</v>
      </c>
    </row>
    <row r="4022" spans="1:15" x14ac:dyDescent="0.25">
      <c r="A4022" s="64" t="s">
        <v>188</v>
      </c>
      <c r="B4022" s="79" t="str">
        <f>IF(Seventeenth!B25="", "",Seventeenth!B25)</f>
        <v/>
      </c>
      <c r="C4022" s="66" t="str">
        <f>IF(Seventeenth!C25="", "",Seventeenth!C25)</f>
        <v/>
      </c>
      <c r="D4022" s="66" t="str">
        <f>IF(Seventeenth!D25="", "",Seventeenth!D25)</f>
        <v/>
      </c>
      <c r="E4022" s="66" t="str">
        <f>IF(Seventeenth!E25="", "",Seventeenth!E25)</f>
        <v/>
      </c>
      <c r="F4022" s="66" t="str">
        <f>IF(Seventeenth!F25="", "",Seventeenth!F25)</f>
        <v/>
      </c>
      <c r="G4022" s="66" t="str">
        <f>IF(Seventeenth!G25="", "",Seventeenth!G25)</f>
        <v/>
      </c>
      <c r="H4022" s="66" t="str">
        <f>IF(Seventeenth!H25="", "",Seventeenth!H25)</f>
        <v/>
      </c>
      <c r="I4022" s="66" t="str">
        <f>IF(Seventeenth!I25="", "",Seventeenth!I25)</f>
        <v/>
      </c>
      <c r="J4022" s="66" t="str">
        <f>IF(Seventeenth!J25="", "",Seventeenth!J25)</f>
        <v/>
      </c>
      <c r="K4022" s="86" t="str">
        <f>IF(Seventeenth!K25="", "",Seventeenth!K25)</f>
        <v/>
      </c>
      <c r="M4022" s="67" t="str">
        <f t="shared" si="188"/>
        <v/>
      </c>
      <c r="N4022" s="76" t="str">
        <f t="shared" si="189"/>
        <v/>
      </c>
      <c r="O4022" s="33">
        <f t="shared" si="187"/>
        <v>0</v>
      </c>
    </row>
    <row r="4023" spans="1:15" x14ac:dyDescent="0.25">
      <c r="A4023" s="64" t="s">
        <v>188</v>
      </c>
      <c r="B4023" s="79" t="str">
        <f>IF(Seventeenth!B26="", "",Seventeenth!B26)</f>
        <v/>
      </c>
      <c r="C4023" s="66" t="str">
        <f>IF(Seventeenth!C26="", "",Seventeenth!C26)</f>
        <v/>
      </c>
      <c r="D4023" s="66" t="str">
        <f>IF(Seventeenth!D26="", "",Seventeenth!D26)</f>
        <v/>
      </c>
      <c r="E4023" s="66" t="str">
        <f>IF(Seventeenth!E26="", "",Seventeenth!E26)</f>
        <v/>
      </c>
      <c r="F4023" s="66" t="str">
        <f>IF(Seventeenth!F26="", "",Seventeenth!F26)</f>
        <v/>
      </c>
      <c r="G4023" s="66" t="str">
        <f>IF(Seventeenth!G26="", "",Seventeenth!G26)</f>
        <v/>
      </c>
      <c r="H4023" s="66" t="str">
        <f>IF(Seventeenth!H26="", "",Seventeenth!H26)</f>
        <v/>
      </c>
      <c r="I4023" s="66" t="str">
        <f>IF(Seventeenth!I26="", "",Seventeenth!I26)</f>
        <v/>
      </c>
      <c r="J4023" s="66" t="str">
        <f>IF(Seventeenth!J26="", "",Seventeenth!J26)</f>
        <v/>
      </c>
      <c r="K4023" s="86" t="str">
        <f>IF(Seventeenth!K26="", "",Seventeenth!K26)</f>
        <v/>
      </c>
      <c r="M4023" s="67" t="str">
        <f t="shared" si="188"/>
        <v/>
      </c>
      <c r="N4023" s="76" t="str">
        <f t="shared" si="189"/>
        <v/>
      </c>
      <c r="O4023" s="33">
        <f t="shared" si="187"/>
        <v>0</v>
      </c>
    </row>
    <row r="4024" spans="1:15" x14ac:dyDescent="0.25">
      <c r="A4024" s="64" t="s">
        <v>188</v>
      </c>
      <c r="B4024" s="79" t="str">
        <f>IF(Seventeenth!B27="", "",Seventeenth!B27)</f>
        <v/>
      </c>
      <c r="C4024" s="66" t="str">
        <f>IF(Seventeenth!C27="", "",Seventeenth!C27)</f>
        <v/>
      </c>
      <c r="D4024" s="66" t="str">
        <f>IF(Seventeenth!D27="", "",Seventeenth!D27)</f>
        <v/>
      </c>
      <c r="E4024" s="66" t="str">
        <f>IF(Seventeenth!E27="", "",Seventeenth!E27)</f>
        <v/>
      </c>
      <c r="F4024" s="66" t="str">
        <f>IF(Seventeenth!F27="", "",Seventeenth!F27)</f>
        <v/>
      </c>
      <c r="G4024" s="66" t="str">
        <f>IF(Seventeenth!G27="", "",Seventeenth!G27)</f>
        <v/>
      </c>
      <c r="H4024" s="66" t="str">
        <f>IF(Seventeenth!H27="", "",Seventeenth!H27)</f>
        <v/>
      </c>
      <c r="I4024" s="66" t="str">
        <f>IF(Seventeenth!I27="", "",Seventeenth!I27)</f>
        <v/>
      </c>
      <c r="J4024" s="66" t="str">
        <f>IF(Seventeenth!J27="", "",Seventeenth!J27)</f>
        <v/>
      </c>
      <c r="K4024" s="86" t="str">
        <f>IF(Seventeenth!K27="", "",Seventeenth!K27)</f>
        <v/>
      </c>
      <c r="M4024" s="67" t="str">
        <f t="shared" si="188"/>
        <v/>
      </c>
      <c r="N4024" s="76" t="str">
        <f t="shared" si="189"/>
        <v/>
      </c>
      <c r="O4024" s="33">
        <f t="shared" si="187"/>
        <v>0</v>
      </c>
    </row>
    <row r="4025" spans="1:15" x14ac:dyDescent="0.25">
      <c r="A4025" s="64" t="s">
        <v>188</v>
      </c>
      <c r="B4025" s="79" t="str">
        <f>IF(Seventeenth!B28="", "",Seventeenth!B28)</f>
        <v/>
      </c>
      <c r="C4025" s="66" t="str">
        <f>IF(Seventeenth!C28="", "",Seventeenth!C28)</f>
        <v/>
      </c>
      <c r="D4025" s="66" t="str">
        <f>IF(Seventeenth!D28="", "",Seventeenth!D28)</f>
        <v/>
      </c>
      <c r="E4025" s="66" t="str">
        <f>IF(Seventeenth!E28="", "",Seventeenth!E28)</f>
        <v/>
      </c>
      <c r="F4025" s="66" t="str">
        <f>IF(Seventeenth!F28="", "",Seventeenth!F28)</f>
        <v/>
      </c>
      <c r="G4025" s="66" t="str">
        <f>IF(Seventeenth!G28="", "",Seventeenth!G28)</f>
        <v/>
      </c>
      <c r="H4025" s="66" t="str">
        <f>IF(Seventeenth!H28="", "",Seventeenth!H28)</f>
        <v/>
      </c>
      <c r="I4025" s="66" t="str">
        <f>IF(Seventeenth!I28="", "",Seventeenth!I28)</f>
        <v/>
      </c>
      <c r="J4025" s="66" t="str">
        <f>IF(Seventeenth!J28="", "",Seventeenth!J28)</f>
        <v/>
      </c>
      <c r="K4025" s="86" t="str">
        <f>IF(Seventeenth!K28="", "",Seventeenth!K28)</f>
        <v/>
      </c>
      <c r="M4025" s="67" t="str">
        <f t="shared" si="188"/>
        <v/>
      </c>
      <c r="N4025" s="76" t="str">
        <f t="shared" si="189"/>
        <v/>
      </c>
      <c r="O4025" s="33">
        <f t="shared" si="187"/>
        <v>0</v>
      </c>
    </row>
    <row r="4026" spans="1:15" x14ac:dyDescent="0.25">
      <c r="A4026" s="64" t="s">
        <v>188</v>
      </c>
      <c r="B4026" s="79" t="str">
        <f>IF(Seventeenth!B29="", "",Seventeenth!B29)</f>
        <v/>
      </c>
      <c r="C4026" s="66" t="str">
        <f>IF(Seventeenth!C29="", "",Seventeenth!C29)</f>
        <v/>
      </c>
      <c r="D4026" s="66" t="str">
        <f>IF(Seventeenth!D29="", "",Seventeenth!D29)</f>
        <v/>
      </c>
      <c r="E4026" s="66" t="str">
        <f>IF(Seventeenth!E29="", "",Seventeenth!E29)</f>
        <v/>
      </c>
      <c r="F4026" s="66" t="str">
        <f>IF(Seventeenth!F29="", "",Seventeenth!F29)</f>
        <v/>
      </c>
      <c r="G4026" s="66" t="str">
        <f>IF(Seventeenth!G29="", "",Seventeenth!G29)</f>
        <v/>
      </c>
      <c r="H4026" s="66" t="str">
        <f>IF(Seventeenth!H29="", "",Seventeenth!H29)</f>
        <v/>
      </c>
      <c r="I4026" s="66" t="str">
        <f>IF(Seventeenth!I29="", "",Seventeenth!I29)</f>
        <v/>
      </c>
      <c r="J4026" s="66" t="str">
        <f>IF(Seventeenth!J29="", "",Seventeenth!J29)</f>
        <v/>
      </c>
      <c r="K4026" s="86" t="str">
        <f>IF(Seventeenth!K29="", "",Seventeenth!K29)</f>
        <v/>
      </c>
      <c r="M4026" s="67" t="str">
        <f t="shared" si="188"/>
        <v/>
      </c>
      <c r="N4026" s="76" t="str">
        <f t="shared" si="189"/>
        <v/>
      </c>
      <c r="O4026" s="33">
        <f t="shared" si="187"/>
        <v>0</v>
      </c>
    </row>
    <row r="4027" spans="1:15" x14ac:dyDescent="0.25">
      <c r="A4027" s="64" t="s">
        <v>188</v>
      </c>
      <c r="B4027" s="79" t="str">
        <f>IF(Seventeenth!B30="", "",Seventeenth!B30)</f>
        <v/>
      </c>
      <c r="C4027" s="66" t="str">
        <f>IF(Seventeenth!C30="", "",Seventeenth!C30)</f>
        <v/>
      </c>
      <c r="D4027" s="66" t="str">
        <f>IF(Seventeenth!D30="", "",Seventeenth!D30)</f>
        <v/>
      </c>
      <c r="E4027" s="66" t="str">
        <f>IF(Seventeenth!E30="", "",Seventeenth!E30)</f>
        <v/>
      </c>
      <c r="F4027" s="66" t="str">
        <f>IF(Seventeenth!F30="", "",Seventeenth!F30)</f>
        <v/>
      </c>
      <c r="G4027" s="66" t="str">
        <f>IF(Seventeenth!G30="", "",Seventeenth!G30)</f>
        <v/>
      </c>
      <c r="H4027" s="66" t="str">
        <f>IF(Seventeenth!H30="", "",Seventeenth!H30)</f>
        <v/>
      </c>
      <c r="I4027" s="66" t="str">
        <f>IF(Seventeenth!I30="", "",Seventeenth!I30)</f>
        <v/>
      </c>
      <c r="J4027" s="66" t="str">
        <f>IF(Seventeenth!J30="", "",Seventeenth!J30)</f>
        <v/>
      </c>
      <c r="K4027" s="86" t="str">
        <f>IF(Seventeenth!K30="", "",Seventeenth!K30)</f>
        <v/>
      </c>
      <c r="M4027" s="67" t="str">
        <f t="shared" si="188"/>
        <v/>
      </c>
      <c r="N4027" s="76" t="str">
        <f t="shared" si="189"/>
        <v/>
      </c>
      <c r="O4027" s="33">
        <f t="shared" si="187"/>
        <v>0</v>
      </c>
    </row>
    <row r="4028" spans="1:15" x14ac:dyDescent="0.25">
      <c r="A4028" s="64" t="s">
        <v>188</v>
      </c>
      <c r="B4028" s="79" t="str">
        <f>IF(Seventeenth!B31="", "",Seventeenth!B31)</f>
        <v/>
      </c>
      <c r="C4028" s="66" t="str">
        <f>IF(Seventeenth!C31="", "",Seventeenth!C31)</f>
        <v/>
      </c>
      <c r="D4028" s="66" t="str">
        <f>IF(Seventeenth!D31="", "",Seventeenth!D31)</f>
        <v/>
      </c>
      <c r="E4028" s="66" t="str">
        <f>IF(Seventeenth!E31="", "",Seventeenth!E31)</f>
        <v/>
      </c>
      <c r="F4028" s="66" t="str">
        <f>IF(Seventeenth!F31="", "",Seventeenth!F31)</f>
        <v/>
      </c>
      <c r="G4028" s="66" t="str">
        <f>IF(Seventeenth!G31="", "",Seventeenth!G31)</f>
        <v/>
      </c>
      <c r="H4028" s="66" t="str">
        <f>IF(Seventeenth!H31="", "",Seventeenth!H31)</f>
        <v/>
      </c>
      <c r="I4028" s="66" t="str">
        <f>IF(Seventeenth!I31="", "",Seventeenth!I31)</f>
        <v/>
      </c>
      <c r="J4028" s="66" t="str">
        <f>IF(Seventeenth!J31="", "",Seventeenth!J31)</f>
        <v/>
      </c>
      <c r="K4028" s="86" t="str">
        <f>IF(Seventeenth!K31="", "",Seventeenth!K31)</f>
        <v/>
      </c>
      <c r="M4028" s="67" t="str">
        <f t="shared" si="188"/>
        <v/>
      </c>
      <c r="N4028" s="76" t="str">
        <f t="shared" si="189"/>
        <v/>
      </c>
      <c r="O4028" s="33">
        <f t="shared" si="187"/>
        <v>0</v>
      </c>
    </row>
    <row r="4029" spans="1:15" x14ac:dyDescent="0.25">
      <c r="A4029" s="64" t="s">
        <v>188</v>
      </c>
      <c r="B4029" s="79" t="str">
        <f>IF(Seventeenth!B32="", "",Seventeenth!B32)</f>
        <v/>
      </c>
      <c r="C4029" s="66" t="str">
        <f>IF(Seventeenth!C32="", "",Seventeenth!C32)</f>
        <v/>
      </c>
      <c r="D4029" s="66" t="str">
        <f>IF(Seventeenth!D32="", "",Seventeenth!D32)</f>
        <v/>
      </c>
      <c r="E4029" s="66" t="str">
        <f>IF(Seventeenth!E32="", "",Seventeenth!E32)</f>
        <v/>
      </c>
      <c r="F4029" s="66" t="str">
        <f>IF(Seventeenth!F32="", "",Seventeenth!F32)</f>
        <v/>
      </c>
      <c r="G4029" s="66" t="str">
        <f>IF(Seventeenth!G32="", "",Seventeenth!G32)</f>
        <v/>
      </c>
      <c r="H4029" s="66" t="str">
        <f>IF(Seventeenth!H32="", "",Seventeenth!H32)</f>
        <v/>
      </c>
      <c r="I4029" s="66" t="str">
        <f>IF(Seventeenth!I32="", "",Seventeenth!I32)</f>
        <v/>
      </c>
      <c r="J4029" s="66" t="str">
        <f>IF(Seventeenth!J32="", "",Seventeenth!J32)</f>
        <v/>
      </c>
      <c r="K4029" s="86" t="str">
        <f>IF(Seventeenth!K32="", "",Seventeenth!K32)</f>
        <v/>
      </c>
      <c r="M4029" s="67" t="str">
        <f t="shared" si="188"/>
        <v/>
      </c>
      <c r="N4029" s="76" t="str">
        <f t="shared" si="189"/>
        <v/>
      </c>
      <c r="O4029" s="33">
        <f t="shared" si="187"/>
        <v>0</v>
      </c>
    </row>
    <row r="4030" spans="1:15" x14ac:dyDescent="0.25">
      <c r="A4030" s="64" t="s">
        <v>188</v>
      </c>
      <c r="B4030" s="79" t="str">
        <f>IF(Seventeenth!B33="", "",Seventeenth!B33)</f>
        <v/>
      </c>
      <c r="C4030" s="66" t="str">
        <f>IF(Seventeenth!C33="", "",Seventeenth!C33)</f>
        <v/>
      </c>
      <c r="D4030" s="66" t="str">
        <f>IF(Seventeenth!D33="", "",Seventeenth!D33)</f>
        <v/>
      </c>
      <c r="E4030" s="66" t="str">
        <f>IF(Seventeenth!E33="", "",Seventeenth!E33)</f>
        <v/>
      </c>
      <c r="F4030" s="66" t="str">
        <f>IF(Seventeenth!F33="", "",Seventeenth!F33)</f>
        <v/>
      </c>
      <c r="G4030" s="66" t="str">
        <f>IF(Seventeenth!G33="", "",Seventeenth!G33)</f>
        <v/>
      </c>
      <c r="H4030" s="66" t="str">
        <f>IF(Seventeenth!H33="", "",Seventeenth!H33)</f>
        <v/>
      </c>
      <c r="I4030" s="66" t="str">
        <f>IF(Seventeenth!I33="", "",Seventeenth!I33)</f>
        <v/>
      </c>
      <c r="J4030" s="66" t="str">
        <f>IF(Seventeenth!J33="", "",Seventeenth!J33)</f>
        <v/>
      </c>
      <c r="K4030" s="86" t="str">
        <f>IF(Seventeenth!K33="", "",Seventeenth!K33)</f>
        <v/>
      </c>
      <c r="M4030" s="67" t="str">
        <f t="shared" si="188"/>
        <v/>
      </c>
      <c r="N4030" s="76" t="str">
        <f t="shared" si="189"/>
        <v/>
      </c>
      <c r="O4030" s="33">
        <f t="shared" si="187"/>
        <v>0</v>
      </c>
    </row>
    <row r="4031" spans="1:15" x14ac:dyDescent="0.25">
      <c r="A4031" s="64" t="s">
        <v>188</v>
      </c>
      <c r="B4031" s="79" t="str">
        <f>IF(Seventeenth!B34="", "",Seventeenth!B34)</f>
        <v/>
      </c>
      <c r="C4031" s="66" t="str">
        <f>IF(Seventeenth!C34="", "",Seventeenth!C34)</f>
        <v/>
      </c>
      <c r="D4031" s="66" t="str">
        <f>IF(Seventeenth!D34="", "",Seventeenth!D34)</f>
        <v/>
      </c>
      <c r="E4031" s="66" t="str">
        <f>IF(Seventeenth!E34="", "",Seventeenth!E34)</f>
        <v/>
      </c>
      <c r="F4031" s="66" t="str">
        <f>IF(Seventeenth!F34="", "",Seventeenth!F34)</f>
        <v/>
      </c>
      <c r="G4031" s="66" t="str">
        <f>IF(Seventeenth!G34="", "",Seventeenth!G34)</f>
        <v/>
      </c>
      <c r="H4031" s="66" t="str">
        <f>IF(Seventeenth!H34="", "",Seventeenth!H34)</f>
        <v/>
      </c>
      <c r="I4031" s="66" t="str">
        <f>IF(Seventeenth!I34="", "",Seventeenth!I34)</f>
        <v/>
      </c>
      <c r="J4031" s="66" t="str">
        <f>IF(Seventeenth!J34="", "",Seventeenth!J34)</f>
        <v/>
      </c>
      <c r="K4031" s="86" t="str">
        <f>IF(Seventeenth!K34="", "",Seventeenth!K34)</f>
        <v/>
      </c>
      <c r="M4031" s="67" t="str">
        <f t="shared" si="188"/>
        <v/>
      </c>
      <c r="N4031" s="76" t="str">
        <f t="shared" si="189"/>
        <v/>
      </c>
      <c r="O4031" s="33">
        <f t="shared" si="187"/>
        <v>0</v>
      </c>
    </row>
    <row r="4032" spans="1:15" x14ac:dyDescent="0.25">
      <c r="A4032" s="64" t="s">
        <v>188</v>
      </c>
      <c r="B4032" s="79" t="str">
        <f>IF(Seventeenth!B35="", "",Seventeenth!B35)</f>
        <v/>
      </c>
      <c r="C4032" s="66" t="str">
        <f>IF(Seventeenth!C35="", "",Seventeenth!C35)</f>
        <v/>
      </c>
      <c r="D4032" s="66" t="str">
        <f>IF(Seventeenth!D35="", "",Seventeenth!D35)</f>
        <v/>
      </c>
      <c r="E4032" s="66" t="str">
        <f>IF(Seventeenth!E35="", "",Seventeenth!E35)</f>
        <v/>
      </c>
      <c r="F4032" s="66" t="str">
        <f>IF(Seventeenth!F35="", "",Seventeenth!F35)</f>
        <v/>
      </c>
      <c r="G4032" s="66" t="str">
        <f>IF(Seventeenth!G35="", "",Seventeenth!G35)</f>
        <v/>
      </c>
      <c r="H4032" s="66" t="str">
        <f>IF(Seventeenth!H35="", "",Seventeenth!H35)</f>
        <v/>
      </c>
      <c r="I4032" s="66" t="str">
        <f>IF(Seventeenth!I35="", "",Seventeenth!I35)</f>
        <v/>
      </c>
      <c r="J4032" s="66" t="str">
        <f>IF(Seventeenth!J35="", "",Seventeenth!J35)</f>
        <v/>
      </c>
      <c r="K4032" s="86" t="str">
        <f>IF(Seventeenth!K35="", "",Seventeenth!K35)</f>
        <v/>
      </c>
      <c r="M4032" s="67" t="str">
        <f t="shared" si="188"/>
        <v/>
      </c>
      <c r="N4032" s="76" t="str">
        <f t="shared" si="189"/>
        <v/>
      </c>
      <c r="O4032" s="33">
        <f t="shared" si="187"/>
        <v>0</v>
      </c>
    </row>
    <row r="4033" spans="1:15" x14ac:dyDescent="0.25">
      <c r="A4033" s="64" t="s">
        <v>188</v>
      </c>
      <c r="B4033" s="79" t="str">
        <f>IF(Seventeenth!B36="", "",Seventeenth!B36)</f>
        <v/>
      </c>
      <c r="C4033" s="66" t="str">
        <f>IF(Seventeenth!C36="", "",Seventeenth!C36)</f>
        <v/>
      </c>
      <c r="D4033" s="66" t="str">
        <f>IF(Seventeenth!D36="", "",Seventeenth!D36)</f>
        <v/>
      </c>
      <c r="E4033" s="66" t="str">
        <f>IF(Seventeenth!E36="", "",Seventeenth!E36)</f>
        <v/>
      </c>
      <c r="F4033" s="66" t="str">
        <f>IF(Seventeenth!F36="", "",Seventeenth!F36)</f>
        <v/>
      </c>
      <c r="G4033" s="66" t="str">
        <f>IF(Seventeenth!G36="", "",Seventeenth!G36)</f>
        <v/>
      </c>
      <c r="H4033" s="66" t="str">
        <f>IF(Seventeenth!H36="", "",Seventeenth!H36)</f>
        <v/>
      </c>
      <c r="I4033" s="66" t="str">
        <f>IF(Seventeenth!I36="", "",Seventeenth!I36)</f>
        <v/>
      </c>
      <c r="J4033" s="66" t="str">
        <f>IF(Seventeenth!J36="", "",Seventeenth!J36)</f>
        <v/>
      </c>
      <c r="K4033" s="86" t="str">
        <f>IF(Seventeenth!K36="", "",Seventeenth!K36)</f>
        <v/>
      </c>
      <c r="M4033" s="67" t="str">
        <f t="shared" si="188"/>
        <v/>
      </c>
      <c r="N4033" s="76" t="str">
        <f t="shared" si="189"/>
        <v/>
      </c>
      <c r="O4033" s="33">
        <f t="shared" si="187"/>
        <v>0</v>
      </c>
    </row>
    <row r="4034" spans="1:15" x14ac:dyDescent="0.25">
      <c r="A4034" s="64" t="s">
        <v>188</v>
      </c>
      <c r="B4034" s="79" t="str">
        <f>IF(Seventeenth!B37="", "",Seventeenth!B37)</f>
        <v/>
      </c>
      <c r="C4034" s="66" t="str">
        <f>IF(Seventeenth!C37="", "",Seventeenth!C37)</f>
        <v/>
      </c>
      <c r="D4034" s="66" t="str">
        <f>IF(Seventeenth!D37="", "",Seventeenth!D37)</f>
        <v/>
      </c>
      <c r="E4034" s="66" t="str">
        <f>IF(Seventeenth!E37="", "",Seventeenth!E37)</f>
        <v/>
      </c>
      <c r="F4034" s="66" t="str">
        <f>IF(Seventeenth!F37="", "",Seventeenth!F37)</f>
        <v/>
      </c>
      <c r="G4034" s="66" t="str">
        <f>IF(Seventeenth!G37="", "",Seventeenth!G37)</f>
        <v/>
      </c>
      <c r="H4034" s="66" t="str">
        <f>IF(Seventeenth!H37="", "",Seventeenth!H37)</f>
        <v/>
      </c>
      <c r="I4034" s="66" t="str">
        <f>IF(Seventeenth!I37="", "",Seventeenth!I37)</f>
        <v/>
      </c>
      <c r="J4034" s="66" t="str">
        <f>IF(Seventeenth!J37="", "",Seventeenth!J37)</f>
        <v/>
      </c>
      <c r="K4034" s="86" t="str">
        <f>IF(Seventeenth!K37="", "",Seventeenth!K37)</f>
        <v/>
      </c>
      <c r="M4034" s="67" t="str">
        <f t="shared" si="188"/>
        <v/>
      </c>
      <c r="N4034" s="76" t="str">
        <f t="shared" si="189"/>
        <v/>
      </c>
      <c r="O4034" s="33">
        <f t="shared" ref="O4034:O4097" si="190">SUM(M4034:N4034)</f>
        <v>0</v>
      </c>
    </row>
    <row r="4035" spans="1:15" x14ac:dyDescent="0.25">
      <c r="A4035" s="64" t="s">
        <v>188</v>
      </c>
      <c r="B4035" s="79" t="str">
        <f>IF(Seventeenth!B38="", "",Seventeenth!B38)</f>
        <v/>
      </c>
      <c r="C4035" s="66" t="str">
        <f>IF(Seventeenth!C38="", "",Seventeenth!C38)</f>
        <v/>
      </c>
      <c r="D4035" s="66" t="str">
        <f>IF(Seventeenth!D38="", "",Seventeenth!D38)</f>
        <v/>
      </c>
      <c r="E4035" s="66" t="str">
        <f>IF(Seventeenth!E38="", "",Seventeenth!E38)</f>
        <v/>
      </c>
      <c r="F4035" s="66" t="str">
        <f>IF(Seventeenth!F38="", "",Seventeenth!F38)</f>
        <v/>
      </c>
      <c r="G4035" s="66" t="str">
        <f>IF(Seventeenth!G38="", "",Seventeenth!G38)</f>
        <v/>
      </c>
      <c r="H4035" s="66" t="str">
        <f>IF(Seventeenth!H38="", "",Seventeenth!H38)</f>
        <v/>
      </c>
      <c r="I4035" s="66" t="str">
        <f>IF(Seventeenth!I38="", "",Seventeenth!I38)</f>
        <v/>
      </c>
      <c r="J4035" s="66" t="str">
        <f>IF(Seventeenth!J38="", "",Seventeenth!J38)</f>
        <v/>
      </c>
      <c r="K4035" s="86" t="str">
        <f>IF(Seventeenth!K38="", "",Seventeenth!K38)</f>
        <v/>
      </c>
      <c r="M4035" s="67" t="str">
        <f t="shared" ref="M4035:M4098" si="191">IF(C4035="PwC",(7-COUNTIF(B4035:H4035,"")),"")</f>
        <v/>
      </c>
      <c r="N4035" s="76" t="str">
        <f t="shared" ref="N4035:N4098" si="192">IF(C4035="Carer",(7-COUNTIF(B4035:H4035,"")),"")</f>
        <v/>
      </c>
      <c r="O4035" s="33">
        <f t="shared" si="190"/>
        <v>0</v>
      </c>
    </row>
    <row r="4036" spans="1:15" x14ac:dyDescent="0.25">
      <c r="A4036" s="64" t="s">
        <v>188</v>
      </c>
      <c r="B4036" s="79" t="str">
        <f>IF(Seventeenth!B39="", "",Seventeenth!B39)</f>
        <v/>
      </c>
      <c r="C4036" s="66" t="str">
        <f>IF(Seventeenth!C39="", "",Seventeenth!C39)</f>
        <v/>
      </c>
      <c r="D4036" s="66" t="str">
        <f>IF(Seventeenth!D39="", "",Seventeenth!D39)</f>
        <v/>
      </c>
      <c r="E4036" s="66" t="str">
        <f>IF(Seventeenth!E39="", "",Seventeenth!E39)</f>
        <v/>
      </c>
      <c r="F4036" s="66" t="str">
        <f>IF(Seventeenth!F39="", "",Seventeenth!F39)</f>
        <v/>
      </c>
      <c r="G4036" s="66" t="str">
        <f>IF(Seventeenth!G39="", "",Seventeenth!G39)</f>
        <v/>
      </c>
      <c r="H4036" s="66" t="str">
        <f>IF(Seventeenth!H39="", "",Seventeenth!H39)</f>
        <v/>
      </c>
      <c r="I4036" s="66" t="str">
        <f>IF(Seventeenth!I39="", "",Seventeenth!I39)</f>
        <v/>
      </c>
      <c r="J4036" s="66" t="str">
        <f>IF(Seventeenth!J39="", "",Seventeenth!J39)</f>
        <v/>
      </c>
      <c r="K4036" s="86" t="str">
        <f>IF(Seventeenth!K39="", "",Seventeenth!K39)</f>
        <v/>
      </c>
      <c r="M4036" s="67" t="str">
        <f t="shared" si="191"/>
        <v/>
      </c>
      <c r="N4036" s="76" t="str">
        <f t="shared" si="192"/>
        <v/>
      </c>
      <c r="O4036" s="33">
        <f t="shared" si="190"/>
        <v>0</v>
      </c>
    </row>
    <row r="4037" spans="1:15" x14ac:dyDescent="0.25">
      <c r="A4037" s="64" t="s">
        <v>188</v>
      </c>
      <c r="B4037" s="79" t="str">
        <f>IF(Seventeenth!B40="", "",Seventeenth!B40)</f>
        <v/>
      </c>
      <c r="C4037" s="66" t="str">
        <f>IF(Seventeenth!C40="", "",Seventeenth!C40)</f>
        <v/>
      </c>
      <c r="D4037" s="66" t="str">
        <f>IF(Seventeenth!D40="", "",Seventeenth!D40)</f>
        <v/>
      </c>
      <c r="E4037" s="66" t="str">
        <f>IF(Seventeenth!E40="", "",Seventeenth!E40)</f>
        <v/>
      </c>
      <c r="F4037" s="66" t="str">
        <f>IF(Seventeenth!F40="", "",Seventeenth!F40)</f>
        <v/>
      </c>
      <c r="G4037" s="66" t="str">
        <f>IF(Seventeenth!G40="", "",Seventeenth!G40)</f>
        <v/>
      </c>
      <c r="H4037" s="66" t="str">
        <f>IF(Seventeenth!H40="", "",Seventeenth!H40)</f>
        <v/>
      </c>
      <c r="I4037" s="66" t="str">
        <f>IF(Seventeenth!I40="", "",Seventeenth!I40)</f>
        <v/>
      </c>
      <c r="J4037" s="66" t="str">
        <f>IF(Seventeenth!J40="", "",Seventeenth!J40)</f>
        <v/>
      </c>
      <c r="K4037" s="86" t="str">
        <f>IF(Seventeenth!K40="", "",Seventeenth!K40)</f>
        <v/>
      </c>
      <c r="M4037" s="67" t="str">
        <f t="shared" si="191"/>
        <v/>
      </c>
      <c r="N4037" s="76" t="str">
        <f t="shared" si="192"/>
        <v/>
      </c>
      <c r="O4037" s="33">
        <f t="shared" si="190"/>
        <v>0</v>
      </c>
    </row>
    <row r="4038" spans="1:15" x14ac:dyDescent="0.25">
      <c r="A4038" s="64" t="s">
        <v>188</v>
      </c>
      <c r="B4038" s="79" t="str">
        <f>IF(Seventeenth!B41="", "",Seventeenth!B41)</f>
        <v/>
      </c>
      <c r="C4038" s="66" t="str">
        <f>IF(Seventeenth!C41="", "",Seventeenth!C41)</f>
        <v/>
      </c>
      <c r="D4038" s="66" t="str">
        <f>IF(Seventeenth!D41="", "",Seventeenth!D41)</f>
        <v/>
      </c>
      <c r="E4038" s="66" t="str">
        <f>IF(Seventeenth!E41="", "",Seventeenth!E41)</f>
        <v/>
      </c>
      <c r="F4038" s="66" t="str">
        <f>IF(Seventeenth!F41="", "",Seventeenth!F41)</f>
        <v/>
      </c>
      <c r="G4038" s="66" t="str">
        <f>IF(Seventeenth!G41="", "",Seventeenth!G41)</f>
        <v/>
      </c>
      <c r="H4038" s="66" t="str">
        <f>IF(Seventeenth!H41="", "",Seventeenth!H41)</f>
        <v/>
      </c>
      <c r="I4038" s="66" t="str">
        <f>IF(Seventeenth!I41="", "",Seventeenth!I41)</f>
        <v/>
      </c>
      <c r="J4038" s="66" t="str">
        <f>IF(Seventeenth!J41="", "",Seventeenth!J41)</f>
        <v/>
      </c>
      <c r="K4038" s="86" t="str">
        <f>IF(Seventeenth!K41="", "",Seventeenth!K41)</f>
        <v/>
      </c>
      <c r="M4038" s="67" t="str">
        <f t="shared" si="191"/>
        <v/>
      </c>
      <c r="N4038" s="76" t="str">
        <f t="shared" si="192"/>
        <v/>
      </c>
      <c r="O4038" s="33">
        <f t="shared" si="190"/>
        <v>0</v>
      </c>
    </row>
    <row r="4039" spans="1:15" x14ac:dyDescent="0.25">
      <c r="A4039" s="64" t="s">
        <v>188</v>
      </c>
      <c r="B4039" s="79" t="str">
        <f>IF(Seventeenth!B42="", "",Seventeenth!B42)</f>
        <v/>
      </c>
      <c r="C4039" s="66" t="str">
        <f>IF(Seventeenth!C42="", "",Seventeenth!C42)</f>
        <v/>
      </c>
      <c r="D4039" s="66" t="str">
        <f>IF(Seventeenth!D42="", "",Seventeenth!D42)</f>
        <v/>
      </c>
      <c r="E4039" s="66" t="str">
        <f>IF(Seventeenth!E42="", "",Seventeenth!E42)</f>
        <v/>
      </c>
      <c r="F4039" s="66" t="str">
        <f>IF(Seventeenth!F42="", "",Seventeenth!F42)</f>
        <v/>
      </c>
      <c r="G4039" s="66" t="str">
        <f>IF(Seventeenth!G42="", "",Seventeenth!G42)</f>
        <v/>
      </c>
      <c r="H4039" s="66" t="str">
        <f>IF(Seventeenth!H42="", "",Seventeenth!H42)</f>
        <v/>
      </c>
      <c r="I4039" s="66" t="str">
        <f>IF(Seventeenth!I42="", "",Seventeenth!I42)</f>
        <v/>
      </c>
      <c r="J4039" s="66" t="str">
        <f>IF(Seventeenth!J42="", "",Seventeenth!J42)</f>
        <v/>
      </c>
      <c r="K4039" s="86" t="str">
        <f>IF(Seventeenth!K42="", "",Seventeenth!K42)</f>
        <v/>
      </c>
      <c r="M4039" s="67" t="str">
        <f t="shared" si="191"/>
        <v/>
      </c>
      <c r="N4039" s="76" t="str">
        <f t="shared" si="192"/>
        <v/>
      </c>
      <c r="O4039" s="33">
        <f t="shared" si="190"/>
        <v>0</v>
      </c>
    </row>
    <row r="4040" spans="1:15" x14ac:dyDescent="0.25">
      <c r="A4040" s="64" t="s">
        <v>188</v>
      </c>
      <c r="B4040" s="79" t="str">
        <f>IF(Seventeenth!B43="", "",Seventeenth!B43)</f>
        <v/>
      </c>
      <c r="C4040" s="66" t="str">
        <f>IF(Seventeenth!C43="", "",Seventeenth!C43)</f>
        <v/>
      </c>
      <c r="D4040" s="66" t="str">
        <f>IF(Seventeenth!D43="", "",Seventeenth!D43)</f>
        <v/>
      </c>
      <c r="E4040" s="66" t="str">
        <f>IF(Seventeenth!E43="", "",Seventeenth!E43)</f>
        <v/>
      </c>
      <c r="F4040" s="66" t="str">
        <f>IF(Seventeenth!F43="", "",Seventeenth!F43)</f>
        <v/>
      </c>
      <c r="G4040" s="66" t="str">
        <f>IF(Seventeenth!G43="", "",Seventeenth!G43)</f>
        <v/>
      </c>
      <c r="H4040" s="66" t="str">
        <f>IF(Seventeenth!H43="", "",Seventeenth!H43)</f>
        <v/>
      </c>
      <c r="I4040" s="66" t="str">
        <f>IF(Seventeenth!I43="", "",Seventeenth!I43)</f>
        <v/>
      </c>
      <c r="J4040" s="66" t="str">
        <f>IF(Seventeenth!J43="", "",Seventeenth!J43)</f>
        <v/>
      </c>
      <c r="K4040" s="86" t="str">
        <f>IF(Seventeenth!K43="", "",Seventeenth!K43)</f>
        <v/>
      </c>
      <c r="M4040" s="67" t="str">
        <f t="shared" si="191"/>
        <v/>
      </c>
      <c r="N4040" s="76" t="str">
        <f t="shared" si="192"/>
        <v/>
      </c>
      <c r="O4040" s="33">
        <f t="shared" si="190"/>
        <v>0</v>
      </c>
    </row>
    <row r="4041" spans="1:15" x14ac:dyDescent="0.25">
      <c r="A4041" s="64" t="s">
        <v>188</v>
      </c>
      <c r="B4041" s="79" t="str">
        <f>IF(Seventeenth!B44="", "",Seventeenth!B44)</f>
        <v/>
      </c>
      <c r="C4041" s="66" t="str">
        <f>IF(Seventeenth!C44="", "",Seventeenth!C44)</f>
        <v/>
      </c>
      <c r="D4041" s="66" t="str">
        <f>IF(Seventeenth!D44="", "",Seventeenth!D44)</f>
        <v/>
      </c>
      <c r="E4041" s="66" t="str">
        <f>IF(Seventeenth!E44="", "",Seventeenth!E44)</f>
        <v/>
      </c>
      <c r="F4041" s="66" t="str">
        <f>IF(Seventeenth!F44="", "",Seventeenth!F44)</f>
        <v/>
      </c>
      <c r="G4041" s="66" t="str">
        <f>IF(Seventeenth!G44="", "",Seventeenth!G44)</f>
        <v/>
      </c>
      <c r="H4041" s="66" t="str">
        <f>IF(Seventeenth!H44="", "",Seventeenth!H44)</f>
        <v/>
      </c>
      <c r="I4041" s="66" t="str">
        <f>IF(Seventeenth!I44="", "",Seventeenth!I44)</f>
        <v/>
      </c>
      <c r="J4041" s="66" t="str">
        <f>IF(Seventeenth!J44="", "",Seventeenth!J44)</f>
        <v/>
      </c>
      <c r="K4041" s="86" t="str">
        <f>IF(Seventeenth!K44="", "",Seventeenth!K44)</f>
        <v/>
      </c>
      <c r="M4041" s="67" t="str">
        <f t="shared" si="191"/>
        <v/>
      </c>
      <c r="N4041" s="76" t="str">
        <f t="shared" si="192"/>
        <v/>
      </c>
      <c r="O4041" s="33">
        <f t="shared" si="190"/>
        <v>0</v>
      </c>
    </row>
    <row r="4042" spans="1:15" x14ac:dyDescent="0.25">
      <c r="A4042" s="64" t="s">
        <v>188</v>
      </c>
      <c r="B4042" s="79" t="str">
        <f>IF(Seventeenth!B45="", "",Seventeenth!B45)</f>
        <v/>
      </c>
      <c r="C4042" s="66" t="str">
        <f>IF(Seventeenth!C45="", "",Seventeenth!C45)</f>
        <v/>
      </c>
      <c r="D4042" s="66" t="str">
        <f>IF(Seventeenth!D45="", "",Seventeenth!D45)</f>
        <v/>
      </c>
      <c r="E4042" s="66" t="str">
        <f>IF(Seventeenth!E45="", "",Seventeenth!E45)</f>
        <v/>
      </c>
      <c r="F4042" s="66" t="str">
        <f>IF(Seventeenth!F45="", "",Seventeenth!F45)</f>
        <v/>
      </c>
      <c r="G4042" s="66" t="str">
        <f>IF(Seventeenth!G45="", "",Seventeenth!G45)</f>
        <v/>
      </c>
      <c r="H4042" s="66" t="str">
        <f>IF(Seventeenth!H45="", "",Seventeenth!H45)</f>
        <v/>
      </c>
      <c r="I4042" s="66" t="str">
        <f>IF(Seventeenth!I45="", "",Seventeenth!I45)</f>
        <v/>
      </c>
      <c r="J4042" s="66" t="str">
        <f>IF(Seventeenth!J45="", "",Seventeenth!J45)</f>
        <v/>
      </c>
      <c r="K4042" s="86" t="str">
        <f>IF(Seventeenth!K45="", "",Seventeenth!K45)</f>
        <v/>
      </c>
      <c r="M4042" s="67" t="str">
        <f t="shared" si="191"/>
        <v/>
      </c>
      <c r="N4042" s="76" t="str">
        <f t="shared" si="192"/>
        <v/>
      </c>
      <c r="O4042" s="33">
        <f t="shared" si="190"/>
        <v>0</v>
      </c>
    </row>
    <row r="4043" spans="1:15" x14ac:dyDescent="0.25">
      <c r="A4043" s="64" t="s">
        <v>188</v>
      </c>
      <c r="B4043" s="79" t="str">
        <f>IF(Seventeenth!B46="", "",Seventeenth!B46)</f>
        <v/>
      </c>
      <c r="C4043" s="66" t="str">
        <f>IF(Seventeenth!C46="", "",Seventeenth!C46)</f>
        <v/>
      </c>
      <c r="D4043" s="66" t="str">
        <f>IF(Seventeenth!D46="", "",Seventeenth!D46)</f>
        <v/>
      </c>
      <c r="E4043" s="66" t="str">
        <f>IF(Seventeenth!E46="", "",Seventeenth!E46)</f>
        <v/>
      </c>
      <c r="F4043" s="66" t="str">
        <f>IF(Seventeenth!F46="", "",Seventeenth!F46)</f>
        <v/>
      </c>
      <c r="G4043" s="66" t="str">
        <f>IF(Seventeenth!G46="", "",Seventeenth!G46)</f>
        <v/>
      </c>
      <c r="H4043" s="66" t="str">
        <f>IF(Seventeenth!H46="", "",Seventeenth!H46)</f>
        <v/>
      </c>
      <c r="I4043" s="66" t="str">
        <f>IF(Seventeenth!I46="", "",Seventeenth!I46)</f>
        <v/>
      </c>
      <c r="J4043" s="66" t="str">
        <f>IF(Seventeenth!J46="", "",Seventeenth!J46)</f>
        <v/>
      </c>
      <c r="K4043" s="86" t="str">
        <f>IF(Seventeenth!K46="", "",Seventeenth!K46)</f>
        <v/>
      </c>
      <c r="M4043" s="67" t="str">
        <f t="shared" si="191"/>
        <v/>
      </c>
      <c r="N4043" s="76" t="str">
        <f t="shared" si="192"/>
        <v/>
      </c>
      <c r="O4043" s="33">
        <f t="shared" si="190"/>
        <v>0</v>
      </c>
    </row>
    <row r="4044" spans="1:15" x14ac:dyDescent="0.25">
      <c r="A4044" s="64" t="s">
        <v>188</v>
      </c>
      <c r="B4044" s="79" t="str">
        <f>IF(Seventeenth!B47="", "",Seventeenth!B47)</f>
        <v/>
      </c>
      <c r="C4044" s="66" t="str">
        <f>IF(Seventeenth!C47="", "",Seventeenth!C47)</f>
        <v/>
      </c>
      <c r="D4044" s="66" t="str">
        <f>IF(Seventeenth!D47="", "",Seventeenth!D47)</f>
        <v/>
      </c>
      <c r="E4044" s="66" t="str">
        <f>IF(Seventeenth!E47="", "",Seventeenth!E47)</f>
        <v/>
      </c>
      <c r="F4044" s="66" t="str">
        <f>IF(Seventeenth!F47="", "",Seventeenth!F47)</f>
        <v/>
      </c>
      <c r="G4044" s="66" t="str">
        <f>IF(Seventeenth!G47="", "",Seventeenth!G47)</f>
        <v/>
      </c>
      <c r="H4044" s="66" t="str">
        <f>IF(Seventeenth!H47="", "",Seventeenth!H47)</f>
        <v/>
      </c>
      <c r="I4044" s="66" t="str">
        <f>IF(Seventeenth!I47="", "",Seventeenth!I47)</f>
        <v/>
      </c>
      <c r="J4044" s="66" t="str">
        <f>IF(Seventeenth!J47="", "",Seventeenth!J47)</f>
        <v/>
      </c>
      <c r="K4044" s="86" t="str">
        <f>IF(Seventeenth!K47="", "",Seventeenth!K47)</f>
        <v/>
      </c>
      <c r="M4044" s="67" t="str">
        <f t="shared" si="191"/>
        <v/>
      </c>
      <c r="N4044" s="76" t="str">
        <f t="shared" si="192"/>
        <v/>
      </c>
      <c r="O4044" s="33">
        <f t="shared" si="190"/>
        <v>0</v>
      </c>
    </row>
    <row r="4045" spans="1:15" x14ac:dyDescent="0.25">
      <c r="A4045" s="64" t="s">
        <v>188</v>
      </c>
      <c r="B4045" s="79" t="str">
        <f>IF(Seventeenth!B48="", "",Seventeenth!B48)</f>
        <v/>
      </c>
      <c r="C4045" s="66" t="str">
        <f>IF(Seventeenth!C48="", "",Seventeenth!C48)</f>
        <v/>
      </c>
      <c r="D4045" s="66" t="str">
        <f>IF(Seventeenth!D48="", "",Seventeenth!D48)</f>
        <v/>
      </c>
      <c r="E4045" s="66" t="str">
        <f>IF(Seventeenth!E48="", "",Seventeenth!E48)</f>
        <v/>
      </c>
      <c r="F4045" s="66" t="str">
        <f>IF(Seventeenth!F48="", "",Seventeenth!F48)</f>
        <v/>
      </c>
      <c r="G4045" s="66" t="str">
        <f>IF(Seventeenth!G48="", "",Seventeenth!G48)</f>
        <v/>
      </c>
      <c r="H4045" s="66" t="str">
        <f>IF(Seventeenth!H48="", "",Seventeenth!H48)</f>
        <v/>
      </c>
      <c r="I4045" s="66" t="str">
        <f>IF(Seventeenth!I48="", "",Seventeenth!I48)</f>
        <v/>
      </c>
      <c r="J4045" s="66" t="str">
        <f>IF(Seventeenth!J48="", "",Seventeenth!J48)</f>
        <v/>
      </c>
      <c r="K4045" s="86" t="str">
        <f>IF(Seventeenth!K48="", "",Seventeenth!K48)</f>
        <v/>
      </c>
      <c r="M4045" s="67" t="str">
        <f t="shared" si="191"/>
        <v/>
      </c>
      <c r="N4045" s="76" t="str">
        <f t="shared" si="192"/>
        <v/>
      </c>
      <c r="O4045" s="33">
        <f t="shared" si="190"/>
        <v>0</v>
      </c>
    </row>
    <row r="4046" spans="1:15" x14ac:dyDescent="0.25">
      <c r="A4046" s="64" t="s">
        <v>188</v>
      </c>
      <c r="B4046" s="79" t="str">
        <f>IF(Seventeenth!B49="", "",Seventeenth!B49)</f>
        <v/>
      </c>
      <c r="C4046" s="66" t="str">
        <f>IF(Seventeenth!C49="", "",Seventeenth!C49)</f>
        <v/>
      </c>
      <c r="D4046" s="66" t="str">
        <f>IF(Seventeenth!D49="", "",Seventeenth!D49)</f>
        <v/>
      </c>
      <c r="E4046" s="66" t="str">
        <f>IF(Seventeenth!E49="", "",Seventeenth!E49)</f>
        <v/>
      </c>
      <c r="F4046" s="66" t="str">
        <f>IF(Seventeenth!F49="", "",Seventeenth!F49)</f>
        <v/>
      </c>
      <c r="G4046" s="66" t="str">
        <f>IF(Seventeenth!G49="", "",Seventeenth!G49)</f>
        <v/>
      </c>
      <c r="H4046" s="66" t="str">
        <f>IF(Seventeenth!H49="", "",Seventeenth!H49)</f>
        <v/>
      </c>
      <c r="I4046" s="66" t="str">
        <f>IF(Seventeenth!I49="", "",Seventeenth!I49)</f>
        <v/>
      </c>
      <c r="J4046" s="66" t="str">
        <f>IF(Seventeenth!J49="", "",Seventeenth!J49)</f>
        <v/>
      </c>
      <c r="K4046" s="86" t="str">
        <f>IF(Seventeenth!K49="", "",Seventeenth!K49)</f>
        <v/>
      </c>
      <c r="M4046" s="67" t="str">
        <f t="shared" si="191"/>
        <v/>
      </c>
      <c r="N4046" s="76" t="str">
        <f t="shared" si="192"/>
        <v/>
      </c>
      <c r="O4046" s="33">
        <f t="shared" si="190"/>
        <v>0</v>
      </c>
    </row>
    <row r="4047" spans="1:15" x14ac:dyDescent="0.25">
      <c r="A4047" s="64" t="s">
        <v>188</v>
      </c>
      <c r="B4047" s="79" t="str">
        <f>IF(Seventeenth!B50="", "",Seventeenth!B50)</f>
        <v/>
      </c>
      <c r="C4047" s="66" t="str">
        <f>IF(Seventeenth!C50="", "",Seventeenth!C50)</f>
        <v/>
      </c>
      <c r="D4047" s="66" t="str">
        <f>IF(Seventeenth!D50="", "",Seventeenth!D50)</f>
        <v/>
      </c>
      <c r="E4047" s="66" t="str">
        <f>IF(Seventeenth!E50="", "",Seventeenth!E50)</f>
        <v/>
      </c>
      <c r="F4047" s="66" t="str">
        <f>IF(Seventeenth!F50="", "",Seventeenth!F50)</f>
        <v/>
      </c>
      <c r="G4047" s="66" t="str">
        <f>IF(Seventeenth!G50="", "",Seventeenth!G50)</f>
        <v/>
      </c>
      <c r="H4047" s="66" t="str">
        <f>IF(Seventeenth!H50="", "",Seventeenth!H50)</f>
        <v/>
      </c>
      <c r="I4047" s="66" t="str">
        <f>IF(Seventeenth!I50="", "",Seventeenth!I50)</f>
        <v/>
      </c>
      <c r="J4047" s="66" t="str">
        <f>IF(Seventeenth!J50="", "",Seventeenth!J50)</f>
        <v/>
      </c>
      <c r="K4047" s="86" t="str">
        <f>IF(Seventeenth!K50="", "",Seventeenth!K50)</f>
        <v/>
      </c>
      <c r="M4047" s="67" t="str">
        <f t="shared" si="191"/>
        <v/>
      </c>
      <c r="N4047" s="76" t="str">
        <f t="shared" si="192"/>
        <v/>
      </c>
      <c r="O4047" s="33">
        <f t="shared" si="190"/>
        <v>0</v>
      </c>
    </row>
    <row r="4048" spans="1:15" x14ac:dyDescent="0.25">
      <c r="A4048" s="64" t="s">
        <v>188</v>
      </c>
      <c r="B4048" s="79" t="str">
        <f>IF(Seventeenth!B51="", "",Seventeenth!B51)</f>
        <v/>
      </c>
      <c r="C4048" s="66" t="str">
        <f>IF(Seventeenth!C51="", "",Seventeenth!C51)</f>
        <v/>
      </c>
      <c r="D4048" s="66" t="str">
        <f>IF(Seventeenth!D51="", "",Seventeenth!D51)</f>
        <v/>
      </c>
      <c r="E4048" s="66" t="str">
        <f>IF(Seventeenth!E51="", "",Seventeenth!E51)</f>
        <v/>
      </c>
      <c r="F4048" s="66" t="str">
        <f>IF(Seventeenth!F51="", "",Seventeenth!F51)</f>
        <v/>
      </c>
      <c r="G4048" s="66" t="str">
        <f>IF(Seventeenth!G51="", "",Seventeenth!G51)</f>
        <v/>
      </c>
      <c r="H4048" s="66" t="str">
        <f>IF(Seventeenth!H51="", "",Seventeenth!H51)</f>
        <v/>
      </c>
      <c r="I4048" s="66" t="str">
        <f>IF(Seventeenth!I51="", "",Seventeenth!I51)</f>
        <v/>
      </c>
      <c r="J4048" s="66" t="str">
        <f>IF(Seventeenth!J51="", "",Seventeenth!J51)</f>
        <v/>
      </c>
      <c r="K4048" s="86" t="str">
        <f>IF(Seventeenth!K51="", "",Seventeenth!K51)</f>
        <v/>
      </c>
      <c r="M4048" s="67" t="str">
        <f t="shared" si="191"/>
        <v/>
      </c>
      <c r="N4048" s="76" t="str">
        <f t="shared" si="192"/>
        <v/>
      </c>
      <c r="O4048" s="33">
        <f t="shared" si="190"/>
        <v>0</v>
      </c>
    </row>
    <row r="4049" spans="1:15" x14ac:dyDescent="0.25">
      <c r="A4049" s="64" t="s">
        <v>188</v>
      </c>
      <c r="B4049" s="79" t="str">
        <f>IF(Seventeenth!B52="", "",Seventeenth!B52)</f>
        <v/>
      </c>
      <c r="C4049" s="66" t="str">
        <f>IF(Seventeenth!C52="", "",Seventeenth!C52)</f>
        <v/>
      </c>
      <c r="D4049" s="66" t="str">
        <f>IF(Seventeenth!D52="", "",Seventeenth!D52)</f>
        <v/>
      </c>
      <c r="E4049" s="66" t="str">
        <f>IF(Seventeenth!E52="", "",Seventeenth!E52)</f>
        <v/>
      </c>
      <c r="F4049" s="66" t="str">
        <f>IF(Seventeenth!F52="", "",Seventeenth!F52)</f>
        <v/>
      </c>
      <c r="G4049" s="66" t="str">
        <f>IF(Seventeenth!G52="", "",Seventeenth!G52)</f>
        <v/>
      </c>
      <c r="H4049" s="66" t="str">
        <f>IF(Seventeenth!H52="", "",Seventeenth!H52)</f>
        <v/>
      </c>
      <c r="I4049" s="66" t="str">
        <f>IF(Seventeenth!I52="", "",Seventeenth!I52)</f>
        <v/>
      </c>
      <c r="J4049" s="66" t="str">
        <f>IF(Seventeenth!J52="", "",Seventeenth!J52)</f>
        <v/>
      </c>
      <c r="K4049" s="86" t="str">
        <f>IF(Seventeenth!K52="", "",Seventeenth!K52)</f>
        <v/>
      </c>
      <c r="M4049" s="67" t="str">
        <f t="shared" si="191"/>
        <v/>
      </c>
      <c r="N4049" s="76" t="str">
        <f t="shared" si="192"/>
        <v/>
      </c>
      <c r="O4049" s="33">
        <f t="shared" si="190"/>
        <v>0</v>
      </c>
    </row>
    <row r="4050" spans="1:15" x14ac:dyDescent="0.25">
      <c r="A4050" s="64" t="s">
        <v>188</v>
      </c>
      <c r="B4050" s="79" t="str">
        <f>IF(Seventeenth!B53="", "",Seventeenth!B53)</f>
        <v/>
      </c>
      <c r="C4050" s="66" t="str">
        <f>IF(Seventeenth!C53="", "",Seventeenth!C53)</f>
        <v/>
      </c>
      <c r="D4050" s="66" t="str">
        <f>IF(Seventeenth!D53="", "",Seventeenth!D53)</f>
        <v/>
      </c>
      <c r="E4050" s="66" t="str">
        <f>IF(Seventeenth!E53="", "",Seventeenth!E53)</f>
        <v/>
      </c>
      <c r="F4050" s="66" t="str">
        <f>IF(Seventeenth!F53="", "",Seventeenth!F53)</f>
        <v/>
      </c>
      <c r="G4050" s="66" t="str">
        <f>IF(Seventeenth!G53="", "",Seventeenth!G53)</f>
        <v/>
      </c>
      <c r="H4050" s="66" t="str">
        <f>IF(Seventeenth!H53="", "",Seventeenth!H53)</f>
        <v/>
      </c>
      <c r="I4050" s="66" t="str">
        <f>IF(Seventeenth!I53="", "",Seventeenth!I53)</f>
        <v/>
      </c>
      <c r="J4050" s="66" t="str">
        <f>IF(Seventeenth!J53="", "",Seventeenth!J53)</f>
        <v/>
      </c>
      <c r="K4050" s="86" t="str">
        <f>IF(Seventeenth!K53="", "",Seventeenth!K53)</f>
        <v/>
      </c>
      <c r="M4050" s="67" t="str">
        <f t="shared" si="191"/>
        <v/>
      </c>
      <c r="N4050" s="76" t="str">
        <f t="shared" si="192"/>
        <v/>
      </c>
      <c r="O4050" s="33">
        <f t="shared" si="190"/>
        <v>0</v>
      </c>
    </row>
    <row r="4051" spans="1:15" x14ac:dyDescent="0.25">
      <c r="A4051" s="64" t="s">
        <v>188</v>
      </c>
      <c r="B4051" s="79" t="str">
        <f>IF(Seventeenth!B54="", "",Seventeenth!B54)</f>
        <v/>
      </c>
      <c r="C4051" s="66" t="str">
        <f>IF(Seventeenth!C54="", "",Seventeenth!C54)</f>
        <v/>
      </c>
      <c r="D4051" s="66" t="str">
        <f>IF(Seventeenth!D54="", "",Seventeenth!D54)</f>
        <v/>
      </c>
      <c r="E4051" s="66" t="str">
        <f>IF(Seventeenth!E54="", "",Seventeenth!E54)</f>
        <v/>
      </c>
      <c r="F4051" s="66" t="str">
        <f>IF(Seventeenth!F54="", "",Seventeenth!F54)</f>
        <v/>
      </c>
      <c r="G4051" s="66" t="str">
        <f>IF(Seventeenth!G54="", "",Seventeenth!G54)</f>
        <v/>
      </c>
      <c r="H4051" s="66" t="str">
        <f>IF(Seventeenth!H54="", "",Seventeenth!H54)</f>
        <v/>
      </c>
      <c r="I4051" s="66" t="str">
        <f>IF(Seventeenth!I54="", "",Seventeenth!I54)</f>
        <v/>
      </c>
      <c r="J4051" s="66" t="str">
        <f>IF(Seventeenth!J54="", "",Seventeenth!J54)</f>
        <v/>
      </c>
      <c r="K4051" s="86" t="str">
        <f>IF(Seventeenth!K54="", "",Seventeenth!K54)</f>
        <v/>
      </c>
      <c r="M4051" s="67" t="str">
        <f t="shared" si="191"/>
        <v/>
      </c>
      <c r="N4051" s="76" t="str">
        <f t="shared" si="192"/>
        <v/>
      </c>
      <c r="O4051" s="33">
        <f t="shared" si="190"/>
        <v>0</v>
      </c>
    </row>
    <row r="4052" spans="1:15" x14ac:dyDescent="0.25">
      <c r="A4052" s="64" t="s">
        <v>188</v>
      </c>
      <c r="B4052" s="79" t="str">
        <f>IF(Seventeenth!B55="", "",Seventeenth!B55)</f>
        <v/>
      </c>
      <c r="C4052" s="66" t="str">
        <f>IF(Seventeenth!C55="", "",Seventeenth!C55)</f>
        <v/>
      </c>
      <c r="D4052" s="66" t="str">
        <f>IF(Seventeenth!D55="", "",Seventeenth!D55)</f>
        <v/>
      </c>
      <c r="E4052" s="66" t="str">
        <f>IF(Seventeenth!E55="", "",Seventeenth!E55)</f>
        <v/>
      </c>
      <c r="F4052" s="66" t="str">
        <f>IF(Seventeenth!F55="", "",Seventeenth!F55)</f>
        <v/>
      </c>
      <c r="G4052" s="66" t="str">
        <f>IF(Seventeenth!G55="", "",Seventeenth!G55)</f>
        <v/>
      </c>
      <c r="H4052" s="66" t="str">
        <f>IF(Seventeenth!H55="", "",Seventeenth!H55)</f>
        <v/>
      </c>
      <c r="I4052" s="66" t="str">
        <f>IF(Seventeenth!I55="", "",Seventeenth!I55)</f>
        <v/>
      </c>
      <c r="J4052" s="66" t="str">
        <f>IF(Seventeenth!J55="", "",Seventeenth!J55)</f>
        <v/>
      </c>
      <c r="K4052" s="86" t="str">
        <f>IF(Seventeenth!K55="", "",Seventeenth!K55)</f>
        <v/>
      </c>
      <c r="M4052" s="67" t="str">
        <f t="shared" si="191"/>
        <v/>
      </c>
      <c r="N4052" s="76" t="str">
        <f t="shared" si="192"/>
        <v/>
      </c>
      <c r="O4052" s="33">
        <f t="shared" si="190"/>
        <v>0</v>
      </c>
    </row>
    <row r="4053" spans="1:15" x14ac:dyDescent="0.25">
      <c r="A4053" s="64" t="s">
        <v>188</v>
      </c>
      <c r="B4053" s="79" t="str">
        <f>IF(Seventeenth!B56="", "",Seventeenth!B56)</f>
        <v/>
      </c>
      <c r="C4053" s="66" t="str">
        <f>IF(Seventeenth!C56="", "",Seventeenth!C56)</f>
        <v/>
      </c>
      <c r="D4053" s="66" t="str">
        <f>IF(Seventeenth!D56="", "",Seventeenth!D56)</f>
        <v/>
      </c>
      <c r="E4053" s="66" t="str">
        <f>IF(Seventeenth!E56="", "",Seventeenth!E56)</f>
        <v/>
      </c>
      <c r="F4053" s="66" t="str">
        <f>IF(Seventeenth!F56="", "",Seventeenth!F56)</f>
        <v/>
      </c>
      <c r="G4053" s="66" t="str">
        <f>IF(Seventeenth!G56="", "",Seventeenth!G56)</f>
        <v/>
      </c>
      <c r="H4053" s="66" t="str">
        <f>IF(Seventeenth!H56="", "",Seventeenth!H56)</f>
        <v/>
      </c>
      <c r="I4053" s="66" t="str">
        <f>IF(Seventeenth!I56="", "",Seventeenth!I56)</f>
        <v/>
      </c>
      <c r="J4053" s="66" t="str">
        <f>IF(Seventeenth!J56="", "",Seventeenth!J56)</f>
        <v/>
      </c>
      <c r="K4053" s="86" t="str">
        <f>IF(Seventeenth!K56="", "",Seventeenth!K56)</f>
        <v/>
      </c>
      <c r="M4053" s="67" t="str">
        <f t="shared" si="191"/>
        <v/>
      </c>
      <c r="N4053" s="76" t="str">
        <f t="shared" si="192"/>
        <v/>
      </c>
      <c r="O4053" s="33">
        <f t="shared" si="190"/>
        <v>0</v>
      </c>
    </row>
    <row r="4054" spans="1:15" x14ac:dyDescent="0.25">
      <c r="A4054" s="64" t="s">
        <v>188</v>
      </c>
      <c r="B4054" s="79" t="str">
        <f>IF(Seventeenth!B57="", "",Seventeenth!B57)</f>
        <v/>
      </c>
      <c r="C4054" s="66" t="str">
        <f>IF(Seventeenth!C57="", "",Seventeenth!C57)</f>
        <v/>
      </c>
      <c r="D4054" s="66" t="str">
        <f>IF(Seventeenth!D57="", "",Seventeenth!D57)</f>
        <v/>
      </c>
      <c r="E4054" s="66" t="str">
        <f>IF(Seventeenth!E57="", "",Seventeenth!E57)</f>
        <v/>
      </c>
      <c r="F4054" s="66" t="str">
        <f>IF(Seventeenth!F57="", "",Seventeenth!F57)</f>
        <v/>
      </c>
      <c r="G4054" s="66" t="str">
        <f>IF(Seventeenth!G57="", "",Seventeenth!G57)</f>
        <v/>
      </c>
      <c r="H4054" s="66" t="str">
        <f>IF(Seventeenth!H57="", "",Seventeenth!H57)</f>
        <v/>
      </c>
      <c r="I4054" s="66" t="str">
        <f>IF(Seventeenth!I57="", "",Seventeenth!I57)</f>
        <v/>
      </c>
      <c r="J4054" s="66" t="str">
        <f>IF(Seventeenth!J57="", "",Seventeenth!J57)</f>
        <v/>
      </c>
      <c r="K4054" s="86" t="str">
        <f>IF(Seventeenth!K57="", "",Seventeenth!K57)</f>
        <v/>
      </c>
      <c r="M4054" s="67" t="str">
        <f t="shared" si="191"/>
        <v/>
      </c>
      <c r="N4054" s="76" t="str">
        <f t="shared" si="192"/>
        <v/>
      </c>
      <c r="O4054" s="33">
        <f t="shared" si="190"/>
        <v>0</v>
      </c>
    </row>
    <row r="4055" spans="1:15" x14ac:dyDescent="0.25">
      <c r="A4055" s="64" t="s">
        <v>188</v>
      </c>
      <c r="B4055" s="79" t="str">
        <f>IF(Seventeenth!B58="", "",Seventeenth!B58)</f>
        <v/>
      </c>
      <c r="C4055" s="66" t="str">
        <f>IF(Seventeenth!C58="", "",Seventeenth!C58)</f>
        <v/>
      </c>
      <c r="D4055" s="66" t="str">
        <f>IF(Seventeenth!D58="", "",Seventeenth!D58)</f>
        <v/>
      </c>
      <c r="E4055" s="66" t="str">
        <f>IF(Seventeenth!E58="", "",Seventeenth!E58)</f>
        <v/>
      </c>
      <c r="F4055" s="66" t="str">
        <f>IF(Seventeenth!F58="", "",Seventeenth!F58)</f>
        <v/>
      </c>
      <c r="G4055" s="66" t="str">
        <f>IF(Seventeenth!G58="", "",Seventeenth!G58)</f>
        <v/>
      </c>
      <c r="H4055" s="66" t="str">
        <f>IF(Seventeenth!H58="", "",Seventeenth!H58)</f>
        <v/>
      </c>
      <c r="I4055" s="66" t="str">
        <f>IF(Seventeenth!I58="", "",Seventeenth!I58)</f>
        <v/>
      </c>
      <c r="J4055" s="66" t="str">
        <f>IF(Seventeenth!J58="", "",Seventeenth!J58)</f>
        <v/>
      </c>
      <c r="K4055" s="86" t="str">
        <f>IF(Seventeenth!K58="", "",Seventeenth!K58)</f>
        <v/>
      </c>
      <c r="M4055" s="67" t="str">
        <f t="shared" si="191"/>
        <v/>
      </c>
      <c r="N4055" s="76" t="str">
        <f t="shared" si="192"/>
        <v/>
      </c>
      <c r="O4055" s="33">
        <f t="shared" si="190"/>
        <v>0</v>
      </c>
    </row>
    <row r="4056" spans="1:15" x14ac:dyDescent="0.25">
      <c r="A4056" s="64" t="s">
        <v>188</v>
      </c>
      <c r="B4056" s="79" t="str">
        <f>IF(Seventeenth!B59="", "",Seventeenth!B59)</f>
        <v/>
      </c>
      <c r="C4056" s="66" t="str">
        <f>IF(Seventeenth!C59="", "",Seventeenth!C59)</f>
        <v/>
      </c>
      <c r="D4056" s="66" t="str">
        <f>IF(Seventeenth!D59="", "",Seventeenth!D59)</f>
        <v/>
      </c>
      <c r="E4056" s="66" t="str">
        <f>IF(Seventeenth!E59="", "",Seventeenth!E59)</f>
        <v/>
      </c>
      <c r="F4056" s="66" t="str">
        <f>IF(Seventeenth!F59="", "",Seventeenth!F59)</f>
        <v/>
      </c>
      <c r="G4056" s="66" t="str">
        <f>IF(Seventeenth!G59="", "",Seventeenth!G59)</f>
        <v/>
      </c>
      <c r="H4056" s="66" t="str">
        <f>IF(Seventeenth!H59="", "",Seventeenth!H59)</f>
        <v/>
      </c>
      <c r="I4056" s="66" t="str">
        <f>IF(Seventeenth!I59="", "",Seventeenth!I59)</f>
        <v/>
      </c>
      <c r="J4056" s="66" t="str">
        <f>IF(Seventeenth!J59="", "",Seventeenth!J59)</f>
        <v/>
      </c>
      <c r="K4056" s="86" t="str">
        <f>IF(Seventeenth!K59="", "",Seventeenth!K59)</f>
        <v/>
      </c>
      <c r="M4056" s="67" t="str">
        <f t="shared" si="191"/>
        <v/>
      </c>
      <c r="N4056" s="76" t="str">
        <f t="shared" si="192"/>
        <v/>
      </c>
      <c r="O4056" s="33">
        <f t="shared" si="190"/>
        <v>0</v>
      </c>
    </row>
    <row r="4057" spans="1:15" x14ac:dyDescent="0.25">
      <c r="A4057" s="64" t="s">
        <v>188</v>
      </c>
      <c r="B4057" s="79" t="str">
        <f>IF(Seventeenth!B60="", "",Seventeenth!B60)</f>
        <v/>
      </c>
      <c r="C4057" s="66" t="str">
        <f>IF(Seventeenth!C60="", "",Seventeenth!C60)</f>
        <v/>
      </c>
      <c r="D4057" s="66" t="str">
        <f>IF(Seventeenth!D60="", "",Seventeenth!D60)</f>
        <v/>
      </c>
      <c r="E4057" s="66" t="str">
        <f>IF(Seventeenth!E60="", "",Seventeenth!E60)</f>
        <v/>
      </c>
      <c r="F4057" s="66" t="str">
        <f>IF(Seventeenth!F60="", "",Seventeenth!F60)</f>
        <v/>
      </c>
      <c r="G4057" s="66" t="str">
        <f>IF(Seventeenth!G60="", "",Seventeenth!G60)</f>
        <v/>
      </c>
      <c r="H4057" s="66" t="str">
        <f>IF(Seventeenth!H60="", "",Seventeenth!H60)</f>
        <v/>
      </c>
      <c r="I4057" s="66" t="str">
        <f>IF(Seventeenth!I60="", "",Seventeenth!I60)</f>
        <v/>
      </c>
      <c r="J4057" s="66" t="str">
        <f>IF(Seventeenth!J60="", "",Seventeenth!J60)</f>
        <v/>
      </c>
      <c r="K4057" s="86" t="str">
        <f>IF(Seventeenth!K60="", "",Seventeenth!K60)</f>
        <v/>
      </c>
      <c r="M4057" s="67" t="str">
        <f t="shared" si="191"/>
        <v/>
      </c>
      <c r="N4057" s="76" t="str">
        <f t="shared" si="192"/>
        <v/>
      </c>
      <c r="O4057" s="33">
        <f t="shared" si="190"/>
        <v>0</v>
      </c>
    </row>
    <row r="4058" spans="1:15" x14ac:dyDescent="0.25">
      <c r="A4058" s="64" t="s">
        <v>188</v>
      </c>
      <c r="B4058" s="79" t="str">
        <f>IF(Seventeenth!B61="", "",Seventeenth!B61)</f>
        <v/>
      </c>
      <c r="C4058" s="66" t="str">
        <f>IF(Seventeenth!C61="", "",Seventeenth!C61)</f>
        <v/>
      </c>
      <c r="D4058" s="66" t="str">
        <f>IF(Seventeenth!D61="", "",Seventeenth!D61)</f>
        <v/>
      </c>
      <c r="E4058" s="66" t="str">
        <f>IF(Seventeenth!E61="", "",Seventeenth!E61)</f>
        <v/>
      </c>
      <c r="F4058" s="66" t="str">
        <f>IF(Seventeenth!F61="", "",Seventeenth!F61)</f>
        <v/>
      </c>
      <c r="G4058" s="66" t="str">
        <f>IF(Seventeenth!G61="", "",Seventeenth!G61)</f>
        <v/>
      </c>
      <c r="H4058" s="66" t="str">
        <f>IF(Seventeenth!H61="", "",Seventeenth!H61)</f>
        <v/>
      </c>
      <c r="I4058" s="66" t="str">
        <f>IF(Seventeenth!I61="", "",Seventeenth!I61)</f>
        <v/>
      </c>
      <c r="J4058" s="66" t="str">
        <f>IF(Seventeenth!J61="", "",Seventeenth!J61)</f>
        <v/>
      </c>
      <c r="K4058" s="86" t="str">
        <f>IF(Seventeenth!K61="", "",Seventeenth!K61)</f>
        <v/>
      </c>
      <c r="M4058" s="67" t="str">
        <f t="shared" si="191"/>
        <v/>
      </c>
      <c r="N4058" s="76" t="str">
        <f t="shared" si="192"/>
        <v/>
      </c>
      <c r="O4058" s="33">
        <f t="shared" si="190"/>
        <v>0</v>
      </c>
    </row>
    <row r="4059" spans="1:15" x14ac:dyDescent="0.25">
      <c r="A4059" s="64" t="s">
        <v>188</v>
      </c>
      <c r="B4059" s="79" t="str">
        <f>IF(Seventeenth!B62="", "",Seventeenth!B62)</f>
        <v/>
      </c>
      <c r="C4059" s="66" t="str">
        <f>IF(Seventeenth!C62="", "",Seventeenth!C62)</f>
        <v/>
      </c>
      <c r="D4059" s="66" t="str">
        <f>IF(Seventeenth!D62="", "",Seventeenth!D62)</f>
        <v/>
      </c>
      <c r="E4059" s="66" t="str">
        <f>IF(Seventeenth!E62="", "",Seventeenth!E62)</f>
        <v/>
      </c>
      <c r="F4059" s="66" t="str">
        <f>IF(Seventeenth!F62="", "",Seventeenth!F62)</f>
        <v/>
      </c>
      <c r="G4059" s="66" t="str">
        <f>IF(Seventeenth!G62="", "",Seventeenth!G62)</f>
        <v/>
      </c>
      <c r="H4059" s="66" t="str">
        <f>IF(Seventeenth!H62="", "",Seventeenth!H62)</f>
        <v/>
      </c>
      <c r="I4059" s="66" t="str">
        <f>IF(Seventeenth!I62="", "",Seventeenth!I62)</f>
        <v/>
      </c>
      <c r="J4059" s="66" t="str">
        <f>IF(Seventeenth!J62="", "",Seventeenth!J62)</f>
        <v/>
      </c>
      <c r="K4059" s="86" t="str">
        <f>IF(Seventeenth!K62="", "",Seventeenth!K62)</f>
        <v/>
      </c>
      <c r="M4059" s="67" t="str">
        <f t="shared" si="191"/>
        <v/>
      </c>
      <c r="N4059" s="76" t="str">
        <f t="shared" si="192"/>
        <v/>
      </c>
      <c r="O4059" s="33">
        <f t="shared" si="190"/>
        <v>0</v>
      </c>
    </row>
    <row r="4060" spans="1:15" x14ac:dyDescent="0.25">
      <c r="A4060" s="64" t="s">
        <v>188</v>
      </c>
      <c r="B4060" s="79" t="str">
        <f>IF(Seventeenth!B63="", "",Seventeenth!B63)</f>
        <v/>
      </c>
      <c r="C4060" s="66" t="str">
        <f>IF(Seventeenth!C63="", "",Seventeenth!C63)</f>
        <v/>
      </c>
      <c r="D4060" s="66" t="str">
        <f>IF(Seventeenth!D63="", "",Seventeenth!D63)</f>
        <v/>
      </c>
      <c r="E4060" s="66" t="str">
        <f>IF(Seventeenth!E63="", "",Seventeenth!E63)</f>
        <v/>
      </c>
      <c r="F4060" s="66" t="str">
        <f>IF(Seventeenth!F63="", "",Seventeenth!F63)</f>
        <v/>
      </c>
      <c r="G4060" s="66" t="str">
        <f>IF(Seventeenth!G63="", "",Seventeenth!G63)</f>
        <v/>
      </c>
      <c r="H4060" s="66" t="str">
        <f>IF(Seventeenth!H63="", "",Seventeenth!H63)</f>
        <v/>
      </c>
      <c r="I4060" s="66" t="str">
        <f>IF(Seventeenth!I63="", "",Seventeenth!I63)</f>
        <v/>
      </c>
      <c r="J4060" s="66" t="str">
        <f>IF(Seventeenth!J63="", "",Seventeenth!J63)</f>
        <v/>
      </c>
      <c r="K4060" s="86" t="str">
        <f>IF(Seventeenth!K63="", "",Seventeenth!K63)</f>
        <v/>
      </c>
      <c r="M4060" s="67" t="str">
        <f t="shared" si="191"/>
        <v/>
      </c>
      <c r="N4060" s="76" t="str">
        <f t="shared" si="192"/>
        <v/>
      </c>
      <c r="O4060" s="33">
        <f t="shared" si="190"/>
        <v>0</v>
      </c>
    </row>
    <row r="4061" spans="1:15" x14ac:dyDescent="0.25">
      <c r="A4061" s="64" t="s">
        <v>188</v>
      </c>
      <c r="B4061" s="79" t="str">
        <f>IF(Seventeenth!B64="", "",Seventeenth!B64)</f>
        <v/>
      </c>
      <c r="C4061" s="66" t="str">
        <f>IF(Seventeenth!C64="", "",Seventeenth!C64)</f>
        <v/>
      </c>
      <c r="D4061" s="66" t="str">
        <f>IF(Seventeenth!D64="", "",Seventeenth!D64)</f>
        <v/>
      </c>
      <c r="E4061" s="66" t="str">
        <f>IF(Seventeenth!E64="", "",Seventeenth!E64)</f>
        <v/>
      </c>
      <c r="F4061" s="66" t="str">
        <f>IF(Seventeenth!F64="", "",Seventeenth!F64)</f>
        <v/>
      </c>
      <c r="G4061" s="66" t="str">
        <f>IF(Seventeenth!G64="", "",Seventeenth!G64)</f>
        <v/>
      </c>
      <c r="H4061" s="66" t="str">
        <f>IF(Seventeenth!H64="", "",Seventeenth!H64)</f>
        <v/>
      </c>
      <c r="I4061" s="66" t="str">
        <f>IF(Seventeenth!I64="", "",Seventeenth!I64)</f>
        <v/>
      </c>
      <c r="J4061" s="66" t="str">
        <f>IF(Seventeenth!J64="", "",Seventeenth!J64)</f>
        <v/>
      </c>
      <c r="K4061" s="86" t="str">
        <f>IF(Seventeenth!K64="", "",Seventeenth!K64)</f>
        <v/>
      </c>
      <c r="M4061" s="67" t="str">
        <f t="shared" si="191"/>
        <v/>
      </c>
      <c r="N4061" s="76" t="str">
        <f t="shared" si="192"/>
        <v/>
      </c>
      <c r="O4061" s="33">
        <f t="shared" si="190"/>
        <v>0</v>
      </c>
    </row>
    <row r="4062" spans="1:15" x14ac:dyDescent="0.25">
      <c r="A4062" s="64" t="s">
        <v>188</v>
      </c>
      <c r="B4062" s="79" t="str">
        <f>IF(Seventeenth!B65="", "",Seventeenth!B65)</f>
        <v/>
      </c>
      <c r="C4062" s="66" t="str">
        <f>IF(Seventeenth!C65="", "",Seventeenth!C65)</f>
        <v/>
      </c>
      <c r="D4062" s="66" t="str">
        <f>IF(Seventeenth!D65="", "",Seventeenth!D65)</f>
        <v/>
      </c>
      <c r="E4062" s="66" t="str">
        <f>IF(Seventeenth!E65="", "",Seventeenth!E65)</f>
        <v/>
      </c>
      <c r="F4062" s="66" t="str">
        <f>IF(Seventeenth!F65="", "",Seventeenth!F65)</f>
        <v/>
      </c>
      <c r="G4062" s="66" t="str">
        <f>IF(Seventeenth!G65="", "",Seventeenth!G65)</f>
        <v/>
      </c>
      <c r="H4062" s="66" t="str">
        <f>IF(Seventeenth!H65="", "",Seventeenth!H65)</f>
        <v/>
      </c>
      <c r="I4062" s="66" t="str">
        <f>IF(Seventeenth!I65="", "",Seventeenth!I65)</f>
        <v/>
      </c>
      <c r="J4062" s="66" t="str">
        <f>IF(Seventeenth!J65="", "",Seventeenth!J65)</f>
        <v/>
      </c>
      <c r="K4062" s="86" t="str">
        <f>IF(Seventeenth!K65="", "",Seventeenth!K65)</f>
        <v/>
      </c>
      <c r="M4062" s="67" t="str">
        <f t="shared" si="191"/>
        <v/>
      </c>
      <c r="N4062" s="76" t="str">
        <f t="shared" si="192"/>
        <v/>
      </c>
      <c r="O4062" s="33">
        <f t="shared" si="190"/>
        <v>0</v>
      </c>
    </row>
    <row r="4063" spans="1:15" x14ac:dyDescent="0.25">
      <c r="A4063" s="64" t="s">
        <v>188</v>
      </c>
      <c r="B4063" s="79" t="str">
        <f>IF(Seventeenth!B66="", "",Seventeenth!B66)</f>
        <v/>
      </c>
      <c r="C4063" s="66" t="str">
        <f>IF(Seventeenth!C66="", "",Seventeenth!C66)</f>
        <v/>
      </c>
      <c r="D4063" s="66" t="str">
        <f>IF(Seventeenth!D66="", "",Seventeenth!D66)</f>
        <v/>
      </c>
      <c r="E4063" s="66" t="str">
        <f>IF(Seventeenth!E66="", "",Seventeenth!E66)</f>
        <v/>
      </c>
      <c r="F4063" s="66" t="str">
        <f>IF(Seventeenth!F66="", "",Seventeenth!F66)</f>
        <v/>
      </c>
      <c r="G4063" s="66" t="str">
        <f>IF(Seventeenth!G66="", "",Seventeenth!G66)</f>
        <v/>
      </c>
      <c r="H4063" s="66" t="str">
        <f>IF(Seventeenth!H66="", "",Seventeenth!H66)</f>
        <v/>
      </c>
      <c r="I4063" s="66" t="str">
        <f>IF(Seventeenth!I66="", "",Seventeenth!I66)</f>
        <v/>
      </c>
      <c r="J4063" s="66" t="str">
        <f>IF(Seventeenth!J66="", "",Seventeenth!J66)</f>
        <v/>
      </c>
      <c r="K4063" s="86" t="str">
        <f>IF(Seventeenth!K66="", "",Seventeenth!K66)</f>
        <v/>
      </c>
      <c r="M4063" s="67" t="str">
        <f t="shared" si="191"/>
        <v/>
      </c>
      <c r="N4063" s="76" t="str">
        <f t="shared" si="192"/>
        <v/>
      </c>
      <c r="O4063" s="33">
        <f t="shared" si="190"/>
        <v>0</v>
      </c>
    </row>
    <row r="4064" spans="1:15" x14ac:dyDescent="0.25">
      <c r="A4064" s="64" t="s">
        <v>188</v>
      </c>
      <c r="B4064" s="79" t="str">
        <f>IF(Seventeenth!B67="", "",Seventeenth!B67)</f>
        <v/>
      </c>
      <c r="C4064" s="66" t="str">
        <f>IF(Seventeenth!C67="", "",Seventeenth!C67)</f>
        <v/>
      </c>
      <c r="D4064" s="66" t="str">
        <f>IF(Seventeenth!D67="", "",Seventeenth!D67)</f>
        <v/>
      </c>
      <c r="E4064" s="66" t="str">
        <f>IF(Seventeenth!E67="", "",Seventeenth!E67)</f>
        <v/>
      </c>
      <c r="F4064" s="66" t="str">
        <f>IF(Seventeenth!F67="", "",Seventeenth!F67)</f>
        <v/>
      </c>
      <c r="G4064" s="66" t="str">
        <f>IF(Seventeenth!G67="", "",Seventeenth!G67)</f>
        <v/>
      </c>
      <c r="H4064" s="66" t="str">
        <f>IF(Seventeenth!H67="", "",Seventeenth!H67)</f>
        <v/>
      </c>
      <c r="I4064" s="66" t="str">
        <f>IF(Seventeenth!I67="", "",Seventeenth!I67)</f>
        <v/>
      </c>
      <c r="J4064" s="66" t="str">
        <f>IF(Seventeenth!J67="", "",Seventeenth!J67)</f>
        <v/>
      </c>
      <c r="K4064" s="86" t="str">
        <f>IF(Seventeenth!K67="", "",Seventeenth!K67)</f>
        <v/>
      </c>
      <c r="M4064" s="67" t="str">
        <f t="shared" si="191"/>
        <v/>
      </c>
      <c r="N4064" s="76" t="str">
        <f t="shared" si="192"/>
        <v/>
      </c>
      <c r="O4064" s="33">
        <f t="shared" si="190"/>
        <v>0</v>
      </c>
    </row>
    <row r="4065" spans="1:15" x14ac:dyDescent="0.25">
      <c r="A4065" s="64" t="s">
        <v>188</v>
      </c>
      <c r="B4065" s="79" t="str">
        <f>IF(Seventeenth!B68="", "",Seventeenth!B68)</f>
        <v/>
      </c>
      <c r="C4065" s="66" t="str">
        <f>IF(Seventeenth!C68="", "",Seventeenth!C68)</f>
        <v/>
      </c>
      <c r="D4065" s="66" t="str">
        <f>IF(Seventeenth!D68="", "",Seventeenth!D68)</f>
        <v/>
      </c>
      <c r="E4065" s="66" t="str">
        <f>IF(Seventeenth!E68="", "",Seventeenth!E68)</f>
        <v/>
      </c>
      <c r="F4065" s="66" t="str">
        <f>IF(Seventeenth!F68="", "",Seventeenth!F68)</f>
        <v/>
      </c>
      <c r="G4065" s="66" t="str">
        <f>IF(Seventeenth!G68="", "",Seventeenth!G68)</f>
        <v/>
      </c>
      <c r="H4065" s="66" t="str">
        <f>IF(Seventeenth!H68="", "",Seventeenth!H68)</f>
        <v/>
      </c>
      <c r="I4065" s="66" t="str">
        <f>IF(Seventeenth!I68="", "",Seventeenth!I68)</f>
        <v/>
      </c>
      <c r="J4065" s="66" t="str">
        <f>IF(Seventeenth!J68="", "",Seventeenth!J68)</f>
        <v/>
      </c>
      <c r="K4065" s="86" t="str">
        <f>IF(Seventeenth!K68="", "",Seventeenth!K68)</f>
        <v/>
      </c>
      <c r="M4065" s="67" t="str">
        <f t="shared" si="191"/>
        <v/>
      </c>
      <c r="N4065" s="76" t="str">
        <f t="shared" si="192"/>
        <v/>
      </c>
      <c r="O4065" s="33">
        <f t="shared" si="190"/>
        <v>0</v>
      </c>
    </row>
    <row r="4066" spans="1:15" x14ac:dyDescent="0.25">
      <c r="A4066" s="64" t="s">
        <v>188</v>
      </c>
      <c r="B4066" s="79" t="str">
        <f>IF(Seventeenth!B69="", "",Seventeenth!B69)</f>
        <v/>
      </c>
      <c r="C4066" s="66" t="str">
        <f>IF(Seventeenth!C69="", "",Seventeenth!C69)</f>
        <v/>
      </c>
      <c r="D4066" s="66" t="str">
        <f>IF(Seventeenth!D69="", "",Seventeenth!D69)</f>
        <v/>
      </c>
      <c r="E4066" s="66" t="str">
        <f>IF(Seventeenth!E69="", "",Seventeenth!E69)</f>
        <v/>
      </c>
      <c r="F4066" s="66" t="str">
        <f>IF(Seventeenth!F69="", "",Seventeenth!F69)</f>
        <v/>
      </c>
      <c r="G4066" s="66" t="str">
        <f>IF(Seventeenth!G69="", "",Seventeenth!G69)</f>
        <v/>
      </c>
      <c r="H4066" s="66" t="str">
        <f>IF(Seventeenth!H69="", "",Seventeenth!H69)</f>
        <v/>
      </c>
      <c r="I4066" s="66" t="str">
        <f>IF(Seventeenth!I69="", "",Seventeenth!I69)</f>
        <v/>
      </c>
      <c r="J4066" s="66" t="str">
        <f>IF(Seventeenth!J69="", "",Seventeenth!J69)</f>
        <v/>
      </c>
      <c r="K4066" s="86" t="str">
        <f>IF(Seventeenth!K69="", "",Seventeenth!K69)</f>
        <v/>
      </c>
      <c r="M4066" s="67" t="str">
        <f t="shared" si="191"/>
        <v/>
      </c>
      <c r="N4066" s="76" t="str">
        <f t="shared" si="192"/>
        <v/>
      </c>
      <c r="O4066" s="33">
        <f t="shared" si="190"/>
        <v>0</v>
      </c>
    </row>
    <row r="4067" spans="1:15" x14ac:dyDescent="0.25">
      <c r="A4067" s="64" t="s">
        <v>188</v>
      </c>
      <c r="B4067" s="79" t="str">
        <f>IF(Seventeenth!B70="", "",Seventeenth!B70)</f>
        <v/>
      </c>
      <c r="C4067" s="66" t="str">
        <f>IF(Seventeenth!C70="", "",Seventeenth!C70)</f>
        <v/>
      </c>
      <c r="D4067" s="66" t="str">
        <f>IF(Seventeenth!D70="", "",Seventeenth!D70)</f>
        <v/>
      </c>
      <c r="E4067" s="66" t="str">
        <f>IF(Seventeenth!E70="", "",Seventeenth!E70)</f>
        <v/>
      </c>
      <c r="F4067" s="66" t="str">
        <f>IF(Seventeenth!F70="", "",Seventeenth!F70)</f>
        <v/>
      </c>
      <c r="G4067" s="66" t="str">
        <f>IF(Seventeenth!G70="", "",Seventeenth!G70)</f>
        <v/>
      </c>
      <c r="H4067" s="66" t="str">
        <f>IF(Seventeenth!H70="", "",Seventeenth!H70)</f>
        <v/>
      </c>
      <c r="I4067" s="66" t="str">
        <f>IF(Seventeenth!I70="", "",Seventeenth!I70)</f>
        <v/>
      </c>
      <c r="J4067" s="66" t="str">
        <f>IF(Seventeenth!J70="", "",Seventeenth!J70)</f>
        <v/>
      </c>
      <c r="K4067" s="86" t="str">
        <f>IF(Seventeenth!K70="", "",Seventeenth!K70)</f>
        <v/>
      </c>
      <c r="M4067" s="67" t="str">
        <f t="shared" si="191"/>
        <v/>
      </c>
      <c r="N4067" s="76" t="str">
        <f t="shared" si="192"/>
        <v/>
      </c>
      <c r="O4067" s="33">
        <f t="shared" si="190"/>
        <v>0</v>
      </c>
    </row>
    <row r="4068" spans="1:15" x14ac:dyDescent="0.25">
      <c r="A4068" s="64" t="s">
        <v>188</v>
      </c>
      <c r="B4068" s="79" t="str">
        <f>IF(Seventeenth!B71="", "",Seventeenth!B71)</f>
        <v/>
      </c>
      <c r="C4068" s="66" t="str">
        <f>IF(Seventeenth!C71="", "",Seventeenth!C71)</f>
        <v/>
      </c>
      <c r="D4068" s="66" t="str">
        <f>IF(Seventeenth!D71="", "",Seventeenth!D71)</f>
        <v/>
      </c>
      <c r="E4068" s="66" t="str">
        <f>IF(Seventeenth!E71="", "",Seventeenth!E71)</f>
        <v/>
      </c>
      <c r="F4068" s="66" t="str">
        <f>IF(Seventeenth!F71="", "",Seventeenth!F71)</f>
        <v/>
      </c>
      <c r="G4068" s="66" t="str">
        <f>IF(Seventeenth!G71="", "",Seventeenth!G71)</f>
        <v/>
      </c>
      <c r="H4068" s="66" t="str">
        <f>IF(Seventeenth!H71="", "",Seventeenth!H71)</f>
        <v/>
      </c>
      <c r="I4068" s="66" t="str">
        <f>IF(Seventeenth!I71="", "",Seventeenth!I71)</f>
        <v/>
      </c>
      <c r="J4068" s="66" t="str">
        <f>IF(Seventeenth!J71="", "",Seventeenth!J71)</f>
        <v/>
      </c>
      <c r="K4068" s="86" t="str">
        <f>IF(Seventeenth!K71="", "",Seventeenth!K71)</f>
        <v/>
      </c>
      <c r="M4068" s="67" t="str">
        <f t="shared" si="191"/>
        <v/>
      </c>
      <c r="N4068" s="76" t="str">
        <f t="shared" si="192"/>
        <v/>
      </c>
      <c r="O4068" s="33">
        <f t="shared" si="190"/>
        <v>0</v>
      </c>
    </row>
    <row r="4069" spans="1:15" x14ac:dyDescent="0.25">
      <c r="A4069" s="64" t="s">
        <v>188</v>
      </c>
      <c r="B4069" s="79" t="str">
        <f>IF(Seventeenth!B72="", "",Seventeenth!B72)</f>
        <v/>
      </c>
      <c r="C4069" s="66" t="str">
        <f>IF(Seventeenth!C72="", "",Seventeenth!C72)</f>
        <v/>
      </c>
      <c r="D4069" s="66" t="str">
        <f>IF(Seventeenth!D72="", "",Seventeenth!D72)</f>
        <v/>
      </c>
      <c r="E4069" s="66" t="str">
        <f>IF(Seventeenth!E72="", "",Seventeenth!E72)</f>
        <v/>
      </c>
      <c r="F4069" s="66" t="str">
        <f>IF(Seventeenth!F72="", "",Seventeenth!F72)</f>
        <v/>
      </c>
      <c r="G4069" s="66" t="str">
        <f>IF(Seventeenth!G72="", "",Seventeenth!G72)</f>
        <v/>
      </c>
      <c r="H4069" s="66" t="str">
        <f>IF(Seventeenth!H72="", "",Seventeenth!H72)</f>
        <v/>
      </c>
      <c r="I4069" s="66" t="str">
        <f>IF(Seventeenth!I72="", "",Seventeenth!I72)</f>
        <v/>
      </c>
      <c r="J4069" s="66" t="str">
        <f>IF(Seventeenth!J72="", "",Seventeenth!J72)</f>
        <v/>
      </c>
      <c r="K4069" s="86" t="str">
        <f>IF(Seventeenth!K72="", "",Seventeenth!K72)</f>
        <v/>
      </c>
      <c r="M4069" s="67" t="str">
        <f t="shared" si="191"/>
        <v/>
      </c>
      <c r="N4069" s="76" t="str">
        <f t="shared" si="192"/>
        <v/>
      </c>
      <c r="O4069" s="33">
        <f t="shared" si="190"/>
        <v>0</v>
      </c>
    </row>
    <row r="4070" spans="1:15" x14ac:dyDescent="0.25">
      <c r="A4070" s="64" t="s">
        <v>188</v>
      </c>
      <c r="B4070" s="79" t="str">
        <f>IF(Seventeenth!B73="", "",Seventeenth!B73)</f>
        <v/>
      </c>
      <c r="C4070" s="66" t="str">
        <f>IF(Seventeenth!C73="", "",Seventeenth!C73)</f>
        <v/>
      </c>
      <c r="D4070" s="66" t="str">
        <f>IF(Seventeenth!D73="", "",Seventeenth!D73)</f>
        <v/>
      </c>
      <c r="E4070" s="66" t="str">
        <f>IF(Seventeenth!E73="", "",Seventeenth!E73)</f>
        <v/>
      </c>
      <c r="F4070" s="66" t="str">
        <f>IF(Seventeenth!F73="", "",Seventeenth!F73)</f>
        <v/>
      </c>
      <c r="G4070" s="66" t="str">
        <f>IF(Seventeenth!G73="", "",Seventeenth!G73)</f>
        <v/>
      </c>
      <c r="H4070" s="66" t="str">
        <f>IF(Seventeenth!H73="", "",Seventeenth!H73)</f>
        <v/>
      </c>
      <c r="I4070" s="66" t="str">
        <f>IF(Seventeenth!I73="", "",Seventeenth!I73)</f>
        <v/>
      </c>
      <c r="J4070" s="66" t="str">
        <f>IF(Seventeenth!J73="", "",Seventeenth!J73)</f>
        <v/>
      </c>
      <c r="K4070" s="86" t="str">
        <f>IF(Seventeenth!K73="", "",Seventeenth!K73)</f>
        <v/>
      </c>
      <c r="M4070" s="67" t="str">
        <f t="shared" si="191"/>
        <v/>
      </c>
      <c r="N4070" s="76" t="str">
        <f t="shared" si="192"/>
        <v/>
      </c>
      <c r="O4070" s="33">
        <f t="shared" si="190"/>
        <v>0</v>
      </c>
    </row>
    <row r="4071" spans="1:15" x14ac:dyDescent="0.25">
      <c r="A4071" s="64" t="s">
        <v>188</v>
      </c>
      <c r="B4071" s="79" t="str">
        <f>IF(Seventeenth!B74="", "",Seventeenth!B74)</f>
        <v/>
      </c>
      <c r="C4071" s="66" t="str">
        <f>IF(Seventeenth!C74="", "",Seventeenth!C74)</f>
        <v/>
      </c>
      <c r="D4071" s="66" t="str">
        <f>IF(Seventeenth!D74="", "",Seventeenth!D74)</f>
        <v/>
      </c>
      <c r="E4071" s="66" t="str">
        <f>IF(Seventeenth!E74="", "",Seventeenth!E74)</f>
        <v/>
      </c>
      <c r="F4071" s="66" t="str">
        <f>IF(Seventeenth!F74="", "",Seventeenth!F74)</f>
        <v/>
      </c>
      <c r="G4071" s="66" t="str">
        <f>IF(Seventeenth!G74="", "",Seventeenth!G74)</f>
        <v/>
      </c>
      <c r="H4071" s="66" t="str">
        <f>IF(Seventeenth!H74="", "",Seventeenth!H74)</f>
        <v/>
      </c>
      <c r="I4071" s="66" t="str">
        <f>IF(Seventeenth!I74="", "",Seventeenth!I74)</f>
        <v/>
      </c>
      <c r="J4071" s="66" t="str">
        <f>IF(Seventeenth!J74="", "",Seventeenth!J74)</f>
        <v/>
      </c>
      <c r="K4071" s="86" t="str">
        <f>IF(Seventeenth!K74="", "",Seventeenth!K74)</f>
        <v/>
      </c>
      <c r="M4071" s="67" t="str">
        <f t="shared" si="191"/>
        <v/>
      </c>
      <c r="N4071" s="76" t="str">
        <f t="shared" si="192"/>
        <v/>
      </c>
      <c r="O4071" s="33">
        <f t="shared" si="190"/>
        <v>0</v>
      </c>
    </row>
    <row r="4072" spans="1:15" x14ac:dyDescent="0.25">
      <c r="A4072" s="64" t="s">
        <v>188</v>
      </c>
      <c r="B4072" s="79" t="str">
        <f>IF(Seventeenth!B75="", "",Seventeenth!B75)</f>
        <v/>
      </c>
      <c r="C4072" s="66" t="str">
        <f>IF(Seventeenth!C75="", "",Seventeenth!C75)</f>
        <v/>
      </c>
      <c r="D4072" s="66" t="str">
        <f>IF(Seventeenth!D75="", "",Seventeenth!D75)</f>
        <v/>
      </c>
      <c r="E4072" s="66" t="str">
        <f>IF(Seventeenth!E75="", "",Seventeenth!E75)</f>
        <v/>
      </c>
      <c r="F4072" s="66" t="str">
        <f>IF(Seventeenth!F75="", "",Seventeenth!F75)</f>
        <v/>
      </c>
      <c r="G4072" s="66" t="str">
        <f>IF(Seventeenth!G75="", "",Seventeenth!G75)</f>
        <v/>
      </c>
      <c r="H4072" s="66" t="str">
        <f>IF(Seventeenth!H75="", "",Seventeenth!H75)</f>
        <v/>
      </c>
      <c r="I4072" s="66" t="str">
        <f>IF(Seventeenth!I75="", "",Seventeenth!I75)</f>
        <v/>
      </c>
      <c r="J4072" s="66" t="str">
        <f>IF(Seventeenth!J75="", "",Seventeenth!J75)</f>
        <v/>
      </c>
      <c r="K4072" s="86" t="str">
        <f>IF(Seventeenth!K75="", "",Seventeenth!K75)</f>
        <v/>
      </c>
      <c r="M4072" s="67" t="str">
        <f t="shared" si="191"/>
        <v/>
      </c>
      <c r="N4072" s="76" t="str">
        <f t="shared" si="192"/>
        <v/>
      </c>
      <c r="O4072" s="33">
        <f t="shared" si="190"/>
        <v>0</v>
      </c>
    </row>
    <row r="4073" spans="1:15" x14ac:dyDescent="0.25">
      <c r="A4073" s="64" t="s">
        <v>188</v>
      </c>
      <c r="B4073" s="79" t="str">
        <f>IF(Seventeenth!B76="", "",Seventeenth!B76)</f>
        <v/>
      </c>
      <c r="C4073" s="66" t="str">
        <f>IF(Seventeenth!C76="", "",Seventeenth!C76)</f>
        <v/>
      </c>
      <c r="D4073" s="66" t="str">
        <f>IF(Seventeenth!D76="", "",Seventeenth!D76)</f>
        <v/>
      </c>
      <c r="E4073" s="66" t="str">
        <f>IF(Seventeenth!E76="", "",Seventeenth!E76)</f>
        <v/>
      </c>
      <c r="F4073" s="66" t="str">
        <f>IF(Seventeenth!F76="", "",Seventeenth!F76)</f>
        <v/>
      </c>
      <c r="G4073" s="66" t="str">
        <f>IF(Seventeenth!G76="", "",Seventeenth!G76)</f>
        <v/>
      </c>
      <c r="H4073" s="66" t="str">
        <f>IF(Seventeenth!H76="", "",Seventeenth!H76)</f>
        <v/>
      </c>
      <c r="I4073" s="66" t="str">
        <f>IF(Seventeenth!I76="", "",Seventeenth!I76)</f>
        <v/>
      </c>
      <c r="J4073" s="66" t="str">
        <f>IF(Seventeenth!J76="", "",Seventeenth!J76)</f>
        <v/>
      </c>
      <c r="K4073" s="86" t="str">
        <f>IF(Seventeenth!K76="", "",Seventeenth!K76)</f>
        <v/>
      </c>
      <c r="M4073" s="67" t="str">
        <f t="shared" si="191"/>
        <v/>
      </c>
      <c r="N4073" s="76" t="str">
        <f t="shared" si="192"/>
        <v/>
      </c>
      <c r="O4073" s="33">
        <f t="shared" si="190"/>
        <v>0</v>
      </c>
    </row>
    <row r="4074" spans="1:15" x14ac:dyDescent="0.25">
      <c r="A4074" s="64" t="s">
        <v>188</v>
      </c>
      <c r="B4074" s="79" t="str">
        <f>IF(Seventeenth!B77="", "",Seventeenth!B77)</f>
        <v/>
      </c>
      <c r="C4074" s="66" t="str">
        <f>IF(Seventeenth!C77="", "",Seventeenth!C77)</f>
        <v/>
      </c>
      <c r="D4074" s="66" t="str">
        <f>IF(Seventeenth!D77="", "",Seventeenth!D77)</f>
        <v/>
      </c>
      <c r="E4074" s="66" t="str">
        <f>IF(Seventeenth!E77="", "",Seventeenth!E77)</f>
        <v/>
      </c>
      <c r="F4074" s="66" t="str">
        <f>IF(Seventeenth!F77="", "",Seventeenth!F77)</f>
        <v/>
      </c>
      <c r="G4074" s="66" t="str">
        <f>IF(Seventeenth!G77="", "",Seventeenth!G77)</f>
        <v/>
      </c>
      <c r="H4074" s="66" t="str">
        <f>IF(Seventeenth!H77="", "",Seventeenth!H77)</f>
        <v/>
      </c>
      <c r="I4074" s="66" t="str">
        <f>IF(Seventeenth!I77="", "",Seventeenth!I77)</f>
        <v/>
      </c>
      <c r="J4074" s="66" t="str">
        <f>IF(Seventeenth!J77="", "",Seventeenth!J77)</f>
        <v/>
      </c>
      <c r="K4074" s="86" t="str">
        <f>IF(Seventeenth!K77="", "",Seventeenth!K77)</f>
        <v/>
      </c>
      <c r="M4074" s="67" t="str">
        <f t="shared" si="191"/>
        <v/>
      </c>
      <c r="N4074" s="76" t="str">
        <f t="shared" si="192"/>
        <v/>
      </c>
      <c r="O4074" s="33">
        <f t="shared" si="190"/>
        <v>0</v>
      </c>
    </row>
    <row r="4075" spans="1:15" x14ac:dyDescent="0.25">
      <c r="A4075" s="64" t="s">
        <v>188</v>
      </c>
      <c r="B4075" s="79" t="str">
        <f>IF(Seventeenth!B78="", "",Seventeenth!B78)</f>
        <v/>
      </c>
      <c r="C4075" s="66" t="str">
        <f>IF(Seventeenth!C78="", "",Seventeenth!C78)</f>
        <v/>
      </c>
      <c r="D4075" s="66" t="str">
        <f>IF(Seventeenth!D78="", "",Seventeenth!D78)</f>
        <v/>
      </c>
      <c r="E4075" s="66" t="str">
        <f>IF(Seventeenth!E78="", "",Seventeenth!E78)</f>
        <v/>
      </c>
      <c r="F4075" s="66" t="str">
        <f>IF(Seventeenth!F78="", "",Seventeenth!F78)</f>
        <v/>
      </c>
      <c r="G4075" s="66" t="str">
        <f>IF(Seventeenth!G78="", "",Seventeenth!G78)</f>
        <v/>
      </c>
      <c r="H4075" s="66" t="str">
        <f>IF(Seventeenth!H78="", "",Seventeenth!H78)</f>
        <v/>
      </c>
      <c r="I4075" s="66" t="str">
        <f>IF(Seventeenth!I78="", "",Seventeenth!I78)</f>
        <v/>
      </c>
      <c r="J4075" s="66" t="str">
        <f>IF(Seventeenth!J78="", "",Seventeenth!J78)</f>
        <v/>
      </c>
      <c r="K4075" s="86" t="str">
        <f>IF(Seventeenth!K78="", "",Seventeenth!K78)</f>
        <v/>
      </c>
      <c r="M4075" s="67" t="str">
        <f t="shared" si="191"/>
        <v/>
      </c>
      <c r="N4075" s="76" t="str">
        <f t="shared" si="192"/>
        <v/>
      </c>
      <c r="O4075" s="33">
        <f t="shared" si="190"/>
        <v>0</v>
      </c>
    </row>
    <row r="4076" spans="1:15" x14ac:dyDescent="0.25">
      <c r="A4076" s="64" t="s">
        <v>188</v>
      </c>
      <c r="B4076" s="79" t="str">
        <f>IF(Seventeenth!B79="", "",Seventeenth!B79)</f>
        <v/>
      </c>
      <c r="C4076" s="66" t="str">
        <f>IF(Seventeenth!C79="", "",Seventeenth!C79)</f>
        <v/>
      </c>
      <c r="D4076" s="66" t="str">
        <f>IF(Seventeenth!D79="", "",Seventeenth!D79)</f>
        <v/>
      </c>
      <c r="E4076" s="66" t="str">
        <f>IF(Seventeenth!E79="", "",Seventeenth!E79)</f>
        <v/>
      </c>
      <c r="F4076" s="66" t="str">
        <f>IF(Seventeenth!F79="", "",Seventeenth!F79)</f>
        <v/>
      </c>
      <c r="G4076" s="66" t="str">
        <f>IF(Seventeenth!G79="", "",Seventeenth!G79)</f>
        <v/>
      </c>
      <c r="H4076" s="66" t="str">
        <f>IF(Seventeenth!H79="", "",Seventeenth!H79)</f>
        <v/>
      </c>
      <c r="I4076" s="66" t="str">
        <f>IF(Seventeenth!I79="", "",Seventeenth!I79)</f>
        <v/>
      </c>
      <c r="J4076" s="66" t="str">
        <f>IF(Seventeenth!J79="", "",Seventeenth!J79)</f>
        <v/>
      </c>
      <c r="K4076" s="86" t="str">
        <f>IF(Seventeenth!K79="", "",Seventeenth!K79)</f>
        <v/>
      </c>
      <c r="M4076" s="67" t="str">
        <f t="shared" si="191"/>
        <v/>
      </c>
      <c r="N4076" s="76" t="str">
        <f t="shared" si="192"/>
        <v/>
      </c>
      <c r="O4076" s="33">
        <f t="shared" si="190"/>
        <v>0</v>
      </c>
    </row>
    <row r="4077" spans="1:15" x14ac:dyDescent="0.25">
      <c r="A4077" s="64" t="s">
        <v>188</v>
      </c>
      <c r="B4077" s="79" t="str">
        <f>IF(Seventeenth!B80="", "",Seventeenth!B80)</f>
        <v/>
      </c>
      <c r="C4077" s="66" t="str">
        <f>IF(Seventeenth!C80="", "",Seventeenth!C80)</f>
        <v/>
      </c>
      <c r="D4077" s="66" t="str">
        <f>IF(Seventeenth!D80="", "",Seventeenth!D80)</f>
        <v/>
      </c>
      <c r="E4077" s="66" t="str">
        <f>IF(Seventeenth!E80="", "",Seventeenth!E80)</f>
        <v/>
      </c>
      <c r="F4077" s="66" t="str">
        <f>IF(Seventeenth!F80="", "",Seventeenth!F80)</f>
        <v/>
      </c>
      <c r="G4077" s="66" t="str">
        <f>IF(Seventeenth!G80="", "",Seventeenth!G80)</f>
        <v/>
      </c>
      <c r="H4077" s="66" t="str">
        <f>IF(Seventeenth!H80="", "",Seventeenth!H80)</f>
        <v/>
      </c>
      <c r="I4077" s="66" t="str">
        <f>IF(Seventeenth!I80="", "",Seventeenth!I80)</f>
        <v/>
      </c>
      <c r="J4077" s="66" t="str">
        <f>IF(Seventeenth!J80="", "",Seventeenth!J80)</f>
        <v/>
      </c>
      <c r="K4077" s="86" t="str">
        <f>IF(Seventeenth!K80="", "",Seventeenth!K80)</f>
        <v/>
      </c>
      <c r="M4077" s="67" t="str">
        <f t="shared" si="191"/>
        <v/>
      </c>
      <c r="N4077" s="76" t="str">
        <f t="shared" si="192"/>
        <v/>
      </c>
      <c r="O4077" s="33">
        <f t="shared" si="190"/>
        <v>0</v>
      </c>
    </row>
    <row r="4078" spans="1:15" x14ac:dyDescent="0.25">
      <c r="A4078" s="64" t="s">
        <v>188</v>
      </c>
      <c r="B4078" s="79" t="str">
        <f>IF(Seventeenth!B81="", "",Seventeenth!B81)</f>
        <v/>
      </c>
      <c r="C4078" s="66" t="str">
        <f>IF(Seventeenth!C81="", "",Seventeenth!C81)</f>
        <v/>
      </c>
      <c r="D4078" s="66" t="str">
        <f>IF(Seventeenth!D81="", "",Seventeenth!D81)</f>
        <v/>
      </c>
      <c r="E4078" s="66" t="str">
        <f>IF(Seventeenth!E81="", "",Seventeenth!E81)</f>
        <v/>
      </c>
      <c r="F4078" s="66" t="str">
        <f>IF(Seventeenth!F81="", "",Seventeenth!F81)</f>
        <v/>
      </c>
      <c r="G4078" s="66" t="str">
        <f>IF(Seventeenth!G81="", "",Seventeenth!G81)</f>
        <v/>
      </c>
      <c r="H4078" s="66" t="str">
        <f>IF(Seventeenth!H81="", "",Seventeenth!H81)</f>
        <v/>
      </c>
      <c r="I4078" s="66" t="str">
        <f>IF(Seventeenth!I81="", "",Seventeenth!I81)</f>
        <v/>
      </c>
      <c r="J4078" s="66" t="str">
        <f>IF(Seventeenth!J81="", "",Seventeenth!J81)</f>
        <v/>
      </c>
      <c r="K4078" s="86" t="str">
        <f>IF(Seventeenth!K81="", "",Seventeenth!K81)</f>
        <v/>
      </c>
      <c r="M4078" s="67" t="str">
        <f t="shared" si="191"/>
        <v/>
      </c>
      <c r="N4078" s="76" t="str">
        <f t="shared" si="192"/>
        <v/>
      </c>
      <c r="O4078" s="33">
        <f t="shared" si="190"/>
        <v>0</v>
      </c>
    </row>
    <row r="4079" spans="1:15" x14ac:dyDescent="0.25">
      <c r="A4079" s="64" t="s">
        <v>188</v>
      </c>
      <c r="B4079" s="79" t="str">
        <f>IF(Seventeenth!B82="", "",Seventeenth!B82)</f>
        <v/>
      </c>
      <c r="C4079" s="66" t="str">
        <f>IF(Seventeenth!C82="", "",Seventeenth!C82)</f>
        <v/>
      </c>
      <c r="D4079" s="66" t="str">
        <f>IF(Seventeenth!D82="", "",Seventeenth!D82)</f>
        <v/>
      </c>
      <c r="E4079" s="66" t="str">
        <f>IF(Seventeenth!E82="", "",Seventeenth!E82)</f>
        <v/>
      </c>
      <c r="F4079" s="66" t="str">
        <f>IF(Seventeenth!F82="", "",Seventeenth!F82)</f>
        <v/>
      </c>
      <c r="G4079" s="66" t="str">
        <f>IF(Seventeenth!G82="", "",Seventeenth!G82)</f>
        <v/>
      </c>
      <c r="H4079" s="66" t="str">
        <f>IF(Seventeenth!H82="", "",Seventeenth!H82)</f>
        <v/>
      </c>
      <c r="I4079" s="66" t="str">
        <f>IF(Seventeenth!I82="", "",Seventeenth!I82)</f>
        <v/>
      </c>
      <c r="J4079" s="66" t="str">
        <f>IF(Seventeenth!J82="", "",Seventeenth!J82)</f>
        <v/>
      </c>
      <c r="K4079" s="86" t="str">
        <f>IF(Seventeenth!K82="", "",Seventeenth!K82)</f>
        <v/>
      </c>
      <c r="M4079" s="67" t="str">
        <f t="shared" si="191"/>
        <v/>
      </c>
      <c r="N4079" s="76" t="str">
        <f t="shared" si="192"/>
        <v/>
      </c>
      <c r="O4079" s="33">
        <f t="shared" si="190"/>
        <v>0</v>
      </c>
    </row>
    <row r="4080" spans="1:15" x14ac:dyDescent="0.25">
      <c r="A4080" s="64" t="s">
        <v>188</v>
      </c>
      <c r="B4080" s="79" t="str">
        <f>IF(Seventeenth!B83="", "",Seventeenth!B83)</f>
        <v/>
      </c>
      <c r="C4080" s="66" t="str">
        <f>IF(Seventeenth!C83="", "",Seventeenth!C83)</f>
        <v/>
      </c>
      <c r="D4080" s="66" t="str">
        <f>IF(Seventeenth!D83="", "",Seventeenth!D83)</f>
        <v/>
      </c>
      <c r="E4080" s="66" t="str">
        <f>IF(Seventeenth!E83="", "",Seventeenth!E83)</f>
        <v/>
      </c>
      <c r="F4080" s="66" t="str">
        <f>IF(Seventeenth!F83="", "",Seventeenth!F83)</f>
        <v/>
      </c>
      <c r="G4080" s="66" t="str">
        <f>IF(Seventeenth!G83="", "",Seventeenth!G83)</f>
        <v/>
      </c>
      <c r="H4080" s="66" t="str">
        <f>IF(Seventeenth!H83="", "",Seventeenth!H83)</f>
        <v/>
      </c>
      <c r="I4080" s="66" t="str">
        <f>IF(Seventeenth!I83="", "",Seventeenth!I83)</f>
        <v/>
      </c>
      <c r="J4080" s="66" t="str">
        <f>IF(Seventeenth!J83="", "",Seventeenth!J83)</f>
        <v/>
      </c>
      <c r="K4080" s="86" t="str">
        <f>IF(Seventeenth!K83="", "",Seventeenth!K83)</f>
        <v/>
      </c>
      <c r="M4080" s="67" t="str">
        <f t="shared" si="191"/>
        <v/>
      </c>
      <c r="N4080" s="76" t="str">
        <f t="shared" si="192"/>
        <v/>
      </c>
      <c r="O4080" s="33">
        <f t="shared" si="190"/>
        <v>0</v>
      </c>
    </row>
    <row r="4081" spans="1:15" x14ac:dyDescent="0.25">
      <c r="A4081" s="64" t="s">
        <v>188</v>
      </c>
      <c r="B4081" s="79" t="str">
        <f>IF(Seventeenth!B84="", "",Seventeenth!B84)</f>
        <v/>
      </c>
      <c r="C4081" s="66" t="str">
        <f>IF(Seventeenth!C84="", "",Seventeenth!C84)</f>
        <v/>
      </c>
      <c r="D4081" s="66" t="str">
        <f>IF(Seventeenth!D84="", "",Seventeenth!D84)</f>
        <v/>
      </c>
      <c r="E4081" s="66" t="str">
        <f>IF(Seventeenth!E84="", "",Seventeenth!E84)</f>
        <v/>
      </c>
      <c r="F4081" s="66" t="str">
        <f>IF(Seventeenth!F84="", "",Seventeenth!F84)</f>
        <v/>
      </c>
      <c r="G4081" s="66" t="str">
        <f>IF(Seventeenth!G84="", "",Seventeenth!G84)</f>
        <v/>
      </c>
      <c r="H4081" s="66" t="str">
        <f>IF(Seventeenth!H84="", "",Seventeenth!H84)</f>
        <v/>
      </c>
      <c r="I4081" s="66" t="str">
        <f>IF(Seventeenth!I84="", "",Seventeenth!I84)</f>
        <v/>
      </c>
      <c r="J4081" s="66" t="str">
        <f>IF(Seventeenth!J84="", "",Seventeenth!J84)</f>
        <v/>
      </c>
      <c r="K4081" s="86" t="str">
        <f>IF(Seventeenth!K84="", "",Seventeenth!K84)</f>
        <v/>
      </c>
      <c r="M4081" s="67" t="str">
        <f t="shared" si="191"/>
        <v/>
      </c>
      <c r="N4081" s="76" t="str">
        <f t="shared" si="192"/>
        <v/>
      </c>
      <c r="O4081" s="33">
        <f t="shared" si="190"/>
        <v>0</v>
      </c>
    </row>
    <row r="4082" spans="1:15" x14ac:dyDescent="0.25">
      <c r="A4082" s="64" t="s">
        <v>188</v>
      </c>
      <c r="B4082" s="79" t="str">
        <f>IF(Seventeenth!B85="", "",Seventeenth!B85)</f>
        <v/>
      </c>
      <c r="C4082" s="66" t="str">
        <f>IF(Seventeenth!C85="", "",Seventeenth!C85)</f>
        <v/>
      </c>
      <c r="D4082" s="66" t="str">
        <f>IF(Seventeenth!D85="", "",Seventeenth!D85)</f>
        <v/>
      </c>
      <c r="E4082" s="66" t="str">
        <f>IF(Seventeenth!E85="", "",Seventeenth!E85)</f>
        <v/>
      </c>
      <c r="F4082" s="66" t="str">
        <f>IF(Seventeenth!F85="", "",Seventeenth!F85)</f>
        <v/>
      </c>
      <c r="G4082" s="66" t="str">
        <f>IF(Seventeenth!G85="", "",Seventeenth!G85)</f>
        <v/>
      </c>
      <c r="H4082" s="66" t="str">
        <f>IF(Seventeenth!H85="", "",Seventeenth!H85)</f>
        <v/>
      </c>
      <c r="I4082" s="66" t="str">
        <f>IF(Seventeenth!I85="", "",Seventeenth!I85)</f>
        <v/>
      </c>
      <c r="J4082" s="66" t="str">
        <f>IF(Seventeenth!J85="", "",Seventeenth!J85)</f>
        <v/>
      </c>
      <c r="K4082" s="86" t="str">
        <f>IF(Seventeenth!K85="", "",Seventeenth!K85)</f>
        <v/>
      </c>
      <c r="M4082" s="67" t="str">
        <f t="shared" si="191"/>
        <v/>
      </c>
      <c r="N4082" s="76" t="str">
        <f t="shared" si="192"/>
        <v/>
      </c>
      <c r="O4082" s="33">
        <f t="shared" si="190"/>
        <v>0</v>
      </c>
    </row>
    <row r="4083" spans="1:15" x14ac:dyDescent="0.25">
      <c r="A4083" s="64" t="s">
        <v>188</v>
      </c>
      <c r="B4083" s="79" t="str">
        <f>IF(Seventeenth!B86="", "",Seventeenth!B86)</f>
        <v/>
      </c>
      <c r="C4083" s="66" t="str">
        <f>IF(Seventeenth!C86="", "",Seventeenth!C86)</f>
        <v/>
      </c>
      <c r="D4083" s="66" t="str">
        <f>IF(Seventeenth!D86="", "",Seventeenth!D86)</f>
        <v/>
      </c>
      <c r="E4083" s="66" t="str">
        <f>IF(Seventeenth!E86="", "",Seventeenth!E86)</f>
        <v/>
      </c>
      <c r="F4083" s="66" t="str">
        <f>IF(Seventeenth!F86="", "",Seventeenth!F86)</f>
        <v/>
      </c>
      <c r="G4083" s="66" t="str">
        <f>IF(Seventeenth!G86="", "",Seventeenth!G86)</f>
        <v/>
      </c>
      <c r="H4083" s="66" t="str">
        <f>IF(Seventeenth!H86="", "",Seventeenth!H86)</f>
        <v/>
      </c>
      <c r="I4083" s="66" t="str">
        <f>IF(Seventeenth!I86="", "",Seventeenth!I86)</f>
        <v/>
      </c>
      <c r="J4083" s="66" t="str">
        <f>IF(Seventeenth!J86="", "",Seventeenth!J86)</f>
        <v/>
      </c>
      <c r="K4083" s="86" t="str">
        <f>IF(Seventeenth!K86="", "",Seventeenth!K86)</f>
        <v/>
      </c>
      <c r="M4083" s="67" t="str">
        <f t="shared" si="191"/>
        <v/>
      </c>
      <c r="N4083" s="76" t="str">
        <f t="shared" si="192"/>
        <v/>
      </c>
      <c r="O4083" s="33">
        <f t="shared" si="190"/>
        <v>0</v>
      </c>
    </row>
    <row r="4084" spans="1:15" x14ac:dyDescent="0.25">
      <c r="A4084" s="64" t="s">
        <v>188</v>
      </c>
      <c r="B4084" s="79" t="str">
        <f>IF(Seventeenth!B87="", "",Seventeenth!B87)</f>
        <v/>
      </c>
      <c r="C4084" s="66" t="str">
        <f>IF(Seventeenth!C87="", "",Seventeenth!C87)</f>
        <v/>
      </c>
      <c r="D4084" s="66" t="str">
        <f>IF(Seventeenth!D87="", "",Seventeenth!D87)</f>
        <v/>
      </c>
      <c r="E4084" s="66" t="str">
        <f>IF(Seventeenth!E87="", "",Seventeenth!E87)</f>
        <v/>
      </c>
      <c r="F4084" s="66" t="str">
        <f>IF(Seventeenth!F87="", "",Seventeenth!F87)</f>
        <v/>
      </c>
      <c r="G4084" s="66" t="str">
        <f>IF(Seventeenth!G87="", "",Seventeenth!G87)</f>
        <v/>
      </c>
      <c r="H4084" s="66" t="str">
        <f>IF(Seventeenth!H87="", "",Seventeenth!H87)</f>
        <v/>
      </c>
      <c r="I4084" s="66" t="str">
        <f>IF(Seventeenth!I87="", "",Seventeenth!I87)</f>
        <v/>
      </c>
      <c r="J4084" s="66" t="str">
        <f>IF(Seventeenth!J87="", "",Seventeenth!J87)</f>
        <v/>
      </c>
      <c r="K4084" s="86" t="str">
        <f>IF(Seventeenth!K87="", "",Seventeenth!K87)</f>
        <v/>
      </c>
      <c r="M4084" s="67" t="str">
        <f t="shared" si="191"/>
        <v/>
      </c>
      <c r="N4084" s="76" t="str">
        <f t="shared" si="192"/>
        <v/>
      </c>
      <c r="O4084" s="33">
        <f t="shared" si="190"/>
        <v>0</v>
      </c>
    </row>
    <row r="4085" spans="1:15" x14ac:dyDescent="0.25">
      <c r="A4085" s="64" t="s">
        <v>188</v>
      </c>
      <c r="B4085" s="79" t="str">
        <f>IF(Seventeenth!B88="", "",Seventeenth!B88)</f>
        <v/>
      </c>
      <c r="C4085" s="66" t="str">
        <f>IF(Seventeenth!C88="", "",Seventeenth!C88)</f>
        <v/>
      </c>
      <c r="D4085" s="66" t="str">
        <f>IF(Seventeenth!D88="", "",Seventeenth!D88)</f>
        <v/>
      </c>
      <c r="E4085" s="66" t="str">
        <f>IF(Seventeenth!E88="", "",Seventeenth!E88)</f>
        <v/>
      </c>
      <c r="F4085" s="66" t="str">
        <f>IF(Seventeenth!F88="", "",Seventeenth!F88)</f>
        <v/>
      </c>
      <c r="G4085" s="66" t="str">
        <f>IF(Seventeenth!G88="", "",Seventeenth!G88)</f>
        <v/>
      </c>
      <c r="H4085" s="66" t="str">
        <f>IF(Seventeenth!H88="", "",Seventeenth!H88)</f>
        <v/>
      </c>
      <c r="I4085" s="66" t="str">
        <f>IF(Seventeenth!I88="", "",Seventeenth!I88)</f>
        <v/>
      </c>
      <c r="J4085" s="66" t="str">
        <f>IF(Seventeenth!J88="", "",Seventeenth!J88)</f>
        <v/>
      </c>
      <c r="K4085" s="86" t="str">
        <f>IF(Seventeenth!K88="", "",Seventeenth!K88)</f>
        <v/>
      </c>
      <c r="M4085" s="67" t="str">
        <f t="shared" si="191"/>
        <v/>
      </c>
      <c r="N4085" s="76" t="str">
        <f t="shared" si="192"/>
        <v/>
      </c>
      <c r="O4085" s="33">
        <f t="shared" si="190"/>
        <v>0</v>
      </c>
    </row>
    <row r="4086" spans="1:15" x14ac:dyDescent="0.25">
      <c r="A4086" s="64" t="s">
        <v>188</v>
      </c>
      <c r="B4086" s="79" t="str">
        <f>IF(Seventeenth!B89="", "",Seventeenth!B89)</f>
        <v/>
      </c>
      <c r="C4086" s="66" t="str">
        <f>IF(Seventeenth!C89="", "",Seventeenth!C89)</f>
        <v/>
      </c>
      <c r="D4086" s="66" t="str">
        <f>IF(Seventeenth!D89="", "",Seventeenth!D89)</f>
        <v/>
      </c>
      <c r="E4086" s="66" t="str">
        <f>IF(Seventeenth!E89="", "",Seventeenth!E89)</f>
        <v/>
      </c>
      <c r="F4086" s="66" t="str">
        <f>IF(Seventeenth!F89="", "",Seventeenth!F89)</f>
        <v/>
      </c>
      <c r="G4086" s="66" t="str">
        <f>IF(Seventeenth!G89="", "",Seventeenth!G89)</f>
        <v/>
      </c>
      <c r="H4086" s="66" t="str">
        <f>IF(Seventeenth!H89="", "",Seventeenth!H89)</f>
        <v/>
      </c>
      <c r="I4086" s="66" t="str">
        <f>IF(Seventeenth!I89="", "",Seventeenth!I89)</f>
        <v/>
      </c>
      <c r="J4086" s="66" t="str">
        <f>IF(Seventeenth!J89="", "",Seventeenth!J89)</f>
        <v/>
      </c>
      <c r="K4086" s="86" t="str">
        <f>IF(Seventeenth!K89="", "",Seventeenth!K89)</f>
        <v/>
      </c>
      <c r="M4086" s="67" t="str">
        <f t="shared" si="191"/>
        <v/>
      </c>
      <c r="N4086" s="76" t="str">
        <f t="shared" si="192"/>
        <v/>
      </c>
      <c r="O4086" s="33">
        <f t="shared" si="190"/>
        <v>0</v>
      </c>
    </row>
    <row r="4087" spans="1:15" x14ac:dyDescent="0.25">
      <c r="A4087" s="64" t="s">
        <v>188</v>
      </c>
      <c r="B4087" s="79" t="str">
        <f>IF(Seventeenth!B90="", "",Seventeenth!B90)</f>
        <v/>
      </c>
      <c r="C4087" s="66" t="str">
        <f>IF(Seventeenth!C90="", "",Seventeenth!C90)</f>
        <v/>
      </c>
      <c r="D4087" s="66" t="str">
        <f>IF(Seventeenth!D90="", "",Seventeenth!D90)</f>
        <v/>
      </c>
      <c r="E4087" s="66" t="str">
        <f>IF(Seventeenth!E90="", "",Seventeenth!E90)</f>
        <v/>
      </c>
      <c r="F4087" s="66" t="str">
        <f>IF(Seventeenth!F90="", "",Seventeenth!F90)</f>
        <v/>
      </c>
      <c r="G4087" s="66" t="str">
        <f>IF(Seventeenth!G90="", "",Seventeenth!G90)</f>
        <v/>
      </c>
      <c r="H4087" s="66" t="str">
        <f>IF(Seventeenth!H90="", "",Seventeenth!H90)</f>
        <v/>
      </c>
      <c r="I4087" s="66" t="str">
        <f>IF(Seventeenth!I90="", "",Seventeenth!I90)</f>
        <v/>
      </c>
      <c r="J4087" s="66" t="str">
        <f>IF(Seventeenth!J90="", "",Seventeenth!J90)</f>
        <v/>
      </c>
      <c r="K4087" s="86" t="str">
        <f>IF(Seventeenth!K90="", "",Seventeenth!K90)</f>
        <v/>
      </c>
      <c r="M4087" s="67" t="str">
        <f t="shared" si="191"/>
        <v/>
      </c>
      <c r="N4087" s="76" t="str">
        <f t="shared" si="192"/>
        <v/>
      </c>
      <c r="O4087" s="33">
        <f t="shared" si="190"/>
        <v>0</v>
      </c>
    </row>
    <row r="4088" spans="1:15" x14ac:dyDescent="0.25">
      <c r="A4088" s="64" t="s">
        <v>188</v>
      </c>
      <c r="B4088" s="79" t="str">
        <f>IF(Seventeenth!B91="", "",Seventeenth!B91)</f>
        <v/>
      </c>
      <c r="C4088" s="66" t="str">
        <f>IF(Seventeenth!C91="", "",Seventeenth!C91)</f>
        <v/>
      </c>
      <c r="D4088" s="66" t="str">
        <f>IF(Seventeenth!D91="", "",Seventeenth!D91)</f>
        <v/>
      </c>
      <c r="E4088" s="66" t="str">
        <f>IF(Seventeenth!E91="", "",Seventeenth!E91)</f>
        <v/>
      </c>
      <c r="F4088" s="66" t="str">
        <f>IF(Seventeenth!F91="", "",Seventeenth!F91)</f>
        <v/>
      </c>
      <c r="G4088" s="66" t="str">
        <f>IF(Seventeenth!G91="", "",Seventeenth!G91)</f>
        <v/>
      </c>
      <c r="H4088" s="66" t="str">
        <f>IF(Seventeenth!H91="", "",Seventeenth!H91)</f>
        <v/>
      </c>
      <c r="I4088" s="66" t="str">
        <f>IF(Seventeenth!I91="", "",Seventeenth!I91)</f>
        <v/>
      </c>
      <c r="J4088" s="66" t="str">
        <f>IF(Seventeenth!J91="", "",Seventeenth!J91)</f>
        <v/>
      </c>
      <c r="K4088" s="86" t="str">
        <f>IF(Seventeenth!K91="", "",Seventeenth!K91)</f>
        <v/>
      </c>
      <c r="M4088" s="67" t="str">
        <f t="shared" si="191"/>
        <v/>
      </c>
      <c r="N4088" s="76" t="str">
        <f t="shared" si="192"/>
        <v/>
      </c>
      <c r="O4088" s="33">
        <f t="shared" si="190"/>
        <v>0</v>
      </c>
    </row>
    <row r="4089" spans="1:15" x14ac:dyDescent="0.25">
      <c r="A4089" s="64" t="s">
        <v>188</v>
      </c>
      <c r="B4089" s="79" t="str">
        <f>IF(Seventeenth!B92="", "",Seventeenth!B92)</f>
        <v/>
      </c>
      <c r="C4089" s="66" t="str">
        <f>IF(Seventeenth!C92="", "",Seventeenth!C92)</f>
        <v/>
      </c>
      <c r="D4089" s="66" t="str">
        <f>IF(Seventeenth!D92="", "",Seventeenth!D92)</f>
        <v/>
      </c>
      <c r="E4089" s="66" t="str">
        <f>IF(Seventeenth!E92="", "",Seventeenth!E92)</f>
        <v/>
      </c>
      <c r="F4089" s="66" t="str">
        <f>IF(Seventeenth!F92="", "",Seventeenth!F92)</f>
        <v/>
      </c>
      <c r="G4089" s="66" t="str">
        <f>IF(Seventeenth!G92="", "",Seventeenth!G92)</f>
        <v/>
      </c>
      <c r="H4089" s="66" t="str">
        <f>IF(Seventeenth!H92="", "",Seventeenth!H92)</f>
        <v/>
      </c>
      <c r="I4089" s="66" t="str">
        <f>IF(Seventeenth!I92="", "",Seventeenth!I92)</f>
        <v/>
      </c>
      <c r="J4089" s="66" t="str">
        <f>IF(Seventeenth!J92="", "",Seventeenth!J92)</f>
        <v/>
      </c>
      <c r="K4089" s="86" t="str">
        <f>IF(Seventeenth!K92="", "",Seventeenth!K92)</f>
        <v/>
      </c>
      <c r="M4089" s="67" t="str">
        <f t="shared" si="191"/>
        <v/>
      </c>
      <c r="N4089" s="76" t="str">
        <f t="shared" si="192"/>
        <v/>
      </c>
      <c r="O4089" s="33">
        <f t="shared" si="190"/>
        <v>0</v>
      </c>
    </row>
    <row r="4090" spans="1:15" x14ac:dyDescent="0.25">
      <c r="A4090" s="64" t="s">
        <v>188</v>
      </c>
      <c r="B4090" s="79" t="str">
        <f>IF(Seventeenth!B93="", "",Seventeenth!B93)</f>
        <v/>
      </c>
      <c r="C4090" s="66" t="str">
        <f>IF(Seventeenth!C93="", "",Seventeenth!C93)</f>
        <v/>
      </c>
      <c r="D4090" s="66" t="str">
        <f>IF(Seventeenth!D93="", "",Seventeenth!D93)</f>
        <v/>
      </c>
      <c r="E4090" s="66" t="str">
        <f>IF(Seventeenth!E93="", "",Seventeenth!E93)</f>
        <v/>
      </c>
      <c r="F4090" s="66" t="str">
        <f>IF(Seventeenth!F93="", "",Seventeenth!F93)</f>
        <v/>
      </c>
      <c r="G4090" s="66" t="str">
        <f>IF(Seventeenth!G93="", "",Seventeenth!G93)</f>
        <v/>
      </c>
      <c r="H4090" s="66" t="str">
        <f>IF(Seventeenth!H93="", "",Seventeenth!H93)</f>
        <v/>
      </c>
      <c r="I4090" s="66" t="str">
        <f>IF(Seventeenth!I93="", "",Seventeenth!I93)</f>
        <v/>
      </c>
      <c r="J4090" s="66" t="str">
        <f>IF(Seventeenth!J93="", "",Seventeenth!J93)</f>
        <v/>
      </c>
      <c r="K4090" s="86" t="str">
        <f>IF(Seventeenth!K93="", "",Seventeenth!K93)</f>
        <v/>
      </c>
      <c r="M4090" s="67" t="str">
        <f t="shared" si="191"/>
        <v/>
      </c>
      <c r="N4090" s="76" t="str">
        <f t="shared" si="192"/>
        <v/>
      </c>
      <c r="O4090" s="33">
        <f t="shared" si="190"/>
        <v>0</v>
      </c>
    </row>
    <row r="4091" spans="1:15" x14ac:dyDescent="0.25">
      <c r="A4091" s="64" t="s">
        <v>188</v>
      </c>
      <c r="B4091" s="79" t="str">
        <f>IF(Seventeenth!B94="", "",Seventeenth!B94)</f>
        <v/>
      </c>
      <c r="C4091" s="66" t="str">
        <f>IF(Seventeenth!C94="", "",Seventeenth!C94)</f>
        <v/>
      </c>
      <c r="D4091" s="66" t="str">
        <f>IF(Seventeenth!D94="", "",Seventeenth!D94)</f>
        <v/>
      </c>
      <c r="E4091" s="66" t="str">
        <f>IF(Seventeenth!E94="", "",Seventeenth!E94)</f>
        <v/>
      </c>
      <c r="F4091" s="66" t="str">
        <f>IF(Seventeenth!F94="", "",Seventeenth!F94)</f>
        <v/>
      </c>
      <c r="G4091" s="66" t="str">
        <f>IF(Seventeenth!G94="", "",Seventeenth!G94)</f>
        <v/>
      </c>
      <c r="H4091" s="66" t="str">
        <f>IF(Seventeenth!H94="", "",Seventeenth!H94)</f>
        <v/>
      </c>
      <c r="I4091" s="66" t="str">
        <f>IF(Seventeenth!I94="", "",Seventeenth!I94)</f>
        <v/>
      </c>
      <c r="J4091" s="66" t="str">
        <f>IF(Seventeenth!J94="", "",Seventeenth!J94)</f>
        <v/>
      </c>
      <c r="K4091" s="86" t="str">
        <f>IF(Seventeenth!K94="", "",Seventeenth!K94)</f>
        <v/>
      </c>
      <c r="M4091" s="67" t="str">
        <f t="shared" si="191"/>
        <v/>
      </c>
      <c r="N4091" s="76" t="str">
        <f t="shared" si="192"/>
        <v/>
      </c>
      <c r="O4091" s="33">
        <f t="shared" si="190"/>
        <v>0</v>
      </c>
    </row>
    <row r="4092" spans="1:15" x14ac:dyDescent="0.25">
      <c r="A4092" s="64" t="s">
        <v>188</v>
      </c>
      <c r="B4092" s="79" t="str">
        <f>IF(Seventeenth!B95="", "",Seventeenth!B95)</f>
        <v/>
      </c>
      <c r="C4092" s="66" t="str">
        <f>IF(Seventeenth!C95="", "",Seventeenth!C95)</f>
        <v/>
      </c>
      <c r="D4092" s="66" t="str">
        <f>IF(Seventeenth!D95="", "",Seventeenth!D95)</f>
        <v/>
      </c>
      <c r="E4092" s="66" t="str">
        <f>IF(Seventeenth!E95="", "",Seventeenth!E95)</f>
        <v/>
      </c>
      <c r="F4092" s="66" t="str">
        <f>IF(Seventeenth!F95="", "",Seventeenth!F95)</f>
        <v/>
      </c>
      <c r="G4092" s="66" t="str">
        <f>IF(Seventeenth!G95="", "",Seventeenth!G95)</f>
        <v/>
      </c>
      <c r="H4092" s="66" t="str">
        <f>IF(Seventeenth!H95="", "",Seventeenth!H95)</f>
        <v/>
      </c>
      <c r="I4092" s="66" t="str">
        <f>IF(Seventeenth!I95="", "",Seventeenth!I95)</f>
        <v/>
      </c>
      <c r="J4092" s="66" t="str">
        <f>IF(Seventeenth!J95="", "",Seventeenth!J95)</f>
        <v/>
      </c>
      <c r="K4092" s="86" t="str">
        <f>IF(Seventeenth!K95="", "",Seventeenth!K95)</f>
        <v/>
      </c>
      <c r="M4092" s="67" t="str">
        <f t="shared" si="191"/>
        <v/>
      </c>
      <c r="N4092" s="76" t="str">
        <f t="shared" si="192"/>
        <v/>
      </c>
      <c r="O4092" s="33">
        <f t="shared" si="190"/>
        <v>0</v>
      </c>
    </row>
    <row r="4093" spans="1:15" x14ac:dyDescent="0.25">
      <c r="A4093" s="64" t="s">
        <v>188</v>
      </c>
      <c r="B4093" s="79" t="str">
        <f>IF(Seventeenth!B96="", "",Seventeenth!B96)</f>
        <v/>
      </c>
      <c r="C4093" s="66" t="str">
        <f>IF(Seventeenth!C96="", "",Seventeenth!C96)</f>
        <v/>
      </c>
      <c r="D4093" s="66" t="str">
        <f>IF(Seventeenth!D96="", "",Seventeenth!D96)</f>
        <v/>
      </c>
      <c r="E4093" s="66" t="str">
        <f>IF(Seventeenth!E96="", "",Seventeenth!E96)</f>
        <v/>
      </c>
      <c r="F4093" s="66" t="str">
        <f>IF(Seventeenth!F96="", "",Seventeenth!F96)</f>
        <v/>
      </c>
      <c r="G4093" s="66" t="str">
        <f>IF(Seventeenth!G96="", "",Seventeenth!G96)</f>
        <v/>
      </c>
      <c r="H4093" s="66" t="str">
        <f>IF(Seventeenth!H96="", "",Seventeenth!H96)</f>
        <v/>
      </c>
      <c r="I4093" s="66" t="str">
        <f>IF(Seventeenth!I96="", "",Seventeenth!I96)</f>
        <v/>
      </c>
      <c r="J4093" s="66" t="str">
        <f>IF(Seventeenth!J96="", "",Seventeenth!J96)</f>
        <v/>
      </c>
      <c r="K4093" s="86" t="str">
        <f>IF(Seventeenth!K96="", "",Seventeenth!K96)</f>
        <v/>
      </c>
      <c r="M4093" s="67" t="str">
        <f t="shared" si="191"/>
        <v/>
      </c>
      <c r="N4093" s="76" t="str">
        <f t="shared" si="192"/>
        <v/>
      </c>
      <c r="O4093" s="33">
        <f t="shared" si="190"/>
        <v>0</v>
      </c>
    </row>
    <row r="4094" spans="1:15" x14ac:dyDescent="0.25">
      <c r="A4094" s="64" t="s">
        <v>188</v>
      </c>
      <c r="B4094" s="79" t="str">
        <f>IF(Seventeenth!B97="", "",Seventeenth!B97)</f>
        <v/>
      </c>
      <c r="C4094" s="66" t="str">
        <f>IF(Seventeenth!C97="", "",Seventeenth!C97)</f>
        <v/>
      </c>
      <c r="D4094" s="66" t="str">
        <f>IF(Seventeenth!D97="", "",Seventeenth!D97)</f>
        <v/>
      </c>
      <c r="E4094" s="66" t="str">
        <f>IF(Seventeenth!E97="", "",Seventeenth!E97)</f>
        <v/>
      </c>
      <c r="F4094" s="66" t="str">
        <f>IF(Seventeenth!F97="", "",Seventeenth!F97)</f>
        <v/>
      </c>
      <c r="G4094" s="66" t="str">
        <f>IF(Seventeenth!G97="", "",Seventeenth!G97)</f>
        <v/>
      </c>
      <c r="H4094" s="66" t="str">
        <f>IF(Seventeenth!H97="", "",Seventeenth!H97)</f>
        <v/>
      </c>
      <c r="I4094" s="66" t="str">
        <f>IF(Seventeenth!I97="", "",Seventeenth!I97)</f>
        <v/>
      </c>
      <c r="J4094" s="66" t="str">
        <f>IF(Seventeenth!J97="", "",Seventeenth!J97)</f>
        <v/>
      </c>
      <c r="K4094" s="86" t="str">
        <f>IF(Seventeenth!K97="", "",Seventeenth!K97)</f>
        <v/>
      </c>
      <c r="M4094" s="67" t="str">
        <f t="shared" si="191"/>
        <v/>
      </c>
      <c r="N4094" s="76" t="str">
        <f t="shared" si="192"/>
        <v/>
      </c>
      <c r="O4094" s="33">
        <f t="shared" si="190"/>
        <v>0</v>
      </c>
    </row>
    <row r="4095" spans="1:15" x14ac:dyDescent="0.25">
      <c r="A4095" s="64" t="s">
        <v>188</v>
      </c>
      <c r="B4095" s="79" t="str">
        <f>IF(Seventeenth!B98="", "",Seventeenth!B98)</f>
        <v/>
      </c>
      <c r="C4095" s="66" t="str">
        <f>IF(Seventeenth!C98="", "",Seventeenth!C98)</f>
        <v/>
      </c>
      <c r="D4095" s="66" t="str">
        <f>IF(Seventeenth!D98="", "",Seventeenth!D98)</f>
        <v/>
      </c>
      <c r="E4095" s="66" t="str">
        <f>IF(Seventeenth!E98="", "",Seventeenth!E98)</f>
        <v/>
      </c>
      <c r="F4095" s="66" t="str">
        <f>IF(Seventeenth!F98="", "",Seventeenth!F98)</f>
        <v/>
      </c>
      <c r="G4095" s="66" t="str">
        <f>IF(Seventeenth!G98="", "",Seventeenth!G98)</f>
        <v/>
      </c>
      <c r="H4095" s="66" t="str">
        <f>IF(Seventeenth!H98="", "",Seventeenth!H98)</f>
        <v/>
      </c>
      <c r="I4095" s="66" t="str">
        <f>IF(Seventeenth!I98="", "",Seventeenth!I98)</f>
        <v/>
      </c>
      <c r="J4095" s="66" t="str">
        <f>IF(Seventeenth!J98="", "",Seventeenth!J98)</f>
        <v/>
      </c>
      <c r="K4095" s="86" t="str">
        <f>IF(Seventeenth!K98="", "",Seventeenth!K98)</f>
        <v/>
      </c>
      <c r="M4095" s="67" t="str">
        <f t="shared" si="191"/>
        <v/>
      </c>
      <c r="N4095" s="76" t="str">
        <f t="shared" si="192"/>
        <v/>
      </c>
      <c r="O4095" s="33">
        <f t="shared" si="190"/>
        <v>0</v>
      </c>
    </row>
    <row r="4096" spans="1:15" x14ac:dyDescent="0.25">
      <c r="A4096" s="64" t="s">
        <v>188</v>
      </c>
      <c r="B4096" s="79" t="str">
        <f>IF(Seventeenth!B99="", "",Seventeenth!B99)</f>
        <v/>
      </c>
      <c r="C4096" s="66" t="str">
        <f>IF(Seventeenth!C99="", "",Seventeenth!C99)</f>
        <v/>
      </c>
      <c r="D4096" s="66" t="str">
        <f>IF(Seventeenth!D99="", "",Seventeenth!D99)</f>
        <v/>
      </c>
      <c r="E4096" s="66" t="str">
        <f>IF(Seventeenth!E99="", "",Seventeenth!E99)</f>
        <v/>
      </c>
      <c r="F4096" s="66" t="str">
        <f>IF(Seventeenth!F99="", "",Seventeenth!F99)</f>
        <v/>
      </c>
      <c r="G4096" s="66" t="str">
        <f>IF(Seventeenth!G99="", "",Seventeenth!G99)</f>
        <v/>
      </c>
      <c r="H4096" s="66" t="str">
        <f>IF(Seventeenth!H99="", "",Seventeenth!H99)</f>
        <v/>
      </c>
      <c r="I4096" s="66" t="str">
        <f>IF(Seventeenth!I99="", "",Seventeenth!I99)</f>
        <v/>
      </c>
      <c r="J4096" s="66" t="str">
        <f>IF(Seventeenth!J99="", "",Seventeenth!J99)</f>
        <v/>
      </c>
      <c r="K4096" s="86" t="str">
        <f>IF(Seventeenth!K99="", "",Seventeenth!K99)</f>
        <v/>
      </c>
      <c r="M4096" s="67" t="str">
        <f t="shared" si="191"/>
        <v/>
      </c>
      <c r="N4096" s="76" t="str">
        <f t="shared" si="192"/>
        <v/>
      </c>
      <c r="O4096" s="33">
        <f t="shared" si="190"/>
        <v>0</v>
      </c>
    </row>
    <row r="4097" spans="1:15" x14ac:dyDescent="0.25">
      <c r="A4097" s="64" t="s">
        <v>188</v>
      </c>
      <c r="B4097" s="79" t="str">
        <f>IF(Seventeenth!B100="", "",Seventeenth!B100)</f>
        <v/>
      </c>
      <c r="C4097" s="66" t="str">
        <f>IF(Seventeenth!C100="", "",Seventeenth!C100)</f>
        <v/>
      </c>
      <c r="D4097" s="66" t="str">
        <f>IF(Seventeenth!D100="", "",Seventeenth!D100)</f>
        <v/>
      </c>
      <c r="E4097" s="66" t="str">
        <f>IF(Seventeenth!E100="", "",Seventeenth!E100)</f>
        <v/>
      </c>
      <c r="F4097" s="66" t="str">
        <f>IF(Seventeenth!F100="", "",Seventeenth!F100)</f>
        <v/>
      </c>
      <c r="G4097" s="66" t="str">
        <f>IF(Seventeenth!G100="", "",Seventeenth!G100)</f>
        <v/>
      </c>
      <c r="H4097" s="66" t="str">
        <f>IF(Seventeenth!H100="", "",Seventeenth!H100)</f>
        <v/>
      </c>
      <c r="I4097" s="66" t="str">
        <f>IF(Seventeenth!I100="", "",Seventeenth!I100)</f>
        <v/>
      </c>
      <c r="J4097" s="66" t="str">
        <f>IF(Seventeenth!J100="", "",Seventeenth!J100)</f>
        <v/>
      </c>
      <c r="K4097" s="86" t="str">
        <f>IF(Seventeenth!K100="", "",Seventeenth!K100)</f>
        <v/>
      </c>
      <c r="M4097" s="67" t="str">
        <f t="shared" si="191"/>
        <v/>
      </c>
      <c r="N4097" s="76" t="str">
        <f t="shared" si="192"/>
        <v/>
      </c>
      <c r="O4097" s="33">
        <f t="shared" si="190"/>
        <v>0</v>
      </c>
    </row>
    <row r="4098" spans="1:15" x14ac:dyDescent="0.25">
      <c r="A4098" s="64" t="s">
        <v>188</v>
      </c>
      <c r="B4098" s="79" t="str">
        <f>IF(Seventeenth!B101="", "",Seventeenth!B101)</f>
        <v/>
      </c>
      <c r="C4098" s="66" t="str">
        <f>IF(Seventeenth!C101="", "",Seventeenth!C101)</f>
        <v/>
      </c>
      <c r="D4098" s="66" t="str">
        <f>IF(Seventeenth!D101="", "",Seventeenth!D101)</f>
        <v/>
      </c>
      <c r="E4098" s="66" t="str">
        <f>IF(Seventeenth!E101="", "",Seventeenth!E101)</f>
        <v/>
      </c>
      <c r="F4098" s="66" t="str">
        <f>IF(Seventeenth!F101="", "",Seventeenth!F101)</f>
        <v/>
      </c>
      <c r="G4098" s="66" t="str">
        <f>IF(Seventeenth!G101="", "",Seventeenth!G101)</f>
        <v/>
      </c>
      <c r="H4098" s="66" t="str">
        <f>IF(Seventeenth!H101="", "",Seventeenth!H101)</f>
        <v/>
      </c>
      <c r="I4098" s="66" t="str">
        <f>IF(Seventeenth!I101="", "",Seventeenth!I101)</f>
        <v/>
      </c>
      <c r="J4098" s="66" t="str">
        <f>IF(Seventeenth!J101="", "",Seventeenth!J101)</f>
        <v/>
      </c>
      <c r="K4098" s="86" t="str">
        <f>IF(Seventeenth!K101="", "",Seventeenth!K101)</f>
        <v/>
      </c>
      <c r="M4098" s="67" t="str">
        <f t="shared" si="191"/>
        <v/>
      </c>
      <c r="N4098" s="76" t="str">
        <f t="shared" si="192"/>
        <v/>
      </c>
      <c r="O4098" s="33">
        <f t="shared" ref="O4098:O4161" si="193">SUM(M4098:N4098)</f>
        <v>0</v>
      </c>
    </row>
    <row r="4099" spans="1:15" x14ac:dyDescent="0.25">
      <c r="A4099" s="64" t="s">
        <v>188</v>
      </c>
      <c r="B4099" s="79" t="str">
        <f>IF(Seventeenth!B102="", "",Seventeenth!B102)</f>
        <v/>
      </c>
      <c r="C4099" s="66" t="str">
        <f>IF(Seventeenth!C102="", "",Seventeenth!C102)</f>
        <v/>
      </c>
      <c r="D4099" s="66" t="str">
        <f>IF(Seventeenth!D102="", "",Seventeenth!D102)</f>
        <v/>
      </c>
      <c r="E4099" s="66" t="str">
        <f>IF(Seventeenth!E102="", "",Seventeenth!E102)</f>
        <v/>
      </c>
      <c r="F4099" s="66" t="str">
        <f>IF(Seventeenth!F102="", "",Seventeenth!F102)</f>
        <v/>
      </c>
      <c r="G4099" s="66" t="str">
        <f>IF(Seventeenth!G102="", "",Seventeenth!G102)</f>
        <v/>
      </c>
      <c r="H4099" s="66" t="str">
        <f>IF(Seventeenth!H102="", "",Seventeenth!H102)</f>
        <v/>
      </c>
      <c r="I4099" s="66" t="str">
        <f>IF(Seventeenth!I102="", "",Seventeenth!I102)</f>
        <v/>
      </c>
      <c r="J4099" s="66" t="str">
        <f>IF(Seventeenth!J102="", "",Seventeenth!J102)</f>
        <v/>
      </c>
      <c r="K4099" s="86" t="str">
        <f>IF(Seventeenth!K102="", "",Seventeenth!K102)</f>
        <v/>
      </c>
      <c r="M4099" s="67" t="str">
        <f t="shared" ref="M4099:M4162" si="194">IF(C4099="PwC",(7-COUNTIF(B4099:H4099,"")),"")</f>
        <v/>
      </c>
      <c r="N4099" s="76" t="str">
        <f t="shared" ref="N4099:N4162" si="195">IF(C4099="Carer",(7-COUNTIF(B4099:H4099,"")),"")</f>
        <v/>
      </c>
      <c r="O4099" s="33">
        <f t="shared" si="193"/>
        <v>0</v>
      </c>
    </row>
    <row r="4100" spans="1:15" x14ac:dyDescent="0.25">
      <c r="A4100" s="64" t="s">
        <v>188</v>
      </c>
      <c r="B4100" s="79" t="str">
        <f>IF(Seventeenth!B103="", "",Seventeenth!B103)</f>
        <v/>
      </c>
      <c r="C4100" s="66" t="str">
        <f>IF(Seventeenth!C103="", "",Seventeenth!C103)</f>
        <v/>
      </c>
      <c r="D4100" s="66" t="str">
        <f>IF(Seventeenth!D103="", "",Seventeenth!D103)</f>
        <v/>
      </c>
      <c r="E4100" s="66" t="str">
        <f>IF(Seventeenth!E103="", "",Seventeenth!E103)</f>
        <v/>
      </c>
      <c r="F4100" s="66" t="str">
        <f>IF(Seventeenth!F103="", "",Seventeenth!F103)</f>
        <v/>
      </c>
      <c r="G4100" s="66" t="str">
        <f>IF(Seventeenth!G103="", "",Seventeenth!G103)</f>
        <v/>
      </c>
      <c r="H4100" s="66" t="str">
        <f>IF(Seventeenth!H103="", "",Seventeenth!H103)</f>
        <v/>
      </c>
      <c r="I4100" s="66" t="str">
        <f>IF(Seventeenth!I103="", "",Seventeenth!I103)</f>
        <v/>
      </c>
      <c r="J4100" s="66" t="str">
        <f>IF(Seventeenth!J103="", "",Seventeenth!J103)</f>
        <v/>
      </c>
      <c r="K4100" s="86" t="str">
        <f>IF(Seventeenth!K103="", "",Seventeenth!K103)</f>
        <v/>
      </c>
      <c r="M4100" s="67" t="str">
        <f t="shared" si="194"/>
        <v/>
      </c>
      <c r="N4100" s="76" t="str">
        <f t="shared" si="195"/>
        <v/>
      </c>
      <c r="O4100" s="33">
        <f t="shared" si="193"/>
        <v>0</v>
      </c>
    </row>
    <row r="4101" spans="1:15" x14ac:dyDescent="0.25">
      <c r="A4101" s="64" t="s">
        <v>188</v>
      </c>
      <c r="B4101" s="79" t="str">
        <f>IF(Seventeenth!B104="", "",Seventeenth!B104)</f>
        <v/>
      </c>
      <c r="C4101" s="66" t="str">
        <f>IF(Seventeenth!C104="", "",Seventeenth!C104)</f>
        <v/>
      </c>
      <c r="D4101" s="66" t="str">
        <f>IF(Seventeenth!D104="", "",Seventeenth!D104)</f>
        <v/>
      </c>
      <c r="E4101" s="66" t="str">
        <f>IF(Seventeenth!E104="", "",Seventeenth!E104)</f>
        <v/>
      </c>
      <c r="F4101" s="66" t="str">
        <f>IF(Seventeenth!F104="", "",Seventeenth!F104)</f>
        <v/>
      </c>
      <c r="G4101" s="66" t="str">
        <f>IF(Seventeenth!G104="", "",Seventeenth!G104)</f>
        <v/>
      </c>
      <c r="H4101" s="66" t="str">
        <f>IF(Seventeenth!H104="", "",Seventeenth!H104)</f>
        <v/>
      </c>
      <c r="I4101" s="66" t="str">
        <f>IF(Seventeenth!I104="", "",Seventeenth!I104)</f>
        <v/>
      </c>
      <c r="J4101" s="66" t="str">
        <f>IF(Seventeenth!J104="", "",Seventeenth!J104)</f>
        <v/>
      </c>
      <c r="K4101" s="86" t="str">
        <f>IF(Seventeenth!K104="", "",Seventeenth!K104)</f>
        <v/>
      </c>
      <c r="M4101" s="67" t="str">
        <f t="shared" si="194"/>
        <v/>
      </c>
      <c r="N4101" s="76" t="str">
        <f t="shared" si="195"/>
        <v/>
      </c>
      <c r="O4101" s="33">
        <f t="shared" si="193"/>
        <v>0</v>
      </c>
    </row>
    <row r="4102" spans="1:15" x14ac:dyDescent="0.25">
      <c r="A4102" s="64" t="s">
        <v>188</v>
      </c>
      <c r="B4102" s="79" t="str">
        <f>IF(Seventeenth!B105="", "",Seventeenth!B105)</f>
        <v/>
      </c>
      <c r="C4102" s="66" t="str">
        <f>IF(Seventeenth!C105="", "",Seventeenth!C105)</f>
        <v/>
      </c>
      <c r="D4102" s="66" t="str">
        <f>IF(Seventeenth!D105="", "",Seventeenth!D105)</f>
        <v/>
      </c>
      <c r="E4102" s="66" t="str">
        <f>IF(Seventeenth!E105="", "",Seventeenth!E105)</f>
        <v/>
      </c>
      <c r="F4102" s="66" t="str">
        <f>IF(Seventeenth!F105="", "",Seventeenth!F105)</f>
        <v/>
      </c>
      <c r="G4102" s="66" t="str">
        <f>IF(Seventeenth!G105="", "",Seventeenth!G105)</f>
        <v/>
      </c>
      <c r="H4102" s="66" t="str">
        <f>IF(Seventeenth!H105="", "",Seventeenth!H105)</f>
        <v/>
      </c>
      <c r="I4102" s="66" t="str">
        <f>IF(Seventeenth!I105="", "",Seventeenth!I105)</f>
        <v/>
      </c>
      <c r="J4102" s="66" t="str">
        <f>IF(Seventeenth!J105="", "",Seventeenth!J105)</f>
        <v/>
      </c>
      <c r="K4102" s="86" t="str">
        <f>IF(Seventeenth!K105="", "",Seventeenth!K105)</f>
        <v/>
      </c>
      <c r="M4102" s="67" t="str">
        <f t="shared" si="194"/>
        <v/>
      </c>
      <c r="N4102" s="76" t="str">
        <f t="shared" si="195"/>
        <v/>
      </c>
      <c r="O4102" s="33">
        <f t="shared" si="193"/>
        <v>0</v>
      </c>
    </row>
    <row r="4103" spans="1:15" x14ac:dyDescent="0.25">
      <c r="A4103" s="64" t="s">
        <v>188</v>
      </c>
      <c r="B4103" s="79" t="str">
        <f>IF(Seventeenth!B106="", "",Seventeenth!B106)</f>
        <v/>
      </c>
      <c r="C4103" s="66" t="str">
        <f>IF(Seventeenth!C106="", "",Seventeenth!C106)</f>
        <v/>
      </c>
      <c r="D4103" s="66" t="str">
        <f>IF(Seventeenth!D106="", "",Seventeenth!D106)</f>
        <v/>
      </c>
      <c r="E4103" s="66" t="str">
        <f>IF(Seventeenth!E106="", "",Seventeenth!E106)</f>
        <v/>
      </c>
      <c r="F4103" s="66" t="str">
        <f>IF(Seventeenth!F106="", "",Seventeenth!F106)</f>
        <v/>
      </c>
      <c r="G4103" s="66" t="str">
        <f>IF(Seventeenth!G106="", "",Seventeenth!G106)</f>
        <v/>
      </c>
      <c r="H4103" s="66" t="str">
        <f>IF(Seventeenth!H106="", "",Seventeenth!H106)</f>
        <v/>
      </c>
      <c r="I4103" s="66" t="str">
        <f>IF(Seventeenth!I106="", "",Seventeenth!I106)</f>
        <v/>
      </c>
      <c r="J4103" s="66" t="str">
        <f>IF(Seventeenth!J106="", "",Seventeenth!J106)</f>
        <v/>
      </c>
      <c r="K4103" s="86" t="str">
        <f>IF(Seventeenth!K106="", "",Seventeenth!K106)</f>
        <v/>
      </c>
      <c r="M4103" s="67" t="str">
        <f t="shared" si="194"/>
        <v/>
      </c>
      <c r="N4103" s="76" t="str">
        <f t="shared" si="195"/>
        <v/>
      </c>
      <c r="O4103" s="33">
        <f t="shared" si="193"/>
        <v>0</v>
      </c>
    </row>
    <row r="4104" spans="1:15" x14ac:dyDescent="0.25">
      <c r="A4104" s="64" t="s">
        <v>188</v>
      </c>
      <c r="B4104" s="79" t="str">
        <f>IF(Seventeenth!B107="", "",Seventeenth!B107)</f>
        <v/>
      </c>
      <c r="C4104" s="66" t="str">
        <f>IF(Seventeenth!C107="", "",Seventeenth!C107)</f>
        <v/>
      </c>
      <c r="D4104" s="66" t="str">
        <f>IF(Seventeenth!D107="", "",Seventeenth!D107)</f>
        <v/>
      </c>
      <c r="E4104" s="66" t="str">
        <f>IF(Seventeenth!E107="", "",Seventeenth!E107)</f>
        <v/>
      </c>
      <c r="F4104" s="66" t="str">
        <f>IF(Seventeenth!F107="", "",Seventeenth!F107)</f>
        <v/>
      </c>
      <c r="G4104" s="66" t="str">
        <f>IF(Seventeenth!G107="", "",Seventeenth!G107)</f>
        <v/>
      </c>
      <c r="H4104" s="66" t="str">
        <f>IF(Seventeenth!H107="", "",Seventeenth!H107)</f>
        <v/>
      </c>
      <c r="I4104" s="66" t="str">
        <f>IF(Seventeenth!I107="", "",Seventeenth!I107)</f>
        <v/>
      </c>
      <c r="J4104" s="66" t="str">
        <f>IF(Seventeenth!J107="", "",Seventeenth!J107)</f>
        <v/>
      </c>
      <c r="K4104" s="86" t="str">
        <f>IF(Seventeenth!K107="", "",Seventeenth!K107)</f>
        <v/>
      </c>
      <c r="M4104" s="67" t="str">
        <f t="shared" si="194"/>
        <v/>
      </c>
      <c r="N4104" s="76" t="str">
        <f t="shared" si="195"/>
        <v/>
      </c>
      <c r="O4104" s="33">
        <f t="shared" si="193"/>
        <v>0</v>
      </c>
    </row>
    <row r="4105" spans="1:15" x14ac:dyDescent="0.25">
      <c r="A4105" s="64" t="s">
        <v>188</v>
      </c>
      <c r="B4105" s="79" t="str">
        <f>IF(Seventeenth!B108="", "",Seventeenth!B108)</f>
        <v/>
      </c>
      <c r="C4105" s="66" t="str">
        <f>IF(Seventeenth!C108="", "",Seventeenth!C108)</f>
        <v/>
      </c>
      <c r="D4105" s="66" t="str">
        <f>IF(Seventeenth!D108="", "",Seventeenth!D108)</f>
        <v/>
      </c>
      <c r="E4105" s="66" t="str">
        <f>IF(Seventeenth!E108="", "",Seventeenth!E108)</f>
        <v/>
      </c>
      <c r="F4105" s="66" t="str">
        <f>IF(Seventeenth!F108="", "",Seventeenth!F108)</f>
        <v/>
      </c>
      <c r="G4105" s="66" t="str">
        <f>IF(Seventeenth!G108="", "",Seventeenth!G108)</f>
        <v/>
      </c>
      <c r="H4105" s="66" t="str">
        <f>IF(Seventeenth!H108="", "",Seventeenth!H108)</f>
        <v/>
      </c>
      <c r="I4105" s="66" t="str">
        <f>IF(Seventeenth!I108="", "",Seventeenth!I108)</f>
        <v/>
      </c>
      <c r="J4105" s="66" t="str">
        <f>IF(Seventeenth!J108="", "",Seventeenth!J108)</f>
        <v/>
      </c>
      <c r="K4105" s="86" t="str">
        <f>IF(Seventeenth!K108="", "",Seventeenth!K108)</f>
        <v/>
      </c>
      <c r="M4105" s="67" t="str">
        <f t="shared" si="194"/>
        <v/>
      </c>
      <c r="N4105" s="76" t="str">
        <f t="shared" si="195"/>
        <v/>
      </c>
      <c r="O4105" s="33">
        <f t="shared" si="193"/>
        <v>0</v>
      </c>
    </row>
    <row r="4106" spans="1:15" x14ac:dyDescent="0.25">
      <c r="A4106" s="64" t="s">
        <v>188</v>
      </c>
      <c r="B4106" s="79" t="str">
        <f>IF(Seventeenth!B109="", "",Seventeenth!B109)</f>
        <v/>
      </c>
      <c r="C4106" s="66" t="str">
        <f>IF(Seventeenth!C109="", "",Seventeenth!C109)</f>
        <v/>
      </c>
      <c r="D4106" s="66" t="str">
        <f>IF(Seventeenth!D109="", "",Seventeenth!D109)</f>
        <v/>
      </c>
      <c r="E4106" s="66" t="str">
        <f>IF(Seventeenth!E109="", "",Seventeenth!E109)</f>
        <v/>
      </c>
      <c r="F4106" s="66" t="str">
        <f>IF(Seventeenth!F109="", "",Seventeenth!F109)</f>
        <v/>
      </c>
      <c r="G4106" s="66" t="str">
        <f>IF(Seventeenth!G109="", "",Seventeenth!G109)</f>
        <v/>
      </c>
      <c r="H4106" s="66" t="str">
        <f>IF(Seventeenth!H109="", "",Seventeenth!H109)</f>
        <v/>
      </c>
      <c r="I4106" s="66" t="str">
        <f>IF(Seventeenth!I109="", "",Seventeenth!I109)</f>
        <v/>
      </c>
      <c r="J4106" s="66" t="str">
        <f>IF(Seventeenth!J109="", "",Seventeenth!J109)</f>
        <v/>
      </c>
      <c r="K4106" s="86" t="str">
        <f>IF(Seventeenth!K109="", "",Seventeenth!K109)</f>
        <v/>
      </c>
      <c r="M4106" s="67" t="str">
        <f t="shared" si="194"/>
        <v/>
      </c>
      <c r="N4106" s="76" t="str">
        <f t="shared" si="195"/>
        <v/>
      </c>
      <c r="O4106" s="33">
        <f t="shared" si="193"/>
        <v>0</v>
      </c>
    </row>
    <row r="4107" spans="1:15" x14ac:dyDescent="0.25">
      <c r="A4107" s="64" t="s">
        <v>188</v>
      </c>
      <c r="B4107" s="79" t="str">
        <f>IF(Seventeenth!B110="", "",Seventeenth!B110)</f>
        <v/>
      </c>
      <c r="C4107" s="66" t="str">
        <f>IF(Seventeenth!C110="", "",Seventeenth!C110)</f>
        <v/>
      </c>
      <c r="D4107" s="66" t="str">
        <f>IF(Seventeenth!D110="", "",Seventeenth!D110)</f>
        <v/>
      </c>
      <c r="E4107" s="66" t="str">
        <f>IF(Seventeenth!E110="", "",Seventeenth!E110)</f>
        <v/>
      </c>
      <c r="F4107" s="66" t="str">
        <f>IF(Seventeenth!F110="", "",Seventeenth!F110)</f>
        <v/>
      </c>
      <c r="G4107" s="66" t="str">
        <f>IF(Seventeenth!G110="", "",Seventeenth!G110)</f>
        <v/>
      </c>
      <c r="H4107" s="66" t="str">
        <f>IF(Seventeenth!H110="", "",Seventeenth!H110)</f>
        <v/>
      </c>
      <c r="I4107" s="66" t="str">
        <f>IF(Seventeenth!I110="", "",Seventeenth!I110)</f>
        <v/>
      </c>
      <c r="J4107" s="66" t="str">
        <f>IF(Seventeenth!J110="", "",Seventeenth!J110)</f>
        <v/>
      </c>
      <c r="K4107" s="86" t="str">
        <f>IF(Seventeenth!K110="", "",Seventeenth!K110)</f>
        <v/>
      </c>
      <c r="M4107" s="67" t="str">
        <f t="shared" si="194"/>
        <v/>
      </c>
      <c r="N4107" s="76" t="str">
        <f t="shared" si="195"/>
        <v/>
      </c>
      <c r="O4107" s="33">
        <f t="shared" si="193"/>
        <v>0</v>
      </c>
    </row>
    <row r="4108" spans="1:15" x14ac:dyDescent="0.25">
      <c r="A4108" s="64" t="s">
        <v>188</v>
      </c>
      <c r="B4108" s="79" t="str">
        <f>IF(Seventeenth!B111="", "",Seventeenth!B111)</f>
        <v/>
      </c>
      <c r="C4108" s="66" t="str">
        <f>IF(Seventeenth!C111="", "",Seventeenth!C111)</f>
        <v/>
      </c>
      <c r="D4108" s="66" t="str">
        <f>IF(Seventeenth!D111="", "",Seventeenth!D111)</f>
        <v/>
      </c>
      <c r="E4108" s="66" t="str">
        <f>IF(Seventeenth!E111="", "",Seventeenth!E111)</f>
        <v/>
      </c>
      <c r="F4108" s="66" t="str">
        <f>IF(Seventeenth!F111="", "",Seventeenth!F111)</f>
        <v/>
      </c>
      <c r="G4108" s="66" t="str">
        <f>IF(Seventeenth!G111="", "",Seventeenth!G111)</f>
        <v/>
      </c>
      <c r="H4108" s="66" t="str">
        <f>IF(Seventeenth!H111="", "",Seventeenth!H111)</f>
        <v/>
      </c>
      <c r="I4108" s="66" t="str">
        <f>IF(Seventeenth!I111="", "",Seventeenth!I111)</f>
        <v/>
      </c>
      <c r="J4108" s="66" t="str">
        <f>IF(Seventeenth!J111="", "",Seventeenth!J111)</f>
        <v/>
      </c>
      <c r="K4108" s="86" t="str">
        <f>IF(Seventeenth!K111="", "",Seventeenth!K111)</f>
        <v/>
      </c>
      <c r="M4108" s="67" t="str">
        <f t="shared" si="194"/>
        <v/>
      </c>
      <c r="N4108" s="76" t="str">
        <f t="shared" si="195"/>
        <v/>
      </c>
      <c r="O4108" s="33">
        <f t="shared" si="193"/>
        <v>0</v>
      </c>
    </row>
    <row r="4109" spans="1:15" x14ac:dyDescent="0.25">
      <c r="A4109" s="64" t="s">
        <v>188</v>
      </c>
      <c r="B4109" s="79" t="str">
        <f>IF(Seventeenth!B112="", "",Seventeenth!B112)</f>
        <v/>
      </c>
      <c r="C4109" s="66" t="str">
        <f>IF(Seventeenth!C112="", "",Seventeenth!C112)</f>
        <v/>
      </c>
      <c r="D4109" s="66" t="str">
        <f>IF(Seventeenth!D112="", "",Seventeenth!D112)</f>
        <v/>
      </c>
      <c r="E4109" s="66" t="str">
        <f>IF(Seventeenth!E112="", "",Seventeenth!E112)</f>
        <v/>
      </c>
      <c r="F4109" s="66" t="str">
        <f>IF(Seventeenth!F112="", "",Seventeenth!F112)</f>
        <v/>
      </c>
      <c r="G4109" s="66" t="str">
        <f>IF(Seventeenth!G112="", "",Seventeenth!G112)</f>
        <v/>
      </c>
      <c r="H4109" s="66" t="str">
        <f>IF(Seventeenth!H112="", "",Seventeenth!H112)</f>
        <v/>
      </c>
      <c r="I4109" s="66" t="str">
        <f>IF(Seventeenth!I112="", "",Seventeenth!I112)</f>
        <v/>
      </c>
      <c r="J4109" s="66" t="str">
        <f>IF(Seventeenth!J112="", "",Seventeenth!J112)</f>
        <v/>
      </c>
      <c r="K4109" s="86" t="str">
        <f>IF(Seventeenth!K112="", "",Seventeenth!K112)</f>
        <v/>
      </c>
      <c r="M4109" s="67" t="str">
        <f t="shared" si="194"/>
        <v/>
      </c>
      <c r="N4109" s="76" t="str">
        <f t="shared" si="195"/>
        <v/>
      </c>
      <c r="O4109" s="33">
        <f t="shared" si="193"/>
        <v>0</v>
      </c>
    </row>
    <row r="4110" spans="1:15" x14ac:dyDescent="0.25">
      <c r="A4110" s="64" t="s">
        <v>188</v>
      </c>
      <c r="B4110" s="79" t="str">
        <f>IF(Seventeenth!B113="", "",Seventeenth!B113)</f>
        <v/>
      </c>
      <c r="C4110" s="66" t="str">
        <f>IF(Seventeenth!C113="", "",Seventeenth!C113)</f>
        <v/>
      </c>
      <c r="D4110" s="66" t="str">
        <f>IF(Seventeenth!D113="", "",Seventeenth!D113)</f>
        <v/>
      </c>
      <c r="E4110" s="66" t="str">
        <f>IF(Seventeenth!E113="", "",Seventeenth!E113)</f>
        <v/>
      </c>
      <c r="F4110" s="66" t="str">
        <f>IF(Seventeenth!F113="", "",Seventeenth!F113)</f>
        <v/>
      </c>
      <c r="G4110" s="66" t="str">
        <f>IF(Seventeenth!G113="", "",Seventeenth!G113)</f>
        <v/>
      </c>
      <c r="H4110" s="66" t="str">
        <f>IF(Seventeenth!H113="", "",Seventeenth!H113)</f>
        <v/>
      </c>
      <c r="I4110" s="66" t="str">
        <f>IF(Seventeenth!I113="", "",Seventeenth!I113)</f>
        <v/>
      </c>
      <c r="J4110" s="66" t="str">
        <f>IF(Seventeenth!J113="", "",Seventeenth!J113)</f>
        <v/>
      </c>
      <c r="K4110" s="86" t="str">
        <f>IF(Seventeenth!K113="", "",Seventeenth!K113)</f>
        <v/>
      </c>
      <c r="M4110" s="67" t="str">
        <f t="shared" si="194"/>
        <v/>
      </c>
      <c r="N4110" s="76" t="str">
        <f t="shared" si="195"/>
        <v/>
      </c>
      <c r="O4110" s="33">
        <f t="shared" si="193"/>
        <v>0</v>
      </c>
    </row>
    <row r="4111" spans="1:15" x14ac:dyDescent="0.25">
      <c r="A4111" s="64" t="s">
        <v>188</v>
      </c>
      <c r="B4111" s="79" t="str">
        <f>IF(Seventeenth!B114="", "",Seventeenth!B114)</f>
        <v/>
      </c>
      <c r="C4111" s="66" t="str">
        <f>IF(Seventeenth!C114="", "",Seventeenth!C114)</f>
        <v/>
      </c>
      <c r="D4111" s="66" t="str">
        <f>IF(Seventeenth!D114="", "",Seventeenth!D114)</f>
        <v/>
      </c>
      <c r="E4111" s="66" t="str">
        <f>IF(Seventeenth!E114="", "",Seventeenth!E114)</f>
        <v/>
      </c>
      <c r="F4111" s="66" t="str">
        <f>IF(Seventeenth!F114="", "",Seventeenth!F114)</f>
        <v/>
      </c>
      <c r="G4111" s="66" t="str">
        <f>IF(Seventeenth!G114="", "",Seventeenth!G114)</f>
        <v/>
      </c>
      <c r="H4111" s="66" t="str">
        <f>IF(Seventeenth!H114="", "",Seventeenth!H114)</f>
        <v/>
      </c>
      <c r="I4111" s="66" t="str">
        <f>IF(Seventeenth!I114="", "",Seventeenth!I114)</f>
        <v/>
      </c>
      <c r="J4111" s="66" t="str">
        <f>IF(Seventeenth!J114="", "",Seventeenth!J114)</f>
        <v/>
      </c>
      <c r="K4111" s="86" t="str">
        <f>IF(Seventeenth!K114="", "",Seventeenth!K114)</f>
        <v/>
      </c>
      <c r="M4111" s="67" t="str">
        <f t="shared" si="194"/>
        <v/>
      </c>
      <c r="N4111" s="76" t="str">
        <f t="shared" si="195"/>
        <v/>
      </c>
      <c r="O4111" s="33">
        <f t="shared" si="193"/>
        <v>0</v>
      </c>
    </row>
    <row r="4112" spans="1:15" x14ac:dyDescent="0.25">
      <c r="A4112" s="64" t="s">
        <v>188</v>
      </c>
      <c r="B4112" s="79" t="str">
        <f>IF(Seventeenth!B115="", "",Seventeenth!B115)</f>
        <v/>
      </c>
      <c r="C4112" s="66" t="str">
        <f>IF(Seventeenth!C115="", "",Seventeenth!C115)</f>
        <v/>
      </c>
      <c r="D4112" s="66" t="str">
        <f>IF(Seventeenth!D115="", "",Seventeenth!D115)</f>
        <v/>
      </c>
      <c r="E4112" s="66" t="str">
        <f>IF(Seventeenth!E115="", "",Seventeenth!E115)</f>
        <v/>
      </c>
      <c r="F4112" s="66" t="str">
        <f>IF(Seventeenth!F115="", "",Seventeenth!F115)</f>
        <v/>
      </c>
      <c r="G4112" s="66" t="str">
        <f>IF(Seventeenth!G115="", "",Seventeenth!G115)</f>
        <v/>
      </c>
      <c r="H4112" s="66" t="str">
        <f>IF(Seventeenth!H115="", "",Seventeenth!H115)</f>
        <v/>
      </c>
      <c r="I4112" s="66" t="str">
        <f>IF(Seventeenth!I115="", "",Seventeenth!I115)</f>
        <v/>
      </c>
      <c r="J4112" s="66" t="str">
        <f>IF(Seventeenth!J115="", "",Seventeenth!J115)</f>
        <v/>
      </c>
      <c r="K4112" s="86" t="str">
        <f>IF(Seventeenth!K115="", "",Seventeenth!K115)</f>
        <v/>
      </c>
      <c r="M4112" s="67" t="str">
        <f t="shared" si="194"/>
        <v/>
      </c>
      <c r="N4112" s="76" t="str">
        <f t="shared" si="195"/>
        <v/>
      </c>
      <c r="O4112" s="33">
        <f t="shared" si="193"/>
        <v>0</v>
      </c>
    </row>
    <row r="4113" spans="1:15" x14ac:dyDescent="0.25">
      <c r="A4113" s="64" t="s">
        <v>188</v>
      </c>
      <c r="B4113" s="79" t="str">
        <f>IF(Seventeenth!B116="", "",Seventeenth!B116)</f>
        <v/>
      </c>
      <c r="C4113" s="66" t="str">
        <f>IF(Seventeenth!C116="", "",Seventeenth!C116)</f>
        <v/>
      </c>
      <c r="D4113" s="66" t="str">
        <f>IF(Seventeenth!D116="", "",Seventeenth!D116)</f>
        <v/>
      </c>
      <c r="E4113" s="66" t="str">
        <f>IF(Seventeenth!E116="", "",Seventeenth!E116)</f>
        <v/>
      </c>
      <c r="F4113" s="66" t="str">
        <f>IF(Seventeenth!F116="", "",Seventeenth!F116)</f>
        <v/>
      </c>
      <c r="G4113" s="66" t="str">
        <f>IF(Seventeenth!G116="", "",Seventeenth!G116)</f>
        <v/>
      </c>
      <c r="H4113" s="66" t="str">
        <f>IF(Seventeenth!H116="", "",Seventeenth!H116)</f>
        <v/>
      </c>
      <c r="I4113" s="66" t="str">
        <f>IF(Seventeenth!I116="", "",Seventeenth!I116)</f>
        <v/>
      </c>
      <c r="J4113" s="66" t="str">
        <f>IF(Seventeenth!J116="", "",Seventeenth!J116)</f>
        <v/>
      </c>
      <c r="K4113" s="86" t="str">
        <f>IF(Seventeenth!K116="", "",Seventeenth!K116)</f>
        <v/>
      </c>
      <c r="M4113" s="67" t="str">
        <f t="shared" si="194"/>
        <v/>
      </c>
      <c r="N4113" s="76" t="str">
        <f t="shared" si="195"/>
        <v/>
      </c>
      <c r="O4113" s="33">
        <f t="shared" si="193"/>
        <v>0</v>
      </c>
    </row>
    <row r="4114" spans="1:15" x14ac:dyDescent="0.25">
      <c r="A4114" s="64" t="s">
        <v>188</v>
      </c>
      <c r="B4114" s="79" t="str">
        <f>IF(Seventeenth!B117="", "",Seventeenth!B117)</f>
        <v/>
      </c>
      <c r="C4114" s="66" t="str">
        <f>IF(Seventeenth!C117="", "",Seventeenth!C117)</f>
        <v/>
      </c>
      <c r="D4114" s="66" t="str">
        <f>IF(Seventeenth!D117="", "",Seventeenth!D117)</f>
        <v/>
      </c>
      <c r="E4114" s="66" t="str">
        <f>IF(Seventeenth!E117="", "",Seventeenth!E117)</f>
        <v/>
      </c>
      <c r="F4114" s="66" t="str">
        <f>IF(Seventeenth!F117="", "",Seventeenth!F117)</f>
        <v/>
      </c>
      <c r="G4114" s="66" t="str">
        <f>IF(Seventeenth!G117="", "",Seventeenth!G117)</f>
        <v/>
      </c>
      <c r="H4114" s="66" t="str">
        <f>IF(Seventeenth!H117="", "",Seventeenth!H117)</f>
        <v/>
      </c>
      <c r="I4114" s="66" t="str">
        <f>IF(Seventeenth!I117="", "",Seventeenth!I117)</f>
        <v/>
      </c>
      <c r="J4114" s="66" t="str">
        <f>IF(Seventeenth!J117="", "",Seventeenth!J117)</f>
        <v/>
      </c>
      <c r="K4114" s="86" t="str">
        <f>IF(Seventeenth!K117="", "",Seventeenth!K117)</f>
        <v/>
      </c>
      <c r="M4114" s="67" t="str">
        <f t="shared" si="194"/>
        <v/>
      </c>
      <c r="N4114" s="76" t="str">
        <f t="shared" si="195"/>
        <v/>
      </c>
      <c r="O4114" s="33">
        <f t="shared" si="193"/>
        <v>0</v>
      </c>
    </row>
    <row r="4115" spans="1:15" x14ac:dyDescent="0.25">
      <c r="A4115" s="64" t="s">
        <v>188</v>
      </c>
      <c r="B4115" s="79" t="str">
        <f>IF(Seventeenth!B118="", "",Seventeenth!B118)</f>
        <v/>
      </c>
      <c r="C4115" s="66" t="str">
        <f>IF(Seventeenth!C118="", "",Seventeenth!C118)</f>
        <v/>
      </c>
      <c r="D4115" s="66" t="str">
        <f>IF(Seventeenth!D118="", "",Seventeenth!D118)</f>
        <v/>
      </c>
      <c r="E4115" s="66" t="str">
        <f>IF(Seventeenth!E118="", "",Seventeenth!E118)</f>
        <v/>
      </c>
      <c r="F4115" s="66" t="str">
        <f>IF(Seventeenth!F118="", "",Seventeenth!F118)</f>
        <v/>
      </c>
      <c r="G4115" s="66" t="str">
        <f>IF(Seventeenth!G118="", "",Seventeenth!G118)</f>
        <v/>
      </c>
      <c r="H4115" s="66" t="str">
        <f>IF(Seventeenth!H118="", "",Seventeenth!H118)</f>
        <v/>
      </c>
      <c r="I4115" s="66" t="str">
        <f>IF(Seventeenth!I118="", "",Seventeenth!I118)</f>
        <v/>
      </c>
      <c r="J4115" s="66" t="str">
        <f>IF(Seventeenth!J118="", "",Seventeenth!J118)</f>
        <v/>
      </c>
      <c r="K4115" s="86" t="str">
        <f>IF(Seventeenth!K118="", "",Seventeenth!K118)</f>
        <v/>
      </c>
      <c r="M4115" s="67" t="str">
        <f t="shared" si="194"/>
        <v/>
      </c>
      <c r="N4115" s="76" t="str">
        <f t="shared" si="195"/>
        <v/>
      </c>
      <c r="O4115" s="33">
        <f t="shared" si="193"/>
        <v>0</v>
      </c>
    </row>
    <row r="4116" spans="1:15" x14ac:dyDescent="0.25">
      <c r="A4116" s="64" t="s">
        <v>188</v>
      </c>
      <c r="B4116" s="79" t="str">
        <f>IF(Seventeenth!B119="", "",Seventeenth!B119)</f>
        <v/>
      </c>
      <c r="C4116" s="66" t="str">
        <f>IF(Seventeenth!C119="", "",Seventeenth!C119)</f>
        <v/>
      </c>
      <c r="D4116" s="66" t="str">
        <f>IF(Seventeenth!D119="", "",Seventeenth!D119)</f>
        <v/>
      </c>
      <c r="E4116" s="66" t="str">
        <f>IF(Seventeenth!E119="", "",Seventeenth!E119)</f>
        <v/>
      </c>
      <c r="F4116" s="66" t="str">
        <f>IF(Seventeenth!F119="", "",Seventeenth!F119)</f>
        <v/>
      </c>
      <c r="G4116" s="66" t="str">
        <f>IF(Seventeenth!G119="", "",Seventeenth!G119)</f>
        <v/>
      </c>
      <c r="H4116" s="66" t="str">
        <f>IF(Seventeenth!H119="", "",Seventeenth!H119)</f>
        <v/>
      </c>
      <c r="I4116" s="66" t="str">
        <f>IF(Seventeenth!I119="", "",Seventeenth!I119)</f>
        <v/>
      </c>
      <c r="J4116" s="66" t="str">
        <f>IF(Seventeenth!J119="", "",Seventeenth!J119)</f>
        <v/>
      </c>
      <c r="K4116" s="86" t="str">
        <f>IF(Seventeenth!K119="", "",Seventeenth!K119)</f>
        <v/>
      </c>
      <c r="M4116" s="67" t="str">
        <f t="shared" si="194"/>
        <v/>
      </c>
      <c r="N4116" s="76" t="str">
        <f t="shared" si="195"/>
        <v/>
      </c>
      <c r="O4116" s="33">
        <f t="shared" si="193"/>
        <v>0</v>
      </c>
    </row>
    <row r="4117" spans="1:15" x14ac:dyDescent="0.25">
      <c r="A4117" s="64" t="s">
        <v>188</v>
      </c>
      <c r="B4117" s="79" t="str">
        <f>IF(Seventeenth!B120="", "",Seventeenth!B120)</f>
        <v/>
      </c>
      <c r="C4117" s="66" t="str">
        <f>IF(Seventeenth!C120="", "",Seventeenth!C120)</f>
        <v/>
      </c>
      <c r="D4117" s="66" t="str">
        <f>IF(Seventeenth!D120="", "",Seventeenth!D120)</f>
        <v/>
      </c>
      <c r="E4117" s="66" t="str">
        <f>IF(Seventeenth!E120="", "",Seventeenth!E120)</f>
        <v/>
      </c>
      <c r="F4117" s="66" t="str">
        <f>IF(Seventeenth!F120="", "",Seventeenth!F120)</f>
        <v/>
      </c>
      <c r="G4117" s="66" t="str">
        <f>IF(Seventeenth!G120="", "",Seventeenth!G120)</f>
        <v/>
      </c>
      <c r="H4117" s="66" t="str">
        <f>IF(Seventeenth!H120="", "",Seventeenth!H120)</f>
        <v/>
      </c>
      <c r="I4117" s="66" t="str">
        <f>IF(Seventeenth!I120="", "",Seventeenth!I120)</f>
        <v/>
      </c>
      <c r="J4117" s="66" t="str">
        <f>IF(Seventeenth!J120="", "",Seventeenth!J120)</f>
        <v/>
      </c>
      <c r="K4117" s="86" t="str">
        <f>IF(Seventeenth!K120="", "",Seventeenth!K120)</f>
        <v/>
      </c>
      <c r="M4117" s="67" t="str">
        <f t="shared" si="194"/>
        <v/>
      </c>
      <c r="N4117" s="76" t="str">
        <f t="shared" si="195"/>
        <v/>
      </c>
      <c r="O4117" s="33">
        <f t="shared" si="193"/>
        <v>0</v>
      </c>
    </row>
    <row r="4118" spans="1:15" x14ac:dyDescent="0.25">
      <c r="A4118" s="64" t="s">
        <v>188</v>
      </c>
      <c r="B4118" s="79" t="str">
        <f>IF(Seventeenth!B121="", "",Seventeenth!B121)</f>
        <v/>
      </c>
      <c r="C4118" s="66" t="str">
        <f>IF(Seventeenth!C121="", "",Seventeenth!C121)</f>
        <v/>
      </c>
      <c r="D4118" s="66" t="str">
        <f>IF(Seventeenth!D121="", "",Seventeenth!D121)</f>
        <v/>
      </c>
      <c r="E4118" s="66" t="str">
        <f>IF(Seventeenth!E121="", "",Seventeenth!E121)</f>
        <v/>
      </c>
      <c r="F4118" s="66" t="str">
        <f>IF(Seventeenth!F121="", "",Seventeenth!F121)</f>
        <v/>
      </c>
      <c r="G4118" s="66" t="str">
        <f>IF(Seventeenth!G121="", "",Seventeenth!G121)</f>
        <v/>
      </c>
      <c r="H4118" s="66" t="str">
        <f>IF(Seventeenth!H121="", "",Seventeenth!H121)</f>
        <v/>
      </c>
      <c r="I4118" s="66" t="str">
        <f>IF(Seventeenth!I121="", "",Seventeenth!I121)</f>
        <v/>
      </c>
      <c r="J4118" s="66" t="str">
        <f>IF(Seventeenth!J121="", "",Seventeenth!J121)</f>
        <v/>
      </c>
      <c r="K4118" s="86" t="str">
        <f>IF(Seventeenth!K121="", "",Seventeenth!K121)</f>
        <v/>
      </c>
      <c r="M4118" s="67" t="str">
        <f t="shared" si="194"/>
        <v/>
      </c>
      <c r="N4118" s="76" t="str">
        <f t="shared" si="195"/>
        <v/>
      </c>
      <c r="O4118" s="33">
        <f t="shared" si="193"/>
        <v>0</v>
      </c>
    </row>
    <row r="4119" spans="1:15" x14ac:dyDescent="0.25">
      <c r="A4119" s="64" t="s">
        <v>188</v>
      </c>
      <c r="B4119" s="79" t="str">
        <f>IF(Seventeenth!B122="", "",Seventeenth!B122)</f>
        <v/>
      </c>
      <c r="C4119" s="66" t="str">
        <f>IF(Seventeenth!C122="", "",Seventeenth!C122)</f>
        <v/>
      </c>
      <c r="D4119" s="66" t="str">
        <f>IF(Seventeenth!D122="", "",Seventeenth!D122)</f>
        <v/>
      </c>
      <c r="E4119" s="66" t="str">
        <f>IF(Seventeenth!E122="", "",Seventeenth!E122)</f>
        <v/>
      </c>
      <c r="F4119" s="66" t="str">
        <f>IF(Seventeenth!F122="", "",Seventeenth!F122)</f>
        <v/>
      </c>
      <c r="G4119" s="66" t="str">
        <f>IF(Seventeenth!G122="", "",Seventeenth!G122)</f>
        <v/>
      </c>
      <c r="H4119" s="66" t="str">
        <f>IF(Seventeenth!H122="", "",Seventeenth!H122)</f>
        <v/>
      </c>
      <c r="I4119" s="66" t="str">
        <f>IF(Seventeenth!I122="", "",Seventeenth!I122)</f>
        <v/>
      </c>
      <c r="J4119" s="66" t="str">
        <f>IF(Seventeenth!J122="", "",Seventeenth!J122)</f>
        <v/>
      </c>
      <c r="K4119" s="86" t="str">
        <f>IF(Seventeenth!K122="", "",Seventeenth!K122)</f>
        <v/>
      </c>
      <c r="M4119" s="67" t="str">
        <f t="shared" si="194"/>
        <v/>
      </c>
      <c r="N4119" s="76" t="str">
        <f t="shared" si="195"/>
        <v/>
      </c>
      <c r="O4119" s="33">
        <f t="shared" si="193"/>
        <v>0</v>
      </c>
    </row>
    <row r="4120" spans="1:15" x14ac:dyDescent="0.25">
      <c r="A4120" s="64" t="s">
        <v>188</v>
      </c>
      <c r="B4120" s="79" t="str">
        <f>IF(Seventeenth!B123="", "",Seventeenth!B123)</f>
        <v/>
      </c>
      <c r="C4120" s="66" t="str">
        <f>IF(Seventeenth!C123="", "",Seventeenth!C123)</f>
        <v/>
      </c>
      <c r="D4120" s="66" t="str">
        <f>IF(Seventeenth!D123="", "",Seventeenth!D123)</f>
        <v/>
      </c>
      <c r="E4120" s="66" t="str">
        <f>IF(Seventeenth!E123="", "",Seventeenth!E123)</f>
        <v/>
      </c>
      <c r="F4120" s="66" t="str">
        <f>IF(Seventeenth!F123="", "",Seventeenth!F123)</f>
        <v/>
      </c>
      <c r="G4120" s="66" t="str">
        <f>IF(Seventeenth!G123="", "",Seventeenth!G123)</f>
        <v/>
      </c>
      <c r="H4120" s="66" t="str">
        <f>IF(Seventeenth!H123="", "",Seventeenth!H123)</f>
        <v/>
      </c>
      <c r="I4120" s="66" t="str">
        <f>IF(Seventeenth!I123="", "",Seventeenth!I123)</f>
        <v/>
      </c>
      <c r="J4120" s="66" t="str">
        <f>IF(Seventeenth!J123="", "",Seventeenth!J123)</f>
        <v/>
      </c>
      <c r="K4120" s="86" t="str">
        <f>IF(Seventeenth!K123="", "",Seventeenth!K123)</f>
        <v/>
      </c>
      <c r="M4120" s="67" t="str">
        <f t="shared" si="194"/>
        <v/>
      </c>
      <c r="N4120" s="76" t="str">
        <f t="shared" si="195"/>
        <v/>
      </c>
      <c r="O4120" s="33">
        <f t="shared" si="193"/>
        <v>0</v>
      </c>
    </row>
    <row r="4121" spans="1:15" x14ac:dyDescent="0.25">
      <c r="A4121" s="64" t="s">
        <v>188</v>
      </c>
      <c r="B4121" s="79" t="str">
        <f>IF(Seventeenth!B124="", "",Seventeenth!B124)</f>
        <v/>
      </c>
      <c r="C4121" s="66" t="str">
        <f>IF(Seventeenth!C124="", "",Seventeenth!C124)</f>
        <v/>
      </c>
      <c r="D4121" s="66" t="str">
        <f>IF(Seventeenth!D124="", "",Seventeenth!D124)</f>
        <v/>
      </c>
      <c r="E4121" s="66" t="str">
        <f>IF(Seventeenth!E124="", "",Seventeenth!E124)</f>
        <v/>
      </c>
      <c r="F4121" s="66" t="str">
        <f>IF(Seventeenth!F124="", "",Seventeenth!F124)</f>
        <v/>
      </c>
      <c r="G4121" s="66" t="str">
        <f>IF(Seventeenth!G124="", "",Seventeenth!G124)</f>
        <v/>
      </c>
      <c r="H4121" s="66" t="str">
        <f>IF(Seventeenth!H124="", "",Seventeenth!H124)</f>
        <v/>
      </c>
      <c r="I4121" s="66" t="str">
        <f>IF(Seventeenth!I124="", "",Seventeenth!I124)</f>
        <v/>
      </c>
      <c r="J4121" s="66" t="str">
        <f>IF(Seventeenth!J124="", "",Seventeenth!J124)</f>
        <v/>
      </c>
      <c r="K4121" s="86" t="str">
        <f>IF(Seventeenth!K124="", "",Seventeenth!K124)</f>
        <v/>
      </c>
      <c r="M4121" s="67" t="str">
        <f t="shared" si="194"/>
        <v/>
      </c>
      <c r="N4121" s="76" t="str">
        <f t="shared" si="195"/>
        <v/>
      </c>
      <c r="O4121" s="33">
        <f t="shared" si="193"/>
        <v>0</v>
      </c>
    </row>
    <row r="4122" spans="1:15" x14ac:dyDescent="0.25">
      <c r="A4122" s="64" t="s">
        <v>188</v>
      </c>
      <c r="B4122" s="79" t="str">
        <f>IF(Seventeenth!B125="", "",Seventeenth!B125)</f>
        <v/>
      </c>
      <c r="C4122" s="66" t="str">
        <f>IF(Seventeenth!C125="", "",Seventeenth!C125)</f>
        <v/>
      </c>
      <c r="D4122" s="66" t="str">
        <f>IF(Seventeenth!D125="", "",Seventeenth!D125)</f>
        <v/>
      </c>
      <c r="E4122" s="66" t="str">
        <f>IF(Seventeenth!E125="", "",Seventeenth!E125)</f>
        <v/>
      </c>
      <c r="F4122" s="66" t="str">
        <f>IF(Seventeenth!F125="", "",Seventeenth!F125)</f>
        <v/>
      </c>
      <c r="G4122" s="66" t="str">
        <f>IF(Seventeenth!G125="", "",Seventeenth!G125)</f>
        <v/>
      </c>
      <c r="H4122" s="66" t="str">
        <f>IF(Seventeenth!H125="", "",Seventeenth!H125)</f>
        <v/>
      </c>
      <c r="I4122" s="66" t="str">
        <f>IF(Seventeenth!I125="", "",Seventeenth!I125)</f>
        <v/>
      </c>
      <c r="J4122" s="66" t="str">
        <f>IF(Seventeenth!J125="", "",Seventeenth!J125)</f>
        <v/>
      </c>
      <c r="K4122" s="86" t="str">
        <f>IF(Seventeenth!K125="", "",Seventeenth!K125)</f>
        <v/>
      </c>
      <c r="M4122" s="67" t="str">
        <f t="shared" si="194"/>
        <v/>
      </c>
      <c r="N4122" s="76" t="str">
        <f t="shared" si="195"/>
        <v/>
      </c>
      <c r="O4122" s="33">
        <f t="shared" si="193"/>
        <v>0</v>
      </c>
    </row>
    <row r="4123" spans="1:15" x14ac:dyDescent="0.25">
      <c r="A4123" s="64" t="s">
        <v>188</v>
      </c>
      <c r="B4123" s="79" t="str">
        <f>IF(Seventeenth!B126="", "",Seventeenth!B126)</f>
        <v/>
      </c>
      <c r="C4123" s="66" t="str">
        <f>IF(Seventeenth!C126="", "",Seventeenth!C126)</f>
        <v/>
      </c>
      <c r="D4123" s="66" t="str">
        <f>IF(Seventeenth!D126="", "",Seventeenth!D126)</f>
        <v/>
      </c>
      <c r="E4123" s="66" t="str">
        <f>IF(Seventeenth!E126="", "",Seventeenth!E126)</f>
        <v/>
      </c>
      <c r="F4123" s="66" t="str">
        <f>IF(Seventeenth!F126="", "",Seventeenth!F126)</f>
        <v/>
      </c>
      <c r="G4123" s="66" t="str">
        <f>IF(Seventeenth!G126="", "",Seventeenth!G126)</f>
        <v/>
      </c>
      <c r="H4123" s="66" t="str">
        <f>IF(Seventeenth!H126="", "",Seventeenth!H126)</f>
        <v/>
      </c>
      <c r="I4123" s="66" t="str">
        <f>IF(Seventeenth!I126="", "",Seventeenth!I126)</f>
        <v/>
      </c>
      <c r="J4123" s="66" t="str">
        <f>IF(Seventeenth!J126="", "",Seventeenth!J126)</f>
        <v/>
      </c>
      <c r="K4123" s="86" t="str">
        <f>IF(Seventeenth!K126="", "",Seventeenth!K126)</f>
        <v/>
      </c>
      <c r="M4123" s="67" t="str">
        <f t="shared" si="194"/>
        <v/>
      </c>
      <c r="N4123" s="76" t="str">
        <f t="shared" si="195"/>
        <v/>
      </c>
      <c r="O4123" s="33">
        <f t="shared" si="193"/>
        <v>0</v>
      </c>
    </row>
    <row r="4124" spans="1:15" x14ac:dyDescent="0.25">
      <c r="A4124" s="64" t="s">
        <v>188</v>
      </c>
      <c r="B4124" s="79" t="str">
        <f>IF(Seventeenth!B127="", "",Seventeenth!B127)</f>
        <v/>
      </c>
      <c r="C4124" s="66" t="str">
        <f>IF(Seventeenth!C127="", "",Seventeenth!C127)</f>
        <v/>
      </c>
      <c r="D4124" s="66" t="str">
        <f>IF(Seventeenth!D127="", "",Seventeenth!D127)</f>
        <v/>
      </c>
      <c r="E4124" s="66" t="str">
        <f>IF(Seventeenth!E127="", "",Seventeenth!E127)</f>
        <v/>
      </c>
      <c r="F4124" s="66" t="str">
        <f>IF(Seventeenth!F127="", "",Seventeenth!F127)</f>
        <v/>
      </c>
      <c r="G4124" s="66" t="str">
        <f>IF(Seventeenth!G127="", "",Seventeenth!G127)</f>
        <v/>
      </c>
      <c r="H4124" s="66" t="str">
        <f>IF(Seventeenth!H127="", "",Seventeenth!H127)</f>
        <v/>
      </c>
      <c r="I4124" s="66" t="str">
        <f>IF(Seventeenth!I127="", "",Seventeenth!I127)</f>
        <v/>
      </c>
      <c r="J4124" s="66" t="str">
        <f>IF(Seventeenth!J127="", "",Seventeenth!J127)</f>
        <v/>
      </c>
      <c r="K4124" s="86" t="str">
        <f>IF(Seventeenth!K127="", "",Seventeenth!K127)</f>
        <v/>
      </c>
      <c r="M4124" s="67" t="str">
        <f t="shared" si="194"/>
        <v/>
      </c>
      <c r="N4124" s="76" t="str">
        <f t="shared" si="195"/>
        <v/>
      </c>
      <c r="O4124" s="33">
        <f t="shared" si="193"/>
        <v>0</v>
      </c>
    </row>
    <row r="4125" spans="1:15" x14ac:dyDescent="0.25">
      <c r="A4125" s="64" t="s">
        <v>188</v>
      </c>
      <c r="B4125" s="79" t="str">
        <f>IF(Seventeenth!B128="", "",Seventeenth!B128)</f>
        <v/>
      </c>
      <c r="C4125" s="66" t="str">
        <f>IF(Seventeenth!C128="", "",Seventeenth!C128)</f>
        <v/>
      </c>
      <c r="D4125" s="66" t="str">
        <f>IF(Seventeenth!D128="", "",Seventeenth!D128)</f>
        <v/>
      </c>
      <c r="E4125" s="66" t="str">
        <f>IF(Seventeenth!E128="", "",Seventeenth!E128)</f>
        <v/>
      </c>
      <c r="F4125" s="66" t="str">
        <f>IF(Seventeenth!F128="", "",Seventeenth!F128)</f>
        <v/>
      </c>
      <c r="G4125" s="66" t="str">
        <f>IF(Seventeenth!G128="", "",Seventeenth!G128)</f>
        <v/>
      </c>
      <c r="H4125" s="66" t="str">
        <f>IF(Seventeenth!H128="", "",Seventeenth!H128)</f>
        <v/>
      </c>
      <c r="I4125" s="66" t="str">
        <f>IF(Seventeenth!I128="", "",Seventeenth!I128)</f>
        <v/>
      </c>
      <c r="J4125" s="66" t="str">
        <f>IF(Seventeenth!J128="", "",Seventeenth!J128)</f>
        <v/>
      </c>
      <c r="K4125" s="86" t="str">
        <f>IF(Seventeenth!K128="", "",Seventeenth!K128)</f>
        <v/>
      </c>
      <c r="M4125" s="67" t="str">
        <f t="shared" si="194"/>
        <v/>
      </c>
      <c r="N4125" s="76" t="str">
        <f t="shared" si="195"/>
        <v/>
      </c>
      <c r="O4125" s="33">
        <f t="shared" si="193"/>
        <v>0</v>
      </c>
    </row>
    <row r="4126" spans="1:15" x14ac:dyDescent="0.25">
      <c r="A4126" s="64" t="s">
        <v>188</v>
      </c>
      <c r="B4126" s="79" t="str">
        <f>IF(Seventeenth!B129="", "",Seventeenth!B129)</f>
        <v/>
      </c>
      <c r="C4126" s="66" t="str">
        <f>IF(Seventeenth!C129="", "",Seventeenth!C129)</f>
        <v/>
      </c>
      <c r="D4126" s="66" t="str">
        <f>IF(Seventeenth!D129="", "",Seventeenth!D129)</f>
        <v/>
      </c>
      <c r="E4126" s="66" t="str">
        <f>IF(Seventeenth!E129="", "",Seventeenth!E129)</f>
        <v/>
      </c>
      <c r="F4126" s="66" t="str">
        <f>IF(Seventeenth!F129="", "",Seventeenth!F129)</f>
        <v/>
      </c>
      <c r="G4126" s="66" t="str">
        <f>IF(Seventeenth!G129="", "",Seventeenth!G129)</f>
        <v/>
      </c>
      <c r="H4126" s="66" t="str">
        <f>IF(Seventeenth!H129="", "",Seventeenth!H129)</f>
        <v/>
      </c>
      <c r="I4126" s="66" t="str">
        <f>IF(Seventeenth!I129="", "",Seventeenth!I129)</f>
        <v/>
      </c>
      <c r="J4126" s="66" t="str">
        <f>IF(Seventeenth!J129="", "",Seventeenth!J129)</f>
        <v/>
      </c>
      <c r="K4126" s="86" t="str">
        <f>IF(Seventeenth!K129="", "",Seventeenth!K129)</f>
        <v/>
      </c>
      <c r="M4126" s="67" t="str">
        <f t="shared" si="194"/>
        <v/>
      </c>
      <c r="N4126" s="76" t="str">
        <f t="shared" si="195"/>
        <v/>
      </c>
      <c r="O4126" s="33">
        <f t="shared" si="193"/>
        <v>0</v>
      </c>
    </row>
    <row r="4127" spans="1:15" x14ac:dyDescent="0.25">
      <c r="A4127" s="64" t="s">
        <v>188</v>
      </c>
      <c r="B4127" s="79" t="str">
        <f>IF(Seventeenth!B130="", "",Seventeenth!B130)</f>
        <v/>
      </c>
      <c r="C4127" s="66" t="str">
        <f>IF(Seventeenth!C130="", "",Seventeenth!C130)</f>
        <v/>
      </c>
      <c r="D4127" s="66" t="str">
        <f>IF(Seventeenth!D130="", "",Seventeenth!D130)</f>
        <v/>
      </c>
      <c r="E4127" s="66" t="str">
        <f>IF(Seventeenth!E130="", "",Seventeenth!E130)</f>
        <v/>
      </c>
      <c r="F4127" s="66" t="str">
        <f>IF(Seventeenth!F130="", "",Seventeenth!F130)</f>
        <v/>
      </c>
      <c r="G4127" s="66" t="str">
        <f>IF(Seventeenth!G130="", "",Seventeenth!G130)</f>
        <v/>
      </c>
      <c r="H4127" s="66" t="str">
        <f>IF(Seventeenth!H130="", "",Seventeenth!H130)</f>
        <v/>
      </c>
      <c r="I4127" s="66" t="str">
        <f>IF(Seventeenth!I130="", "",Seventeenth!I130)</f>
        <v/>
      </c>
      <c r="J4127" s="66" t="str">
        <f>IF(Seventeenth!J130="", "",Seventeenth!J130)</f>
        <v/>
      </c>
      <c r="K4127" s="86" t="str">
        <f>IF(Seventeenth!K130="", "",Seventeenth!K130)</f>
        <v/>
      </c>
      <c r="M4127" s="67" t="str">
        <f t="shared" si="194"/>
        <v/>
      </c>
      <c r="N4127" s="76" t="str">
        <f t="shared" si="195"/>
        <v/>
      </c>
      <c r="O4127" s="33">
        <f t="shared" si="193"/>
        <v>0</v>
      </c>
    </row>
    <row r="4128" spans="1:15" x14ac:dyDescent="0.25">
      <c r="A4128" s="64" t="s">
        <v>188</v>
      </c>
      <c r="B4128" s="79" t="str">
        <f>IF(Seventeenth!B131="", "",Seventeenth!B131)</f>
        <v/>
      </c>
      <c r="C4128" s="66" t="str">
        <f>IF(Seventeenth!C131="", "",Seventeenth!C131)</f>
        <v/>
      </c>
      <c r="D4128" s="66" t="str">
        <f>IF(Seventeenth!D131="", "",Seventeenth!D131)</f>
        <v/>
      </c>
      <c r="E4128" s="66" t="str">
        <f>IF(Seventeenth!E131="", "",Seventeenth!E131)</f>
        <v/>
      </c>
      <c r="F4128" s="66" t="str">
        <f>IF(Seventeenth!F131="", "",Seventeenth!F131)</f>
        <v/>
      </c>
      <c r="G4128" s="66" t="str">
        <f>IF(Seventeenth!G131="", "",Seventeenth!G131)</f>
        <v/>
      </c>
      <c r="H4128" s="66" t="str">
        <f>IF(Seventeenth!H131="", "",Seventeenth!H131)</f>
        <v/>
      </c>
      <c r="I4128" s="66" t="str">
        <f>IF(Seventeenth!I131="", "",Seventeenth!I131)</f>
        <v/>
      </c>
      <c r="J4128" s="66" t="str">
        <f>IF(Seventeenth!J131="", "",Seventeenth!J131)</f>
        <v/>
      </c>
      <c r="K4128" s="86" t="str">
        <f>IF(Seventeenth!K131="", "",Seventeenth!K131)</f>
        <v/>
      </c>
      <c r="M4128" s="67" t="str">
        <f t="shared" si="194"/>
        <v/>
      </c>
      <c r="N4128" s="76" t="str">
        <f t="shared" si="195"/>
        <v/>
      </c>
      <c r="O4128" s="33">
        <f t="shared" si="193"/>
        <v>0</v>
      </c>
    </row>
    <row r="4129" spans="1:15" x14ac:dyDescent="0.25">
      <c r="A4129" s="64" t="s">
        <v>188</v>
      </c>
      <c r="B4129" s="79" t="str">
        <f>IF(Seventeenth!B132="", "",Seventeenth!B132)</f>
        <v/>
      </c>
      <c r="C4129" s="66" t="str">
        <f>IF(Seventeenth!C132="", "",Seventeenth!C132)</f>
        <v/>
      </c>
      <c r="D4129" s="66" t="str">
        <f>IF(Seventeenth!D132="", "",Seventeenth!D132)</f>
        <v/>
      </c>
      <c r="E4129" s="66" t="str">
        <f>IF(Seventeenth!E132="", "",Seventeenth!E132)</f>
        <v/>
      </c>
      <c r="F4129" s="66" t="str">
        <f>IF(Seventeenth!F132="", "",Seventeenth!F132)</f>
        <v/>
      </c>
      <c r="G4129" s="66" t="str">
        <f>IF(Seventeenth!G132="", "",Seventeenth!G132)</f>
        <v/>
      </c>
      <c r="H4129" s="66" t="str">
        <f>IF(Seventeenth!H132="", "",Seventeenth!H132)</f>
        <v/>
      </c>
      <c r="I4129" s="66" t="str">
        <f>IF(Seventeenth!I132="", "",Seventeenth!I132)</f>
        <v/>
      </c>
      <c r="J4129" s="66" t="str">
        <f>IF(Seventeenth!J132="", "",Seventeenth!J132)</f>
        <v/>
      </c>
      <c r="K4129" s="86" t="str">
        <f>IF(Seventeenth!K132="", "",Seventeenth!K132)</f>
        <v/>
      </c>
      <c r="M4129" s="67" t="str">
        <f t="shared" si="194"/>
        <v/>
      </c>
      <c r="N4129" s="76" t="str">
        <f t="shared" si="195"/>
        <v/>
      </c>
      <c r="O4129" s="33">
        <f t="shared" si="193"/>
        <v>0</v>
      </c>
    </row>
    <row r="4130" spans="1:15" x14ac:dyDescent="0.25">
      <c r="A4130" s="64" t="s">
        <v>188</v>
      </c>
      <c r="B4130" s="79" t="str">
        <f>IF(Seventeenth!B133="", "",Seventeenth!B133)</f>
        <v/>
      </c>
      <c r="C4130" s="66" t="str">
        <f>IF(Seventeenth!C133="", "",Seventeenth!C133)</f>
        <v/>
      </c>
      <c r="D4130" s="66" t="str">
        <f>IF(Seventeenth!D133="", "",Seventeenth!D133)</f>
        <v/>
      </c>
      <c r="E4130" s="66" t="str">
        <f>IF(Seventeenth!E133="", "",Seventeenth!E133)</f>
        <v/>
      </c>
      <c r="F4130" s="66" t="str">
        <f>IF(Seventeenth!F133="", "",Seventeenth!F133)</f>
        <v/>
      </c>
      <c r="G4130" s="66" t="str">
        <f>IF(Seventeenth!G133="", "",Seventeenth!G133)</f>
        <v/>
      </c>
      <c r="H4130" s="66" t="str">
        <f>IF(Seventeenth!H133="", "",Seventeenth!H133)</f>
        <v/>
      </c>
      <c r="I4130" s="66" t="str">
        <f>IF(Seventeenth!I133="", "",Seventeenth!I133)</f>
        <v/>
      </c>
      <c r="J4130" s="66" t="str">
        <f>IF(Seventeenth!J133="", "",Seventeenth!J133)</f>
        <v/>
      </c>
      <c r="K4130" s="86" t="str">
        <f>IF(Seventeenth!K133="", "",Seventeenth!K133)</f>
        <v/>
      </c>
      <c r="M4130" s="67" t="str">
        <f t="shared" si="194"/>
        <v/>
      </c>
      <c r="N4130" s="76" t="str">
        <f t="shared" si="195"/>
        <v/>
      </c>
      <c r="O4130" s="33">
        <f t="shared" si="193"/>
        <v>0</v>
      </c>
    </row>
    <row r="4131" spans="1:15" x14ac:dyDescent="0.25">
      <c r="A4131" s="64" t="s">
        <v>188</v>
      </c>
      <c r="B4131" s="79" t="str">
        <f>IF(Seventeenth!B134="", "",Seventeenth!B134)</f>
        <v/>
      </c>
      <c r="C4131" s="66" t="str">
        <f>IF(Seventeenth!C134="", "",Seventeenth!C134)</f>
        <v/>
      </c>
      <c r="D4131" s="66" t="str">
        <f>IF(Seventeenth!D134="", "",Seventeenth!D134)</f>
        <v/>
      </c>
      <c r="E4131" s="66" t="str">
        <f>IF(Seventeenth!E134="", "",Seventeenth!E134)</f>
        <v/>
      </c>
      <c r="F4131" s="66" t="str">
        <f>IF(Seventeenth!F134="", "",Seventeenth!F134)</f>
        <v/>
      </c>
      <c r="G4131" s="66" t="str">
        <f>IF(Seventeenth!G134="", "",Seventeenth!G134)</f>
        <v/>
      </c>
      <c r="H4131" s="66" t="str">
        <f>IF(Seventeenth!H134="", "",Seventeenth!H134)</f>
        <v/>
      </c>
      <c r="I4131" s="66" t="str">
        <f>IF(Seventeenth!I134="", "",Seventeenth!I134)</f>
        <v/>
      </c>
      <c r="J4131" s="66" t="str">
        <f>IF(Seventeenth!J134="", "",Seventeenth!J134)</f>
        <v/>
      </c>
      <c r="K4131" s="86" t="str">
        <f>IF(Seventeenth!K134="", "",Seventeenth!K134)</f>
        <v/>
      </c>
      <c r="M4131" s="67" t="str">
        <f t="shared" si="194"/>
        <v/>
      </c>
      <c r="N4131" s="76" t="str">
        <f t="shared" si="195"/>
        <v/>
      </c>
      <c r="O4131" s="33">
        <f t="shared" si="193"/>
        <v>0</v>
      </c>
    </row>
    <row r="4132" spans="1:15" x14ac:dyDescent="0.25">
      <c r="A4132" s="64" t="s">
        <v>188</v>
      </c>
      <c r="B4132" s="79" t="str">
        <f>IF(Seventeenth!B135="", "",Seventeenth!B135)</f>
        <v/>
      </c>
      <c r="C4132" s="66" t="str">
        <f>IF(Seventeenth!C135="", "",Seventeenth!C135)</f>
        <v/>
      </c>
      <c r="D4132" s="66" t="str">
        <f>IF(Seventeenth!D135="", "",Seventeenth!D135)</f>
        <v/>
      </c>
      <c r="E4132" s="66" t="str">
        <f>IF(Seventeenth!E135="", "",Seventeenth!E135)</f>
        <v/>
      </c>
      <c r="F4132" s="66" t="str">
        <f>IF(Seventeenth!F135="", "",Seventeenth!F135)</f>
        <v/>
      </c>
      <c r="G4132" s="66" t="str">
        <f>IF(Seventeenth!G135="", "",Seventeenth!G135)</f>
        <v/>
      </c>
      <c r="H4132" s="66" t="str">
        <f>IF(Seventeenth!H135="", "",Seventeenth!H135)</f>
        <v/>
      </c>
      <c r="I4132" s="66" t="str">
        <f>IF(Seventeenth!I135="", "",Seventeenth!I135)</f>
        <v/>
      </c>
      <c r="J4132" s="66" t="str">
        <f>IF(Seventeenth!J135="", "",Seventeenth!J135)</f>
        <v/>
      </c>
      <c r="K4132" s="86" t="str">
        <f>IF(Seventeenth!K135="", "",Seventeenth!K135)</f>
        <v/>
      </c>
      <c r="M4132" s="67" t="str">
        <f t="shared" si="194"/>
        <v/>
      </c>
      <c r="N4132" s="76" t="str">
        <f t="shared" si="195"/>
        <v/>
      </c>
      <c r="O4132" s="33">
        <f t="shared" si="193"/>
        <v>0</v>
      </c>
    </row>
    <row r="4133" spans="1:15" x14ac:dyDescent="0.25">
      <c r="A4133" s="64" t="s">
        <v>188</v>
      </c>
      <c r="B4133" s="79" t="str">
        <f>IF(Seventeenth!B136="", "",Seventeenth!B136)</f>
        <v/>
      </c>
      <c r="C4133" s="66" t="str">
        <f>IF(Seventeenth!C136="", "",Seventeenth!C136)</f>
        <v/>
      </c>
      <c r="D4133" s="66" t="str">
        <f>IF(Seventeenth!D136="", "",Seventeenth!D136)</f>
        <v/>
      </c>
      <c r="E4133" s="66" t="str">
        <f>IF(Seventeenth!E136="", "",Seventeenth!E136)</f>
        <v/>
      </c>
      <c r="F4133" s="66" t="str">
        <f>IF(Seventeenth!F136="", "",Seventeenth!F136)</f>
        <v/>
      </c>
      <c r="G4133" s="66" t="str">
        <f>IF(Seventeenth!G136="", "",Seventeenth!G136)</f>
        <v/>
      </c>
      <c r="H4133" s="66" t="str">
        <f>IF(Seventeenth!H136="", "",Seventeenth!H136)</f>
        <v/>
      </c>
      <c r="I4133" s="66" t="str">
        <f>IF(Seventeenth!I136="", "",Seventeenth!I136)</f>
        <v/>
      </c>
      <c r="J4133" s="66" t="str">
        <f>IF(Seventeenth!J136="", "",Seventeenth!J136)</f>
        <v/>
      </c>
      <c r="K4133" s="86" t="str">
        <f>IF(Seventeenth!K136="", "",Seventeenth!K136)</f>
        <v/>
      </c>
      <c r="M4133" s="67" t="str">
        <f t="shared" si="194"/>
        <v/>
      </c>
      <c r="N4133" s="76" t="str">
        <f t="shared" si="195"/>
        <v/>
      </c>
      <c r="O4133" s="33">
        <f t="shared" si="193"/>
        <v>0</v>
      </c>
    </row>
    <row r="4134" spans="1:15" x14ac:dyDescent="0.25">
      <c r="A4134" s="64" t="s">
        <v>188</v>
      </c>
      <c r="B4134" s="79" t="str">
        <f>IF(Seventeenth!B137="", "",Seventeenth!B137)</f>
        <v/>
      </c>
      <c r="C4134" s="66" t="str">
        <f>IF(Seventeenth!C137="", "",Seventeenth!C137)</f>
        <v/>
      </c>
      <c r="D4134" s="66" t="str">
        <f>IF(Seventeenth!D137="", "",Seventeenth!D137)</f>
        <v/>
      </c>
      <c r="E4134" s="66" t="str">
        <f>IF(Seventeenth!E137="", "",Seventeenth!E137)</f>
        <v/>
      </c>
      <c r="F4134" s="66" t="str">
        <f>IF(Seventeenth!F137="", "",Seventeenth!F137)</f>
        <v/>
      </c>
      <c r="G4134" s="66" t="str">
        <f>IF(Seventeenth!G137="", "",Seventeenth!G137)</f>
        <v/>
      </c>
      <c r="H4134" s="66" t="str">
        <f>IF(Seventeenth!H137="", "",Seventeenth!H137)</f>
        <v/>
      </c>
      <c r="I4134" s="66" t="str">
        <f>IF(Seventeenth!I137="", "",Seventeenth!I137)</f>
        <v/>
      </c>
      <c r="J4134" s="66" t="str">
        <f>IF(Seventeenth!J137="", "",Seventeenth!J137)</f>
        <v/>
      </c>
      <c r="K4134" s="86" t="str">
        <f>IF(Seventeenth!K137="", "",Seventeenth!K137)</f>
        <v/>
      </c>
      <c r="M4134" s="67" t="str">
        <f t="shared" si="194"/>
        <v/>
      </c>
      <c r="N4134" s="76" t="str">
        <f t="shared" si="195"/>
        <v/>
      </c>
      <c r="O4134" s="33">
        <f t="shared" si="193"/>
        <v>0</v>
      </c>
    </row>
    <row r="4135" spans="1:15" x14ac:dyDescent="0.25">
      <c r="A4135" s="64" t="s">
        <v>188</v>
      </c>
      <c r="B4135" s="79" t="str">
        <f>IF(Seventeenth!B138="", "",Seventeenth!B138)</f>
        <v/>
      </c>
      <c r="C4135" s="66" t="str">
        <f>IF(Seventeenth!C138="", "",Seventeenth!C138)</f>
        <v/>
      </c>
      <c r="D4135" s="66" t="str">
        <f>IF(Seventeenth!D138="", "",Seventeenth!D138)</f>
        <v/>
      </c>
      <c r="E4135" s="66" t="str">
        <f>IF(Seventeenth!E138="", "",Seventeenth!E138)</f>
        <v/>
      </c>
      <c r="F4135" s="66" t="str">
        <f>IF(Seventeenth!F138="", "",Seventeenth!F138)</f>
        <v/>
      </c>
      <c r="G4135" s="66" t="str">
        <f>IF(Seventeenth!G138="", "",Seventeenth!G138)</f>
        <v/>
      </c>
      <c r="H4135" s="66" t="str">
        <f>IF(Seventeenth!H138="", "",Seventeenth!H138)</f>
        <v/>
      </c>
      <c r="I4135" s="66" t="str">
        <f>IF(Seventeenth!I138="", "",Seventeenth!I138)</f>
        <v/>
      </c>
      <c r="J4135" s="66" t="str">
        <f>IF(Seventeenth!J138="", "",Seventeenth!J138)</f>
        <v/>
      </c>
      <c r="K4135" s="86" t="str">
        <f>IF(Seventeenth!K138="", "",Seventeenth!K138)</f>
        <v/>
      </c>
      <c r="M4135" s="67" t="str">
        <f t="shared" si="194"/>
        <v/>
      </c>
      <c r="N4135" s="76" t="str">
        <f t="shared" si="195"/>
        <v/>
      </c>
      <c r="O4135" s="33">
        <f t="shared" si="193"/>
        <v>0</v>
      </c>
    </row>
    <row r="4136" spans="1:15" x14ac:dyDescent="0.25">
      <c r="A4136" s="64" t="s">
        <v>188</v>
      </c>
      <c r="B4136" s="79" t="str">
        <f>IF(Seventeenth!B139="", "",Seventeenth!B139)</f>
        <v/>
      </c>
      <c r="C4136" s="66" t="str">
        <f>IF(Seventeenth!C139="", "",Seventeenth!C139)</f>
        <v/>
      </c>
      <c r="D4136" s="66" t="str">
        <f>IF(Seventeenth!D139="", "",Seventeenth!D139)</f>
        <v/>
      </c>
      <c r="E4136" s="66" t="str">
        <f>IF(Seventeenth!E139="", "",Seventeenth!E139)</f>
        <v/>
      </c>
      <c r="F4136" s="66" t="str">
        <f>IF(Seventeenth!F139="", "",Seventeenth!F139)</f>
        <v/>
      </c>
      <c r="G4136" s="66" t="str">
        <f>IF(Seventeenth!G139="", "",Seventeenth!G139)</f>
        <v/>
      </c>
      <c r="H4136" s="66" t="str">
        <f>IF(Seventeenth!H139="", "",Seventeenth!H139)</f>
        <v/>
      </c>
      <c r="I4136" s="66" t="str">
        <f>IF(Seventeenth!I139="", "",Seventeenth!I139)</f>
        <v/>
      </c>
      <c r="J4136" s="66" t="str">
        <f>IF(Seventeenth!J139="", "",Seventeenth!J139)</f>
        <v/>
      </c>
      <c r="K4136" s="86" t="str">
        <f>IF(Seventeenth!K139="", "",Seventeenth!K139)</f>
        <v/>
      </c>
      <c r="M4136" s="67" t="str">
        <f t="shared" si="194"/>
        <v/>
      </c>
      <c r="N4136" s="76" t="str">
        <f t="shared" si="195"/>
        <v/>
      </c>
      <c r="O4136" s="33">
        <f t="shared" si="193"/>
        <v>0</v>
      </c>
    </row>
    <row r="4137" spans="1:15" x14ac:dyDescent="0.25">
      <c r="A4137" s="64" t="s">
        <v>188</v>
      </c>
      <c r="B4137" s="79" t="str">
        <f>IF(Seventeenth!B140="", "",Seventeenth!B140)</f>
        <v/>
      </c>
      <c r="C4137" s="66" t="str">
        <f>IF(Seventeenth!C140="", "",Seventeenth!C140)</f>
        <v/>
      </c>
      <c r="D4137" s="66" t="str">
        <f>IF(Seventeenth!D140="", "",Seventeenth!D140)</f>
        <v/>
      </c>
      <c r="E4137" s="66" t="str">
        <f>IF(Seventeenth!E140="", "",Seventeenth!E140)</f>
        <v/>
      </c>
      <c r="F4137" s="66" t="str">
        <f>IF(Seventeenth!F140="", "",Seventeenth!F140)</f>
        <v/>
      </c>
      <c r="G4137" s="66" t="str">
        <f>IF(Seventeenth!G140="", "",Seventeenth!G140)</f>
        <v/>
      </c>
      <c r="H4137" s="66" t="str">
        <f>IF(Seventeenth!H140="", "",Seventeenth!H140)</f>
        <v/>
      </c>
      <c r="I4137" s="66" t="str">
        <f>IF(Seventeenth!I140="", "",Seventeenth!I140)</f>
        <v/>
      </c>
      <c r="J4137" s="66" t="str">
        <f>IF(Seventeenth!J140="", "",Seventeenth!J140)</f>
        <v/>
      </c>
      <c r="K4137" s="86" t="str">
        <f>IF(Seventeenth!K140="", "",Seventeenth!K140)</f>
        <v/>
      </c>
      <c r="M4137" s="67" t="str">
        <f t="shared" si="194"/>
        <v/>
      </c>
      <c r="N4137" s="76" t="str">
        <f t="shared" si="195"/>
        <v/>
      </c>
      <c r="O4137" s="33">
        <f t="shared" si="193"/>
        <v>0</v>
      </c>
    </row>
    <row r="4138" spans="1:15" x14ac:dyDescent="0.25">
      <c r="A4138" s="64" t="s">
        <v>188</v>
      </c>
      <c r="B4138" s="79" t="str">
        <f>IF(Seventeenth!B141="", "",Seventeenth!B141)</f>
        <v/>
      </c>
      <c r="C4138" s="66" t="str">
        <f>IF(Seventeenth!C141="", "",Seventeenth!C141)</f>
        <v/>
      </c>
      <c r="D4138" s="66" t="str">
        <f>IF(Seventeenth!D141="", "",Seventeenth!D141)</f>
        <v/>
      </c>
      <c r="E4138" s="66" t="str">
        <f>IF(Seventeenth!E141="", "",Seventeenth!E141)</f>
        <v/>
      </c>
      <c r="F4138" s="66" t="str">
        <f>IF(Seventeenth!F141="", "",Seventeenth!F141)</f>
        <v/>
      </c>
      <c r="G4138" s="66" t="str">
        <f>IF(Seventeenth!G141="", "",Seventeenth!G141)</f>
        <v/>
      </c>
      <c r="H4138" s="66" t="str">
        <f>IF(Seventeenth!H141="", "",Seventeenth!H141)</f>
        <v/>
      </c>
      <c r="I4138" s="66" t="str">
        <f>IF(Seventeenth!I141="", "",Seventeenth!I141)</f>
        <v/>
      </c>
      <c r="J4138" s="66" t="str">
        <f>IF(Seventeenth!J141="", "",Seventeenth!J141)</f>
        <v/>
      </c>
      <c r="K4138" s="86" t="str">
        <f>IF(Seventeenth!K141="", "",Seventeenth!K141)</f>
        <v/>
      </c>
      <c r="M4138" s="67" t="str">
        <f t="shared" si="194"/>
        <v/>
      </c>
      <c r="N4138" s="76" t="str">
        <f t="shared" si="195"/>
        <v/>
      </c>
      <c r="O4138" s="33">
        <f t="shared" si="193"/>
        <v>0</v>
      </c>
    </row>
    <row r="4139" spans="1:15" x14ac:dyDescent="0.25">
      <c r="A4139" s="64" t="s">
        <v>188</v>
      </c>
      <c r="B4139" s="79" t="str">
        <f>IF(Seventeenth!B142="", "",Seventeenth!B142)</f>
        <v/>
      </c>
      <c r="C4139" s="66" t="str">
        <f>IF(Seventeenth!C142="", "",Seventeenth!C142)</f>
        <v/>
      </c>
      <c r="D4139" s="66" t="str">
        <f>IF(Seventeenth!D142="", "",Seventeenth!D142)</f>
        <v/>
      </c>
      <c r="E4139" s="66" t="str">
        <f>IF(Seventeenth!E142="", "",Seventeenth!E142)</f>
        <v/>
      </c>
      <c r="F4139" s="66" t="str">
        <f>IF(Seventeenth!F142="", "",Seventeenth!F142)</f>
        <v/>
      </c>
      <c r="G4139" s="66" t="str">
        <f>IF(Seventeenth!G142="", "",Seventeenth!G142)</f>
        <v/>
      </c>
      <c r="H4139" s="66" t="str">
        <f>IF(Seventeenth!H142="", "",Seventeenth!H142)</f>
        <v/>
      </c>
      <c r="I4139" s="66" t="str">
        <f>IF(Seventeenth!I142="", "",Seventeenth!I142)</f>
        <v/>
      </c>
      <c r="J4139" s="66" t="str">
        <f>IF(Seventeenth!J142="", "",Seventeenth!J142)</f>
        <v/>
      </c>
      <c r="K4139" s="86" t="str">
        <f>IF(Seventeenth!K142="", "",Seventeenth!K142)</f>
        <v/>
      </c>
      <c r="M4139" s="67" t="str">
        <f t="shared" si="194"/>
        <v/>
      </c>
      <c r="N4139" s="76" t="str">
        <f t="shared" si="195"/>
        <v/>
      </c>
      <c r="O4139" s="33">
        <f t="shared" si="193"/>
        <v>0</v>
      </c>
    </row>
    <row r="4140" spans="1:15" x14ac:dyDescent="0.25">
      <c r="A4140" s="64" t="s">
        <v>188</v>
      </c>
      <c r="B4140" s="79" t="str">
        <f>IF(Seventeenth!B143="", "",Seventeenth!B143)</f>
        <v/>
      </c>
      <c r="C4140" s="66" t="str">
        <f>IF(Seventeenth!C143="", "",Seventeenth!C143)</f>
        <v/>
      </c>
      <c r="D4140" s="66" t="str">
        <f>IF(Seventeenth!D143="", "",Seventeenth!D143)</f>
        <v/>
      </c>
      <c r="E4140" s="66" t="str">
        <f>IF(Seventeenth!E143="", "",Seventeenth!E143)</f>
        <v/>
      </c>
      <c r="F4140" s="66" t="str">
        <f>IF(Seventeenth!F143="", "",Seventeenth!F143)</f>
        <v/>
      </c>
      <c r="G4140" s="66" t="str">
        <f>IF(Seventeenth!G143="", "",Seventeenth!G143)</f>
        <v/>
      </c>
      <c r="H4140" s="66" t="str">
        <f>IF(Seventeenth!H143="", "",Seventeenth!H143)</f>
        <v/>
      </c>
      <c r="I4140" s="66" t="str">
        <f>IF(Seventeenth!I143="", "",Seventeenth!I143)</f>
        <v/>
      </c>
      <c r="J4140" s="66" t="str">
        <f>IF(Seventeenth!J143="", "",Seventeenth!J143)</f>
        <v/>
      </c>
      <c r="K4140" s="86" t="str">
        <f>IF(Seventeenth!K143="", "",Seventeenth!K143)</f>
        <v/>
      </c>
      <c r="M4140" s="67" t="str">
        <f t="shared" si="194"/>
        <v/>
      </c>
      <c r="N4140" s="76" t="str">
        <f t="shared" si="195"/>
        <v/>
      </c>
      <c r="O4140" s="33">
        <f t="shared" si="193"/>
        <v>0</v>
      </c>
    </row>
    <row r="4141" spans="1:15" x14ac:dyDescent="0.25">
      <c r="A4141" s="64" t="s">
        <v>188</v>
      </c>
      <c r="B4141" s="79" t="str">
        <f>IF(Seventeenth!B144="", "",Seventeenth!B144)</f>
        <v/>
      </c>
      <c r="C4141" s="66" t="str">
        <f>IF(Seventeenth!C144="", "",Seventeenth!C144)</f>
        <v/>
      </c>
      <c r="D4141" s="66" t="str">
        <f>IF(Seventeenth!D144="", "",Seventeenth!D144)</f>
        <v/>
      </c>
      <c r="E4141" s="66" t="str">
        <f>IF(Seventeenth!E144="", "",Seventeenth!E144)</f>
        <v/>
      </c>
      <c r="F4141" s="66" t="str">
        <f>IF(Seventeenth!F144="", "",Seventeenth!F144)</f>
        <v/>
      </c>
      <c r="G4141" s="66" t="str">
        <f>IF(Seventeenth!G144="", "",Seventeenth!G144)</f>
        <v/>
      </c>
      <c r="H4141" s="66" t="str">
        <f>IF(Seventeenth!H144="", "",Seventeenth!H144)</f>
        <v/>
      </c>
      <c r="I4141" s="66" t="str">
        <f>IF(Seventeenth!I144="", "",Seventeenth!I144)</f>
        <v/>
      </c>
      <c r="J4141" s="66" t="str">
        <f>IF(Seventeenth!J144="", "",Seventeenth!J144)</f>
        <v/>
      </c>
      <c r="K4141" s="86" t="str">
        <f>IF(Seventeenth!K144="", "",Seventeenth!K144)</f>
        <v/>
      </c>
      <c r="M4141" s="67" t="str">
        <f t="shared" si="194"/>
        <v/>
      </c>
      <c r="N4141" s="76" t="str">
        <f t="shared" si="195"/>
        <v/>
      </c>
      <c r="O4141" s="33">
        <f t="shared" si="193"/>
        <v>0</v>
      </c>
    </row>
    <row r="4142" spans="1:15" x14ac:dyDescent="0.25">
      <c r="A4142" s="64" t="s">
        <v>188</v>
      </c>
      <c r="B4142" s="79" t="str">
        <f>IF(Seventeenth!B145="", "",Seventeenth!B145)</f>
        <v/>
      </c>
      <c r="C4142" s="66" t="str">
        <f>IF(Seventeenth!C145="", "",Seventeenth!C145)</f>
        <v/>
      </c>
      <c r="D4142" s="66" t="str">
        <f>IF(Seventeenth!D145="", "",Seventeenth!D145)</f>
        <v/>
      </c>
      <c r="E4142" s="66" t="str">
        <f>IF(Seventeenth!E145="", "",Seventeenth!E145)</f>
        <v/>
      </c>
      <c r="F4142" s="66" t="str">
        <f>IF(Seventeenth!F145="", "",Seventeenth!F145)</f>
        <v/>
      </c>
      <c r="G4142" s="66" t="str">
        <f>IF(Seventeenth!G145="", "",Seventeenth!G145)</f>
        <v/>
      </c>
      <c r="H4142" s="66" t="str">
        <f>IF(Seventeenth!H145="", "",Seventeenth!H145)</f>
        <v/>
      </c>
      <c r="I4142" s="66" t="str">
        <f>IF(Seventeenth!I145="", "",Seventeenth!I145)</f>
        <v/>
      </c>
      <c r="J4142" s="66" t="str">
        <f>IF(Seventeenth!J145="", "",Seventeenth!J145)</f>
        <v/>
      </c>
      <c r="K4142" s="86" t="str">
        <f>IF(Seventeenth!K145="", "",Seventeenth!K145)</f>
        <v/>
      </c>
      <c r="M4142" s="67" t="str">
        <f t="shared" si="194"/>
        <v/>
      </c>
      <c r="N4142" s="76" t="str">
        <f t="shared" si="195"/>
        <v/>
      </c>
      <c r="O4142" s="33">
        <f t="shared" si="193"/>
        <v>0</v>
      </c>
    </row>
    <row r="4143" spans="1:15" x14ac:dyDescent="0.25">
      <c r="A4143" s="64" t="s">
        <v>188</v>
      </c>
      <c r="B4143" s="79" t="str">
        <f>IF(Seventeenth!B146="", "",Seventeenth!B146)</f>
        <v/>
      </c>
      <c r="C4143" s="66" t="str">
        <f>IF(Seventeenth!C146="", "",Seventeenth!C146)</f>
        <v/>
      </c>
      <c r="D4143" s="66" t="str">
        <f>IF(Seventeenth!D146="", "",Seventeenth!D146)</f>
        <v/>
      </c>
      <c r="E4143" s="66" t="str">
        <f>IF(Seventeenth!E146="", "",Seventeenth!E146)</f>
        <v/>
      </c>
      <c r="F4143" s="66" t="str">
        <f>IF(Seventeenth!F146="", "",Seventeenth!F146)</f>
        <v/>
      </c>
      <c r="G4143" s="66" t="str">
        <f>IF(Seventeenth!G146="", "",Seventeenth!G146)</f>
        <v/>
      </c>
      <c r="H4143" s="66" t="str">
        <f>IF(Seventeenth!H146="", "",Seventeenth!H146)</f>
        <v/>
      </c>
      <c r="I4143" s="66" t="str">
        <f>IF(Seventeenth!I146="", "",Seventeenth!I146)</f>
        <v/>
      </c>
      <c r="J4143" s="66" t="str">
        <f>IF(Seventeenth!J146="", "",Seventeenth!J146)</f>
        <v/>
      </c>
      <c r="K4143" s="86" t="str">
        <f>IF(Seventeenth!K146="", "",Seventeenth!K146)</f>
        <v/>
      </c>
      <c r="M4143" s="67" t="str">
        <f t="shared" si="194"/>
        <v/>
      </c>
      <c r="N4143" s="76" t="str">
        <f t="shared" si="195"/>
        <v/>
      </c>
      <c r="O4143" s="33">
        <f t="shared" si="193"/>
        <v>0</v>
      </c>
    </row>
    <row r="4144" spans="1:15" x14ac:dyDescent="0.25">
      <c r="A4144" s="64" t="s">
        <v>188</v>
      </c>
      <c r="B4144" s="79" t="str">
        <f>IF(Seventeenth!B147="", "",Seventeenth!B147)</f>
        <v/>
      </c>
      <c r="C4144" s="66" t="str">
        <f>IF(Seventeenth!C147="", "",Seventeenth!C147)</f>
        <v/>
      </c>
      <c r="D4144" s="66" t="str">
        <f>IF(Seventeenth!D147="", "",Seventeenth!D147)</f>
        <v/>
      </c>
      <c r="E4144" s="66" t="str">
        <f>IF(Seventeenth!E147="", "",Seventeenth!E147)</f>
        <v/>
      </c>
      <c r="F4144" s="66" t="str">
        <f>IF(Seventeenth!F147="", "",Seventeenth!F147)</f>
        <v/>
      </c>
      <c r="G4144" s="66" t="str">
        <f>IF(Seventeenth!G147="", "",Seventeenth!G147)</f>
        <v/>
      </c>
      <c r="H4144" s="66" t="str">
        <f>IF(Seventeenth!H147="", "",Seventeenth!H147)</f>
        <v/>
      </c>
      <c r="I4144" s="66" t="str">
        <f>IF(Seventeenth!I147="", "",Seventeenth!I147)</f>
        <v/>
      </c>
      <c r="J4144" s="66" t="str">
        <f>IF(Seventeenth!J147="", "",Seventeenth!J147)</f>
        <v/>
      </c>
      <c r="K4144" s="86" t="str">
        <f>IF(Seventeenth!K147="", "",Seventeenth!K147)</f>
        <v/>
      </c>
      <c r="M4144" s="67" t="str">
        <f t="shared" si="194"/>
        <v/>
      </c>
      <c r="N4144" s="76" t="str">
        <f t="shared" si="195"/>
        <v/>
      </c>
      <c r="O4144" s="33">
        <f t="shared" si="193"/>
        <v>0</v>
      </c>
    </row>
    <row r="4145" spans="1:15" x14ac:dyDescent="0.25">
      <c r="A4145" s="64" t="s">
        <v>188</v>
      </c>
      <c r="B4145" s="79" t="str">
        <f>IF(Seventeenth!B148="", "",Seventeenth!B148)</f>
        <v/>
      </c>
      <c r="C4145" s="66" t="str">
        <f>IF(Seventeenth!C148="", "",Seventeenth!C148)</f>
        <v/>
      </c>
      <c r="D4145" s="66" t="str">
        <f>IF(Seventeenth!D148="", "",Seventeenth!D148)</f>
        <v/>
      </c>
      <c r="E4145" s="66" t="str">
        <f>IF(Seventeenth!E148="", "",Seventeenth!E148)</f>
        <v/>
      </c>
      <c r="F4145" s="66" t="str">
        <f>IF(Seventeenth!F148="", "",Seventeenth!F148)</f>
        <v/>
      </c>
      <c r="G4145" s="66" t="str">
        <f>IF(Seventeenth!G148="", "",Seventeenth!G148)</f>
        <v/>
      </c>
      <c r="H4145" s="66" t="str">
        <f>IF(Seventeenth!H148="", "",Seventeenth!H148)</f>
        <v/>
      </c>
      <c r="I4145" s="66" t="str">
        <f>IF(Seventeenth!I148="", "",Seventeenth!I148)</f>
        <v/>
      </c>
      <c r="J4145" s="66" t="str">
        <f>IF(Seventeenth!J148="", "",Seventeenth!J148)</f>
        <v/>
      </c>
      <c r="K4145" s="86" t="str">
        <f>IF(Seventeenth!K148="", "",Seventeenth!K148)</f>
        <v/>
      </c>
      <c r="M4145" s="67" t="str">
        <f t="shared" si="194"/>
        <v/>
      </c>
      <c r="N4145" s="76" t="str">
        <f t="shared" si="195"/>
        <v/>
      </c>
      <c r="O4145" s="33">
        <f t="shared" si="193"/>
        <v>0</v>
      </c>
    </row>
    <row r="4146" spans="1:15" x14ac:dyDescent="0.25">
      <c r="A4146" s="64" t="s">
        <v>188</v>
      </c>
      <c r="B4146" s="79" t="str">
        <f>IF(Seventeenth!B149="", "",Seventeenth!B149)</f>
        <v/>
      </c>
      <c r="C4146" s="66" t="str">
        <f>IF(Seventeenth!C149="", "",Seventeenth!C149)</f>
        <v/>
      </c>
      <c r="D4146" s="66" t="str">
        <f>IF(Seventeenth!D149="", "",Seventeenth!D149)</f>
        <v/>
      </c>
      <c r="E4146" s="66" t="str">
        <f>IF(Seventeenth!E149="", "",Seventeenth!E149)</f>
        <v/>
      </c>
      <c r="F4146" s="66" t="str">
        <f>IF(Seventeenth!F149="", "",Seventeenth!F149)</f>
        <v/>
      </c>
      <c r="G4146" s="66" t="str">
        <f>IF(Seventeenth!G149="", "",Seventeenth!G149)</f>
        <v/>
      </c>
      <c r="H4146" s="66" t="str">
        <f>IF(Seventeenth!H149="", "",Seventeenth!H149)</f>
        <v/>
      </c>
      <c r="I4146" s="66" t="str">
        <f>IF(Seventeenth!I149="", "",Seventeenth!I149)</f>
        <v/>
      </c>
      <c r="J4146" s="66" t="str">
        <f>IF(Seventeenth!J149="", "",Seventeenth!J149)</f>
        <v/>
      </c>
      <c r="K4146" s="86" t="str">
        <f>IF(Seventeenth!K149="", "",Seventeenth!K149)</f>
        <v/>
      </c>
      <c r="M4146" s="67" t="str">
        <f t="shared" si="194"/>
        <v/>
      </c>
      <c r="N4146" s="76" t="str">
        <f t="shared" si="195"/>
        <v/>
      </c>
      <c r="O4146" s="33">
        <f t="shared" si="193"/>
        <v>0</v>
      </c>
    </row>
    <row r="4147" spans="1:15" x14ac:dyDescent="0.25">
      <c r="A4147" s="64" t="s">
        <v>188</v>
      </c>
      <c r="B4147" s="79" t="str">
        <f>IF(Seventeenth!B150="", "",Seventeenth!B150)</f>
        <v/>
      </c>
      <c r="C4147" s="66" t="str">
        <f>IF(Seventeenth!C150="", "",Seventeenth!C150)</f>
        <v/>
      </c>
      <c r="D4147" s="66" t="str">
        <f>IF(Seventeenth!D150="", "",Seventeenth!D150)</f>
        <v/>
      </c>
      <c r="E4147" s="66" t="str">
        <f>IF(Seventeenth!E150="", "",Seventeenth!E150)</f>
        <v/>
      </c>
      <c r="F4147" s="66" t="str">
        <f>IF(Seventeenth!F150="", "",Seventeenth!F150)</f>
        <v/>
      </c>
      <c r="G4147" s="66" t="str">
        <f>IF(Seventeenth!G150="", "",Seventeenth!G150)</f>
        <v/>
      </c>
      <c r="H4147" s="66" t="str">
        <f>IF(Seventeenth!H150="", "",Seventeenth!H150)</f>
        <v/>
      </c>
      <c r="I4147" s="66" t="str">
        <f>IF(Seventeenth!I150="", "",Seventeenth!I150)</f>
        <v/>
      </c>
      <c r="J4147" s="66" t="str">
        <f>IF(Seventeenth!J150="", "",Seventeenth!J150)</f>
        <v/>
      </c>
      <c r="K4147" s="86" t="str">
        <f>IF(Seventeenth!K150="", "",Seventeenth!K150)</f>
        <v/>
      </c>
      <c r="M4147" s="67" t="str">
        <f t="shared" si="194"/>
        <v/>
      </c>
      <c r="N4147" s="76" t="str">
        <f t="shared" si="195"/>
        <v/>
      </c>
      <c r="O4147" s="33">
        <f t="shared" si="193"/>
        <v>0</v>
      </c>
    </row>
    <row r="4148" spans="1:15" x14ac:dyDescent="0.25">
      <c r="A4148" s="64" t="s">
        <v>188</v>
      </c>
      <c r="B4148" s="79" t="str">
        <f>IF(Seventeenth!B151="", "",Seventeenth!B151)</f>
        <v/>
      </c>
      <c r="C4148" s="66" t="str">
        <f>IF(Seventeenth!C151="", "",Seventeenth!C151)</f>
        <v/>
      </c>
      <c r="D4148" s="66" t="str">
        <f>IF(Seventeenth!D151="", "",Seventeenth!D151)</f>
        <v/>
      </c>
      <c r="E4148" s="66" t="str">
        <f>IF(Seventeenth!E151="", "",Seventeenth!E151)</f>
        <v/>
      </c>
      <c r="F4148" s="66" t="str">
        <f>IF(Seventeenth!F151="", "",Seventeenth!F151)</f>
        <v/>
      </c>
      <c r="G4148" s="66" t="str">
        <f>IF(Seventeenth!G151="", "",Seventeenth!G151)</f>
        <v/>
      </c>
      <c r="H4148" s="66" t="str">
        <f>IF(Seventeenth!H151="", "",Seventeenth!H151)</f>
        <v/>
      </c>
      <c r="I4148" s="66" t="str">
        <f>IF(Seventeenth!I151="", "",Seventeenth!I151)</f>
        <v/>
      </c>
      <c r="J4148" s="66" t="str">
        <f>IF(Seventeenth!J151="", "",Seventeenth!J151)</f>
        <v/>
      </c>
      <c r="K4148" s="86" t="str">
        <f>IF(Seventeenth!K151="", "",Seventeenth!K151)</f>
        <v/>
      </c>
      <c r="M4148" s="67" t="str">
        <f t="shared" si="194"/>
        <v/>
      </c>
      <c r="N4148" s="76" t="str">
        <f t="shared" si="195"/>
        <v/>
      </c>
      <c r="O4148" s="33">
        <f t="shared" si="193"/>
        <v>0</v>
      </c>
    </row>
    <row r="4149" spans="1:15" x14ac:dyDescent="0.25">
      <c r="A4149" s="64" t="s">
        <v>188</v>
      </c>
      <c r="B4149" s="79" t="str">
        <f>IF(Seventeenth!B152="", "",Seventeenth!B152)</f>
        <v/>
      </c>
      <c r="C4149" s="66" t="str">
        <f>IF(Seventeenth!C152="", "",Seventeenth!C152)</f>
        <v/>
      </c>
      <c r="D4149" s="66" t="str">
        <f>IF(Seventeenth!D152="", "",Seventeenth!D152)</f>
        <v/>
      </c>
      <c r="E4149" s="66" t="str">
        <f>IF(Seventeenth!E152="", "",Seventeenth!E152)</f>
        <v/>
      </c>
      <c r="F4149" s="66" t="str">
        <f>IF(Seventeenth!F152="", "",Seventeenth!F152)</f>
        <v/>
      </c>
      <c r="G4149" s="66" t="str">
        <f>IF(Seventeenth!G152="", "",Seventeenth!G152)</f>
        <v/>
      </c>
      <c r="H4149" s="66" t="str">
        <f>IF(Seventeenth!H152="", "",Seventeenth!H152)</f>
        <v/>
      </c>
      <c r="I4149" s="66" t="str">
        <f>IF(Seventeenth!I152="", "",Seventeenth!I152)</f>
        <v/>
      </c>
      <c r="J4149" s="66" t="str">
        <f>IF(Seventeenth!J152="", "",Seventeenth!J152)</f>
        <v/>
      </c>
      <c r="K4149" s="86" t="str">
        <f>IF(Seventeenth!K152="", "",Seventeenth!K152)</f>
        <v/>
      </c>
      <c r="M4149" s="67" t="str">
        <f t="shared" si="194"/>
        <v/>
      </c>
      <c r="N4149" s="76" t="str">
        <f t="shared" si="195"/>
        <v/>
      </c>
      <c r="O4149" s="33">
        <f t="shared" si="193"/>
        <v>0</v>
      </c>
    </row>
    <row r="4150" spans="1:15" x14ac:dyDescent="0.25">
      <c r="A4150" s="64" t="s">
        <v>188</v>
      </c>
      <c r="B4150" s="79" t="str">
        <f>IF(Seventeenth!B153="", "",Seventeenth!B153)</f>
        <v/>
      </c>
      <c r="C4150" s="66" t="str">
        <f>IF(Seventeenth!C153="", "",Seventeenth!C153)</f>
        <v/>
      </c>
      <c r="D4150" s="66" t="str">
        <f>IF(Seventeenth!D153="", "",Seventeenth!D153)</f>
        <v/>
      </c>
      <c r="E4150" s="66" t="str">
        <f>IF(Seventeenth!E153="", "",Seventeenth!E153)</f>
        <v/>
      </c>
      <c r="F4150" s="66" t="str">
        <f>IF(Seventeenth!F153="", "",Seventeenth!F153)</f>
        <v/>
      </c>
      <c r="G4150" s="66" t="str">
        <f>IF(Seventeenth!G153="", "",Seventeenth!G153)</f>
        <v/>
      </c>
      <c r="H4150" s="66" t="str">
        <f>IF(Seventeenth!H153="", "",Seventeenth!H153)</f>
        <v/>
      </c>
      <c r="I4150" s="66" t="str">
        <f>IF(Seventeenth!I153="", "",Seventeenth!I153)</f>
        <v/>
      </c>
      <c r="J4150" s="66" t="str">
        <f>IF(Seventeenth!J153="", "",Seventeenth!J153)</f>
        <v/>
      </c>
      <c r="K4150" s="86" t="str">
        <f>IF(Seventeenth!K153="", "",Seventeenth!K153)</f>
        <v/>
      </c>
      <c r="M4150" s="67" t="str">
        <f t="shared" si="194"/>
        <v/>
      </c>
      <c r="N4150" s="76" t="str">
        <f t="shared" si="195"/>
        <v/>
      </c>
      <c r="O4150" s="33">
        <f t="shared" si="193"/>
        <v>0</v>
      </c>
    </row>
    <row r="4151" spans="1:15" x14ac:dyDescent="0.25">
      <c r="A4151" s="64" t="s">
        <v>188</v>
      </c>
      <c r="B4151" s="79" t="str">
        <f>IF(Seventeenth!B154="", "",Seventeenth!B154)</f>
        <v/>
      </c>
      <c r="C4151" s="66" t="str">
        <f>IF(Seventeenth!C154="", "",Seventeenth!C154)</f>
        <v/>
      </c>
      <c r="D4151" s="66" t="str">
        <f>IF(Seventeenth!D154="", "",Seventeenth!D154)</f>
        <v/>
      </c>
      <c r="E4151" s="66" t="str">
        <f>IF(Seventeenth!E154="", "",Seventeenth!E154)</f>
        <v/>
      </c>
      <c r="F4151" s="66" t="str">
        <f>IF(Seventeenth!F154="", "",Seventeenth!F154)</f>
        <v/>
      </c>
      <c r="G4151" s="66" t="str">
        <f>IF(Seventeenth!G154="", "",Seventeenth!G154)</f>
        <v/>
      </c>
      <c r="H4151" s="66" t="str">
        <f>IF(Seventeenth!H154="", "",Seventeenth!H154)</f>
        <v/>
      </c>
      <c r="I4151" s="66" t="str">
        <f>IF(Seventeenth!I154="", "",Seventeenth!I154)</f>
        <v/>
      </c>
      <c r="J4151" s="66" t="str">
        <f>IF(Seventeenth!J154="", "",Seventeenth!J154)</f>
        <v/>
      </c>
      <c r="K4151" s="86" t="str">
        <f>IF(Seventeenth!K154="", "",Seventeenth!K154)</f>
        <v/>
      </c>
      <c r="M4151" s="67" t="str">
        <f t="shared" si="194"/>
        <v/>
      </c>
      <c r="N4151" s="76" t="str">
        <f t="shared" si="195"/>
        <v/>
      </c>
      <c r="O4151" s="33">
        <f t="shared" si="193"/>
        <v>0</v>
      </c>
    </row>
    <row r="4152" spans="1:15" x14ac:dyDescent="0.25">
      <c r="A4152" s="64" t="s">
        <v>188</v>
      </c>
      <c r="B4152" s="79" t="str">
        <f>IF(Seventeenth!B155="", "",Seventeenth!B155)</f>
        <v/>
      </c>
      <c r="C4152" s="66" t="str">
        <f>IF(Seventeenth!C155="", "",Seventeenth!C155)</f>
        <v/>
      </c>
      <c r="D4152" s="66" t="str">
        <f>IF(Seventeenth!D155="", "",Seventeenth!D155)</f>
        <v/>
      </c>
      <c r="E4152" s="66" t="str">
        <f>IF(Seventeenth!E155="", "",Seventeenth!E155)</f>
        <v/>
      </c>
      <c r="F4152" s="66" t="str">
        <f>IF(Seventeenth!F155="", "",Seventeenth!F155)</f>
        <v/>
      </c>
      <c r="G4152" s="66" t="str">
        <f>IF(Seventeenth!G155="", "",Seventeenth!G155)</f>
        <v/>
      </c>
      <c r="H4152" s="66" t="str">
        <f>IF(Seventeenth!H155="", "",Seventeenth!H155)</f>
        <v/>
      </c>
      <c r="I4152" s="66" t="str">
        <f>IF(Seventeenth!I155="", "",Seventeenth!I155)</f>
        <v/>
      </c>
      <c r="J4152" s="66" t="str">
        <f>IF(Seventeenth!J155="", "",Seventeenth!J155)</f>
        <v/>
      </c>
      <c r="K4152" s="86" t="str">
        <f>IF(Seventeenth!K155="", "",Seventeenth!K155)</f>
        <v/>
      </c>
      <c r="M4152" s="67" t="str">
        <f t="shared" si="194"/>
        <v/>
      </c>
      <c r="N4152" s="76" t="str">
        <f t="shared" si="195"/>
        <v/>
      </c>
      <c r="O4152" s="33">
        <f t="shared" si="193"/>
        <v>0</v>
      </c>
    </row>
    <row r="4153" spans="1:15" x14ac:dyDescent="0.25">
      <c r="A4153" s="64" t="s">
        <v>188</v>
      </c>
      <c r="B4153" s="79" t="str">
        <f>IF(Seventeenth!B156="", "",Seventeenth!B156)</f>
        <v/>
      </c>
      <c r="C4153" s="66" t="str">
        <f>IF(Seventeenth!C156="", "",Seventeenth!C156)</f>
        <v/>
      </c>
      <c r="D4153" s="66" t="str">
        <f>IF(Seventeenth!D156="", "",Seventeenth!D156)</f>
        <v/>
      </c>
      <c r="E4153" s="66" t="str">
        <f>IF(Seventeenth!E156="", "",Seventeenth!E156)</f>
        <v/>
      </c>
      <c r="F4153" s="66" t="str">
        <f>IF(Seventeenth!F156="", "",Seventeenth!F156)</f>
        <v/>
      </c>
      <c r="G4153" s="66" t="str">
        <f>IF(Seventeenth!G156="", "",Seventeenth!G156)</f>
        <v/>
      </c>
      <c r="H4153" s="66" t="str">
        <f>IF(Seventeenth!H156="", "",Seventeenth!H156)</f>
        <v/>
      </c>
      <c r="I4153" s="66" t="str">
        <f>IF(Seventeenth!I156="", "",Seventeenth!I156)</f>
        <v/>
      </c>
      <c r="J4153" s="66" t="str">
        <f>IF(Seventeenth!J156="", "",Seventeenth!J156)</f>
        <v/>
      </c>
      <c r="K4153" s="86" t="str">
        <f>IF(Seventeenth!K156="", "",Seventeenth!K156)</f>
        <v/>
      </c>
      <c r="M4153" s="67" t="str">
        <f t="shared" si="194"/>
        <v/>
      </c>
      <c r="N4153" s="76" t="str">
        <f t="shared" si="195"/>
        <v/>
      </c>
      <c r="O4153" s="33">
        <f t="shared" si="193"/>
        <v>0</v>
      </c>
    </row>
    <row r="4154" spans="1:15" x14ac:dyDescent="0.25">
      <c r="A4154" s="64" t="s">
        <v>188</v>
      </c>
      <c r="B4154" s="79" t="str">
        <f>IF(Seventeenth!B157="", "",Seventeenth!B157)</f>
        <v/>
      </c>
      <c r="C4154" s="66" t="str">
        <f>IF(Seventeenth!C157="", "",Seventeenth!C157)</f>
        <v/>
      </c>
      <c r="D4154" s="66" t="str">
        <f>IF(Seventeenth!D157="", "",Seventeenth!D157)</f>
        <v/>
      </c>
      <c r="E4154" s="66" t="str">
        <f>IF(Seventeenth!E157="", "",Seventeenth!E157)</f>
        <v/>
      </c>
      <c r="F4154" s="66" t="str">
        <f>IF(Seventeenth!F157="", "",Seventeenth!F157)</f>
        <v/>
      </c>
      <c r="G4154" s="66" t="str">
        <f>IF(Seventeenth!G157="", "",Seventeenth!G157)</f>
        <v/>
      </c>
      <c r="H4154" s="66" t="str">
        <f>IF(Seventeenth!H157="", "",Seventeenth!H157)</f>
        <v/>
      </c>
      <c r="I4154" s="66" t="str">
        <f>IF(Seventeenth!I157="", "",Seventeenth!I157)</f>
        <v/>
      </c>
      <c r="J4154" s="66" t="str">
        <f>IF(Seventeenth!J157="", "",Seventeenth!J157)</f>
        <v/>
      </c>
      <c r="K4154" s="86" t="str">
        <f>IF(Seventeenth!K157="", "",Seventeenth!K157)</f>
        <v/>
      </c>
      <c r="M4154" s="67" t="str">
        <f t="shared" si="194"/>
        <v/>
      </c>
      <c r="N4154" s="76" t="str">
        <f t="shared" si="195"/>
        <v/>
      </c>
      <c r="O4154" s="33">
        <f t="shared" si="193"/>
        <v>0</v>
      </c>
    </row>
    <row r="4155" spans="1:15" x14ac:dyDescent="0.25">
      <c r="A4155" s="64" t="s">
        <v>188</v>
      </c>
      <c r="B4155" s="79" t="str">
        <f>IF(Seventeenth!B158="", "",Seventeenth!B158)</f>
        <v/>
      </c>
      <c r="C4155" s="66" t="str">
        <f>IF(Seventeenth!C158="", "",Seventeenth!C158)</f>
        <v/>
      </c>
      <c r="D4155" s="66" t="str">
        <f>IF(Seventeenth!D158="", "",Seventeenth!D158)</f>
        <v/>
      </c>
      <c r="E4155" s="66" t="str">
        <f>IF(Seventeenth!E158="", "",Seventeenth!E158)</f>
        <v/>
      </c>
      <c r="F4155" s="66" t="str">
        <f>IF(Seventeenth!F158="", "",Seventeenth!F158)</f>
        <v/>
      </c>
      <c r="G4155" s="66" t="str">
        <f>IF(Seventeenth!G158="", "",Seventeenth!G158)</f>
        <v/>
      </c>
      <c r="H4155" s="66" t="str">
        <f>IF(Seventeenth!H158="", "",Seventeenth!H158)</f>
        <v/>
      </c>
      <c r="I4155" s="66" t="str">
        <f>IF(Seventeenth!I158="", "",Seventeenth!I158)</f>
        <v/>
      </c>
      <c r="J4155" s="66" t="str">
        <f>IF(Seventeenth!J158="", "",Seventeenth!J158)</f>
        <v/>
      </c>
      <c r="K4155" s="86" t="str">
        <f>IF(Seventeenth!K158="", "",Seventeenth!K158)</f>
        <v/>
      </c>
      <c r="M4155" s="67" t="str">
        <f t="shared" si="194"/>
        <v/>
      </c>
      <c r="N4155" s="76" t="str">
        <f t="shared" si="195"/>
        <v/>
      </c>
      <c r="O4155" s="33">
        <f t="shared" si="193"/>
        <v>0</v>
      </c>
    </row>
    <row r="4156" spans="1:15" x14ac:dyDescent="0.25">
      <c r="A4156" s="64" t="s">
        <v>188</v>
      </c>
      <c r="B4156" s="79" t="str">
        <f>IF(Seventeenth!B159="", "",Seventeenth!B159)</f>
        <v/>
      </c>
      <c r="C4156" s="66" t="str">
        <f>IF(Seventeenth!C159="", "",Seventeenth!C159)</f>
        <v/>
      </c>
      <c r="D4156" s="66" t="str">
        <f>IF(Seventeenth!D159="", "",Seventeenth!D159)</f>
        <v/>
      </c>
      <c r="E4156" s="66" t="str">
        <f>IF(Seventeenth!E159="", "",Seventeenth!E159)</f>
        <v/>
      </c>
      <c r="F4156" s="66" t="str">
        <f>IF(Seventeenth!F159="", "",Seventeenth!F159)</f>
        <v/>
      </c>
      <c r="G4156" s="66" t="str">
        <f>IF(Seventeenth!G159="", "",Seventeenth!G159)</f>
        <v/>
      </c>
      <c r="H4156" s="66" t="str">
        <f>IF(Seventeenth!H159="", "",Seventeenth!H159)</f>
        <v/>
      </c>
      <c r="I4156" s="66" t="str">
        <f>IF(Seventeenth!I159="", "",Seventeenth!I159)</f>
        <v/>
      </c>
      <c r="J4156" s="66" t="str">
        <f>IF(Seventeenth!J159="", "",Seventeenth!J159)</f>
        <v/>
      </c>
      <c r="K4156" s="86" t="str">
        <f>IF(Seventeenth!K159="", "",Seventeenth!K159)</f>
        <v/>
      </c>
      <c r="M4156" s="67" t="str">
        <f t="shared" si="194"/>
        <v/>
      </c>
      <c r="N4156" s="76" t="str">
        <f t="shared" si="195"/>
        <v/>
      </c>
      <c r="O4156" s="33">
        <f t="shared" si="193"/>
        <v>0</v>
      </c>
    </row>
    <row r="4157" spans="1:15" x14ac:dyDescent="0.25">
      <c r="A4157" s="64" t="s">
        <v>188</v>
      </c>
      <c r="B4157" s="79" t="str">
        <f>IF(Seventeenth!B160="", "",Seventeenth!B160)</f>
        <v/>
      </c>
      <c r="C4157" s="66" t="str">
        <f>IF(Seventeenth!C160="", "",Seventeenth!C160)</f>
        <v/>
      </c>
      <c r="D4157" s="66" t="str">
        <f>IF(Seventeenth!D160="", "",Seventeenth!D160)</f>
        <v/>
      </c>
      <c r="E4157" s="66" t="str">
        <f>IF(Seventeenth!E160="", "",Seventeenth!E160)</f>
        <v/>
      </c>
      <c r="F4157" s="66" t="str">
        <f>IF(Seventeenth!F160="", "",Seventeenth!F160)</f>
        <v/>
      </c>
      <c r="G4157" s="66" t="str">
        <f>IF(Seventeenth!G160="", "",Seventeenth!G160)</f>
        <v/>
      </c>
      <c r="H4157" s="66" t="str">
        <f>IF(Seventeenth!H160="", "",Seventeenth!H160)</f>
        <v/>
      </c>
      <c r="I4157" s="66" t="str">
        <f>IF(Seventeenth!I160="", "",Seventeenth!I160)</f>
        <v/>
      </c>
      <c r="J4157" s="66" t="str">
        <f>IF(Seventeenth!J160="", "",Seventeenth!J160)</f>
        <v/>
      </c>
      <c r="K4157" s="86" t="str">
        <f>IF(Seventeenth!K160="", "",Seventeenth!K160)</f>
        <v/>
      </c>
      <c r="M4157" s="67" t="str">
        <f t="shared" si="194"/>
        <v/>
      </c>
      <c r="N4157" s="76" t="str">
        <f t="shared" si="195"/>
        <v/>
      </c>
      <c r="O4157" s="33">
        <f t="shared" si="193"/>
        <v>0</v>
      </c>
    </row>
    <row r="4158" spans="1:15" x14ac:dyDescent="0.25">
      <c r="A4158" s="64" t="s">
        <v>188</v>
      </c>
      <c r="B4158" s="79" t="str">
        <f>IF(Seventeenth!B161="", "",Seventeenth!B161)</f>
        <v/>
      </c>
      <c r="C4158" s="66" t="str">
        <f>IF(Seventeenth!C161="", "",Seventeenth!C161)</f>
        <v/>
      </c>
      <c r="D4158" s="66" t="str">
        <f>IF(Seventeenth!D161="", "",Seventeenth!D161)</f>
        <v/>
      </c>
      <c r="E4158" s="66" t="str">
        <f>IF(Seventeenth!E161="", "",Seventeenth!E161)</f>
        <v/>
      </c>
      <c r="F4158" s="66" t="str">
        <f>IF(Seventeenth!F161="", "",Seventeenth!F161)</f>
        <v/>
      </c>
      <c r="G4158" s="66" t="str">
        <f>IF(Seventeenth!G161="", "",Seventeenth!G161)</f>
        <v/>
      </c>
      <c r="H4158" s="66" t="str">
        <f>IF(Seventeenth!H161="", "",Seventeenth!H161)</f>
        <v/>
      </c>
      <c r="I4158" s="66" t="str">
        <f>IF(Seventeenth!I161="", "",Seventeenth!I161)</f>
        <v/>
      </c>
      <c r="J4158" s="66" t="str">
        <f>IF(Seventeenth!J161="", "",Seventeenth!J161)</f>
        <v/>
      </c>
      <c r="K4158" s="86" t="str">
        <f>IF(Seventeenth!K161="", "",Seventeenth!K161)</f>
        <v/>
      </c>
      <c r="M4158" s="67" t="str">
        <f t="shared" si="194"/>
        <v/>
      </c>
      <c r="N4158" s="76" t="str">
        <f t="shared" si="195"/>
        <v/>
      </c>
      <c r="O4158" s="33">
        <f t="shared" si="193"/>
        <v>0</v>
      </c>
    </row>
    <row r="4159" spans="1:15" x14ac:dyDescent="0.25">
      <c r="A4159" s="64" t="s">
        <v>188</v>
      </c>
      <c r="B4159" s="79" t="str">
        <f>IF(Seventeenth!B162="", "",Seventeenth!B162)</f>
        <v/>
      </c>
      <c r="C4159" s="66" t="str">
        <f>IF(Seventeenth!C162="", "",Seventeenth!C162)</f>
        <v/>
      </c>
      <c r="D4159" s="66" t="str">
        <f>IF(Seventeenth!D162="", "",Seventeenth!D162)</f>
        <v/>
      </c>
      <c r="E4159" s="66" t="str">
        <f>IF(Seventeenth!E162="", "",Seventeenth!E162)</f>
        <v/>
      </c>
      <c r="F4159" s="66" t="str">
        <f>IF(Seventeenth!F162="", "",Seventeenth!F162)</f>
        <v/>
      </c>
      <c r="G4159" s="66" t="str">
        <f>IF(Seventeenth!G162="", "",Seventeenth!G162)</f>
        <v/>
      </c>
      <c r="H4159" s="66" t="str">
        <f>IF(Seventeenth!H162="", "",Seventeenth!H162)</f>
        <v/>
      </c>
      <c r="I4159" s="66" t="str">
        <f>IF(Seventeenth!I162="", "",Seventeenth!I162)</f>
        <v/>
      </c>
      <c r="J4159" s="66" t="str">
        <f>IF(Seventeenth!J162="", "",Seventeenth!J162)</f>
        <v/>
      </c>
      <c r="K4159" s="86" t="str">
        <f>IF(Seventeenth!K162="", "",Seventeenth!K162)</f>
        <v/>
      </c>
      <c r="M4159" s="67" t="str">
        <f t="shared" si="194"/>
        <v/>
      </c>
      <c r="N4159" s="76" t="str">
        <f t="shared" si="195"/>
        <v/>
      </c>
      <c r="O4159" s="33">
        <f t="shared" si="193"/>
        <v>0</v>
      </c>
    </row>
    <row r="4160" spans="1:15" x14ac:dyDescent="0.25">
      <c r="A4160" s="64" t="s">
        <v>188</v>
      </c>
      <c r="B4160" s="79" t="str">
        <f>IF(Seventeenth!B163="", "",Seventeenth!B163)</f>
        <v/>
      </c>
      <c r="C4160" s="66" t="str">
        <f>IF(Seventeenth!C163="", "",Seventeenth!C163)</f>
        <v/>
      </c>
      <c r="D4160" s="66" t="str">
        <f>IF(Seventeenth!D163="", "",Seventeenth!D163)</f>
        <v/>
      </c>
      <c r="E4160" s="66" t="str">
        <f>IF(Seventeenth!E163="", "",Seventeenth!E163)</f>
        <v/>
      </c>
      <c r="F4160" s="66" t="str">
        <f>IF(Seventeenth!F163="", "",Seventeenth!F163)</f>
        <v/>
      </c>
      <c r="G4160" s="66" t="str">
        <f>IF(Seventeenth!G163="", "",Seventeenth!G163)</f>
        <v/>
      </c>
      <c r="H4160" s="66" t="str">
        <f>IF(Seventeenth!H163="", "",Seventeenth!H163)</f>
        <v/>
      </c>
      <c r="I4160" s="66" t="str">
        <f>IF(Seventeenth!I163="", "",Seventeenth!I163)</f>
        <v/>
      </c>
      <c r="J4160" s="66" t="str">
        <f>IF(Seventeenth!J163="", "",Seventeenth!J163)</f>
        <v/>
      </c>
      <c r="K4160" s="86" t="str">
        <f>IF(Seventeenth!K163="", "",Seventeenth!K163)</f>
        <v/>
      </c>
      <c r="M4160" s="67" t="str">
        <f t="shared" si="194"/>
        <v/>
      </c>
      <c r="N4160" s="76" t="str">
        <f t="shared" si="195"/>
        <v/>
      </c>
      <c r="O4160" s="33">
        <f t="shared" si="193"/>
        <v>0</v>
      </c>
    </row>
    <row r="4161" spans="1:15" x14ac:dyDescent="0.25">
      <c r="A4161" s="64" t="s">
        <v>188</v>
      </c>
      <c r="B4161" s="79" t="str">
        <f>IF(Seventeenth!B164="", "",Seventeenth!B164)</f>
        <v/>
      </c>
      <c r="C4161" s="66" t="str">
        <f>IF(Seventeenth!C164="", "",Seventeenth!C164)</f>
        <v/>
      </c>
      <c r="D4161" s="66" t="str">
        <f>IF(Seventeenth!D164="", "",Seventeenth!D164)</f>
        <v/>
      </c>
      <c r="E4161" s="66" t="str">
        <f>IF(Seventeenth!E164="", "",Seventeenth!E164)</f>
        <v/>
      </c>
      <c r="F4161" s="66" t="str">
        <f>IF(Seventeenth!F164="", "",Seventeenth!F164)</f>
        <v/>
      </c>
      <c r="G4161" s="66" t="str">
        <f>IF(Seventeenth!G164="", "",Seventeenth!G164)</f>
        <v/>
      </c>
      <c r="H4161" s="66" t="str">
        <f>IF(Seventeenth!H164="", "",Seventeenth!H164)</f>
        <v/>
      </c>
      <c r="I4161" s="66" t="str">
        <f>IF(Seventeenth!I164="", "",Seventeenth!I164)</f>
        <v/>
      </c>
      <c r="J4161" s="66" t="str">
        <f>IF(Seventeenth!J164="", "",Seventeenth!J164)</f>
        <v/>
      </c>
      <c r="K4161" s="86" t="str">
        <f>IF(Seventeenth!K164="", "",Seventeenth!K164)</f>
        <v/>
      </c>
      <c r="M4161" s="67" t="str">
        <f t="shared" si="194"/>
        <v/>
      </c>
      <c r="N4161" s="76" t="str">
        <f t="shared" si="195"/>
        <v/>
      </c>
      <c r="O4161" s="33">
        <f t="shared" si="193"/>
        <v>0</v>
      </c>
    </row>
    <row r="4162" spans="1:15" x14ac:dyDescent="0.25">
      <c r="A4162" s="64" t="s">
        <v>188</v>
      </c>
      <c r="B4162" s="79" t="str">
        <f>IF(Seventeenth!B165="", "",Seventeenth!B165)</f>
        <v/>
      </c>
      <c r="C4162" s="66" t="str">
        <f>IF(Seventeenth!C165="", "",Seventeenth!C165)</f>
        <v/>
      </c>
      <c r="D4162" s="66" t="str">
        <f>IF(Seventeenth!D165="", "",Seventeenth!D165)</f>
        <v/>
      </c>
      <c r="E4162" s="66" t="str">
        <f>IF(Seventeenth!E165="", "",Seventeenth!E165)</f>
        <v/>
      </c>
      <c r="F4162" s="66" t="str">
        <f>IF(Seventeenth!F165="", "",Seventeenth!F165)</f>
        <v/>
      </c>
      <c r="G4162" s="66" t="str">
        <f>IF(Seventeenth!G165="", "",Seventeenth!G165)</f>
        <v/>
      </c>
      <c r="H4162" s="66" t="str">
        <f>IF(Seventeenth!H165="", "",Seventeenth!H165)</f>
        <v/>
      </c>
      <c r="I4162" s="66" t="str">
        <f>IF(Seventeenth!I165="", "",Seventeenth!I165)</f>
        <v/>
      </c>
      <c r="J4162" s="66" t="str">
        <f>IF(Seventeenth!J165="", "",Seventeenth!J165)</f>
        <v/>
      </c>
      <c r="K4162" s="86" t="str">
        <f>IF(Seventeenth!K165="", "",Seventeenth!K165)</f>
        <v/>
      </c>
      <c r="M4162" s="67" t="str">
        <f t="shared" si="194"/>
        <v/>
      </c>
      <c r="N4162" s="76" t="str">
        <f t="shared" si="195"/>
        <v/>
      </c>
      <c r="O4162" s="33">
        <f t="shared" ref="O4162:O4200" si="196">SUM(M4162:N4162)</f>
        <v>0</v>
      </c>
    </row>
    <row r="4163" spans="1:15" x14ac:dyDescent="0.25">
      <c r="A4163" s="64" t="s">
        <v>188</v>
      </c>
      <c r="B4163" s="79" t="str">
        <f>IF(Seventeenth!B166="", "",Seventeenth!B166)</f>
        <v/>
      </c>
      <c r="C4163" s="66" t="str">
        <f>IF(Seventeenth!C166="", "",Seventeenth!C166)</f>
        <v/>
      </c>
      <c r="D4163" s="66" t="str">
        <f>IF(Seventeenth!D166="", "",Seventeenth!D166)</f>
        <v/>
      </c>
      <c r="E4163" s="66" t="str">
        <f>IF(Seventeenth!E166="", "",Seventeenth!E166)</f>
        <v/>
      </c>
      <c r="F4163" s="66" t="str">
        <f>IF(Seventeenth!F166="", "",Seventeenth!F166)</f>
        <v/>
      </c>
      <c r="G4163" s="66" t="str">
        <f>IF(Seventeenth!G166="", "",Seventeenth!G166)</f>
        <v/>
      </c>
      <c r="H4163" s="66" t="str">
        <f>IF(Seventeenth!H166="", "",Seventeenth!H166)</f>
        <v/>
      </c>
      <c r="I4163" s="66" t="str">
        <f>IF(Seventeenth!I166="", "",Seventeenth!I166)</f>
        <v/>
      </c>
      <c r="J4163" s="66" t="str">
        <f>IF(Seventeenth!J166="", "",Seventeenth!J166)</f>
        <v/>
      </c>
      <c r="K4163" s="86" t="str">
        <f>IF(Seventeenth!K166="", "",Seventeenth!K166)</f>
        <v/>
      </c>
      <c r="M4163" s="67" t="str">
        <f t="shared" ref="M4163:M4226" si="197">IF(C4163="PwC",(7-COUNTIF(B4163:H4163,"")),"")</f>
        <v/>
      </c>
      <c r="N4163" s="76" t="str">
        <f t="shared" ref="N4163:N4226" si="198">IF(C4163="Carer",(7-COUNTIF(B4163:H4163,"")),"")</f>
        <v/>
      </c>
      <c r="O4163" s="33">
        <f t="shared" si="196"/>
        <v>0</v>
      </c>
    </row>
    <row r="4164" spans="1:15" x14ac:dyDescent="0.25">
      <c r="A4164" s="64" t="s">
        <v>188</v>
      </c>
      <c r="B4164" s="79" t="str">
        <f>IF(Seventeenth!B167="", "",Seventeenth!B167)</f>
        <v/>
      </c>
      <c r="C4164" s="66" t="str">
        <f>IF(Seventeenth!C167="", "",Seventeenth!C167)</f>
        <v/>
      </c>
      <c r="D4164" s="66" t="str">
        <f>IF(Seventeenth!D167="", "",Seventeenth!D167)</f>
        <v/>
      </c>
      <c r="E4164" s="66" t="str">
        <f>IF(Seventeenth!E167="", "",Seventeenth!E167)</f>
        <v/>
      </c>
      <c r="F4164" s="66" t="str">
        <f>IF(Seventeenth!F167="", "",Seventeenth!F167)</f>
        <v/>
      </c>
      <c r="G4164" s="66" t="str">
        <f>IF(Seventeenth!G167="", "",Seventeenth!G167)</f>
        <v/>
      </c>
      <c r="H4164" s="66" t="str">
        <f>IF(Seventeenth!H167="", "",Seventeenth!H167)</f>
        <v/>
      </c>
      <c r="I4164" s="66" t="str">
        <f>IF(Seventeenth!I167="", "",Seventeenth!I167)</f>
        <v/>
      </c>
      <c r="J4164" s="66" t="str">
        <f>IF(Seventeenth!J167="", "",Seventeenth!J167)</f>
        <v/>
      </c>
      <c r="K4164" s="86" t="str">
        <f>IF(Seventeenth!K167="", "",Seventeenth!K167)</f>
        <v/>
      </c>
      <c r="M4164" s="67" t="str">
        <f t="shared" si="197"/>
        <v/>
      </c>
      <c r="N4164" s="76" t="str">
        <f t="shared" si="198"/>
        <v/>
      </c>
      <c r="O4164" s="33">
        <f t="shared" si="196"/>
        <v>0</v>
      </c>
    </row>
    <row r="4165" spans="1:15" x14ac:dyDescent="0.25">
      <c r="A4165" s="64" t="s">
        <v>188</v>
      </c>
      <c r="B4165" s="79" t="str">
        <f>IF(Seventeenth!B168="", "",Seventeenth!B168)</f>
        <v/>
      </c>
      <c r="C4165" s="66" t="str">
        <f>IF(Seventeenth!C168="", "",Seventeenth!C168)</f>
        <v/>
      </c>
      <c r="D4165" s="66" t="str">
        <f>IF(Seventeenth!D168="", "",Seventeenth!D168)</f>
        <v/>
      </c>
      <c r="E4165" s="66" t="str">
        <f>IF(Seventeenth!E168="", "",Seventeenth!E168)</f>
        <v/>
      </c>
      <c r="F4165" s="66" t="str">
        <f>IF(Seventeenth!F168="", "",Seventeenth!F168)</f>
        <v/>
      </c>
      <c r="G4165" s="66" t="str">
        <f>IF(Seventeenth!G168="", "",Seventeenth!G168)</f>
        <v/>
      </c>
      <c r="H4165" s="66" t="str">
        <f>IF(Seventeenth!H168="", "",Seventeenth!H168)</f>
        <v/>
      </c>
      <c r="I4165" s="66" t="str">
        <f>IF(Seventeenth!I168="", "",Seventeenth!I168)</f>
        <v/>
      </c>
      <c r="J4165" s="66" t="str">
        <f>IF(Seventeenth!J168="", "",Seventeenth!J168)</f>
        <v/>
      </c>
      <c r="K4165" s="86" t="str">
        <f>IF(Seventeenth!K168="", "",Seventeenth!K168)</f>
        <v/>
      </c>
      <c r="M4165" s="67" t="str">
        <f t="shared" si="197"/>
        <v/>
      </c>
      <c r="N4165" s="76" t="str">
        <f t="shared" si="198"/>
        <v/>
      </c>
      <c r="O4165" s="33">
        <f t="shared" si="196"/>
        <v>0</v>
      </c>
    </row>
    <row r="4166" spans="1:15" x14ac:dyDescent="0.25">
      <c r="A4166" s="64" t="s">
        <v>188</v>
      </c>
      <c r="B4166" s="79" t="str">
        <f>IF(Seventeenth!B169="", "",Seventeenth!B169)</f>
        <v/>
      </c>
      <c r="C4166" s="66" t="str">
        <f>IF(Seventeenth!C169="", "",Seventeenth!C169)</f>
        <v/>
      </c>
      <c r="D4166" s="66" t="str">
        <f>IF(Seventeenth!D169="", "",Seventeenth!D169)</f>
        <v/>
      </c>
      <c r="E4166" s="66" t="str">
        <f>IF(Seventeenth!E169="", "",Seventeenth!E169)</f>
        <v/>
      </c>
      <c r="F4166" s="66" t="str">
        <f>IF(Seventeenth!F169="", "",Seventeenth!F169)</f>
        <v/>
      </c>
      <c r="G4166" s="66" t="str">
        <f>IF(Seventeenth!G169="", "",Seventeenth!G169)</f>
        <v/>
      </c>
      <c r="H4166" s="66" t="str">
        <f>IF(Seventeenth!H169="", "",Seventeenth!H169)</f>
        <v/>
      </c>
      <c r="I4166" s="66" t="str">
        <f>IF(Seventeenth!I169="", "",Seventeenth!I169)</f>
        <v/>
      </c>
      <c r="J4166" s="66" t="str">
        <f>IF(Seventeenth!J169="", "",Seventeenth!J169)</f>
        <v/>
      </c>
      <c r="K4166" s="86" t="str">
        <f>IF(Seventeenth!K169="", "",Seventeenth!K169)</f>
        <v/>
      </c>
      <c r="M4166" s="67" t="str">
        <f t="shared" si="197"/>
        <v/>
      </c>
      <c r="N4166" s="76" t="str">
        <f t="shared" si="198"/>
        <v/>
      </c>
      <c r="O4166" s="33">
        <f t="shared" si="196"/>
        <v>0</v>
      </c>
    </row>
    <row r="4167" spans="1:15" x14ac:dyDescent="0.25">
      <c r="A4167" s="64" t="s">
        <v>188</v>
      </c>
      <c r="B4167" s="79" t="str">
        <f>IF(Seventeenth!B170="", "",Seventeenth!B170)</f>
        <v/>
      </c>
      <c r="C4167" s="66" t="str">
        <f>IF(Seventeenth!C170="", "",Seventeenth!C170)</f>
        <v/>
      </c>
      <c r="D4167" s="66" t="str">
        <f>IF(Seventeenth!D170="", "",Seventeenth!D170)</f>
        <v/>
      </c>
      <c r="E4167" s="66" t="str">
        <f>IF(Seventeenth!E170="", "",Seventeenth!E170)</f>
        <v/>
      </c>
      <c r="F4167" s="66" t="str">
        <f>IF(Seventeenth!F170="", "",Seventeenth!F170)</f>
        <v/>
      </c>
      <c r="G4167" s="66" t="str">
        <f>IF(Seventeenth!G170="", "",Seventeenth!G170)</f>
        <v/>
      </c>
      <c r="H4167" s="66" t="str">
        <f>IF(Seventeenth!H170="", "",Seventeenth!H170)</f>
        <v/>
      </c>
      <c r="I4167" s="66" t="str">
        <f>IF(Seventeenth!I170="", "",Seventeenth!I170)</f>
        <v/>
      </c>
      <c r="J4167" s="66" t="str">
        <f>IF(Seventeenth!J170="", "",Seventeenth!J170)</f>
        <v/>
      </c>
      <c r="K4167" s="86" t="str">
        <f>IF(Seventeenth!K170="", "",Seventeenth!K170)</f>
        <v/>
      </c>
      <c r="M4167" s="67" t="str">
        <f t="shared" si="197"/>
        <v/>
      </c>
      <c r="N4167" s="76" t="str">
        <f t="shared" si="198"/>
        <v/>
      </c>
      <c r="O4167" s="33">
        <f t="shared" si="196"/>
        <v>0</v>
      </c>
    </row>
    <row r="4168" spans="1:15" x14ac:dyDescent="0.25">
      <c r="A4168" s="64" t="s">
        <v>188</v>
      </c>
      <c r="B4168" s="79" t="str">
        <f>IF(Seventeenth!B171="", "",Seventeenth!B171)</f>
        <v/>
      </c>
      <c r="C4168" s="66" t="str">
        <f>IF(Seventeenth!C171="", "",Seventeenth!C171)</f>
        <v/>
      </c>
      <c r="D4168" s="66" t="str">
        <f>IF(Seventeenth!D171="", "",Seventeenth!D171)</f>
        <v/>
      </c>
      <c r="E4168" s="66" t="str">
        <f>IF(Seventeenth!E171="", "",Seventeenth!E171)</f>
        <v/>
      </c>
      <c r="F4168" s="66" t="str">
        <f>IF(Seventeenth!F171="", "",Seventeenth!F171)</f>
        <v/>
      </c>
      <c r="G4168" s="66" t="str">
        <f>IF(Seventeenth!G171="", "",Seventeenth!G171)</f>
        <v/>
      </c>
      <c r="H4168" s="66" t="str">
        <f>IF(Seventeenth!H171="", "",Seventeenth!H171)</f>
        <v/>
      </c>
      <c r="I4168" s="66" t="str">
        <f>IF(Seventeenth!I171="", "",Seventeenth!I171)</f>
        <v/>
      </c>
      <c r="J4168" s="66" t="str">
        <f>IF(Seventeenth!J171="", "",Seventeenth!J171)</f>
        <v/>
      </c>
      <c r="K4168" s="86" t="str">
        <f>IF(Seventeenth!K171="", "",Seventeenth!K171)</f>
        <v/>
      </c>
      <c r="M4168" s="67" t="str">
        <f t="shared" si="197"/>
        <v/>
      </c>
      <c r="N4168" s="76" t="str">
        <f t="shared" si="198"/>
        <v/>
      </c>
      <c r="O4168" s="33">
        <f t="shared" si="196"/>
        <v>0</v>
      </c>
    </row>
    <row r="4169" spans="1:15" x14ac:dyDescent="0.25">
      <c r="A4169" s="64" t="s">
        <v>188</v>
      </c>
      <c r="B4169" s="79" t="str">
        <f>IF(Seventeenth!B172="", "",Seventeenth!B172)</f>
        <v/>
      </c>
      <c r="C4169" s="66" t="str">
        <f>IF(Seventeenth!C172="", "",Seventeenth!C172)</f>
        <v/>
      </c>
      <c r="D4169" s="66" t="str">
        <f>IF(Seventeenth!D172="", "",Seventeenth!D172)</f>
        <v/>
      </c>
      <c r="E4169" s="66" t="str">
        <f>IF(Seventeenth!E172="", "",Seventeenth!E172)</f>
        <v/>
      </c>
      <c r="F4169" s="66" t="str">
        <f>IF(Seventeenth!F172="", "",Seventeenth!F172)</f>
        <v/>
      </c>
      <c r="G4169" s="66" t="str">
        <f>IF(Seventeenth!G172="", "",Seventeenth!G172)</f>
        <v/>
      </c>
      <c r="H4169" s="66" t="str">
        <f>IF(Seventeenth!H172="", "",Seventeenth!H172)</f>
        <v/>
      </c>
      <c r="I4169" s="66" t="str">
        <f>IF(Seventeenth!I172="", "",Seventeenth!I172)</f>
        <v/>
      </c>
      <c r="J4169" s="66" t="str">
        <f>IF(Seventeenth!J172="", "",Seventeenth!J172)</f>
        <v/>
      </c>
      <c r="K4169" s="86" t="str">
        <f>IF(Seventeenth!K172="", "",Seventeenth!K172)</f>
        <v/>
      </c>
      <c r="M4169" s="67" t="str">
        <f t="shared" si="197"/>
        <v/>
      </c>
      <c r="N4169" s="76" t="str">
        <f t="shared" si="198"/>
        <v/>
      </c>
      <c r="O4169" s="33">
        <f t="shared" si="196"/>
        <v>0</v>
      </c>
    </row>
    <row r="4170" spans="1:15" x14ac:dyDescent="0.25">
      <c r="A4170" s="64" t="s">
        <v>188</v>
      </c>
      <c r="B4170" s="79" t="str">
        <f>IF(Seventeenth!B173="", "",Seventeenth!B173)</f>
        <v/>
      </c>
      <c r="C4170" s="66" t="str">
        <f>IF(Seventeenth!C173="", "",Seventeenth!C173)</f>
        <v/>
      </c>
      <c r="D4170" s="66" t="str">
        <f>IF(Seventeenth!D173="", "",Seventeenth!D173)</f>
        <v/>
      </c>
      <c r="E4170" s="66" t="str">
        <f>IF(Seventeenth!E173="", "",Seventeenth!E173)</f>
        <v/>
      </c>
      <c r="F4170" s="66" t="str">
        <f>IF(Seventeenth!F173="", "",Seventeenth!F173)</f>
        <v/>
      </c>
      <c r="G4170" s="66" t="str">
        <f>IF(Seventeenth!G173="", "",Seventeenth!G173)</f>
        <v/>
      </c>
      <c r="H4170" s="66" t="str">
        <f>IF(Seventeenth!H173="", "",Seventeenth!H173)</f>
        <v/>
      </c>
      <c r="I4170" s="66" t="str">
        <f>IF(Seventeenth!I173="", "",Seventeenth!I173)</f>
        <v/>
      </c>
      <c r="J4170" s="66" t="str">
        <f>IF(Seventeenth!J173="", "",Seventeenth!J173)</f>
        <v/>
      </c>
      <c r="K4170" s="86" t="str">
        <f>IF(Seventeenth!K173="", "",Seventeenth!K173)</f>
        <v/>
      </c>
      <c r="M4170" s="67" t="str">
        <f t="shared" si="197"/>
        <v/>
      </c>
      <c r="N4170" s="76" t="str">
        <f t="shared" si="198"/>
        <v/>
      </c>
      <c r="O4170" s="33">
        <f t="shared" si="196"/>
        <v>0</v>
      </c>
    </row>
    <row r="4171" spans="1:15" x14ac:dyDescent="0.25">
      <c r="A4171" s="64" t="s">
        <v>188</v>
      </c>
      <c r="B4171" s="79" t="str">
        <f>IF(Seventeenth!B174="", "",Seventeenth!B174)</f>
        <v/>
      </c>
      <c r="C4171" s="66" t="str">
        <f>IF(Seventeenth!C174="", "",Seventeenth!C174)</f>
        <v/>
      </c>
      <c r="D4171" s="66" t="str">
        <f>IF(Seventeenth!D174="", "",Seventeenth!D174)</f>
        <v/>
      </c>
      <c r="E4171" s="66" t="str">
        <f>IF(Seventeenth!E174="", "",Seventeenth!E174)</f>
        <v/>
      </c>
      <c r="F4171" s="66" t="str">
        <f>IF(Seventeenth!F174="", "",Seventeenth!F174)</f>
        <v/>
      </c>
      <c r="G4171" s="66" t="str">
        <f>IF(Seventeenth!G174="", "",Seventeenth!G174)</f>
        <v/>
      </c>
      <c r="H4171" s="66" t="str">
        <f>IF(Seventeenth!H174="", "",Seventeenth!H174)</f>
        <v/>
      </c>
      <c r="I4171" s="66" t="str">
        <f>IF(Seventeenth!I174="", "",Seventeenth!I174)</f>
        <v/>
      </c>
      <c r="J4171" s="66" t="str">
        <f>IF(Seventeenth!J174="", "",Seventeenth!J174)</f>
        <v/>
      </c>
      <c r="K4171" s="86" t="str">
        <f>IF(Seventeenth!K174="", "",Seventeenth!K174)</f>
        <v/>
      </c>
      <c r="M4171" s="67" t="str">
        <f t="shared" si="197"/>
        <v/>
      </c>
      <c r="N4171" s="76" t="str">
        <f t="shared" si="198"/>
        <v/>
      </c>
      <c r="O4171" s="33">
        <f t="shared" si="196"/>
        <v>0</v>
      </c>
    </row>
    <row r="4172" spans="1:15" x14ac:dyDescent="0.25">
      <c r="A4172" s="64" t="s">
        <v>188</v>
      </c>
      <c r="B4172" s="79" t="str">
        <f>IF(Seventeenth!B175="", "",Seventeenth!B175)</f>
        <v/>
      </c>
      <c r="C4172" s="66" t="str">
        <f>IF(Seventeenth!C175="", "",Seventeenth!C175)</f>
        <v/>
      </c>
      <c r="D4172" s="66" t="str">
        <f>IF(Seventeenth!D175="", "",Seventeenth!D175)</f>
        <v/>
      </c>
      <c r="E4172" s="66" t="str">
        <f>IF(Seventeenth!E175="", "",Seventeenth!E175)</f>
        <v/>
      </c>
      <c r="F4172" s="66" t="str">
        <f>IF(Seventeenth!F175="", "",Seventeenth!F175)</f>
        <v/>
      </c>
      <c r="G4172" s="66" t="str">
        <f>IF(Seventeenth!G175="", "",Seventeenth!G175)</f>
        <v/>
      </c>
      <c r="H4172" s="66" t="str">
        <f>IF(Seventeenth!H175="", "",Seventeenth!H175)</f>
        <v/>
      </c>
      <c r="I4172" s="66" t="str">
        <f>IF(Seventeenth!I175="", "",Seventeenth!I175)</f>
        <v/>
      </c>
      <c r="J4172" s="66" t="str">
        <f>IF(Seventeenth!J175="", "",Seventeenth!J175)</f>
        <v/>
      </c>
      <c r="K4172" s="86" t="str">
        <f>IF(Seventeenth!K175="", "",Seventeenth!K175)</f>
        <v/>
      </c>
      <c r="M4172" s="67" t="str">
        <f t="shared" si="197"/>
        <v/>
      </c>
      <c r="N4172" s="76" t="str">
        <f t="shared" si="198"/>
        <v/>
      </c>
      <c r="O4172" s="33">
        <f t="shared" si="196"/>
        <v>0</v>
      </c>
    </row>
    <row r="4173" spans="1:15" x14ac:dyDescent="0.25">
      <c r="A4173" s="64" t="s">
        <v>188</v>
      </c>
      <c r="B4173" s="79" t="str">
        <f>IF(Seventeenth!B176="", "",Seventeenth!B176)</f>
        <v/>
      </c>
      <c r="C4173" s="66" t="str">
        <f>IF(Seventeenth!C176="", "",Seventeenth!C176)</f>
        <v/>
      </c>
      <c r="D4173" s="66" t="str">
        <f>IF(Seventeenth!D176="", "",Seventeenth!D176)</f>
        <v/>
      </c>
      <c r="E4173" s="66" t="str">
        <f>IF(Seventeenth!E176="", "",Seventeenth!E176)</f>
        <v/>
      </c>
      <c r="F4173" s="66" t="str">
        <f>IF(Seventeenth!F176="", "",Seventeenth!F176)</f>
        <v/>
      </c>
      <c r="G4173" s="66" t="str">
        <f>IF(Seventeenth!G176="", "",Seventeenth!G176)</f>
        <v/>
      </c>
      <c r="H4173" s="66" t="str">
        <f>IF(Seventeenth!H176="", "",Seventeenth!H176)</f>
        <v/>
      </c>
      <c r="I4173" s="66" t="str">
        <f>IF(Seventeenth!I176="", "",Seventeenth!I176)</f>
        <v/>
      </c>
      <c r="J4173" s="66" t="str">
        <f>IF(Seventeenth!J176="", "",Seventeenth!J176)</f>
        <v/>
      </c>
      <c r="K4173" s="86" t="str">
        <f>IF(Seventeenth!K176="", "",Seventeenth!K176)</f>
        <v/>
      </c>
      <c r="M4173" s="67" t="str">
        <f t="shared" si="197"/>
        <v/>
      </c>
      <c r="N4173" s="76" t="str">
        <f t="shared" si="198"/>
        <v/>
      </c>
      <c r="O4173" s="33">
        <f t="shared" si="196"/>
        <v>0</v>
      </c>
    </row>
    <row r="4174" spans="1:15" x14ac:dyDescent="0.25">
      <c r="A4174" s="64" t="s">
        <v>188</v>
      </c>
      <c r="B4174" s="79" t="str">
        <f>IF(Seventeenth!B177="", "",Seventeenth!B177)</f>
        <v/>
      </c>
      <c r="C4174" s="66" t="str">
        <f>IF(Seventeenth!C177="", "",Seventeenth!C177)</f>
        <v/>
      </c>
      <c r="D4174" s="66" t="str">
        <f>IF(Seventeenth!D177="", "",Seventeenth!D177)</f>
        <v/>
      </c>
      <c r="E4174" s="66" t="str">
        <f>IF(Seventeenth!E177="", "",Seventeenth!E177)</f>
        <v/>
      </c>
      <c r="F4174" s="66" t="str">
        <f>IF(Seventeenth!F177="", "",Seventeenth!F177)</f>
        <v/>
      </c>
      <c r="G4174" s="66" t="str">
        <f>IF(Seventeenth!G177="", "",Seventeenth!G177)</f>
        <v/>
      </c>
      <c r="H4174" s="66" t="str">
        <f>IF(Seventeenth!H177="", "",Seventeenth!H177)</f>
        <v/>
      </c>
      <c r="I4174" s="66" t="str">
        <f>IF(Seventeenth!I177="", "",Seventeenth!I177)</f>
        <v/>
      </c>
      <c r="J4174" s="66" t="str">
        <f>IF(Seventeenth!J177="", "",Seventeenth!J177)</f>
        <v/>
      </c>
      <c r="K4174" s="86" t="str">
        <f>IF(Seventeenth!K177="", "",Seventeenth!K177)</f>
        <v/>
      </c>
      <c r="M4174" s="67" t="str">
        <f t="shared" si="197"/>
        <v/>
      </c>
      <c r="N4174" s="76" t="str">
        <f t="shared" si="198"/>
        <v/>
      </c>
      <c r="O4174" s="33">
        <f t="shared" si="196"/>
        <v>0</v>
      </c>
    </row>
    <row r="4175" spans="1:15" x14ac:dyDescent="0.25">
      <c r="A4175" s="64" t="s">
        <v>188</v>
      </c>
      <c r="B4175" s="79" t="str">
        <f>IF(Seventeenth!B178="", "",Seventeenth!B178)</f>
        <v/>
      </c>
      <c r="C4175" s="66" t="str">
        <f>IF(Seventeenth!C178="", "",Seventeenth!C178)</f>
        <v/>
      </c>
      <c r="D4175" s="66" t="str">
        <f>IF(Seventeenth!D178="", "",Seventeenth!D178)</f>
        <v/>
      </c>
      <c r="E4175" s="66" t="str">
        <f>IF(Seventeenth!E178="", "",Seventeenth!E178)</f>
        <v/>
      </c>
      <c r="F4175" s="66" t="str">
        <f>IF(Seventeenth!F178="", "",Seventeenth!F178)</f>
        <v/>
      </c>
      <c r="G4175" s="66" t="str">
        <f>IF(Seventeenth!G178="", "",Seventeenth!G178)</f>
        <v/>
      </c>
      <c r="H4175" s="66" t="str">
        <f>IF(Seventeenth!H178="", "",Seventeenth!H178)</f>
        <v/>
      </c>
      <c r="I4175" s="66" t="str">
        <f>IF(Seventeenth!I178="", "",Seventeenth!I178)</f>
        <v/>
      </c>
      <c r="J4175" s="66" t="str">
        <f>IF(Seventeenth!J178="", "",Seventeenth!J178)</f>
        <v/>
      </c>
      <c r="K4175" s="86" t="str">
        <f>IF(Seventeenth!K178="", "",Seventeenth!K178)</f>
        <v/>
      </c>
      <c r="M4175" s="67" t="str">
        <f t="shared" si="197"/>
        <v/>
      </c>
      <c r="N4175" s="76" t="str">
        <f t="shared" si="198"/>
        <v/>
      </c>
      <c r="O4175" s="33">
        <f t="shared" si="196"/>
        <v>0</v>
      </c>
    </row>
    <row r="4176" spans="1:15" x14ac:dyDescent="0.25">
      <c r="A4176" s="64" t="s">
        <v>188</v>
      </c>
      <c r="B4176" s="79" t="str">
        <f>IF(Seventeenth!B179="", "",Seventeenth!B179)</f>
        <v/>
      </c>
      <c r="C4176" s="66" t="str">
        <f>IF(Seventeenth!C179="", "",Seventeenth!C179)</f>
        <v/>
      </c>
      <c r="D4176" s="66" t="str">
        <f>IF(Seventeenth!D179="", "",Seventeenth!D179)</f>
        <v/>
      </c>
      <c r="E4176" s="66" t="str">
        <f>IF(Seventeenth!E179="", "",Seventeenth!E179)</f>
        <v/>
      </c>
      <c r="F4176" s="66" t="str">
        <f>IF(Seventeenth!F179="", "",Seventeenth!F179)</f>
        <v/>
      </c>
      <c r="G4176" s="66" t="str">
        <f>IF(Seventeenth!G179="", "",Seventeenth!G179)</f>
        <v/>
      </c>
      <c r="H4176" s="66" t="str">
        <f>IF(Seventeenth!H179="", "",Seventeenth!H179)</f>
        <v/>
      </c>
      <c r="I4176" s="66" t="str">
        <f>IF(Seventeenth!I179="", "",Seventeenth!I179)</f>
        <v/>
      </c>
      <c r="J4176" s="66" t="str">
        <f>IF(Seventeenth!J179="", "",Seventeenth!J179)</f>
        <v/>
      </c>
      <c r="K4176" s="86" t="str">
        <f>IF(Seventeenth!K179="", "",Seventeenth!K179)</f>
        <v/>
      </c>
      <c r="M4176" s="67" t="str">
        <f t="shared" si="197"/>
        <v/>
      </c>
      <c r="N4176" s="76" t="str">
        <f t="shared" si="198"/>
        <v/>
      </c>
      <c r="O4176" s="33">
        <f t="shared" si="196"/>
        <v>0</v>
      </c>
    </row>
    <row r="4177" spans="1:15" x14ac:dyDescent="0.25">
      <c r="A4177" s="64" t="s">
        <v>188</v>
      </c>
      <c r="B4177" s="79" t="str">
        <f>IF(Seventeenth!B180="", "",Seventeenth!B180)</f>
        <v/>
      </c>
      <c r="C4177" s="66" t="str">
        <f>IF(Seventeenth!C180="", "",Seventeenth!C180)</f>
        <v/>
      </c>
      <c r="D4177" s="66" t="str">
        <f>IF(Seventeenth!D180="", "",Seventeenth!D180)</f>
        <v/>
      </c>
      <c r="E4177" s="66" t="str">
        <f>IF(Seventeenth!E180="", "",Seventeenth!E180)</f>
        <v/>
      </c>
      <c r="F4177" s="66" t="str">
        <f>IF(Seventeenth!F180="", "",Seventeenth!F180)</f>
        <v/>
      </c>
      <c r="G4177" s="66" t="str">
        <f>IF(Seventeenth!G180="", "",Seventeenth!G180)</f>
        <v/>
      </c>
      <c r="H4177" s="66" t="str">
        <f>IF(Seventeenth!H180="", "",Seventeenth!H180)</f>
        <v/>
      </c>
      <c r="I4177" s="66" t="str">
        <f>IF(Seventeenth!I180="", "",Seventeenth!I180)</f>
        <v/>
      </c>
      <c r="J4177" s="66" t="str">
        <f>IF(Seventeenth!J180="", "",Seventeenth!J180)</f>
        <v/>
      </c>
      <c r="K4177" s="86" t="str">
        <f>IF(Seventeenth!K180="", "",Seventeenth!K180)</f>
        <v/>
      </c>
      <c r="M4177" s="67" t="str">
        <f t="shared" si="197"/>
        <v/>
      </c>
      <c r="N4177" s="76" t="str">
        <f t="shared" si="198"/>
        <v/>
      </c>
      <c r="O4177" s="33">
        <f t="shared" si="196"/>
        <v>0</v>
      </c>
    </row>
    <row r="4178" spans="1:15" x14ac:dyDescent="0.25">
      <c r="A4178" s="64" t="s">
        <v>188</v>
      </c>
      <c r="B4178" s="79" t="str">
        <f>IF(Seventeenth!B181="", "",Seventeenth!B181)</f>
        <v/>
      </c>
      <c r="C4178" s="66" t="str">
        <f>IF(Seventeenth!C181="", "",Seventeenth!C181)</f>
        <v/>
      </c>
      <c r="D4178" s="66" t="str">
        <f>IF(Seventeenth!D181="", "",Seventeenth!D181)</f>
        <v/>
      </c>
      <c r="E4178" s="66" t="str">
        <f>IF(Seventeenth!E181="", "",Seventeenth!E181)</f>
        <v/>
      </c>
      <c r="F4178" s="66" t="str">
        <f>IF(Seventeenth!F181="", "",Seventeenth!F181)</f>
        <v/>
      </c>
      <c r="G4178" s="66" t="str">
        <f>IF(Seventeenth!G181="", "",Seventeenth!G181)</f>
        <v/>
      </c>
      <c r="H4178" s="66" t="str">
        <f>IF(Seventeenth!H181="", "",Seventeenth!H181)</f>
        <v/>
      </c>
      <c r="I4178" s="66" t="str">
        <f>IF(Seventeenth!I181="", "",Seventeenth!I181)</f>
        <v/>
      </c>
      <c r="J4178" s="66" t="str">
        <f>IF(Seventeenth!J181="", "",Seventeenth!J181)</f>
        <v/>
      </c>
      <c r="K4178" s="86" t="str">
        <f>IF(Seventeenth!K181="", "",Seventeenth!K181)</f>
        <v/>
      </c>
      <c r="M4178" s="67" t="str">
        <f t="shared" si="197"/>
        <v/>
      </c>
      <c r="N4178" s="76" t="str">
        <f t="shared" si="198"/>
        <v/>
      </c>
      <c r="O4178" s="33">
        <f t="shared" si="196"/>
        <v>0</v>
      </c>
    </row>
    <row r="4179" spans="1:15" x14ac:dyDescent="0.25">
      <c r="A4179" s="64" t="s">
        <v>188</v>
      </c>
      <c r="B4179" s="79" t="str">
        <f>IF(Seventeenth!B182="", "",Seventeenth!B182)</f>
        <v/>
      </c>
      <c r="C4179" s="66" t="str">
        <f>IF(Seventeenth!C182="", "",Seventeenth!C182)</f>
        <v/>
      </c>
      <c r="D4179" s="66" t="str">
        <f>IF(Seventeenth!D182="", "",Seventeenth!D182)</f>
        <v/>
      </c>
      <c r="E4179" s="66" t="str">
        <f>IF(Seventeenth!E182="", "",Seventeenth!E182)</f>
        <v/>
      </c>
      <c r="F4179" s="66" t="str">
        <f>IF(Seventeenth!F182="", "",Seventeenth!F182)</f>
        <v/>
      </c>
      <c r="G4179" s="66" t="str">
        <f>IF(Seventeenth!G182="", "",Seventeenth!G182)</f>
        <v/>
      </c>
      <c r="H4179" s="66" t="str">
        <f>IF(Seventeenth!H182="", "",Seventeenth!H182)</f>
        <v/>
      </c>
      <c r="I4179" s="66" t="str">
        <f>IF(Seventeenth!I182="", "",Seventeenth!I182)</f>
        <v/>
      </c>
      <c r="J4179" s="66" t="str">
        <f>IF(Seventeenth!J182="", "",Seventeenth!J182)</f>
        <v/>
      </c>
      <c r="K4179" s="86" t="str">
        <f>IF(Seventeenth!K182="", "",Seventeenth!K182)</f>
        <v/>
      </c>
      <c r="M4179" s="67" t="str">
        <f t="shared" si="197"/>
        <v/>
      </c>
      <c r="N4179" s="76" t="str">
        <f t="shared" si="198"/>
        <v/>
      </c>
      <c r="O4179" s="33">
        <f t="shared" si="196"/>
        <v>0</v>
      </c>
    </row>
    <row r="4180" spans="1:15" x14ac:dyDescent="0.25">
      <c r="A4180" s="64" t="s">
        <v>188</v>
      </c>
      <c r="B4180" s="79" t="str">
        <f>IF(Seventeenth!B183="", "",Seventeenth!B183)</f>
        <v/>
      </c>
      <c r="C4180" s="66" t="str">
        <f>IF(Seventeenth!C183="", "",Seventeenth!C183)</f>
        <v/>
      </c>
      <c r="D4180" s="66" t="str">
        <f>IF(Seventeenth!D183="", "",Seventeenth!D183)</f>
        <v/>
      </c>
      <c r="E4180" s="66" t="str">
        <f>IF(Seventeenth!E183="", "",Seventeenth!E183)</f>
        <v/>
      </c>
      <c r="F4180" s="66" t="str">
        <f>IF(Seventeenth!F183="", "",Seventeenth!F183)</f>
        <v/>
      </c>
      <c r="G4180" s="66" t="str">
        <f>IF(Seventeenth!G183="", "",Seventeenth!G183)</f>
        <v/>
      </c>
      <c r="H4180" s="66" t="str">
        <f>IF(Seventeenth!H183="", "",Seventeenth!H183)</f>
        <v/>
      </c>
      <c r="I4180" s="66" t="str">
        <f>IF(Seventeenth!I183="", "",Seventeenth!I183)</f>
        <v/>
      </c>
      <c r="J4180" s="66" t="str">
        <f>IF(Seventeenth!J183="", "",Seventeenth!J183)</f>
        <v/>
      </c>
      <c r="K4180" s="86" t="str">
        <f>IF(Seventeenth!K183="", "",Seventeenth!K183)</f>
        <v/>
      </c>
      <c r="M4180" s="67" t="str">
        <f t="shared" si="197"/>
        <v/>
      </c>
      <c r="N4180" s="76" t="str">
        <f t="shared" si="198"/>
        <v/>
      </c>
      <c r="O4180" s="33">
        <f t="shared" si="196"/>
        <v>0</v>
      </c>
    </row>
    <row r="4181" spans="1:15" x14ac:dyDescent="0.25">
      <c r="A4181" s="64" t="s">
        <v>188</v>
      </c>
      <c r="B4181" s="79" t="str">
        <f>IF(Seventeenth!B184="", "",Seventeenth!B184)</f>
        <v/>
      </c>
      <c r="C4181" s="66" t="str">
        <f>IF(Seventeenth!C184="", "",Seventeenth!C184)</f>
        <v/>
      </c>
      <c r="D4181" s="66" t="str">
        <f>IF(Seventeenth!D184="", "",Seventeenth!D184)</f>
        <v/>
      </c>
      <c r="E4181" s="66" t="str">
        <f>IF(Seventeenth!E184="", "",Seventeenth!E184)</f>
        <v/>
      </c>
      <c r="F4181" s="66" t="str">
        <f>IF(Seventeenth!F184="", "",Seventeenth!F184)</f>
        <v/>
      </c>
      <c r="G4181" s="66" t="str">
        <f>IF(Seventeenth!G184="", "",Seventeenth!G184)</f>
        <v/>
      </c>
      <c r="H4181" s="66" t="str">
        <f>IF(Seventeenth!H184="", "",Seventeenth!H184)</f>
        <v/>
      </c>
      <c r="I4181" s="66" t="str">
        <f>IF(Seventeenth!I184="", "",Seventeenth!I184)</f>
        <v/>
      </c>
      <c r="J4181" s="66" t="str">
        <f>IF(Seventeenth!J184="", "",Seventeenth!J184)</f>
        <v/>
      </c>
      <c r="K4181" s="86" t="str">
        <f>IF(Seventeenth!K184="", "",Seventeenth!K184)</f>
        <v/>
      </c>
      <c r="M4181" s="67" t="str">
        <f t="shared" si="197"/>
        <v/>
      </c>
      <c r="N4181" s="76" t="str">
        <f t="shared" si="198"/>
        <v/>
      </c>
      <c r="O4181" s="33">
        <f t="shared" si="196"/>
        <v>0</v>
      </c>
    </row>
    <row r="4182" spans="1:15" x14ac:dyDescent="0.25">
      <c r="A4182" s="64" t="s">
        <v>188</v>
      </c>
      <c r="B4182" s="79" t="str">
        <f>IF(Seventeenth!B185="", "",Seventeenth!B185)</f>
        <v/>
      </c>
      <c r="C4182" s="66" t="str">
        <f>IF(Seventeenth!C185="", "",Seventeenth!C185)</f>
        <v/>
      </c>
      <c r="D4182" s="66" t="str">
        <f>IF(Seventeenth!D185="", "",Seventeenth!D185)</f>
        <v/>
      </c>
      <c r="E4182" s="66" t="str">
        <f>IF(Seventeenth!E185="", "",Seventeenth!E185)</f>
        <v/>
      </c>
      <c r="F4182" s="66" t="str">
        <f>IF(Seventeenth!F185="", "",Seventeenth!F185)</f>
        <v/>
      </c>
      <c r="G4182" s="66" t="str">
        <f>IF(Seventeenth!G185="", "",Seventeenth!G185)</f>
        <v/>
      </c>
      <c r="H4182" s="66" t="str">
        <f>IF(Seventeenth!H185="", "",Seventeenth!H185)</f>
        <v/>
      </c>
      <c r="I4182" s="66" t="str">
        <f>IF(Seventeenth!I185="", "",Seventeenth!I185)</f>
        <v/>
      </c>
      <c r="J4182" s="66" t="str">
        <f>IF(Seventeenth!J185="", "",Seventeenth!J185)</f>
        <v/>
      </c>
      <c r="K4182" s="86" t="str">
        <f>IF(Seventeenth!K185="", "",Seventeenth!K185)</f>
        <v/>
      </c>
      <c r="M4182" s="67" t="str">
        <f t="shared" si="197"/>
        <v/>
      </c>
      <c r="N4182" s="76" t="str">
        <f t="shared" si="198"/>
        <v/>
      </c>
      <c r="O4182" s="33">
        <f t="shared" si="196"/>
        <v>0</v>
      </c>
    </row>
    <row r="4183" spans="1:15" x14ac:dyDescent="0.25">
      <c r="A4183" s="64" t="s">
        <v>188</v>
      </c>
      <c r="B4183" s="79" t="str">
        <f>IF(Seventeenth!B186="", "",Seventeenth!B186)</f>
        <v/>
      </c>
      <c r="C4183" s="66" t="str">
        <f>IF(Seventeenth!C186="", "",Seventeenth!C186)</f>
        <v/>
      </c>
      <c r="D4183" s="66" t="str">
        <f>IF(Seventeenth!D186="", "",Seventeenth!D186)</f>
        <v/>
      </c>
      <c r="E4183" s="66" t="str">
        <f>IF(Seventeenth!E186="", "",Seventeenth!E186)</f>
        <v/>
      </c>
      <c r="F4183" s="66" t="str">
        <f>IF(Seventeenth!F186="", "",Seventeenth!F186)</f>
        <v/>
      </c>
      <c r="G4183" s="66" t="str">
        <f>IF(Seventeenth!G186="", "",Seventeenth!G186)</f>
        <v/>
      </c>
      <c r="H4183" s="66" t="str">
        <f>IF(Seventeenth!H186="", "",Seventeenth!H186)</f>
        <v/>
      </c>
      <c r="I4183" s="66" t="str">
        <f>IF(Seventeenth!I186="", "",Seventeenth!I186)</f>
        <v/>
      </c>
      <c r="J4183" s="66" t="str">
        <f>IF(Seventeenth!J186="", "",Seventeenth!J186)</f>
        <v/>
      </c>
      <c r="K4183" s="86" t="str">
        <f>IF(Seventeenth!K186="", "",Seventeenth!K186)</f>
        <v/>
      </c>
      <c r="M4183" s="67" t="str">
        <f t="shared" si="197"/>
        <v/>
      </c>
      <c r="N4183" s="76" t="str">
        <f t="shared" si="198"/>
        <v/>
      </c>
      <c r="O4183" s="33">
        <f t="shared" si="196"/>
        <v>0</v>
      </c>
    </row>
    <row r="4184" spans="1:15" x14ac:dyDescent="0.25">
      <c r="A4184" s="64" t="s">
        <v>188</v>
      </c>
      <c r="B4184" s="79" t="str">
        <f>IF(Seventeenth!B187="", "",Seventeenth!B187)</f>
        <v/>
      </c>
      <c r="C4184" s="66" t="str">
        <f>IF(Seventeenth!C187="", "",Seventeenth!C187)</f>
        <v/>
      </c>
      <c r="D4184" s="66" t="str">
        <f>IF(Seventeenth!D187="", "",Seventeenth!D187)</f>
        <v/>
      </c>
      <c r="E4184" s="66" t="str">
        <f>IF(Seventeenth!E187="", "",Seventeenth!E187)</f>
        <v/>
      </c>
      <c r="F4184" s="66" t="str">
        <f>IF(Seventeenth!F187="", "",Seventeenth!F187)</f>
        <v/>
      </c>
      <c r="G4184" s="66" t="str">
        <f>IF(Seventeenth!G187="", "",Seventeenth!G187)</f>
        <v/>
      </c>
      <c r="H4184" s="66" t="str">
        <f>IF(Seventeenth!H187="", "",Seventeenth!H187)</f>
        <v/>
      </c>
      <c r="I4184" s="66" t="str">
        <f>IF(Seventeenth!I187="", "",Seventeenth!I187)</f>
        <v/>
      </c>
      <c r="J4184" s="66" t="str">
        <f>IF(Seventeenth!J187="", "",Seventeenth!J187)</f>
        <v/>
      </c>
      <c r="K4184" s="86" t="str">
        <f>IF(Seventeenth!K187="", "",Seventeenth!K187)</f>
        <v/>
      </c>
      <c r="M4184" s="67" t="str">
        <f t="shared" si="197"/>
        <v/>
      </c>
      <c r="N4184" s="76" t="str">
        <f t="shared" si="198"/>
        <v/>
      </c>
      <c r="O4184" s="33">
        <f t="shared" si="196"/>
        <v>0</v>
      </c>
    </row>
    <row r="4185" spans="1:15" x14ac:dyDescent="0.25">
      <c r="A4185" s="64" t="s">
        <v>188</v>
      </c>
      <c r="B4185" s="79" t="str">
        <f>IF(Seventeenth!B188="", "",Seventeenth!B188)</f>
        <v/>
      </c>
      <c r="C4185" s="66" t="str">
        <f>IF(Seventeenth!C188="", "",Seventeenth!C188)</f>
        <v/>
      </c>
      <c r="D4185" s="66" t="str">
        <f>IF(Seventeenth!D188="", "",Seventeenth!D188)</f>
        <v/>
      </c>
      <c r="E4185" s="66" t="str">
        <f>IF(Seventeenth!E188="", "",Seventeenth!E188)</f>
        <v/>
      </c>
      <c r="F4185" s="66" t="str">
        <f>IF(Seventeenth!F188="", "",Seventeenth!F188)</f>
        <v/>
      </c>
      <c r="G4185" s="66" t="str">
        <f>IF(Seventeenth!G188="", "",Seventeenth!G188)</f>
        <v/>
      </c>
      <c r="H4185" s="66" t="str">
        <f>IF(Seventeenth!H188="", "",Seventeenth!H188)</f>
        <v/>
      </c>
      <c r="I4185" s="66" t="str">
        <f>IF(Seventeenth!I188="", "",Seventeenth!I188)</f>
        <v/>
      </c>
      <c r="J4185" s="66" t="str">
        <f>IF(Seventeenth!J188="", "",Seventeenth!J188)</f>
        <v/>
      </c>
      <c r="K4185" s="86" t="str">
        <f>IF(Seventeenth!K188="", "",Seventeenth!K188)</f>
        <v/>
      </c>
      <c r="M4185" s="67" t="str">
        <f t="shared" si="197"/>
        <v/>
      </c>
      <c r="N4185" s="76" t="str">
        <f t="shared" si="198"/>
        <v/>
      </c>
      <c r="O4185" s="33">
        <f t="shared" si="196"/>
        <v>0</v>
      </c>
    </row>
    <row r="4186" spans="1:15" x14ac:dyDescent="0.25">
      <c r="A4186" s="64" t="s">
        <v>188</v>
      </c>
      <c r="B4186" s="79" t="str">
        <f>IF(Seventeenth!B189="", "",Seventeenth!B189)</f>
        <v/>
      </c>
      <c r="C4186" s="66" t="str">
        <f>IF(Seventeenth!C189="", "",Seventeenth!C189)</f>
        <v/>
      </c>
      <c r="D4186" s="66" t="str">
        <f>IF(Seventeenth!D189="", "",Seventeenth!D189)</f>
        <v/>
      </c>
      <c r="E4186" s="66" t="str">
        <f>IF(Seventeenth!E189="", "",Seventeenth!E189)</f>
        <v/>
      </c>
      <c r="F4186" s="66" t="str">
        <f>IF(Seventeenth!F189="", "",Seventeenth!F189)</f>
        <v/>
      </c>
      <c r="G4186" s="66" t="str">
        <f>IF(Seventeenth!G189="", "",Seventeenth!G189)</f>
        <v/>
      </c>
      <c r="H4186" s="66" t="str">
        <f>IF(Seventeenth!H189="", "",Seventeenth!H189)</f>
        <v/>
      </c>
      <c r="I4186" s="66" t="str">
        <f>IF(Seventeenth!I189="", "",Seventeenth!I189)</f>
        <v/>
      </c>
      <c r="J4186" s="66" t="str">
        <f>IF(Seventeenth!J189="", "",Seventeenth!J189)</f>
        <v/>
      </c>
      <c r="K4186" s="86" t="str">
        <f>IF(Seventeenth!K189="", "",Seventeenth!K189)</f>
        <v/>
      </c>
      <c r="M4186" s="67" t="str">
        <f t="shared" si="197"/>
        <v/>
      </c>
      <c r="N4186" s="76" t="str">
        <f t="shared" si="198"/>
        <v/>
      </c>
      <c r="O4186" s="33">
        <f t="shared" si="196"/>
        <v>0</v>
      </c>
    </row>
    <row r="4187" spans="1:15" x14ac:dyDescent="0.25">
      <c r="A4187" s="64" t="s">
        <v>188</v>
      </c>
      <c r="B4187" s="79" t="str">
        <f>IF(Seventeenth!B190="", "",Seventeenth!B190)</f>
        <v/>
      </c>
      <c r="C4187" s="66" t="str">
        <f>IF(Seventeenth!C190="", "",Seventeenth!C190)</f>
        <v/>
      </c>
      <c r="D4187" s="66" t="str">
        <f>IF(Seventeenth!D190="", "",Seventeenth!D190)</f>
        <v/>
      </c>
      <c r="E4187" s="66" t="str">
        <f>IF(Seventeenth!E190="", "",Seventeenth!E190)</f>
        <v/>
      </c>
      <c r="F4187" s="66" t="str">
        <f>IF(Seventeenth!F190="", "",Seventeenth!F190)</f>
        <v/>
      </c>
      <c r="G4187" s="66" t="str">
        <f>IF(Seventeenth!G190="", "",Seventeenth!G190)</f>
        <v/>
      </c>
      <c r="H4187" s="66" t="str">
        <f>IF(Seventeenth!H190="", "",Seventeenth!H190)</f>
        <v/>
      </c>
      <c r="I4187" s="66" t="str">
        <f>IF(Seventeenth!I190="", "",Seventeenth!I190)</f>
        <v/>
      </c>
      <c r="J4187" s="66" t="str">
        <f>IF(Seventeenth!J190="", "",Seventeenth!J190)</f>
        <v/>
      </c>
      <c r="K4187" s="86" t="str">
        <f>IF(Seventeenth!K190="", "",Seventeenth!K190)</f>
        <v/>
      </c>
      <c r="M4187" s="67" t="str">
        <f t="shared" si="197"/>
        <v/>
      </c>
      <c r="N4187" s="76" t="str">
        <f t="shared" si="198"/>
        <v/>
      </c>
      <c r="O4187" s="33">
        <f t="shared" si="196"/>
        <v>0</v>
      </c>
    </row>
    <row r="4188" spans="1:15" x14ac:dyDescent="0.25">
      <c r="A4188" s="64" t="s">
        <v>188</v>
      </c>
      <c r="B4188" s="79" t="str">
        <f>IF(Seventeenth!B191="", "",Seventeenth!B191)</f>
        <v/>
      </c>
      <c r="C4188" s="66" t="str">
        <f>IF(Seventeenth!C191="", "",Seventeenth!C191)</f>
        <v/>
      </c>
      <c r="D4188" s="66" t="str">
        <f>IF(Seventeenth!D191="", "",Seventeenth!D191)</f>
        <v/>
      </c>
      <c r="E4188" s="66" t="str">
        <f>IF(Seventeenth!E191="", "",Seventeenth!E191)</f>
        <v/>
      </c>
      <c r="F4188" s="66" t="str">
        <f>IF(Seventeenth!F191="", "",Seventeenth!F191)</f>
        <v/>
      </c>
      <c r="G4188" s="66" t="str">
        <f>IF(Seventeenth!G191="", "",Seventeenth!G191)</f>
        <v/>
      </c>
      <c r="H4188" s="66" t="str">
        <f>IF(Seventeenth!H191="", "",Seventeenth!H191)</f>
        <v/>
      </c>
      <c r="I4188" s="66" t="str">
        <f>IF(Seventeenth!I191="", "",Seventeenth!I191)</f>
        <v/>
      </c>
      <c r="J4188" s="66" t="str">
        <f>IF(Seventeenth!J191="", "",Seventeenth!J191)</f>
        <v/>
      </c>
      <c r="K4188" s="86" t="str">
        <f>IF(Seventeenth!K191="", "",Seventeenth!K191)</f>
        <v/>
      </c>
      <c r="M4188" s="67" t="str">
        <f t="shared" si="197"/>
        <v/>
      </c>
      <c r="N4188" s="76" t="str">
        <f t="shared" si="198"/>
        <v/>
      </c>
      <c r="O4188" s="33">
        <f t="shared" si="196"/>
        <v>0</v>
      </c>
    </row>
    <row r="4189" spans="1:15" x14ac:dyDescent="0.25">
      <c r="A4189" s="64" t="s">
        <v>188</v>
      </c>
      <c r="B4189" s="79" t="str">
        <f>IF(Seventeenth!B192="", "",Seventeenth!B192)</f>
        <v/>
      </c>
      <c r="C4189" s="66" t="str">
        <f>IF(Seventeenth!C192="", "",Seventeenth!C192)</f>
        <v/>
      </c>
      <c r="D4189" s="66" t="str">
        <f>IF(Seventeenth!D192="", "",Seventeenth!D192)</f>
        <v/>
      </c>
      <c r="E4189" s="66" t="str">
        <f>IF(Seventeenth!E192="", "",Seventeenth!E192)</f>
        <v/>
      </c>
      <c r="F4189" s="66" t="str">
        <f>IF(Seventeenth!F192="", "",Seventeenth!F192)</f>
        <v/>
      </c>
      <c r="G4189" s="66" t="str">
        <f>IF(Seventeenth!G192="", "",Seventeenth!G192)</f>
        <v/>
      </c>
      <c r="H4189" s="66" t="str">
        <f>IF(Seventeenth!H192="", "",Seventeenth!H192)</f>
        <v/>
      </c>
      <c r="I4189" s="66" t="str">
        <f>IF(Seventeenth!I192="", "",Seventeenth!I192)</f>
        <v/>
      </c>
      <c r="J4189" s="66" t="str">
        <f>IF(Seventeenth!J192="", "",Seventeenth!J192)</f>
        <v/>
      </c>
      <c r="K4189" s="86" t="str">
        <f>IF(Seventeenth!K192="", "",Seventeenth!K192)</f>
        <v/>
      </c>
      <c r="M4189" s="67" t="str">
        <f t="shared" si="197"/>
        <v/>
      </c>
      <c r="N4189" s="76" t="str">
        <f t="shared" si="198"/>
        <v/>
      </c>
      <c r="O4189" s="33">
        <f t="shared" si="196"/>
        <v>0</v>
      </c>
    </row>
    <row r="4190" spans="1:15" x14ac:dyDescent="0.25">
      <c r="A4190" s="64" t="s">
        <v>188</v>
      </c>
      <c r="B4190" s="79" t="str">
        <f>IF(Seventeenth!B193="", "",Seventeenth!B193)</f>
        <v/>
      </c>
      <c r="C4190" s="66" t="str">
        <f>IF(Seventeenth!C193="", "",Seventeenth!C193)</f>
        <v/>
      </c>
      <c r="D4190" s="66" t="str">
        <f>IF(Seventeenth!D193="", "",Seventeenth!D193)</f>
        <v/>
      </c>
      <c r="E4190" s="66" t="str">
        <f>IF(Seventeenth!E193="", "",Seventeenth!E193)</f>
        <v/>
      </c>
      <c r="F4190" s="66" t="str">
        <f>IF(Seventeenth!F193="", "",Seventeenth!F193)</f>
        <v/>
      </c>
      <c r="G4190" s="66" t="str">
        <f>IF(Seventeenth!G193="", "",Seventeenth!G193)</f>
        <v/>
      </c>
      <c r="H4190" s="66" t="str">
        <f>IF(Seventeenth!H193="", "",Seventeenth!H193)</f>
        <v/>
      </c>
      <c r="I4190" s="66" t="str">
        <f>IF(Seventeenth!I193="", "",Seventeenth!I193)</f>
        <v/>
      </c>
      <c r="J4190" s="66" t="str">
        <f>IF(Seventeenth!J193="", "",Seventeenth!J193)</f>
        <v/>
      </c>
      <c r="K4190" s="86" t="str">
        <f>IF(Seventeenth!K193="", "",Seventeenth!K193)</f>
        <v/>
      </c>
      <c r="M4190" s="67" t="str">
        <f t="shared" si="197"/>
        <v/>
      </c>
      <c r="N4190" s="76" t="str">
        <f t="shared" si="198"/>
        <v/>
      </c>
      <c r="O4190" s="33">
        <f t="shared" si="196"/>
        <v>0</v>
      </c>
    </row>
    <row r="4191" spans="1:15" x14ac:dyDescent="0.25">
      <c r="A4191" s="64" t="s">
        <v>188</v>
      </c>
      <c r="B4191" s="79" t="str">
        <f>IF(Seventeenth!B194="", "",Seventeenth!B194)</f>
        <v/>
      </c>
      <c r="C4191" s="66" t="str">
        <f>IF(Seventeenth!C194="", "",Seventeenth!C194)</f>
        <v/>
      </c>
      <c r="D4191" s="66" t="str">
        <f>IF(Seventeenth!D194="", "",Seventeenth!D194)</f>
        <v/>
      </c>
      <c r="E4191" s="66" t="str">
        <f>IF(Seventeenth!E194="", "",Seventeenth!E194)</f>
        <v/>
      </c>
      <c r="F4191" s="66" t="str">
        <f>IF(Seventeenth!F194="", "",Seventeenth!F194)</f>
        <v/>
      </c>
      <c r="G4191" s="66" t="str">
        <f>IF(Seventeenth!G194="", "",Seventeenth!G194)</f>
        <v/>
      </c>
      <c r="H4191" s="66" t="str">
        <f>IF(Seventeenth!H194="", "",Seventeenth!H194)</f>
        <v/>
      </c>
      <c r="I4191" s="66" t="str">
        <f>IF(Seventeenth!I194="", "",Seventeenth!I194)</f>
        <v/>
      </c>
      <c r="J4191" s="66" t="str">
        <f>IF(Seventeenth!J194="", "",Seventeenth!J194)</f>
        <v/>
      </c>
      <c r="K4191" s="86" t="str">
        <f>IF(Seventeenth!K194="", "",Seventeenth!K194)</f>
        <v/>
      </c>
      <c r="M4191" s="67" t="str">
        <f t="shared" si="197"/>
        <v/>
      </c>
      <c r="N4191" s="76" t="str">
        <f t="shared" si="198"/>
        <v/>
      </c>
      <c r="O4191" s="33">
        <f t="shared" si="196"/>
        <v>0</v>
      </c>
    </row>
    <row r="4192" spans="1:15" x14ac:dyDescent="0.25">
      <c r="A4192" s="64" t="s">
        <v>188</v>
      </c>
      <c r="B4192" s="79" t="str">
        <f>IF(Seventeenth!B195="", "",Seventeenth!B195)</f>
        <v/>
      </c>
      <c r="C4192" s="66" t="str">
        <f>IF(Seventeenth!C195="", "",Seventeenth!C195)</f>
        <v/>
      </c>
      <c r="D4192" s="66" t="str">
        <f>IF(Seventeenth!D195="", "",Seventeenth!D195)</f>
        <v/>
      </c>
      <c r="E4192" s="66" t="str">
        <f>IF(Seventeenth!E195="", "",Seventeenth!E195)</f>
        <v/>
      </c>
      <c r="F4192" s="66" t="str">
        <f>IF(Seventeenth!F195="", "",Seventeenth!F195)</f>
        <v/>
      </c>
      <c r="G4192" s="66" t="str">
        <f>IF(Seventeenth!G195="", "",Seventeenth!G195)</f>
        <v/>
      </c>
      <c r="H4192" s="66" t="str">
        <f>IF(Seventeenth!H195="", "",Seventeenth!H195)</f>
        <v/>
      </c>
      <c r="I4192" s="66" t="str">
        <f>IF(Seventeenth!I195="", "",Seventeenth!I195)</f>
        <v/>
      </c>
      <c r="J4192" s="66" t="str">
        <f>IF(Seventeenth!J195="", "",Seventeenth!J195)</f>
        <v/>
      </c>
      <c r="K4192" s="86" t="str">
        <f>IF(Seventeenth!K195="", "",Seventeenth!K195)</f>
        <v/>
      </c>
      <c r="M4192" s="67" t="str">
        <f t="shared" si="197"/>
        <v/>
      </c>
      <c r="N4192" s="76" t="str">
        <f t="shared" si="198"/>
        <v/>
      </c>
      <c r="O4192" s="33">
        <f t="shared" si="196"/>
        <v>0</v>
      </c>
    </row>
    <row r="4193" spans="1:15" x14ac:dyDescent="0.25">
      <c r="A4193" s="64" t="s">
        <v>188</v>
      </c>
      <c r="B4193" s="79" t="str">
        <f>IF(Seventeenth!B196="", "",Seventeenth!B196)</f>
        <v/>
      </c>
      <c r="C4193" s="66" t="str">
        <f>IF(Seventeenth!C196="", "",Seventeenth!C196)</f>
        <v/>
      </c>
      <c r="D4193" s="66" t="str">
        <f>IF(Seventeenth!D196="", "",Seventeenth!D196)</f>
        <v/>
      </c>
      <c r="E4193" s="66" t="str">
        <f>IF(Seventeenth!E196="", "",Seventeenth!E196)</f>
        <v/>
      </c>
      <c r="F4193" s="66" t="str">
        <f>IF(Seventeenth!F196="", "",Seventeenth!F196)</f>
        <v/>
      </c>
      <c r="G4193" s="66" t="str">
        <f>IF(Seventeenth!G196="", "",Seventeenth!G196)</f>
        <v/>
      </c>
      <c r="H4193" s="66" t="str">
        <f>IF(Seventeenth!H196="", "",Seventeenth!H196)</f>
        <v/>
      </c>
      <c r="I4193" s="66" t="str">
        <f>IF(Seventeenth!I196="", "",Seventeenth!I196)</f>
        <v/>
      </c>
      <c r="J4193" s="66" t="str">
        <f>IF(Seventeenth!J196="", "",Seventeenth!J196)</f>
        <v/>
      </c>
      <c r="K4193" s="86" t="str">
        <f>IF(Seventeenth!K196="", "",Seventeenth!K196)</f>
        <v/>
      </c>
      <c r="M4193" s="67" t="str">
        <f t="shared" si="197"/>
        <v/>
      </c>
      <c r="N4193" s="76" t="str">
        <f t="shared" si="198"/>
        <v/>
      </c>
      <c r="O4193" s="33">
        <f t="shared" si="196"/>
        <v>0</v>
      </c>
    </row>
    <row r="4194" spans="1:15" x14ac:dyDescent="0.25">
      <c r="A4194" s="64" t="s">
        <v>188</v>
      </c>
      <c r="B4194" s="79" t="str">
        <f>IF(Seventeenth!B197="", "",Seventeenth!B197)</f>
        <v/>
      </c>
      <c r="C4194" s="66" t="str">
        <f>IF(Seventeenth!C197="", "",Seventeenth!C197)</f>
        <v/>
      </c>
      <c r="D4194" s="66" t="str">
        <f>IF(Seventeenth!D197="", "",Seventeenth!D197)</f>
        <v/>
      </c>
      <c r="E4194" s="66" t="str">
        <f>IF(Seventeenth!E197="", "",Seventeenth!E197)</f>
        <v/>
      </c>
      <c r="F4194" s="66" t="str">
        <f>IF(Seventeenth!F197="", "",Seventeenth!F197)</f>
        <v/>
      </c>
      <c r="G4194" s="66" t="str">
        <f>IF(Seventeenth!G197="", "",Seventeenth!G197)</f>
        <v/>
      </c>
      <c r="H4194" s="66" t="str">
        <f>IF(Seventeenth!H197="", "",Seventeenth!H197)</f>
        <v/>
      </c>
      <c r="I4194" s="66" t="str">
        <f>IF(Seventeenth!I197="", "",Seventeenth!I197)</f>
        <v/>
      </c>
      <c r="J4194" s="66" t="str">
        <f>IF(Seventeenth!J197="", "",Seventeenth!J197)</f>
        <v/>
      </c>
      <c r="K4194" s="86" t="str">
        <f>IF(Seventeenth!K197="", "",Seventeenth!K197)</f>
        <v/>
      </c>
      <c r="M4194" s="67" t="str">
        <f t="shared" si="197"/>
        <v/>
      </c>
      <c r="N4194" s="76" t="str">
        <f t="shared" si="198"/>
        <v/>
      </c>
      <c r="O4194" s="33">
        <f t="shared" si="196"/>
        <v>0</v>
      </c>
    </row>
    <row r="4195" spans="1:15" x14ac:dyDescent="0.25">
      <c r="A4195" s="64" t="s">
        <v>188</v>
      </c>
      <c r="B4195" s="79" t="str">
        <f>IF(Seventeenth!B198="", "",Seventeenth!B198)</f>
        <v/>
      </c>
      <c r="C4195" s="66" t="str">
        <f>IF(Seventeenth!C198="", "",Seventeenth!C198)</f>
        <v/>
      </c>
      <c r="D4195" s="66" t="str">
        <f>IF(Seventeenth!D198="", "",Seventeenth!D198)</f>
        <v/>
      </c>
      <c r="E4195" s="66" t="str">
        <f>IF(Seventeenth!E198="", "",Seventeenth!E198)</f>
        <v/>
      </c>
      <c r="F4195" s="66" t="str">
        <f>IF(Seventeenth!F198="", "",Seventeenth!F198)</f>
        <v/>
      </c>
      <c r="G4195" s="66" t="str">
        <f>IF(Seventeenth!G198="", "",Seventeenth!G198)</f>
        <v/>
      </c>
      <c r="H4195" s="66" t="str">
        <f>IF(Seventeenth!H198="", "",Seventeenth!H198)</f>
        <v/>
      </c>
      <c r="I4195" s="66" t="str">
        <f>IF(Seventeenth!I198="", "",Seventeenth!I198)</f>
        <v/>
      </c>
      <c r="J4195" s="66" t="str">
        <f>IF(Seventeenth!J198="", "",Seventeenth!J198)</f>
        <v/>
      </c>
      <c r="K4195" s="86" t="str">
        <f>IF(Seventeenth!K198="", "",Seventeenth!K198)</f>
        <v/>
      </c>
      <c r="M4195" s="67" t="str">
        <f t="shared" si="197"/>
        <v/>
      </c>
      <c r="N4195" s="76" t="str">
        <f t="shared" si="198"/>
        <v/>
      </c>
      <c r="O4195" s="33">
        <f t="shared" si="196"/>
        <v>0</v>
      </c>
    </row>
    <row r="4196" spans="1:15" x14ac:dyDescent="0.25">
      <c r="A4196" s="64" t="s">
        <v>188</v>
      </c>
      <c r="B4196" s="79" t="str">
        <f>IF(Seventeenth!B199="", "",Seventeenth!B199)</f>
        <v/>
      </c>
      <c r="C4196" s="66" t="str">
        <f>IF(Seventeenth!C199="", "",Seventeenth!C199)</f>
        <v/>
      </c>
      <c r="D4196" s="66" t="str">
        <f>IF(Seventeenth!D199="", "",Seventeenth!D199)</f>
        <v/>
      </c>
      <c r="E4196" s="66" t="str">
        <f>IF(Seventeenth!E199="", "",Seventeenth!E199)</f>
        <v/>
      </c>
      <c r="F4196" s="66" t="str">
        <f>IF(Seventeenth!F199="", "",Seventeenth!F199)</f>
        <v/>
      </c>
      <c r="G4196" s="66" t="str">
        <f>IF(Seventeenth!G199="", "",Seventeenth!G199)</f>
        <v/>
      </c>
      <c r="H4196" s="66" t="str">
        <f>IF(Seventeenth!H199="", "",Seventeenth!H199)</f>
        <v/>
      </c>
      <c r="I4196" s="66" t="str">
        <f>IF(Seventeenth!I199="", "",Seventeenth!I199)</f>
        <v/>
      </c>
      <c r="J4196" s="66" t="str">
        <f>IF(Seventeenth!J199="", "",Seventeenth!J199)</f>
        <v/>
      </c>
      <c r="K4196" s="86" t="str">
        <f>IF(Seventeenth!K199="", "",Seventeenth!K199)</f>
        <v/>
      </c>
      <c r="M4196" s="67" t="str">
        <f t="shared" si="197"/>
        <v/>
      </c>
      <c r="N4196" s="76" t="str">
        <f t="shared" si="198"/>
        <v/>
      </c>
      <c r="O4196" s="33">
        <f t="shared" si="196"/>
        <v>0</v>
      </c>
    </row>
    <row r="4197" spans="1:15" x14ac:dyDescent="0.25">
      <c r="A4197" s="64" t="s">
        <v>188</v>
      </c>
      <c r="B4197" s="79" t="str">
        <f>IF(Seventeenth!B200="", "",Seventeenth!B200)</f>
        <v/>
      </c>
      <c r="C4197" s="66" t="str">
        <f>IF(Seventeenth!C200="", "",Seventeenth!C200)</f>
        <v/>
      </c>
      <c r="D4197" s="66" t="str">
        <f>IF(Seventeenth!D200="", "",Seventeenth!D200)</f>
        <v/>
      </c>
      <c r="E4197" s="66" t="str">
        <f>IF(Seventeenth!E200="", "",Seventeenth!E200)</f>
        <v/>
      </c>
      <c r="F4197" s="66" t="str">
        <f>IF(Seventeenth!F200="", "",Seventeenth!F200)</f>
        <v/>
      </c>
      <c r="G4197" s="66" t="str">
        <f>IF(Seventeenth!G200="", "",Seventeenth!G200)</f>
        <v/>
      </c>
      <c r="H4197" s="66" t="str">
        <f>IF(Seventeenth!H200="", "",Seventeenth!H200)</f>
        <v/>
      </c>
      <c r="I4197" s="66" t="str">
        <f>IF(Seventeenth!I200="", "",Seventeenth!I200)</f>
        <v/>
      </c>
      <c r="J4197" s="66" t="str">
        <f>IF(Seventeenth!J200="", "",Seventeenth!J200)</f>
        <v/>
      </c>
      <c r="K4197" s="86" t="str">
        <f>IF(Seventeenth!K200="", "",Seventeenth!K200)</f>
        <v/>
      </c>
      <c r="M4197" s="67" t="str">
        <f t="shared" si="197"/>
        <v/>
      </c>
      <c r="N4197" s="76" t="str">
        <f t="shared" si="198"/>
        <v/>
      </c>
      <c r="O4197" s="33">
        <f t="shared" si="196"/>
        <v>0</v>
      </c>
    </row>
    <row r="4198" spans="1:15" x14ac:dyDescent="0.25">
      <c r="A4198" s="64" t="s">
        <v>188</v>
      </c>
      <c r="B4198" s="79" t="str">
        <f>IF(Seventeenth!B201="", "",Seventeenth!B201)</f>
        <v/>
      </c>
      <c r="C4198" s="66" t="str">
        <f>IF(Seventeenth!C201="", "",Seventeenth!C201)</f>
        <v/>
      </c>
      <c r="D4198" s="66" t="str">
        <f>IF(Seventeenth!D201="", "",Seventeenth!D201)</f>
        <v/>
      </c>
      <c r="E4198" s="66" t="str">
        <f>IF(Seventeenth!E201="", "",Seventeenth!E201)</f>
        <v/>
      </c>
      <c r="F4198" s="66" t="str">
        <f>IF(Seventeenth!F201="", "",Seventeenth!F201)</f>
        <v/>
      </c>
      <c r="G4198" s="66" t="str">
        <f>IF(Seventeenth!G201="", "",Seventeenth!G201)</f>
        <v/>
      </c>
      <c r="H4198" s="66" t="str">
        <f>IF(Seventeenth!H201="", "",Seventeenth!H201)</f>
        <v/>
      </c>
      <c r="I4198" s="66" t="str">
        <f>IF(Seventeenth!I201="", "",Seventeenth!I201)</f>
        <v/>
      </c>
      <c r="J4198" s="66" t="str">
        <f>IF(Seventeenth!J201="", "",Seventeenth!J201)</f>
        <v/>
      </c>
      <c r="K4198" s="86" t="str">
        <f>IF(Seventeenth!K201="", "",Seventeenth!K201)</f>
        <v/>
      </c>
      <c r="M4198" s="67" t="str">
        <f t="shared" si="197"/>
        <v/>
      </c>
      <c r="N4198" s="76" t="str">
        <f t="shared" si="198"/>
        <v/>
      </c>
      <c r="O4198" s="33">
        <f t="shared" si="196"/>
        <v>0</v>
      </c>
    </row>
    <row r="4199" spans="1:15" x14ac:dyDescent="0.25">
      <c r="A4199" s="64" t="s">
        <v>188</v>
      </c>
      <c r="B4199" s="79" t="str">
        <f>IF(Seventeenth!B202="", "",Seventeenth!B202)</f>
        <v/>
      </c>
      <c r="C4199" s="66" t="str">
        <f>IF(Seventeenth!C202="", "",Seventeenth!C202)</f>
        <v/>
      </c>
      <c r="D4199" s="66" t="str">
        <f>IF(Seventeenth!D202="", "",Seventeenth!D202)</f>
        <v/>
      </c>
      <c r="E4199" s="66" t="str">
        <f>IF(Seventeenth!E202="", "",Seventeenth!E202)</f>
        <v/>
      </c>
      <c r="F4199" s="66" t="str">
        <f>IF(Seventeenth!F202="", "",Seventeenth!F202)</f>
        <v/>
      </c>
      <c r="G4199" s="66" t="str">
        <f>IF(Seventeenth!G202="", "",Seventeenth!G202)</f>
        <v/>
      </c>
      <c r="H4199" s="66" t="str">
        <f>IF(Seventeenth!H202="", "",Seventeenth!H202)</f>
        <v/>
      </c>
      <c r="I4199" s="66" t="str">
        <f>IF(Seventeenth!I202="", "",Seventeenth!I202)</f>
        <v/>
      </c>
      <c r="J4199" s="66" t="str">
        <f>IF(Seventeenth!J202="", "",Seventeenth!J202)</f>
        <v/>
      </c>
      <c r="K4199" s="86" t="str">
        <f>IF(Seventeenth!K202="", "",Seventeenth!K202)</f>
        <v/>
      </c>
      <c r="M4199" s="67" t="str">
        <f t="shared" si="197"/>
        <v/>
      </c>
      <c r="N4199" s="76" t="str">
        <f t="shared" si="198"/>
        <v/>
      </c>
      <c r="O4199" s="33">
        <f t="shared" si="196"/>
        <v>0</v>
      </c>
    </row>
    <row r="4200" spans="1:15" x14ac:dyDescent="0.25">
      <c r="A4200" s="64" t="s">
        <v>188</v>
      </c>
      <c r="B4200" s="79" t="str">
        <f>IF(Seventeenth!B203="", "",Seventeenth!B203)</f>
        <v/>
      </c>
      <c r="C4200" s="66" t="str">
        <f>IF(Seventeenth!C203="", "",Seventeenth!C203)</f>
        <v/>
      </c>
      <c r="D4200" s="66" t="str">
        <f>IF(Seventeenth!D203="", "",Seventeenth!D203)</f>
        <v/>
      </c>
      <c r="E4200" s="66" t="str">
        <f>IF(Seventeenth!E203="", "",Seventeenth!E203)</f>
        <v/>
      </c>
      <c r="F4200" s="66" t="str">
        <f>IF(Seventeenth!F203="", "",Seventeenth!F203)</f>
        <v/>
      </c>
      <c r="G4200" s="66" t="str">
        <f>IF(Seventeenth!G203="", "",Seventeenth!G203)</f>
        <v/>
      </c>
      <c r="H4200" s="66" t="str">
        <f>IF(Seventeenth!H203="", "",Seventeenth!H203)</f>
        <v/>
      </c>
      <c r="I4200" s="66" t="str">
        <f>IF(Seventeenth!I203="", "",Seventeenth!I203)</f>
        <v/>
      </c>
      <c r="J4200" s="66" t="str">
        <f>IF(Seventeenth!J203="", "",Seventeenth!J203)</f>
        <v/>
      </c>
      <c r="K4200" s="86" t="str">
        <f>IF(Seventeenth!K203="", "",Seventeenth!K203)</f>
        <v/>
      </c>
      <c r="M4200" s="67" t="str">
        <f t="shared" si="197"/>
        <v/>
      </c>
      <c r="N4200" s="76" t="str">
        <f t="shared" si="198"/>
        <v/>
      </c>
      <c r="O4200" s="33">
        <f t="shared" si="196"/>
        <v>0</v>
      </c>
    </row>
    <row r="4201" spans="1:15" x14ac:dyDescent="0.25">
      <c r="A4201" s="64" t="s">
        <v>188</v>
      </c>
      <c r="B4201" s="79" t="str">
        <f>IF(Seventeenth!B204="", "",Seventeenth!B204)</f>
        <v/>
      </c>
      <c r="C4201" s="66" t="str">
        <f>IF(Seventeenth!C204="", "",Seventeenth!C204)</f>
        <v/>
      </c>
      <c r="D4201" s="66" t="str">
        <f>IF(Seventeenth!D204="", "",Seventeenth!D204)</f>
        <v/>
      </c>
      <c r="E4201" s="66" t="str">
        <f>IF(Seventeenth!E204="", "",Seventeenth!E204)</f>
        <v/>
      </c>
      <c r="F4201" s="66" t="str">
        <f>IF(Seventeenth!F204="", "",Seventeenth!F204)</f>
        <v/>
      </c>
      <c r="G4201" s="66" t="str">
        <f>IF(Seventeenth!G204="", "",Seventeenth!G204)</f>
        <v/>
      </c>
      <c r="H4201" s="66" t="str">
        <f>IF(Seventeenth!H204="", "",Seventeenth!H204)</f>
        <v/>
      </c>
      <c r="I4201" s="66" t="str">
        <f>IF(Seventeenth!I204="", "",Seventeenth!I204)</f>
        <v/>
      </c>
      <c r="J4201" s="66" t="str">
        <f>IF(Seventeenth!J204="", "",Seventeenth!J204)</f>
        <v/>
      </c>
      <c r="K4201" s="86" t="str">
        <f>IF(Seventeenth!K204="", "",Seventeenth!K204)</f>
        <v/>
      </c>
      <c r="M4201" s="67" t="str">
        <f t="shared" si="197"/>
        <v/>
      </c>
      <c r="N4201" s="76" t="str">
        <f t="shared" si="198"/>
        <v/>
      </c>
      <c r="O4201" s="33">
        <f>SUM(M4201:N4201)</f>
        <v>0</v>
      </c>
    </row>
    <row r="4202" spans="1:15" x14ac:dyDescent="0.25">
      <c r="A4202" s="64" t="s">
        <v>188</v>
      </c>
      <c r="B4202" s="79" t="str">
        <f>IF(Seventeenth!B205="", "",Seventeenth!B205)</f>
        <v/>
      </c>
      <c r="C4202" s="66" t="str">
        <f>IF(Seventeenth!C205="", "",Seventeenth!C205)</f>
        <v/>
      </c>
      <c r="D4202" s="66" t="str">
        <f>IF(Seventeenth!D205="", "",Seventeenth!D205)</f>
        <v/>
      </c>
      <c r="E4202" s="66" t="str">
        <f>IF(Seventeenth!E205="", "",Seventeenth!E205)</f>
        <v/>
      </c>
      <c r="F4202" s="66" t="str">
        <f>IF(Seventeenth!F205="", "",Seventeenth!F205)</f>
        <v/>
      </c>
      <c r="G4202" s="66" t="str">
        <f>IF(Seventeenth!G205="", "",Seventeenth!G205)</f>
        <v/>
      </c>
      <c r="H4202" s="66" t="str">
        <f>IF(Seventeenth!H205="", "",Seventeenth!H205)</f>
        <v/>
      </c>
      <c r="I4202" s="66" t="str">
        <f>IF(Seventeenth!I205="", "",Seventeenth!I205)</f>
        <v/>
      </c>
      <c r="J4202" s="66" t="str">
        <f>IF(Seventeenth!J205="", "",Seventeenth!J205)</f>
        <v/>
      </c>
      <c r="K4202" s="86" t="str">
        <f>IF(Seventeenth!K205="", "",Seventeenth!K205)</f>
        <v/>
      </c>
      <c r="M4202" s="67" t="str">
        <f t="shared" si="197"/>
        <v/>
      </c>
      <c r="N4202" s="76" t="str">
        <f t="shared" si="198"/>
        <v/>
      </c>
      <c r="O4202" s="33">
        <f t="shared" ref="O4202:O4265" si="199">SUM(M4202:N4202)</f>
        <v>0</v>
      </c>
    </row>
    <row r="4203" spans="1:15" x14ac:dyDescent="0.25">
      <c r="A4203" s="64" t="s">
        <v>188</v>
      </c>
      <c r="B4203" s="79" t="str">
        <f>IF(Seventeenth!B206="", "",Seventeenth!B206)</f>
        <v/>
      </c>
      <c r="C4203" s="66" t="str">
        <f>IF(Seventeenth!C206="", "",Seventeenth!C206)</f>
        <v/>
      </c>
      <c r="D4203" s="66" t="str">
        <f>IF(Seventeenth!D206="", "",Seventeenth!D206)</f>
        <v/>
      </c>
      <c r="E4203" s="66" t="str">
        <f>IF(Seventeenth!E206="", "",Seventeenth!E206)</f>
        <v/>
      </c>
      <c r="F4203" s="66" t="str">
        <f>IF(Seventeenth!F206="", "",Seventeenth!F206)</f>
        <v/>
      </c>
      <c r="G4203" s="66" t="str">
        <f>IF(Seventeenth!G206="", "",Seventeenth!G206)</f>
        <v/>
      </c>
      <c r="H4203" s="66" t="str">
        <f>IF(Seventeenth!H206="", "",Seventeenth!H206)</f>
        <v/>
      </c>
      <c r="I4203" s="66" t="str">
        <f>IF(Seventeenth!I206="", "",Seventeenth!I206)</f>
        <v/>
      </c>
      <c r="J4203" s="66" t="str">
        <f>IF(Seventeenth!J206="", "",Seventeenth!J206)</f>
        <v/>
      </c>
      <c r="K4203" s="86" t="str">
        <f>IF(Seventeenth!K206="", "",Seventeenth!K206)</f>
        <v/>
      </c>
      <c r="M4203" s="67" t="str">
        <f t="shared" si="197"/>
        <v/>
      </c>
      <c r="N4203" s="76" t="str">
        <f t="shared" si="198"/>
        <v/>
      </c>
      <c r="O4203" s="33">
        <f t="shared" si="199"/>
        <v>0</v>
      </c>
    </row>
    <row r="4204" spans="1:15" x14ac:dyDescent="0.25">
      <c r="A4204" s="64" t="s">
        <v>188</v>
      </c>
      <c r="B4204" s="79" t="str">
        <f>IF(Seventeenth!B207="", "",Seventeenth!B207)</f>
        <v/>
      </c>
      <c r="C4204" s="66" t="str">
        <f>IF(Seventeenth!C207="", "",Seventeenth!C207)</f>
        <v/>
      </c>
      <c r="D4204" s="66" t="str">
        <f>IF(Seventeenth!D207="", "",Seventeenth!D207)</f>
        <v/>
      </c>
      <c r="E4204" s="66" t="str">
        <f>IF(Seventeenth!E207="", "",Seventeenth!E207)</f>
        <v/>
      </c>
      <c r="F4204" s="66" t="str">
        <f>IF(Seventeenth!F207="", "",Seventeenth!F207)</f>
        <v/>
      </c>
      <c r="G4204" s="66" t="str">
        <f>IF(Seventeenth!G207="", "",Seventeenth!G207)</f>
        <v/>
      </c>
      <c r="H4204" s="66" t="str">
        <f>IF(Seventeenth!H207="", "",Seventeenth!H207)</f>
        <v/>
      </c>
      <c r="I4204" s="66" t="str">
        <f>IF(Seventeenth!I207="", "",Seventeenth!I207)</f>
        <v/>
      </c>
      <c r="J4204" s="66" t="str">
        <f>IF(Seventeenth!J207="", "",Seventeenth!J207)</f>
        <v/>
      </c>
      <c r="K4204" s="86" t="str">
        <f>IF(Seventeenth!K207="", "",Seventeenth!K207)</f>
        <v/>
      </c>
      <c r="M4204" s="67" t="str">
        <f t="shared" si="197"/>
        <v/>
      </c>
      <c r="N4204" s="76" t="str">
        <f t="shared" si="198"/>
        <v/>
      </c>
      <c r="O4204" s="33">
        <f t="shared" si="199"/>
        <v>0</v>
      </c>
    </row>
    <row r="4205" spans="1:15" x14ac:dyDescent="0.25">
      <c r="A4205" s="64" t="s">
        <v>188</v>
      </c>
      <c r="B4205" s="79" t="str">
        <f>IF(Seventeenth!B208="", "",Seventeenth!B208)</f>
        <v/>
      </c>
      <c r="C4205" s="66" t="str">
        <f>IF(Seventeenth!C208="", "",Seventeenth!C208)</f>
        <v/>
      </c>
      <c r="D4205" s="66" t="str">
        <f>IF(Seventeenth!D208="", "",Seventeenth!D208)</f>
        <v/>
      </c>
      <c r="E4205" s="66" t="str">
        <f>IF(Seventeenth!E208="", "",Seventeenth!E208)</f>
        <v/>
      </c>
      <c r="F4205" s="66" t="str">
        <f>IF(Seventeenth!F208="", "",Seventeenth!F208)</f>
        <v/>
      </c>
      <c r="G4205" s="66" t="str">
        <f>IF(Seventeenth!G208="", "",Seventeenth!G208)</f>
        <v/>
      </c>
      <c r="H4205" s="66" t="str">
        <f>IF(Seventeenth!H208="", "",Seventeenth!H208)</f>
        <v/>
      </c>
      <c r="I4205" s="66" t="str">
        <f>IF(Seventeenth!I208="", "",Seventeenth!I208)</f>
        <v/>
      </c>
      <c r="J4205" s="66" t="str">
        <f>IF(Seventeenth!J208="", "",Seventeenth!J208)</f>
        <v/>
      </c>
      <c r="K4205" s="86" t="str">
        <f>IF(Seventeenth!K208="", "",Seventeenth!K208)</f>
        <v/>
      </c>
      <c r="M4205" s="67" t="str">
        <f t="shared" si="197"/>
        <v/>
      </c>
      <c r="N4205" s="76" t="str">
        <f t="shared" si="198"/>
        <v/>
      </c>
      <c r="O4205" s="33">
        <f t="shared" si="199"/>
        <v>0</v>
      </c>
    </row>
    <row r="4206" spans="1:15" x14ac:dyDescent="0.25">
      <c r="A4206" s="64" t="s">
        <v>188</v>
      </c>
      <c r="B4206" s="79" t="str">
        <f>IF(Seventeenth!B209="", "",Seventeenth!B209)</f>
        <v/>
      </c>
      <c r="C4206" s="66" t="str">
        <f>IF(Seventeenth!C209="", "",Seventeenth!C209)</f>
        <v/>
      </c>
      <c r="D4206" s="66" t="str">
        <f>IF(Seventeenth!D209="", "",Seventeenth!D209)</f>
        <v/>
      </c>
      <c r="E4206" s="66" t="str">
        <f>IF(Seventeenth!E209="", "",Seventeenth!E209)</f>
        <v/>
      </c>
      <c r="F4206" s="66" t="str">
        <f>IF(Seventeenth!F209="", "",Seventeenth!F209)</f>
        <v/>
      </c>
      <c r="G4206" s="66" t="str">
        <f>IF(Seventeenth!G209="", "",Seventeenth!G209)</f>
        <v/>
      </c>
      <c r="H4206" s="66" t="str">
        <f>IF(Seventeenth!H209="", "",Seventeenth!H209)</f>
        <v/>
      </c>
      <c r="I4206" s="66" t="str">
        <f>IF(Seventeenth!I209="", "",Seventeenth!I209)</f>
        <v/>
      </c>
      <c r="J4206" s="66" t="str">
        <f>IF(Seventeenth!J209="", "",Seventeenth!J209)</f>
        <v/>
      </c>
      <c r="K4206" s="86" t="str">
        <f>IF(Seventeenth!K209="", "",Seventeenth!K209)</f>
        <v/>
      </c>
      <c r="M4206" s="67" t="str">
        <f t="shared" si="197"/>
        <v/>
      </c>
      <c r="N4206" s="76" t="str">
        <f t="shared" si="198"/>
        <v/>
      </c>
      <c r="O4206" s="33">
        <f t="shared" si="199"/>
        <v>0</v>
      </c>
    </row>
    <row r="4207" spans="1:15" x14ac:dyDescent="0.25">
      <c r="A4207" s="64" t="s">
        <v>188</v>
      </c>
      <c r="B4207" s="79" t="str">
        <f>IF(Seventeenth!B210="", "",Seventeenth!B210)</f>
        <v/>
      </c>
      <c r="C4207" s="66" t="str">
        <f>IF(Seventeenth!C210="", "",Seventeenth!C210)</f>
        <v/>
      </c>
      <c r="D4207" s="66" t="str">
        <f>IF(Seventeenth!D210="", "",Seventeenth!D210)</f>
        <v/>
      </c>
      <c r="E4207" s="66" t="str">
        <f>IF(Seventeenth!E210="", "",Seventeenth!E210)</f>
        <v/>
      </c>
      <c r="F4207" s="66" t="str">
        <f>IF(Seventeenth!F210="", "",Seventeenth!F210)</f>
        <v/>
      </c>
      <c r="G4207" s="66" t="str">
        <f>IF(Seventeenth!G210="", "",Seventeenth!G210)</f>
        <v/>
      </c>
      <c r="H4207" s="66" t="str">
        <f>IF(Seventeenth!H210="", "",Seventeenth!H210)</f>
        <v/>
      </c>
      <c r="I4207" s="66" t="str">
        <f>IF(Seventeenth!I210="", "",Seventeenth!I210)</f>
        <v/>
      </c>
      <c r="J4207" s="66" t="str">
        <f>IF(Seventeenth!J210="", "",Seventeenth!J210)</f>
        <v/>
      </c>
      <c r="K4207" s="86" t="str">
        <f>IF(Seventeenth!K210="", "",Seventeenth!K210)</f>
        <v/>
      </c>
      <c r="M4207" s="67" t="str">
        <f t="shared" si="197"/>
        <v/>
      </c>
      <c r="N4207" s="76" t="str">
        <f t="shared" si="198"/>
        <v/>
      </c>
      <c r="O4207" s="33">
        <f t="shared" si="199"/>
        <v>0</v>
      </c>
    </row>
    <row r="4208" spans="1:15" x14ac:dyDescent="0.25">
      <c r="A4208" s="64" t="s">
        <v>188</v>
      </c>
      <c r="B4208" s="79" t="str">
        <f>IF(Seventeenth!B211="", "",Seventeenth!B211)</f>
        <v/>
      </c>
      <c r="C4208" s="66" t="str">
        <f>IF(Seventeenth!C211="", "",Seventeenth!C211)</f>
        <v/>
      </c>
      <c r="D4208" s="66" t="str">
        <f>IF(Seventeenth!D211="", "",Seventeenth!D211)</f>
        <v/>
      </c>
      <c r="E4208" s="66" t="str">
        <f>IF(Seventeenth!E211="", "",Seventeenth!E211)</f>
        <v/>
      </c>
      <c r="F4208" s="66" t="str">
        <f>IF(Seventeenth!F211="", "",Seventeenth!F211)</f>
        <v/>
      </c>
      <c r="G4208" s="66" t="str">
        <f>IF(Seventeenth!G211="", "",Seventeenth!G211)</f>
        <v/>
      </c>
      <c r="H4208" s="66" t="str">
        <f>IF(Seventeenth!H211="", "",Seventeenth!H211)</f>
        <v/>
      </c>
      <c r="I4208" s="66" t="str">
        <f>IF(Seventeenth!I211="", "",Seventeenth!I211)</f>
        <v/>
      </c>
      <c r="J4208" s="66" t="str">
        <f>IF(Seventeenth!J211="", "",Seventeenth!J211)</f>
        <v/>
      </c>
      <c r="K4208" s="86" t="str">
        <f>IF(Seventeenth!K211="", "",Seventeenth!K211)</f>
        <v/>
      </c>
      <c r="M4208" s="67" t="str">
        <f t="shared" si="197"/>
        <v/>
      </c>
      <c r="N4208" s="76" t="str">
        <f t="shared" si="198"/>
        <v/>
      </c>
      <c r="O4208" s="33">
        <f t="shared" si="199"/>
        <v>0</v>
      </c>
    </row>
    <row r="4209" spans="1:15" x14ac:dyDescent="0.25">
      <c r="A4209" s="64" t="s">
        <v>188</v>
      </c>
      <c r="B4209" s="79" t="str">
        <f>IF(Seventeenth!B212="", "",Seventeenth!B212)</f>
        <v/>
      </c>
      <c r="C4209" s="66" t="str">
        <f>IF(Seventeenth!C212="", "",Seventeenth!C212)</f>
        <v/>
      </c>
      <c r="D4209" s="66" t="str">
        <f>IF(Seventeenth!D212="", "",Seventeenth!D212)</f>
        <v/>
      </c>
      <c r="E4209" s="66" t="str">
        <f>IF(Seventeenth!E212="", "",Seventeenth!E212)</f>
        <v/>
      </c>
      <c r="F4209" s="66" t="str">
        <f>IF(Seventeenth!F212="", "",Seventeenth!F212)</f>
        <v/>
      </c>
      <c r="G4209" s="66" t="str">
        <f>IF(Seventeenth!G212="", "",Seventeenth!G212)</f>
        <v/>
      </c>
      <c r="H4209" s="66" t="str">
        <f>IF(Seventeenth!H212="", "",Seventeenth!H212)</f>
        <v/>
      </c>
      <c r="I4209" s="66" t="str">
        <f>IF(Seventeenth!I212="", "",Seventeenth!I212)</f>
        <v/>
      </c>
      <c r="J4209" s="66" t="str">
        <f>IF(Seventeenth!J212="", "",Seventeenth!J212)</f>
        <v/>
      </c>
      <c r="K4209" s="86" t="str">
        <f>IF(Seventeenth!K212="", "",Seventeenth!K212)</f>
        <v/>
      </c>
      <c r="M4209" s="67" t="str">
        <f t="shared" si="197"/>
        <v/>
      </c>
      <c r="N4209" s="76" t="str">
        <f t="shared" si="198"/>
        <v/>
      </c>
      <c r="O4209" s="33">
        <f t="shared" si="199"/>
        <v>0</v>
      </c>
    </row>
    <row r="4210" spans="1:15" x14ac:dyDescent="0.25">
      <c r="A4210" s="64" t="s">
        <v>188</v>
      </c>
      <c r="B4210" s="79" t="str">
        <f>IF(Seventeenth!B213="", "",Seventeenth!B213)</f>
        <v/>
      </c>
      <c r="C4210" s="66" t="str">
        <f>IF(Seventeenth!C213="", "",Seventeenth!C213)</f>
        <v/>
      </c>
      <c r="D4210" s="66" t="str">
        <f>IF(Seventeenth!D213="", "",Seventeenth!D213)</f>
        <v/>
      </c>
      <c r="E4210" s="66" t="str">
        <f>IF(Seventeenth!E213="", "",Seventeenth!E213)</f>
        <v/>
      </c>
      <c r="F4210" s="66" t="str">
        <f>IF(Seventeenth!F213="", "",Seventeenth!F213)</f>
        <v/>
      </c>
      <c r="G4210" s="66" t="str">
        <f>IF(Seventeenth!G213="", "",Seventeenth!G213)</f>
        <v/>
      </c>
      <c r="H4210" s="66" t="str">
        <f>IF(Seventeenth!H213="", "",Seventeenth!H213)</f>
        <v/>
      </c>
      <c r="I4210" s="66" t="str">
        <f>IF(Seventeenth!I213="", "",Seventeenth!I213)</f>
        <v/>
      </c>
      <c r="J4210" s="66" t="str">
        <f>IF(Seventeenth!J213="", "",Seventeenth!J213)</f>
        <v/>
      </c>
      <c r="K4210" s="86" t="str">
        <f>IF(Seventeenth!K213="", "",Seventeenth!K213)</f>
        <v/>
      </c>
      <c r="M4210" s="67" t="str">
        <f t="shared" si="197"/>
        <v/>
      </c>
      <c r="N4210" s="76" t="str">
        <f t="shared" si="198"/>
        <v/>
      </c>
      <c r="O4210" s="33">
        <f t="shared" si="199"/>
        <v>0</v>
      </c>
    </row>
    <row r="4211" spans="1:15" x14ac:dyDescent="0.25">
      <c r="A4211" s="64" t="s">
        <v>188</v>
      </c>
      <c r="B4211" s="79" t="str">
        <f>IF(Seventeenth!B214="", "",Seventeenth!B214)</f>
        <v/>
      </c>
      <c r="C4211" s="66" t="str">
        <f>IF(Seventeenth!C214="", "",Seventeenth!C214)</f>
        <v/>
      </c>
      <c r="D4211" s="66" t="str">
        <f>IF(Seventeenth!D214="", "",Seventeenth!D214)</f>
        <v/>
      </c>
      <c r="E4211" s="66" t="str">
        <f>IF(Seventeenth!E214="", "",Seventeenth!E214)</f>
        <v/>
      </c>
      <c r="F4211" s="66" t="str">
        <f>IF(Seventeenth!F214="", "",Seventeenth!F214)</f>
        <v/>
      </c>
      <c r="G4211" s="66" t="str">
        <f>IF(Seventeenth!G214="", "",Seventeenth!G214)</f>
        <v/>
      </c>
      <c r="H4211" s="66" t="str">
        <f>IF(Seventeenth!H214="", "",Seventeenth!H214)</f>
        <v/>
      </c>
      <c r="I4211" s="66" t="str">
        <f>IF(Seventeenth!I214="", "",Seventeenth!I214)</f>
        <v/>
      </c>
      <c r="J4211" s="66" t="str">
        <f>IF(Seventeenth!J214="", "",Seventeenth!J214)</f>
        <v/>
      </c>
      <c r="K4211" s="86" t="str">
        <f>IF(Seventeenth!K214="", "",Seventeenth!K214)</f>
        <v/>
      </c>
      <c r="M4211" s="67" t="str">
        <f t="shared" si="197"/>
        <v/>
      </c>
      <c r="N4211" s="76" t="str">
        <f t="shared" si="198"/>
        <v/>
      </c>
      <c r="O4211" s="33">
        <f t="shared" si="199"/>
        <v>0</v>
      </c>
    </row>
    <row r="4212" spans="1:15" x14ac:dyDescent="0.25">
      <c r="A4212" s="64" t="s">
        <v>188</v>
      </c>
      <c r="B4212" s="79" t="str">
        <f>IF(Seventeenth!B215="", "",Seventeenth!B215)</f>
        <v/>
      </c>
      <c r="C4212" s="66" t="str">
        <f>IF(Seventeenth!C215="", "",Seventeenth!C215)</f>
        <v/>
      </c>
      <c r="D4212" s="66" t="str">
        <f>IF(Seventeenth!D215="", "",Seventeenth!D215)</f>
        <v/>
      </c>
      <c r="E4212" s="66" t="str">
        <f>IF(Seventeenth!E215="", "",Seventeenth!E215)</f>
        <v/>
      </c>
      <c r="F4212" s="66" t="str">
        <f>IF(Seventeenth!F215="", "",Seventeenth!F215)</f>
        <v/>
      </c>
      <c r="G4212" s="66" t="str">
        <f>IF(Seventeenth!G215="", "",Seventeenth!G215)</f>
        <v/>
      </c>
      <c r="H4212" s="66" t="str">
        <f>IF(Seventeenth!H215="", "",Seventeenth!H215)</f>
        <v/>
      </c>
      <c r="I4212" s="66" t="str">
        <f>IF(Seventeenth!I215="", "",Seventeenth!I215)</f>
        <v/>
      </c>
      <c r="J4212" s="66" t="str">
        <f>IF(Seventeenth!J215="", "",Seventeenth!J215)</f>
        <v/>
      </c>
      <c r="K4212" s="86" t="str">
        <f>IF(Seventeenth!K215="", "",Seventeenth!K215)</f>
        <v/>
      </c>
      <c r="M4212" s="67" t="str">
        <f t="shared" si="197"/>
        <v/>
      </c>
      <c r="N4212" s="76" t="str">
        <f t="shared" si="198"/>
        <v/>
      </c>
      <c r="O4212" s="33">
        <f t="shared" si="199"/>
        <v>0</v>
      </c>
    </row>
    <row r="4213" spans="1:15" x14ac:dyDescent="0.25">
      <c r="A4213" s="64" t="s">
        <v>188</v>
      </c>
      <c r="B4213" s="79" t="str">
        <f>IF(Seventeenth!B216="", "",Seventeenth!B216)</f>
        <v/>
      </c>
      <c r="C4213" s="66" t="str">
        <f>IF(Seventeenth!C216="", "",Seventeenth!C216)</f>
        <v/>
      </c>
      <c r="D4213" s="66" t="str">
        <f>IF(Seventeenth!D216="", "",Seventeenth!D216)</f>
        <v/>
      </c>
      <c r="E4213" s="66" t="str">
        <f>IF(Seventeenth!E216="", "",Seventeenth!E216)</f>
        <v/>
      </c>
      <c r="F4213" s="66" t="str">
        <f>IF(Seventeenth!F216="", "",Seventeenth!F216)</f>
        <v/>
      </c>
      <c r="G4213" s="66" t="str">
        <f>IF(Seventeenth!G216="", "",Seventeenth!G216)</f>
        <v/>
      </c>
      <c r="H4213" s="66" t="str">
        <f>IF(Seventeenth!H216="", "",Seventeenth!H216)</f>
        <v/>
      </c>
      <c r="I4213" s="66" t="str">
        <f>IF(Seventeenth!I216="", "",Seventeenth!I216)</f>
        <v/>
      </c>
      <c r="J4213" s="66" t="str">
        <f>IF(Seventeenth!J216="", "",Seventeenth!J216)</f>
        <v/>
      </c>
      <c r="K4213" s="86" t="str">
        <f>IF(Seventeenth!K216="", "",Seventeenth!K216)</f>
        <v/>
      </c>
      <c r="M4213" s="67" t="str">
        <f t="shared" si="197"/>
        <v/>
      </c>
      <c r="N4213" s="76" t="str">
        <f t="shared" si="198"/>
        <v/>
      </c>
      <c r="O4213" s="33">
        <f t="shared" si="199"/>
        <v>0</v>
      </c>
    </row>
    <row r="4214" spans="1:15" x14ac:dyDescent="0.25">
      <c r="A4214" s="64" t="s">
        <v>188</v>
      </c>
      <c r="B4214" s="79" t="str">
        <f>IF(Seventeenth!B217="", "",Seventeenth!B217)</f>
        <v/>
      </c>
      <c r="C4214" s="66" t="str">
        <f>IF(Seventeenth!C217="", "",Seventeenth!C217)</f>
        <v/>
      </c>
      <c r="D4214" s="66" t="str">
        <f>IF(Seventeenth!D217="", "",Seventeenth!D217)</f>
        <v/>
      </c>
      <c r="E4214" s="66" t="str">
        <f>IF(Seventeenth!E217="", "",Seventeenth!E217)</f>
        <v/>
      </c>
      <c r="F4214" s="66" t="str">
        <f>IF(Seventeenth!F217="", "",Seventeenth!F217)</f>
        <v/>
      </c>
      <c r="G4214" s="66" t="str">
        <f>IF(Seventeenth!G217="", "",Seventeenth!G217)</f>
        <v/>
      </c>
      <c r="H4214" s="66" t="str">
        <f>IF(Seventeenth!H217="", "",Seventeenth!H217)</f>
        <v/>
      </c>
      <c r="I4214" s="66" t="str">
        <f>IF(Seventeenth!I217="", "",Seventeenth!I217)</f>
        <v/>
      </c>
      <c r="J4214" s="66" t="str">
        <f>IF(Seventeenth!J217="", "",Seventeenth!J217)</f>
        <v/>
      </c>
      <c r="K4214" s="86" t="str">
        <f>IF(Seventeenth!K217="", "",Seventeenth!K217)</f>
        <v/>
      </c>
      <c r="M4214" s="67" t="str">
        <f t="shared" si="197"/>
        <v/>
      </c>
      <c r="N4214" s="76" t="str">
        <f t="shared" si="198"/>
        <v/>
      </c>
      <c r="O4214" s="33">
        <f t="shared" si="199"/>
        <v>0</v>
      </c>
    </row>
    <row r="4215" spans="1:15" x14ac:dyDescent="0.25">
      <c r="A4215" s="64" t="s">
        <v>188</v>
      </c>
      <c r="B4215" s="79" t="str">
        <f>IF(Seventeenth!B218="", "",Seventeenth!B218)</f>
        <v/>
      </c>
      <c r="C4215" s="66" t="str">
        <f>IF(Seventeenth!C218="", "",Seventeenth!C218)</f>
        <v/>
      </c>
      <c r="D4215" s="66" t="str">
        <f>IF(Seventeenth!D218="", "",Seventeenth!D218)</f>
        <v/>
      </c>
      <c r="E4215" s="66" t="str">
        <f>IF(Seventeenth!E218="", "",Seventeenth!E218)</f>
        <v/>
      </c>
      <c r="F4215" s="66" t="str">
        <f>IF(Seventeenth!F218="", "",Seventeenth!F218)</f>
        <v/>
      </c>
      <c r="G4215" s="66" t="str">
        <f>IF(Seventeenth!G218="", "",Seventeenth!G218)</f>
        <v/>
      </c>
      <c r="H4215" s="66" t="str">
        <f>IF(Seventeenth!H218="", "",Seventeenth!H218)</f>
        <v/>
      </c>
      <c r="I4215" s="66" t="str">
        <f>IF(Seventeenth!I218="", "",Seventeenth!I218)</f>
        <v/>
      </c>
      <c r="J4215" s="66" t="str">
        <f>IF(Seventeenth!J218="", "",Seventeenth!J218)</f>
        <v/>
      </c>
      <c r="K4215" s="86" t="str">
        <f>IF(Seventeenth!K218="", "",Seventeenth!K218)</f>
        <v/>
      </c>
      <c r="M4215" s="67" t="str">
        <f t="shared" si="197"/>
        <v/>
      </c>
      <c r="N4215" s="76" t="str">
        <f t="shared" si="198"/>
        <v/>
      </c>
      <c r="O4215" s="33">
        <f t="shared" si="199"/>
        <v>0</v>
      </c>
    </row>
    <row r="4216" spans="1:15" x14ac:dyDescent="0.25">
      <c r="A4216" s="64" t="s">
        <v>188</v>
      </c>
      <c r="B4216" s="79" t="str">
        <f>IF(Seventeenth!B219="", "",Seventeenth!B219)</f>
        <v/>
      </c>
      <c r="C4216" s="66" t="str">
        <f>IF(Seventeenth!C219="", "",Seventeenth!C219)</f>
        <v/>
      </c>
      <c r="D4216" s="66" t="str">
        <f>IF(Seventeenth!D219="", "",Seventeenth!D219)</f>
        <v/>
      </c>
      <c r="E4216" s="66" t="str">
        <f>IF(Seventeenth!E219="", "",Seventeenth!E219)</f>
        <v/>
      </c>
      <c r="F4216" s="66" t="str">
        <f>IF(Seventeenth!F219="", "",Seventeenth!F219)</f>
        <v/>
      </c>
      <c r="G4216" s="66" t="str">
        <f>IF(Seventeenth!G219="", "",Seventeenth!G219)</f>
        <v/>
      </c>
      <c r="H4216" s="66" t="str">
        <f>IF(Seventeenth!H219="", "",Seventeenth!H219)</f>
        <v/>
      </c>
      <c r="I4216" s="66" t="str">
        <f>IF(Seventeenth!I219="", "",Seventeenth!I219)</f>
        <v/>
      </c>
      <c r="J4216" s="66" t="str">
        <f>IF(Seventeenth!J219="", "",Seventeenth!J219)</f>
        <v/>
      </c>
      <c r="K4216" s="86" t="str">
        <f>IF(Seventeenth!K219="", "",Seventeenth!K219)</f>
        <v/>
      </c>
      <c r="M4216" s="67" t="str">
        <f t="shared" si="197"/>
        <v/>
      </c>
      <c r="N4216" s="76" t="str">
        <f t="shared" si="198"/>
        <v/>
      </c>
      <c r="O4216" s="33">
        <f t="shared" si="199"/>
        <v>0</v>
      </c>
    </row>
    <row r="4217" spans="1:15" x14ac:dyDescent="0.25">
      <c r="A4217" s="64" t="s">
        <v>188</v>
      </c>
      <c r="B4217" s="79" t="str">
        <f>IF(Seventeenth!B220="", "",Seventeenth!B220)</f>
        <v/>
      </c>
      <c r="C4217" s="66" t="str">
        <f>IF(Seventeenth!C220="", "",Seventeenth!C220)</f>
        <v/>
      </c>
      <c r="D4217" s="66" t="str">
        <f>IF(Seventeenth!D220="", "",Seventeenth!D220)</f>
        <v/>
      </c>
      <c r="E4217" s="66" t="str">
        <f>IF(Seventeenth!E220="", "",Seventeenth!E220)</f>
        <v/>
      </c>
      <c r="F4217" s="66" t="str">
        <f>IF(Seventeenth!F220="", "",Seventeenth!F220)</f>
        <v/>
      </c>
      <c r="G4217" s="66" t="str">
        <f>IF(Seventeenth!G220="", "",Seventeenth!G220)</f>
        <v/>
      </c>
      <c r="H4217" s="66" t="str">
        <f>IF(Seventeenth!H220="", "",Seventeenth!H220)</f>
        <v/>
      </c>
      <c r="I4217" s="66" t="str">
        <f>IF(Seventeenth!I220="", "",Seventeenth!I220)</f>
        <v/>
      </c>
      <c r="J4217" s="66" t="str">
        <f>IF(Seventeenth!J220="", "",Seventeenth!J220)</f>
        <v/>
      </c>
      <c r="K4217" s="86" t="str">
        <f>IF(Seventeenth!K220="", "",Seventeenth!K220)</f>
        <v/>
      </c>
      <c r="M4217" s="67" t="str">
        <f t="shared" si="197"/>
        <v/>
      </c>
      <c r="N4217" s="76" t="str">
        <f t="shared" si="198"/>
        <v/>
      </c>
      <c r="O4217" s="33">
        <f t="shared" si="199"/>
        <v>0</v>
      </c>
    </row>
    <row r="4218" spans="1:15" x14ac:dyDescent="0.25">
      <c r="A4218" s="64" t="s">
        <v>188</v>
      </c>
      <c r="B4218" s="79" t="str">
        <f>IF(Seventeenth!B221="", "",Seventeenth!B221)</f>
        <v/>
      </c>
      <c r="C4218" s="66" t="str">
        <f>IF(Seventeenth!C221="", "",Seventeenth!C221)</f>
        <v/>
      </c>
      <c r="D4218" s="66" t="str">
        <f>IF(Seventeenth!D221="", "",Seventeenth!D221)</f>
        <v/>
      </c>
      <c r="E4218" s="66" t="str">
        <f>IF(Seventeenth!E221="", "",Seventeenth!E221)</f>
        <v/>
      </c>
      <c r="F4218" s="66" t="str">
        <f>IF(Seventeenth!F221="", "",Seventeenth!F221)</f>
        <v/>
      </c>
      <c r="G4218" s="66" t="str">
        <f>IF(Seventeenth!G221="", "",Seventeenth!G221)</f>
        <v/>
      </c>
      <c r="H4218" s="66" t="str">
        <f>IF(Seventeenth!H221="", "",Seventeenth!H221)</f>
        <v/>
      </c>
      <c r="I4218" s="66" t="str">
        <f>IF(Seventeenth!I221="", "",Seventeenth!I221)</f>
        <v/>
      </c>
      <c r="J4218" s="66" t="str">
        <f>IF(Seventeenth!J221="", "",Seventeenth!J221)</f>
        <v/>
      </c>
      <c r="K4218" s="86" t="str">
        <f>IF(Seventeenth!K221="", "",Seventeenth!K221)</f>
        <v/>
      </c>
      <c r="M4218" s="67" t="str">
        <f t="shared" si="197"/>
        <v/>
      </c>
      <c r="N4218" s="76" t="str">
        <f t="shared" si="198"/>
        <v/>
      </c>
      <c r="O4218" s="33">
        <f t="shared" si="199"/>
        <v>0</v>
      </c>
    </row>
    <row r="4219" spans="1:15" x14ac:dyDescent="0.25">
      <c r="A4219" s="64" t="s">
        <v>188</v>
      </c>
      <c r="B4219" s="79" t="str">
        <f>IF(Seventeenth!B222="", "",Seventeenth!B222)</f>
        <v/>
      </c>
      <c r="C4219" s="66" t="str">
        <f>IF(Seventeenth!C222="", "",Seventeenth!C222)</f>
        <v/>
      </c>
      <c r="D4219" s="66" t="str">
        <f>IF(Seventeenth!D222="", "",Seventeenth!D222)</f>
        <v/>
      </c>
      <c r="E4219" s="66" t="str">
        <f>IF(Seventeenth!E222="", "",Seventeenth!E222)</f>
        <v/>
      </c>
      <c r="F4219" s="66" t="str">
        <f>IF(Seventeenth!F222="", "",Seventeenth!F222)</f>
        <v/>
      </c>
      <c r="G4219" s="66" t="str">
        <f>IF(Seventeenth!G222="", "",Seventeenth!G222)</f>
        <v/>
      </c>
      <c r="H4219" s="66" t="str">
        <f>IF(Seventeenth!H222="", "",Seventeenth!H222)</f>
        <v/>
      </c>
      <c r="I4219" s="66" t="str">
        <f>IF(Seventeenth!I222="", "",Seventeenth!I222)</f>
        <v/>
      </c>
      <c r="J4219" s="66" t="str">
        <f>IF(Seventeenth!J222="", "",Seventeenth!J222)</f>
        <v/>
      </c>
      <c r="K4219" s="86" t="str">
        <f>IF(Seventeenth!K222="", "",Seventeenth!K222)</f>
        <v/>
      </c>
      <c r="M4219" s="67" t="str">
        <f t="shared" si="197"/>
        <v/>
      </c>
      <c r="N4219" s="76" t="str">
        <f t="shared" si="198"/>
        <v/>
      </c>
      <c r="O4219" s="33">
        <f t="shared" si="199"/>
        <v>0</v>
      </c>
    </row>
    <row r="4220" spans="1:15" x14ac:dyDescent="0.25">
      <c r="A4220" s="64" t="s">
        <v>188</v>
      </c>
      <c r="B4220" s="79" t="str">
        <f>IF(Seventeenth!B223="", "",Seventeenth!B223)</f>
        <v/>
      </c>
      <c r="C4220" s="66" t="str">
        <f>IF(Seventeenth!C223="", "",Seventeenth!C223)</f>
        <v/>
      </c>
      <c r="D4220" s="66" t="str">
        <f>IF(Seventeenth!D223="", "",Seventeenth!D223)</f>
        <v/>
      </c>
      <c r="E4220" s="66" t="str">
        <f>IF(Seventeenth!E223="", "",Seventeenth!E223)</f>
        <v/>
      </c>
      <c r="F4220" s="66" t="str">
        <f>IF(Seventeenth!F223="", "",Seventeenth!F223)</f>
        <v/>
      </c>
      <c r="G4220" s="66" t="str">
        <f>IF(Seventeenth!G223="", "",Seventeenth!G223)</f>
        <v/>
      </c>
      <c r="H4220" s="66" t="str">
        <f>IF(Seventeenth!H223="", "",Seventeenth!H223)</f>
        <v/>
      </c>
      <c r="I4220" s="66" t="str">
        <f>IF(Seventeenth!I223="", "",Seventeenth!I223)</f>
        <v/>
      </c>
      <c r="J4220" s="66" t="str">
        <f>IF(Seventeenth!J223="", "",Seventeenth!J223)</f>
        <v/>
      </c>
      <c r="K4220" s="86" t="str">
        <f>IF(Seventeenth!K223="", "",Seventeenth!K223)</f>
        <v/>
      </c>
      <c r="M4220" s="67" t="str">
        <f t="shared" si="197"/>
        <v/>
      </c>
      <c r="N4220" s="76" t="str">
        <f t="shared" si="198"/>
        <v/>
      </c>
      <c r="O4220" s="33">
        <f t="shared" si="199"/>
        <v>0</v>
      </c>
    </row>
    <row r="4221" spans="1:15" x14ac:dyDescent="0.25">
      <c r="A4221" s="64" t="s">
        <v>188</v>
      </c>
      <c r="B4221" s="79" t="str">
        <f>IF(Seventeenth!B224="", "",Seventeenth!B224)</f>
        <v/>
      </c>
      <c r="C4221" s="66" t="str">
        <f>IF(Seventeenth!C224="", "",Seventeenth!C224)</f>
        <v/>
      </c>
      <c r="D4221" s="66" t="str">
        <f>IF(Seventeenth!D224="", "",Seventeenth!D224)</f>
        <v/>
      </c>
      <c r="E4221" s="66" t="str">
        <f>IF(Seventeenth!E224="", "",Seventeenth!E224)</f>
        <v/>
      </c>
      <c r="F4221" s="66" t="str">
        <f>IF(Seventeenth!F224="", "",Seventeenth!F224)</f>
        <v/>
      </c>
      <c r="G4221" s="66" t="str">
        <f>IF(Seventeenth!G224="", "",Seventeenth!G224)</f>
        <v/>
      </c>
      <c r="H4221" s="66" t="str">
        <f>IF(Seventeenth!H224="", "",Seventeenth!H224)</f>
        <v/>
      </c>
      <c r="I4221" s="66" t="str">
        <f>IF(Seventeenth!I224="", "",Seventeenth!I224)</f>
        <v/>
      </c>
      <c r="J4221" s="66" t="str">
        <f>IF(Seventeenth!J224="", "",Seventeenth!J224)</f>
        <v/>
      </c>
      <c r="K4221" s="86" t="str">
        <f>IF(Seventeenth!K224="", "",Seventeenth!K224)</f>
        <v/>
      </c>
      <c r="M4221" s="67" t="str">
        <f t="shared" si="197"/>
        <v/>
      </c>
      <c r="N4221" s="76" t="str">
        <f t="shared" si="198"/>
        <v/>
      </c>
      <c r="O4221" s="33">
        <f t="shared" si="199"/>
        <v>0</v>
      </c>
    </row>
    <row r="4222" spans="1:15" x14ac:dyDescent="0.25">
      <c r="A4222" s="64" t="s">
        <v>188</v>
      </c>
      <c r="B4222" s="79" t="str">
        <f>IF(Seventeenth!B225="", "",Seventeenth!B225)</f>
        <v/>
      </c>
      <c r="C4222" s="66" t="str">
        <f>IF(Seventeenth!C225="", "",Seventeenth!C225)</f>
        <v/>
      </c>
      <c r="D4222" s="66" t="str">
        <f>IF(Seventeenth!D225="", "",Seventeenth!D225)</f>
        <v/>
      </c>
      <c r="E4222" s="66" t="str">
        <f>IF(Seventeenth!E225="", "",Seventeenth!E225)</f>
        <v/>
      </c>
      <c r="F4222" s="66" t="str">
        <f>IF(Seventeenth!F225="", "",Seventeenth!F225)</f>
        <v/>
      </c>
      <c r="G4222" s="66" t="str">
        <f>IF(Seventeenth!G225="", "",Seventeenth!G225)</f>
        <v/>
      </c>
      <c r="H4222" s="66" t="str">
        <f>IF(Seventeenth!H225="", "",Seventeenth!H225)</f>
        <v/>
      </c>
      <c r="I4222" s="66" t="str">
        <f>IF(Seventeenth!I225="", "",Seventeenth!I225)</f>
        <v/>
      </c>
      <c r="J4222" s="66" t="str">
        <f>IF(Seventeenth!J225="", "",Seventeenth!J225)</f>
        <v/>
      </c>
      <c r="K4222" s="86" t="str">
        <f>IF(Seventeenth!K225="", "",Seventeenth!K225)</f>
        <v/>
      </c>
      <c r="M4222" s="67" t="str">
        <f t="shared" si="197"/>
        <v/>
      </c>
      <c r="N4222" s="76" t="str">
        <f t="shared" si="198"/>
        <v/>
      </c>
      <c r="O4222" s="33">
        <f t="shared" si="199"/>
        <v>0</v>
      </c>
    </row>
    <row r="4223" spans="1:15" x14ac:dyDescent="0.25">
      <c r="A4223" s="64" t="s">
        <v>188</v>
      </c>
      <c r="B4223" s="79" t="str">
        <f>IF(Seventeenth!B226="", "",Seventeenth!B226)</f>
        <v/>
      </c>
      <c r="C4223" s="66" t="str">
        <f>IF(Seventeenth!C226="", "",Seventeenth!C226)</f>
        <v/>
      </c>
      <c r="D4223" s="66" t="str">
        <f>IF(Seventeenth!D226="", "",Seventeenth!D226)</f>
        <v/>
      </c>
      <c r="E4223" s="66" t="str">
        <f>IF(Seventeenth!E226="", "",Seventeenth!E226)</f>
        <v/>
      </c>
      <c r="F4223" s="66" t="str">
        <f>IF(Seventeenth!F226="", "",Seventeenth!F226)</f>
        <v/>
      </c>
      <c r="G4223" s="66" t="str">
        <f>IF(Seventeenth!G226="", "",Seventeenth!G226)</f>
        <v/>
      </c>
      <c r="H4223" s="66" t="str">
        <f>IF(Seventeenth!H226="", "",Seventeenth!H226)</f>
        <v/>
      </c>
      <c r="I4223" s="66" t="str">
        <f>IF(Seventeenth!I226="", "",Seventeenth!I226)</f>
        <v/>
      </c>
      <c r="J4223" s="66" t="str">
        <f>IF(Seventeenth!J226="", "",Seventeenth!J226)</f>
        <v/>
      </c>
      <c r="K4223" s="86" t="str">
        <f>IF(Seventeenth!K226="", "",Seventeenth!K226)</f>
        <v/>
      </c>
      <c r="M4223" s="67" t="str">
        <f t="shared" si="197"/>
        <v/>
      </c>
      <c r="N4223" s="76" t="str">
        <f t="shared" si="198"/>
        <v/>
      </c>
      <c r="O4223" s="33">
        <f t="shared" si="199"/>
        <v>0</v>
      </c>
    </row>
    <row r="4224" spans="1:15" x14ac:dyDescent="0.25">
      <c r="A4224" s="64" t="s">
        <v>188</v>
      </c>
      <c r="B4224" s="79" t="str">
        <f>IF(Seventeenth!B227="", "",Seventeenth!B227)</f>
        <v/>
      </c>
      <c r="C4224" s="66" t="str">
        <f>IF(Seventeenth!C227="", "",Seventeenth!C227)</f>
        <v/>
      </c>
      <c r="D4224" s="66" t="str">
        <f>IF(Seventeenth!D227="", "",Seventeenth!D227)</f>
        <v/>
      </c>
      <c r="E4224" s="66" t="str">
        <f>IF(Seventeenth!E227="", "",Seventeenth!E227)</f>
        <v/>
      </c>
      <c r="F4224" s="66" t="str">
        <f>IF(Seventeenth!F227="", "",Seventeenth!F227)</f>
        <v/>
      </c>
      <c r="G4224" s="66" t="str">
        <f>IF(Seventeenth!G227="", "",Seventeenth!G227)</f>
        <v/>
      </c>
      <c r="H4224" s="66" t="str">
        <f>IF(Seventeenth!H227="", "",Seventeenth!H227)</f>
        <v/>
      </c>
      <c r="I4224" s="66" t="str">
        <f>IF(Seventeenth!I227="", "",Seventeenth!I227)</f>
        <v/>
      </c>
      <c r="J4224" s="66" t="str">
        <f>IF(Seventeenth!J227="", "",Seventeenth!J227)</f>
        <v/>
      </c>
      <c r="K4224" s="86" t="str">
        <f>IF(Seventeenth!K227="", "",Seventeenth!K227)</f>
        <v/>
      </c>
      <c r="M4224" s="67" t="str">
        <f t="shared" si="197"/>
        <v/>
      </c>
      <c r="N4224" s="76" t="str">
        <f t="shared" si="198"/>
        <v/>
      </c>
      <c r="O4224" s="33">
        <f t="shared" si="199"/>
        <v>0</v>
      </c>
    </row>
    <row r="4225" spans="1:15" x14ac:dyDescent="0.25">
      <c r="A4225" s="64" t="s">
        <v>188</v>
      </c>
      <c r="B4225" s="79" t="str">
        <f>IF(Seventeenth!B228="", "",Seventeenth!B228)</f>
        <v/>
      </c>
      <c r="C4225" s="66" t="str">
        <f>IF(Seventeenth!C228="", "",Seventeenth!C228)</f>
        <v/>
      </c>
      <c r="D4225" s="66" t="str">
        <f>IF(Seventeenth!D228="", "",Seventeenth!D228)</f>
        <v/>
      </c>
      <c r="E4225" s="66" t="str">
        <f>IF(Seventeenth!E228="", "",Seventeenth!E228)</f>
        <v/>
      </c>
      <c r="F4225" s="66" t="str">
        <f>IF(Seventeenth!F228="", "",Seventeenth!F228)</f>
        <v/>
      </c>
      <c r="G4225" s="66" t="str">
        <f>IF(Seventeenth!G228="", "",Seventeenth!G228)</f>
        <v/>
      </c>
      <c r="H4225" s="66" t="str">
        <f>IF(Seventeenth!H228="", "",Seventeenth!H228)</f>
        <v/>
      </c>
      <c r="I4225" s="66" t="str">
        <f>IF(Seventeenth!I228="", "",Seventeenth!I228)</f>
        <v/>
      </c>
      <c r="J4225" s="66" t="str">
        <f>IF(Seventeenth!J228="", "",Seventeenth!J228)</f>
        <v/>
      </c>
      <c r="K4225" s="86" t="str">
        <f>IF(Seventeenth!K228="", "",Seventeenth!K228)</f>
        <v/>
      </c>
      <c r="M4225" s="67" t="str">
        <f t="shared" si="197"/>
        <v/>
      </c>
      <c r="N4225" s="76" t="str">
        <f t="shared" si="198"/>
        <v/>
      </c>
      <c r="O4225" s="33">
        <f t="shared" si="199"/>
        <v>0</v>
      </c>
    </row>
    <row r="4226" spans="1:15" x14ac:dyDescent="0.25">
      <c r="A4226" s="64" t="s">
        <v>188</v>
      </c>
      <c r="B4226" s="79" t="str">
        <f>IF(Seventeenth!B229="", "",Seventeenth!B229)</f>
        <v/>
      </c>
      <c r="C4226" s="66" t="str">
        <f>IF(Seventeenth!C229="", "",Seventeenth!C229)</f>
        <v/>
      </c>
      <c r="D4226" s="66" t="str">
        <f>IF(Seventeenth!D229="", "",Seventeenth!D229)</f>
        <v/>
      </c>
      <c r="E4226" s="66" t="str">
        <f>IF(Seventeenth!E229="", "",Seventeenth!E229)</f>
        <v/>
      </c>
      <c r="F4226" s="66" t="str">
        <f>IF(Seventeenth!F229="", "",Seventeenth!F229)</f>
        <v/>
      </c>
      <c r="G4226" s="66" t="str">
        <f>IF(Seventeenth!G229="", "",Seventeenth!G229)</f>
        <v/>
      </c>
      <c r="H4226" s="66" t="str">
        <f>IF(Seventeenth!H229="", "",Seventeenth!H229)</f>
        <v/>
      </c>
      <c r="I4226" s="66" t="str">
        <f>IF(Seventeenth!I229="", "",Seventeenth!I229)</f>
        <v/>
      </c>
      <c r="J4226" s="66" t="str">
        <f>IF(Seventeenth!J229="", "",Seventeenth!J229)</f>
        <v/>
      </c>
      <c r="K4226" s="86" t="str">
        <f>IF(Seventeenth!K229="", "",Seventeenth!K229)</f>
        <v/>
      </c>
      <c r="M4226" s="67" t="str">
        <f t="shared" si="197"/>
        <v/>
      </c>
      <c r="N4226" s="76" t="str">
        <f t="shared" si="198"/>
        <v/>
      </c>
      <c r="O4226" s="33">
        <f t="shared" si="199"/>
        <v>0</v>
      </c>
    </row>
    <row r="4227" spans="1:15" x14ac:dyDescent="0.25">
      <c r="A4227" s="64" t="s">
        <v>188</v>
      </c>
      <c r="B4227" s="79" t="str">
        <f>IF(Seventeenth!B230="", "",Seventeenth!B230)</f>
        <v/>
      </c>
      <c r="C4227" s="66" t="str">
        <f>IF(Seventeenth!C230="", "",Seventeenth!C230)</f>
        <v/>
      </c>
      <c r="D4227" s="66" t="str">
        <f>IF(Seventeenth!D230="", "",Seventeenth!D230)</f>
        <v/>
      </c>
      <c r="E4227" s="66" t="str">
        <f>IF(Seventeenth!E230="", "",Seventeenth!E230)</f>
        <v/>
      </c>
      <c r="F4227" s="66" t="str">
        <f>IF(Seventeenth!F230="", "",Seventeenth!F230)</f>
        <v/>
      </c>
      <c r="G4227" s="66" t="str">
        <f>IF(Seventeenth!G230="", "",Seventeenth!G230)</f>
        <v/>
      </c>
      <c r="H4227" s="66" t="str">
        <f>IF(Seventeenth!H230="", "",Seventeenth!H230)</f>
        <v/>
      </c>
      <c r="I4227" s="66" t="str">
        <f>IF(Seventeenth!I230="", "",Seventeenth!I230)</f>
        <v/>
      </c>
      <c r="J4227" s="66" t="str">
        <f>IF(Seventeenth!J230="", "",Seventeenth!J230)</f>
        <v/>
      </c>
      <c r="K4227" s="86" t="str">
        <f>IF(Seventeenth!K230="", "",Seventeenth!K230)</f>
        <v/>
      </c>
      <c r="M4227" s="67" t="str">
        <f t="shared" ref="M4227:M4290" si="200">IF(C4227="PwC",(7-COUNTIF(B4227:H4227,"")),"")</f>
        <v/>
      </c>
      <c r="N4227" s="76" t="str">
        <f t="shared" ref="N4227:N4290" si="201">IF(C4227="Carer",(7-COUNTIF(B4227:H4227,"")),"")</f>
        <v/>
      </c>
      <c r="O4227" s="33">
        <f t="shared" si="199"/>
        <v>0</v>
      </c>
    </row>
    <row r="4228" spans="1:15" x14ac:dyDescent="0.25">
      <c r="A4228" s="64" t="s">
        <v>188</v>
      </c>
      <c r="B4228" s="79" t="str">
        <f>IF(Seventeenth!B231="", "",Seventeenth!B231)</f>
        <v/>
      </c>
      <c r="C4228" s="66" t="str">
        <f>IF(Seventeenth!C231="", "",Seventeenth!C231)</f>
        <v/>
      </c>
      <c r="D4228" s="66" t="str">
        <f>IF(Seventeenth!D231="", "",Seventeenth!D231)</f>
        <v/>
      </c>
      <c r="E4228" s="66" t="str">
        <f>IF(Seventeenth!E231="", "",Seventeenth!E231)</f>
        <v/>
      </c>
      <c r="F4228" s="66" t="str">
        <f>IF(Seventeenth!F231="", "",Seventeenth!F231)</f>
        <v/>
      </c>
      <c r="G4228" s="66" t="str">
        <f>IF(Seventeenth!G231="", "",Seventeenth!G231)</f>
        <v/>
      </c>
      <c r="H4228" s="66" t="str">
        <f>IF(Seventeenth!H231="", "",Seventeenth!H231)</f>
        <v/>
      </c>
      <c r="I4228" s="66" t="str">
        <f>IF(Seventeenth!I231="", "",Seventeenth!I231)</f>
        <v/>
      </c>
      <c r="J4228" s="66" t="str">
        <f>IF(Seventeenth!J231="", "",Seventeenth!J231)</f>
        <v/>
      </c>
      <c r="K4228" s="86" t="str">
        <f>IF(Seventeenth!K231="", "",Seventeenth!K231)</f>
        <v/>
      </c>
      <c r="M4228" s="67" t="str">
        <f t="shared" si="200"/>
        <v/>
      </c>
      <c r="N4228" s="76" t="str">
        <f t="shared" si="201"/>
        <v/>
      </c>
      <c r="O4228" s="33">
        <f t="shared" si="199"/>
        <v>0</v>
      </c>
    </row>
    <row r="4229" spans="1:15" x14ac:dyDescent="0.25">
      <c r="A4229" s="64" t="s">
        <v>188</v>
      </c>
      <c r="B4229" s="79" t="str">
        <f>IF(Seventeenth!B232="", "",Seventeenth!B232)</f>
        <v/>
      </c>
      <c r="C4229" s="66" t="str">
        <f>IF(Seventeenth!C232="", "",Seventeenth!C232)</f>
        <v/>
      </c>
      <c r="D4229" s="66" t="str">
        <f>IF(Seventeenth!D232="", "",Seventeenth!D232)</f>
        <v/>
      </c>
      <c r="E4229" s="66" t="str">
        <f>IF(Seventeenth!E232="", "",Seventeenth!E232)</f>
        <v/>
      </c>
      <c r="F4229" s="66" t="str">
        <f>IF(Seventeenth!F232="", "",Seventeenth!F232)</f>
        <v/>
      </c>
      <c r="G4229" s="66" t="str">
        <f>IF(Seventeenth!G232="", "",Seventeenth!G232)</f>
        <v/>
      </c>
      <c r="H4229" s="66" t="str">
        <f>IF(Seventeenth!H232="", "",Seventeenth!H232)</f>
        <v/>
      </c>
      <c r="I4229" s="66" t="str">
        <f>IF(Seventeenth!I232="", "",Seventeenth!I232)</f>
        <v/>
      </c>
      <c r="J4229" s="66" t="str">
        <f>IF(Seventeenth!J232="", "",Seventeenth!J232)</f>
        <v/>
      </c>
      <c r="K4229" s="86" t="str">
        <f>IF(Seventeenth!K232="", "",Seventeenth!K232)</f>
        <v/>
      </c>
      <c r="M4229" s="67" t="str">
        <f t="shared" si="200"/>
        <v/>
      </c>
      <c r="N4229" s="76" t="str">
        <f t="shared" si="201"/>
        <v/>
      </c>
      <c r="O4229" s="33">
        <f t="shared" si="199"/>
        <v>0</v>
      </c>
    </row>
    <row r="4230" spans="1:15" x14ac:dyDescent="0.25">
      <c r="A4230" s="64" t="s">
        <v>188</v>
      </c>
      <c r="B4230" s="79" t="str">
        <f>IF(Seventeenth!B233="", "",Seventeenth!B233)</f>
        <v/>
      </c>
      <c r="C4230" s="66" t="str">
        <f>IF(Seventeenth!C233="", "",Seventeenth!C233)</f>
        <v/>
      </c>
      <c r="D4230" s="66" t="str">
        <f>IF(Seventeenth!D233="", "",Seventeenth!D233)</f>
        <v/>
      </c>
      <c r="E4230" s="66" t="str">
        <f>IF(Seventeenth!E233="", "",Seventeenth!E233)</f>
        <v/>
      </c>
      <c r="F4230" s="66" t="str">
        <f>IF(Seventeenth!F233="", "",Seventeenth!F233)</f>
        <v/>
      </c>
      <c r="G4230" s="66" t="str">
        <f>IF(Seventeenth!G233="", "",Seventeenth!G233)</f>
        <v/>
      </c>
      <c r="H4230" s="66" t="str">
        <f>IF(Seventeenth!H233="", "",Seventeenth!H233)</f>
        <v/>
      </c>
      <c r="I4230" s="66" t="str">
        <f>IF(Seventeenth!I233="", "",Seventeenth!I233)</f>
        <v/>
      </c>
      <c r="J4230" s="66" t="str">
        <f>IF(Seventeenth!J233="", "",Seventeenth!J233)</f>
        <v/>
      </c>
      <c r="K4230" s="86" t="str">
        <f>IF(Seventeenth!K233="", "",Seventeenth!K233)</f>
        <v/>
      </c>
      <c r="M4230" s="67" t="str">
        <f t="shared" si="200"/>
        <v/>
      </c>
      <c r="N4230" s="76" t="str">
        <f t="shared" si="201"/>
        <v/>
      </c>
      <c r="O4230" s="33">
        <f t="shared" si="199"/>
        <v>0</v>
      </c>
    </row>
    <row r="4231" spans="1:15" x14ac:dyDescent="0.25">
      <c r="A4231" s="64" t="s">
        <v>188</v>
      </c>
      <c r="B4231" s="79" t="str">
        <f>IF(Seventeenth!B234="", "",Seventeenth!B234)</f>
        <v/>
      </c>
      <c r="C4231" s="66" t="str">
        <f>IF(Seventeenth!C234="", "",Seventeenth!C234)</f>
        <v/>
      </c>
      <c r="D4231" s="66" t="str">
        <f>IF(Seventeenth!D234="", "",Seventeenth!D234)</f>
        <v/>
      </c>
      <c r="E4231" s="66" t="str">
        <f>IF(Seventeenth!E234="", "",Seventeenth!E234)</f>
        <v/>
      </c>
      <c r="F4231" s="66" t="str">
        <f>IF(Seventeenth!F234="", "",Seventeenth!F234)</f>
        <v/>
      </c>
      <c r="G4231" s="66" t="str">
        <f>IF(Seventeenth!G234="", "",Seventeenth!G234)</f>
        <v/>
      </c>
      <c r="H4231" s="66" t="str">
        <f>IF(Seventeenth!H234="", "",Seventeenth!H234)</f>
        <v/>
      </c>
      <c r="I4231" s="66" t="str">
        <f>IF(Seventeenth!I234="", "",Seventeenth!I234)</f>
        <v/>
      </c>
      <c r="J4231" s="66" t="str">
        <f>IF(Seventeenth!J234="", "",Seventeenth!J234)</f>
        <v/>
      </c>
      <c r="K4231" s="86" t="str">
        <f>IF(Seventeenth!K234="", "",Seventeenth!K234)</f>
        <v/>
      </c>
      <c r="M4231" s="67" t="str">
        <f t="shared" si="200"/>
        <v/>
      </c>
      <c r="N4231" s="76" t="str">
        <f t="shared" si="201"/>
        <v/>
      </c>
      <c r="O4231" s="33">
        <f t="shared" si="199"/>
        <v>0</v>
      </c>
    </row>
    <row r="4232" spans="1:15" x14ac:dyDescent="0.25">
      <c r="A4232" s="64" t="s">
        <v>188</v>
      </c>
      <c r="B4232" s="79" t="str">
        <f>IF(Seventeenth!B235="", "",Seventeenth!B235)</f>
        <v/>
      </c>
      <c r="C4232" s="66" t="str">
        <f>IF(Seventeenth!C235="", "",Seventeenth!C235)</f>
        <v/>
      </c>
      <c r="D4232" s="66" t="str">
        <f>IF(Seventeenth!D235="", "",Seventeenth!D235)</f>
        <v/>
      </c>
      <c r="E4232" s="66" t="str">
        <f>IF(Seventeenth!E235="", "",Seventeenth!E235)</f>
        <v/>
      </c>
      <c r="F4232" s="66" t="str">
        <f>IF(Seventeenth!F235="", "",Seventeenth!F235)</f>
        <v/>
      </c>
      <c r="G4232" s="66" t="str">
        <f>IF(Seventeenth!G235="", "",Seventeenth!G235)</f>
        <v/>
      </c>
      <c r="H4232" s="66" t="str">
        <f>IF(Seventeenth!H235="", "",Seventeenth!H235)</f>
        <v/>
      </c>
      <c r="I4232" s="66" t="str">
        <f>IF(Seventeenth!I235="", "",Seventeenth!I235)</f>
        <v/>
      </c>
      <c r="J4232" s="66" t="str">
        <f>IF(Seventeenth!J235="", "",Seventeenth!J235)</f>
        <v/>
      </c>
      <c r="K4232" s="86" t="str">
        <f>IF(Seventeenth!K235="", "",Seventeenth!K235)</f>
        <v/>
      </c>
      <c r="M4232" s="67" t="str">
        <f t="shared" si="200"/>
        <v/>
      </c>
      <c r="N4232" s="76" t="str">
        <f t="shared" si="201"/>
        <v/>
      </c>
      <c r="O4232" s="33">
        <f t="shared" si="199"/>
        <v>0</v>
      </c>
    </row>
    <row r="4233" spans="1:15" x14ac:dyDescent="0.25">
      <c r="A4233" s="64" t="s">
        <v>188</v>
      </c>
      <c r="B4233" s="79" t="str">
        <f>IF(Seventeenth!B236="", "",Seventeenth!B236)</f>
        <v/>
      </c>
      <c r="C4233" s="66" t="str">
        <f>IF(Seventeenth!C236="", "",Seventeenth!C236)</f>
        <v/>
      </c>
      <c r="D4233" s="66" t="str">
        <f>IF(Seventeenth!D236="", "",Seventeenth!D236)</f>
        <v/>
      </c>
      <c r="E4233" s="66" t="str">
        <f>IF(Seventeenth!E236="", "",Seventeenth!E236)</f>
        <v/>
      </c>
      <c r="F4233" s="66" t="str">
        <f>IF(Seventeenth!F236="", "",Seventeenth!F236)</f>
        <v/>
      </c>
      <c r="G4233" s="66" t="str">
        <f>IF(Seventeenth!G236="", "",Seventeenth!G236)</f>
        <v/>
      </c>
      <c r="H4233" s="66" t="str">
        <f>IF(Seventeenth!H236="", "",Seventeenth!H236)</f>
        <v/>
      </c>
      <c r="I4233" s="66" t="str">
        <f>IF(Seventeenth!I236="", "",Seventeenth!I236)</f>
        <v/>
      </c>
      <c r="J4233" s="66" t="str">
        <f>IF(Seventeenth!J236="", "",Seventeenth!J236)</f>
        <v/>
      </c>
      <c r="K4233" s="86" t="str">
        <f>IF(Seventeenth!K236="", "",Seventeenth!K236)</f>
        <v/>
      </c>
      <c r="M4233" s="67" t="str">
        <f t="shared" si="200"/>
        <v/>
      </c>
      <c r="N4233" s="76" t="str">
        <f t="shared" si="201"/>
        <v/>
      </c>
      <c r="O4233" s="33">
        <f t="shared" si="199"/>
        <v>0</v>
      </c>
    </row>
    <row r="4234" spans="1:15" x14ac:dyDescent="0.25">
      <c r="A4234" s="64" t="s">
        <v>188</v>
      </c>
      <c r="B4234" s="79" t="str">
        <f>IF(Seventeenth!B237="", "",Seventeenth!B237)</f>
        <v/>
      </c>
      <c r="C4234" s="66" t="str">
        <f>IF(Seventeenth!C237="", "",Seventeenth!C237)</f>
        <v/>
      </c>
      <c r="D4234" s="66" t="str">
        <f>IF(Seventeenth!D237="", "",Seventeenth!D237)</f>
        <v/>
      </c>
      <c r="E4234" s="66" t="str">
        <f>IF(Seventeenth!E237="", "",Seventeenth!E237)</f>
        <v/>
      </c>
      <c r="F4234" s="66" t="str">
        <f>IF(Seventeenth!F237="", "",Seventeenth!F237)</f>
        <v/>
      </c>
      <c r="G4234" s="66" t="str">
        <f>IF(Seventeenth!G237="", "",Seventeenth!G237)</f>
        <v/>
      </c>
      <c r="H4234" s="66" t="str">
        <f>IF(Seventeenth!H237="", "",Seventeenth!H237)</f>
        <v/>
      </c>
      <c r="I4234" s="66" t="str">
        <f>IF(Seventeenth!I237="", "",Seventeenth!I237)</f>
        <v/>
      </c>
      <c r="J4234" s="66" t="str">
        <f>IF(Seventeenth!J237="", "",Seventeenth!J237)</f>
        <v/>
      </c>
      <c r="K4234" s="86" t="str">
        <f>IF(Seventeenth!K237="", "",Seventeenth!K237)</f>
        <v/>
      </c>
      <c r="M4234" s="67" t="str">
        <f t="shared" si="200"/>
        <v/>
      </c>
      <c r="N4234" s="76" t="str">
        <f t="shared" si="201"/>
        <v/>
      </c>
      <c r="O4234" s="33">
        <f t="shared" si="199"/>
        <v>0</v>
      </c>
    </row>
    <row r="4235" spans="1:15" x14ac:dyDescent="0.25">
      <c r="A4235" s="64" t="s">
        <v>188</v>
      </c>
      <c r="B4235" s="79" t="str">
        <f>IF(Seventeenth!B238="", "",Seventeenth!B238)</f>
        <v/>
      </c>
      <c r="C4235" s="66" t="str">
        <f>IF(Seventeenth!C238="", "",Seventeenth!C238)</f>
        <v/>
      </c>
      <c r="D4235" s="66" t="str">
        <f>IF(Seventeenth!D238="", "",Seventeenth!D238)</f>
        <v/>
      </c>
      <c r="E4235" s="66" t="str">
        <f>IF(Seventeenth!E238="", "",Seventeenth!E238)</f>
        <v/>
      </c>
      <c r="F4235" s="66" t="str">
        <f>IF(Seventeenth!F238="", "",Seventeenth!F238)</f>
        <v/>
      </c>
      <c r="G4235" s="66" t="str">
        <f>IF(Seventeenth!G238="", "",Seventeenth!G238)</f>
        <v/>
      </c>
      <c r="H4235" s="66" t="str">
        <f>IF(Seventeenth!H238="", "",Seventeenth!H238)</f>
        <v/>
      </c>
      <c r="I4235" s="66" t="str">
        <f>IF(Seventeenth!I238="", "",Seventeenth!I238)</f>
        <v/>
      </c>
      <c r="J4235" s="66" t="str">
        <f>IF(Seventeenth!J238="", "",Seventeenth!J238)</f>
        <v/>
      </c>
      <c r="K4235" s="86" t="str">
        <f>IF(Seventeenth!K238="", "",Seventeenth!K238)</f>
        <v/>
      </c>
      <c r="M4235" s="67" t="str">
        <f t="shared" si="200"/>
        <v/>
      </c>
      <c r="N4235" s="76" t="str">
        <f t="shared" si="201"/>
        <v/>
      </c>
      <c r="O4235" s="33">
        <f t="shared" si="199"/>
        <v>0</v>
      </c>
    </row>
    <row r="4236" spans="1:15" x14ac:dyDescent="0.25">
      <c r="A4236" s="64" t="s">
        <v>188</v>
      </c>
      <c r="B4236" s="79" t="str">
        <f>IF(Seventeenth!B239="", "",Seventeenth!B239)</f>
        <v/>
      </c>
      <c r="C4236" s="66" t="str">
        <f>IF(Seventeenth!C239="", "",Seventeenth!C239)</f>
        <v/>
      </c>
      <c r="D4236" s="66" t="str">
        <f>IF(Seventeenth!D239="", "",Seventeenth!D239)</f>
        <v/>
      </c>
      <c r="E4236" s="66" t="str">
        <f>IF(Seventeenth!E239="", "",Seventeenth!E239)</f>
        <v/>
      </c>
      <c r="F4236" s="66" t="str">
        <f>IF(Seventeenth!F239="", "",Seventeenth!F239)</f>
        <v/>
      </c>
      <c r="G4236" s="66" t="str">
        <f>IF(Seventeenth!G239="", "",Seventeenth!G239)</f>
        <v/>
      </c>
      <c r="H4236" s="66" t="str">
        <f>IF(Seventeenth!H239="", "",Seventeenth!H239)</f>
        <v/>
      </c>
      <c r="I4236" s="66" t="str">
        <f>IF(Seventeenth!I239="", "",Seventeenth!I239)</f>
        <v/>
      </c>
      <c r="J4236" s="66" t="str">
        <f>IF(Seventeenth!J239="", "",Seventeenth!J239)</f>
        <v/>
      </c>
      <c r="K4236" s="86" t="str">
        <f>IF(Seventeenth!K239="", "",Seventeenth!K239)</f>
        <v/>
      </c>
      <c r="M4236" s="67" t="str">
        <f t="shared" si="200"/>
        <v/>
      </c>
      <c r="N4236" s="76" t="str">
        <f t="shared" si="201"/>
        <v/>
      </c>
      <c r="O4236" s="33">
        <f t="shared" si="199"/>
        <v>0</v>
      </c>
    </row>
    <row r="4237" spans="1:15" x14ac:dyDescent="0.25">
      <c r="A4237" s="64" t="s">
        <v>188</v>
      </c>
      <c r="B4237" s="79" t="str">
        <f>IF(Seventeenth!B240="", "",Seventeenth!B240)</f>
        <v/>
      </c>
      <c r="C4237" s="66" t="str">
        <f>IF(Seventeenth!C240="", "",Seventeenth!C240)</f>
        <v/>
      </c>
      <c r="D4237" s="66" t="str">
        <f>IF(Seventeenth!D240="", "",Seventeenth!D240)</f>
        <v/>
      </c>
      <c r="E4237" s="66" t="str">
        <f>IF(Seventeenth!E240="", "",Seventeenth!E240)</f>
        <v/>
      </c>
      <c r="F4237" s="66" t="str">
        <f>IF(Seventeenth!F240="", "",Seventeenth!F240)</f>
        <v/>
      </c>
      <c r="G4237" s="66" t="str">
        <f>IF(Seventeenth!G240="", "",Seventeenth!G240)</f>
        <v/>
      </c>
      <c r="H4237" s="66" t="str">
        <f>IF(Seventeenth!H240="", "",Seventeenth!H240)</f>
        <v/>
      </c>
      <c r="I4237" s="66" t="str">
        <f>IF(Seventeenth!I240="", "",Seventeenth!I240)</f>
        <v/>
      </c>
      <c r="J4237" s="66" t="str">
        <f>IF(Seventeenth!J240="", "",Seventeenth!J240)</f>
        <v/>
      </c>
      <c r="K4237" s="86" t="str">
        <f>IF(Seventeenth!K240="", "",Seventeenth!K240)</f>
        <v/>
      </c>
      <c r="M4237" s="67" t="str">
        <f t="shared" si="200"/>
        <v/>
      </c>
      <c r="N4237" s="76" t="str">
        <f t="shared" si="201"/>
        <v/>
      </c>
      <c r="O4237" s="33">
        <f t="shared" si="199"/>
        <v>0</v>
      </c>
    </row>
    <row r="4238" spans="1:15" x14ac:dyDescent="0.25">
      <c r="A4238" s="64" t="s">
        <v>188</v>
      </c>
      <c r="B4238" s="79" t="str">
        <f>IF(Seventeenth!B241="", "",Seventeenth!B241)</f>
        <v/>
      </c>
      <c r="C4238" s="66" t="str">
        <f>IF(Seventeenth!C241="", "",Seventeenth!C241)</f>
        <v/>
      </c>
      <c r="D4238" s="66" t="str">
        <f>IF(Seventeenth!D241="", "",Seventeenth!D241)</f>
        <v/>
      </c>
      <c r="E4238" s="66" t="str">
        <f>IF(Seventeenth!E241="", "",Seventeenth!E241)</f>
        <v/>
      </c>
      <c r="F4238" s="66" t="str">
        <f>IF(Seventeenth!F241="", "",Seventeenth!F241)</f>
        <v/>
      </c>
      <c r="G4238" s="66" t="str">
        <f>IF(Seventeenth!G241="", "",Seventeenth!G241)</f>
        <v/>
      </c>
      <c r="H4238" s="66" t="str">
        <f>IF(Seventeenth!H241="", "",Seventeenth!H241)</f>
        <v/>
      </c>
      <c r="I4238" s="66" t="str">
        <f>IF(Seventeenth!I241="", "",Seventeenth!I241)</f>
        <v/>
      </c>
      <c r="J4238" s="66" t="str">
        <f>IF(Seventeenth!J241="", "",Seventeenth!J241)</f>
        <v/>
      </c>
      <c r="K4238" s="86" t="str">
        <f>IF(Seventeenth!K241="", "",Seventeenth!K241)</f>
        <v/>
      </c>
      <c r="M4238" s="67" t="str">
        <f t="shared" si="200"/>
        <v/>
      </c>
      <c r="N4238" s="76" t="str">
        <f t="shared" si="201"/>
        <v/>
      </c>
      <c r="O4238" s="33">
        <f t="shared" si="199"/>
        <v>0</v>
      </c>
    </row>
    <row r="4239" spans="1:15" x14ac:dyDescent="0.25">
      <c r="A4239" s="64" t="s">
        <v>188</v>
      </c>
      <c r="B4239" s="79" t="str">
        <f>IF(Seventeenth!B242="", "",Seventeenth!B242)</f>
        <v/>
      </c>
      <c r="C4239" s="66" t="str">
        <f>IF(Seventeenth!C242="", "",Seventeenth!C242)</f>
        <v/>
      </c>
      <c r="D4239" s="66" t="str">
        <f>IF(Seventeenth!D242="", "",Seventeenth!D242)</f>
        <v/>
      </c>
      <c r="E4239" s="66" t="str">
        <f>IF(Seventeenth!E242="", "",Seventeenth!E242)</f>
        <v/>
      </c>
      <c r="F4239" s="66" t="str">
        <f>IF(Seventeenth!F242="", "",Seventeenth!F242)</f>
        <v/>
      </c>
      <c r="G4239" s="66" t="str">
        <f>IF(Seventeenth!G242="", "",Seventeenth!G242)</f>
        <v/>
      </c>
      <c r="H4239" s="66" t="str">
        <f>IF(Seventeenth!H242="", "",Seventeenth!H242)</f>
        <v/>
      </c>
      <c r="I4239" s="66" t="str">
        <f>IF(Seventeenth!I242="", "",Seventeenth!I242)</f>
        <v/>
      </c>
      <c r="J4239" s="66" t="str">
        <f>IF(Seventeenth!J242="", "",Seventeenth!J242)</f>
        <v/>
      </c>
      <c r="K4239" s="86" t="str">
        <f>IF(Seventeenth!K242="", "",Seventeenth!K242)</f>
        <v/>
      </c>
      <c r="M4239" s="67" t="str">
        <f t="shared" si="200"/>
        <v/>
      </c>
      <c r="N4239" s="76" t="str">
        <f t="shared" si="201"/>
        <v/>
      </c>
      <c r="O4239" s="33">
        <f t="shared" si="199"/>
        <v>0</v>
      </c>
    </row>
    <row r="4240" spans="1:15" x14ac:dyDescent="0.25">
      <c r="A4240" s="64" t="s">
        <v>188</v>
      </c>
      <c r="B4240" s="79" t="str">
        <f>IF(Seventeenth!B243="", "",Seventeenth!B243)</f>
        <v/>
      </c>
      <c r="C4240" s="66" t="str">
        <f>IF(Seventeenth!C243="", "",Seventeenth!C243)</f>
        <v/>
      </c>
      <c r="D4240" s="66" t="str">
        <f>IF(Seventeenth!D243="", "",Seventeenth!D243)</f>
        <v/>
      </c>
      <c r="E4240" s="66" t="str">
        <f>IF(Seventeenth!E243="", "",Seventeenth!E243)</f>
        <v/>
      </c>
      <c r="F4240" s="66" t="str">
        <f>IF(Seventeenth!F243="", "",Seventeenth!F243)</f>
        <v/>
      </c>
      <c r="G4240" s="66" t="str">
        <f>IF(Seventeenth!G243="", "",Seventeenth!G243)</f>
        <v/>
      </c>
      <c r="H4240" s="66" t="str">
        <f>IF(Seventeenth!H243="", "",Seventeenth!H243)</f>
        <v/>
      </c>
      <c r="I4240" s="66" t="str">
        <f>IF(Seventeenth!I243="", "",Seventeenth!I243)</f>
        <v/>
      </c>
      <c r="J4240" s="66" t="str">
        <f>IF(Seventeenth!J243="", "",Seventeenth!J243)</f>
        <v/>
      </c>
      <c r="K4240" s="86" t="str">
        <f>IF(Seventeenth!K243="", "",Seventeenth!K243)</f>
        <v/>
      </c>
      <c r="M4240" s="67" t="str">
        <f t="shared" si="200"/>
        <v/>
      </c>
      <c r="N4240" s="76" t="str">
        <f t="shared" si="201"/>
        <v/>
      </c>
      <c r="O4240" s="33">
        <f t="shared" si="199"/>
        <v>0</v>
      </c>
    </row>
    <row r="4241" spans="1:15" x14ac:dyDescent="0.25">
      <c r="A4241" s="64" t="s">
        <v>188</v>
      </c>
      <c r="B4241" s="79" t="str">
        <f>IF(Seventeenth!B244="", "",Seventeenth!B244)</f>
        <v/>
      </c>
      <c r="C4241" s="66" t="str">
        <f>IF(Seventeenth!C244="", "",Seventeenth!C244)</f>
        <v/>
      </c>
      <c r="D4241" s="66" t="str">
        <f>IF(Seventeenth!D244="", "",Seventeenth!D244)</f>
        <v/>
      </c>
      <c r="E4241" s="66" t="str">
        <f>IF(Seventeenth!E244="", "",Seventeenth!E244)</f>
        <v/>
      </c>
      <c r="F4241" s="66" t="str">
        <f>IF(Seventeenth!F244="", "",Seventeenth!F244)</f>
        <v/>
      </c>
      <c r="G4241" s="66" t="str">
        <f>IF(Seventeenth!G244="", "",Seventeenth!G244)</f>
        <v/>
      </c>
      <c r="H4241" s="66" t="str">
        <f>IF(Seventeenth!H244="", "",Seventeenth!H244)</f>
        <v/>
      </c>
      <c r="I4241" s="66" t="str">
        <f>IF(Seventeenth!I244="", "",Seventeenth!I244)</f>
        <v/>
      </c>
      <c r="J4241" s="66" t="str">
        <f>IF(Seventeenth!J244="", "",Seventeenth!J244)</f>
        <v/>
      </c>
      <c r="K4241" s="86" t="str">
        <f>IF(Seventeenth!K244="", "",Seventeenth!K244)</f>
        <v/>
      </c>
      <c r="M4241" s="67" t="str">
        <f t="shared" si="200"/>
        <v/>
      </c>
      <c r="N4241" s="76" t="str">
        <f t="shared" si="201"/>
        <v/>
      </c>
      <c r="O4241" s="33">
        <f t="shared" si="199"/>
        <v>0</v>
      </c>
    </row>
    <row r="4242" spans="1:15" x14ac:dyDescent="0.25">
      <c r="A4242" s="64" t="s">
        <v>188</v>
      </c>
      <c r="B4242" s="79" t="str">
        <f>IF(Seventeenth!B245="", "",Seventeenth!B245)</f>
        <v/>
      </c>
      <c r="C4242" s="66" t="str">
        <f>IF(Seventeenth!C245="", "",Seventeenth!C245)</f>
        <v/>
      </c>
      <c r="D4242" s="66" t="str">
        <f>IF(Seventeenth!D245="", "",Seventeenth!D245)</f>
        <v/>
      </c>
      <c r="E4242" s="66" t="str">
        <f>IF(Seventeenth!E245="", "",Seventeenth!E245)</f>
        <v/>
      </c>
      <c r="F4242" s="66" t="str">
        <f>IF(Seventeenth!F245="", "",Seventeenth!F245)</f>
        <v/>
      </c>
      <c r="G4242" s="66" t="str">
        <f>IF(Seventeenth!G245="", "",Seventeenth!G245)</f>
        <v/>
      </c>
      <c r="H4242" s="66" t="str">
        <f>IF(Seventeenth!H245="", "",Seventeenth!H245)</f>
        <v/>
      </c>
      <c r="I4242" s="66" t="str">
        <f>IF(Seventeenth!I245="", "",Seventeenth!I245)</f>
        <v/>
      </c>
      <c r="J4242" s="66" t="str">
        <f>IF(Seventeenth!J245="", "",Seventeenth!J245)</f>
        <v/>
      </c>
      <c r="K4242" s="86" t="str">
        <f>IF(Seventeenth!K245="", "",Seventeenth!K245)</f>
        <v/>
      </c>
      <c r="M4242" s="67" t="str">
        <f t="shared" si="200"/>
        <v/>
      </c>
      <c r="N4242" s="76" t="str">
        <f t="shared" si="201"/>
        <v/>
      </c>
      <c r="O4242" s="33">
        <f t="shared" si="199"/>
        <v>0</v>
      </c>
    </row>
    <row r="4243" spans="1:15" x14ac:dyDescent="0.25">
      <c r="A4243" s="64" t="s">
        <v>188</v>
      </c>
      <c r="B4243" s="79" t="str">
        <f>IF(Seventeenth!B246="", "",Seventeenth!B246)</f>
        <v/>
      </c>
      <c r="C4243" s="66" t="str">
        <f>IF(Seventeenth!C246="", "",Seventeenth!C246)</f>
        <v/>
      </c>
      <c r="D4243" s="66" t="str">
        <f>IF(Seventeenth!D246="", "",Seventeenth!D246)</f>
        <v/>
      </c>
      <c r="E4243" s="66" t="str">
        <f>IF(Seventeenth!E246="", "",Seventeenth!E246)</f>
        <v/>
      </c>
      <c r="F4243" s="66" t="str">
        <f>IF(Seventeenth!F246="", "",Seventeenth!F246)</f>
        <v/>
      </c>
      <c r="G4243" s="66" t="str">
        <f>IF(Seventeenth!G246="", "",Seventeenth!G246)</f>
        <v/>
      </c>
      <c r="H4243" s="66" t="str">
        <f>IF(Seventeenth!H246="", "",Seventeenth!H246)</f>
        <v/>
      </c>
      <c r="I4243" s="66" t="str">
        <f>IF(Seventeenth!I246="", "",Seventeenth!I246)</f>
        <v/>
      </c>
      <c r="J4243" s="66" t="str">
        <f>IF(Seventeenth!J246="", "",Seventeenth!J246)</f>
        <v/>
      </c>
      <c r="K4243" s="86" t="str">
        <f>IF(Seventeenth!K246="", "",Seventeenth!K246)</f>
        <v/>
      </c>
      <c r="M4243" s="67" t="str">
        <f t="shared" si="200"/>
        <v/>
      </c>
      <c r="N4243" s="76" t="str">
        <f t="shared" si="201"/>
        <v/>
      </c>
      <c r="O4243" s="33">
        <f t="shared" si="199"/>
        <v>0</v>
      </c>
    </row>
    <row r="4244" spans="1:15" x14ac:dyDescent="0.25">
      <c r="A4244" s="64" t="s">
        <v>188</v>
      </c>
      <c r="B4244" s="79" t="str">
        <f>IF(Seventeenth!B247="", "",Seventeenth!B247)</f>
        <v/>
      </c>
      <c r="C4244" s="66" t="str">
        <f>IF(Seventeenth!C247="", "",Seventeenth!C247)</f>
        <v/>
      </c>
      <c r="D4244" s="66" t="str">
        <f>IF(Seventeenth!D247="", "",Seventeenth!D247)</f>
        <v/>
      </c>
      <c r="E4244" s="66" t="str">
        <f>IF(Seventeenth!E247="", "",Seventeenth!E247)</f>
        <v/>
      </c>
      <c r="F4244" s="66" t="str">
        <f>IF(Seventeenth!F247="", "",Seventeenth!F247)</f>
        <v/>
      </c>
      <c r="G4244" s="66" t="str">
        <f>IF(Seventeenth!G247="", "",Seventeenth!G247)</f>
        <v/>
      </c>
      <c r="H4244" s="66" t="str">
        <f>IF(Seventeenth!H247="", "",Seventeenth!H247)</f>
        <v/>
      </c>
      <c r="I4244" s="66" t="str">
        <f>IF(Seventeenth!I247="", "",Seventeenth!I247)</f>
        <v/>
      </c>
      <c r="J4244" s="66" t="str">
        <f>IF(Seventeenth!J247="", "",Seventeenth!J247)</f>
        <v/>
      </c>
      <c r="K4244" s="86" t="str">
        <f>IF(Seventeenth!K247="", "",Seventeenth!K247)</f>
        <v/>
      </c>
      <c r="M4244" s="67" t="str">
        <f t="shared" si="200"/>
        <v/>
      </c>
      <c r="N4244" s="76" t="str">
        <f t="shared" si="201"/>
        <v/>
      </c>
      <c r="O4244" s="33">
        <f t="shared" si="199"/>
        <v>0</v>
      </c>
    </row>
    <row r="4245" spans="1:15" x14ac:dyDescent="0.25">
      <c r="A4245" s="64" t="s">
        <v>188</v>
      </c>
      <c r="B4245" s="79" t="str">
        <f>IF(Seventeenth!B248="", "",Seventeenth!B248)</f>
        <v/>
      </c>
      <c r="C4245" s="66" t="str">
        <f>IF(Seventeenth!C248="", "",Seventeenth!C248)</f>
        <v/>
      </c>
      <c r="D4245" s="66" t="str">
        <f>IF(Seventeenth!D248="", "",Seventeenth!D248)</f>
        <v/>
      </c>
      <c r="E4245" s="66" t="str">
        <f>IF(Seventeenth!E248="", "",Seventeenth!E248)</f>
        <v/>
      </c>
      <c r="F4245" s="66" t="str">
        <f>IF(Seventeenth!F248="", "",Seventeenth!F248)</f>
        <v/>
      </c>
      <c r="G4245" s="66" t="str">
        <f>IF(Seventeenth!G248="", "",Seventeenth!G248)</f>
        <v/>
      </c>
      <c r="H4245" s="66" t="str">
        <f>IF(Seventeenth!H248="", "",Seventeenth!H248)</f>
        <v/>
      </c>
      <c r="I4245" s="66" t="str">
        <f>IF(Seventeenth!I248="", "",Seventeenth!I248)</f>
        <v/>
      </c>
      <c r="J4245" s="66" t="str">
        <f>IF(Seventeenth!J248="", "",Seventeenth!J248)</f>
        <v/>
      </c>
      <c r="K4245" s="86" t="str">
        <f>IF(Seventeenth!K248="", "",Seventeenth!K248)</f>
        <v/>
      </c>
      <c r="M4245" s="67" t="str">
        <f t="shared" si="200"/>
        <v/>
      </c>
      <c r="N4245" s="76" t="str">
        <f t="shared" si="201"/>
        <v/>
      </c>
      <c r="O4245" s="33">
        <f t="shared" si="199"/>
        <v>0</v>
      </c>
    </row>
    <row r="4246" spans="1:15" x14ac:dyDescent="0.25">
      <c r="A4246" s="64" t="s">
        <v>188</v>
      </c>
      <c r="B4246" s="79" t="str">
        <f>IF(Seventeenth!B249="", "",Seventeenth!B249)</f>
        <v/>
      </c>
      <c r="C4246" s="66" t="str">
        <f>IF(Seventeenth!C249="", "",Seventeenth!C249)</f>
        <v/>
      </c>
      <c r="D4246" s="66" t="str">
        <f>IF(Seventeenth!D249="", "",Seventeenth!D249)</f>
        <v/>
      </c>
      <c r="E4246" s="66" t="str">
        <f>IF(Seventeenth!E249="", "",Seventeenth!E249)</f>
        <v/>
      </c>
      <c r="F4246" s="66" t="str">
        <f>IF(Seventeenth!F249="", "",Seventeenth!F249)</f>
        <v/>
      </c>
      <c r="G4246" s="66" t="str">
        <f>IF(Seventeenth!G249="", "",Seventeenth!G249)</f>
        <v/>
      </c>
      <c r="H4246" s="66" t="str">
        <f>IF(Seventeenth!H249="", "",Seventeenth!H249)</f>
        <v/>
      </c>
      <c r="I4246" s="66" t="str">
        <f>IF(Seventeenth!I249="", "",Seventeenth!I249)</f>
        <v/>
      </c>
      <c r="J4246" s="66" t="str">
        <f>IF(Seventeenth!J249="", "",Seventeenth!J249)</f>
        <v/>
      </c>
      <c r="K4246" s="86" t="str">
        <f>IF(Seventeenth!K249="", "",Seventeenth!K249)</f>
        <v/>
      </c>
      <c r="M4246" s="67" t="str">
        <f t="shared" si="200"/>
        <v/>
      </c>
      <c r="N4246" s="76" t="str">
        <f t="shared" si="201"/>
        <v/>
      </c>
      <c r="O4246" s="33">
        <f t="shared" si="199"/>
        <v>0</v>
      </c>
    </row>
    <row r="4247" spans="1:15" x14ac:dyDescent="0.25">
      <c r="A4247" s="64" t="s">
        <v>188</v>
      </c>
      <c r="B4247" s="79" t="str">
        <f>IF(Seventeenth!B250="", "",Seventeenth!B250)</f>
        <v/>
      </c>
      <c r="C4247" s="66" t="str">
        <f>IF(Seventeenth!C250="", "",Seventeenth!C250)</f>
        <v/>
      </c>
      <c r="D4247" s="66" t="str">
        <f>IF(Seventeenth!D250="", "",Seventeenth!D250)</f>
        <v/>
      </c>
      <c r="E4247" s="66" t="str">
        <f>IF(Seventeenth!E250="", "",Seventeenth!E250)</f>
        <v/>
      </c>
      <c r="F4247" s="66" t="str">
        <f>IF(Seventeenth!F250="", "",Seventeenth!F250)</f>
        <v/>
      </c>
      <c r="G4247" s="66" t="str">
        <f>IF(Seventeenth!G250="", "",Seventeenth!G250)</f>
        <v/>
      </c>
      <c r="H4247" s="66" t="str">
        <f>IF(Seventeenth!H250="", "",Seventeenth!H250)</f>
        <v/>
      </c>
      <c r="I4247" s="66" t="str">
        <f>IF(Seventeenth!I250="", "",Seventeenth!I250)</f>
        <v/>
      </c>
      <c r="J4247" s="66" t="str">
        <f>IF(Seventeenth!J250="", "",Seventeenth!J250)</f>
        <v/>
      </c>
      <c r="K4247" s="86" t="str">
        <f>IF(Seventeenth!K250="", "",Seventeenth!K250)</f>
        <v/>
      </c>
      <c r="M4247" s="67" t="str">
        <f t="shared" si="200"/>
        <v/>
      </c>
      <c r="N4247" s="76" t="str">
        <f t="shared" si="201"/>
        <v/>
      </c>
      <c r="O4247" s="33">
        <f t="shared" si="199"/>
        <v>0</v>
      </c>
    </row>
    <row r="4248" spans="1:15" x14ac:dyDescent="0.25">
      <c r="A4248" s="64" t="s">
        <v>188</v>
      </c>
      <c r="B4248" s="79" t="str">
        <f>IF(Seventeenth!B251="", "",Seventeenth!B251)</f>
        <v/>
      </c>
      <c r="C4248" s="66" t="str">
        <f>IF(Seventeenth!C251="", "",Seventeenth!C251)</f>
        <v/>
      </c>
      <c r="D4248" s="66" t="str">
        <f>IF(Seventeenth!D251="", "",Seventeenth!D251)</f>
        <v/>
      </c>
      <c r="E4248" s="66" t="str">
        <f>IF(Seventeenth!E251="", "",Seventeenth!E251)</f>
        <v/>
      </c>
      <c r="F4248" s="66" t="str">
        <f>IF(Seventeenth!F251="", "",Seventeenth!F251)</f>
        <v/>
      </c>
      <c r="G4248" s="66" t="str">
        <f>IF(Seventeenth!G251="", "",Seventeenth!G251)</f>
        <v/>
      </c>
      <c r="H4248" s="66" t="str">
        <f>IF(Seventeenth!H251="", "",Seventeenth!H251)</f>
        <v/>
      </c>
      <c r="I4248" s="66" t="str">
        <f>IF(Seventeenth!I251="", "",Seventeenth!I251)</f>
        <v/>
      </c>
      <c r="J4248" s="66" t="str">
        <f>IF(Seventeenth!J251="", "",Seventeenth!J251)</f>
        <v/>
      </c>
      <c r="K4248" s="86" t="str">
        <f>IF(Seventeenth!K251="", "",Seventeenth!K251)</f>
        <v/>
      </c>
      <c r="M4248" s="67" t="str">
        <f t="shared" si="200"/>
        <v/>
      </c>
      <c r="N4248" s="76" t="str">
        <f t="shared" si="201"/>
        <v/>
      </c>
      <c r="O4248" s="33">
        <f t="shared" si="199"/>
        <v>0</v>
      </c>
    </row>
    <row r="4249" spans="1:15" x14ac:dyDescent="0.25">
      <c r="A4249" s="64" t="s">
        <v>188</v>
      </c>
      <c r="B4249" s="79" t="str">
        <f>IF(Seventeenth!B252="", "",Seventeenth!B252)</f>
        <v/>
      </c>
      <c r="C4249" s="66" t="str">
        <f>IF(Seventeenth!C252="", "",Seventeenth!C252)</f>
        <v/>
      </c>
      <c r="D4249" s="66" t="str">
        <f>IF(Seventeenth!D252="", "",Seventeenth!D252)</f>
        <v/>
      </c>
      <c r="E4249" s="66" t="str">
        <f>IF(Seventeenth!E252="", "",Seventeenth!E252)</f>
        <v/>
      </c>
      <c r="F4249" s="66" t="str">
        <f>IF(Seventeenth!F252="", "",Seventeenth!F252)</f>
        <v/>
      </c>
      <c r="G4249" s="66" t="str">
        <f>IF(Seventeenth!G252="", "",Seventeenth!G252)</f>
        <v/>
      </c>
      <c r="H4249" s="66" t="str">
        <f>IF(Seventeenth!H252="", "",Seventeenth!H252)</f>
        <v/>
      </c>
      <c r="I4249" s="66" t="str">
        <f>IF(Seventeenth!I252="", "",Seventeenth!I252)</f>
        <v/>
      </c>
      <c r="J4249" s="66" t="str">
        <f>IF(Seventeenth!J252="", "",Seventeenth!J252)</f>
        <v/>
      </c>
      <c r="K4249" s="86" t="str">
        <f>IF(Seventeenth!K252="", "",Seventeenth!K252)</f>
        <v/>
      </c>
      <c r="M4249" s="67" t="str">
        <f t="shared" si="200"/>
        <v/>
      </c>
      <c r="N4249" s="76" t="str">
        <f t="shared" si="201"/>
        <v/>
      </c>
      <c r="O4249" s="33">
        <f t="shared" si="199"/>
        <v>0</v>
      </c>
    </row>
    <row r="4250" spans="1:15" x14ac:dyDescent="0.25">
      <c r="A4250" s="64" t="s">
        <v>188</v>
      </c>
      <c r="B4250" s="79" t="str">
        <f>IF(Seventeenth!B253="", "",Seventeenth!B253)</f>
        <v/>
      </c>
      <c r="C4250" s="66" t="str">
        <f>IF(Seventeenth!C253="", "",Seventeenth!C253)</f>
        <v/>
      </c>
      <c r="D4250" s="66" t="str">
        <f>IF(Seventeenth!D253="", "",Seventeenth!D253)</f>
        <v/>
      </c>
      <c r="E4250" s="66" t="str">
        <f>IF(Seventeenth!E253="", "",Seventeenth!E253)</f>
        <v/>
      </c>
      <c r="F4250" s="66" t="str">
        <f>IF(Seventeenth!F253="", "",Seventeenth!F253)</f>
        <v/>
      </c>
      <c r="G4250" s="66" t="str">
        <f>IF(Seventeenth!G253="", "",Seventeenth!G253)</f>
        <v/>
      </c>
      <c r="H4250" s="66" t="str">
        <f>IF(Seventeenth!H253="", "",Seventeenth!H253)</f>
        <v/>
      </c>
      <c r="I4250" s="66" t="str">
        <f>IF(Seventeenth!I253="", "",Seventeenth!I253)</f>
        <v/>
      </c>
      <c r="J4250" s="66" t="str">
        <f>IF(Seventeenth!J253="", "",Seventeenth!J253)</f>
        <v/>
      </c>
      <c r="K4250" s="86" t="str">
        <f>IF(Seventeenth!K253="", "",Seventeenth!K253)</f>
        <v/>
      </c>
      <c r="M4250" s="67" t="str">
        <f t="shared" si="200"/>
        <v/>
      </c>
      <c r="N4250" s="76" t="str">
        <f t="shared" si="201"/>
        <v/>
      </c>
      <c r="O4250" s="33">
        <f t="shared" si="199"/>
        <v>0</v>
      </c>
    </row>
    <row r="4251" spans="1:15" ht="15.75" thickBot="1" x14ac:dyDescent="0.3">
      <c r="A4251" s="68" t="s">
        <v>188</v>
      </c>
      <c r="B4251" s="80" t="str">
        <f>IF(Seventeenth!B254="", "",Seventeenth!B254)</f>
        <v/>
      </c>
      <c r="C4251" s="70" t="str">
        <f>IF(Seventeenth!C254="", "",Seventeenth!C254)</f>
        <v/>
      </c>
      <c r="D4251" s="70" t="str">
        <f>IF(Seventeenth!D254="", "",Seventeenth!D254)</f>
        <v/>
      </c>
      <c r="E4251" s="70" t="str">
        <f>IF(Seventeenth!E254="", "",Seventeenth!E254)</f>
        <v/>
      </c>
      <c r="F4251" s="70" t="str">
        <f>IF(Seventeenth!F254="", "",Seventeenth!F254)</f>
        <v/>
      </c>
      <c r="G4251" s="70" t="str">
        <f>IF(Seventeenth!G254="", "",Seventeenth!G254)</f>
        <v/>
      </c>
      <c r="H4251" s="70" t="str">
        <f>IF(Seventeenth!H254="", "",Seventeenth!H254)</f>
        <v/>
      </c>
      <c r="I4251" s="70" t="str">
        <f>IF(Seventeenth!I254="", "",Seventeenth!I254)</f>
        <v/>
      </c>
      <c r="J4251" s="70" t="str">
        <f>IF(Seventeenth!J254="", "",Seventeenth!J254)</f>
        <v/>
      </c>
      <c r="K4251" s="90" t="str">
        <f>IF(Seventeenth!K254="", "",Seventeenth!K254)</f>
        <v/>
      </c>
      <c r="L4251" s="91"/>
      <c r="M4251" s="71" t="str">
        <f t="shared" si="200"/>
        <v/>
      </c>
      <c r="N4251" s="77" t="str">
        <f t="shared" si="201"/>
        <v/>
      </c>
      <c r="O4251" s="33">
        <f t="shared" si="199"/>
        <v>0</v>
      </c>
    </row>
    <row r="4252" spans="1:15" x14ac:dyDescent="0.25">
      <c r="A4252" s="64" t="s">
        <v>189</v>
      </c>
      <c r="B4252" s="79" t="str">
        <f>IF(Eighteenth!B5="", "",Eighteenth!B5)</f>
        <v>Centre Head</v>
      </c>
      <c r="C4252" s="66" t="str">
        <f>IF(Eighteenth!C5="", "",Eighteenth!C5)</f>
        <v>PwC</v>
      </c>
      <c r="D4252" s="66" t="str">
        <f>IF(Eighteenth!D5="", "",Eighteenth!D5)</f>
        <v>Returning</v>
      </c>
      <c r="E4252" s="66" t="str">
        <f>IF(Eighteenth!E5="", "",Eighteenth!E5)</f>
        <v>Male</v>
      </c>
      <c r="F4252" s="66" t="str">
        <f>IF(Eighteenth!F5="", "",Eighteenth!F5)</f>
        <v>Prostate</v>
      </c>
      <c r="G4252" s="66" t="str">
        <f>IF(Eighteenth!G5="", "",Eighteenth!G5)</f>
        <v>Curative Intent</v>
      </c>
      <c r="H4252" s="66" t="str">
        <f>IF(Eighteenth!H5="", "",Eighteenth!H5)</f>
        <v>Booked</v>
      </c>
      <c r="I4252" s="66" t="str">
        <f>IF(Eighteenth!I5="", "",Eighteenth!I5)</f>
        <v>Psych Support - Individual</v>
      </c>
      <c r="J4252" s="66" t="str">
        <f>IF(Eighteenth!J5="", "",Eighteenth!J5)</f>
        <v/>
      </c>
      <c r="K4252" s="86" t="str">
        <f>IF(Eighteenth!K5="", "",Eighteenth!K5)</f>
        <v/>
      </c>
      <c r="M4252" s="67">
        <f t="shared" si="200"/>
        <v>7</v>
      </c>
      <c r="N4252" s="76" t="str">
        <f t="shared" si="201"/>
        <v/>
      </c>
      <c r="O4252" s="33">
        <f t="shared" si="199"/>
        <v>7</v>
      </c>
    </row>
    <row r="4253" spans="1:15" x14ac:dyDescent="0.25">
      <c r="A4253" s="64" t="s">
        <v>189</v>
      </c>
      <c r="B4253" s="79" t="str">
        <f>IF(Eighteenth!B6="", "",Eighteenth!B6)</f>
        <v>Centre Head</v>
      </c>
      <c r="C4253" s="66" t="str">
        <f>IF(Eighteenth!C6="", "",Eighteenth!C6)</f>
        <v>Carer</v>
      </c>
      <c r="D4253" s="66" t="str">
        <f>IF(Eighteenth!D6="", "",Eighteenth!D6)</f>
        <v>Returning</v>
      </c>
      <c r="E4253" s="66" t="str">
        <f>IF(Eighteenth!E6="", "",Eighteenth!E6)</f>
        <v>Female</v>
      </c>
      <c r="F4253" s="66" t="str">
        <f>IF(Eighteenth!F6="", "",Eighteenth!F6)</f>
        <v>Prostate</v>
      </c>
      <c r="G4253" s="66" t="str">
        <f>IF(Eighteenth!G6="", "",Eighteenth!G6)</f>
        <v>Curative Intent</v>
      </c>
      <c r="H4253" s="66" t="str">
        <f>IF(Eighteenth!H6="", "",Eighteenth!H6)</f>
        <v>Drop-In</v>
      </c>
      <c r="I4253" s="66" t="str">
        <f>IF(Eighteenth!I6="", "",Eighteenth!I6)</f>
        <v/>
      </c>
      <c r="J4253" s="66" t="str">
        <f>IF(Eighteenth!J6="", "",Eighteenth!J6)</f>
        <v/>
      </c>
      <c r="K4253" s="86" t="str">
        <f>IF(Eighteenth!K6="", "",Eighteenth!K6)</f>
        <v/>
      </c>
      <c r="M4253" s="67" t="str">
        <f t="shared" si="200"/>
        <v/>
      </c>
      <c r="N4253" s="76">
        <f t="shared" si="201"/>
        <v>7</v>
      </c>
      <c r="O4253" s="33">
        <f t="shared" si="199"/>
        <v>7</v>
      </c>
    </row>
    <row r="4254" spans="1:15" x14ac:dyDescent="0.25">
      <c r="A4254" s="64" t="s">
        <v>189</v>
      </c>
      <c r="B4254" s="79" t="str">
        <f>IF(Eighteenth!B7="", "",Eighteenth!B7)</f>
        <v>Centre Head</v>
      </c>
      <c r="C4254" s="66" t="str">
        <f>IF(Eighteenth!C7="", "",Eighteenth!C7)</f>
        <v>PwC</v>
      </c>
      <c r="D4254" s="66" t="str">
        <f>IF(Eighteenth!D7="", "",Eighteenth!D7)</f>
        <v>New</v>
      </c>
      <c r="E4254" s="66" t="str">
        <f>IF(Eighteenth!E7="", "",Eighteenth!E7)</f>
        <v>Male</v>
      </c>
      <c r="F4254" s="66" t="str">
        <f>IF(Eighteenth!F7="", "",Eighteenth!F7)</f>
        <v>Lower GI</v>
      </c>
      <c r="G4254" s="66" t="str">
        <f>IF(Eighteenth!G7="", "",Eighteenth!G7)</f>
        <v/>
      </c>
      <c r="H4254" s="66" t="str">
        <f>IF(Eighteenth!H7="", "",Eighteenth!H7)</f>
        <v>Booked</v>
      </c>
      <c r="I4254" s="66" t="str">
        <f>IF(Eighteenth!I7="", "",Eighteenth!I7)</f>
        <v>Psych Support - Individual</v>
      </c>
      <c r="J4254" s="66" t="str">
        <f>IF(Eighteenth!J7="", "",Eighteenth!J7)</f>
        <v/>
      </c>
      <c r="K4254" s="86" t="str">
        <f>IF(Eighteenth!K7="", "",Eighteenth!K7)</f>
        <v/>
      </c>
      <c r="M4254" s="67">
        <f t="shared" si="200"/>
        <v>6</v>
      </c>
      <c r="N4254" s="76" t="str">
        <f t="shared" si="201"/>
        <v/>
      </c>
      <c r="O4254" s="33">
        <f t="shared" si="199"/>
        <v>6</v>
      </c>
    </row>
    <row r="4255" spans="1:15" x14ac:dyDescent="0.25">
      <c r="A4255" s="64" t="s">
        <v>189</v>
      </c>
      <c r="B4255" s="79" t="str">
        <f>IF(Eighteenth!B8="", "",Eighteenth!B8)</f>
        <v>Centre Head</v>
      </c>
      <c r="C4255" s="66" t="str">
        <f>IF(Eighteenth!C8="", "",Eighteenth!C8)</f>
        <v>Carer</v>
      </c>
      <c r="D4255" s="66" t="str">
        <f>IF(Eighteenth!D8="", "",Eighteenth!D8)</f>
        <v>Returning</v>
      </c>
      <c r="E4255" s="66" t="str">
        <f>IF(Eighteenth!E8="", "",Eighteenth!E8)</f>
        <v>Female</v>
      </c>
      <c r="F4255" s="66" t="str">
        <f>IF(Eighteenth!F8="", "",Eighteenth!F8)</f>
        <v>Lower GI</v>
      </c>
      <c r="G4255" s="66" t="str">
        <f>IF(Eighteenth!G8="", "",Eighteenth!G8)</f>
        <v>Curative Intent</v>
      </c>
      <c r="H4255" s="66" t="str">
        <f>IF(Eighteenth!H8="", "",Eighteenth!H8)</f>
        <v>Booked</v>
      </c>
      <c r="I4255" s="66" t="str">
        <f>IF(Eighteenth!I8="", "",Eighteenth!I8)</f>
        <v>Psych Support - Individual</v>
      </c>
      <c r="J4255" s="66" t="str">
        <f>IF(Eighteenth!J8="", "",Eighteenth!J8)</f>
        <v/>
      </c>
      <c r="K4255" s="86" t="str">
        <f>IF(Eighteenth!K8="", "",Eighteenth!K8)</f>
        <v/>
      </c>
      <c r="M4255" s="67" t="str">
        <f t="shared" si="200"/>
        <v/>
      </c>
      <c r="N4255" s="76">
        <f t="shared" si="201"/>
        <v>7</v>
      </c>
      <c r="O4255" s="33">
        <f t="shared" si="199"/>
        <v>7</v>
      </c>
    </row>
    <row r="4256" spans="1:15" x14ac:dyDescent="0.25">
      <c r="A4256" s="64" t="s">
        <v>189</v>
      </c>
      <c r="B4256" s="79" t="str">
        <f>IF(Eighteenth!B9="", "",Eighteenth!B9)</f>
        <v>Sessional Staff</v>
      </c>
      <c r="C4256" s="66" t="str">
        <f>IF(Eighteenth!C9="", "",Eighteenth!C9)</f>
        <v>Carer</v>
      </c>
      <c r="D4256" s="66" t="str">
        <f>IF(Eighteenth!D9="", "",Eighteenth!D9)</f>
        <v>Returning</v>
      </c>
      <c r="E4256" s="66" t="str">
        <f>IF(Eighteenth!E9="", "",Eighteenth!E9)</f>
        <v>Female</v>
      </c>
      <c r="F4256" s="66" t="str">
        <f>IF(Eighteenth!F9="", "",Eighteenth!F9)</f>
        <v>Lower GI</v>
      </c>
      <c r="G4256" s="66" t="str">
        <f>IF(Eighteenth!G9="", "",Eighteenth!G9)</f>
        <v>Curative Intent</v>
      </c>
      <c r="H4256" s="66" t="str">
        <f>IF(Eighteenth!H9="", "",Eighteenth!H9)</f>
        <v>Programme</v>
      </c>
      <c r="I4256" s="66" t="str">
        <f>IF(Eighteenth!I9="", "",Eighteenth!I9)</f>
        <v>Nutrition</v>
      </c>
      <c r="J4256" s="66" t="str">
        <f>IF(Eighteenth!J9="", "",Eighteenth!J9)</f>
        <v/>
      </c>
      <c r="K4256" s="86" t="str">
        <f>IF(Eighteenth!K9="", "",Eighteenth!K9)</f>
        <v/>
      </c>
      <c r="M4256" s="67" t="str">
        <f t="shared" si="200"/>
        <v/>
      </c>
      <c r="N4256" s="76">
        <f t="shared" si="201"/>
        <v>7</v>
      </c>
      <c r="O4256" s="33">
        <f t="shared" si="199"/>
        <v>7</v>
      </c>
    </row>
    <row r="4257" spans="1:15" x14ac:dyDescent="0.25">
      <c r="A4257" s="64" t="s">
        <v>189</v>
      </c>
      <c r="B4257" s="79" t="str">
        <f>IF(Eighteenth!B10="", "",Eighteenth!B10)</f>
        <v>Sessional Staff</v>
      </c>
      <c r="C4257" s="66" t="str">
        <f>IF(Eighteenth!C10="", "",Eighteenth!C10)</f>
        <v>PwC</v>
      </c>
      <c r="D4257" s="66" t="str">
        <f>IF(Eighteenth!D10="", "",Eighteenth!D10)</f>
        <v>Returning</v>
      </c>
      <c r="E4257" s="66" t="str">
        <f>IF(Eighteenth!E10="", "",Eighteenth!E10)</f>
        <v>Male</v>
      </c>
      <c r="F4257" s="66" t="str">
        <f>IF(Eighteenth!F10="", "",Eighteenth!F10)</f>
        <v>Lower GI</v>
      </c>
      <c r="G4257" s="66" t="str">
        <f>IF(Eighteenth!G10="", "",Eighteenth!G10)</f>
        <v>Curative Intent</v>
      </c>
      <c r="H4257" s="66" t="str">
        <f>IF(Eighteenth!H10="", "",Eighteenth!H10)</f>
        <v>Programme</v>
      </c>
      <c r="I4257" s="66" t="str">
        <f>IF(Eighteenth!I10="", "",Eighteenth!I10)</f>
        <v>Nutrition</v>
      </c>
      <c r="J4257" s="66" t="str">
        <f>IF(Eighteenth!J10="", "",Eighteenth!J10)</f>
        <v/>
      </c>
      <c r="K4257" s="86" t="str">
        <f>IF(Eighteenth!K10="", "",Eighteenth!K10)</f>
        <v/>
      </c>
      <c r="M4257" s="67">
        <f t="shared" si="200"/>
        <v>7</v>
      </c>
      <c r="N4257" s="76" t="str">
        <f t="shared" si="201"/>
        <v/>
      </c>
      <c r="O4257" s="33">
        <f t="shared" si="199"/>
        <v>7</v>
      </c>
    </row>
    <row r="4258" spans="1:15" x14ac:dyDescent="0.25">
      <c r="A4258" s="64" t="s">
        <v>189</v>
      </c>
      <c r="B4258" s="79" t="str">
        <f>IF(Eighteenth!B11="", "",Eighteenth!B11)</f>
        <v>CSS</v>
      </c>
      <c r="C4258" s="66" t="str">
        <f>IF(Eighteenth!C11="", "",Eighteenth!C11)</f>
        <v>PwC</v>
      </c>
      <c r="D4258" s="66" t="str">
        <f>IF(Eighteenth!D11="", "",Eighteenth!D11)</f>
        <v>New</v>
      </c>
      <c r="E4258" s="66" t="str">
        <f>IF(Eighteenth!E11="", "",Eighteenth!E11)</f>
        <v>Female</v>
      </c>
      <c r="F4258" s="66" t="str">
        <f>IF(Eighteenth!F11="", "",Eighteenth!F11)</f>
        <v>Breast</v>
      </c>
      <c r="G4258" s="66" t="str">
        <f>IF(Eighteenth!G11="", "",Eighteenth!G11)</f>
        <v>Curative Intent</v>
      </c>
      <c r="H4258" s="66" t="str">
        <f>IF(Eighteenth!H11="", "",Eighteenth!H11)</f>
        <v>Drop-In</v>
      </c>
      <c r="I4258" s="66" t="str">
        <f>IF(Eighteenth!I11="", "",Eighteenth!I11)</f>
        <v/>
      </c>
      <c r="J4258" s="66" t="str">
        <f>IF(Eighteenth!J11="", "",Eighteenth!J11)</f>
        <v/>
      </c>
      <c r="K4258" s="86" t="str">
        <f>IF(Eighteenth!K11="", "",Eighteenth!K11)</f>
        <v/>
      </c>
      <c r="M4258" s="67">
        <f t="shared" si="200"/>
        <v>7</v>
      </c>
      <c r="N4258" s="76" t="str">
        <f t="shared" si="201"/>
        <v/>
      </c>
      <c r="O4258" s="33">
        <f t="shared" si="199"/>
        <v>7</v>
      </c>
    </row>
    <row r="4259" spans="1:15" x14ac:dyDescent="0.25">
      <c r="A4259" s="64" t="s">
        <v>189</v>
      </c>
      <c r="B4259" s="79" t="str">
        <f>IF(Eighteenth!B12="", "",Eighteenth!B12)</f>
        <v>CSS</v>
      </c>
      <c r="C4259" s="66" t="str">
        <f>IF(Eighteenth!C12="", "",Eighteenth!C12)</f>
        <v>PwC</v>
      </c>
      <c r="D4259" s="66" t="str">
        <f>IF(Eighteenth!D12="", "",Eighteenth!D12)</f>
        <v>New</v>
      </c>
      <c r="E4259" s="66" t="str">
        <f>IF(Eighteenth!E12="", "",Eighteenth!E12)</f>
        <v>Male</v>
      </c>
      <c r="F4259" s="66" t="str">
        <f>IF(Eighteenth!F12="", "",Eighteenth!F12)</f>
        <v>Prostate</v>
      </c>
      <c r="G4259" s="66" t="str">
        <f>IF(Eighteenth!G12="", "",Eighteenth!G12)</f>
        <v>Non-Curative Intent</v>
      </c>
      <c r="H4259" s="66" t="str">
        <f>IF(Eighteenth!H12="", "",Eighteenth!H12)</f>
        <v>Drop-In</v>
      </c>
      <c r="I4259" s="66" t="str">
        <f>IF(Eighteenth!I12="", "",Eighteenth!I12)</f>
        <v/>
      </c>
      <c r="J4259" s="66" t="str">
        <f>IF(Eighteenth!J12="", "",Eighteenth!J12)</f>
        <v/>
      </c>
      <c r="K4259" s="86" t="str">
        <f>IF(Eighteenth!K12="", "",Eighteenth!K12)</f>
        <v/>
      </c>
      <c r="M4259" s="67">
        <f t="shared" si="200"/>
        <v>7</v>
      </c>
      <c r="N4259" s="76" t="str">
        <f t="shared" si="201"/>
        <v/>
      </c>
      <c r="O4259" s="33">
        <f t="shared" si="199"/>
        <v>7</v>
      </c>
    </row>
    <row r="4260" spans="1:15" x14ac:dyDescent="0.25">
      <c r="A4260" s="64" t="s">
        <v>189</v>
      </c>
      <c r="B4260" s="79" t="str">
        <f>IF(Eighteenth!B13="", "",Eighteenth!B13)</f>
        <v>CSS</v>
      </c>
      <c r="C4260" s="66" t="str">
        <f>IF(Eighteenth!C13="", "",Eighteenth!C13)</f>
        <v>Carer</v>
      </c>
      <c r="D4260" s="66" t="str">
        <f>IF(Eighteenth!D13="", "",Eighteenth!D13)</f>
        <v>New</v>
      </c>
      <c r="E4260" s="66" t="str">
        <f>IF(Eighteenth!E13="", "",Eighteenth!E13)</f>
        <v>Female</v>
      </c>
      <c r="F4260" s="66" t="str">
        <f>IF(Eighteenth!F13="", "",Eighteenth!F13)</f>
        <v>Prostate</v>
      </c>
      <c r="G4260" s="66" t="str">
        <f>IF(Eighteenth!G13="", "",Eighteenth!G13)</f>
        <v>Non-Curative Intent</v>
      </c>
      <c r="H4260" s="66" t="str">
        <f>IF(Eighteenth!H13="", "",Eighteenth!H13)</f>
        <v>Drop-In</v>
      </c>
      <c r="I4260" s="66" t="str">
        <f>IF(Eighteenth!I13="", "",Eighteenth!I13)</f>
        <v/>
      </c>
      <c r="J4260" s="66" t="str">
        <f>IF(Eighteenth!J13="", "",Eighteenth!J13)</f>
        <v/>
      </c>
      <c r="K4260" s="86" t="str">
        <f>IF(Eighteenth!K13="", "",Eighteenth!K13)</f>
        <v/>
      </c>
      <c r="M4260" s="67" t="str">
        <f t="shared" si="200"/>
        <v/>
      </c>
      <c r="N4260" s="76">
        <f t="shared" si="201"/>
        <v>7</v>
      </c>
      <c r="O4260" s="33">
        <f t="shared" si="199"/>
        <v>7</v>
      </c>
    </row>
    <row r="4261" spans="1:15" x14ac:dyDescent="0.25">
      <c r="A4261" s="64" t="s">
        <v>189</v>
      </c>
      <c r="B4261" s="79" t="str">
        <f>IF(Eighteenth!B14="", "",Eighteenth!B14)</f>
        <v>CSS</v>
      </c>
      <c r="C4261" s="66" t="str">
        <f>IF(Eighteenth!C14="", "",Eighteenth!C14)</f>
        <v>PwC</v>
      </c>
      <c r="D4261" s="66" t="str">
        <f>IF(Eighteenth!D14="", "",Eighteenth!D14)</f>
        <v>Returning</v>
      </c>
      <c r="E4261" s="66" t="str">
        <f>IF(Eighteenth!E14="", "",Eighteenth!E14)</f>
        <v>Female</v>
      </c>
      <c r="F4261" s="66" t="str">
        <f>IF(Eighteenth!F14="", "",Eighteenth!F14)</f>
        <v>Gynae</v>
      </c>
      <c r="G4261" s="66" t="str">
        <f>IF(Eighteenth!G14="", "",Eighteenth!G14)</f>
        <v>Non-Curative Intent</v>
      </c>
      <c r="H4261" s="66" t="str">
        <f>IF(Eighteenth!H14="", "",Eighteenth!H14)</f>
        <v>Programme</v>
      </c>
      <c r="I4261" s="66" t="str">
        <f>IF(Eighteenth!I14="", "",Eighteenth!I14)</f>
        <v>Relaxation</v>
      </c>
      <c r="J4261" s="66" t="str">
        <f>IF(Eighteenth!J14="", "",Eighteenth!J14)</f>
        <v/>
      </c>
      <c r="K4261" s="86" t="str">
        <f>IF(Eighteenth!K14="", "",Eighteenth!K14)</f>
        <v/>
      </c>
      <c r="M4261" s="67">
        <f t="shared" si="200"/>
        <v>7</v>
      </c>
      <c r="N4261" s="76" t="str">
        <f t="shared" si="201"/>
        <v/>
      </c>
      <c r="O4261" s="33">
        <f t="shared" si="199"/>
        <v>7</v>
      </c>
    </row>
    <row r="4262" spans="1:15" x14ac:dyDescent="0.25">
      <c r="A4262" s="64" t="s">
        <v>189</v>
      </c>
      <c r="B4262" s="79" t="str">
        <f>IF(Eighteenth!B15="", "",Eighteenth!B15)</f>
        <v>CSS</v>
      </c>
      <c r="C4262" s="66" t="str">
        <f>IF(Eighteenth!C15="", "",Eighteenth!C15)</f>
        <v>PwC</v>
      </c>
      <c r="D4262" s="66" t="str">
        <f>IF(Eighteenth!D15="", "",Eighteenth!D15)</f>
        <v>Returning</v>
      </c>
      <c r="E4262" s="66" t="str">
        <f>IF(Eighteenth!E15="", "",Eighteenth!E15)</f>
        <v>Male</v>
      </c>
      <c r="F4262" s="66" t="str">
        <f>IF(Eighteenth!F15="", "",Eighteenth!F15)</f>
        <v>Prostate</v>
      </c>
      <c r="G4262" s="66" t="str">
        <f>IF(Eighteenth!G15="", "",Eighteenth!G15)</f>
        <v>Non-Curative Intent</v>
      </c>
      <c r="H4262" s="66" t="str">
        <f>IF(Eighteenth!H15="", "",Eighteenth!H15)</f>
        <v>Programme</v>
      </c>
      <c r="I4262" s="66" t="str">
        <f>IF(Eighteenth!I15="", "",Eighteenth!I15)</f>
        <v>Relaxation</v>
      </c>
      <c r="J4262" s="66" t="str">
        <f>IF(Eighteenth!J15="", "",Eighteenth!J15)</f>
        <v/>
      </c>
      <c r="K4262" s="86" t="str">
        <f>IF(Eighteenth!K15="", "",Eighteenth!K15)</f>
        <v/>
      </c>
      <c r="M4262" s="67">
        <f t="shared" si="200"/>
        <v>7</v>
      </c>
      <c r="N4262" s="76" t="str">
        <f t="shared" si="201"/>
        <v/>
      </c>
      <c r="O4262" s="33">
        <f t="shared" si="199"/>
        <v>7</v>
      </c>
    </row>
    <row r="4263" spans="1:15" x14ac:dyDescent="0.25">
      <c r="A4263" s="64" t="s">
        <v>189</v>
      </c>
      <c r="B4263" s="79" t="str">
        <f>IF(Eighteenth!B16="", "",Eighteenth!B16)</f>
        <v>CSS</v>
      </c>
      <c r="C4263" s="66" t="str">
        <f>IF(Eighteenth!C16="", "",Eighteenth!C16)</f>
        <v>Carer</v>
      </c>
      <c r="D4263" s="66" t="str">
        <f>IF(Eighteenth!D16="", "",Eighteenth!D16)</f>
        <v>Returning</v>
      </c>
      <c r="E4263" s="66" t="str">
        <f>IF(Eighteenth!E16="", "",Eighteenth!E16)</f>
        <v>Male</v>
      </c>
      <c r="F4263" s="66" t="str">
        <f>IF(Eighteenth!F16="", "",Eighteenth!F16)</f>
        <v>Lung</v>
      </c>
      <c r="G4263" s="66" t="str">
        <f>IF(Eighteenth!G16="", "",Eighteenth!G16)</f>
        <v>Non-Curative Intent</v>
      </c>
      <c r="H4263" s="66" t="str">
        <f>IF(Eighteenth!H16="", "",Eighteenth!H16)</f>
        <v>Programme</v>
      </c>
      <c r="I4263" s="66" t="str">
        <f>IF(Eighteenth!I16="", "",Eighteenth!I16)</f>
        <v>Relaxation</v>
      </c>
      <c r="J4263" s="66" t="str">
        <f>IF(Eighteenth!J16="", "",Eighteenth!J16)</f>
        <v/>
      </c>
      <c r="K4263" s="86" t="str">
        <f>IF(Eighteenth!K16="", "",Eighteenth!K16)</f>
        <v/>
      </c>
      <c r="M4263" s="67" t="str">
        <f t="shared" si="200"/>
        <v/>
      </c>
      <c r="N4263" s="76">
        <f t="shared" si="201"/>
        <v>7</v>
      </c>
      <c r="O4263" s="33">
        <f t="shared" si="199"/>
        <v>7</v>
      </c>
    </row>
    <row r="4264" spans="1:15" x14ac:dyDescent="0.25">
      <c r="A4264" s="64" t="s">
        <v>189</v>
      </c>
      <c r="B4264" s="79" t="str">
        <f>IF(Eighteenth!B17="", "",Eighteenth!B17)</f>
        <v>CSS</v>
      </c>
      <c r="C4264" s="66" t="str">
        <f>IF(Eighteenth!C17="", "",Eighteenth!C17)</f>
        <v>PwC</v>
      </c>
      <c r="D4264" s="66" t="str">
        <f>IF(Eighteenth!D17="", "",Eighteenth!D17)</f>
        <v>Returning</v>
      </c>
      <c r="E4264" s="66" t="str">
        <f>IF(Eighteenth!E17="", "",Eighteenth!E17)</f>
        <v>Female</v>
      </c>
      <c r="F4264" s="66" t="str">
        <f>IF(Eighteenth!F17="", "",Eighteenth!F17)</f>
        <v>Breast</v>
      </c>
      <c r="G4264" s="66" t="str">
        <f>IF(Eighteenth!G17="", "",Eighteenth!G17)</f>
        <v>Curative Intent</v>
      </c>
      <c r="H4264" s="66" t="str">
        <f>IF(Eighteenth!H17="", "",Eighteenth!H17)</f>
        <v>Programme</v>
      </c>
      <c r="I4264" s="66" t="str">
        <f>IF(Eighteenth!I17="", "",Eighteenth!I17)</f>
        <v>Relaxation</v>
      </c>
      <c r="J4264" s="66" t="str">
        <f>IF(Eighteenth!J17="", "",Eighteenth!J17)</f>
        <v/>
      </c>
      <c r="K4264" s="86" t="str">
        <f>IF(Eighteenth!K17="", "",Eighteenth!K17)</f>
        <v/>
      </c>
      <c r="M4264" s="67">
        <f t="shared" si="200"/>
        <v>7</v>
      </c>
      <c r="N4264" s="76" t="str">
        <f t="shared" si="201"/>
        <v/>
      </c>
      <c r="O4264" s="33">
        <f t="shared" si="199"/>
        <v>7</v>
      </c>
    </row>
    <row r="4265" spans="1:15" x14ac:dyDescent="0.25">
      <c r="A4265" s="64" t="s">
        <v>189</v>
      </c>
      <c r="B4265" s="79" t="str">
        <f>IF(Eighteenth!B18="", "",Eighteenth!B18)</f>
        <v>CSS</v>
      </c>
      <c r="C4265" s="66" t="str">
        <f>IF(Eighteenth!C18="", "",Eighteenth!C18)</f>
        <v>PwC</v>
      </c>
      <c r="D4265" s="66" t="str">
        <f>IF(Eighteenth!D18="", "",Eighteenth!D18)</f>
        <v>Returning</v>
      </c>
      <c r="E4265" s="66" t="str">
        <f>IF(Eighteenth!E18="", "",Eighteenth!E18)</f>
        <v>Female</v>
      </c>
      <c r="F4265" s="66" t="str">
        <f>IF(Eighteenth!F18="", "",Eighteenth!F18)</f>
        <v>Breast</v>
      </c>
      <c r="G4265" s="66" t="str">
        <f>IF(Eighteenth!G18="", "",Eighteenth!G18)</f>
        <v>Curative Intent</v>
      </c>
      <c r="H4265" s="66" t="str">
        <f>IF(Eighteenth!H18="", "",Eighteenth!H18)</f>
        <v>Programme</v>
      </c>
      <c r="I4265" s="66" t="str">
        <f>IF(Eighteenth!I18="", "",Eighteenth!I18)</f>
        <v>Relaxation</v>
      </c>
      <c r="J4265" s="66" t="str">
        <f>IF(Eighteenth!J18="", "",Eighteenth!J18)</f>
        <v/>
      </c>
      <c r="K4265" s="86" t="str">
        <f>IF(Eighteenth!K18="", "",Eighteenth!K18)</f>
        <v/>
      </c>
      <c r="M4265" s="67">
        <f t="shared" si="200"/>
        <v>7</v>
      </c>
      <c r="N4265" s="76" t="str">
        <f t="shared" si="201"/>
        <v/>
      </c>
      <c r="O4265" s="33">
        <f t="shared" si="199"/>
        <v>7</v>
      </c>
    </row>
    <row r="4266" spans="1:15" x14ac:dyDescent="0.25">
      <c r="A4266" s="64" t="s">
        <v>189</v>
      </c>
      <c r="B4266" s="79" t="str">
        <f>IF(Eighteenth!B19="", "",Eighteenth!B19)</f>
        <v>CSS</v>
      </c>
      <c r="C4266" s="66" t="str">
        <f>IF(Eighteenth!C19="", "",Eighteenth!C19)</f>
        <v>PwC</v>
      </c>
      <c r="D4266" s="66" t="str">
        <f>IF(Eighteenth!D19="", "",Eighteenth!D19)</f>
        <v>Returning</v>
      </c>
      <c r="E4266" s="66" t="str">
        <f>IF(Eighteenth!E19="", "",Eighteenth!E19)</f>
        <v>Female</v>
      </c>
      <c r="F4266" s="66" t="str">
        <f>IF(Eighteenth!F19="", "",Eighteenth!F19)</f>
        <v>Gynae</v>
      </c>
      <c r="G4266" s="66" t="str">
        <f>IF(Eighteenth!G19="", "",Eighteenth!G19)</f>
        <v>Non-Curative Intent</v>
      </c>
      <c r="H4266" s="66" t="str">
        <f>IF(Eighteenth!H19="", "",Eighteenth!H19)</f>
        <v>Programme</v>
      </c>
      <c r="I4266" s="66" t="str">
        <f>IF(Eighteenth!I19="", "",Eighteenth!I19)</f>
        <v>Relaxation</v>
      </c>
      <c r="J4266" s="66" t="str">
        <f>IF(Eighteenth!J19="", "",Eighteenth!J19)</f>
        <v/>
      </c>
      <c r="K4266" s="86" t="str">
        <f>IF(Eighteenth!K19="", "",Eighteenth!K19)</f>
        <v/>
      </c>
      <c r="M4266" s="67">
        <f t="shared" si="200"/>
        <v>7</v>
      </c>
      <c r="N4266" s="76" t="str">
        <f t="shared" si="201"/>
        <v/>
      </c>
      <c r="O4266" s="33">
        <f t="shared" ref="O4266:O4329" si="202">SUM(M4266:N4266)</f>
        <v>7</v>
      </c>
    </row>
    <row r="4267" spans="1:15" x14ac:dyDescent="0.25">
      <c r="A4267" s="64" t="s">
        <v>189</v>
      </c>
      <c r="B4267" s="79" t="str">
        <f>IF(Eighteenth!B20="", "",Eighteenth!B20)</f>
        <v>CSS</v>
      </c>
      <c r="C4267" s="66" t="str">
        <f>IF(Eighteenth!C20="", "",Eighteenth!C20)</f>
        <v>Carer</v>
      </c>
      <c r="D4267" s="66" t="str">
        <f>IF(Eighteenth!D20="", "",Eighteenth!D20)</f>
        <v>Returning</v>
      </c>
      <c r="E4267" s="66" t="str">
        <f>IF(Eighteenth!E20="", "",Eighteenth!E20)</f>
        <v>Female</v>
      </c>
      <c r="F4267" s="66" t="str">
        <f>IF(Eighteenth!F20="", "",Eighteenth!F20)</f>
        <v>Lung</v>
      </c>
      <c r="G4267" s="66" t="str">
        <f>IF(Eighteenth!G20="", "",Eighteenth!G20)</f>
        <v>Non-Curative Intent</v>
      </c>
      <c r="H4267" s="66" t="str">
        <f>IF(Eighteenth!H20="", "",Eighteenth!H20)</f>
        <v>Programme</v>
      </c>
      <c r="I4267" s="66" t="str">
        <f>IF(Eighteenth!I20="", "",Eighteenth!I20)</f>
        <v>Relaxation</v>
      </c>
      <c r="J4267" s="66" t="str">
        <f>IF(Eighteenth!J20="", "",Eighteenth!J20)</f>
        <v/>
      </c>
      <c r="K4267" s="86" t="str">
        <f>IF(Eighteenth!K20="", "",Eighteenth!K20)</f>
        <v/>
      </c>
      <c r="M4267" s="67" t="str">
        <f t="shared" si="200"/>
        <v/>
      </c>
      <c r="N4267" s="76">
        <f t="shared" si="201"/>
        <v>7</v>
      </c>
      <c r="O4267" s="33">
        <f t="shared" si="202"/>
        <v>7</v>
      </c>
    </row>
    <row r="4268" spans="1:15" x14ac:dyDescent="0.25">
      <c r="A4268" s="64" t="s">
        <v>189</v>
      </c>
      <c r="B4268" s="79" t="str">
        <f>IF(Eighteenth!B21="", "",Eighteenth!B21)</f>
        <v>CSS</v>
      </c>
      <c r="C4268" s="66" t="str">
        <f>IF(Eighteenth!C21="", "",Eighteenth!C21)</f>
        <v>PwC</v>
      </c>
      <c r="D4268" s="66" t="str">
        <f>IF(Eighteenth!D21="", "",Eighteenth!D21)</f>
        <v>Returning</v>
      </c>
      <c r="E4268" s="66" t="str">
        <f>IF(Eighteenth!E21="", "",Eighteenth!E21)</f>
        <v>Female</v>
      </c>
      <c r="F4268" s="66" t="str">
        <f>IF(Eighteenth!F21="", "",Eighteenth!F21)</f>
        <v>Breast</v>
      </c>
      <c r="G4268" s="66" t="str">
        <f>IF(Eighteenth!G21="", "",Eighteenth!G21)</f>
        <v>Non-Curative Intent</v>
      </c>
      <c r="H4268" s="66" t="str">
        <f>IF(Eighteenth!H21="", "",Eighteenth!H21)</f>
        <v>Programme</v>
      </c>
      <c r="I4268" s="66" t="str">
        <f>IF(Eighteenth!I21="", "",Eighteenth!I21)</f>
        <v>Relaxation</v>
      </c>
      <c r="J4268" s="66" t="str">
        <f>IF(Eighteenth!J21="", "",Eighteenth!J21)</f>
        <v/>
      </c>
      <c r="K4268" s="86" t="str">
        <f>IF(Eighteenth!K21="", "",Eighteenth!K21)</f>
        <v/>
      </c>
      <c r="M4268" s="67">
        <f t="shared" si="200"/>
        <v>7</v>
      </c>
      <c r="N4268" s="76" t="str">
        <f t="shared" si="201"/>
        <v/>
      </c>
      <c r="O4268" s="33">
        <f t="shared" si="202"/>
        <v>7</v>
      </c>
    </row>
    <row r="4269" spans="1:15" x14ac:dyDescent="0.25">
      <c r="A4269" s="64" t="s">
        <v>189</v>
      </c>
      <c r="B4269" s="79" t="str">
        <f>IF(Eighteenth!B22="", "",Eighteenth!B22)</f>
        <v>CSS</v>
      </c>
      <c r="C4269" s="66" t="str">
        <f>IF(Eighteenth!C22="", "",Eighteenth!C22)</f>
        <v>PwC</v>
      </c>
      <c r="D4269" s="66" t="str">
        <f>IF(Eighteenth!D22="", "",Eighteenth!D22)</f>
        <v>Returning</v>
      </c>
      <c r="E4269" s="66" t="str">
        <f>IF(Eighteenth!E22="", "",Eighteenth!E22)</f>
        <v>Female</v>
      </c>
      <c r="F4269" s="66" t="str">
        <f>IF(Eighteenth!F22="", "",Eighteenth!F22)</f>
        <v>Gynae</v>
      </c>
      <c r="G4269" s="66" t="str">
        <f>IF(Eighteenth!G22="", "",Eighteenth!G22)</f>
        <v>Curative Intent</v>
      </c>
      <c r="H4269" s="66" t="str">
        <f>IF(Eighteenth!H22="", "",Eighteenth!H22)</f>
        <v>Programme</v>
      </c>
      <c r="I4269" s="66" t="str">
        <f>IF(Eighteenth!I22="", "",Eighteenth!I22)</f>
        <v>Relaxation</v>
      </c>
      <c r="J4269" s="66" t="str">
        <f>IF(Eighteenth!J22="", "",Eighteenth!J22)</f>
        <v/>
      </c>
      <c r="K4269" s="86" t="str">
        <f>IF(Eighteenth!K22="", "",Eighteenth!K22)</f>
        <v/>
      </c>
      <c r="M4269" s="67">
        <f t="shared" si="200"/>
        <v>7</v>
      </c>
      <c r="N4269" s="76" t="str">
        <f t="shared" si="201"/>
        <v/>
      </c>
      <c r="O4269" s="33">
        <f t="shared" si="202"/>
        <v>7</v>
      </c>
    </row>
    <row r="4270" spans="1:15" x14ac:dyDescent="0.25">
      <c r="A4270" s="64" t="s">
        <v>189</v>
      </c>
      <c r="B4270" s="79" t="str">
        <f>IF(Eighteenth!B23="", "",Eighteenth!B23)</f>
        <v>CSS</v>
      </c>
      <c r="C4270" s="66" t="str">
        <f>IF(Eighteenth!C23="", "",Eighteenth!C23)</f>
        <v>PwC</v>
      </c>
      <c r="D4270" s="66" t="str">
        <f>IF(Eighteenth!D23="", "",Eighteenth!D23)</f>
        <v>Returning</v>
      </c>
      <c r="E4270" s="66" t="str">
        <f>IF(Eighteenth!E23="", "",Eighteenth!E23)</f>
        <v>Female</v>
      </c>
      <c r="F4270" s="66" t="str">
        <f>IF(Eighteenth!F23="", "",Eighteenth!F23)</f>
        <v>Lung</v>
      </c>
      <c r="G4270" s="66" t="str">
        <f>IF(Eighteenth!G23="", "",Eighteenth!G23)</f>
        <v>Non-Curative Intent</v>
      </c>
      <c r="H4270" s="66" t="str">
        <f>IF(Eighteenth!H23="", "",Eighteenth!H23)</f>
        <v>Programme</v>
      </c>
      <c r="I4270" s="66" t="str">
        <f>IF(Eighteenth!I23="", "",Eighteenth!I23)</f>
        <v>Relaxation</v>
      </c>
      <c r="J4270" s="66" t="str">
        <f>IF(Eighteenth!J23="", "",Eighteenth!J23)</f>
        <v/>
      </c>
      <c r="K4270" s="86" t="str">
        <f>IF(Eighteenth!K23="", "",Eighteenth!K23)</f>
        <v/>
      </c>
      <c r="M4270" s="67">
        <f t="shared" si="200"/>
        <v>7</v>
      </c>
      <c r="N4270" s="76" t="str">
        <f t="shared" si="201"/>
        <v/>
      </c>
      <c r="O4270" s="33">
        <f t="shared" si="202"/>
        <v>7</v>
      </c>
    </row>
    <row r="4271" spans="1:15" x14ac:dyDescent="0.25">
      <c r="A4271" s="64" t="s">
        <v>189</v>
      </c>
      <c r="B4271" s="79" t="str">
        <f>IF(Eighteenth!B24="", "",Eighteenth!B24)</f>
        <v>CSS</v>
      </c>
      <c r="C4271" s="66" t="str">
        <f>IF(Eighteenth!C24="", "",Eighteenth!C24)</f>
        <v>PwC</v>
      </c>
      <c r="D4271" s="66" t="str">
        <f>IF(Eighteenth!D24="", "",Eighteenth!D24)</f>
        <v>Returning</v>
      </c>
      <c r="E4271" s="66" t="str">
        <f>IF(Eighteenth!E24="", "",Eighteenth!E24)</f>
        <v>Female</v>
      </c>
      <c r="F4271" s="66" t="str">
        <f>IF(Eighteenth!F24="", "",Eighteenth!F24)</f>
        <v>Breast</v>
      </c>
      <c r="G4271" s="66" t="str">
        <f>IF(Eighteenth!G24="", "",Eighteenth!G24)</f>
        <v>Curative Intent</v>
      </c>
      <c r="H4271" s="66" t="str">
        <f>IF(Eighteenth!H24="", "",Eighteenth!H24)</f>
        <v>Programme</v>
      </c>
      <c r="I4271" s="66" t="str">
        <f>IF(Eighteenth!I24="", "",Eighteenth!I24)</f>
        <v>Relaxation</v>
      </c>
      <c r="J4271" s="66" t="str">
        <f>IF(Eighteenth!J24="", "",Eighteenth!J24)</f>
        <v/>
      </c>
      <c r="K4271" s="86" t="str">
        <f>IF(Eighteenth!K24="", "",Eighteenth!K24)</f>
        <v/>
      </c>
      <c r="M4271" s="67">
        <f t="shared" si="200"/>
        <v>7</v>
      </c>
      <c r="N4271" s="76" t="str">
        <f t="shared" si="201"/>
        <v/>
      </c>
      <c r="O4271" s="33">
        <f t="shared" si="202"/>
        <v>7</v>
      </c>
    </row>
    <row r="4272" spans="1:15" x14ac:dyDescent="0.25">
      <c r="A4272" s="64" t="s">
        <v>189</v>
      </c>
      <c r="B4272" s="79" t="str">
        <f>IF(Eighteenth!B25="", "",Eighteenth!B25)</f>
        <v>CSS</v>
      </c>
      <c r="C4272" s="66" t="str">
        <f>IF(Eighteenth!C25="", "",Eighteenth!C25)</f>
        <v>PwC</v>
      </c>
      <c r="D4272" s="66" t="str">
        <f>IF(Eighteenth!D25="", "",Eighteenth!D25)</f>
        <v>Returning</v>
      </c>
      <c r="E4272" s="66" t="str">
        <f>IF(Eighteenth!E25="", "",Eighteenth!E25)</f>
        <v>Female</v>
      </c>
      <c r="F4272" s="66" t="str">
        <f>IF(Eighteenth!F25="", "",Eighteenth!F25)</f>
        <v>Breast</v>
      </c>
      <c r="G4272" s="66" t="str">
        <f>IF(Eighteenth!G25="", "",Eighteenth!G25)</f>
        <v>Curative Intent</v>
      </c>
      <c r="H4272" s="66" t="str">
        <f>IF(Eighteenth!H25="", "",Eighteenth!H25)</f>
        <v>Programme</v>
      </c>
      <c r="I4272" s="66" t="str">
        <f>IF(Eighteenth!I25="", "",Eighteenth!I25)</f>
        <v>Relaxation</v>
      </c>
      <c r="J4272" s="66" t="str">
        <f>IF(Eighteenth!J25="", "",Eighteenth!J25)</f>
        <v/>
      </c>
      <c r="K4272" s="86" t="str">
        <f>IF(Eighteenth!K25="", "",Eighteenth!K25)</f>
        <v/>
      </c>
      <c r="M4272" s="67">
        <f t="shared" si="200"/>
        <v>7</v>
      </c>
      <c r="N4272" s="76" t="str">
        <f t="shared" si="201"/>
        <v/>
      </c>
      <c r="O4272" s="33">
        <f t="shared" si="202"/>
        <v>7</v>
      </c>
    </row>
    <row r="4273" spans="1:15" x14ac:dyDescent="0.25">
      <c r="A4273" s="64" t="s">
        <v>189</v>
      </c>
      <c r="B4273" s="79" t="str">
        <f>IF(Eighteenth!B26="", "",Eighteenth!B26)</f>
        <v>Centre Head</v>
      </c>
      <c r="C4273" s="66" t="str">
        <f>IF(Eighteenth!C26="", "",Eighteenth!C26)</f>
        <v>PwC</v>
      </c>
      <c r="D4273" s="66" t="str">
        <f>IF(Eighteenth!D26="", "",Eighteenth!D26)</f>
        <v>New</v>
      </c>
      <c r="E4273" s="66" t="str">
        <f>IF(Eighteenth!E26="", "",Eighteenth!E26)</f>
        <v>Male</v>
      </c>
      <c r="F4273" s="66" t="str">
        <f>IF(Eighteenth!F26="", "",Eighteenth!F26)</f>
        <v>Urolog</v>
      </c>
      <c r="G4273" s="66" t="str">
        <f>IF(Eighteenth!G26="", "",Eighteenth!G26)</f>
        <v>Curative Intent</v>
      </c>
      <c r="H4273" s="66" t="str">
        <f>IF(Eighteenth!H26="", "",Eighteenth!H26)</f>
        <v>Drop-In</v>
      </c>
      <c r="I4273" s="66" t="str">
        <f>IF(Eighteenth!I26="", "",Eighteenth!I26)</f>
        <v/>
      </c>
      <c r="J4273" s="66" t="str">
        <f>IF(Eighteenth!J26="", "",Eighteenth!J26)</f>
        <v/>
      </c>
      <c r="K4273" s="86" t="str">
        <f>IF(Eighteenth!K26="", "",Eighteenth!K26)</f>
        <v/>
      </c>
      <c r="M4273" s="67">
        <f t="shared" si="200"/>
        <v>7</v>
      </c>
      <c r="N4273" s="76" t="str">
        <f t="shared" si="201"/>
        <v/>
      </c>
      <c r="O4273" s="33">
        <f t="shared" si="202"/>
        <v>7</v>
      </c>
    </row>
    <row r="4274" spans="1:15" x14ac:dyDescent="0.25">
      <c r="A4274" s="64" t="s">
        <v>189</v>
      </c>
      <c r="B4274" s="79" t="str">
        <f>IF(Eighteenth!B27="", "",Eighteenth!B27)</f>
        <v>Centre Head</v>
      </c>
      <c r="C4274" s="66" t="str">
        <f>IF(Eighteenth!C27="", "",Eighteenth!C27)</f>
        <v>Carer</v>
      </c>
      <c r="D4274" s="66" t="str">
        <f>IF(Eighteenth!D27="", "",Eighteenth!D27)</f>
        <v>New</v>
      </c>
      <c r="E4274" s="66" t="str">
        <f>IF(Eighteenth!E27="", "",Eighteenth!E27)</f>
        <v>Female</v>
      </c>
      <c r="F4274" s="66" t="str">
        <f>IF(Eighteenth!F27="", "",Eighteenth!F27)</f>
        <v>Urolog</v>
      </c>
      <c r="G4274" s="66" t="str">
        <f>IF(Eighteenth!G27="", "",Eighteenth!G27)</f>
        <v>Curative Intent</v>
      </c>
      <c r="H4274" s="66" t="str">
        <f>IF(Eighteenth!H27="", "",Eighteenth!H27)</f>
        <v>Drop-In</v>
      </c>
      <c r="I4274" s="66" t="str">
        <f>IF(Eighteenth!I27="", "",Eighteenth!I27)</f>
        <v/>
      </c>
      <c r="J4274" s="66" t="str">
        <f>IF(Eighteenth!J27="", "",Eighteenth!J27)</f>
        <v/>
      </c>
      <c r="K4274" s="86" t="str">
        <f>IF(Eighteenth!K27="", "",Eighteenth!K27)</f>
        <v/>
      </c>
      <c r="M4274" s="67" t="str">
        <f t="shared" si="200"/>
        <v/>
      </c>
      <c r="N4274" s="76">
        <f t="shared" si="201"/>
        <v>7</v>
      </c>
      <c r="O4274" s="33">
        <f t="shared" si="202"/>
        <v>7</v>
      </c>
    </row>
    <row r="4275" spans="1:15" x14ac:dyDescent="0.25">
      <c r="A4275" s="64" t="s">
        <v>189</v>
      </c>
      <c r="B4275" s="79" t="str">
        <f>IF(Eighteenth!B28="", "",Eighteenth!B28)</f>
        <v>Centre Head</v>
      </c>
      <c r="C4275" s="66" t="str">
        <f>IF(Eighteenth!C28="", "",Eighteenth!C28)</f>
        <v>PwC</v>
      </c>
      <c r="D4275" s="66" t="str">
        <f>IF(Eighteenth!D28="", "",Eighteenth!D28)</f>
        <v>Returning</v>
      </c>
      <c r="E4275" s="66" t="str">
        <f>IF(Eighteenth!E28="", "",Eighteenth!E28)</f>
        <v>Female</v>
      </c>
      <c r="F4275" s="66" t="str">
        <f>IF(Eighteenth!F28="", "",Eighteenth!F28)</f>
        <v>Breast</v>
      </c>
      <c r="G4275" s="66" t="str">
        <f>IF(Eighteenth!G28="", "",Eighteenth!G28)</f>
        <v>Post Treatment - Curative Intent</v>
      </c>
      <c r="H4275" s="66" t="str">
        <f>IF(Eighteenth!H28="", "",Eighteenth!H28)</f>
        <v>Drop-In</v>
      </c>
      <c r="I4275" s="66" t="str">
        <f>IF(Eighteenth!I28="", "",Eighteenth!I28)</f>
        <v/>
      </c>
      <c r="J4275" s="66" t="str">
        <f>IF(Eighteenth!J28="", "",Eighteenth!J28)</f>
        <v/>
      </c>
      <c r="K4275" s="86" t="str">
        <f>IF(Eighteenth!K28="", "",Eighteenth!K28)</f>
        <v/>
      </c>
      <c r="M4275" s="67">
        <f t="shared" si="200"/>
        <v>7</v>
      </c>
      <c r="N4275" s="76" t="str">
        <f t="shared" si="201"/>
        <v/>
      </c>
      <c r="O4275" s="33">
        <f t="shared" si="202"/>
        <v>7</v>
      </c>
    </row>
    <row r="4276" spans="1:15" x14ac:dyDescent="0.25">
      <c r="A4276" s="64" t="s">
        <v>189</v>
      </c>
      <c r="B4276" s="79" t="str">
        <f>IF(Eighteenth!B29="", "",Eighteenth!B29)</f>
        <v>Centre Head</v>
      </c>
      <c r="C4276" s="66" t="str">
        <f>IF(Eighteenth!C29="", "",Eighteenth!C29)</f>
        <v>Carer</v>
      </c>
      <c r="D4276" s="66" t="str">
        <f>IF(Eighteenth!D29="", "",Eighteenth!D29)</f>
        <v>Returning</v>
      </c>
      <c r="E4276" s="66" t="str">
        <f>IF(Eighteenth!E29="", "",Eighteenth!E29)</f>
        <v>Male</v>
      </c>
      <c r="F4276" s="66" t="str">
        <f>IF(Eighteenth!F29="", "",Eighteenth!F29)</f>
        <v>Breast</v>
      </c>
      <c r="G4276" s="66" t="str">
        <f>IF(Eighteenth!G29="", "",Eighteenth!G29)</f>
        <v>Post Treatment - Curative Intent</v>
      </c>
      <c r="H4276" s="66" t="str">
        <f>IF(Eighteenth!H29="", "",Eighteenth!H29)</f>
        <v>Drop-In</v>
      </c>
      <c r="I4276" s="66" t="str">
        <f>IF(Eighteenth!I29="", "",Eighteenth!I29)</f>
        <v/>
      </c>
      <c r="J4276" s="66" t="str">
        <f>IF(Eighteenth!J29="", "",Eighteenth!J29)</f>
        <v/>
      </c>
      <c r="K4276" s="86" t="str">
        <f>IF(Eighteenth!K29="", "",Eighteenth!K29)</f>
        <v/>
      </c>
      <c r="M4276" s="67" t="str">
        <f t="shared" si="200"/>
        <v/>
      </c>
      <c r="N4276" s="76">
        <f t="shared" si="201"/>
        <v>7</v>
      </c>
      <c r="O4276" s="33">
        <f t="shared" si="202"/>
        <v>7</v>
      </c>
    </row>
    <row r="4277" spans="1:15" x14ac:dyDescent="0.25">
      <c r="A4277" s="64" t="s">
        <v>189</v>
      </c>
      <c r="B4277" s="79" t="str">
        <f>IF(Eighteenth!B30="", "",Eighteenth!B30)</f>
        <v>Centre Head</v>
      </c>
      <c r="C4277" s="66" t="str">
        <f>IF(Eighteenth!C30="", "",Eighteenth!C30)</f>
        <v>Carer</v>
      </c>
      <c r="D4277" s="66" t="str">
        <f>IF(Eighteenth!D30="", "",Eighteenth!D30)</f>
        <v>Returning</v>
      </c>
      <c r="E4277" s="66" t="str">
        <f>IF(Eighteenth!E30="", "",Eighteenth!E30)</f>
        <v>Female</v>
      </c>
      <c r="F4277" s="66" t="str">
        <f>IF(Eighteenth!F30="", "",Eighteenth!F30)</f>
        <v>Breast</v>
      </c>
      <c r="G4277" s="66" t="str">
        <f>IF(Eighteenth!G30="", "",Eighteenth!G30)</f>
        <v>Post Treatment - Curative Intent</v>
      </c>
      <c r="H4277" s="66" t="str">
        <f>IF(Eighteenth!H30="", "",Eighteenth!H30)</f>
        <v>Drop-In</v>
      </c>
      <c r="I4277" s="66" t="str">
        <f>IF(Eighteenth!I30="", "",Eighteenth!I30)</f>
        <v/>
      </c>
      <c r="J4277" s="66" t="str">
        <f>IF(Eighteenth!J30="", "",Eighteenth!J30)</f>
        <v/>
      </c>
      <c r="K4277" s="86" t="str">
        <f>IF(Eighteenth!K30="", "",Eighteenth!K30)</f>
        <v/>
      </c>
      <c r="M4277" s="67" t="str">
        <f t="shared" si="200"/>
        <v/>
      </c>
      <c r="N4277" s="76">
        <f t="shared" si="201"/>
        <v>7</v>
      </c>
      <c r="O4277" s="33">
        <f t="shared" si="202"/>
        <v>7</v>
      </c>
    </row>
    <row r="4278" spans="1:15" x14ac:dyDescent="0.25">
      <c r="A4278" s="64" t="s">
        <v>189</v>
      </c>
      <c r="B4278" s="79" t="str">
        <f>IF(Eighteenth!B31="", "",Eighteenth!B31)</f>
        <v>Centre Head</v>
      </c>
      <c r="C4278" s="66" t="str">
        <f>IF(Eighteenth!C31="", "",Eighteenth!C31)</f>
        <v>PwC</v>
      </c>
      <c r="D4278" s="66" t="str">
        <f>IF(Eighteenth!D31="", "",Eighteenth!D31)</f>
        <v>New</v>
      </c>
      <c r="E4278" s="66" t="str">
        <f>IF(Eighteenth!E31="", "",Eighteenth!E31)</f>
        <v>Female</v>
      </c>
      <c r="F4278" s="66" t="str">
        <f>IF(Eighteenth!F31="", "",Eighteenth!F31)</f>
        <v>Brain/CNS</v>
      </c>
      <c r="G4278" s="66" t="str">
        <f>IF(Eighteenth!G31="", "",Eighteenth!G31)</f>
        <v>Non-Curative Intent</v>
      </c>
      <c r="H4278" s="66" t="str">
        <f>IF(Eighteenth!H31="", "",Eighteenth!H31)</f>
        <v>Drop-In</v>
      </c>
      <c r="I4278" s="66" t="str">
        <f>IF(Eighteenth!I31="", "",Eighteenth!I31)</f>
        <v/>
      </c>
      <c r="J4278" s="66" t="str">
        <f>IF(Eighteenth!J31="", "",Eighteenth!J31)</f>
        <v/>
      </c>
      <c r="K4278" s="86" t="str">
        <f>IF(Eighteenth!K31="", "",Eighteenth!K31)</f>
        <v/>
      </c>
      <c r="M4278" s="67">
        <f t="shared" si="200"/>
        <v>7</v>
      </c>
      <c r="N4278" s="76" t="str">
        <f t="shared" si="201"/>
        <v/>
      </c>
      <c r="O4278" s="33">
        <f t="shared" si="202"/>
        <v>7</v>
      </c>
    </row>
    <row r="4279" spans="1:15" x14ac:dyDescent="0.25">
      <c r="A4279" s="64" t="s">
        <v>189</v>
      </c>
      <c r="B4279" s="79" t="str">
        <f>IF(Eighteenth!B32="", "",Eighteenth!B32)</f>
        <v>Centre Head</v>
      </c>
      <c r="C4279" s="66" t="str">
        <f>IF(Eighteenth!C32="", "",Eighteenth!C32)</f>
        <v>PwC</v>
      </c>
      <c r="D4279" s="66" t="str">
        <f>IF(Eighteenth!D32="", "",Eighteenth!D32)</f>
        <v>Returning</v>
      </c>
      <c r="E4279" s="66" t="str">
        <f>IF(Eighteenth!E32="", "",Eighteenth!E32)</f>
        <v>Male</v>
      </c>
      <c r="F4279" s="66" t="str">
        <f>IF(Eighteenth!F32="", "",Eighteenth!F32)</f>
        <v>Lung</v>
      </c>
      <c r="G4279" s="66" t="str">
        <f>IF(Eighteenth!G32="", "",Eighteenth!G32)</f>
        <v>Non-Curative Intent</v>
      </c>
      <c r="H4279" s="66" t="str">
        <f>IF(Eighteenth!H32="", "",Eighteenth!H32)</f>
        <v>Drop-In</v>
      </c>
      <c r="I4279" s="66" t="str">
        <f>IF(Eighteenth!I32="", "",Eighteenth!I32)</f>
        <v/>
      </c>
      <c r="J4279" s="66" t="str">
        <f>IF(Eighteenth!J32="", "",Eighteenth!J32)</f>
        <v/>
      </c>
      <c r="K4279" s="86" t="str">
        <f>IF(Eighteenth!K32="", "",Eighteenth!K32)</f>
        <v/>
      </c>
      <c r="M4279" s="67">
        <f t="shared" si="200"/>
        <v>7</v>
      </c>
      <c r="N4279" s="76" t="str">
        <f t="shared" si="201"/>
        <v/>
      </c>
      <c r="O4279" s="33">
        <f t="shared" si="202"/>
        <v>7</v>
      </c>
    </row>
    <row r="4280" spans="1:15" x14ac:dyDescent="0.25">
      <c r="A4280" s="64" t="s">
        <v>189</v>
      </c>
      <c r="B4280" s="79" t="str">
        <f>IF(Eighteenth!B33="", "",Eighteenth!B33)</f>
        <v>Centre Head</v>
      </c>
      <c r="C4280" s="66" t="str">
        <f>IF(Eighteenth!C33="", "",Eighteenth!C33)</f>
        <v>Carer</v>
      </c>
      <c r="D4280" s="66" t="str">
        <f>IF(Eighteenth!D33="", "",Eighteenth!D33)</f>
        <v>Returning</v>
      </c>
      <c r="E4280" s="66" t="str">
        <f>IF(Eighteenth!E33="", "",Eighteenth!E33)</f>
        <v>Male</v>
      </c>
      <c r="F4280" s="66" t="str">
        <f>IF(Eighteenth!F33="", "",Eighteenth!F33)</f>
        <v>Lung</v>
      </c>
      <c r="G4280" s="66" t="str">
        <f>IF(Eighteenth!G33="", "",Eighteenth!G33)</f>
        <v>Non-Curative Intent</v>
      </c>
      <c r="H4280" s="66" t="str">
        <f>IF(Eighteenth!H33="", "",Eighteenth!H33)</f>
        <v>Drop-In</v>
      </c>
      <c r="I4280" s="66" t="str">
        <f>IF(Eighteenth!I33="", "",Eighteenth!I33)</f>
        <v/>
      </c>
      <c r="J4280" s="66" t="str">
        <f>IF(Eighteenth!J33="", "",Eighteenth!J33)</f>
        <v/>
      </c>
      <c r="K4280" s="86" t="str">
        <f>IF(Eighteenth!K33="", "",Eighteenth!K33)</f>
        <v/>
      </c>
      <c r="M4280" s="67" t="str">
        <f t="shared" si="200"/>
        <v/>
      </c>
      <c r="N4280" s="76">
        <f t="shared" si="201"/>
        <v>7</v>
      </c>
      <c r="O4280" s="33">
        <f t="shared" si="202"/>
        <v>7</v>
      </c>
    </row>
    <row r="4281" spans="1:15" x14ac:dyDescent="0.25">
      <c r="A4281" s="64" t="s">
        <v>189</v>
      </c>
      <c r="B4281" s="79" t="str">
        <f>IF(Eighteenth!B34="", "",Eighteenth!B34)</f>
        <v>Centre Head</v>
      </c>
      <c r="C4281" s="66" t="str">
        <f>IF(Eighteenth!C34="", "",Eighteenth!C34)</f>
        <v>PwC</v>
      </c>
      <c r="D4281" s="66" t="str">
        <f>IF(Eighteenth!D34="", "",Eighteenth!D34)</f>
        <v>Returning</v>
      </c>
      <c r="E4281" s="66" t="str">
        <f>IF(Eighteenth!E34="", "",Eighteenth!E34)</f>
        <v>Female</v>
      </c>
      <c r="F4281" s="66" t="str">
        <f>IF(Eighteenth!F34="", "",Eighteenth!F34)</f>
        <v>Breast</v>
      </c>
      <c r="G4281" s="66" t="str">
        <f>IF(Eighteenth!G34="", "",Eighteenth!G34)</f>
        <v>Non-Curative Intent</v>
      </c>
      <c r="H4281" s="66" t="str">
        <f>IF(Eighteenth!H34="", "",Eighteenth!H34)</f>
        <v>Drop-In</v>
      </c>
      <c r="I4281" s="66" t="str">
        <f>IF(Eighteenth!I34="", "",Eighteenth!I34)</f>
        <v/>
      </c>
      <c r="J4281" s="66" t="str">
        <f>IF(Eighteenth!J34="", "",Eighteenth!J34)</f>
        <v/>
      </c>
      <c r="K4281" s="86" t="str">
        <f>IF(Eighteenth!K34="", "",Eighteenth!K34)</f>
        <v/>
      </c>
      <c r="M4281" s="67">
        <f t="shared" si="200"/>
        <v>7</v>
      </c>
      <c r="N4281" s="76" t="str">
        <f t="shared" si="201"/>
        <v/>
      </c>
      <c r="O4281" s="33">
        <f t="shared" si="202"/>
        <v>7</v>
      </c>
    </row>
    <row r="4282" spans="1:15" x14ac:dyDescent="0.25">
      <c r="A4282" s="64" t="s">
        <v>189</v>
      </c>
      <c r="B4282" s="79" t="str">
        <f>IF(Eighteenth!B35="", "",Eighteenth!B35)</f>
        <v>Centre Head</v>
      </c>
      <c r="C4282" s="66" t="str">
        <f>IF(Eighteenth!C35="", "",Eighteenth!C35)</f>
        <v>Carer</v>
      </c>
      <c r="D4282" s="66" t="str">
        <f>IF(Eighteenth!D35="", "",Eighteenth!D35)</f>
        <v>Returning</v>
      </c>
      <c r="E4282" s="66" t="str">
        <f>IF(Eighteenth!E35="", "",Eighteenth!E35)</f>
        <v>Male</v>
      </c>
      <c r="F4282" s="66" t="str">
        <f>IF(Eighteenth!F35="", "",Eighteenth!F35)</f>
        <v>Breast</v>
      </c>
      <c r="G4282" s="66" t="str">
        <f>IF(Eighteenth!G35="", "",Eighteenth!G35)</f>
        <v>Non-Curative Intent</v>
      </c>
      <c r="H4282" s="66" t="str">
        <f>IF(Eighteenth!H35="", "",Eighteenth!H35)</f>
        <v>Drop-In</v>
      </c>
      <c r="I4282" s="66" t="str">
        <f>IF(Eighteenth!I35="", "",Eighteenth!I35)</f>
        <v/>
      </c>
      <c r="J4282" s="66" t="str">
        <f>IF(Eighteenth!J35="", "",Eighteenth!J35)</f>
        <v/>
      </c>
      <c r="K4282" s="86" t="str">
        <f>IF(Eighteenth!K35="", "",Eighteenth!K35)</f>
        <v/>
      </c>
      <c r="M4282" s="67" t="str">
        <f t="shared" si="200"/>
        <v/>
      </c>
      <c r="N4282" s="76">
        <f t="shared" si="201"/>
        <v>7</v>
      </c>
      <c r="O4282" s="33">
        <f t="shared" si="202"/>
        <v>7</v>
      </c>
    </row>
    <row r="4283" spans="1:15" x14ac:dyDescent="0.25">
      <c r="A4283" s="64" t="s">
        <v>189</v>
      </c>
      <c r="B4283" s="79" t="str">
        <f>IF(Eighteenth!B36="", "",Eighteenth!B36)</f>
        <v>Centre Head</v>
      </c>
      <c r="C4283" s="66" t="str">
        <f>IF(Eighteenth!C36="", "",Eighteenth!C36)</f>
        <v>PwC</v>
      </c>
      <c r="D4283" s="66" t="str">
        <f>IF(Eighteenth!D36="", "",Eighteenth!D36)</f>
        <v>New</v>
      </c>
      <c r="E4283" s="66" t="str">
        <f>IF(Eighteenth!E36="", "",Eighteenth!E36)</f>
        <v>Male</v>
      </c>
      <c r="F4283" s="66" t="str">
        <f>IF(Eighteenth!F36="", "",Eighteenth!F36)</f>
        <v>Upper GI</v>
      </c>
      <c r="G4283" s="66" t="str">
        <f>IF(Eighteenth!G36="", "",Eighteenth!G36)</f>
        <v>Non-Curative Intent</v>
      </c>
      <c r="H4283" s="66" t="str">
        <f>IF(Eighteenth!H36="", "",Eighteenth!H36)</f>
        <v>Drop-In</v>
      </c>
      <c r="I4283" s="66" t="str">
        <f>IF(Eighteenth!I36="", "",Eighteenth!I36)</f>
        <v/>
      </c>
      <c r="J4283" s="66" t="str">
        <f>IF(Eighteenth!J36="", "",Eighteenth!J36)</f>
        <v/>
      </c>
      <c r="K4283" s="86" t="str">
        <f>IF(Eighteenth!K36="", "",Eighteenth!K36)</f>
        <v/>
      </c>
      <c r="M4283" s="67">
        <f t="shared" si="200"/>
        <v>7</v>
      </c>
      <c r="N4283" s="76" t="str">
        <f t="shared" si="201"/>
        <v/>
      </c>
      <c r="O4283" s="33">
        <f t="shared" si="202"/>
        <v>7</v>
      </c>
    </row>
    <row r="4284" spans="1:15" x14ac:dyDescent="0.25">
      <c r="A4284" s="64" t="s">
        <v>189</v>
      </c>
      <c r="B4284" s="79" t="str">
        <f>IF(Eighteenth!B37="", "",Eighteenth!B37)</f>
        <v>Centre Head</v>
      </c>
      <c r="C4284" s="66" t="str">
        <f>IF(Eighteenth!C37="", "",Eighteenth!C37)</f>
        <v>Carer</v>
      </c>
      <c r="D4284" s="66" t="str">
        <f>IF(Eighteenth!D37="", "",Eighteenth!D37)</f>
        <v>New</v>
      </c>
      <c r="E4284" s="66" t="str">
        <f>IF(Eighteenth!E37="", "",Eighteenth!E37)</f>
        <v>Female</v>
      </c>
      <c r="F4284" s="66" t="str">
        <f>IF(Eighteenth!F37="", "",Eighteenth!F37)</f>
        <v>Upper GI</v>
      </c>
      <c r="G4284" s="66" t="str">
        <f>IF(Eighteenth!G37="", "",Eighteenth!G37)</f>
        <v>Non-Curative Intent</v>
      </c>
      <c r="H4284" s="66" t="str">
        <f>IF(Eighteenth!H37="", "",Eighteenth!H37)</f>
        <v>Drop-In</v>
      </c>
      <c r="I4284" s="66" t="str">
        <f>IF(Eighteenth!I37="", "",Eighteenth!I37)</f>
        <v/>
      </c>
      <c r="J4284" s="66" t="str">
        <f>IF(Eighteenth!J37="", "",Eighteenth!J37)</f>
        <v/>
      </c>
      <c r="K4284" s="86" t="str">
        <f>IF(Eighteenth!K37="", "",Eighteenth!K37)</f>
        <v/>
      </c>
      <c r="M4284" s="67" t="str">
        <f t="shared" si="200"/>
        <v/>
      </c>
      <c r="N4284" s="76">
        <f t="shared" si="201"/>
        <v>7</v>
      </c>
      <c r="O4284" s="33">
        <f t="shared" si="202"/>
        <v>7</v>
      </c>
    </row>
    <row r="4285" spans="1:15" x14ac:dyDescent="0.25">
      <c r="A4285" s="64" t="s">
        <v>189</v>
      </c>
      <c r="B4285" s="79" t="str">
        <f>IF(Eighteenth!B38="", "",Eighteenth!B38)</f>
        <v>Centre Head</v>
      </c>
      <c r="C4285" s="66" t="str">
        <f>IF(Eighteenth!C38="", "",Eighteenth!C38)</f>
        <v>PwC</v>
      </c>
      <c r="D4285" s="66" t="str">
        <f>IF(Eighteenth!D38="", "",Eighteenth!D38)</f>
        <v>Returning</v>
      </c>
      <c r="E4285" s="66" t="str">
        <f>IF(Eighteenth!E38="", "",Eighteenth!E38)</f>
        <v>Male</v>
      </c>
      <c r="F4285" s="66" t="str">
        <f>IF(Eighteenth!F38="", "",Eighteenth!F38)</f>
        <v>Lower GI</v>
      </c>
      <c r="G4285" s="66" t="str">
        <f>IF(Eighteenth!G38="", "",Eighteenth!G38)</f>
        <v>Post Treatment - Curative Intent</v>
      </c>
      <c r="H4285" s="66" t="str">
        <f>IF(Eighteenth!H38="", "",Eighteenth!H38)</f>
        <v>Booked</v>
      </c>
      <c r="I4285" s="66" t="str">
        <f>IF(Eighteenth!I38="", "",Eighteenth!I38)</f>
        <v>Psych Support - Individual</v>
      </c>
      <c r="J4285" s="66" t="str">
        <f>IF(Eighteenth!J38="", "",Eighteenth!J38)</f>
        <v/>
      </c>
      <c r="K4285" s="86" t="str">
        <f>IF(Eighteenth!K38="", "",Eighteenth!K38)</f>
        <v/>
      </c>
      <c r="M4285" s="67">
        <f t="shared" si="200"/>
        <v>7</v>
      </c>
      <c r="N4285" s="76" t="str">
        <f t="shared" si="201"/>
        <v/>
      </c>
      <c r="O4285" s="33">
        <f t="shared" si="202"/>
        <v>7</v>
      </c>
    </row>
    <row r="4286" spans="1:15" x14ac:dyDescent="0.25">
      <c r="A4286" s="64" t="s">
        <v>189</v>
      </c>
      <c r="B4286" s="79" t="str">
        <f>IF(Eighteenth!B39="", "",Eighteenth!B39)</f>
        <v>Centre Head</v>
      </c>
      <c r="C4286" s="66" t="str">
        <f>IF(Eighteenth!C39="", "",Eighteenth!C39)</f>
        <v>PwC</v>
      </c>
      <c r="D4286" s="66" t="str">
        <f>IF(Eighteenth!D39="", "",Eighteenth!D39)</f>
        <v>Returning</v>
      </c>
      <c r="E4286" s="66" t="str">
        <f>IF(Eighteenth!E39="", "",Eighteenth!E39)</f>
        <v>Male</v>
      </c>
      <c r="F4286" s="66" t="str">
        <f>IF(Eighteenth!F39="", "",Eighteenth!F39)</f>
        <v>Lower GI</v>
      </c>
      <c r="G4286" s="66" t="str">
        <f>IF(Eighteenth!G39="", "",Eighteenth!G39)</f>
        <v>Post Treatment - Curative Intent</v>
      </c>
      <c r="H4286" s="66" t="str">
        <f>IF(Eighteenth!H39="", "",Eighteenth!H39)</f>
        <v>Drop-In</v>
      </c>
      <c r="I4286" s="66" t="str">
        <f>IF(Eighteenth!I39="", "",Eighteenth!I39)</f>
        <v/>
      </c>
      <c r="J4286" s="66" t="str">
        <f>IF(Eighteenth!J39="", "",Eighteenth!J39)</f>
        <v/>
      </c>
      <c r="K4286" s="86" t="str">
        <f>IF(Eighteenth!K39="", "",Eighteenth!K39)</f>
        <v/>
      </c>
      <c r="M4286" s="67">
        <f t="shared" si="200"/>
        <v>7</v>
      </c>
      <c r="N4286" s="76" t="str">
        <f t="shared" si="201"/>
        <v/>
      </c>
      <c r="O4286" s="33">
        <f t="shared" si="202"/>
        <v>7</v>
      </c>
    </row>
    <row r="4287" spans="1:15" x14ac:dyDescent="0.25">
      <c r="A4287" s="64" t="s">
        <v>189</v>
      </c>
      <c r="B4287" s="79" t="str">
        <f>IF(Eighteenth!B40="", "",Eighteenth!B40)</f>
        <v>Centre Head</v>
      </c>
      <c r="C4287" s="66" t="str">
        <f>IF(Eighteenth!C40="", "",Eighteenth!C40)</f>
        <v>PwC</v>
      </c>
      <c r="D4287" s="66" t="str">
        <f>IF(Eighteenth!D40="", "",Eighteenth!D40)</f>
        <v>Returning</v>
      </c>
      <c r="E4287" s="66" t="str">
        <f>IF(Eighteenth!E40="", "",Eighteenth!E40)</f>
        <v>Male</v>
      </c>
      <c r="F4287" s="66" t="str">
        <f>IF(Eighteenth!F40="", "",Eighteenth!F40)</f>
        <v>Urolog</v>
      </c>
      <c r="G4287" s="66" t="str">
        <f>IF(Eighteenth!G40="", "",Eighteenth!G40)</f>
        <v>Post Treatment - Curative Intent</v>
      </c>
      <c r="H4287" s="66" t="str">
        <f>IF(Eighteenth!H40="", "",Eighteenth!H40)</f>
        <v>Drop-In</v>
      </c>
      <c r="I4287" s="66" t="str">
        <f>IF(Eighteenth!I40="", "",Eighteenth!I40)</f>
        <v/>
      </c>
      <c r="J4287" s="66" t="str">
        <f>IF(Eighteenth!J40="", "",Eighteenth!J40)</f>
        <v/>
      </c>
      <c r="K4287" s="86" t="str">
        <f>IF(Eighteenth!K40="", "",Eighteenth!K40)</f>
        <v/>
      </c>
      <c r="M4287" s="67">
        <f t="shared" si="200"/>
        <v>7</v>
      </c>
      <c r="N4287" s="76" t="str">
        <f t="shared" si="201"/>
        <v/>
      </c>
      <c r="O4287" s="33">
        <f t="shared" si="202"/>
        <v>7</v>
      </c>
    </row>
    <row r="4288" spans="1:15" x14ac:dyDescent="0.25">
      <c r="A4288" s="64" t="s">
        <v>189</v>
      </c>
      <c r="B4288" s="79" t="str">
        <f>IF(Eighteenth!B41="", "",Eighteenth!B41)</f>
        <v>CSS</v>
      </c>
      <c r="C4288" s="66" t="str">
        <f>IF(Eighteenth!C41="", "",Eighteenth!C41)</f>
        <v>PwC</v>
      </c>
      <c r="D4288" s="66" t="str">
        <f>IF(Eighteenth!D41="", "",Eighteenth!D41)</f>
        <v>Returning</v>
      </c>
      <c r="E4288" s="66" t="str">
        <f>IF(Eighteenth!E41="", "",Eighteenth!E41)</f>
        <v>Female</v>
      </c>
      <c r="F4288" s="66" t="str">
        <f>IF(Eighteenth!F41="", "",Eighteenth!F41)</f>
        <v>Urolog</v>
      </c>
      <c r="G4288" s="66" t="str">
        <f>IF(Eighteenth!G41="", "",Eighteenth!G41)</f>
        <v>Non-Curative Intent</v>
      </c>
      <c r="H4288" s="66" t="str">
        <f>IF(Eighteenth!H41="", "",Eighteenth!H41)</f>
        <v>Booked</v>
      </c>
      <c r="I4288" s="66" t="str">
        <f>IF(Eighteenth!I41="", "",Eighteenth!I41)</f>
        <v>Psych Support - Individual</v>
      </c>
      <c r="J4288" s="66" t="str">
        <f>IF(Eighteenth!J41="", "",Eighteenth!J41)</f>
        <v/>
      </c>
      <c r="K4288" s="86" t="str">
        <f>IF(Eighteenth!K41="", "",Eighteenth!K41)</f>
        <v/>
      </c>
      <c r="M4288" s="67">
        <f t="shared" si="200"/>
        <v>7</v>
      </c>
      <c r="N4288" s="76" t="str">
        <f t="shared" si="201"/>
        <v/>
      </c>
      <c r="O4288" s="33">
        <f t="shared" si="202"/>
        <v>7</v>
      </c>
    </row>
    <row r="4289" spans="1:15" x14ac:dyDescent="0.25">
      <c r="A4289" s="64" t="s">
        <v>189</v>
      </c>
      <c r="B4289" s="79" t="str">
        <f>IF(Eighteenth!B42="", "",Eighteenth!B42)</f>
        <v>CSS</v>
      </c>
      <c r="C4289" s="66" t="str">
        <f>IF(Eighteenth!C42="", "",Eighteenth!C42)</f>
        <v>PwC</v>
      </c>
      <c r="D4289" s="66" t="str">
        <f>IF(Eighteenth!D42="", "",Eighteenth!D42)</f>
        <v>Returning</v>
      </c>
      <c r="E4289" s="66" t="str">
        <f>IF(Eighteenth!E42="", "",Eighteenth!E42)</f>
        <v>Female</v>
      </c>
      <c r="F4289" s="66" t="str">
        <f>IF(Eighteenth!F42="", "",Eighteenth!F42)</f>
        <v>Skin/Mel</v>
      </c>
      <c r="G4289" s="66" t="str">
        <f>IF(Eighteenth!G42="", "",Eighteenth!G42)</f>
        <v>Curative Intent</v>
      </c>
      <c r="H4289" s="66" t="str">
        <f>IF(Eighteenth!H42="", "",Eighteenth!H42)</f>
        <v>Booked</v>
      </c>
      <c r="I4289" s="66" t="str">
        <f>IF(Eighteenth!I42="", "",Eighteenth!I42)</f>
        <v>Psych Support - Individual</v>
      </c>
      <c r="J4289" s="66" t="str">
        <f>IF(Eighteenth!J42="", "",Eighteenth!J42)</f>
        <v/>
      </c>
      <c r="K4289" s="86" t="str">
        <f>IF(Eighteenth!K42="", "",Eighteenth!K42)</f>
        <v/>
      </c>
      <c r="M4289" s="67">
        <f t="shared" si="200"/>
        <v>7</v>
      </c>
      <c r="N4289" s="76" t="str">
        <f t="shared" si="201"/>
        <v/>
      </c>
      <c r="O4289" s="33">
        <f t="shared" si="202"/>
        <v>7</v>
      </c>
    </row>
    <row r="4290" spans="1:15" x14ac:dyDescent="0.25">
      <c r="A4290" s="64" t="s">
        <v>189</v>
      </c>
      <c r="B4290" s="79" t="str">
        <f>IF(Eighteenth!B43="", "",Eighteenth!B43)</f>
        <v>CSS</v>
      </c>
      <c r="C4290" s="66" t="str">
        <f>IF(Eighteenth!C43="", "",Eighteenth!C43)</f>
        <v>PwC</v>
      </c>
      <c r="D4290" s="66" t="str">
        <f>IF(Eighteenth!D43="", "",Eighteenth!D43)</f>
        <v>Returning</v>
      </c>
      <c r="E4290" s="66" t="str">
        <f>IF(Eighteenth!E43="", "",Eighteenth!E43)</f>
        <v>Female</v>
      </c>
      <c r="F4290" s="66" t="str">
        <f>IF(Eighteenth!F43="", "",Eighteenth!F43)</f>
        <v>Breast</v>
      </c>
      <c r="G4290" s="66" t="str">
        <f>IF(Eighteenth!G43="", "",Eighteenth!G43)</f>
        <v>Curative Intent</v>
      </c>
      <c r="H4290" s="66" t="str">
        <f>IF(Eighteenth!H43="", "",Eighteenth!H43)</f>
        <v>Drop-In</v>
      </c>
      <c r="I4290" s="66" t="str">
        <f>IF(Eighteenth!I43="", "",Eighteenth!I43)</f>
        <v/>
      </c>
      <c r="J4290" s="66" t="str">
        <f>IF(Eighteenth!J43="", "",Eighteenth!J43)</f>
        <v/>
      </c>
      <c r="K4290" s="86" t="str">
        <f>IF(Eighteenth!K43="", "",Eighteenth!K43)</f>
        <v/>
      </c>
      <c r="M4290" s="67">
        <f t="shared" si="200"/>
        <v>7</v>
      </c>
      <c r="N4290" s="76" t="str">
        <f t="shared" si="201"/>
        <v/>
      </c>
      <c r="O4290" s="33">
        <f t="shared" si="202"/>
        <v>7</v>
      </c>
    </row>
    <row r="4291" spans="1:15" x14ac:dyDescent="0.25">
      <c r="A4291" s="64" t="s">
        <v>189</v>
      </c>
      <c r="B4291" s="79" t="str">
        <f>IF(Eighteenth!B44="", "",Eighteenth!B44)</f>
        <v>CSS</v>
      </c>
      <c r="C4291" s="66" t="str">
        <f>IF(Eighteenth!C44="", "",Eighteenth!C44)</f>
        <v>Carer</v>
      </c>
      <c r="D4291" s="66" t="str">
        <f>IF(Eighteenth!D44="", "",Eighteenth!D44)</f>
        <v>New</v>
      </c>
      <c r="E4291" s="66" t="str">
        <f>IF(Eighteenth!E44="", "",Eighteenth!E44)</f>
        <v>Male</v>
      </c>
      <c r="F4291" s="66" t="str">
        <f>IF(Eighteenth!F44="", "",Eighteenth!F44)</f>
        <v>Urolog</v>
      </c>
      <c r="G4291" s="66" t="str">
        <f>IF(Eighteenth!G44="", "",Eighteenth!G44)</f>
        <v>Non-Curative Intent</v>
      </c>
      <c r="H4291" s="66" t="str">
        <f>IF(Eighteenth!H44="", "",Eighteenth!H44)</f>
        <v>Drop-In</v>
      </c>
      <c r="I4291" s="66" t="str">
        <f>IF(Eighteenth!I44="", "",Eighteenth!I44)</f>
        <v/>
      </c>
      <c r="J4291" s="66" t="str">
        <f>IF(Eighteenth!J44="", "",Eighteenth!J44)</f>
        <v/>
      </c>
      <c r="K4291" s="86" t="str">
        <f>IF(Eighteenth!K44="", "",Eighteenth!K44)</f>
        <v/>
      </c>
      <c r="M4291" s="67" t="str">
        <f t="shared" ref="M4291:M4354" si="203">IF(C4291="PwC",(7-COUNTIF(B4291:H4291,"")),"")</f>
        <v/>
      </c>
      <c r="N4291" s="76">
        <f t="shared" ref="N4291:N4354" si="204">IF(C4291="Carer",(7-COUNTIF(B4291:H4291,"")),"")</f>
        <v>7</v>
      </c>
      <c r="O4291" s="33">
        <f t="shared" si="202"/>
        <v>7</v>
      </c>
    </row>
    <row r="4292" spans="1:15" x14ac:dyDescent="0.25">
      <c r="A4292" s="64" t="s">
        <v>189</v>
      </c>
      <c r="B4292" s="79" t="str">
        <f>IF(Eighteenth!B45="", "",Eighteenth!B45)</f>
        <v>Centre Head</v>
      </c>
      <c r="C4292" s="66" t="str">
        <f>IF(Eighteenth!C45="", "",Eighteenth!C45)</f>
        <v>PwC</v>
      </c>
      <c r="D4292" s="66" t="str">
        <f>IF(Eighteenth!D45="", "",Eighteenth!D45)</f>
        <v>Returning</v>
      </c>
      <c r="E4292" s="66" t="str">
        <f>IF(Eighteenth!E45="", "",Eighteenth!E45)</f>
        <v>Male</v>
      </c>
      <c r="F4292" s="66" t="str">
        <f>IF(Eighteenth!F45="", "",Eighteenth!F45)</f>
        <v>Prostate</v>
      </c>
      <c r="G4292" s="66" t="str">
        <f>IF(Eighteenth!G45="", "",Eighteenth!G45)</f>
        <v>Non-Curative Intent</v>
      </c>
      <c r="H4292" s="66" t="str">
        <f>IF(Eighteenth!H45="", "",Eighteenth!H45)</f>
        <v>Drop-In</v>
      </c>
      <c r="I4292" s="66" t="str">
        <f>IF(Eighteenth!I45="", "",Eighteenth!I45)</f>
        <v/>
      </c>
      <c r="J4292" s="66" t="str">
        <f>IF(Eighteenth!J45="", "",Eighteenth!J45)</f>
        <v/>
      </c>
      <c r="K4292" s="86" t="str">
        <f>IF(Eighteenth!K45="", "",Eighteenth!K45)</f>
        <v/>
      </c>
      <c r="M4292" s="67">
        <f t="shared" si="203"/>
        <v>7</v>
      </c>
      <c r="N4292" s="76" t="str">
        <f t="shared" si="204"/>
        <v/>
      </c>
      <c r="O4292" s="33">
        <f t="shared" si="202"/>
        <v>7</v>
      </c>
    </row>
    <row r="4293" spans="1:15" x14ac:dyDescent="0.25">
      <c r="A4293" s="64" t="s">
        <v>189</v>
      </c>
      <c r="B4293" s="79" t="str">
        <f>IF(Eighteenth!B46="", "",Eighteenth!B46)</f>
        <v>Centre Head</v>
      </c>
      <c r="C4293" s="66" t="str">
        <f>IF(Eighteenth!C46="", "",Eighteenth!C46)</f>
        <v>Carer</v>
      </c>
      <c r="D4293" s="66" t="str">
        <f>IF(Eighteenth!D46="", "",Eighteenth!D46)</f>
        <v>Returning</v>
      </c>
      <c r="E4293" s="66" t="str">
        <f>IF(Eighteenth!E46="", "",Eighteenth!E46)</f>
        <v>Female</v>
      </c>
      <c r="F4293" s="66" t="str">
        <f>IF(Eighteenth!F46="", "",Eighteenth!F46)</f>
        <v>Prostate</v>
      </c>
      <c r="G4293" s="66" t="str">
        <f>IF(Eighteenth!G46="", "",Eighteenth!G46)</f>
        <v>Non-Curative Intent</v>
      </c>
      <c r="H4293" s="66" t="str">
        <f>IF(Eighteenth!H46="", "",Eighteenth!H46)</f>
        <v>Drop-In</v>
      </c>
      <c r="I4293" s="66" t="str">
        <f>IF(Eighteenth!I46="", "",Eighteenth!I46)</f>
        <v/>
      </c>
      <c r="J4293" s="66" t="str">
        <f>IF(Eighteenth!J46="", "",Eighteenth!J46)</f>
        <v/>
      </c>
      <c r="K4293" s="86" t="str">
        <f>IF(Eighteenth!K46="", "",Eighteenth!K46)</f>
        <v/>
      </c>
      <c r="M4293" s="67" t="str">
        <f t="shared" si="203"/>
        <v/>
      </c>
      <c r="N4293" s="76">
        <f t="shared" si="204"/>
        <v>7</v>
      </c>
      <c r="O4293" s="33">
        <f t="shared" si="202"/>
        <v>7</v>
      </c>
    </row>
    <row r="4294" spans="1:15" x14ac:dyDescent="0.25">
      <c r="A4294" s="64" t="s">
        <v>189</v>
      </c>
      <c r="B4294" s="79" t="str">
        <f>IF(Eighteenth!B47="", "",Eighteenth!B47)</f>
        <v>Centre Head</v>
      </c>
      <c r="C4294" s="66" t="str">
        <f>IF(Eighteenth!C47="", "",Eighteenth!C47)</f>
        <v>Carer</v>
      </c>
      <c r="D4294" s="66" t="str">
        <f>IF(Eighteenth!D47="", "",Eighteenth!D47)</f>
        <v>Returning</v>
      </c>
      <c r="E4294" s="66" t="str">
        <f>IF(Eighteenth!E47="", "",Eighteenth!E47)</f>
        <v>Female</v>
      </c>
      <c r="F4294" s="66" t="str">
        <f>IF(Eighteenth!F47="", "",Eighteenth!F47)</f>
        <v>Lung</v>
      </c>
      <c r="G4294" s="66" t="str">
        <f>IF(Eighteenth!G47="", "",Eighteenth!G47)</f>
        <v>Bereaved</v>
      </c>
      <c r="H4294" s="66" t="str">
        <f>IF(Eighteenth!H47="", "",Eighteenth!H47)</f>
        <v>Booked</v>
      </c>
      <c r="I4294" s="66" t="str">
        <f>IF(Eighteenth!I47="", "",Eighteenth!I47)</f>
        <v>Psych Support - Individual</v>
      </c>
      <c r="J4294" s="66" t="str">
        <f>IF(Eighteenth!J47="", "",Eighteenth!J47)</f>
        <v/>
      </c>
      <c r="K4294" s="86" t="str">
        <f>IF(Eighteenth!K47="", "",Eighteenth!K47)</f>
        <v/>
      </c>
      <c r="M4294" s="67" t="str">
        <f t="shared" si="203"/>
        <v/>
      </c>
      <c r="N4294" s="76">
        <f t="shared" si="204"/>
        <v>7</v>
      </c>
      <c r="O4294" s="33">
        <f t="shared" si="202"/>
        <v>7</v>
      </c>
    </row>
    <row r="4295" spans="1:15" x14ac:dyDescent="0.25">
      <c r="A4295" s="64" t="s">
        <v>189</v>
      </c>
      <c r="B4295" s="79" t="str">
        <f>IF(Eighteenth!B48="", "",Eighteenth!B48)</f>
        <v>Centre Head</v>
      </c>
      <c r="C4295" s="66" t="str">
        <f>IF(Eighteenth!C48="", "",Eighteenth!C48)</f>
        <v>PwC</v>
      </c>
      <c r="D4295" s="66" t="str">
        <f>IF(Eighteenth!D48="", "",Eighteenth!D48)</f>
        <v>Returning</v>
      </c>
      <c r="E4295" s="66" t="str">
        <f>IF(Eighteenth!E48="", "",Eighteenth!E48)</f>
        <v>Female</v>
      </c>
      <c r="F4295" s="66" t="str">
        <f>IF(Eighteenth!F48="", "",Eighteenth!F48)</f>
        <v>Breast</v>
      </c>
      <c r="G4295" s="66" t="str">
        <f>IF(Eighteenth!G48="", "",Eighteenth!G48)</f>
        <v>Non-Curative Intent</v>
      </c>
      <c r="H4295" s="66" t="str">
        <f>IF(Eighteenth!H48="", "",Eighteenth!H48)</f>
        <v>Drop-In</v>
      </c>
      <c r="I4295" s="66" t="str">
        <f>IF(Eighteenth!I48="", "",Eighteenth!I48)</f>
        <v/>
      </c>
      <c r="J4295" s="66" t="str">
        <f>IF(Eighteenth!J48="", "",Eighteenth!J48)</f>
        <v/>
      </c>
      <c r="K4295" s="86" t="str">
        <f>IF(Eighteenth!K48="", "",Eighteenth!K48)</f>
        <v/>
      </c>
      <c r="M4295" s="67">
        <f t="shared" si="203"/>
        <v>7</v>
      </c>
      <c r="N4295" s="76" t="str">
        <f t="shared" si="204"/>
        <v/>
      </c>
      <c r="O4295" s="33">
        <f t="shared" si="202"/>
        <v>7</v>
      </c>
    </row>
    <row r="4296" spans="1:15" x14ac:dyDescent="0.25">
      <c r="A4296" s="64" t="s">
        <v>189</v>
      </c>
      <c r="B4296" s="79" t="str">
        <f>IF(Eighteenth!B49="", "",Eighteenth!B49)</f>
        <v>Centre Head</v>
      </c>
      <c r="C4296" s="66" t="str">
        <f>IF(Eighteenth!C49="", "",Eighteenth!C49)</f>
        <v>PwC</v>
      </c>
      <c r="D4296" s="66" t="str">
        <f>IF(Eighteenth!D49="", "",Eighteenth!D49)</f>
        <v>Returning</v>
      </c>
      <c r="E4296" s="66" t="str">
        <f>IF(Eighteenth!E49="", "",Eighteenth!E49)</f>
        <v>Female</v>
      </c>
      <c r="F4296" s="66" t="str">
        <f>IF(Eighteenth!F49="", "",Eighteenth!F49)</f>
        <v>Breast</v>
      </c>
      <c r="G4296" s="66" t="str">
        <f>IF(Eighteenth!G49="", "",Eighteenth!G49)</f>
        <v>Curative Intent</v>
      </c>
      <c r="H4296" s="66" t="str">
        <f>IF(Eighteenth!H49="", "",Eighteenth!H49)</f>
        <v>Drop-In</v>
      </c>
      <c r="I4296" s="66" t="str">
        <f>IF(Eighteenth!I49="", "",Eighteenth!I49)</f>
        <v/>
      </c>
      <c r="J4296" s="66" t="str">
        <f>IF(Eighteenth!J49="", "",Eighteenth!J49)</f>
        <v/>
      </c>
      <c r="K4296" s="86" t="str">
        <f>IF(Eighteenth!K49="", "",Eighteenth!K49)</f>
        <v/>
      </c>
      <c r="M4296" s="67">
        <f t="shared" si="203"/>
        <v>7</v>
      </c>
      <c r="N4296" s="76" t="str">
        <f t="shared" si="204"/>
        <v/>
      </c>
      <c r="O4296" s="33">
        <f t="shared" si="202"/>
        <v>7</v>
      </c>
    </row>
    <row r="4297" spans="1:15" x14ac:dyDescent="0.25">
      <c r="A4297" s="64" t="s">
        <v>189</v>
      </c>
      <c r="B4297" s="79" t="str">
        <f>IF(Eighteenth!B50="", "",Eighteenth!B50)</f>
        <v>Centre Head</v>
      </c>
      <c r="C4297" s="66" t="str">
        <f>IF(Eighteenth!C50="", "",Eighteenth!C50)</f>
        <v>Carer</v>
      </c>
      <c r="D4297" s="66" t="str">
        <f>IF(Eighteenth!D50="", "",Eighteenth!D50)</f>
        <v>Returning</v>
      </c>
      <c r="E4297" s="66" t="str">
        <f>IF(Eighteenth!E50="", "",Eighteenth!E50)</f>
        <v>Female</v>
      </c>
      <c r="F4297" s="66" t="str">
        <f>IF(Eighteenth!F50="", "",Eighteenth!F50)</f>
        <v>Lower GI</v>
      </c>
      <c r="G4297" s="66" t="str">
        <f>IF(Eighteenth!G50="", "",Eighteenth!G50)</f>
        <v>Bereaved</v>
      </c>
      <c r="H4297" s="66" t="str">
        <f>IF(Eighteenth!H50="", "",Eighteenth!H50)</f>
        <v>Booked</v>
      </c>
      <c r="I4297" s="66" t="str">
        <f>IF(Eighteenth!I50="", "",Eighteenth!I50)</f>
        <v>Psych Support - Individual</v>
      </c>
      <c r="J4297" s="66" t="str">
        <f>IF(Eighteenth!J50="", "",Eighteenth!J50)</f>
        <v/>
      </c>
      <c r="K4297" s="86" t="str">
        <f>IF(Eighteenth!K50="", "",Eighteenth!K50)</f>
        <v/>
      </c>
      <c r="M4297" s="67" t="str">
        <f t="shared" si="203"/>
        <v/>
      </c>
      <c r="N4297" s="76">
        <f t="shared" si="204"/>
        <v>7</v>
      </c>
      <c r="O4297" s="33">
        <f t="shared" si="202"/>
        <v>7</v>
      </c>
    </row>
    <row r="4298" spans="1:15" x14ac:dyDescent="0.25">
      <c r="A4298" s="64" t="s">
        <v>189</v>
      </c>
      <c r="B4298" s="79" t="str">
        <f>IF(Eighteenth!B51="", "",Eighteenth!B51)</f>
        <v>Centre Head</v>
      </c>
      <c r="C4298" s="66" t="str">
        <f>IF(Eighteenth!C51="", "",Eighteenth!C51)</f>
        <v>Carer</v>
      </c>
      <c r="D4298" s="66" t="str">
        <f>IF(Eighteenth!D51="", "",Eighteenth!D51)</f>
        <v>Returning</v>
      </c>
      <c r="E4298" s="66" t="str">
        <f>IF(Eighteenth!E51="", "",Eighteenth!E51)</f>
        <v>Under 18 Male</v>
      </c>
      <c r="F4298" s="66" t="str">
        <f>IF(Eighteenth!F51="", "",Eighteenth!F51)</f>
        <v>Lower GI</v>
      </c>
      <c r="G4298" s="66" t="str">
        <f>IF(Eighteenth!G51="", "",Eighteenth!G51)</f>
        <v>Bereaved</v>
      </c>
      <c r="H4298" s="66" t="str">
        <f>IF(Eighteenth!H51="", "",Eighteenth!H51)</f>
        <v>Booked</v>
      </c>
      <c r="I4298" s="66" t="str">
        <f>IF(Eighteenth!I51="", "",Eighteenth!I51)</f>
        <v>Psych Support - Individual</v>
      </c>
      <c r="J4298" s="66" t="str">
        <f>IF(Eighteenth!J51="", "",Eighteenth!J51)</f>
        <v/>
      </c>
      <c r="K4298" s="86" t="str">
        <f>IF(Eighteenth!K51="", "",Eighteenth!K51)</f>
        <v/>
      </c>
      <c r="M4298" s="67" t="str">
        <f t="shared" si="203"/>
        <v/>
      </c>
      <c r="N4298" s="76">
        <f t="shared" si="204"/>
        <v>7</v>
      </c>
      <c r="O4298" s="33">
        <f t="shared" si="202"/>
        <v>7</v>
      </c>
    </row>
    <row r="4299" spans="1:15" x14ac:dyDescent="0.25">
      <c r="A4299" s="64" t="s">
        <v>189</v>
      </c>
      <c r="B4299" s="79" t="str">
        <f>IF(Eighteenth!B52="", "",Eighteenth!B52)</f>
        <v>Centre Head</v>
      </c>
      <c r="C4299" s="66" t="str">
        <f>IF(Eighteenth!C52="", "",Eighteenth!C52)</f>
        <v>PwC</v>
      </c>
      <c r="D4299" s="66" t="str">
        <f>IF(Eighteenth!D52="", "",Eighteenth!D52)</f>
        <v>New</v>
      </c>
      <c r="E4299" s="66" t="str">
        <f>IF(Eighteenth!E52="", "",Eighteenth!E52)</f>
        <v>Female</v>
      </c>
      <c r="F4299" s="66" t="str">
        <f>IF(Eighteenth!F52="", "",Eighteenth!F52)</f>
        <v>Lung</v>
      </c>
      <c r="G4299" s="66" t="str">
        <f>IF(Eighteenth!G52="", "",Eighteenth!G52)</f>
        <v>Non-Curative Intent</v>
      </c>
      <c r="H4299" s="66" t="str">
        <f>IF(Eighteenth!H52="", "",Eighteenth!H52)</f>
        <v>Drop-In</v>
      </c>
      <c r="I4299" s="66" t="str">
        <f>IF(Eighteenth!I52="", "",Eighteenth!I52)</f>
        <v/>
      </c>
      <c r="J4299" s="66" t="str">
        <f>IF(Eighteenth!J52="", "",Eighteenth!J52)</f>
        <v/>
      </c>
      <c r="K4299" s="86" t="str">
        <f>IF(Eighteenth!K52="", "",Eighteenth!K52)</f>
        <v/>
      </c>
      <c r="M4299" s="67">
        <f t="shared" si="203"/>
        <v>7</v>
      </c>
      <c r="N4299" s="76" t="str">
        <f t="shared" si="204"/>
        <v/>
      </c>
      <c r="O4299" s="33">
        <f t="shared" si="202"/>
        <v>7</v>
      </c>
    </row>
    <row r="4300" spans="1:15" x14ac:dyDescent="0.25">
      <c r="A4300" s="64" t="s">
        <v>189</v>
      </c>
      <c r="B4300" s="79" t="str">
        <f>IF(Eighteenth!B53="", "",Eighteenth!B53)</f>
        <v>Centre Head</v>
      </c>
      <c r="C4300" s="66" t="str">
        <f>IF(Eighteenth!C53="", "",Eighteenth!C53)</f>
        <v>PwC</v>
      </c>
      <c r="D4300" s="66" t="str">
        <f>IF(Eighteenth!D53="", "",Eighteenth!D53)</f>
        <v>Returning</v>
      </c>
      <c r="E4300" s="66" t="str">
        <f>IF(Eighteenth!E53="", "",Eighteenth!E53)</f>
        <v>Male</v>
      </c>
      <c r="F4300" s="66" t="str">
        <f>IF(Eighteenth!F53="", "",Eighteenth!F53)</f>
        <v>Prostate</v>
      </c>
      <c r="G4300" s="66" t="str">
        <f>IF(Eighteenth!G53="", "",Eighteenth!G53)</f>
        <v>Curative Intent</v>
      </c>
      <c r="H4300" s="66" t="str">
        <f>IF(Eighteenth!H53="", "",Eighteenth!H53)</f>
        <v>Drop-In</v>
      </c>
      <c r="I4300" s="66" t="str">
        <f>IF(Eighteenth!I53="", "",Eighteenth!I53)</f>
        <v/>
      </c>
      <c r="J4300" s="66" t="str">
        <f>IF(Eighteenth!J53="", "",Eighteenth!J53)</f>
        <v/>
      </c>
      <c r="K4300" s="86" t="str">
        <f>IF(Eighteenth!K53="", "",Eighteenth!K53)</f>
        <v/>
      </c>
      <c r="M4300" s="67">
        <f t="shared" si="203"/>
        <v>7</v>
      </c>
      <c r="N4300" s="76" t="str">
        <f t="shared" si="204"/>
        <v/>
      </c>
      <c r="O4300" s="33">
        <f t="shared" si="202"/>
        <v>7</v>
      </c>
    </row>
    <row r="4301" spans="1:15" x14ac:dyDescent="0.25">
      <c r="A4301" s="64" t="s">
        <v>189</v>
      </c>
      <c r="B4301" s="79" t="str">
        <f>IF(Eighteenth!B54="", "",Eighteenth!B54)</f>
        <v>Centre Head</v>
      </c>
      <c r="C4301" s="66" t="str">
        <f>IF(Eighteenth!C54="", "",Eighteenth!C54)</f>
        <v>Carer</v>
      </c>
      <c r="D4301" s="66" t="str">
        <f>IF(Eighteenth!D54="", "",Eighteenth!D54)</f>
        <v>Returning</v>
      </c>
      <c r="E4301" s="66" t="str">
        <f>IF(Eighteenth!E54="", "",Eighteenth!E54)</f>
        <v>Male</v>
      </c>
      <c r="F4301" s="66" t="str">
        <f>IF(Eighteenth!F54="", "",Eighteenth!F54)</f>
        <v>Prostate</v>
      </c>
      <c r="G4301" s="66" t="str">
        <f>IF(Eighteenth!G54="", "",Eighteenth!G54)</f>
        <v>Curative Intent</v>
      </c>
      <c r="H4301" s="66" t="str">
        <f>IF(Eighteenth!H54="", "",Eighteenth!H54)</f>
        <v>Drop-In</v>
      </c>
      <c r="I4301" s="66" t="str">
        <f>IF(Eighteenth!I54="", "",Eighteenth!I54)</f>
        <v/>
      </c>
      <c r="J4301" s="66" t="str">
        <f>IF(Eighteenth!J54="", "",Eighteenth!J54)</f>
        <v/>
      </c>
      <c r="K4301" s="86" t="str">
        <f>IF(Eighteenth!K54="", "",Eighteenth!K54)</f>
        <v/>
      </c>
      <c r="M4301" s="67" t="str">
        <f t="shared" si="203"/>
        <v/>
      </c>
      <c r="N4301" s="76">
        <f t="shared" si="204"/>
        <v>7</v>
      </c>
      <c r="O4301" s="33">
        <f t="shared" si="202"/>
        <v>7</v>
      </c>
    </row>
    <row r="4302" spans="1:15" x14ac:dyDescent="0.25">
      <c r="A4302" s="64" t="s">
        <v>189</v>
      </c>
      <c r="B4302" s="79" t="str">
        <f>IF(Eighteenth!B55="", "",Eighteenth!B55)</f>
        <v>Centre Head</v>
      </c>
      <c r="C4302" s="66" t="str">
        <f>IF(Eighteenth!C55="", "",Eighteenth!C55)</f>
        <v>Carer</v>
      </c>
      <c r="D4302" s="66" t="str">
        <f>IF(Eighteenth!D55="", "",Eighteenth!D55)</f>
        <v>Returning</v>
      </c>
      <c r="E4302" s="66" t="str">
        <f>IF(Eighteenth!E55="", "",Eighteenth!E55)</f>
        <v>Female</v>
      </c>
      <c r="F4302" s="66" t="str">
        <f>IF(Eighteenth!F55="", "",Eighteenth!F55)</f>
        <v>Prostate</v>
      </c>
      <c r="G4302" s="66" t="str">
        <f>IF(Eighteenth!G55="", "",Eighteenth!G55)</f>
        <v>Curative Intent</v>
      </c>
      <c r="H4302" s="66" t="str">
        <f>IF(Eighteenth!H55="", "",Eighteenth!H55)</f>
        <v>Drop-In</v>
      </c>
      <c r="I4302" s="66" t="str">
        <f>IF(Eighteenth!I55="", "",Eighteenth!I55)</f>
        <v/>
      </c>
      <c r="J4302" s="66" t="str">
        <f>IF(Eighteenth!J55="", "",Eighteenth!J55)</f>
        <v/>
      </c>
      <c r="K4302" s="86" t="str">
        <f>IF(Eighteenth!K55="", "",Eighteenth!K55)</f>
        <v/>
      </c>
      <c r="M4302" s="67" t="str">
        <f t="shared" si="203"/>
        <v/>
      </c>
      <c r="N4302" s="76">
        <f t="shared" si="204"/>
        <v>7</v>
      </c>
      <c r="O4302" s="33">
        <f t="shared" si="202"/>
        <v>7</v>
      </c>
    </row>
    <row r="4303" spans="1:15" x14ac:dyDescent="0.25">
      <c r="A4303" s="64" t="s">
        <v>189</v>
      </c>
      <c r="B4303" s="79" t="str">
        <f>IF(Eighteenth!B56="", "",Eighteenth!B56)</f>
        <v>Centre Head</v>
      </c>
      <c r="C4303" s="66" t="str">
        <f>IF(Eighteenth!C56="", "",Eighteenth!C56)</f>
        <v>PwC</v>
      </c>
      <c r="D4303" s="66" t="str">
        <f>IF(Eighteenth!D56="", "",Eighteenth!D56)</f>
        <v>Returning</v>
      </c>
      <c r="E4303" s="66" t="str">
        <f>IF(Eighteenth!E56="", "",Eighteenth!E56)</f>
        <v>Female</v>
      </c>
      <c r="F4303" s="66" t="str">
        <f>IF(Eighteenth!F56="", "",Eighteenth!F56)</f>
        <v>Breast</v>
      </c>
      <c r="G4303" s="66" t="str">
        <f>IF(Eighteenth!G56="", "",Eighteenth!G56)</f>
        <v>Non-Curative Intent</v>
      </c>
      <c r="H4303" s="66" t="str">
        <f>IF(Eighteenth!H56="", "",Eighteenth!H56)</f>
        <v>Drop-In</v>
      </c>
      <c r="I4303" s="66" t="str">
        <f>IF(Eighteenth!I56="", "",Eighteenth!I56)</f>
        <v/>
      </c>
      <c r="J4303" s="66" t="str">
        <f>IF(Eighteenth!J56="", "",Eighteenth!J56)</f>
        <v/>
      </c>
      <c r="K4303" s="86" t="str">
        <f>IF(Eighteenth!K56="", "",Eighteenth!K56)</f>
        <v/>
      </c>
      <c r="M4303" s="67">
        <f t="shared" si="203"/>
        <v>7</v>
      </c>
      <c r="N4303" s="76" t="str">
        <f t="shared" si="204"/>
        <v/>
      </c>
      <c r="O4303" s="33">
        <f t="shared" si="202"/>
        <v>7</v>
      </c>
    </row>
    <row r="4304" spans="1:15" x14ac:dyDescent="0.25">
      <c r="A4304" s="64" t="s">
        <v>189</v>
      </c>
      <c r="B4304" s="79" t="str">
        <f>IF(Eighteenth!B57="", "",Eighteenth!B57)</f>
        <v>Centre Head</v>
      </c>
      <c r="C4304" s="66" t="str">
        <f>IF(Eighteenth!C57="", "",Eighteenth!C57)</f>
        <v>Carer</v>
      </c>
      <c r="D4304" s="66" t="str">
        <f>IF(Eighteenth!D57="", "",Eighteenth!D57)</f>
        <v>Returning</v>
      </c>
      <c r="E4304" s="66" t="str">
        <f>IF(Eighteenth!E57="", "",Eighteenth!E57)</f>
        <v>Male</v>
      </c>
      <c r="F4304" s="66" t="str">
        <f>IF(Eighteenth!F57="", "",Eighteenth!F57)</f>
        <v>Breast</v>
      </c>
      <c r="G4304" s="66" t="str">
        <f>IF(Eighteenth!G57="", "",Eighteenth!G57)</f>
        <v>Non-Curative Intent</v>
      </c>
      <c r="H4304" s="66" t="str">
        <f>IF(Eighteenth!H57="", "",Eighteenth!H57)</f>
        <v>Drop-In</v>
      </c>
      <c r="I4304" s="66" t="str">
        <f>IF(Eighteenth!I57="", "",Eighteenth!I57)</f>
        <v/>
      </c>
      <c r="J4304" s="66" t="str">
        <f>IF(Eighteenth!J57="", "",Eighteenth!J57)</f>
        <v/>
      </c>
      <c r="K4304" s="86" t="str">
        <f>IF(Eighteenth!K57="", "",Eighteenth!K57)</f>
        <v/>
      </c>
      <c r="M4304" s="67" t="str">
        <f t="shared" si="203"/>
        <v/>
      </c>
      <c r="N4304" s="76">
        <f t="shared" si="204"/>
        <v>7</v>
      </c>
      <c r="O4304" s="33">
        <f t="shared" si="202"/>
        <v>7</v>
      </c>
    </row>
    <row r="4305" spans="1:15" x14ac:dyDescent="0.25">
      <c r="A4305" s="64" t="s">
        <v>189</v>
      </c>
      <c r="B4305" s="79" t="str">
        <f>IF(Eighteenth!B58="", "",Eighteenth!B58)</f>
        <v>CSS</v>
      </c>
      <c r="C4305" s="66" t="str">
        <f>IF(Eighteenth!C58="", "",Eighteenth!C58)</f>
        <v>PwC</v>
      </c>
      <c r="D4305" s="66" t="str">
        <f>IF(Eighteenth!D58="", "",Eighteenth!D58)</f>
        <v>Returning</v>
      </c>
      <c r="E4305" s="66" t="str">
        <f>IF(Eighteenth!E58="", "",Eighteenth!E58)</f>
        <v>Female</v>
      </c>
      <c r="F4305" s="66" t="str">
        <f>IF(Eighteenth!F58="", "",Eighteenth!F58)</f>
        <v>Breast</v>
      </c>
      <c r="G4305" s="66" t="str">
        <f>IF(Eighteenth!G58="", "",Eighteenth!G58)</f>
        <v>Non-Curative Intent</v>
      </c>
      <c r="H4305" s="66" t="str">
        <f>IF(Eighteenth!H58="", "",Eighteenth!H58)</f>
        <v>Drop-In</v>
      </c>
      <c r="I4305" s="66" t="str">
        <f>IF(Eighteenth!I58="", "",Eighteenth!I58)</f>
        <v/>
      </c>
      <c r="J4305" s="66" t="str">
        <f>IF(Eighteenth!J58="", "",Eighteenth!J58)</f>
        <v/>
      </c>
      <c r="K4305" s="86" t="str">
        <f>IF(Eighteenth!K58="", "",Eighteenth!K58)</f>
        <v/>
      </c>
      <c r="M4305" s="67">
        <f t="shared" si="203"/>
        <v>7</v>
      </c>
      <c r="N4305" s="76" t="str">
        <f t="shared" si="204"/>
        <v/>
      </c>
      <c r="O4305" s="33">
        <f t="shared" si="202"/>
        <v>7</v>
      </c>
    </row>
    <row r="4306" spans="1:15" x14ac:dyDescent="0.25">
      <c r="A4306" s="64" t="s">
        <v>189</v>
      </c>
      <c r="B4306" s="79" t="str">
        <f>IF(Eighteenth!B59="", "",Eighteenth!B59)</f>
        <v>CSS</v>
      </c>
      <c r="C4306" s="66" t="str">
        <f>IF(Eighteenth!C59="", "",Eighteenth!C59)</f>
        <v>Carer</v>
      </c>
      <c r="D4306" s="66" t="str">
        <f>IF(Eighteenth!D59="", "",Eighteenth!D59)</f>
        <v>Returning</v>
      </c>
      <c r="E4306" s="66" t="str">
        <f>IF(Eighteenth!E59="", "",Eighteenth!E59)</f>
        <v>Male</v>
      </c>
      <c r="F4306" s="66" t="str">
        <f>IF(Eighteenth!F59="", "",Eighteenth!F59)</f>
        <v>Breast</v>
      </c>
      <c r="G4306" s="66" t="str">
        <f>IF(Eighteenth!G59="", "",Eighteenth!G59)</f>
        <v>Non-Curative Intent</v>
      </c>
      <c r="H4306" s="66" t="str">
        <f>IF(Eighteenth!H59="", "",Eighteenth!H59)</f>
        <v>Drop-In</v>
      </c>
      <c r="I4306" s="66" t="str">
        <f>IF(Eighteenth!I59="", "",Eighteenth!I59)</f>
        <v/>
      </c>
      <c r="J4306" s="66" t="str">
        <f>IF(Eighteenth!J59="", "",Eighteenth!J59)</f>
        <v/>
      </c>
      <c r="K4306" s="86" t="str">
        <f>IF(Eighteenth!K59="", "",Eighteenth!K59)</f>
        <v/>
      </c>
      <c r="M4306" s="67" t="str">
        <f t="shared" si="203"/>
        <v/>
      </c>
      <c r="N4306" s="76">
        <f t="shared" si="204"/>
        <v>7</v>
      </c>
      <c r="O4306" s="33">
        <f t="shared" si="202"/>
        <v>7</v>
      </c>
    </row>
    <row r="4307" spans="1:15" x14ac:dyDescent="0.25">
      <c r="A4307" s="64" t="s">
        <v>189</v>
      </c>
      <c r="B4307" s="79" t="str">
        <f>IF(Eighteenth!B60="", "",Eighteenth!B60)</f>
        <v>CSS</v>
      </c>
      <c r="C4307" s="66" t="str">
        <f>IF(Eighteenth!C60="", "",Eighteenth!C60)</f>
        <v>Carer</v>
      </c>
      <c r="D4307" s="66" t="str">
        <f>IF(Eighteenth!D60="", "",Eighteenth!D60)</f>
        <v>Returning</v>
      </c>
      <c r="E4307" s="66" t="str">
        <f>IF(Eighteenth!E60="", "",Eighteenth!E60)</f>
        <v>Male</v>
      </c>
      <c r="F4307" s="66" t="str">
        <f>IF(Eighteenth!F60="", "",Eighteenth!F60)</f>
        <v>Breast</v>
      </c>
      <c r="G4307" s="66" t="str">
        <f>IF(Eighteenth!G60="", "",Eighteenth!G60)</f>
        <v>Non-Curative Intent</v>
      </c>
      <c r="H4307" s="66" t="str">
        <f>IF(Eighteenth!H60="", "",Eighteenth!H60)</f>
        <v>Drop-In</v>
      </c>
      <c r="I4307" s="66" t="str">
        <f>IF(Eighteenth!I60="", "",Eighteenth!I60)</f>
        <v/>
      </c>
      <c r="J4307" s="66" t="str">
        <f>IF(Eighteenth!J60="", "",Eighteenth!J60)</f>
        <v/>
      </c>
      <c r="K4307" s="86" t="str">
        <f>IF(Eighteenth!K60="", "",Eighteenth!K60)</f>
        <v/>
      </c>
      <c r="M4307" s="67" t="str">
        <f t="shared" si="203"/>
        <v/>
      </c>
      <c r="N4307" s="76">
        <f t="shared" si="204"/>
        <v>7</v>
      </c>
      <c r="O4307" s="33">
        <f t="shared" si="202"/>
        <v>7</v>
      </c>
    </row>
    <row r="4308" spans="1:15" x14ac:dyDescent="0.25">
      <c r="A4308" s="64" t="s">
        <v>189</v>
      </c>
      <c r="B4308" s="79" t="str">
        <f>IF(Eighteenth!B61="", "",Eighteenth!B61)</f>
        <v>CSS</v>
      </c>
      <c r="C4308" s="66" t="str">
        <f>IF(Eighteenth!C61="", "",Eighteenth!C61)</f>
        <v>PwC</v>
      </c>
      <c r="D4308" s="66" t="str">
        <f>IF(Eighteenth!D61="", "",Eighteenth!D61)</f>
        <v>New</v>
      </c>
      <c r="E4308" s="66" t="str">
        <f>IF(Eighteenth!E61="", "",Eighteenth!E61)</f>
        <v>Female</v>
      </c>
      <c r="F4308" s="66" t="str">
        <f>IF(Eighteenth!F61="", "",Eighteenth!F61)</f>
        <v>Gynae</v>
      </c>
      <c r="G4308" s="66" t="str">
        <f>IF(Eighteenth!G61="", "",Eighteenth!G61)</f>
        <v>Curative Intent</v>
      </c>
      <c r="H4308" s="66" t="str">
        <f>IF(Eighteenth!H61="", "",Eighteenth!H61)</f>
        <v>Drop-In</v>
      </c>
      <c r="I4308" s="66" t="str">
        <f>IF(Eighteenth!I61="", "",Eighteenth!I61)</f>
        <v/>
      </c>
      <c r="J4308" s="66" t="str">
        <f>IF(Eighteenth!J61="", "",Eighteenth!J61)</f>
        <v/>
      </c>
      <c r="K4308" s="86" t="str">
        <f>IF(Eighteenth!K61="", "",Eighteenth!K61)</f>
        <v/>
      </c>
      <c r="M4308" s="67">
        <f t="shared" si="203"/>
        <v>7</v>
      </c>
      <c r="N4308" s="76" t="str">
        <f t="shared" si="204"/>
        <v/>
      </c>
      <c r="O4308" s="33">
        <f t="shared" si="202"/>
        <v>7</v>
      </c>
    </row>
    <row r="4309" spans="1:15" x14ac:dyDescent="0.25">
      <c r="A4309" s="64" t="s">
        <v>189</v>
      </c>
      <c r="B4309" s="79" t="str">
        <f>IF(Eighteenth!B62="", "",Eighteenth!B62)</f>
        <v>CSS</v>
      </c>
      <c r="C4309" s="66" t="str">
        <f>IF(Eighteenth!C62="", "",Eighteenth!C62)</f>
        <v>Carer</v>
      </c>
      <c r="D4309" s="66" t="str">
        <f>IF(Eighteenth!D62="", "",Eighteenth!D62)</f>
        <v>New</v>
      </c>
      <c r="E4309" s="66" t="str">
        <f>IF(Eighteenth!E62="", "",Eighteenth!E62)</f>
        <v>Female</v>
      </c>
      <c r="F4309" s="66" t="str">
        <f>IF(Eighteenth!F62="", "",Eighteenth!F62)</f>
        <v>Gynae</v>
      </c>
      <c r="G4309" s="66" t="str">
        <f>IF(Eighteenth!G62="", "",Eighteenth!G62)</f>
        <v>Curative Intent</v>
      </c>
      <c r="H4309" s="66" t="str">
        <f>IF(Eighteenth!H62="", "",Eighteenth!H62)</f>
        <v>Drop-In</v>
      </c>
      <c r="I4309" s="66" t="str">
        <f>IF(Eighteenth!I62="", "",Eighteenth!I62)</f>
        <v/>
      </c>
      <c r="J4309" s="66" t="str">
        <f>IF(Eighteenth!J62="", "",Eighteenth!J62)</f>
        <v/>
      </c>
      <c r="K4309" s="86" t="str">
        <f>IF(Eighteenth!K62="", "",Eighteenth!K62)</f>
        <v/>
      </c>
      <c r="M4309" s="67" t="str">
        <f t="shared" si="203"/>
        <v/>
      </c>
      <c r="N4309" s="76">
        <f t="shared" si="204"/>
        <v>7</v>
      </c>
      <c r="O4309" s="33">
        <f t="shared" si="202"/>
        <v>7</v>
      </c>
    </row>
    <row r="4310" spans="1:15" x14ac:dyDescent="0.25">
      <c r="A4310" s="64" t="s">
        <v>189</v>
      </c>
      <c r="B4310" s="79" t="str">
        <f>IF(Eighteenth!B63="", "",Eighteenth!B63)</f>
        <v>Psychologist</v>
      </c>
      <c r="C4310" s="66" t="str">
        <f>IF(Eighteenth!C63="", "",Eighteenth!C63)</f>
        <v>Carer</v>
      </c>
      <c r="D4310" s="66" t="str">
        <f>IF(Eighteenth!D63="", "",Eighteenth!D63)</f>
        <v>Returning</v>
      </c>
      <c r="E4310" s="66" t="str">
        <f>IF(Eighteenth!E63="", "",Eighteenth!E63)</f>
        <v>Female</v>
      </c>
      <c r="F4310" s="66" t="str">
        <f>IF(Eighteenth!F63="", "",Eighteenth!F63)</f>
        <v>Haemat</v>
      </c>
      <c r="G4310" s="66" t="str">
        <f>IF(Eighteenth!G63="", "",Eighteenth!G63)</f>
        <v>Non-Curative Intent</v>
      </c>
      <c r="H4310" s="66" t="str">
        <f>IF(Eighteenth!H63="", "",Eighteenth!H63)</f>
        <v>Booked</v>
      </c>
      <c r="I4310" s="66" t="str">
        <f>IF(Eighteenth!I63="", "",Eighteenth!I63)</f>
        <v>Psych Support - Individual</v>
      </c>
      <c r="J4310" s="66" t="str">
        <f>IF(Eighteenth!J63="", "",Eighteenth!J63)</f>
        <v>Look Good Feel Better</v>
      </c>
      <c r="K4310" s="86" t="str">
        <f>IF(Eighteenth!K63="", "",Eighteenth!K63)</f>
        <v/>
      </c>
      <c r="M4310" s="67" t="str">
        <f t="shared" si="203"/>
        <v/>
      </c>
      <c r="N4310" s="76">
        <f t="shared" si="204"/>
        <v>7</v>
      </c>
      <c r="O4310" s="33">
        <f t="shared" si="202"/>
        <v>7</v>
      </c>
    </row>
    <row r="4311" spans="1:15" x14ac:dyDescent="0.25">
      <c r="A4311" s="64" t="s">
        <v>189</v>
      </c>
      <c r="B4311" s="79" t="str">
        <f>IF(Eighteenth!B64="", "",Eighteenth!B64)</f>
        <v>Psychologist</v>
      </c>
      <c r="C4311" s="66" t="str">
        <f>IF(Eighteenth!C64="", "",Eighteenth!C64)</f>
        <v>PwC</v>
      </c>
      <c r="D4311" s="66" t="str">
        <f>IF(Eighteenth!D64="", "",Eighteenth!D64)</f>
        <v>Returning</v>
      </c>
      <c r="E4311" s="66" t="str">
        <f>IF(Eighteenth!E64="", "",Eighteenth!E64)</f>
        <v>Female</v>
      </c>
      <c r="F4311" s="66" t="str">
        <f>IF(Eighteenth!F64="", "",Eighteenth!F64)</f>
        <v>Lung</v>
      </c>
      <c r="G4311" s="66" t="str">
        <f>IF(Eighteenth!G64="", "",Eighteenth!G64)</f>
        <v>Post Treatment - Curative Intent</v>
      </c>
      <c r="H4311" s="66" t="str">
        <f>IF(Eighteenth!H64="", "",Eighteenth!H64)</f>
        <v>Booked</v>
      </c>
      <c r="I4311" s="66" t="str">
        <f>IF(Eighteenth!I64="", "",Eighteenth!I64)</f>
        <v>Psych Support - Individual</v>
      </c>
      <c r="J4311" s="66" t="str">
        <f>IF(Eighteenth!J64="", "",Eighteenth!J64)</f>
        <v/>
      </c>
      <c r="K4311" s="86" t="str">
        <f>IF(Eighteenth!K64="", "",Eighteenth!K64)</f>
        <v/>
      </c>
      <c r="M4311" s="67">
        <f t="shared" si="203"/>
        <v>7</v>
      </c>
      <c r="N4311" s="76" t="str">
        <f t="shared" si="204"/>
        <v/>
      </c>
      <c r="O4311" s="33">
        <f t="shared" si="202"/>
        <v>7</v>
      </c>
    </row>
    <row r="4312" spans="1:15" x14ac:dyDescent="0.25">
      <c r="A4312" s="64" t="s">
        <v>189</v>
      </c>
      <c r="B4312" s="79" t="str">
        <f>IF(Eighteenth!B65="", "",Eighteenth!B65)</f>
        <v>Psychologist</v>
      </c>
      <c r="C4312" s="66" t="str">
        <f>IF(Eighteenth!C65="", "",Eighteenth!C65)</f>
        <v>Carer</v>
      </c>
      <c r="D4312" s="66" t="str">
        <f>IF(Eighteenth!D65="", "",Eighteenth!D65)</f>
        <v>Returning</v>
      </c>
      <c r="E4312" s="66" t="str">
        <f>IF(Eighteenth!E65="", "",Eighteenth!E65)</f>
        <v>Female</v>
      </c>
      <c r="F4312" s="66" t="str">
        <f>IF(Eighteenth!F65="", "",Eighteenth!F65)</f>
        <v>Haemat</v>
      </c>
      <c r="G4312" s="66" t="str">
        <f>IF(Eighteenth!G65="", "",Eighteenth!G65)</f>
        <v>Non-Curative Intent</v>
      </c>
      <c r="H4312" s="66" t="str">
        <f>IF(Eighteenth!H65="", "",Eighteenth!H65)</f>
        <v>Programme</v>
      </c>
      <c r="I4312" s="66" t="str">
        <f>IF(Eighteenth!I65="", "",Eighteenth!I65)</f>
        <v>FSG Family and Friends</v>
      </c>
      <c r="J4312" s="66" t="str">
        <f>IF(Eighteenth!J65="", "",Eighteenth!J65)</f>
        <v>Look Good Feel Better</v>
      </c>
      <c r="K4312" s="86" t="str">
        <f>IF(Eighteenth!K65="", "",Eighteenth!K65)</f>
        <v/>
      </c>
      <c r="M4312" s="67" t="str">
        <f t="shared" si="203"/>
        <v/>
      </c>
      <c r="N4312" s="76">
        <f t="shared" si="204"/>
        <v>7</v>
      </c>
      <c r="O4312" s="33">
        <f t="shared" si="202"/>
        <v>7</v>
      </c>
    </row>
    <row r="4313" spans="1:15" x14ac:dyDescent="0.25">
      <c r="A4313" s="64" t="s">
        <v>189</v>
      </c>
      <c r="B4313" s="79" t="str">
        <f>IF(Eighteenth!B66="", "",Eighteenth!B66)</f>
        <v>Psychologist</v>
      </c>
      <c r="C4313" s="66" t="str">
        <f>IF(Eighteenth!C66="", "",Eighteenth!C66)</f>
        <v>Carer</v>
      </c>
      <c r="D4313" s="66" t="str">
        <f>IF(Eighteenth!D66="", "",Eighteenth!D66)</f>
        <v>Returning</v>
      </c>
      <c r="E4313" s="66" t="str">
        <f>IF(Eighteenth!E66="", "",Eighteenth!E66)</f>
        <v>Female</v>
      </c>
      <c r="F4313" s="66" t="str">
        <f>IF(Eighteenth!F66="", "",Eighteenth!F66)</f>
        <v>Gynae</v>
      </c>
      <c r="G4313" s="66" t="str">
        <f>IF(Eighteenth!G66="", "",Eighteenth!G66)</f>
        <v>Non-Curative Intent</v>
      </c>
      <c r="H4313" s="66" t="str">
        <f>IF(Eighteenth!H66="", "",Eighteenth!H66)</f>
        <v>Programme</v>
      </c>
      <c r="I4313" s="66" t="str">
        <f>IF(Eighteenth!I66="", "",Eighteenth!I66)</f>
        <v>FSG Family and Friends</v>
      </c>
      <c r="J4313" s="66" t="str">
        <f>IF(Eighteenth!J66="", "",Eighteenth!J66)</f>
        <v>Look Good Feel Better</v>
      </c>
      <c r="K4313" s="86" t="str">
        <f>IF(Eighteenth!K66="", "",Eighteenth!K66)</f>
        <v/>
      </c>
      <c r="M4313" s="67" t="str">
        <f t="shared" si="203"/>
        <v/>
      </c>
      <c r="N4313" s="76">
        <f t="shared" si="204"/>
        <v>7</v>
      </c>
      <c r="O4313" s="33">
        <f t="shared" si="202"/>
        <v>7</v>
      </c>
    </row>
    <row r="4314" spans="1:15" x14ac:dyDescent="0.25">
      <c r="A4314" s="64" t="s">
        <v>189</v>
      </c>
      <c r="B4314" s="79" t="str">
        <f>IF(Eighteenth!B67="", "",Eighteenth!B67)</f>
        <v>Psychologist</v>
      </c>
      <c r="C4314" s="66" t="str">
        <f>IF(Eighteenth!C67="", "",Eighteenth!C67)</f>
        <v>Carer</v>
      </c>
      <c r="D4314" s="66" t="str">
        <f>IF(Eighteenth!D67="", "",Eighteenth!D67)</f>
        <v>Returning</v>
      </c>
      <c r="E4314" s="66" t="str">
        <f>IF(Eighteenth!E67="", "",Eighteenth!E67)</f>
        <v>Male</v>
      </c>
      <c r="F4314" s="66" t="str">
        <f>IF(Eighteenth!F67="", "",Eighteenth!F67)</f>
        <v>Sarcoma</v>
      </c>
      <c r="G4314" s="66" t="str">
        <f>IF(Eighteenth!G67="", "",Eighteenth!G67)</f>
        <v>Non-Curative Intent</v>
      </c>
      <c r="H4314" s="66" t="str">
        <f>IF(Eighteenth!H67="", "",Eighteenth!H67)</f>
        <v>Programme</v>
      </c>
      <c r="I4314" s="66" t="str">
        <f>IF(Eighteenth!I67="", "",Eighteenth!I67)</f>
        <v>FSG Family and Friends</v>
      </c>
      <c r="J4314" s="66" t="str">
        <f>IF(Eighteenth!J67="", "",Eighteenth!J67)</f>
        <v>Look Good Feel Better</v>
      </c>
      <c r="K4314" s="86" t="str">
        <f>IF(Eighteenth!K67="", "",Eighteenth!K67)</f>
        <v/>
      </c>
      <c r="M4314" s="67" t="str">
        <f t="shared" si="203"/>
        <v/>
      </c>
      <c r="N4314" s="76">
        <f t="shared" si="204"/>
        <v>7</v>
      </c>
      <c r="O4314" s="33">
        <f t="shared" si="202"/>
        <v>7</v>
      </c>
    </row>
    <row r="4315" spans="1:15" x14ac:dyDescent="0.25">
      <c r="A4315" s="64" t="s">
        <v>189</v>
      </c>
      <c r="B4315" s="79" t="str">
        <f>IF(Eighteenth!B68="", "",Eighteenth!B68)</f>
        <v>Psychologist</v>
      </c>
      <c r="C4315" s="66" t="str">
        <f>IF(Eighteenth!C68="", "",Eighteenth!C68)</f>
        <v>Carer</v>
      </c>
      <c r="D4315" s="66" t="str">
        <f>IF(Eighteenth!D68="", "",Eighteenth!D68)</f>
        <v>Returning</v>
      </c>
      <c r="E4315" s="66" t="str">
        <f>IF(Eighteenth!E68="", "",Eighteenth!E68)</f>
        <v>Male</v>
      </c>
      <c r="F4315" s="66" t="str">
        <f>IF(Eighteenth!F68="", "",Eighteenth!F68)</f>
        <v>Lower GI</v>
      </c>
      <c r="G4315" s="66" t="str">
        <f>IF(Eighteenth!G68="", "",Eighteenth!G68)</f>
        <v>Non-Curative Intent</v>
      </c>
      <c r="H4315" s="66" t="str">
        <f>IF(Eighteenth!H68="", "",Eighteenth!H68)</f>
        <v>Programme</v>
      </c>
      <c r="I4315" s="66" t="str">
        <f>IF(Eighteenth!I68="", "",Eighteenth!I68)</f>
        <v>FSG Family and Friends</v>
      </c>
      <c r="J4315" s="66" t="str">
        <f>IF(Eighteenth!J68="", "",Eighteenth!J68)</f>
        <v>Look Good Feel Better</v>
      </c>
      <c r="K4315" s="86" t="str">
        <f>IF(Eighteenth!K68="", "",Eighteenth!K68)</f>
        <v>NG Brain</v>
      </c>
      <c r="M4315" s="67" t="str">
        <f t="shared" si="203"/>
        <v/>
      </c>
      <c r="N4315" s="76">
        <f t="shared" si="204"/>
        <v>7</v>
      </c>
      <c r="O4315" s="33">
        <f t="shared" si="202"/>
        <v>7</v>
      </c>
    </row>
    <row r="4316" spans="1:15" x14ac:dyDescent="0.25">
      <c r="A4316" s="64" t="s">
        <v>189</v>
      </c>
      <c r="B4316" s="79" t="str">
        <f>IF(Eighteenth!B69="", "",Eighteenth!B69)</f>
        <v>Psychologist</v>
      </c>
      <c r="C4316" s="66" t="str">
        <f>IF(Eighteenth!C69="", "",Eighteenth!C69)</f>
        <v>PwC</v>
      </c>
      <c r="D4316" s="66" t="str">
        <f>IF(Eighteenth!D69="", "",Eighteenth!D69)</f>
        <v>Returning</v>
      </c>
      <c r="E4316" s="66" t="str">
        <f>IF(Eighteenth!E69="", "",Eighteenth!E69)</f>
        <v>Male</v>
      </c>
      <c r="F4316" s="66" t="str">
        <f>IF(Eighteenth!F69="", "",Eighteenth!F69)</f>
        <v>Prostate</v>
      </c>
      <c r="G4316" s="66" t="str">
        <f>IF(Eighteenth!G69="", "",Eighteenth!G69)</f>
        <v>Non-Curative Intent</v>
      </c>
      <c r="H4316" s="66" t="str">
        <f>IF(Eighteenth!H69="", "",Eighteenth!H69)</f>
        <v>Programme</v>
      </c>
      <c r="I4316" s="66" t="str">
        <f>IF(Eighteenth!I69="", "",Eighteenth!I69)</f>
        <v>Creative Writing</v>
      </c>
      <c r="J4316" s="66" t="str">
        <f>IF(Eighteenth!J69="", "",Eighteenth!J69)</f>
        <v>Look Good Feel Better</v>
      </c>
      <c r="K4316" s="86" t="str">
        <f>IF(Eighteenth!K69="", "",Eighteenth!K69)</f>
        <v/>
      </c>
      <c r="M4316" s="67">
        <f t="shared" si="203"/>
        <v>7</v>
      </c>
      <c r="N4316" s="76" t="str">
        <f t="shared" si="204"/>
        <v/>
      </c>
      <c r="O4316" s="33">
        <f t="shared" si="202"/>
        <v>7</v>
      </c>
    </row>
    <row r="4317" spans="1:15" x14ac:dyDescent="0.25">
      <c r="A4317" s="64" t="s">
        <v>189</v>
      </c>
      <c r="B4317" s="79" t="str">
        <f>IF(Eighteenth!B70="", "",Eighteenth!B70)</f>
        <v>Psychologist</v>
      </c>
      <c r="C4317" s="66" t="str">
        <f>IF(Eighteenth!C70="", "",Eighteenth!C70)</f>
        <v>PwC</v>
      </c>
      <c r="D4317" s="66" t="str">
        <f>IF(Eighteenth!D70="", "",Eighteenth!D70)</f>
        <v>Returning</v>
      </c>
      <c r="E4317" s="66" t="str">
        <f>IF(Eighteenth!E70="", "",Eighteenth!E70)</f>
        <v>Female</v>
      </c>
      <c r="F4317" s="66" t="str">
        <f>IF(Eighteenth!F70="", "",Eighteenth!F70)</f>
        <v>Breast</v>
      </c>
      <c r="G4317" s="66" t="str">
        <f>IF(Eighteenth!G70="", "",Eighteenth!G70)</f>
        <v>Post Treatment - Curative Intent</v>
      </c>
      <c r="H4317" s="66" t="str">
        <f>IF(Eighteenth!H70="", "",Eighteenth!H70)</f>
        <v>Programme</v>
      </c>
      <c r="I4317" s="66" t="str">
        <f>IF(Eighteenth!I70="", "",Eighteenth!I70)</f>
        <v>Creative Writing</v>
      </c>
      <c r="J4317" s="66" t="str">
        <f>IF(Eighteenth!J70="", "",Eighteenth!J70)</f>
        <v>Look Good Feel Better</v>
      </c>
      <c r="K4317" s="86" t="str">
        <f>IF(Eighteenth!K70="", "",Eighteenth!K70)</f>
        <v/>
      </c>
      <c r="M4317" s="67">
        <f t="shared" si="203"/>
        <v>7</v>
      </c>
      <c r="N4317" s="76" t="str">
        <f t="shared" si="204"/>
        <v/>
      </c>
      <c r="O4317" s="33">
        <f t="shared" si="202"/>
        <v>7</v>
      </c>
    </row>
    <row r="4318" spans="1:15" x14ac:dyDescent="0.25">
      <c r="A4318" s="64" t="s">
        <v>189</v>
      </c>
      <c r="B4318" s="79" t="str">
        <f>IF(Eighteenth!B71="", "",Eighteenth!B71)</f>
        <v>Psychologist</v>
      </c>
      <c r="C4318" s="66" t="str">
        <f>IF(Eighteenth!C71="", "",Eighteenth!C71)</f>
        <v>PwC</v>
      </c>
      <c r="D4318" s="66" t="str">
        <f>IF(Eighteenth!D71="", "",Eighteenth!D71)</f>
        <v>Returning</v>
      </c>
      <c r="E4318" s="66" t="str">
        <f>IF(Eighteenth!E71="", "",Eighteenth!E71)</f>
        <v>Male</v>
      </c>
      <c r="F4318" s="66" t="str">
        <f>IF(Eighteenth!F71="", "",Eighteenth!F71)</f>
        <v>Lung</v>
      </c>
      <c r="G4318" s="66" t="str">
        <f>IF(Eighteenth!G71="", "",Eighteenth!G71)</f>
        <v>Non-Curative Intent</v>
      </c>
      <c r="H4318" s="66" t="str">
        <f>IF(Eighteenth!H71="", "",Eighteenth!H71)</f>
        <v>Programme</v>
      </c>
      <c r="I4318" s="66" t="str">
        <f>IF(Eighteenth!I71="", "",Eighteenth!I71)</f>
        <v>FSG Men's</v>
      </c>
      <c r="J4318" s="66" t="str">
        <f>IF(Eighteenth!J71="", "",Eighteenth!J71)</f>
        <v>Look Good Feel Better</v>
      </c>
      <c r="K4318" s="86" t="str">
        <f>IF(Eighteenth!K71="", "",Eighteenth!K71)</f>
        <v>NG Brain</v>
      </c>
      <c r="M4318" s="67">
        <f t="shared" si="203"/>
        <v>7</v>
      </c>
      <c r="N4318" s="76" t="str">
        <f t="shared" si="204"/>
        <v/>
      </c>
      <c r="O4318" s="33">
        <f t="shared" si="202"/>
        <v>7</v>
      </c>
    </row>
    <row r="4319" spans="1:15" x14ac:dyDescent="0.25">
      <c r="A4319" s="64" t="s">
        <v>189</v>
      </c>
      <c r="B4319" s="79" t="str">
        <f>IF(Eighteenth!B72="", "",Eighteenth!B72)</f>
        <v>Psychologist</v>
      </c>
      <c r="C4319" s="66" t="str">
        <f>IF(Eighteenth!C72="", "",Eighteenth!C72)</f>
        <v>PwC</v>
      </c>
      <c r="D4319" s="66" t="str">
        <f>IF(Eighteenth!D72="", "",Eighteenth!D72)</f>
        <v>Returning</v>
      </c>
      <c r="E4319" s="66" t="str">
        <f>IF(Eighteenth!E72="", "",Eighteenth!E72)</f>
        <v>Male</v>
      </c>
      <c r="F4319" s="66" t="str">
        <f>IF(Eighteenth!F72="", "",Eighteenth!F72)</f>
        <v>Urolog</v>
      </c>
      <c r="G4319" s="66" t="str">
        <f>IF(Eighteenth!G72="", "",Eighteenth!G72)</f>
        <v>Non-Curative Intent</v>
      </c>
      <c r="H4319" s="66" t="str">
        <f>IF(Eighteenth!H72="", "",Eighteenth!H72)</f>
        <v>Programme</v>
      </c>
      <c r="I4319" s="66" t="str">
        <f>IF(Eighteenth!I72="", "",Eighteenth!I72)</f>
        <v>FSG Men's</v>
      </c>
      <c r="J4319" s="66" t="str">
        <f>IF(Eighteenth!J72="", "",Eighteenth!J72)</f>
        <v>Look Good Feel Better</v>
      </c>
      <c r="K4319" s="86" t="str">
        <f>IF(Eighteenth!K72="", "",Eighteenth!K72)</f>
        <v>NG Brain</v>
      </c>
      <c r="M4319" s="67">
        <f t="shared" si="203"/>
        <v>7</v>
      </c>
      <c r="N4319" s="76" t="str">
        <f t="shared" si="204"/>
        <v/>
      </c>
      <c r="O4319" s="33">
        <f t="shared" si="202"/>
        <v>7</v>
      </c>
    </row>
    <row r="4320" spans="1:15" x14ac:dyDescent="0.25">
      <c r="A4320" s="64" t="s">
        <v>189</v>
      </c>
      <c r="B4320" s="79" t="str">
        <f>IF(Eighteenth!B73="", "",Eighteenth!B73)</f>
        <v>Psychologist</v>
      </c>
      <c r="C4320" s="66" t="str">
        <f>IF(Eighteenth!C73="", "",Eighteenth!C73)</f>
        <v>PwC</v>
      </c>
      <c r="D4320" s="66" t="str">
        <f>IF(Eighteenth!D73="", "",Eighteenth!D73)</f>
        <v>Returning</v>
      </c>
      <c r="E4320" s="66" t="str">
        <f>IF(Eighteenth!E73="", "",Eighteenth!E73)</f>
        <v>Male</v>
      </c>
      <c r="F4320" s="66" t="str">
        <f>IF(Eighteenth!F73="", "",Eighteenth!F73)</f>
        <v>Lower GI</v>
      </c>
      <c r="G4320" s="66" t="str">
        <f>IF(Eighteenth!G73="", "",Eighteenth!G73)</f>
        <v>Non-Curative Intent</v>
      </c>
      <c r="H4320" s="66" t="str">
        <f>IF(Eighteenth!H73="", "",Eighteenth!H73)</f>
        <v>Programme</v>
      </c>
      <c r="I4320" s="66" t="str">
        <f>IF(Eighteenth!I73="", "",Eighteenth!I73)</f>
        <v>FSG Men's</v>
      </c>
      <c r="J4320" s="66" t="str">
        <f>IF(Eighteenth!J73="", "",Eighteenth!J73)</f>
        <v>Look Good Feel Better</v>
      </c>
      <c r="K4320" s="86" t="str">
        <f>IF(Eighteenth!K73="", "",Eighteenth!K73)</f>
        <v>NG Brain</v>
      </c>
      <c r="M4320" s="67">
        <f t="shared" si="203"/>
        <v>7</v>
      </c>
      <c r="N4320" s="76" t="str">
        <f t="shared" si="204"/>
        <v/>
      </c>
      <c r="O4320" s="33">
        <f t="shared" si="202"/>
        <v>7</v>
      </c>
    </row>
    <row r="4321" spans="1:15" x14ac:dyDescent="0.25">
      <c r="A4321" s="64" t="s">
        <v>189</v>
      </c>
      <c r="B4321" s="79" t="str">
        <f>IF(Eighteenth!B74="", "",Eighteenth!B74)</f>
        <v>Psychologist</v>
      </c>
      <c r="C4321" s="66" t="str">
        <f>IF(Eighteenth!C74="", "",Eighteenth!C74)</f>
        <v>PwC</v>
      </c>
      <c r="D4321" s="66" t="str">
        <f>IF(Eighteenth!D74="", "",Eighteenth!D74)</f>
        <v>Returning</v>
      </c>
      <c r="E4321" s="66" t="str">
        <f>IF(Eighteenth!E74="", "",Eighteenth!E74)</f>
        <v>Male</v>
      </c>
      <c r="F4321" s="66" t="str">
        <f>IF(Eighteenth!F74="", "",Eighteenth!F74)</f>
        <v>Head/Neck</v>
      </c>
      <c r="G4321" s="66" t="str">
        <f>IF(Eighteenth!G74="", "",Eighteenth!G74)</f>
        <v>Non-Curative Intent</v>
      </c>
      <c r="H4321" s="66" t="str">
        <f>IF(Eighteenth!H74="", "",Eighteenth!H74)</f>
        <v>Programme</v>
      </c>
      <c r="I4321" s="66" t="str">
        <f>IF(Eighteenth!I74="", "",Eighteenth!I74)</f>
        <v>FSG Men's</v>
      </c>
      <c r="J4321" s="66" t="str">
        <f>IF(Eighteenth!J74="", "",Eighteenth!J74)</f>
        <v>Look Good Feel Better</v>
      </c>
      <c r="K4321" s="86" t="str">
        <f>IF(Eighteenth!K74="", "",Eighteenth!K74)</f>
        <v>NG Brain</v>
      </c>
      <c r="M4321" s="67">
        <f t="shared" si="203"/>
        <v>7</v>
      </c>
      <c r="N4321" s="76" t="str">
        <f t="shared" si="204"/>
        <v/>
      </c>
      <c r="O4321" s="33">
        <f t="shared" si="202"/>
        <v>7</v>
      </c>
    </row>
    <row r="4322" spans="1:15" x14ac:dyDescent="0.25">
      <c r="A4322" s="64" t="s">
        <v>189</v>
      </c>
      <c r="B4322" s="79" t="str">
        <f>IF(Eighteenth!B75="", "",Eighteenth!B75)</f>
        <v>Psychologist</v>
      </c>
      <c r="C4322" s="66" t="str">
        <f>IF(Eighteenth!C75="", "",Eighteenth!C75)</f>
        <v>Carer</v>
      </c>
      <c r="D4322" s="66" t="str">
        <f>IF(Eighteenth!D75="", "",Eighteenth!D75)</f>
        <v>Returning</v>
      </c>
      <c r="E4322" s="66" t="str">
        <f>IF(Eighteenth!E75="", "",Eighteenth!E75)</f>
        <v>Female</v>
      </c>
      <c r="F4322" s="66" t="str">
        <f>IF(Eighteenth!F75="", "",Eighteenth!F75)</f>
        <v>Breast</v>
      </c>
      <c r="G4322" s="66" t="str">
        <f>IF(Eighteenth!G75="", "",Eighteenth!G75)</f>
        <v>Bereaved</v>
      </c>
      <c r="H4322" s="66" t="str">
        <f>IF(Eighteenth!H75="", "",Eighteenth!H75)</f>
        <v>Booked</v>
      </c>
      <c r="I4322" s="66" t="str">
        <f>IF(Eighteenth!I75="", "",Eighteenth!I75)</f>
        <v>Psych Support - Individual</v>
      </c>
      <c r="J4322" s="66" t="str">
        <f>IF(Eighteenth!J75="", "",Eighteenth!J75)</f>
        <v>Look Good Feel Better</v>
      </c>
      <c r="K4322" s="86" t="str">
        <f>IF(Eighteenth!K75="", "",Eighteenth!K75)</f>
        <v>NG Brain</v>
      </c>
      <c r="M4322" s="67" t="str">
        <f t="shared" si="203"/>
        <v/>
      </c>
      <c r="N4322" s="76">
        <f t="shared" si="204"/>
        <v>7</v>
      </c>
      <c r="O4322" s="33">
        <f t="shared" si="202"/>
        <v>7</v>
      </c>
    </row>
    <row r="4323" spans="1:15" x14ac:dyDescent="0.25">
      <c r="A4323" s="64" t="s">
        <v>189</v>
      </c>
      <c r="B4323" s="79" t="str">
        <f>IF(Eighteenth!B76="", "",Eighteenth!B76)</f>
        <v>Psychologist</v>
      </c>
      <c r="C4323" s="66" t="str">
        <f>IF(Eighteenth!C76="", "",Eighteenth!C76)</f>
        <v>Carer</v>
      </c>
      <c r="D4323" s="66" t="str">
        <f>IF(Eighteenth!D76="", "",Eighteenth!D76)</f>
        <v>Returning</v>
      </c>
      <c r="E4323" s="66" t="str">
        <f>IF(Eighteenth!E76="", "",Eighteenth!E76)</f>
        <v>Male</v>
      </c>
      <c r="F4323" s="66" t="str">
        <f>IF(Eighteenth!F76="", "",Eighteenth!F76)</f>
        <v>Not Stated</v>
      </c>
      <c r="G4323" s="66" t="str">
        <f>IF(Eighteenth!G76="", "",Eighteenth!G76)</f>
        <v>Not Stated</v>
      </c>
      <c r="H4323" s="66" t="str">
        <f>IF(Eighteenth!H76="", "",Eighteenth!H76)</f>
        <v>Booked</v>
      </c>
      <c r="I4323" s="66" t="str">
        <f>IF(Eighteenth!I76="", "",Eighteenth!I76)</f>
        <v>Psych Support - Individual</v>
      </c>
      <c r="J4323" s="66" t="str">
        <f>IF(Eighteenth!J76="", "",Eighteenth!J76)</f>
        <v>Look Good Feel Better</v>
      </c>
      <c r="K4323" s="86" t="str">
        <f>IF(Eighteenth!K76="", "",Eighteenth!K76)</f>
        <v/>
      </c>
      <c r="M4323" s="67" t="str">
        <f t="shared" si="203"/>
        <v/>
      </c>
      <c r="N4323" s="76">
        <f t="shared" si="204"/>
        <v>7</v>
      </c>
      <c r="O4323" s="33">
        <f t="shared" si="202"/>
        <v>7</v>
      </c>
    </row>
    <row r="4324" spans="1:15" x14ac:dyDescent="0.25">
      <c r="A4324" s="64" t="s">
        <v>189</v>
      </c>
      <c r="B4324" s="79" t="str">
        <f>IF(Eighteenth!B77="", "",Eighteenth!B77)</f>
        <v>Psychologist</v>
      </c>
      <c r="C4324" s="66" t="str">
        <f>IF(Eighteenth!C77="", "",Eighteenth!C77)</f>
        <v>Carer</v>
      </c>
      <c r="D4324" s="66" t="str">
        <f>IF(Eighteenth!D77="", "",Eighteenth!D77)</f>
        <v>Returning</v>
      </c>
      <c r="E4324" s="66" t="str">
        <f>IF(Eighteenth!E77="", "",Eighteenth!E77)</f>
        <v>Female</v>
      </c>
      <c r="F4324" s="66" t="str">
        <f>IF(Eighteenth!F77="", "",Eighteenth!F77)</f>
        <v>Lower GI</v>
      </c>
      <c r="G4324" s="66" t="str">
        <f>IF(Eighteenth!G77="", "",Eighteenth!G77)</f>
        <v>Bereaved</v>
      </c>
      <c r="H4324" s="66" t="str">
        <f>IF(Eighteenth!H77="", "",Eighteenth!H77)</f>
        <v>Booked</v>
      </c>
      <c r="I4324" s="66" t="str">
        <f>IF(Eighteenth!I77="", "",Eighteenth!I77)</f>
        <v>Psych Support - Individual</v>
      </c>
      <c r="J4324" s="66" t="str">
        <f>IF(Eighteenth!J77="", "",Eighteenth!J77)</f>
        <v>Look Good Feel Better</v>
      </c>
      <c r="K4324" s="86" t="str">
        <f>IF(Eighteenth!K77="", "",Eighteenth!K77)</f>
        <v/>
      </c>
      <c r="M4324" s="67" t="str">
        <f t="shared" si="203"/>
        <v/>
      </c>
      <c r="N4324" s="76">
        <f t="shared" si="204"/>
        <v>7</v>
      </c>
      <c r="O4324" s="33">
        <f t="shared" si="202"/>
        <v>7</v>
      </c>
    </row>
    <row r="4325" spans="1:15" x14ac:dyDescent="0.25">
      <c r="A4325" s="64" t="s">
        <v>189</v>
      </c>
      <c r="B4325" s="79" t="str">
        <f>IF(Eighteenth!B78="", "",Eighteenth!B78)</f>
        <v>Psychologist</v>
      </c>
      <c r="C4325" s="66" t="str">
        <f>IF(Eighteenth!C78="", "",Eighteenth!C78)</f>
        <v>Carer</v>
      </c>
      <c r="D4325" s="66" t="str">
        <f>IF(Eighteenth!D78="", "",Eighteenth!D78)</f>
        <v>Returning</v>
      </c>
      <c r="E4325" s="66" t="str">
        <f>IF(Eighteenth!E78="", "",Eighteenth!E78)</f>
        <v>Female</v>
      </c>
      <c r="F4325" s="66" t="str">
        <f>IF(Eighteenth!F78="", "",Eighteenth!F78)</f>
        <v>Upper GI</v>
      </c>
      <c r="G4325" s="66" t="str">
        <f>IF(Eighteenth!G78="", "",Eighteenth!G78)</f>
        <v>Non-Curative Intent</v>
      </c>
      <c r="H4325" s="66" t="str">
        <f>IF(Eighteenth!H78="", "",Eighteenth!H78)</f>
        <v>Drop-In</v>
      </c>
      <c r="I4325" s="66" t="str">
        <f>IF(Eighteenth!I78="", "",Eighteenth!I78)</f>
        <v/>
      </c>
      <c r="J4325" s="66" t="str">
        <f>IF(Eighteenth!J78="", "",Eighteenth!J78)</f>
        <v>Look Good Feel Better</v>
      </c>
      <c r="K4325" s="86" t="str">
        <f>IF(Eighteenth!K78="", "",Eighteenth!K78)</f>
        <v/>
      </c>
      <c r="M4325" s="67" t="str">
        <f t="shared" si="203"/>
        <v/>
      </c>
      <c r="N4325" s="76">
        <f t="shared" si="204"/>
        <v>7</v>
      </c>
      <c r="O4325" s="33">
        <f t="shared" si="202"/>
        <v>7</v>
      </c>
    </row>
    <row r="4326" spans="1:15" x14ac:dyDescent="0.25">
      <c r="A4326" s="64" t="s">
        <v>189</v>
      </c>
      <c r="B4326" s="79" t="str">
        <f>IF(Eighteenth!B79="", "",Eighteenth!B79)</f>
        <v>Benefits Advisor</v>
      </c>
      <c r="C4326" s="66" t="str">
        <f>IF(Eighteenth!C79="", "",Eighteenth!C79)</f>
        <v>Carer</v>
      </c>
      <c r="D4326" s="66" t="str">
        <f>IF(Eighteenth!D79="", "",Eighteenth!D79)</f>
        <v>New</v>
      </c>
      <c r="E4326" s="66" t="str">
        <f>IF(Eighteenth!E79="", "",Eighteenth!E79)</f>
        <v>Male</v>
      </c>
      <c r="F4326" s="66" t="str">
        <f>IF(Eighteenth!F79="", "",Eighteenth!F79)</f>
        <v>Not Stated</v>
      </c>
      <c r="G4326" s="66" t="str">
        <f>IF(Eighteenth!G79="", "",Eighteenth!G79)</f>
        <v>Not Stated</v>
      </c>
      <c r="H4326" s="66" t="str">
        <f>IF(Eighteenth!H79="", "",Eighteenth!H79)</f>
        <v>Telephone Support</v>
      </c>
      <c r="I4326" s="66" t="str">
        <f>IF(Eighteenth!I79="", "",Eighteenth!I79)</f>
        <v>Benefits - Individual</v>
      </c>
      <c r="J4326" s="66" t="str">
        <f>IF(Eighteenth!J79="", "",Eighteenth!J79)</f>
        <v>Look Good Feel Better</v>
      </c>
      <c r="K4326" s="86" t="str">
        <f>IF(Eighteenth!K79="", "",Eighteenth!K79)</f>
        <v/>
      </c>
      <c r="M4326" s="67" t="str">
        <f t="shared" si="203"/>
        <v/>
      </c>
      <c r="N4326" s="76">
        <f t="shared" si="204"/>
        <v>7</v>
      </c>
      <c r="O4326" s="33">
        <f t="shared" si="202"/>
        <v>7</v>
      </c>
    </row>
    <row r="4327" spans="1:15" x14ac:dyDescent="0.25">
      <c r="A4327" s="64" t="s">
        <v>189</v>
      </c>
      <c r="B4327" s="79" t="str">
        <f>IF(Eighteenth!B80="", "",Eighteenth!B80)</f>
        <v>Benefits Advisor</v>
      </c>
      <c r="C4327" s="66" t="str">
        <f>IF(Eighteenth!C80="", "",Eighteenth!C80)</f>
        <v>PwC</v>
      </c>
      <c r="D4327" s="66" t="str">
        <f>IF(Eighteenth!D80="", "",Eighteenth!D80)</f>
        <v>New</v>
      </c>
      <c r="E4327" s="66" t="str">
        <f>IF(Eighteenth!E80="", "",Eighteenth!E80)</f>
        <v>Male</v>
      </c>
      <c r="F4327" s="66" t="str">
        <f>IF(Eighteenth!F80="", "",Eighteenth!F80)</f>
        <v>Prostate</v>
      </c>
      <c r="G4327" s="66" t="str">
        <f>IF(Eighteenth!G80="", "",Eighteenth!G80)</f>
        <v>Non-Curative Intent</v>
      </c>
      <c r="H4327" s="66" t="str">
        <f>IF(Eighteenth!H80="", "",Eighteenth!H80)</f>
        <v>Drop-In</v>
      </c>
      <c r="I4327" s="66" t="str">
        <f>IF(Eighteenth!I80="", "",Eighteenth!I80)</f>
        <v>Benefits - Couple</v>
      </c>
      <c r="J4327" s="66" t="str">
        <f>IF(Eighteenth!J80="", "",Eighteenth!J80)</f>
        <v>Look Good Feel Better</v>
      </c>
      <c r="K4327" s="86" t="str">
        <f>IF(Eighteenth!K80="", "",Eighteenth!K80)</f>
        <v/>
      </c>
      <c r="M4327" s="67">
        <f t="shared" si="203"/>
        <v>7</v>
      </c>
      <c r="N4327" s="76" t="str">
        <f t="shared" si="204"/>
        <v/>
      </c>
      <c r="O4327" s="33">
        <f t="shared" si="202"/>
        <v>7</v>
      </c>
    </row>
    <row r="4328" spans="1:15" x14ac:dyDescent="0.25">
      <c r="A4328" s="64" t="s">
        <v>189</v>
      </c>
      <c r="B4328" s="79" t="str">
        <f>IF(Eighteenth!B81="", "",Eighteenth!B81)</f>
        <v>Benefits Advisor</v>
      </c>
      <c r="C4328" s="66" t="str">
        <f>IF(Eighteenth!C81="", "",Eighteenth!C81)</f>
        <v>Carer</v>
      </c>
      <c r="D4328" s="66" t="str">
        <f>IF(Eighteenth!D81="", "",Eighteenth!D81)</f>
        <v>New</v>
      </c>
      <c r="E4328" s="66" t="str">
        <f>IF(Eighteenth!E81="", "",Eighteenth!E81)</f>
        <v>Female</v>
      </c>
      <c r="F4328" s="66" t="str">
        <f>IF(Eighteenth!F81="", "",Eighteenth!F81)</f>
        <v>Prostate</v>
      </c>
      <c r="G4328" s="66" t="str">
        <f>IF(Eighteenth!G81="", "",Eighteenth!G81)</f>
        <v>Non-Curative Intent</v>
      </c>
      <c r="H4328" s="66" t="str">
        <f>IF(Eighteenth!H81="", "",Eighteenth!H81)</f>
        <v>Drop-In</v>
      </c>
      <c r="I4328" s="66" t="str">
        <f>IF(Eighteenth!I81="", "",Eighteenth!I81)</f>
        <v>Benefits - Couple</v>
      </c>
      <c r="J4328" s="66" t="str">
        <f>IF(Eighteenth!J81="", "",Eighteenth!J81)</f>
        <v>Look Good Feel Better</v>
      </c>
      <c r="K4328" s="86" t="str">
        <f>IF(Eighteenth!K81="", "",Eighteenth!K81)</f>
        <v/>
      </c>
      <c r="M4328" s="67" t="str">
        <f t="shared" si="203"/>
        <v/>
      </c>
      <c r="N4328" s="76">
        <f t="shared" si="204"/>
        <v>7</v>
      </c>
      <c r="O4328" s="33">
        <f t="shared" si="202"/>
        <v>7</v>
      </c>
    </row>
    <row r="4329" spans="1:15" x14ac:dyDescent="0.25">
      <c r="A4329" s="64" t="s">
        <v>189</v>
      </c>
      <c r="B4329" s="79" t="str">
        <f>IF(Eighteenth!B82="", "",Eighteenth!B82)</f>
        <v>Benefits Advisor</v>
      </c>
      <c r="C4329" s="66" t="str">
        <f>IF(Eighteenth!C82="", "",Eighteenth!C82)</f>
        <v>PwC</v>
      </c>
      <c r="D4329" s="66" t="str">
        <f>IF(Eighteenth!D82="", "",Eighteenth!D82)</f>
        <v>New</v>
      </c>
      <c r="E4329" s="66" t="str">
        <f>IF(Eighteenth!E82="", "",Eighteenth!E82)</f>
        <v>Female</v>
      </c>
      <c r="F4329" s="66" t="str">
        <f>IF(Eighteenth!F82="", "",Eighteenth!F82)</f>
        <v>Haemat</v>
      </c>
      <c r="G4329" s="66" t="str">
        <f>IF(Eighteenth!G82="", "",Eighteenth!G82)</f>
        <v>Curative Intent</v>
      </c>
      <c r="H4329" s="66" t="str">
        <f>IF(Eighteenth!H82="", "",Eighteenth!H82)</f>
        <v>Telephone Support</v>
      </c>
      <c r="I4329" s="66" t="str">
        <f>IF(Eighteenth!I82="", "",Eighteenth!I82)</f>
        <v>Benefits - Individual</v>
      </c>
      <c r="J4329" s="66" t="str">
        <f>IF(Eighteenth!J82="", "",Eighteenth!J82)</f>
        <v/>
      </c>
      <c r="K4329" s="86" t="str">
        <f>IF(Eighteenth!K82="", "",Eighteenth!K82)</f>
        <v/>
      </c>
      <c r="M4329" s="67">
        <f t="shared" si="203"/>
        <v>7</v>
      </c>
      <c r="N4329" s="76" t="str">
        <f t="shared" si="204"/>
        <v/>
      </c>
      <c r="O4329" s="33">
        <f t="shared" si="202"/>
        <v>7</v>
      </c>
    </row>
    <row r="4330" spans="1:15" x14ac:dyDescent="0.25">
      <c r="A4330" s="64" t="s">
        <v>189</v>
      </c>
      <c r="B4330" s="79" t="str">
        <f>IF(Eighteenth!B83="", "",Eighteenth!B83)</f>
        <v>Benefits Advisor</v>
      </c>
      <c r="C4330" s="66" t="str">
        <f>IF(Eighteenth!C83="", "",Eighteenth!C83)</f>
        <v>Carer</v>
      </c>
      <c r="D4330" s="66" t="str">
        <f>IF(Eighteenth!D83="", "",Eighteenth!D83)</f>
        <v>Returning</v>
      </c>
      <c r="E4330" s="66" t="str">
        <f>IF(Eighteenth!E83="", "",Eighteenth!E83)</f>
        <v>Female</v>
      </c>
      <c r="F4330" s="66" t="str">
        <f>IF(Eighteenth!F83="", "",Eighteenth!F83)</f>
        <v>Prostate</v>
      </c>
      <c r="G4330" s="66" t="str">
        <f>IF(Eighteenth!G83="", "",Eighteenth!G83)</f>
        <v>Curative Intent</v>
      </c>
      <c r="H4330" s="66" t="str">
        <f>IF(Eighteenth!H83="", "",Eighteenth!H83)</f>
        <v>Telephone Support</v>
      </c>
      <c r="I4330" s="66" t="str">
        <f>IF(Eighteenth!I83="", "",Eighteenth!I83)</f>
        <v>Benefits - Individual</v>
      </c>
      <c r="J4330" s="66" t="str">
        <f>IF(Eighteenth!J83="", "",Eighteenth!J83)</f>
        <v/>
      </c>
      <c r="K4330" s="86" t="str">
        <f>IF(Eighteenth!K83="", "",Eighteenth!K83)</f>
        <v/>
      </c>
      <c r="M4330" s="67" t="str">
        <f t="shared" si="203"/>
        <v/>
      </c>
      <c r="N4330" s="76">
        <f t="shared" si="204"/>
        <v>7</v>
      </c>
      <c r="O4330" s="33">
        <f t="shared" ref="O4330:O4393" si="205">SUM(M4330:N4330)</f>
        <v>7</v>
      </c>
    </row>
    <row r="4331" spans="1:15" x14ac:dyDescent="0.25">
      <c r="A4331" s="64" t="s">
        <v>189</v>
      </c>
      <c r="B4331" s="79" t="str">
        <f>IF(Eighteenth!B84="", "",Eighteenth!B84)</f>
        <v>Benefits Advisor</v>
      </c>
      <c r="C4331" s="66" t="str">
        <f>IF(Eighteenth!C84="", "",Eighteenth!C84)</f>
        <v>PwC</v>
      </c>
      <c r="D4331" s="66" t="str">
        <f>IF(Eighteenth!D84="", "",Eighteenth!D84)</f>
        <v>New</v>
      </c>
      <c r="E4331" s="66" t="str">
        <f>IF(Eighteenth!E84="", "",Eighteenth!E84)</f>
        <v>Male</v>
      </c>
      <c r="F4331" s="66" t="str">
        <f>IF(Eighteenth!F84="", "",Eighteenth!F84)</f>
        <v>Prostate</v>
      </c>
      <c r="G4331" s="66" t="str">
        <f>IF(Eighteenth!G84="", "",Eighteenth!G84)</f>
        <v>Curative Intent</v>
      </c>
      <c r="H4331" s="66" t="str">
        <f>IF(Eighteenth!H84="", "",Eighteenth!H84)</f>
        <v>Drop-In</v>
      </c>
      <c r="I4331" s="66" t="str">
        <f>IF(Eighteenth!I84="", "",Eighteenth!I84)</f>
        <v>Benefits - Individual</v>
      </c>
      <c r="J4331" s="66" t="str">
        <f>IF(Eighteenth!J84="", "",Eighteenth!J84)</f>
        <v/>
      </c>
      <c r="K4331" s="86" t="str">
        <f>IF(Eighteenth!K84="", "",Eighteenth!K84)</f>
        <v/>
      </c>
      <c r="M4331" s="67">
        <f t="shared" si="203"/>
        <v>7</v>
      </c>
      <c r="N4331" s="76" t="str">
        <f t="shared" si="204"/>
        <v/>
      </c>
      <c r="O4331" s="33">
        <f t="shared" si="205"/>
        <v>7</v>
      </c>
    </row>
    <row r="4332" spans="1:15" x14ac:dyDescent="0.25">
      <c r="A4332" s="64" t="s">
        <v>189</v>
      </c>
      <c r="B4332" s="79" t="str">
        <f>IF(Eighteenth!B85="", "",Eighteenth!B85)</f>
        <v>Benefits Advisor</v>
      </c>
      <c r="C4332" s="66" t="str">
        <f>IF(Eighteenth!C85="", "",Eighteenth!C85)</f>
        <v>PwC</v>
      </c>
      <c r="D4332" s="66" t="str">
        <f>IF(Eighteenth!D85="", "",Eighteenth!D85)</f>
        <v>Returning</v>
      </c>
      <c r="E4332" s="66" t="str">
        <f>IF(Eighteenth!E85="", "",Eighteenth!E85)</f>
        <v>Male</v>
      </c>
      <c r="F4332" s="66" t="str">
        <f>IF(Eighteenth!F85="", "",Eighteenth!F85)</f>
        <v>Prostate</v>
      </c>
      <c r="G4332" s="66" t="str">
        <f>IF(Eighteenth!G85="", "",Eighteenth!G85)</f>
        <v>Curative Intent</v>
      </c>
      <c r="H4332" s="66" t="str">
        <f>IF(Eighteenth!H85="", "",Eighteenth!H85)</f>
        <v>Telephone Support</v>
      </c>
      <c r="I4332" s="66" t="str">
        <f>IF(Eighteenth!I85="", "",Eighteenth!I85)</f>
        <v>Benefits - Individual</v>
      </c>
      <c r="J4332" s="66" t="str">
        <f>IF(Eighteenth!J85="", "",Eighteenth!J85)</f>
        <v/>
      </c>
      <c r="K4332" s="86" t="str">
        <f>IF(Eighteenth!K85="", "",Eighteenth!K85)</f>
        <v/>
      </c>
      <c r="M4332" s="67">
        <f t="shared" si="203"/>
        <v>7</v>
      </c>
      <c r="N4332" s="76" t="str">
        <f t="shared" si="204"/>
        <v/>
      </c>
      <c r="O4332" s="33">
        <f t="shared" si="205"/>
        <v>7</v>
      </c>
    </row>
    <row r="4333" spans="1:15" x14ac:dyDescent="0.25">
      <c r="A4333" s="64" t="s">
        <v>189</v>
      </c>
      <c r="B4333" s="79" t="str">
        <f>IF(Eighteenth!B86="", "",Eighteenth!B86)</f>
        <v>Benefits Advisor</v>
      </c>
      <c r="C4333" s="66" t="str">
        <f>IF(Eighteenth!C86="", "",Eighteenth!C86)</f>
        <v>PwC</v>
      </c>
      <c r="D4333" s="66" t="str">
        <f>IF(Eighteenth!D86="", "",Eighteenth!D86)</f>
        <v>Returning</v>
      </c>
      <c r="E4333" s="66" t="str">
        <f>IF(Eighteenth!E86="", "",Eighteenth!E86)</f>
        <v>Male</v>
      </c>
      <c r="F4333" s="66" t="str">
        <f>IF(Eighteenth!F86="", "",Eighteenth!F86)</f>
        <v>Prostate</v>
      </c>
      <c r="G4333" s="66" t="str">
        <f>IF(Eighteenth!G86="", "",Eighteenth!G86)</f>
        <v>Non-Curative Intent</v>
      </c>
      <c r="H4333" s="66" t="str">
        <f>IF(Eighteenth!H86="", "",Eighteenth!H86)</f>
        <v>Drop-In</v>
      </c>
      <c r="I4333" s="66" t="str">
        <f>IF(Eighteenth!I86="", "",Eighteenth!I86)</f>
        <v>Benefits - Couple</v>
      </c>
      <c r="J4333" s="66" t="str">
        <f>IF(Eighteenth!J86="", "",Eighteenth!J86)</f>
        <v/>
      </c>
      <c r="K4333" s="86" t="str">
        <f>IF(Eighteenth!K86="", "",Eighteenth!K86)</f>
        <v/>
      </c>
      <c r="M4333" s="67">
        <f t="shared" si="203"/>
        <v>7</v>
      </c>
      <c r="N4333" s="76" t="str">
        <f t="shared" si="204"/>
        <v/>
      </c>
      <c r="O4333" s="33">
        <f t="shared" si="205"/>
        <v>7</v>
      </c>
    </row>
    <row r="4334" spans="1:15" x14ac:dyDescent="0.25">
      <c r="A4334" s="64" t="s">
        <v>189</v>
      </c>
      <c r="B4334" s="79" t="str">
        <f>IF(Eighteenth!B87="", "",Eighteenth!B87)</f>
        <v>Benefits Advisor</v>
      </c>
      <c r="C4334" s="66" t="str">
        <f>IF(Eighteenth!C87="", "",Eighteenth!C87)</f>
        <v>Carer</v>
      </c>
      <c r="D4334" s="66" t="str">
        <f>IF(Eighteenth!D87="", "",Eighteenth!D87)</f>
        <v>Returning</v>
      </c>
      <c r="E4334" s="66" t="str">
        <f>IF(Eighteenth!E87="", "",Eighteenth!E87)</f>
        <v>Female</v>
      </c>
      <c r="F4334" s="66" t="str">
        <f>IF(Eighteenth!F87="", "",Eighteenth!F87)</f>
        <v>Prostate</v>
      </c>
      <c r="G4334" s="66" t="str">
        <f>IF(Eighteenth!G87="", "",Eighteenth!G87)</f>
        <v>Non-Curative Intent</v>
      </c>
      <c r="H4334" s="66" t="str">
        <f>IF(Eighteenth!H87="", "",Eighteenth!H87)</f>
        <v>Drop-In</v>
      </c>
      <c r="I4334" s="66" t="str">
        <f>IF(Eighteenth!I87="", "",Eighteenth!I87)</f>
        <v>Benefits - Couple</v>
      </c>
      <c r="J4334" s="66" t="str">
        <f>IF(Eighteenth!J87="", "",Eighteenth!J87)</f>
        <v/>
      </c>
      <c r="K4334" s="86" t="str">
        <f>IF(Eighteenth!K87="", "",Eighteenth!K87)</f>
        <v/>
      </c>
      <c r="M4334" s="67" t="str">
        <f t="shared" si="203"/>
        <v/>
      </c>
      <c r="N4334" s="76">
        <f t="shared" si="204"/>
        <v>7</v>
      </c>
      <c r="O4334" s="33">
        <f t="shared" si="205"/>
        <v>7</v>
      </c>
    </row>
    <row r="4335" spans="1:15" x14ac:dyDescent="0.25">
      <c r="A4335" s="64" t="s">
        <v>189</v>
      </c>
      <c r="B4335" s="79" t="str">
        <f>IF(Eighteenth!B88="", "",Eighteenth!B88)</f>
        <v>Centre Head</v>
      </c>
      <c r="C4335" s="66" t="str">
        <f>IF(Eighteenth!C88="", "",Eighteenth!C88)</f>
        <v>PwC</v>
      </c>
      <c r="D4335" s="66" t="str">
        <f>IF(Eighteenth!D88="", "",Eighteenth!D88)</f>
        <v>Returning</v>
      </c>
      <c r="E4335" s="66" t="str">
        <f>IF(Eighteenth!E88="", "",Eighteenth!E88)</f>
        <v>Female</v>
      </c>
      <c r="F4335" s="66" t="str">
        <f>IF(Eighteenth!F88="", "",Eighteenth!F88)</f>
        <v>Lower GI</v>
      </c>
      <c r="G4335" s="66" t="str">
        <f>IF(Eighteenth!G88="", "",Eighteenth!G88)</f>
        <v>Non-Curative Intent</v>
      </c>
      <c r="H4335" s="66" t="str">
        <f>IF(Eighteenth!H88="", "",Eighteenth!H88)</f>
        <v>Drop-In</v>
      </c>
      <c r="I4335" s="66" t="str">
        <f>IF(Eighteenth!I88="", "",Eighteenth!I88)</f>
        <v/>
      </c>
      <c r="J4335" s="66" t="str">
        <f>IF(Eighteenth!J88="", "",Eighteenth!J88)</f>
        <v/>
      </c>
      <c r="K4335" s="86" t="str">
        <f>IF(Eighteenth!K88="", "",Eighteenth!K88)</f>
        <v/>
      </c>
      <c r="M4335" s="67">
        <f t="shared" si="203"/>
        <v>7</v>
      </c>
      <c r="N4335" s="76" t="str">
        <f t="shared" si="204"/>
        <v/>
      </c>
      <c r="O4335" s="33">
        <f t="shared" si="205"/>
        <v>7</v>
      </c>
    </row>
    <row r="4336" spans="1:15" x14ac:dyDescent="0.25">
      <c r="A4336" s="64" t="s">
        <v>189</v>
      </c>
      <c r="B4336" s="79" t="str">
        <f>IF(Eighteenth!B89="", "",Eighteenth!B89)</f>
        <v>Centre Head</v>
      </c>
      <c r="C4336" s="66" t="str">
        <f>IF(Eighteenth!C89="", "",Eighteenth!C89)</f>
        <v>Carer</v>
      </c>
      <c r="D4336" s="66" t="str">
        <f>IF(Eighteenth!D89="", "",Eighteenth!D89)</f>
        <v>Returning</v>
      </c>
      <c r="E4336" s="66" t="str">
        <f>IF(Eighteenth!E89="", "",Eighteenth!E89)</f>
        <v>Female</v>
      </c>
      <c r="F4336" s="66" t="str">
        <f>IF(Eighteenth!F89="", "",Eighteenth!F89)</f>
        <v>Lower GI</v>
      </c>
      <c r="G4336" s="66" t="str">
        <f>IF(Eighteenth!G89="", "",Eighteenth!G89)</f>
        <v>Non-Curative Intent</v>
      </c>
      <c r="H4336" s="66" t="str">
        <f>IF(Eighteenth!H89="", "",Eighteenth!H89)</f>
        <v>Drop-In</v>
      </c>
      <c r="I4336" s="66" t="str">
        <f>IF(Eighteenth!I89="", "",Eighteenth!I89)</f>
        <v/>
      </c>
      <c r="J4336" s="66" t="str">
        <f>IF(Eighteenth!J89="", "",Eighteenth!J89)</f>
        <v/>
      </c>
      <c r="K4336" s="86" t="str">
        <f>IF(Eighteenth!K89="", "",Eighteenth!K89)</f>
        <v/>
      </c>
      <c r="M4336" s="67" t="str">
        <f t="shared" si="203"/>
        <v/>
      </c>
      <c r="N4336" s="76">
        <f t="shared" si="204"/>
        <v>7</v>
      </c>
      <c r="O4336" s="33">
        <f t="shared" si="205"/>
        <v>7</v>
      </c>
    </row>
    <row r="4337" spans="1:15" x14ac:dyDescent="0.25">
      <c r="A4337" s="64" t="s">
        <v>189</v>
      </c>
      <c r="B4337" s="79" t="str">
        <f>IF(Eighteenth!B90="", "",Eighteenth!B90)</f>
        <v>Centre Head</v>
      </c>
      <c r="C4337" s="66" t="str">
        <f>IF(Eighteenth!C90="", "",Eighteenth!C90)</f>
        <v>PwC</v>
      </c>
      <c r="D4337" s="66" t="str">
        <f>IF(Eighteenth!D90="", "",Eighteenth!D90)</f>
        <v>Returning</v>
      </c>
      <c r="E4337" s="66" t="str">
        <f>IF(Eighteenth!E90="", "",Eighteenth!E90)</f>
        <v>Male</v>
      </c>
      <c r="F4337" s="66" t="str">
        <f>IF(Eighteenth!F90="", "",Eighteenth!F90)</f>
        <v>Haemat</v>
      </c>
      <c r="G4337" s="66" t="str">
        <f>IF(Eighteenth!G90="", "",Eighteenth!G90)</f>
        <v>Curative Intent</v>
      </c>
      <c r="H4337" s="66" t="str">
        <f>IF(Eighteenth!H90="", "",Eighteenth!H90)</f>
        <v>Drop-In</v>
      </c>
      <c r="I4337" s="66" t="str">
        <f>IF(Eighteenth!I90="", "",Eighteenth!I90)</f>
        <v/>
      </c>
      <c r="J4337" s="66" t="str">
        <f>IF(Eighteenth!J90="", "",Eighteenth!J90)</f>
        <v/>
      </c>
      <c r="K4337" s="86" t="str">
        <f>IF(Eighteenth!K90="", "",Eighteenth!K90)</f>
        <v/>
      </c>
      <c r="M4337" s="67">
        <f t="shared" si="203"/>
        <v>7</v>
      </c>
      <c r="N4337" s="76" t="str">
        <f t="shared" si="204"/>
        <v/>
      </c>
      <c r="O4337" s="33">
        <f t="shared" si="205"/>
        <v>7</v>
      </c>
    </row>
    <row r="4338" spans="1:15" x14ac:dyDescent="0.25">
      <c r="A4338" s="64" t="s">
        <v>189</v>
      </c>
      <c r="B4338" s="79" t="str">
        <f>IF(Eighteenth!B91="", "",Eighteenth!B91)</f>
        <v>Centre Head</v>
      </c>
      <c r="C4338" s="66" t="str">
        <f>IF(Eighteenth!C91="", "",Eighteenth!C91)</f>
        <v>Carer</v>
      </c>
      <c r="D4338" s="66" t="str">
        <f>IF(Eighteenth!D91="", "",Eighteenth!D91)</f>
        <v>Returning</v>
      </c>
      <c r="E4338" s="66" t="str">
        <f>IF(Eighteenth!E91="", "",Eighteenth!E91)</f>
        <v>Female</v>
      </c>
      <c r="F4338" s="66" t="str">
        <f>IF(Eighteenth!F91="", "",Eighteenth!F91)</f>
        <v>Haemat</v>
      </c>
      <c r="G4338" s="66" t="str">
        <f>IF(Eighteenth!G91="", "",Eighteenth!G91)</f>
        <v>Curative Intent</v>
      </c>
      <c r="H4338" s="66" t="str">
        <f>IF(Eighteenth!H91="", "",Eighteenth!H91)</f>
        <v>Drop-In</v>
      </c>
      <c r="I4338" s="66" t="str">
        <f>IF(Eighteenth!I91="", "",Eighteenth!I91)</f>
        <v/>
      </c>
      <c r="J4338" s="66" t="str">
        <f>IF(Eighteenth!J91="", "",Eighteenth!J91)</f>
        <v/>
      </c>
      <c r="K4338" s="86" t="str">
        <f>IF(Eighteenth!K91="", "",Eighteenth!K91)</f>
        <v/>
      </c>
      <c r="M4338" s="67" t="str">
        <f t="shared" si="203"/>
        <v/>
      </c>
      <c r="N4338" s="76">
        <f t="shared" si="204"/>
        <v>7</v>
      </c>
      <c r="O4338" s="33">
        <f t="shared" si="205"/>
        <v>7</v>
      </c>
    </row>
    <row r="4339" spans="1:15" x14ac:dyDescent="0.25">
      <c r="A4339" s="64" t="s">
        <v>189</v>
      </c>
      <c r="B4339" s="79" t="str">
        <f>IF(Eighteenth!B92="", "",Eighteenth!B92)</f>
        <v>Centre Head</v>
      </c>
      <c r="C4339" s="66" t="str">
        <f>IF(Eighteenth!C92="", "",Eighteenth!C92)</f>
        <v>Carer</v>
      </c>
      <c r="D4339" s="66" t="str">
        <f>IF(Eighteenth!D92="", "",Eighteenth!D92)</f>
        <v>Returning</v>
      </c>
      <c r="E4339" s="66" t="str">
        <f>IF(Eighteenth!E92="", "",Eighteenth!E92)</f>
        <v>Female</v>
      </c>
      <c r="F4339" s="66" t="str">
        <f>IF(Eighteenth!F92="", "",Eighteenth!F92)</f>
        <v>Lung</v>
      </c>
      <c r="G4339" s="66" t="str">
        <f>IF(Eighteenth!G92="", "",Eighteenth!G92)</f>
        <v>Bereaved</v>
      </c>
      <c r="H4339" s="66" t="str">
        <f>IF(Eighteenth!H92="", "",Eighteenth!H92)</f>
        <v>Booked</v>
      </c>
      <c r="I4339" s="66" t="str">
        <f>IF(Eighteenth!I92="", "",Eighteenth!I92)</f>
        <v>Psych Support - Individual</v>
      </c>
      <c r="J4339" s="66" t="str">
        <f>IF(Eighteenth!J92="", "",Eighteenth!J92)</f>
        <v/>
      </c>
      <c r="K4339" s="86" t="str">
        <f>IF(Eighteenth!K92="", "",Eighteenth!K92)</f>
        <v/>
      </c>
      <c r="M4339" s="67" t="str">
        <f t="shared" si="203"/>
        <v/>
      </c>
      <c r="N4339" s="76">
        <f t="shared" si="204"/>
        <v>7</v>
      </c>
      <c r="O4339" s="33">
        <f t="shared" si="205"/>
        <v>7</v>
      </c>
    </row>
    <row r="4340" spans="1:15" x14ac:dyDescent="0.25">
      <c r="A4340" s="64" t="s">
        <v>189</v>
      </c>
      <c r="B4340" s="79" t="str">
        <f>IF(Eighteenth!B93="", "",Eighteenth!B93)</f>
        <v>Centre Head</v>
      </c>
      <c r="C4340" s="66" t="str">
        <f>IF(Eighteenth!C93="", "",Eighteenth!C93)</f>
        <v>PwC</v>
      </c>
      <c r="D4340" s="66" t="str">
        <f>IF(Eighteenth!D93="", "",Eighteenth!D93)</f>
        <v>Returning</v>
      </c>
      <c r="E4340" s="66" t="str">
        <f>IF(Eighteenth!E93="", "",Eighteenth!E93)</f>
        <v>Female</v>
      </c>
      <c r="F4340" s="66" t="str">
        <f>IF(Eighteenth!F93="", "",Eighteenth!F93)</f>
        <v>Breast</v>
      </c>
      <c r="G4340" s="66" t="str">
        <f>IF(Eighteenth!G93="", "",Eighteenth!G93)</f>
        <v>Post Treatment - Curative Intent</v>
      </c>
      <c r="H4340" s="66" t="str">
        <f>IF(Eighteenth!H93="", "",Eighteenth!H93)</f>
        <v>Booked</v>
      </c>
      <c r="I4340" s="66" t="str">
        <f>IF(Eighteenth!I93="", "",Eighteenth!I93)</f>
        <v>Psych Support - Individual</v>
      </c>
      <c r="J4340" s="66" t="str">
        <f>IF(Eighteenth!J93="", "",Eighteenth!J93)</f>
        <v/>
      </c>
      <c r="K4340" s="86" t="str">
        <f>IF(Eighteenth!K93="", "",Eighteenth!K93)</f>
        <v/>
      </c>
      <c r="M4340" s="67">
        <f t="shared" si="203"/>
        <v>7</v>
      </c>
      <c r="N4340" s="76" t="str">
        <f t="shared" si="204"/>
        <v/>
      </c>
      <c r="O4340" s="33">
        <f t="shared" si="205"/>
        <v>7</v>
      </c>
    </row>
    <row r="4341" spans="1:15" x14ac:dyDescent="0.25">
      <c r="A4341" s="64" t="s">
        <v>189</v>
      </c>
      <c r="B4341" s="79" t="str">
        <f>IF(Eighteenth!B94="", "",Eighteenth!B94)</f>
        <v>Sessional Staff</v>
      </c>
      <c r="C4341" s="66" t="str">
        <f>IF(Eighteenth!C94="", "",Eighteenth!C94)</f>
        <v>PwC</v>
      </c>
      <c r="D4341" s="66" t="str">
        <f>IF(Eighteenth!D94="", "",Eighteenth!D94)</f>
        <v>Returning</v>
      </c>
      <c r="E4341" s="66" t="str">
        <f>IF(Eighteenth!E94="", "",Eighteenth!E94)</f>
        <v>Male</v>
      </c>
      <c r="F4341" s="66" t="str">
        <f>IF(Eighteenth!F94="", "",Eighteenth!F94)</f>
        <v>Not Stated</v>
      </c>
      <c r="G4341" s="66" t="str">
        <f>IF(Eighteenth!G94="", "",Eighteenth!G94)</f>
        <v>Not Stated</v>
      </c>
      <c r="H4341" s="66" t="str">
        <f>IF(Eighteenth!H94="", "",Eighteenth!H94)</f>
        <v>Programme</v>
      </c>
      <c r="I4341" s="66" t="str">
        <f>IF(Eighteenth!I94="", "",Eighteenth!I94)</f>
        <v>Tai Chi/Qi Gong</v>
      </c>
      <c r="J4341" s="66" t="str">
        <f>IF(Eighteenth!J94="", "",Eighteenth!J94)</f>
        <v/>
      </c>
      <c r="K4341" s="86" t="str">
        <f>IF(Eighteenth!K94="", "",Eighteenth!K94)</f>
        <v/>
      </c>
      <c r="M4341" s="67">
        <f t="shared" si="203"/>
        <v>7</v>
      </c>
      <c r="N4341" s="76" t="str">
        <f t="shared" si="204"/>
        <v/>
      </c>
      <c r="O4341" s="33">
        <f t="shared" si="205"/>
        <v>7</v>
      </c>
    </row>
    <row r="4342" spans="1:15" x14ac:dyDescent="0.25">
      <c r="A4342" s="64" t="s">
        <v>189</v>
      </c>
      <c r="B4342" s="79" t="str">
        <f>IF(Eighteenth!B95="", "",Eighteenth!B95)</f>
        <v>Sessional Staff</v>
      </c>
      <c r="C4342" s="66" t="str">
        <f>IF(Eighteenth!C95="", "",Eighteenth!C95)</f>
        <v>PwC</v>
      </c>
      <c r="D4342" s="66" t="str">
        <f>IF(Eighteenth!D95="", "",Eighteenth!D95)</f>
        <v>Returning</v>
      </c>
      <c r="E4342" s="66" t="str">
        <f>IF(Eighteenth!E95="", "",Eighteenth!E95)</f>
        <v>Male</v>
      </c>
      <c r="F4342" s="66" t="str">
        <f>IF(Eighteenth!F95="", "",Eighteenth!F95)</f>
        <v>Not Stated</v>
      </c>
      <c r="G4342" s="66" t="str">
        <f>IF(Eighteenth!G95="", "",Eighteenth!G95)</f>
        <v>Not Stated</v>
      </c>
      <c r="H4342" s="66" t="str">
        <f>IF(Eighteenth!H95="", "",Eighteenth!H95)</f>
        <v>Programme</v>
      </c>
      <c r="I4342" s="66" t="str">
        <f>IF(Eighteenth!I95="", "",Eighteenth!I95)</f>
        <v>Tai Chi/Qi Gong</v>
      </c>
      <c r="J4342" s="66" t="str">
        <f>IF(Eighteenth!J95="", "",Eighteenth!J95)</f>
        <v/>
      </c>
      <c r="K4342" s="86" t="str">
        <f>IF(Eighteenth!K95="", "",Eighteenth!K95)</f>
        <v/>
      </c>
      <c r="M4342" s="67">
        <f t="shared" si="203"/>
        <v>7</v>
      </c>
      <c r="N4342" s="76" t="str">
        <f t="shared" si="204"/>
        <v/>
      </c>
      <c r="O4342" s="33">
        <f t="shared" si="205"/>
        <v>7</v>
      </c>
    </row>
    <row r="4343" spans="1:15" x14ac:dyDescent="0.25">
      <c r="A4343" s="64" t="s">
        <v>189</v>
      </c>
      <c r="B4343" s="79" t="str">
        <f>IF(Eighteenth!B96="", "",Eighteenth!B96)</f>
        <v>Sessional Staff</v>
      </c>
      <c r="C4343" s="66" t="str">
        <f>IF(Eighteenth!C96="", "",Eighteenth!C96)</f>
        <v>PwC</v>
      </c>
      <c r="D4343" s="66" t="str">
        <f>IF(Eighteenth!D96="", "",Eighteenth!D96)</f>
        <v>Returning</v>
      </c>
      <c r="E4343" s="66" t="str">
        <f>IF(Eighteenth!E96="", "",Eighteenth!E96)</f>
        <v>Male</v>
      </c>
      <c r="F4343" s="66" t="str">
        <f>IF(Eighteenth!F96="", "",Eighteenth!F96)</f>
        <v>Not Stated</v>
      </c>
      <c r="G4343" s="66" t="str">
        <f>IF(Eighteenth!G96="", "",Eighteenth!G96)</f>
        <v>Not Stated</v>
      </c>
      <c r="H4343" s="66" t="str">
        <f>IF(Eighteenth!H96="", "",Eighteenth!H96)</f>
        <v>Programme</v>
      </c>
      <c r="I4343" s="66" t="str">
        <f>IF(Eighteenth!I96="", "",Eighteenth!I96)</f>
        <v>Tai Chi/Qi Gong</v>
      </c>
      <c r="J4343" s="66" t="str">
        <f>IF(Eighteenth!J96="", "",Eighteenth!J96)</f>
        <v/>
      </c>
      <c r="K4343" s="86" t="str">
        <f>IF(Eighteenth!K96="", "",Eighteenth!K96)</f>
        <v/>
      </c>
      <c r="M4343" s="67">
        <f t="shared" si="203"/>
        <v>7</v>
      </c>
      <c r="N4343" s="76" t="str">
        <f t="shared" si="204"/>
        <v/>
      </c>
      <c r="O4343" s="33">
        <f t="shared" si="205"/>
        <v>7</v>
      </c>
    </row>
    <row r="4344" spans="1:15" x14ac:dyDescent="0.25">
      <c r="A4344" s="64" t="s">
        <v>189</v>
      </c>
      <c r="B4344" s="79" t="str">
        <f>IF(Eighteenth!B97="", "",Eighteenth!B97)</f>
        <v>Sessional Staff</v>
      </c>
      <c r="C4344" s="66" t="str">
        <f>IF(Eighteenth!C97="", "",Eighteenth!C97)</f>
        <v>PwC</v>
      </c>
      <c r="D4344" s="66" t="str">
        <f>IF(Eighteenth!D97="", "",Eighteenth!D97)</f>
        <v>Returning</v>
      </c>
      <c r="E4344" s="66" t="str">
        <f>IF(Eighteenth!E97="", "",Eighteenth!E97)</f>
        <v>Male</v>
      </c>
      <c r="F4344" s="66" t="str">
        <f>IF(Eighteenth!F97="", "",Eighteenth!F97)</f>
        <v>Not Stated</v>
      </c>
      <c r="G4344" s="66" t="str">
        <f>IF(Eighteenth!G97="", "",Eighteenth!G97)</f>
        <v>Not Stated</v>
      </c>
      <c r="H4344" s="66" t="str">
        <f>IF(Eighteenth!H97="", "",Eighteenth!H97)</f>
        <v>Programme</v>
      </c>
      <c r="I4344" s="66" t="str">
        <f>IF(Eighteenth!I97="", "",Eighteenth!I97)</f>
        <v>Tai Chi/Qi Gong</v>
      </c>
      <c r="J4344" s="66" t="str">
        <f>IF(Eighteenth!J97="", "",Eighteenth!J97)</f>
        <v/>
      </c>
      <c r="K4344" s="86" t="str">
        <f>IF(Eighteenth!K97="", "",Eighteenth!K97)</f>
        <v/>
      </c>
      <c r="M4344" s="67">
        <f t="shared" si="203"/>
        <v>7</v>
      </c>
      <c r="N4344" s="76" t="str">
        <f t="shared" si="204"/>
        <v/>
      </c>
      <c r="O4344" s="33">
        <f t="shared" si="205"/>
        <v>7</v>
      </c>
    </row>
    <row r="4345" spans="1:15" x14ac:dyDescent="0.25">
      <c r="A4345" s="64" t="s">
        <v>189</v>
      </c>
      <c r="B4345" s="79" t="str">
        <f>IF(Eighteenth!B98="", "",Eighteenth!B98)</f>
        <v>Sessional Staff</v>
      </c>
      <c r="C4345" s="66" t="str">
        <f>IF(Eighteenth!C98="", "",Eighteenth!C98)</f>
        <v>PwC</v>
      </c>
      <c r="D4345" s="66" t="str">
        <f>IF(Eighteenth!D98="", "",Eighteenth!D98)</f>
        <v>Returning</v>
      </c>
      <c r="E4345" s="66" t="str">
        <f>IF(Eighteenth!E98="", "",Eighteenth!E98)</f>
        <v>Male</v>
      </c>
      <c r="F4345" s="66" t="str">
        <f>IF(Eighteenth!F98="", "",Eighteenth!F98)</f>
        <v>Not Stated</v>
      </c>
      <c r="G4345" s="66" t="str">
        <f>IF(Eighteenth!G98="", "",Eighteenth!G98)</f>
        <v>Not Stated</v>
      </c>
      <c r="H4345" s="66" t="str">
        <f>IF(Eighteenth!H98="", "",Eighteenth!H98)</f>
        <v>Programme</v>
      </c>
      <c r="I4345" s="66" t="str">
        <f>IF(Eighteenth!I98="", "",Eighteenth!I98)</f>
        <v>Tai Chi/Qi Gong</v>
      </c>
      <c r="J4345" s="66" t="str">
        <f>IF(Eighteenth!J98="", "",Eighteenth!J98)</f>
        <v/>
      </c>
      <c r="K4345" s="86" t="str">
        <f>IF(Eighteenth!K98="", "",Eighteenth!K98)</f>
        <v/>
      </c>
      <c r="M4345" s="67">
        <f t="shared" si="203"/>
        <v>7</v>
      </c>
      <c r="N4345" s="76" t="str">
        <f t="shared" si="204"/>
        <v/>
      </c>
      <c r="O4345" s="33">
        <f t="shared" si="205"/>
        <v>7</v>
      </c>
    </row>
    <row r="4346" spans="1:15" x14ac:dyDescent="0.25">
      <c r="A4346" s="64" t="s">
        <v>189</v>
      </c>
      <c r="B4346" s="79" t="str">
        <f>IF(Eighteenth!B99="", "",Eighteenth!B99)</f>
        <v>Sessional Staff</v>
      </c>
      <c r="C4346" s="66" t="str">
        <f>IF(Eighteenth!C99="", "",Eighteenth!C99)</f>
        <v>PwC</v>
      </c>
      <c r="D4346" s="66" t="str">
        <f>IF(Eighteenth!D99="", "",Eighteenth!D99)</f>
        <v>Returning</v>
      </c>
      <c r="E4346" s="66" t="str">
        <f>IF(Eighteenth!E99="", "",Eighteenth!E99)</f>
        <v>Male</v>
      </c>
      <c r="F4346" s="66" t="str">
        <f>IF(Eighteenth!F99="", "",Eighteenth!F99)</f>
        <v>Not Stated</v>
      </c>
      <c r="G4346" s="66" t="str">
        <f>IF(Eighteenth!G99="", "",Eighteenth!G99)</f>
        <v>Not Stated</v>
      </c>
      <c r="H4346" s="66" t="str">
        <f>IF(Eighteenth!H99="", "",Eighteenth!H99)</f>
        <v>Programme</v>
      </c>
      <c r="I4346" s="66" t="str">
        <f>IF(Eighteenth!I99="", "",Eighteenth!I99)</f>
        <v>Tai Chi/Qi Gong</v>
      </c>
      <c r="J4346" s="66" t="str">
        <f>IF(Eighteenth!J99="", "",Eighteenth!J99)</f>
        <v/>
      </c>
      <c r="K4346" s="86" t="str">
        <f>IF(Eighteenth!K99="", "",Eighteenth!K99)</f>
        <v/>
      </c>
      <c r="M4346" s="67">
        <f t="shared" si="203"/>
        <v>7</v>
      </c>
      <c r="N4346" s="76" t="str">
        <f t="shared" si="204"/>
        <v/>
      </c>
      <c r="O4346" s="33">
        <f t="shared" si="205"/>
        <v>7</v>
      </c>
    </row>
    <row r="4347" spans="1:15" x14ac:dyDescent="0.25">
      <c r="A4347" s="64" t="s">
        <v>189</v>
      </c>
      <c r="B4347" s="79" t="str">
        <f>IF(Eighteenth!B100="", "",Eighteenth!B100)</f>
        <v>Sessional Staff</v>
      </c>
      <c r="C4347" s="66" t="str">
        <f>IF(Eighteenth!C100="", "",Eighteenth!C100)</f>
        <v>PwC</v>
      </c>
      <c r="D4347" s="66" t="str">
        <f>IF(Eighteenth!D100="", "",Eighteenth!D100)</f>
        <v>Returning</v>
      </c>
      <c r="E4347" s="66" t="str">
        <f>IF(Eighteenth!E100="", "",Eighteenth!E100)</f>
        <v>Female</v>
      </c>
      <c r="F4347" s="66" t="str">
        <f>IF(Eighteenth!F100="", "",Eighteenth!F100)</f>
        <v>Not Stated</v>
      </c>
      <c r="G4347" s="66" t="str">
        <f>IF(Eighteenth!G100="", "",Eighteenth!G100)</f>
        <v>Not Stated</v>
      </c>
      <c r="H4347" s="66" t="str">
        <f>IF(Eighteenth!H100="", "",Eighteenth!H100)</f>
        <v>Programme</v>
      </c>
      <c r="I4347" s="66" t="str">
        <f>IF(Eighteenth!I100="", "",Eighteenth!I100)</f>
        <v>Tai Chi/Qi Gong</v>
      </c>
      <c r="J4347" s="66" t="str">
        <f>IF(Eighteenth!J100="", "",Eighteenth!J100)</f>
        <v>Look Good Feel Better</v>
      </c>
      <c r="K4347" s="86" t="str">
        <f>IF(Eighteenth!K100="", "",Eighteenth!K100)</f>
        <v>NG Brain</v>
      </c>
      <c r="M4347" s="67">
        <f t="shared" si="203"/>
        <v>7</v>
      </c>
      <c r="N4347" s="76" t="str">
        <f t="shared" si="204"/>
        <v/>
      </c>
      <c r="O4347" s="33">
        <f t="shared" si="205"/>
        <v>7</v>
      </c>
    </row>
    <row r="4348" spans="1:15" x14ac:dyDescent="0.25">
      <c r="A4348" s="64" t="s">
        <v>189</v>
      </c>
      <c r="B4348" s="79" t="str">
        <f>IF(Eighteenth!B101="", "",Eighteenth!B101)</f>
        <v>Sessional Staff</v>
      </c>
      <c r="C4348" s="66" t="str">
        <f>IF(Eighteenth!C101="", "",Eighteenth!C101)</f>
        <v>PwC</v>
      </c>
      <c r="D4348" s="66" t="str">
        <f>IF(Eighteenth!D101="", "",Eighteenth!D101)</f>
        <v>Returning</v>
      </c>
      <c r="E4348" s="66" t="str">
        <f>IF(Eighteenth!E101="", "",Eighteenth!E101)</f>
        <v>Female</v>
      </c>
      <c r="F4348" s="66" t="str">
        <f>IF(Eighteenth!F101="", "",Eighteenth!F101)</f>
        <v>Not Stated</v>
      </c>
      <c r="G4348" s="66" t="str">
        <f>IF(Eighteenth!G101="", "",Eighteenth!G101)</f>
        <v>Not Stated</v>
      </c>
      <c r="H4348" s="66" t="str">
        <f>IF(Eighteenth!H101="", "",Eighteenth!H101)</f>
        <v>Programme</v>
      </c>
      <c r="I4348" s="66" t="str">
        <f>IF(Eighteenth!I101="", "",Eighteenth!I101)</f>
        <v>Tai Chi/Qi Gong</v>
      </c>
      <c r="J4348" s="66" t="str">
        <f>IF(Eighteenth!J101="", "",Eighteenth!J101)</f>
        <v>Look Good Feel Better</v>
      </c>
      <c r="K4348" s="86" t="str">
        <f>IF(Eighteenth!K101="", "",Eighteenth!K101)</f>
        <v>NG Brain</v>
      </c>
      <c r="M4348" s="67">
        <f t="shared" si="203"/>
        <v>7</v>
      </c>
      <c r="N4348" s="76" t="str">
        <f t="shared" si="204"/>
        <v/>
      </c>
      <c r="O4348" s="33">
        <f t="shared" si="205"/>
        <v>7</v>
      </c>
    </row>
    <row r="4349" spans="1:15" x14ac:dyDescent="0.25">
      <c r="A4349" s="64" t="s">
        <v>189</v>
      </c>
      <c r="B4349" s="79" t="str">
        <f>IF(Eighteenth!B102="", "",Eighteenth!B102)</f>
        <v>Sessional Staff</v>
      </c>
      <c r="C4349" s="66" t="str">
        <f>IF(Eighteenth!C102="", "",Eighteenth!C102)</f>
        <v>PwC</v>
      </c>
      <c r="D4349" s="66" t="str">
        <f>IF(Eighteenth!D102="", "",Eighteenth!D102)</f>
        <v>Returning</v>
      </c>
      <c r="E4349" s="66" t="str">
        <f>IF(Eighteenth!E102="", "",Eighteenth!E102)</f>
        <v>Female</v>
      </c>
      <c r="F4349" s="66" t="str">
        <f>IF(Eighteenth!F102="", "",Eighteenth!F102)</f>
        <v>Not Stated</v>
      </c>
      <c r="G4349" s="66" t="str">
        <f>IF(Eighteenth!G102="", "",Eighteenth!G102)</f>
        <v>Not Stated</v>
      </c>
      <c r="H4349" s="66" t="str">
        <f>IF(Eighteenth!H102="", "",Eighteenth!H102)</f>
        <v>Programme</v>
      </c>
      <c r="I4349" s="66" t="str">
        <f>IF(Eighteenth!I102="", "",Eighteenth!I102)</f>
        <v>Tai Chi/Qi Gong</v>
      </c>
      <c r="J4349" s="66" t="str">
        <f>IF(Eighteenth!J102="", "",Eighteenth!J102)</f>
        <v>Look Good Feel Better</v>
      </c>
      <c r="K4349" s="86" t="str">
        <f>IF(Eighteenth!K102="", "",Eighteenth!K102)</f>
        <v>NG Brain</v>
      </c>
      <c r="M4349" s="67">
        <f t="shared" si="203"/>
        <v>7</v>
      </c>
      <c r="N4349" s="76" t="str">
        <f t="shared" si="204"/>
        <v/>
      </c>
      <c r="O4349" s="33">
        <f t="shared" si="205"/>
        <v>7</v>
      </c>
    </row>
    <row r="4350" spans="1:15" x14ac:dyDescent="0.25">
      <c r="A4350" s="64" t="s">
        <v>189</v>
      </c>
      <c r="B4350" s="79" t="str">
        <f>IF(Eighteenth!B103="", "",Eighteenth!B103)</f>
        <v>Sessional Staff</v>
      </c>
      <c r="C4350" s="66" t="str">
        <f>IF(Eighteenth!C103="", "",Eighteenth!C103)</f>
        <v>PwC</v>
      </c>
      <c r="D4350" s="66" t="str">
        <f>IF(Eighteenth!D103="", "",Eighteenth!D103)</f>
        <v>Returning</v>
      </c>
      <c r="E4350" s="66" t="str">
        <f>IF(Eighteenth!E103="", "",Eighteenth!E103)</f>
        <v>Female</v>
      </c>
      <c r="F4350" s="66" t="str">
        <f>IF(Eighteenth!F103="", "",Eighteenth!F103)</f>
        <v>Not Stated</v>
      </c>
      <c r="G4350" s="66" t="str">
        <f>IF(Eighteenth!G103="", "",Eighteenth!G103)</f>
        <v>Not Stated</v>
      </c>
      <c r="H4350" s="66" t="str">
        <f>IF(Eighteenth!H103="", "",Eighteenth!H103)</f>
        <v>Programme</v>
      </c>
      <c r="I4350" s="66" t="str">
        <f>IF(Eighteenth!I103="", "",Eighteenth!I103)</f>
        <v>Tai Chi/Qi Gong</v>
      </c>
      <c r="J4350" s="66" t="str">
        <f>IF(Eighteenth!J103="", "",Eighteenth!J103)</f>
        <v>Look Good Feel Better</v>
      </c>
      <c r="K4350" s="86" t="str">
        <f>IF(Eighteenth!K103="", "",Eighteenth!K103)</f>
        <v/>
      </c>
      <c r="M4350" s="67">
        <f t="shared" si="203"/>
        <v>7</v>
      </c>
      <c r="N4350" s="76" t="str">
        <f t="shared" si="204"/>
        <v/>
      </c>
      <c r="O4350" s="33">
        <f t="shared" si="205"/>
        <v>7</v>
      </c>
    </row>
    <row r="4351" spans="1:15" x14ac:dyDescent="0.25">
      <c r="A4351" s="64" t="s">
        <v>189</v>
      </c>
      <c r="B4351" s="79" t="str">
        <f>IF(Eighteenth!B104="", "",Eighteenth!B104)</f>
        <v>Sessional Staff</v>
      </c>
      <c r="C4351" s="66" t="str">
        <f>IF(Eighteenth!C104="", "",Eighteenth!C104)</f>
        <v>PwC</v>
      </c>
      <c r="D4351" s="66" t="str">
        <f>IF(Eighteenth!D104="", "",Eighteenth!D104)</f>
        <v>Returning</v>
      </c>
      <c r="E4351" s="66" t="str">
        <f>IF(Eighteenth!E104="", "",Eighteenth!E104)</f>
        <v>Female</v>
      </c>
      <c r="F4351" s="66" t="str">
        <f>IF(Eighteenth!F104="", "",Eighteenth!F104)</f>
        <v>Not Stated</v>
      </c>
      <c r="G4351" s="66" t="str">
        <f>IF(Eighteenth!G104="", "",Eighteenth!G104)</f>
        <v>Not Stated</v>
      </c>
      <c r="H4351" s="66" t="str">
        <f>IF(Eighteenth!H104="", "",Eighteenth!H104)</f>
        <v>Programme</v>
      </c>
      <c r="I4351" s="66" t="str">
        <f>IF(Eighteenth!I104="", "",Eighteenth!I104)</f>
        <v>Tai Chi/Qi Gong</v>
      </c>
      <c r="J4351" s="66" t="str">
        <f>IF(Eighteenth!J104="", "",Eighteenth!J104)</f>
        <v/>
      </c>
      <c r="K4351" s="86" t="str">
        <f>IF(Eighteenth!K104="", "",Eighteenth!K104)</f>
        <v/>
      </c>
      <c r="M4351" s="67">
        <f t="shared" si="203"/>
        <v>7</v>
      </c>
      <c r="N4351" s="76" t="str">
        <f t="shared" si="204"/>
        <v/>
      </c>
      <c r="O4351" s="33">
        <f t="shared" si="205"/>
        <v>7</v>
      </c>
    </row>
    <row r="4352" spans="1:15" x14ac:dyDescent="0.25">
      <c r="A4352" s="64" t="s">
        <v>189</v>
      </c>
      <c r="B4352" s="79" t="str">
        <f>IF(Eighteenth!B105="", "",Eighteenth!B105)</f>
        <v>Sessional Staff</v>
      </c>
      <c r="C4352" s="66" t="str">
        <f>IF(Eighteenth!C105="", "",Eighteenth!C105)</f>
        <v>PwC</v>
      </c>
      <c r="D4352" s="66" t="str">
        <f>IF(Eighteenth!D105="", "",Eighteenth!D105)</f>
        <v>Returning</v>
      </c>
      <c r="E4352" s="66" t="str">
        <f>IF(Eighteenth!E105="", "",Eighteenth!E105)</f>
        <v>Female</v>
      </c>
      <c r="F4352" s="66" t="str">
        <f>IF(Eighteenth!F105="", "",Eighteenth!F105)</f>
        <v>Not Stated</v>
      </c>
      <c r="G4352" s="66" t="str">
        <f>IF(Eighteenth!G105="", "",Eighteenth!G105)</f>
        <v>Not Stated</v>
      </c>
      <c r="H4352" s="66" t="str">
        <f>IF(Eighteenth!H105="", "",Eighteenth!H105)</f>
        <v>Programme</v>
      </c>
      <c r="I4352" s="66" t="str">
        <f>IF(Eighteenth!I105="", "",Eighteenth!I105)</f>
        <v>Tai Chi/Qi Gong</v>
      </c>
      <c r="J4352" s="66" t="str">
        <f>IF(Eighteenth!J105="", "",Eighteenth!J105)</f>
        <v/>
      </c>
      <c r="K4352" s="86" t="str">
        <f>IF(Eighteenth!K105="", "",Eighteenth!K105)</f>
        <v/>
      </c>
      <c r="M4352" s="67">
        <f t="shared" si="203"/>
        <v>7</v>
      </c>
      <c r="N4352" s="76" t="str">
        <f t="shared" si="204"/>
        <v/>
      </c>
      <c r="O4352" s="33">
        <f t="shared" si="205"/>
        <v>7</v>
      </c>
    </row>
    <row r="4353" spans="1:15" x14ac:dyDescent="0.25">
      <c r="A4353" s="64" t="s">
        <v>189</v>
      </c>
      <c r="B4353" s="79" t="str">
        <f>IF(Eighteenth!B106="", "",Eighteenth!B106)</f>
        <v>Sessional Staff</v>
      </c>
      <c r="C4353" s="66" t="str">
        <f>IF(Eighteenth!C106="", "",Eighteenth!C106)</f>
        <v>PwC</v>
      </c>
      <c r="D4353" s="66" t="str">
        <f>IF(Eighteenth!D106="", "",Eighteenth!D106)</f>
        <v>Returning</v>
      </c>
      <c r="E4353" s="66" t="str">
        <f>IF(Eighteenth!E106="", "",Eighteenth!E106)</f>
        <v>Female</v>
      </c>
      <c r="F4353" s="66" t="str">
        <f>IF(Eighteenth!F106="", "",Eighteenth!F106)</f>
        <v>Not Stated</v>
      </c>
      <c r="G4353" s="66" t="str">
        <f>IF(Eighteenth!G106="", "",Eighteenth!G106)</f>
        <v>Not Stated</v>
      </c>
      <c r="H4353" s="66" t="str">
        <f>IF(Eighteenth!H106="", "",Eighteenth!H106)</f>
        <v>Programme</v>
      </c>
      <c r="I4353" s="66" t="str">
        <f>IF(Eighteenth!I106="", "",Eighteenth!I106)</f>
        <v>Tai Chi/Qi Gong</v>
      </c>
      <c r="J4353" s="66" t="str">
        <f>IF(Eighteenth!J106="", "",Eighteenth!J106)</f>
        <v/>
      </c>
      <c r="K4353" s="86" t="str">
        <f>IF(Eighteenth!K106="", "",Eighteenth!K106)</f>
        <v/>
      </c>
      <c r="M4353" s="67">
        <f t="shared" si="203"/>
        <v>7</v>
      </c>
      <c r="N4353" s="76" t="str">
        <f t="shared" si="204"/>
        <v/>
      </c>
      <c r="O4353" s="33">
        <f t="shared" si="205"/>
        <v>7</v>
      </c>
    </row>
    <row r="4354" spans="1:15" x14ac:dyDescent="0.25">
      <c r="A4354" s="64" t="s">
        <v>189</v>
      </c>
      <c r="B4354" s="79" t="str">
        <f>IF(Eighteenth!B107="", "",Eighteenth!B107)</f>
        <v>Sessional Staff</v>
      </c>
      <c r="C4354" s="66" t="str">
        <f>IF(Eighteenth!C107="", "",Eighteenth!C107)</f>
        <v>PwC</v>
      </c>
      <c r="D4354" s="66" t="str">
        <f>IF(Eighteenth!D107="", "",Eighteenth!D107)</f>
        <v>Returning</v>
      </c>
      <c r="E4354" s="66" t="str">
        <f>IF(Eighteenth!E107="", "",Eighteenth!E107)</f>
        <v>Female</v>
      </c>
      <c r="F4354" s="66" t="str">
        <f>IF(Eighteenth!F107="", "",Eighteenth!F107)</f>
        <v>Not Stated</v>
      </c>
      <c r="G4354" s="66" t="str">
        <f>IF(Eighteenth!G107="", "",Eighteenth!G107)</f>
        <v>Not Stated</v>
      </c>
      <c r="H4354" s="66" t="str">
        <f>IF(Eighteenth!H107="", "",Eighteenth!H107)</f>
        <v>Programme</v>
      </c>
      <c r="I4354" s="66" t="str">
        <f>IF(Eighteenth!I107="", "",Eighteenth!I107)</f>
        <v>Tai Chi/Qi Gong</v>
      </c>
      <c r="J4354" s="66" t="str">
        <f>IF(Eighteenth!J107="", "",Eighteenth!J107)</f>
        <v/>
      </c>
      <c r="K4354" s="86" t="str">
        <f>IF(Eighteenth!K107="", "",Eighteenth!K107)</f>
        <v/>
      </c>
      <c r="M4354" s="67">
        <f t="shared" si="203"/>
        <v>7</v>
      </c>
      <c r="N4354" s="76" t="str">
        <f t="shared" si="204"/>
        <v/>
      </c>
      <c r="O4354" s="33">
        <f t="shared" si="205"/>
        <v>7</v>
      </c>
    </row>
    <row r="4355" spans="1:15" x14ac:dyDescent="0.25">
      <c r="A4355" s="64" t="s">
        <v>189</v>
      </c>
      <c r="B4355" s="79" t="str">
        <f>IF(Eighteenth!B108="", "",Eighteenth!B108)</f>
        <v>Centre Head</v>
      </c>
      <c r="C4355" s="66" t="str">
        <f>IF(Eighteenth!C108="", "",Eighteenth!C108)</f>
        <v>PwC</v>
      </c>
      <c r="D4355" s="66" t="str">
        <f>IF(Eighteenth!D108="", "",Eighteenth!D108)</f>
        <v>New</v>
      </c>
      <c r="E4355" s="66" t="str">
        <f>IF(Eighteenth!E108="", "",Eighteenth!E108)</f>
        <v>Male</v>
      </c>
      <c r="F4355" s="66" t="str">
        <f>IF(Eighteenth!F108="", "",Eighteenth!F108)</f>
        <v>Prostate</v>
      </c>
      <c r="G4355" s="66" t="str">
        <f>IF(Eighteenth!G108="", "",Eighteenth!G108)</f>
        <v>Curative Intent</v>
      </c>
      <c r="H4355" s="66" t="str">
        <f>IF(Eighteenth!H108="", "",Eighteenth!H108)</f>
        <v>Drop-In</v>
      </c>
      <c r="I4355" s="66" t="str">
        <f>IF(Eighteenth!I108="", "",Eighteenth!I108)</f>
        <v/>
      </c>
      <c r="J4355" s="66" t="str">
        <f>IF(Eighteenth!J108="", "",Eighteenth!J108)</f>
        <v/>
      </c>
      <c r="K4355" s="86" t="str">
        <f>IF(Eighteenth!K108="", "",Eighteenth!K108)</f>
        <v/>
      </c>
      <c r="M4355" s="67">
        <f t="shared" ref="M4355:M4418" si="206">IF(C4355="PwC",(7-COUNTIF(B4355:H4355,"")),"")</f>
        <v>7</v>
      </c>
      <c r="N4355" s="76" t="str">
        <f t="shared" ref="N4355:N4418" si="207">IF(C4355="Carer",(7-COUNTIF(B4355:H4355,"")),"")</f>
        <v/>
      </c>
      <c r="O4355" s="33">
        <f t="shared" si="205"/>
        <v>7</v>
      </c>
    </row>
    <row r="4356" spans="1:15" x14ac:dyDescent="0.25">
      <c r="A4356" s="64" t="s">
        <v>189</v>
      </c>
      <c r="B4356" s="79" t="str">
        <f>IF(Eighteenth!B109="", "",Eighteenth!B109)</f>
        <v>Centre Head</v>
      </c>
      <c r="C4356" s="66" t="str">
        <f>IF(Eighteenth!C109="", "",Eighteenth!C109)</f>
        <v>Carer</v>
      </c>
      <c r="D4356" s="66" t="str">
        <f>IF(Eighteenth!D109="", "",Eighteenth!D109)</f>
        <v>New</v>
      </c>
      <c r="E4356" s="66" t="str">
        <f>IF(Eighteenth!E109="", "",Eighteenth!E109)</f>
        <v>Male</v>
      </c>
      <c r="F4356" s="66" t="str">
        <f>IF(Eighteenth!F109="", "",Eighteenth!F109)</f>
        <v>Brain/CNS</v>
      </c>
      <c r="G4356" s="66" t="str">
        <f>IF(Eighteenth!G109="", "",Eighteenth!G109)</f>
        <v>Curative Intent</v>
      </c>
      <c r="H4356" s="66" t="str">
        <f>IF(Eighteenth!H109="", "",Eighteenth!H109)</f>
        <v>Drop-In</v>
      </c>
      <c r="I4356" s="66" t="str">
        <f>IF(Eighteenth!I109="", "",Eighteenth!I109)</f>
        <v/>
      </c>
      <c r="J4356" s="66" t="str">
        <f>IF(Eighteenth!J109="", "",Eighteenth!J109)</f>
        <v/>
      </c>
      <c r="K4356" s="86" t="str">
        <f>IF(Eighteenth!K109="", "",Eighteenth!K109)</f>
        <v/>
      </c>
      <c r="M4356" s="67" t="str">
        <f t="shared" si="206"/>
        <v/>
      </c>
      <c r="N4356" s="76">
        <f t="shared" si="207"/>
        <v>7</v>
      </c>
      <c r="O4356" s="33">
        <f t="shared" si="205"/>
        <v>7</v>
      </c>
    </row>
    <row r="4357" spans="1:15" x14ac:dyDescent="0.25">
      <c r="A4357" s="64" t="s">
        <v>189</v>
      </c>
      <c r="B4357" s="79" t="str">
        <f>IF(Eighteenth!B110="", "",Eighteenth!B110)</f>
        <v>Centre Head</v>
      </c>
      <c r="C4357" s="66" t="str">
        <f>IF(Eighteenth!C110="", "",Eighteenth!C110)</f>
        <v>Carer</v>
      </c>
      <c r="D4357" s="66" t="str">
        <f>IF(Eighteenth!D110="", "",Eighteenth!D110)</f>
        <v>New</v>
      </c>
      <c r="E4357" s="66" t="str">
        <f>IF(Eighteenth!E110="", "",Eighteenth!E110)</f>
        <v>Female</v>
      </c>
      <c r="F4357" s="66" t="str">
        <f>IF(Eighteenth!F110="", "",Eighteenth!F110)</f>
        <v>Brain/CNS</v>
      </c>
      <c r="G4357" s="66" t="str">
        <f>IF(Eighteenth!G110="", "",Eighteenth!G110)</f>
        <v>Curative Intent</v>
      </c>
      <c r="H4357" s="66" t="str">
        <f>IF(Eighteenth!H110="", "",Eighteenth!H110)</f>
        <v>Drop-In</v>
      </c>
      <c r="I4357" s="66" t="str">
        <f>IF(Eighteenth!I110="", "",Eighteenth!I110)</f>
        <v/>
      </c>
      <c r="J4357" s="66" t="str">
        <f>IF(Eighteenth!J110="", "",Eighteenth!J110)</f>
        <v/>
      </c>
      <c r="K4357" s="86" t="str">
        <f>IF(Eighteenth!K110="", "",Eighteenth!K110)</f>
        <v/>
      </c>
      <c r="M4357" s="67" t="str">
        <f t="shared" si="206"/>
        <v/>
      </c>
      <c r="N4357" s="76">
        <f t="shared" si="207"/>
        <v>7</v>
      </c>
      <c r="O4357" s="33">
        <f t="shared" si="205"/>
        <v>7</v>
      </c>
    </row>
    <row r="4358" spans="1:15" x14ac:dyDescent="0.25">
      <c r="A4358" s="64" t="s">
        <v>189</v>
      </c>
      <c r="B4358" s="79" t="str">
        <f>IF(Eighteenth!B111="", "",Eighteenth!B111)</f>
        <v>Centre Head</v>
      </c>
      <c r="C4358" s="66" t="str">
        <f>IF(Eighteenth!C111="", "",Eighteenth!C111)</f>
        <v>PwC</v>
      </c>
      <c r="D4358" s="66" t="str">
        <f>IF(Eighteenth!D111="", "",Eighteenth!D111)</f>
        <v>New</v>
      </c>
      <c r="E4358" s="66" t="str">
        <f>IF(Eighteenth!E111="", "",Eighteenth!E111)</f>
        <v>Female</v>
      </c>
      <c r="F4358" s="66" t="str">
        <f>IF(Eighteenth!F111="", "",Eighteenth!F111)</f>
        <v>Breast</v>
      </c>
      <c r="G4358" s="66" t="str">
        <f>IF(Eighteenth!G111="", "",Eighteenth!G111)</f>
        <v>Non-Curative Intent</v>
      </c>
      <c r="H4358" s="66" t="str">
        <f>IF(Eighteenth!H111="", "",Eighteenth!H111)</f>
        <v>Drop-In</v>
      </c>
      <c r="I4358" s="66" t="str">
        <f>IF(Eighteenth!I111="", "",Eighteenth!I111)</f>
        <v/>
      </c>
      <c r="J4358" s="66" t="str">
        <f>IF(Eighteenth!J111="", "",Eighteenth!J111)</f>
        <v/>
      </c>
      <c r="K4358" s="86" t="str">
        <f>IF(Eighteenth!K111="", "",Eighteenth!K111)</f>
        <v/>
      </c>
      <c r="M4358" s="67">
        <f t="shared" si="206"/>
        <v>7</v>
      </c>
      <c r="N4358" s="76" t="str">
        <f t="shared" si="207"/>
        <v/>
      </c>
      <c r="O4358" s="33">
        <f t="shared" si="205"/>
        <v>7</v>
      </c>
    </row>
    <row r="4359" spans="1:15" x14ac:dyDescent="0.25">
      <c r="A4359" s="64" t="s">
        <v>189</v>
      </c>
      <c r="B4359" s="79" t="str">
        <f>IF(Eighteenth!B112="", "",Eighteenth!B112)</f>
        <v>Centre Head</v>
      </c>
      <c r="C4359" s="66" t="str">
        <f>IF(Eighteenth!C112="", "",Eighteenth!C112)</f>
        <v>Carer</v>
      </c>
      <c r="D4359" s="66" t="str">
        <f>IF(Eighteenth!D112="", "",Eighteenth!D112)</f>
        <v>New</v>
      </c>
      <c r="E4359" s="66" t="str">
        <f>IF(Eighteenth!E112="", "",Eighteenth!E112)</f>
        <v>Male</v>
      </c>
      <c r="F4359" s="66" t="str">
        <f>IF(Eighteenth!F112="", "",Eighteenth!F112)</f>
        <v>Breast</v>
      </c>
      <c r="G4359" s="66" t="str">
        <f>IF(Eighteenth!G112="", "",Eighteenth!G112)</f>
        <v>Non-Curative Intent</v>
      </c>
      <c r="H4359" s="66" t="str">
        <f>IF(Eighteenth!H112="", "",Eighteenth!H112)</f>
        <v>Drop-In</v>
      </c>
      <c r="I4359" s="66" t="str">
        <f>IF(Eighteenth!I112="", "",Eighteenth!I112)</f>
        <v/>
      </c>
      <c r="J4359" s="66" t="str">
        <f>IF(Eighteenth!J112="", "",Eighteenth!J112)</f>
        <v/>
      </c>
      <c r="K4359" s="86" t="str">
        <f>IF(Eighteenth!K112="", "",Eighteenth!K112)</f>
        <v/>
      </c>
      <c r="M4359" s="67" t="str">
        <f t="shared" si="206"/>
        <v/>
      </c>
      <c r="N4359" s="76">
        <f t="shared" si="207"/>
        <v>7</v>
      </c>
      <c r="O4359" s="33">
        <f t="shared" si="205"/>
        <v>7</v>
      </c>
    </row>
    <row r="4360" spans="1:15" x14ac:dyDescent="0.25">
      <c r="A4360" s="64" t="s">
        <v>189</v>
      </c>
      <c r="B4360" s="79" t="str">
        <f>IF(Eighteenth!B113="", "",Eighteenth!B113)</f>
        <v>CSS</v>
      </c>
      <c r="C4360" s="66" t="str">
        <f>IF(Eighteenth!C113="", "",Eighteenth!C113)</f>
        <v>PwC</v>
      </c>
      <c r="D4360" s="66" t="str">
        <f>IF(Eighteenth!D113="", "",Eighteenth!D113)</f>
        <v>New</v>
      </c>
      <c r="E4360" s="66" t="str">
        <f>IF(Eighteenth!E113="", "",Eighteenth!E113)</f>
        <v>Female</v>
      </c>
      <c r="F4360" s="66" t="str">
        <f>IF(Eighteenth!F113="", "",Eighteenth!F113)</f>
        <v>Gynae</v>
      </c>
      <c r="G4360" s="66" t="str">
        <f>IF(Eighteenth!G113="", "",Eighteenth!G113)</f>
        <v>Non-Curative Intent</v>
      </c>
      <c r="H4360" s="66" t="str">
        <f>IF(Eighteenth!H113="", "",Eighteenth!H113)</f>
        <v>Drop-In</v>
      </c>
      <c r="I4360" s="66" t="str">
        <f>IF(Eighteenth!I113="", "",Eighteenth!I113)</f>
        <v/>
      </c>
      <c r="J4360" s="66" t="str">
        <f>IF(Eighteenth!J113="", "",Eighteenth!J113)</f>
        <v/>
      </c>
      <c r="K4360" s="86" t="str">
        <f>IF(Eighteenth!K113="", "",Eighteenth!K113)</f>
        <v/>
      </c>
      <c r="M4360" s="67">
        <f t="shared" si="206"/>
        <v>7</v>
      </c>
      <c r="N4360" s="76" t="str">
        <f t="shared" si="207"/>
        <v/>
      </c>
      <c r="O4360" s="33">
        <f t="shared" si="205"/>
        <v>7</v>
      </c>
    </row>
    <row r="4361" spans="1:15" x14ac:dyDescent="0.25">
      <c r="A4361" s="64" t="s">
        <v>189</v>
      </c>
      <c r="B4361" s="79" t="str">
        <f>IF(Eighteenth!B114="", "",Eighteenth!B114)</f>
        <v>CSS</v>
      </c>
      <c r="C4361" s="66" t="str">
        <f>IF(Eighteenth!C114="", "",Eighteenth!C114)</f>
        <v>Carer</v>
      </c>
      <c r="D4361" s="66" t="str">
        <f>IF(Eighteenth!D114="", "",Eighteenth!D114)</f>
        <v>New</v>
      </c>
      <c r="E4361" s="66" t="str">
        <f>IF(Eighteenth!E114="", "",Eighteenth!E114)</f>
        <v>Male</v>
      </c>
      <c r="F4361" s="66" t="str">
        <f>IF(Eighteenth!F114="", "",Eighteenth!F114)</f>
        <v>Gynae</v>
      </c>
      <c r="G4361" s="66" t="str">
        <f>IF(Eighteenth!G114="", "",Eighteenth!G114)</f>
        <v>Non-Curative Intent</v>
      </c>
      <c r="H4361" s="66" t="str">
        <f>IF(Eighteenth!H114="", "",Eighteenth!H114)</f>
        <v>Drop-In</v>
      </c>
      <c r="I4361" s="66" t="str">
        <f>IF(Eighteenth!I114="", "",Eighteenth!I114)</f>
        <v/>
      </c>
      <c r="J4361" s="66" t="str">
        <f>IF(Eighteenth!J114="", "",Eighteenth!J114)</f>
        <v/>
      </c>
      <c r="K4361" s="86" t="str">
        <f>IF(Eighteenth!K114="", "",Eighteenth!K114)</f>
        <v/>
      </c>
      <c r="M4361" s="67" t="str">
        <f t="shared" si="206"/>
        <v/>
      </c>
      <c r="N4361" s="76">
        <f t="shared" si="207"/>
        <v>7</v>
      </c>
      <c r="O4361" s="33">
        <f t="shared" si="205"/>
        <v>7</v>
      </c>
    </row>
    <row r="4362" spans="1:15" x14ac:dyDescent="0.25">
      <c r="A4362" s="64" t="s">
        <v>189</v>
      </c>
      <c r="B4362" s="79" t="str">
        <f>IF(Eighteenth!B115="", "",Eighteenth!B115)</f>
        <v>CSS</v>
      </c>
      <c r="C4362" s="66" t="str">
        <f>IF(Eighteenth!C115="", "",Eighteenth!C115)</f>
        <v>Carer</v>
      </c>
      <c r="D4362" s="66" t="str">
        <f>IF(Eighteenth!D115="", "",Eighteenth!D115)</f>
        <v>New</v>
      </c>
      <c r="E4362" s="66" t="str">
        <f>IF(Eighteenth!E115="", "",Eighteenth!E115)</f>
        <v>Male</v>
      </c>
      <c r="F4362" s="66" t="str">
        <f>IF(Eighteenth!F115="", "",Eighteenth!F115)</f>
        <v>Gynae</v>
      </c>
      <c r="G4362" s="66" t="str">
        <f>IF(Eighteenth!G115="", "",Eighteenth!G115)</f>
        <v>Non-Curative Intent</v>
      </c>
      <c r="H4362" s="66" t="str">
        <f>IF(Eighteenth!H115="", "",Eighteenth!H115)</f>
        <v>Drop-In</v>
      </c>
      <c r="I4362" s="66" t="str">
        <f>IF(Eighteenth!I115="", "",Eighteenth!I115)</f>
        <v/>
      </c>
      <c r="J4362" s="66" t="str">
        <f>IF(Eighteenth!J115="", "",Eighteenth!J115)</f>
        <v/>
      </c>
      <c r="K4362" s="86" t="str">
        <f>IF(Eighteenth!K115="", "",Eighteenth!K115)</f>
        <v/>
      </c>
      <c r="M4362" s="67" t="str">
        <f t="shared" si="206"/>
        <v/>
      </c>
      <c r="N4362" s="76">
        <f t="shared" si="207"/>
        <v>7</v>
      </c>
      <c r="O4362" s="33">
        <f t="shared" si="205"/>
        <v>7</v>
      </c>
    </row>
    <row r="4363" spans="1:15" x14ac:dyDescent="0.25">
      <c r="A4363" s="64" t="s">
        <v>189</v>
      </c>
      <c r="B4363" s="79" t="str">
        <f>IF(Eighteenth!B116="", "",Eighteenth!B116)</f>
        <v>CSS</v>
      </c>
      <c r="C4363" s="66" t="str">
        <f>IF(Eighteenth!C116="", "",Eighteenth!C116)</f>
        <v>PwC</v>
      </c>
      <c r="D4363" s="66" t="str">
        <f>IF(Eighteenth!D116="", "",Eighteenth!D116)</f>
        <v>New</v>
      </c>
      <c r="E4363" s="66" t="str">
        <f>IF(Eighteenth!E116="", "",Eighteenth!E116)</f>
        <v>Female</v>
      </c>
      <c r="F4363" s="66" t="str">
        <f>IF(Eighteenth!F116="", "",Eighteenth!F116)</f>
        <v>Gynae</v>
      </c>
      <c r="G4363" s="66" t="str">
        <f>IF(Eighteenth!G116="", "",Eighteenth!G116)</f>
        <v>Curative Intent</v>
      </c>
      <c r="H4363" s="66" t="str">
        <f>IF(Eighteenth!H116="", "",Eighteenth!H116)</f>
        <v>Drop-In</v>
      </c>
      <c r="I4363" s="66" t="str">
        <f>IF(Eighteenth!I116="", "",Eighteenth!I116)</f>
        <v/>
      </c>
      <c r="J4363" s="66" t="str">
        <f>IF(Eighteenth!J116="", "",Eighteenth!J116)</f>
        <v/>
      </c>
      <c r="K4363" s="86" t="str">
        <f>IF(Eighteenth!K116="", "",Eighteenth!K116)</f>
        <v/>
      </c>
      <c r="M4363" s="67">
        <f t="shared" si="206"/>
        <v>7</v>
      </c>
      <c r="N4363" s="76" t="str">
        <f t="shared" si="207"/>
        <v/>
      </c>
      <c r="O4363" s="33">
        <f t="shared" si="205"/>
        <v>7</v>
      </c>
    </row>
    <row r="4364" spans="1:15" x14ac:dyDescent="0.25">
      <c r="A4364" s="64" t="s">
        <v>189</v>
      </c>
      <c r="B4364" s="79" t="str">
        <f>IF(Eighteenth!B117="", "",Eighteenth!B117)</f>
        <v>CSS</v>
      </c>
      <c r="C4364" s="66" t="str">
        <f>IF(Eighteenth!C117="", "",Eighteenth!C117)</f>
        <v>Carer</v>
      </c>
      <c r="D4364" s="66" t="str">
        <f>IF(Eighteenth!D117="", "",Eighteenth!D117)</f>
        <v>New</v>
      </c>
      <c r="E4364" s="66" t="str">
        <f>IF(Eighteenth!E117="", "",Eighteenth!E117)</f>
        <v>Female</v>
      </c>
      <c r="F4364" s="66" t="str">
        <f>IF(Eighteenth!F117="", "",Eighteenth!F117)</f>
        <v>Gynae</v>
      </c>
      <c r="G4364" s="66" t="str">
        <f>IF(Eighteenth!G117="", "",Eighteenth!G117)</f>
        <v>Curative Intent</v>
      </c>
      <c r="H4364" s="66" t="str">
        <f>IF(Eighteenth!H117="", "",Eighteenth!H117)</f>
        <v>Drop-In</v>
      </c>
      <c r="I4364" s="66" t="str">
        <f>IF(Eighteenth!I117="", "",Eighteenth!I117)</f>
        <v/>
      </c>
      <c r="J4364" s="66" t="str">
        <f>IF(Eighteenth!J117="", "",Eighteenth!J117)</f>
        <v/>
      </c>
      <c r="K4364" s="86" t="str">
        <f>IF(Eighteenth!K117="", "",Eighteenth!K117)</f>
        <v/>
      </c>
      <c r="M4364" s="67" t="str">
        <f t="shared" si="206"/>
        <v/>
      </c>
      <c r="N4364" s="76">
        <f t="shared" si="207"/>
        <v>7</v>
      </c>
      <c r="O4364" s="33">
        <f t="shared" si="205"/>
        <v>7</v>
      </c>
    </row>
    <row r="4365" spans="1:15" x14ac:dyDescent="0.25">
      <c r="A4365" s="64" t="s">
        <v>189</v>
      </c>
      <c r="B4365" s="79" t="str">
        <f>IF(Eighteenth!B118="", "",Eighteenth!B118)</f>
        <v/>
      </c>
      <c r="C4365" s="66" t="str">
        <f>IF(Eighteenth!C118="", "",Eighteenth!C118)</f>
        <v/>
      </c>
      <c r="D4365" s="66" t="str">
        <f>IF(Eighteenth!D118="", "",Eighteenth!D118)</f>
        <v/>
      </c>
      <c r="E4365" s="66" t="str">
        <f>IF(Eighteenth!E118="", "",Eighteenth!E118)</f>
        <v/>
      </c>
      <c r="F4365" s="66" t="str">
        <f>IF(Eighteenth!F118="", "",Eighteenth!F118)</f>
        <v/>
      </c>
      <c r="G4365" s="66" t="str">
        <f>IF(Eighteenth!G118="", "",Eighteenth!G118)</f>
        <v/>
      </c>
      <c r="H4365" s="66" t="str">
        <f>IF(Eighteenth!H118="", "",Eighteenth!H118)</f>
        <v/>
      </c>
      <c r="I4365" s="66" t="str">
        <f>IF(Eighteenth!I118="", "",Eighteenth!I118)</f>
        <v/>
      </c>
      <c r="J4365" s="66" t="str">
        <f>IF(Eighteenth!J118="", "",Eighteenth!J118)</f>
        <v/>
      </c>
      <c r="K4365" s="86" t="str">
        <f>IF(Eighteenth!K118="", "",Eighteenth!K118)</f>
        <v/>
      </c>
      <c r="M4365" s="67" t="str">
        <f t="shared" si="206"/>
        <v/>
      </c>
      <c r="N4365" s="76" t="str">
        <f t="shared" si="207"/>
        <v/>
      </c>
      <c r="O4365" s="33">
        <f t="shared" si="205"/>
        <v>0</v>
      </c>
    </row>
    <row r="4366" spans="1:15" x14ac:dyDescent="0.25">
      <c r="A4366" s="64" t="s">
        <v>189</v>
      </c>
      <c r="B4366" s="79" t="str">
        <f>IF(Eighteenth!B119="", "",Eighteenth!B119)</f>
        <v/>
      </c>
      <c r="C4366" s="66" t="str">
        <f>IF(Eighteenth!C119="", "",Eighteenth!C119)</f>
        <v/>
      </c>
      <c r="D4366" s="66" t="str">
        <f>IF(Eighteenth!D119="", "",Eighteenth!D119)</f>
        <v/>
      </c>
      <c r="E4366" s="66" t="str">
        <f>IF(Eighteenth!E119="", "",Eighteenth!E119)</f>
        <v/>
      </c>
      <c r="F4366" s="66" t="str">
        <f>IF(Eighteenth!F119="", "",Eighteenth!F119)</f>
        <v/>
      </c>
      <c r="G4366" s="66" t="str">
        <f>IF(Eighteenth!G119="", "",Eighteenth!G119)</f>
        <v/>
      </c>
      <c r="H4366" s="66" t="str">
        <f>IF(Eighteenth!H119="", "",Eighteenth!H119)</f>
        <v/>
      </c>
      <c r="I4366" s="66" t="str">
        <f>IF(Eighteenth!I119="", "",Eighteenth!I119)</f>
        <v/>
      </c>
      <c r="J4366" s="66" t="str">
        <f>IF(Eighteenth!J119="", "",Eighteenth!J119)</f>
        <v/>
      </c>
      <c r="K4366" s="86" t="str">
        <f>IF(Eighteenth!K119="", "",Eighteenth!K119)</f>
        <v/>
      </c>
      <c r="M4366" s="67" t="str">
        <f t="shared" si="206"/>
        <v/>
      </c>
      <c r="N4366" s="76" t="str">
        <f t="shared" si="207"/>
        <v/>
      </c>
      <c r="O4366" s="33">
        <f t="shared" si="205"/>
        <v>0</v>
      </c>
    </row>
    <row r="4367" spans="1:15" x14ac:dyDescent="0.25">
      <c r="A4367" s="64" t="s">
        <v>189</v>
      </c>
      <c r="B4367" s="79" t="str">
        <f>IF(Eighteenth!B120="", "",Eighteenth!B120)</f>
        <v/>
      </c>
      <c r="C4367" s="66" t="str">
        <f>IF(Eighteenth!C120="", "",Eighteenth!C120)</f>
        <v/>
      </c>
      <c r="D4367" s="66" t="str">
        <f>IF(Eighteenth!D120="", "",Eighteenth!D120)</f>
        <v/>
      </c>
      <c r="E4367" s="66" t="str">
        <f>IF(Eighteenth!E120="", "",Eighteenth!E120)</f>
        <v/>
      </c>
      <c r="F4367" s="66" t="str">
        <f>IF(Eighteenth!F120="", "",Eighteenth!F120)</f>
        <v/>
      </c>
      <c r="G4367" s="66" t="str">
        <f>IF(Eighteenth!G120="", "",Eighteenth!G120)</f>
        <v/>
      </c>
      <c r="H4367" s="66" t="str">
        <f>IF(Eighteenth!H120="", "",Eighteenth!H120)</f>
        <v/>
      </c>
      <c r="I4367" s="66" t="str">
        <f>IF(Eighteenth!I120="", "",Eighteenth!I120)</f>
        <v/>
      </c>
      <c r="J4367" s="66" t="str">
        <f>IF(Eighteenth!J120="", "",Eighteenth!J120)</f>
        <v/>
      </c>
      <c r="K4367" s="86" t="str">
        <f>IF(Eighteenth!K120="", "",Eighteenth!K120)</f>
        <v/>
      </c>
      <c r="M4367" s="67" t="str">
        <f t="shared" si="206"/>
        <v/>
      </c>
      <c r="N4367" s="76" t="str">
        <f t="shared" si="207"/>
        <v/>
      </c>
      <c r="O4367" s="33">
        <f t="shared" si="205"/>
        <v>0</v>
      </c>
    </row>
    <row r="4368" spans="1:15" x14ac:dyDescent="0.25">
      <c r="A4368" s="64" t="s">
        <v>189</v>
      </c>
      <c r="B4368" s="79" t="str">
        <f>IF(Eighteenth!B121="", "",Eighteenth!B121)</f>
        <v/>
      </c>
      <c r="C4368" s="66" t="str">
        <f>IF(Eighteenth!C121="", "",Eighteenth!C121)</f>
        <v/>
      </c>
      <c r="D4368" s="66" t="str">
        <f>IF(Eighteenth!D121="", "",Eighteenth!D121)</f>
        <v/>
      </c>
      <c r="E4368" s="66" t="str">
        <f>IF(Eighteenth!E121="", "",Eighteenth!E121)</f>
        <v/>
      </c>
      <c r="F4368" s="66" t="str">
        <f>IF(Eighteenth!F121="", "",Eighteenth!F121)</f>
        <v/>
      </c>
      <c r="G4368" s="66" t="str">
        <f>IF(Eighteenth!G121="", "",Eighteenth!G121)</f>
        <v/>
      </c>
      <c r="H4368" s="66" t="str">
        <f>IF(Eighteenth!H121="", "",Eighteenth!H121)</f>
        <v/>
      </c>
      <c r="I4368" s="66" t="str">
        <f>IF(Eighteenth!I121="", "",Eighteenth!I121)</f>
        <v/>
      </c>
      <c r="J4368" s="66" t="str">
        <f>IF(Eighteenth!J121="", "",Eighteenth!J121)</f>
        <v/>
      </c>
      <c r="K4368" s="86" t="str">
        <f>IF(Eighteenth!K121="", "",Eighteenth!K121)</f>
        <v/>
      </c>
      <c r="M4368" s="67" t="str">
        <f t="shared" si="206"/>
        <v/>
      </c>
      <c r="N4368" s="76" t="str">
        <f t="shared" si="207"/>
        <v/>
      </c>
      <c r="O4368" s="33">
        <f t="shared" si="205"/>
        <v>0</v>
      </c>
    </row>
    <row r="4369" spans="1:15" x14ac:dyDescent="0.25">
      <c r="A4369" s="64" t="s">
        <v>189</v>
      </c>
      <c r="B4369" s="79" t="str">
        <f>IF(Eighteenth!B122="", "",Eighteenth!B122)</f>
        <v/>
      </c>
      <c r="C4369" s="66" t="str">
        <f>IF(Eighteenth!C122="", "",Eighteenth!C122)</f>
        <v/>
      </c>
      <c r="D4369" s="66" t="str">
        <f>IF(Eighteenth!D122="", "",Eighteenth!D122)</f>
        <v/>
      </c>
      <c r="E4369" s="66" t="str">
        <f>IF(Eighteenth!E122="", "",Eighteenth!E122)</f>
        <v/>
      </c>
      <c r="F4369" s="66" t="str">
        <f>IF(Eighteenth!F122="", "",Eighteenth!F122)</f>
        <v/>
      </c>
      <c r="G4369" s="66" t="str">
        <f>IF(Eighteenth!G122="", "",Eighteenth!G122)</f>
        <v/>
      </c>
      <c r="H4369" s="66" t="str">
        <f>IF(Eighteenth!H122="", "",Eighteenth!H122)</f>
        <v/>
      </c>
      <c r="I4369" s="66" t="str">
        <f>IF(Eighteenth!I122="", "",Eighteenth!I122)</f>
        <v/>
      </c>
      <c r="J4369" s="66" t="str">
        <f>IF(Eighteenth!J122="", "",Eighteenth!J122)</f>
        <v/>
      </c>
      <c r="K4369" s="86" t="str">
        <f>IF(Eighteenth!K122="", "",Eighteenth!K122)</f>
        <v/>
      </c>
      <c r="M4369" s="67" t="str">
        <f t="shared" si="206"/>
        <v/>
      </c>
      <c r="N4369" s="76" t="str">
        <f t="shared" si="207"/>
        <v/>
      </c>
      <c r="O4369" s="33">
        <f t="shared" si="205"/>
        <v>0</v>
      </c>
    </row>
    <row r="4370" spans="1:15" x14ac:dyDescent="0.25">
      <c r="A4370" s="64" t="s">
        <v>189</v>
      </c>
      <c r="B4370" s="79" t="str">
        <f>IF(Eighteenth!B123="", "",Eighteenth!B123)</f>
        <v/>
      </c>
      <c r="C4370" s="66" t="str">
        <f>IF(Eighteenth!C123="", "",Eighteenth!C123)</f>
        <v/>
      </c>
      <c r="D4370" s="66" t="str">
        <f>IF(Eighteenth!D123="", "",Eighteenth!D123)</f>
        <v/>
      </c>
      <c r="E4370" s="66" t="str">
        <f>IF(Eighteenth!E123="", "",Eighteenth!E123)</f>
        <v/>
      </c>
      <c r="F4370" s="66" t="str">
        <f>IF(Eighteenth!F123="", "",Eighteenth!F123)</f>
        <v/>
      </c>
      <c r="G4370" s="66" t="str">
        <f>IF(Eighteenth!G123="", "",Eighteenth!G123)</f>
        <v/>
      </c>
      <c r="H4370" s="66" t="str">
        <f>IF(Eighteenth!H123="", "",Eighteenth!H123)</f>
        <v/>
      </c>
      <c r="I4370" s="66" t="str">
        <f>IF(Eighteenth!I123="", "",Eighteenth!I123)</f>
        <v/>
      </c>
      <c r="J4370" s="66" t="str">
        <f>IF(Eighteenth!J123="", "",Eighteenth!J123)</f>
        <v/>
      </c>
      <c r="K4370" s="86" t="str">
        <f>IF(Eighteenth!K123="", "",Eighteenth!K123)</f>
        <v/>
      </c>
      <c r="M4370" s="67" t="str">
        <f t="shared" si="206"/>
        <v/>
      </c>
      <c r="N4370" s="76" t="str">
        <f t="shared" si="207"/>
        <v/>
      </c>
      <c r="O4370" s="33">
        <f t="shared" si="205"/>
        <v>0</v>
      </c>
    </row>
    <row r="4371" spans="1:15" x14ac:dyDescent="0.25">
      <c r="A4371" s="64" t="s">
        <v>189</v>
      </c>
      <c r="B4371" s="79" t="str">
        <f>IF(Eighteenth!B124="", "",Eighteenth!B124)</f>
        <v/>
      </c>
      <c r="C4371" s="66" t="str">
        <f>IF(Eighteenth!C124="", "",Eighteenth!C124)</f>
        <v/>
      </c>
      <c r="D4371" s="66" t="str">
        <f>IF(Eighteenth!D124="", "",Eighteenth!D124)</f>
        <v/>
      </c>
      <c r="E4371" s="66" t="str">
        <f>IF(Eighteenth!E124="", "",Eighteenth!E124)</f>
        <v/>
      </c>
      <c r="F4371" s="66" t="str">
        <f>IF(Eighteenth!F124="", "",Eighteenth!F124)</f>
        <v/>
      </c>
      <c r="G4371" s="66" t="str">
        <f>IF(Eighteenth!G124="", "",Eighteenth!G124)</f>
        <v/>
      </c>
      <c r="H4371" s="66" t="str">
        <f>IF(Eighteenth!H124="", "",Eighteenth!H124)</f>
        <v/>
      </c>
      <c r="I4371" s="66" t="str">
        <f>IF(Eighteenth!I124="", "",Eighteenth!I124)</f>
        <v/>
      </c>
      <c r="J4371" s="66" t="str">
        <f>IF(Eighteenth!J124="", "",Eighteenth!J124)</f>
        <v/>
      </c>
      <c r="K4371" s="86" t="str">
        <f>IF(Eighteenth!K124="", "",Eighteenth!K124)</f>
        <v/>
      </c>
      <c r="M4371" s="67" t="str">
        <f t="shared" si="206"/>
        <v/>
      </c>
      <c r="N4371" s="76" t="str">
        <f t="shared" si="207"/>
        <v/>
      </c>
      <c r="O4371" s="33">
        <f t="shared" si="205"/>
        <v>0</v>
      </c>
    </row>
    <row r="4372" spans="1:15" x14ac:dyDescent="0.25">
      <c r="A4372" s="64" t="s">
        <v>189</v>
      </c>
      <c r="B4372" s="79" t="str">
        <f>IF(Eighteenth!B125="", "",Eighteenth!B125)</f>
        <v/>
      </c>
      <c r="C4372" s="66" t="str">
        <f>IF(Eighteenth!C125="", "",Eighteenth!C125)</f>
        <v/>
      </c>
      <c r="D4372" s="66" t="str">
        <f>IF(Eighteenth!D125="", "",Eighteenth!D125)</f>
        <v/>
      </c>
      <c r="E4372" s="66" t="str">
        <f>IF(Eighteenth!E125="", "",Eighteenth!E125)</f>
        <v/>
      </c>
      <c r="F4372" s="66" t="str">
        <f>IF(Eighteenth!F125="", "",Eighteenth!F125)</f>
        <v/>
      </c>
      <c r="G4372" s="66" t="str">
        <f>IF(Eighteenth!G125="", "",Eighteenth!G125)</f>
        <v/>
      </c>
      <c r="H4372" s="66" t="str">
        <f>IF(Eighteenth!H125="", "",Eighteenth!H125)</f>
        <v/>
      </c>
      <c r="I4372" s="66" t="str">
        <f>IF(Eighteenth!I125="", "",Eighteenth!I125)</f>
        <v/>
      </c>
      <c r="J4372" s="66" t="str">
        <f>IF(Eighteenth!J125="", "",Eighteenth!J125)</f>
        <v/>
      </c>
      <c r="K4372" s="86" t="str">
        <f>IF(Eighteenth!K125="", "",Eighteenth!K125)</f>
        <v/>
      </c>
      <c r="M4372" s="67" t="str">
        <f t="shared" si="206"/>
        <v/>
      </c>
      <c r="N4372" s="76" t="str">
        <f t="shared" si="207"/>
        <v/>
      </c>
      <c r="O4372" s="33">
        <f t="shared" si="205"/>
        <v>0</v>
      </c>
    </row>
    <row r="4373" spans="1:15" x14ac:dyDescent="0.25">
      <c r="A4373" s="64" t="s">
        <v>189</v>
      </c>
      <c r="B4373" s="79" t="str">
        <f>IF(Eighteenth!B126="", "",Eighteenth!B126)</f>
        <v/>
      </c>
      <c r="C4373" s="66" t="str">
        <f>IF(Eighteenth!C126="", "",Eighteenth!C126)</f>
        <v/>
      </c>
      <c r="D4373" s="66" t="str">
        <f>IF(Eighteenth!D126="", "",Eighteenth!D126)</f>
        <v/>
      </c>
      <c r="E4373" s="66" t="str">
        <f>IF(Eighteenth!E126="", "",Eighteenth!E126)</f>
        <v/>
      </c>
      <c r="F4373" s="66" t="str">
        <f>IF(Eighteenth!F126="", "",Eighteenth!F126)</f>
        <v/>
      </c>
      <c r="G4373" s="66" t="str">
        <f>IF(Eighteenth!G126="", "",Eighteenth!G126)</f>
        <v/>
      </c>
      <c r="H4373" s="66" t="str">
        <f>IF(Eighteenth!H126="", "",Eighteenth!H126)</f>
        <v/>
      </c>
      <c r="I4373" s="66" t="str">
        <f>IF(Eighteenth!I126="", "",Eighteenth!I126)</f>
        <v/>
      </c>
      <c r="J4373" s="66" t="str">
        <f>IF(Eighteenth!J126="", "",Eighteenth!J126)</f>
        <v/>
      </c>
      <c r="K4373" s="86" t="str">
        <f>IF(Eighteenth!K126="", "",Eighteenth!K126)</f>
        <v/>
      </c>
      <c r="M4373" s="67" t="str">
        <f t="shared" si="206"/>
        <v/>
      </c>
      <c r="N4373" s="76" t="str">
        <f t="shared" si="207"/>
        <v/>
      </c>
      <c r="O4373" s="33">
        <f t="shared" si="205"/>
        <v>0</v>
      </c>
    </row>
    <row r="4374" spans="1:15" x14ac:dyDescent="0.25">
      <c r="A4374" s="64" t="s">
        <v>189</v>
      </c>
      <c r="B4374" s="79" t="str">
        <f>IF(Eighteenth!B127="", "",Eighteenth!B127)</f>
        <v/>
      </c>
      <c r="C4374" s="66" t="str">
        <f>IF(Eighteenth!C127="", "",Eighteenth!C127)</f>
        <v/>
      </c>
      <c r="D4374" s="66" t="str">
        <f>IF(Eighteenth!D127="", "",Eighteenth!D127)</f>
        <v/>
      </c>
      <c r="E4374" s="66" t="str">
        <f>IF(Eighteenth!E127="", "",Eighteenth!E127)</f>
        <v/>
      </c>
      <c r="F4374" s="66" t="str">
        <f>IF(Eighteenth!F127="", "",Eighteenth!F127)</f>
        <v/>
      </c>
      <c r="G4374" s="66" t="str">
        <f>IF(Eighteenth!G127="", "",Eighteenth!G127)</f>
        <v/>
      </c>
      <c r="H4374" s="66" t="str">
        <f>IF(Eighteenth!H127="", "",Eighteenth!H127)</f>
        <v/>
      </c>
      <c r="I4374" s="66" t="str">
        <f>IF(Eighteenth!I127="", "",Eighteenth!I127)</f>
        <v/>
      </c>
      <c r="J4374" s="66" t="str">
        <f>IF(Eighteenth!J127="", "",Eighteenth!J127)</f>
        <v/>
      </c>
      <c r="K4374" s="86" t="str">
        <f>IF(Eighteenth!K127="", "",Eighteenth!K127)</f>
        <v/>
      </c>
      <c r="M4374" s="67" t="str">
        <f t="shared" si="206"/>
        <v/>
      </c>
      <c r="N4374" s="76" t="str">
        <f t="shared" si="207"/>
        <v/>
      </c>
      <c r="O4374" s="33">
        <f t="shared" si="205"/>
        <v>0</v>
      </c>
    </row>
    <row r="4375" spans="1:15" x14ac:dyDescent="0.25">
      <c r="A4375" s="64" t="s">
        <v>189</v>
      </c>
      <c r="B4375" s="79" t="str">
        <f>IF(Eighteenth!B128="", "",Eighteenth!B128)</f>
        <v/>
      </c>
      <c r="C4375" s="66" t="str">
        <f>IF(Eighteenth!C128="", "",Eighteenth!C128)</f>
        <v/>
      </c>
      <c r="D4375" s="66" t="str">
        <f>IF(Eighteenth!D128="", "",Eighteenth!D128)</f>
        <v/>
      </c>
      <c r="E4375" s="66" t="str">
        <f>IF(Eighteenth!E128="", "",Eighteenth!E128)</f>
        <v/>
      </c>
      <c r="F4375" s="66" t="str">
        <f>IF(Eighteenth!F128="", "",Eighteenth!F128)</f>
        <v/>
      </c>
      <c r="G4375" s="66" t="str">
        <f>IF(Eighteenth!G128="", "",Eighteenth!G128)</f>
        <v/>
      </c>
      <c r="H4375" s="66" t="str">
        <f>IF(Eighteenth!H128="", "",Eighteenth!H128)</f>
        <v/>
      </c>
      <c r="I4375" s="66" t="str">
        <f>IF(Eighteenth!I128="", "",Eighteenth!I128)</f>
        <v/>
      </c>
      <c r="J4375" s="66" t="str">
        <f>IF(Eighteenth!J128="", "",Eighteenth!J128)</f>
        <v/>
      </c>
      <c r="K4375" s="86" t="str">
        <f>IF(Eighteenth!K128="", "",Eighteenth!K128)</f>
        <v/>
      </c>
      <c r="M4375" s="67" t="str">
        <f t="shared" si="206"/>
        <v/>
      </c>
      <c r="N4375" s="76" t="str">
        <f t="shared" si="207"/>
        <v/>
      </c>
      <c r="O4375" s="33">
        <f t="shared" si="205"/>
        <v>0</v>
      </c>
    </row>
    <row r="4376" spans="1:15" x14ac:dyDescent="0.25">
      <c r="A4376" s="64" t="s">
        <v>189</v>
      </c>
      <c r="B4376" s="79" t="str">
        <f>IF(Eighteenth!B129="", "",Eighteenth!B129)</f>
        <v/>
      </c>
      <c r="C4376" s="66" t="str">
        <f>IF(Eighteenth!C129="", "",Eighteenth!C129)</f>
        <v/>
      </c>
      <c r="D4376" s="66" t="str">
        <f>IF(Eighteenth!D129="", "",Eighteenth!D129)</f>
        <v/>
      </c>
      <c r="E4376" s="66" t="str">
        <f>IF(Eighteenth!E129="", "",Eighteenth!E129)</f>
        <v/>
      </c>
      <c r="F4376" s="66" t="str">
        <f>IF(Eighteenth!F129="", "",Eighteenth!F129)</f>
        <v/>
      </c>
      <c r="G4376" s="66" t="str">
        <f>IF(Eighteenth!G129="", "",Eighteenth!G129)</f>
        <v/>
      </c>
      <c r="H4376" s="66" t="str">
        <f>IF(Eighteenth!H129="", "",Eighteenth!H129)</f>
        <v/>
      </c>
      <c r="I4376" s="66" t="str">
        <f>IF(Eighteenth!I129="", "",Eighteenth!I129)</f>
        <v/>
      </c>
      <c r="J4376" s="66" t="str">
        <f>IF(Eighteenth!J129="", "",Eighteenth!J129)</f>
        <v/>
      </c>
      <c r="K4376" s="86" t="str">
        <f>IF(Eighteenth!K129="", "",Eighteenth!K129)</f>
        <v/>
      </c>
      <c r="M4376" s="67" t="str">
        <f t="shared" si="206"/>
        <v/>
      </c>
      <c r="N4376" s="76" t="str">
        <f t="shared" si="207"/>
        <v/>
      </c>
      <c r="O4376" s="33">
        <f t="shared" si="205"/>
        <v>0</v>
      </c>
    </row>
    <row r="4377" spans="1:15" x14ac:dyDescent="0.25">
      <c r="A4377" s="64" t="s">
        <v>189</v>
      </c>
      <c r="B4377" s="79" t="str">
        <f>IF(Eighteenth!B130="", "",Eighteenth!B130)</f>
        <v/>
      </c>
      <c r="C4377" s="66" t="str">
        <f>IF(Eighteenth!C130="", "",Eighteenth!C130)</f>
        <v/>
      </c>
      <c r="D4377" s="66" t="str">
        <f>IF(Eighteenth!D130="", "",Eighteenth!D130)</f>
        <v/>
      </c>
      <c r="E4377" s="66" t="str">
        <f>IF(Eighteenth!E130="", "",Eighteenth!E130)</f>
        <v/>
      </c>
      <c r="F4377" s="66" t="str">
        <f>IF(Eighteenth!F130="", "",Eighteenth!F130)</f>
        <v/>
      </c>
      <c r="G4377" s="66" t="str">
        <f>IF(Eighteenth!G130="", "",Eighteenth!G130)</f>
        <v/>
      </c>
      <c r="H4377" s="66" t="str">
        <f>IF(Eighteenth!H130="", "",Eighteenth!H130)</f>
        <v/>
      </c>
      <c r="I4377" s="66" t="str">
        <f>IF(Eighteenth!I130="", "",Eighteenth!I130)</f>
        <v/>
      </c>
      <c r="J4377" s="66" t="str">
        <f>IF(Eighteenth!J130="", "",Eighteenth!J130)</f>
        <v/>
      </c>
      <c r="K4377" s="86" t="str">
        <f>IF(Eighteenth!K130="", "",Eighteenth!K130)</f>
        <v/>
      </c>
      <c r="M4377" s="67" t="str">
        <f t="shared" si="206"/>
        <v/>
      </c>
      <c r="N4377" s="76" t="str">
        <f t="shared" si="207"/>
        <v/>
      </c>
      <c r="O4377" s="33">
        <f t="shared" si="205"/>
        <v>0</v>
      </c>
    </row>
    <row r="4378" spans="1:15" x14ac:dyDescent="0.25">
      <c r="A4378" s="64" t="s">
        <v>189</v>
      </c>
      <c r="B4378" s="79" t="str">
        <f>IF(Eighteenth!B131="", "",Eighteenth!B131)</f>
        <v/>
      </c>
      <c r="C4378" s="66" t="str">
        <f>IF(Eighteenth!C131="", "",Eighteenth!C131)</f>
        <v/>
      </c>
      <c r="D4378" s="66" t="str">
        <f>IF(Eighteenth!D131="", "",Eighteenth!D131)</f>
        <v/>
      </c>
      <c r="E4378" s="66" t="str">
        <f>IF(Eighteenth!E131="", "",Eighteenth!E131)</f>
        <v/>
      </c>
      <c r="F4378" s="66" t="str">
        <f>IF(Eighteenth!F131="", "",Eighteenth!F131)</f>
        <v/>
      </c>
      <c r="G4378" s="66" t="str">
        <f>IF(Eighteenth!G131="", "",Eighteenth!G131)</f>
        <v/>
      </c>
      <c r="H4378" s="66" t="str">
        <f>IF(Eighteenth!H131="", "",Eighteenth!H131)</f>
        <v/>
      </c>
      <c r="I4378" s="66" t="str">
        <f>IF(Eighteenth!I131="", "",Eighteenth!I131)</f>
        <v/>
      </c>
      <c r="J4378" s="66" t="str">
        <f>IF(Eighteenth!J131="", "",Eighteenth!J131)</f>
        <v/>
      </c>
      <c r="K4378" s="86" t="str">
        <f>IF(Eighteenth!K131="", "",Eighteenth!K131)</f>
        <v/>
      </c>
      <c r="M4378" s="67" t="str">
        <f t="shared" si="206"/>
        <v/>
      </c>
      <c r="N4378" s="76" t="str">
        <f t="shared" si="207"/>
        <v/>
      </c>
      <c r="O4378" s="33">
        <f t="shared" si="205"/>
        <v>0</v>
      </c>
    </row>
    <row r="4379" spans="1:15" x14ac:dyDescent="0.25">
      <c r="A4379" s="64" t="s">
        <v>189</v>
      </c>
      <c r="B4379" s="79" t="str">
        <f>IF(Eighteenth!B132="", "",Eighteenth!B132)</f>
        <v/>
      </c>
      <c r="C4379" s="66" t="str">
        <f>IF(Eighteenth!C132="", "",Eighteenth!C132)</f>
        <v/>
      </c>
      <c r="D4379" s="66" t="str">
        <f>IF(Eighteenth!D132="", "",Eighteenth!D132)</f>
        <v/>
      </c>
      <c r="E4379" s="66" t="str">
        <f>IF(Eighteenth!E132="", "",Eighteenth!E132)</f>
        <v/>
      </c>
      <c r="F4379" s="66" t="str">
        <f>IF(Eighteenth!F132="", "",Eighteenth!F132)</f>
        <v/>
      </c>
      <c r="G4379" s="66" t="str">
        <f>IF(Eighteenth!G132="", "",Eighteenth!G132)</f>
        <v/>
      </c>
      <c r="H4379" s="66" t="str">
        <f>IF(Eighteenth!H132="", "",Eighteenth!H132)</f>
        <v/>
      </c>
      <c r="I4379" s="66" t="str">
        <f>IF(Eighteenth!I132="", "",Eighteenth!I132)</f>
        <v/>
      </c>
      <c r="J4379" s="66" t="str">
        <f>IF(Eighteenth!J132="", "",Eighteenth!J132)</f>
        <v/>
      </c>
      <c r="K4379" s="86" t="str">
        <f>IF(Eighteenth!K132="", "",Eighteenth!K132)</f>
        <v/>
      </c>
      <c r="M4379" s="67" t="str">
        <f t="shared" si="206"/>
        <v/>
      </c>
      <c r="N4379" s="76" t="str">
        <f t="shared" si="207"/>
        <v/>
      </c>
      <c r="O4379" s="33">
        <f t="shared" si="205"/>
        <v>0</v>
      </c>
    </row>
    <row r="4380" spans="1:15" x14ac:dyDescent="0.25">
      <c r="A4380" s="64" t="s">
        <v>189</v>
      </c>
      <c r="B4380" s="79" t="str">
        <f>IF(Eighteenth!B133="", "",Eighteenth!B133)</f>
        <v/>
      </c>
      <c r="C4380" s="66" t="str">
        <f>IF(Eighteenth!C133="", "",Eighteenth!C133)</f>
        <v/>
      </c>
      <c r="D4380" s="66" t="str">
        <f>IF(Eighteenth!D133="", "",Eighteenth!D133)</f>
        <v/>
      </c>
      <c r="E4380" s="66" t="str">
        <f>IF(Eighteenth!E133="", "",Eighteenth!E133)</f>
        <v/>
      </c>
      <c r="F4380" s="66" t="str">
        <f>IF(Eighteenth!F133="", "",Eighteenth!F133)</f>
        <v/>
      </c>
      <c r="G4380" s="66" t="str">
        <f>IF(Eighteenth!G133="", "",Eighteenth!G133)</f>
        <v/>
      </c>
      <c r="H4380" s="66" t="str">
        <f>IF(Eighteenth!H133="", "",Eighteenth!H133)</f>
        <v/>
      </c>
      <c r="I4380" s="66" t="str">
        <f>IF(Eighteenth!I133="", "",Eighteenth!I133)</f>
        <v/>
      </c>
      <c r="J4380" s="66" t="str">
        <f>IF(Eighteenth!J133="", "",Eighteenth!J133)</f>
        <v/>
      </c>
      <c r="K4380" s="86" t="str">
        <f>IF(Eighteenth!K133="", "",Eighteenth!K133)</f>
        <v/>
      </c>
      <c r="M4380" s="67" t="str">
        <f t="shared" si="206"/>
        <v/>
      </c>
      <c r="N4380" s="76" t="str">
        <f t="shared" si="207"/>
        <v/>
      </c>
      <c r="O4380" s="33">
        <f t="shared" si="205"/>
        <v>0</v>
      </c>
    </row>
    <row r="4381" spans="1:15" x14ac:dyDescent="0.25">
      <c r="A4381" s="64" t="s">
        <v>189</v>
      </c>
      <c r="B4381" s="79" t="str">
        <f>IF(Eighteenth!B134="", "",Eighteenth!B134)</f>
        <v/>
      </c>
      <c r="C4381" s="66" t="str">
        <f>IF(Eighteenth!C134="", "",Eighteenth!C134)</f>
        <v/>
      </c>
      <c r="D4381" s="66" t="str">
        <f>IF(Eighteenth!D134="", "",Eighteenth!D134)</f>
        <v/>
      </c>
      <c r="E4381" s="66" t="str">
        <f>IF(Eighteenth!E134="", "",Eighteenth!E134)</f>
        <v/>
      </c>
      <c r="F4381" s="66" t="str">
        <f>IF(Eighteenth!F134="", "",Eighteenth!F134)</f>
        <v/>
      </c>
      <c r="G4381" s="66" t="str">
        <f>IF(Eighteenth!G134="", "",Eighteenth!G134)</f>
        <v/>
      </c>
      <c r="H4381" s="66" t="str">
        <f>IF(Eighteenth!H134="", "",Eighteenth!H134)</f>
        <v/>
      </c>
      <c r="I4381" s="66" t="str">
        <f>IF(Eighteenth!I134="", "",Eighteenth!I134)</f>
        <v/>
      </c>
      <c r="J4381" s="66" t="str">
        <f>IF(Eighteenth!J134="", "",Eighteenth!J134)</f>
        <v/>
      </c>
      <c r="K4381" s="86" t="str">
        <f>IF(Eighteenth!K134="", "",Eighteenth!K134)</f>
        <v/>
      </c>
      <c r="M4381" s="67" t="str">
        <f t="shared" si="206"/>
        <v/>
      </c>
      <c r="N4381" s="76" t="str">
        <f t="shared" si="207"/>
        <v/>
      </c>
      <c r="O4381" s="33">
        <f t="shared" si="205"/>
        <v>0</v>
      </c>
    </row>
    <row r="4382" spans="1:15" x14ac:dyDescent="0.25">
      <c r="A4382" s="64" t="s">
        <v>189</v>
      </c>
      <c r="B4382" s="79" t="str">
        <f>IF(Eighteenth!B135="", "",Eighteenth!B135)</f>
        <v/>
      </c>
      <c r="C4382" s="66" t="str">
        <f>IF(Eighteenth!C135="", "",Eighteenth!C135)</f>
        <v/>
      </c>
      <c r="D4382" s="66" t="str">
        <f>IF(Eighteenth!D135="", "",Eighteenth!D135)</f>
        <v/>
      </c>
      <c r="E4382" s="66" t="str">
        <f>IF(Eighteenth!E135="", "",Eighteenth!E135)</f>
        <v/>
      </c>
      <c r="F4382" s="66" t="str">
        <f>IF(Eighteenth!F135="", "",Eighteenth!F135)</f>
        <v/>
      </c>
      <c r="G4382" s="66" t="str">
        <f>IF(Eighteenth!G135="", "",Eighteenth!G135)</f>
        <v/>
      </c>
      <c r="H4382" s="66" t="str">
        <f>IF(Eighteenth!H135="", "",Eighteenth!H135)</f>
        <v/>
      </c>
      <c r="I4382" s="66" t="str">
        <f>IF(Eighteenth!I135="", "",Eighteenth!I135)</f>
        <v/>
      </c>
      <c r="J4382" s="66" t="str">
        <f>IF(Eighteenth!J135="", "",Eighteenth!J135)</f>
        <v/>
      </c>
      <c r="K4382" s="86" t="str">
        <f>IF(Eighteenth!K135="", "",Eighteenth!K135)</f>
        <v/>
      </c>
      <c r="M4382" s="67" t="str">
        <f t="shared" si="206"/>
        <v/>
      </c>
      <c r="N4382" s="76" t="str">
        <f t="shared" si="207"/>
        <v/>
      </c>
      <c r="O4382" s="33">
        <f t="shared" si="205"/>
        <v>0</v>
      </c>
    </row>
    <row r="4383" spans="1:15" x14ac:dyDescent="0.25">
      <c r="A4383" s="64" t="s">
        <v>189</v>
      </c>
      <c r="B4383" s="79" t="str">
        <f>IF(Eighteenth!B136="", "",Eighteenth!B136)</f>
        <v/>
      </c>
      <c r="C4383" s="66" t="str">
        <f>IF(Eighteenth!C136="", "",Eighteenth!C136)</f>
        <v/>
      </c>
      <c r="D4383" s="66" t="str">
        <f>IF(Eighteenth!D136="", "",Eighteenth!D136)</f>
        <v/>
      </c>
      <c r="E4383" s="66" t="str">
        <f>IF(Eighteenth!E136="", "",Eighteenth!E136)</f>
        <v/>
      </c>
      <c r="F4383" s="66" t="str">
        <f>IF(Eighteenth!F136="", "",Eighteenth!F136)</f>
        <v/>
      </c>
      <c r="G4383" s="66" t="str">
        <f>IF(Eighteenth!G136="", "",Eighteenth!G136)</f>
        <v/>
      </c>
      <c r="H4383" s="66" t="str">
        <f>IF(Eighteenth!H136="", "",Eighteenth!H136)</f>
        <v/>
      </c>
      <c r="I4383" s="66" t="str">
        <f>IF(Eighteenth!I136="", "",Eighteenth!I136)</f>
        <v/>
      </c>
      <c r="J4383" s="66" t="str">
        <f>IF(Eighteenth!J136="", "",Eighteenth!J136)</f>
        <v/>
      </c>
      <c r="K4383" s="86" t="str">
        <f>IF(Eighteenth!K136="", "",Eighteenth!K136)</f>
        <v/>
      </c>
      <c r="M4383" s="67" t="str">
        <f t="shared" si="206"/>
        <v/>
      </c>
      <c r="N4383" s="76" t="str">
        <f t="shared" si="207"/>
        <v/>
      </c>
      <c r="O4383" s="33">
        <f t="shared" si="205"/>
        <v>0</v>
      </c>
    </row>
    <row r="4384" spans="1:15" x14ac:dyDescent="0.25">
      <c r="A4384" s="64" t="s">
        <v>189</v>
      </c>
      <c r="B4384" s="79" t="str">
        <f>IF(Eighteenth!B137="", "",Eighteenth!B137)</f>
        <v/>
      </c>
      <c r="C4384" s="66" t="str">
        <f>IF(Eighteenth!C137="", "",Eighteenth!C137)</f>
        <v/>
      </c>
      <c r="D4384" s="66" t="str">
        <f>IF(Eighteenth!D137="", "",Eighteenth!D137)</f>
        <v/>
      </c>
      <c r="E4384" s="66" t="str">
        <f>IF(Eighteenth!E137="", "",Eighteenth!E137)</f>
        <v/>
      </c>
      <c r="F4384" s="66" t="str">
        <f>IF(Eighteenth!F137="", "",Eighteenth!F137)</f>
        <v/>
      </c>
      <c r="G4384" s="66" t="str">
        <f>IF(Eighteenth!G137="", "",Eighteenth!G137)</f>
        <v/>
      </c>
      <c r="H4384" s="66" t="str">
        <f>IF(Eighteenth!H137="", "",Eighteenth!H137)</f>
        <v/>
      </c>
      <c r="I4384" s="66" t="str">
        <f>IF(Eighteenth!I137="", "",Eighteenth!I137)</f>
        <v/>
      </c>
      <c r="J4384" s="66" t="str">
        <f>IF(Eighteenth!J137="", "",Eighteenth!J137)</f>
        <v/>
      </c>
      <c r="K4384" s="86" t="str">
        <f>IF(Eighteenth!K137="", "",Eighteenth!K137)</f>
        <v/>
      </c>
      <c r="M4384" s="67" t="str">
        <f t="shared" si="206"/>
        <v/>
      </c>
      <c r="N4384" s="76" t="str">
        <f t="shared" si="207"/>
        <v/>
      </c>
      <c r="O4384" s="33">
        <f t="shared" si="205"/>
        <v>0</v>
      </c>
    </row>
    <row r="4385" spans="1:15" x14ac:dyDescent="0.25">
      <c r="A4385" s="64" t="s">
        <v>189</v>
      </c>
      <c r="B4385" s="79" t="str">
        <f>IF(Eighteenth!B138="", "",Eighteenth!B138)</f>
        <v/>
      </c>
      <c r="C4385" s="66" t="str">
        <f>IF(Eighteenth!C138="", "",Eighteenth!C138)</f>
        <v/>
      </c>
      <c r="D4385" s="66" t="str">
        <f>IF(Eighteenth!D138="", "",Eighteenth!D138)</f>
        <v/>
      </c>
      <c r="E4385" s="66" t="str">
        <f>IF(Eighteenth!E138="", "",Eighteenth!E138)</f>
        <v/>
      </c>
      <c r="F4385" s="66" t="str">
        <f>IF(Eighteenth!F138="", "",Eighteenth!F138)</f>
        <v/>
      </c>
      <c r="G4385" s="66" t="str">
        <f>IF(Eighteenth!G138="", "",Eighteenth!G138)</f>
        <v/>
      </c>
      <c r="H4385" s="66" t="str">
        <f>IF(Eighteenth!H138="", "",Eighteenth!H138)</f>
        <v/>
      </c>
      <c r="I4385" s="66" t="str">
        <f>IF(Eighteenth!I138="", "",Eighteenth!I138)</f>
        <v/>
      </c>
      <c r="J4385" s="66" t="str">
        <f>IF(Eighteenth!J138="", "",Eighteenth!J138)</f>
        <v/>
      </c>
      <c r="K4385" s="86" t="str">
        <f>IF(Eighteenth!K138="", "",Eighteenth!K138)</f>
        <v/>
      </c>
      <c r="M4385" s="67" t="str">
        <f t="shared" si="206"/>
        <v/>
      </c>
      <c r="N4385" s="76" t="str">
        <f t="shared" si="207"/>
        <v/>
      </c>
      <c r="O4385" s="33">
        <f t="shared" si="205"/>
        <v>0</v>
      </c>
    </row>
    <row r="4386" spans="1:15" x14ac:dyDescent="0.25">
      <c r="A4386" s="64" t="s">
        <v>189</v>
      </c>
      <c r="B4386" s="79" t="str">
        <f>IF(Eighteenth!B139="", "",Eighteenth!B139)</f>
        <v/>
      </c>
      <c r="C4386" s="66" t="str">
        <f>IF(Eighteenth!C139="", "",Eighteenth!C139)</f>
        <v/>
      </c>
      <c r="D4386" s="66" t="str">
        <f>IF(Eighteenth!D139="", "",Eighteenth!D139)</f>
        <v/>
      </c>
      <c r="E4386" s="66" t="str">
        <f>IF(Eighteenth!E139="", "",Eighteenth!E139)</f>
        <v/>
      </c>
      <c r="F4386" s="66" t="str">
        <f>IF(Eighteenth!F139="", "",Eighteenth!F139)</f>
        <v/>
      </c>
      <c r="G4386" s="66" t="str">
        <f>IF(Eighteenth!G139="", "",Eighteenth!G139)</f>
        <v/>
      </c>
      <c r="H4386" s="66" t="str">
        <f>IF(Eighteenth!H139="", "",Eighteenth!H139)</f>
        <v/>
      </c>
      <c r="I4386" s="66" t="str">
        <f>IF(Eighteenth!I139="", "",Eighteenth!I139)</f>
        <v/>
      </c>
      <c r="J4386" s="66" t="str">
        <f>IF(Eighteenth!J139="", "",Eighteenth!J139)</f>
        <v/>
      </c>
      <c r="K4386" s="86" t="str">
        <f>IF(Eighteenth!K139="", "",Eighteenth!K139)</f>
        <v/>
      </c>
      <c r="M4386" s="67" t="str">
        <f t="shared" si="206"/>
        <v/>
      </c>
      <c r="N4386" s="76" t="str">
        <f t="shared" si="207"/>
        <v/>
      </c>
      <c r="O4386" s="33">
        <f t="shared" si="205"/>
        <v>0</v>
      </c>
    </row>
    <row r="4387" spans="1:15" x14ac:dyDescent="0.25">
      <c r="A4387" s="64" t="s">
        <v>189</v>
      </c>
      <c r="B4387" s="79" t="str">
        <f>IF(Eighteenth!B140="", "",Eighteenth!B140)</f>
        <v/>
      </c>
      <c r="C4387" s="66" t="str">
        <f>IF(Eighteenth!C140="", "",Eighteenth!C140)</f>
        <v/>
      </c>
      <c r="D4387" s="66" t="str">
        <f>IF(Eighteenth!D140="", "",Eighteenth!D140)</f>
        <v/>
      </c>
      <c r="E4387" s="66" t="str">
        <f>IF(Eighteenth!E140="", "",Eighteenth!E140)</f>
        <v/>
      </c>
      <c r="F4387" s="66" t="str">
        <f>IF(Eighteenth!F140="", "",Eighteenth!F140)</f>
        <v/>
      </c>
      <c r="G4387" s="66" t="str">
        <f>IF(Eighteenth!G140="", "",Eighteenth!G140)</f>
        <v/>
      </c>
      <c r="H4387" s="66" t="str">
        <f>IF(Eighteenth!H140="", "",Eighteenth!H140)</f>
        <v/>
      </c>
      <c r="I4387" s="66" t="str">
        <f>IF(Eighteenth!I140="", "",Eighteenth!I140)</f>
        <v/>
      </c>
      <c r="J4387" s="66" t="str">
        <f>IF(Eighteenth!J140="", "",Eighteenth!J140)</f>
        <v/>
      </c>
      <c r="K4387" s="86" t="str">
        <f>IF(Eighteenth!K140="", "",Eighteenth!K140)</f>
        <v/>
      </c>
      <c r="M4387" s="67" t="str">
        <f t="shared" si="206"/>
        <v/>
      </c>
      <c r="N4387" s="76" t="str">
        <f t="shared" si="207"/>
        <v/>
      </c>
      <c r="O4387" s="33">
        <f t="shared" si="205"/>
        <v>0</v>
      </c>
    </row>
    <row r="4388" spans="1:15" x14ac:dyDescent="0.25">
      <c r="A4388" s="64" t="s">
        <v>189</v>
      </c>
      <c r="B4388" s="79" t="str">
        <f>IF(Eighteenth!B141="", "",Eighteenth!B141)</f>
        <v/>
      </c>
      <c r="C4388" s="66" t="str">
        <f>IF(Eighteenth!C141="", "",Eighteenth!C141)</f>
        <v/>
      </c>
      <c r="D4388" s="66" t="str">
        <f>IF(Eighteenth!D141="", "",Eighteenth!D141)</f>
        <v/>
      </c>
      <c r="E4388" s="66" t="str">
        <f>IF(Eighteenth!E141="", "",Eighteenth!E141)</f>
        <v/>
      </c>
      <c r="F4388" s="66" t="str">
        <f>IF(Eighteenth!F141="", "",Eighteenth!F141)</f>
        <v/>
      </c>
      <c r="G4388" s="66" t="str">
        <f>IF(Eighteenth!G141="", "",Eighteenth!G141)</f>
        <v/>
      </c>
      <c r="H4388" s="66" t="str">
        <f>IF(Eighteenth!H141="", "",Eighteenth!H141)</f>
        <v/>
      </c>
      <c r="I4388" s="66" t="str">
        <f>IF(Eighteenth!I141="", "",Eighteenth!I141)</f>
        <v/>
      </c>
      <c r="J4388" s="66" t="str">
        <f>IF(Eighteenth!J141="", "",Eighteenth!J141)</f>
        <v/>
      </c>
      <c r="K4388" s="86" t="str">
        <f>IF(Eighteenth!K141="", "",Eighteenth!K141)</f>
        <v/>
      </c>
      <c r="M4388" s="67" t="str">
        <f t="shared" si="206"/>
        <v/>
      </c>
      <c r="N4388" s="76" t="str">
        <f t="shared" si="207"/>
        <v/>
      </c>
      <c r="O4388" s="33">
        <f t="shared" si="205"/>
        <v>0</v>
      </c>
    </row>
    <row r="4389" spans="1:15" x14ac:dyDescent="0.25">
      <c r="A4389" s="64" t="s">
        <v>189</v>
      </c>
      <c r="B4389" s="79" t="str">
        <f>IF(Eighteenth!B142="", "",Eighteenth!B142)</f>
        <v/>
      </c>
      <c r="C4389" s="66" t="str">
        <f>IF(Eighteenth!C142="", "",Eighteenth!C142)</f>
        <v/>
      </c>
      <c r="D4389" s="66" t="str">
        <f>IF(Eighteenth!D142="", "",Eighteenth!D142)</f>
        <v/>
      </c>
      <c r="E4389" s="66" t="str">
        <f>IF(Eighteenth!E142="", "",Eighteenth!E142)</f>
        <v/>
      </c>
      <c r="F4389" s="66" t="str">
        <f>IF(Eighteenth!F142="", "",Eighteenth!F142)</f>
        <v/>
      </c>
      <c r="G4389" s="66" t="str">
        <f>IF(Eighteenth!G142="", "",Eighteenth!G142)</f>
        <v/>
      </c>
      <c r="H4389" s="66" t="str">
        <f>IF(Eighteenth!H142="", "",Eighteenth!H142)</f>
        <v/>
      </c>
      <c r="I4389" s="66" t="str">
        <f>IF(Eighteenth!I142="", "",Eighteenth!I142)</f>
        <v/>
      </c>
      <c r="J4389" s="66" t="str">
        <f>IF(Eighteenth!J142="", "",Eighteenth!J142)</f>
        <v/>
      </c>
      <c r="K4389" s="86" t="str">
        <f>IF(Eighteenth!K142="", "",Eighteenth!K142)</f>
        <v/>
      </c>
      <c r="M4389" s="67" t="str">
        <f t="shared" si="206"/>
        <v/>
      </c>
      <c r="N4389" s="76" t="str">
        <f t="shared" si="207"/>
        <v/>
      </c>
      <c r="O4389" s="33">
        <f t="shared" si="205"/>
        <v>0</v>
      </c>
    </row>
    <row r="4390" spans="1:15" x14ac:dyDescent="0.25">
      <c r="A4390" s="64" t="s">
        <v>189</v>
      </c>
      <c r="B4390" s="79" t="str">
        <f>IF(Eighteenth!B143="", "",Eighteenth!B143)</f>
        <v/>
      </c>
      <c r="C4390" s="66" t="str">
        <f>IF(Eighteenth!C143="", "",Eighteenth!C143)</f>
        <v/>
      </c>
      <c r="D4390" s="66" t="str">
        <f>IF(Eighteenth!D143="", "",Eighteenth!D143)</f>
        <v/>
      </c>
      <c r="E4390" s="66" t="str">
        <f>IF(Eighteenth!E143="", "",Eighteenth!E143)</f>
        <v/>
      </c>
      <c r="F4390" s="66" t="str">
        <f>IF(Eighteenth!F143="", "",Eighteenth!F143)</f>
        <v/>
      </c>
      <c r="G4390" s="66" t="str">
        <f>IF(Eighteenth!G143="", "",Eighteenth!G143)</f>
        <v/>
      </c>
      <c r="H4390" s="66" t="str">
        <f>IF(Eighteenth!H143="", "",Eighteenth!H143)</f>
        <v/>
      </c>
      <c r="I4390" s="66" t="str">
        <f>IF(Eighteenth!I143="", "",Eighteenth!I143)</f>
        <v/>
      </c>
      <c r="J4390" s="66" t="str">
        <f>IF(Eighteenth!J143="", "",Eighteenth!J143)</f>
        <v/>
      </c>
      <c r="K4390" s="86" t="str">
        <f>IF(Eighteenth!K143="", "",Eighteenth!K143)</f>
        <v/>
      </c>
      <c r="M4390" s="67" t="str">
        <f t="shared" si="206"/>
        <v/>
      </c>
      <c r="N4390" s="76" t="str">
        <f t="shared" si="207"/>
        <v/>
      </c>
      <c r="O4390" s="33">
        <f t="shared" si="205"/>
        <v>0</v>
      </c>
    </row>
    <row r="4391" spans="1:15" x14ac:dyDescent="0.25">
      <c r="A4391" s="64" t="s">
        <v>189</v>
      </c>
      <c r="B4391" s="79" t="str">
        <f>IF(Eighteenth!B144="", "",Eighteenth!B144)</f>
        <v/>
      </c>
      <c r="C4391" s="66" t="str">
        <f>IF(Eighteenth!C144="", "",Eighteenth!C144)</f>
        <v/>
      </c>
      <c r="D4391" s="66" t="str">
        <f>IF(Eighteenth!D144="", "",Eighteenth!D144)</f>
        <v/>
      </c>
      <c r="E4391" s="66" t="str">
        <f>IF(Eighteenth!E144="", "",Eighteenth!E144)</f>
        <v/>
      </c>
      <c r="F4391" s="66" t="str">
        <f>IF(Eighteenth!F144="", "",Eighteenth!F144)</f>
        <v/>
      </c>
      <c r="G4391" s="66" t="str">
        <f>IF(Eighteenth!G144="", "",Eighteenth!G144)</f>
        <v/>
      </c>
      <c r="H4391" s="66" t="str">
        <f>IF(Eighteenth!H144="", "",Eighteenth!H144)</f>
        <v/>
      </c>
      <c r="I4391" s="66" t="str">
        <f>IF(Eighteenth!I144="", "",Eighteenth!I144)</f>
        <v/>
      </c>
      <c r="J4391" s="66" t="str">
        <f>IF(Eighteenth!J144="", "",Eighteenth!J144)</f>
        <v/>
      </c>
      <c r="K4391" s="86" t="str">
        <f>IF(Eighteenth!K144="", "",Eighteenth!K144)</f>
        <v/>
      </c>
      <c r="M4391" s="67" t="str">
        <f t="shared" si="206"/>
        <v/>
      </c>
      <c r="N4391" s="76" t="str">
        <f t="shared" si="207"/>
        <v/>
      </c>
      <c r="O4391" s="33">
        <f t="shared" si="205"/>
        <v>0</v>
      </c>
    </row>
    <row r="4392" spans="1:15" x14ac:dyDescent="0.25">
      <c r="A4392" s="64" t="s">
        <v>189</v>
      </c>
      <c r="B4392" s="79" t="str">
        <f>IF(Eighteenth!B145="", "",Eighteenth!B145)</f>
        <v/>
      </c>
      <c r="C4392" s="66" t="str">
        <f>IF(Eighteenth!C145="", "",Eighteenth!C145)</f>
        <v/>
      </c>
      <c r="D4392" s="66" t="str">
        <f>IF(Eighteenth!D145="", "",Eighteenth!D145)</f>
        <v/>
      </c>
      <c r="E4392" s="66" t="str">
        <f>IF(Eighteenth!E145="", "",Eighteenth!E145)</f>
        <v/>
      </c>
      <c r="F4392" s="66" t="str">
        <f>IF(Eighteenth!F145="", "",Eighteenth!F145)</f>
        <v/>
      </c>
      <c r="G4392" s="66" t="str">
        <f>IF(Eighteenth!G145="", "",Eighteenth!G145)</f>
        <v/>
      </c>
      <c r="H4392" s="66" t="str">
        <f>IF(Eighteenth!H145="", "",Eighteenth!H145)</f>
        <v/>
      </c>
      <c r="I4392" s="66" t="str">
        <f>IF(Eighteenth!I145="", "",Eighteenth!I145)</f>
        <v/>
      </c>
      <c r="J4392" s="66" t="str">
        <f>IF(Eighteenth!J145="", "",Eighteenth!J145)</f>
        <v/>
      </c>
      <c r="K4392" s="86" t="str">
        <f>IF(Eighteenth!K145="", "",Eighteenth!K145)</f>
        <v/>
      </c>
      <c r="M4392" s="67" t="str">
        <f t="shared" si="206"/>
        <v/>
      </c>
      <c r="N4392" s="76" t="str">
        <f t="shared" si="207"/>
        <v/>
      </c>
      <c r="O4392" s="33">
        <f t="shared" si="205"/>
        <v>0</v>
      </c>
    </row>
    <row r="4393" spans="1:15" x14ac:dyDescent="0.25">
      <c r="A4393" s="64" t="s">
        <v>189</v>
      </c>
      <c r="B4393" s="79" t="str">
        <f>IF(Eighteenth!B146="", "",Eighteenth!B146)</f>
        <v/>
      </c>
      <c r="C4393" s="66" t="str">
        <f>IF(Eighteenth!C146="", "",Eighteenth!C146)</f>
        <v/>
      </c>
      <c r="D4393" s="66" t="str">
        <f>IF(Eighteenth!D146="", "",Eighteenth!D146)</f>
        <v/>
      </c>
      <c r="E4393" s="66" t="str">
        <f>IF(Eighteenth!E146="", "",Eighteenth!E146)</f>
        <v/>
      </c>
      <c r="F4393" s="66" t="str">
        <f>IF(Eighteenth!F146="", "",Eighteenth!F146)</f>
        <v/>
      </c>
      <c r="G4393" s="66" t="str">
        <f>IF(Eighteenth!G146="", "",Eighteenth!G146)</f>
        <v/>
      </c>
      <c r="H4393" s="66" t="str">
        <f>IF(Eighteenth!H146="", "",Eighteenth!H146)</f>
        <v/>
      </c>
      <c r="I4393" s="66" t="str">
        <f>IF(Eighteenth!I146="", "",Eighteenth!I146)</f>
        <v/>
      </c>
      <c r="J4393" s="66" t="str">
        <f>IF(Eighteenth!J146="", "",Eighteenth!J146)</f>
        <v/>
      </c>
      <c r="K4393" s="86" t="str">
        <f>IF(Eighteenth!K146="", "",Eighteenth!K146)</f>
        <v/>
      </c>
      <c r="M4393" s="67" t="str">
        <f t="shared" si="206"/>
        <v/>
      </c>
      <c r="N4393" s="76" t="str">
        <f t="shared" si="207"/>
        <v/>
      </c>
      <c r="O4393" s="33">
        <f t="shared" si="205"/>
        <v>0</v>
      </c>
    </row>
    <row r="4394" spans="1:15" x14ac:dyDescent="0.25">
      <c r="A4394" s="64" t="s">
        <v>189</v>
      </c>
      <c r="B4394" s="79" t="str">
        <f>IF(Eighteenth!B147="", "",Eighteenth!B147)</f>
        <v/>
      </c>
      <c r="C4394" s="66" t="str">
        <f>IF(Eighteenth!C147="", "",Eighteenth!C147)</f>
        <v/>
      </c>
      <c r="D4394" s="66" t="str">
        <f>IF(Eighteenth!D147="", "",Eighteenth!D147)</f>
        <v/>
      </c>
      <c r="E4394" s="66" t="str">
        <f>IF(Eighteenth!E147="", "",Eighteenth!E147)</f>
        <v/>
      </c>
      <c r="F4394" s="66" t="str">
        <f>IF(Eighteenth!F147="", "",Eighteenth!F147)</f>
        <v/>
      </c>
      <c r="G4394" s="66" t="str">
        <f>IF(Eighteenth!G147="", "",Eighteenth!G147)</f>
        <v/>
      </c>
      <c r="H4394" s="66" t="str">
        <f>IF(Eighteenth!H147="", "",Eighteenth!H147)</f>
        <v/>
      </c>
      <c r="I4394" s="66" t="str">
        <f>IF(Eighteenth!I147="", "",Eighteenth!I147)</f>
        <v/>
      </c>
      <c r="J4394" s="66" t="str">
        <f>IF(Eighteenth!J147="", "",Eighteenth!J147)</f>
        <v/>
      </c>
      <c r="K4394" s="86" t="str">
        <f>IF(Eighteenth!K147="", "",Eighteenth!K147)</f>
        <v/>
      </c>
      <c r="M4394" s="67" t="str">
        <f t="shared" si="206"/>
        <v/>
      </c>
      <c r="N4394" s="76" t="str">
        <f t="shared" si="207"/>
        <v/>
      </c>
      <c r="O4394" s="33">
        <f t="shared" ref="O4394:O4457" si="208">SUM(M4394:N4394)</f>
        <v>0</v>
      </c>
    </row>
    <row r="4395" spans="1:15" x14ac:dyDescent="0.25">
      <c r="A4395" s="64" t="s">
        <v>189</v>
      </c>
      <c r="B4395" s="79" t="str">
        <f>IF(Eighteenth!B148="", "",Eighteenth!B148)</f>
        <v/>
      </c>
      <c r="C4395" s="66" t="str">
        <f>IF(Eighteenth!C148="", "",Eighteenth!C148)</f>
        <v/>
      </c>
      <c r="D4395" s="66" t="str">
        <f>IF(Eighteenth!D148="", "",Eighteenth!D148)</f>
        <v/>
      </c>
      <c r="E4395" s="66" t="str">
        <f>IF(Eighteenth!E148="", "",Eighteenth!E148)</f>
        <v/>
      </c>
      <c r="F4395" s="66" t="str">
        <f>IF(Eighteenth!F148="", "",Eighteenth!F148)</f>
        <v/>
      </c>
      <c r="G4395" s="66" t="str">
        <f>IF(Eighteenth!G148="", "",Eighteenth!G148)</f>
        <v/>
      </c>
      <c r="H4395" s="66" t="str">
        <f>IF(Eighteenth!H148="", "",Eighteenth!H148)</f>
        <v/>
      </c>
      <c r="I4395" s="66" t="str">
        <f>IF(Eighteenth!I148="", "",Eighteenth!I148)</f>
        <v/>
      </c>
      <c r="J4395" s="66" t="str">
        <f>IF(Eighteenth!J148="", "",Eighteenth!J148)</f>
        <v/>
      </c>
      <c r="K4395" s="86" t="str">
        <f>IF(Eighteenth!K148="", "",Eighteenth!K148)</f>
        <v/>
      </c>
      <c r="M4395" s="67" t="str">
        <f t="shared" si="206"/>
        <v/>
      </c>
      <c r="N4395" s="76" t="str">
        <f t="shared" si="207"/>
        <v/>
      </c>
      <c r="O4395" s="33">
        <f t="shared" si="208"/>
        <v>0</v>
      </c>
    </row>
    <row r="4396" spans="1:15" x14ac:dyDescent="0.25">
      <c r="A4396" s="64" t="s">
        <v>189</v>
      </c>
      <c r="B4396" s="79" t="str">
        <f>IF(Eighteenth!B149="", "",Eighteenth!B149)</f>
        <v/>
      </c>
      <c r="C4396" s="66" t="str">
        <f>IF(Eighteenth!C149="", "",Eighteenth!C149)</f>
        <v/>
      </c>
      <c r="D4396" s="66" t="str">
        <f>IF(Eighteenth!D149="", "",Eighteenth!D149)</f>
        <v/>
      </c>
      <c r="E4396" s="66" t="str">
        <f>IF(Eighteenth!E149="", "",Eighteenth!E149)</f>
        <v/>
      </c>
      <c r="F4396" s="66" t="str">
        <f>IF(Eighteenth!F149="", "",Eighteenth!F149)</f>
        <v/>
      </c>
      <c r="G4396" s="66" t="str">
        <f>IF(Eighteenth!G149="", "",Eighteenth!G149)</f>
        <v/>
      </c>
      <c r="H4396" s="66" t="str">
        <f>IF(Eighteenth!H149="", "",Eighteenth!H149)</f>
        <v/>
      </c>
      <c r="I4396" s="66" t="str">
        <f>IF(Eighteenth!I149="", "",Eighteenth!I149)</f>
        <v/>
      </c>
      <c r="J4396" s="66" t="str">
        <f>IF(Eighteenth!J149="", "",Eighteenth!J149)</f>
        <v/>
      </c>
      <c r="K4396" s="86" t="str">
        <f>IF(Eighteenth!K149="", "",Eighteenth!K149)</f>
        <v/>
      </c>
      <c r="M4396" s="67" t="str">
        <f t="shared" si="206"/>
        <v/>
      </c>
      <c r="N4396" s="76" t="str">
        <f t="shared" si="207"/>
        <v/>
      </c>
      <c r="O4396" s="33">
        <f t="shared" si="208"/>
        <v>0</v>
      </c>
    </row>
    <row r="4397" spans="1:15" x14ac:dyDescent="0.25">
      <c r="A4397" s="64" t="s">
        <v>189</v>
      </c>
      <c r="B4397" s="79" t="str">
        <f>IF(Eighteenth!B150="", "",Eighteenth!B150)</f>
        <v/>
      </c>
      <c r="C4397" s="66" t="str">
        <f>IF(Eighteenth!C150="", "",Eighteenth!C150)</f>
        <v/>
      </c>
      <c r="D4397" s="66" t="str">
        <f>IF(Eighteenth!D150="", "",Eighteenth!D150)</f>
        <v/>
      </c>
      <c r="E4397" s="66" t="str">
        <f>IF(Eighteenth!E150="", "",Eighteenth!E150)</f>
        <v/>
      </c>
      <c r="F4397" s="66" t="str">
        <f>IF(Eighteenth!F150="", "",Eighteenth!F150)</f>
        <v/>
      </c>
      <c r="G4397" s="66" t="str">
        <f>IF(Eighteenth!G150="", "",Eighteenth!G150)</f>
        <v/>
      </c>
      <c r="H4397" s="66" t="str">
        <f>IF(Eighteenth!H150="", "",Eighteenth!H150)</f>
        <v/>
      </c>
      <c r="I4397" s="66" t="str">
        <f>IF(Eighteenth!I150="", "",Eighteenth!I150)</f>
        <v/>
      </c>
      <c r="J4397" s="66" t="str">
        <f>IF(Eighteenth!J150="", "",Eighteenth!J150)</f>
        <v/>
      </c>
      <c r="K4397" s="86" t="str">
        <f>IF(Eighteenth!K150="", "",Eighteenth!K150)</f>
        <v/>
      </c>
      <c r="M4397" s="67" t="str">
        <f t="shared" si="206"/>
        <v/>
      </c>
      <c r="N4397" s="76" t="str">
        <f t="shared" si="207"/>
        <v/>
      </c>
      <c r="O4397" s="33">
        <f t="shared" si="208"/>
        <v>0</v>
      </c>
    </row>
    <row r="4398" spans="1:15" x14ac:dyDescent="0.25">
      <c r="A4398" s="64" t="s">
        <v>189</v>
      </c>
      <c r="B4398" s="79" t="str">
        <f>IF(Eighteenth!B151="", "",Eighteenth!B151)</f>
        <v/>
      </c>
      <c r="C4398" s="66" t="str">
        <f>IF(Eighteenth!C151="", "",Eighteenth!C151)</f>
        <v/>
      </c>
      <c r="D4398" s="66" t="str">
        <f>IF(Eighteenth!D151="", "",Eighteenth!D151)</f>
        <v/>
      </c>
      <c r="E4398" s="66" t="str">
        <f>IF(Eighteenth!E151="", "",Eighteenth!E151)</f>
        <v/>
      </c>
      <c r="F4398" s="66" t="str">
        <f>IF(Eighteenth!F151="", "",Eighteenth!F151)</f>
        <v/>
      </c>
      <c r="G4398" s="66" t="str">
        <f>IF(Eighteenth!G151="", "",Eighteenth!G151)</f>
        <v/>
      </c>
      <c r="H4398" s="66" t="str">
        <f>IF(Eighteenth!H151="", "",Eighteenth!H151)</f>
        <v/>
      </c>
      <c r="I4398" s="66" t="str">
        <f>IF(Eighteenth!I151="", "",Eighteenth!I151)</f>
        <v/>
      </c>
      <c r="J4398" s="66" t="str">
        <f>IF(Eighteenth!J151="", "",Eighteenth!J151)</f>
        <v/>
      </c>
      <c r="K4398" s="86" t="str">
        <f>IF(Eighteenth!K151="", "",Eighteenth!K151)</f>
        <v/>
      </c>
      <c r="M4398" s="67" t="str">
        <f t="shared" si="206"/>
        <v/>
      </c>
      <c r="N4398" s="76" t="str">
        <f t="shared" si="207"/>
        <v/>
      </c>
      <c r="O4398" s="33">
        <f t="shared" si="208"/>
        <v>0</v>
      </c>
    </row>
    <row r="4399" spans="1:15" x14ac:dyDescent="0.25">
      <c r="A4399" s="64" t="s">
        <v>189</v>
      </c>
      <c r="B4399" s="79" t="str">
        <f>IF(Eighteenth!B152="", "",Eighteenth!B152)</f>
        <v/>
      </c>
      <c r="C4399" s="66" t="str">
        <f>IF(Eighteenth!C152="", "",Eighteenth!C152)</f>
        <v/>
      </c>
      <c r="D4399" s="66" t="str">
        <f>IF(Eighteenth!D152="", "",Eighteenth!D152)</f>
        <v/>
      </c>
      <c r="E4399" s="66" t="str">
        <f>IF(Eighteenth!E152="", "",Eighteenth!E152)</f>
        <v/>
      </c>
      <c r="F4399" s="66" t="str">
        <f>IF(Eighteenth!F152="", "",Eighteenth!F152)</f>
        <v/>
      </c>
      <c r="G4399" s="66" t="str">
        <f>IF(Eighteenth!G152="", "",Eighteenth!G152)</f>
        <v/>
      </c>
      <c r="H4399" s="66" t="str">
        <f>IF(Eighteenth!H152="", "",Eighteenth!H152)</f>
        <v/>
      </c>
      <c r="I4399" s="66" t="str">
        <f>IF(Eighteenth!I152="", "",Eighteenth!I152)</f>
        <v/>
      </c>
      <c r="J4399" s="66" t="str">
        <f>IF(Eighteenth!J152="", "",Eighteenth!J152)</f>
        <v/>
      </c>
      <c r="K4399" s="86" t="str">
        <f>IF(Eighteenth!K152="", "",Eighteenth!K152)</f>
        <v/>
      </c>
      <c r="M4399" s="67" t="str">
        <f t="shared" si="206"/>
        <v/>
      </c>
      <c r="N4399" s="76" t="str">
        <f t="shared" si="207"/>
        <v/>
      </c>
      <c r="O4399" s="33">
        <f t="shared" si="208"/>
        <v>0</v>
      </c>
    </row>
    <row r="4400" spans="1:15" x14ac:dyDescent="0.25">
      <c r="A4400" s="64" t="s">
        <v>189</v>
      </c>
      <c r="B4400" s="79" t="str">
        <f>IF(Eighteenth!B153="", "",Eighteenth!B153)</f>
        <v/>
      </c>
      <c r="C4400" s="66" t="str">
        <f>IF(Eighteenth!C153="", "",Eighteenth!C153)</f>
        <v/>
      </c>
      <c r="D4400" s="66" t="str">
        <f>IF(Eighteenth!D153="", "",Eighteenth!D153)</f>
        <v/>
      </c>
      <c r="E4400" s="66" t="str">
        <f>IF(Eighteenth!E153="", "",Eighteenth!E153)</f>
        <v/>
      </c>
      <c r="F4400" s="66" t="str">
        <f>IF(Eighteenth!F153="", "",Eighteenth!F153)</f>
        <v/>
      </c>
      <c r="G4400" s="66" t="str">
        <f>IF(Eighteenth!G153="", "",Eighteenth!G153)</f>
        <v/>
      </c>
      <c r="H4400" s="66" t="str">
        <f>IF(Eighteenth!H153="", "",Eighteenth!H153)</f>
        <v/>
      </c>
      <c r="I4400" s="66" t="str">
        <f>IF(Eighteenth!I153="", "",Eighteenth!I153)</f>
        <v/>
      </c>
      <c r="J4400" s="66" t="str">
        <f>IF(Eighteenth!J153="", "",Eighteenth!J153)</f>
        <v/>
      </c>
      <c r="K4400" s="86" t="str">
        <f>IF(Eighteenth!K153="", "",Eighteenth!K153)</f>
        <v/>
      </c>
      <c r="M4400" s="67" t="str">
        <f t="shared" si="206"/>
        <v/>
      </c>
      <c r="N4400" s="76" t="str">
        <f t="shared" si="207"/>
        <v/>
      </c>
      <c r="O4400" s="33">
        <f t="shared" si="208"/>
        <v>0</v>
      </c>
    </row>
    <row r="4401" spans="1:15" x14ac:dyDescent="0.25">
      <c r="A4401" s="64" t="s">
        <v>189</v>
      </c>
      <c r="B4401" s="79" t="str">
        <f>IF(Eighteenth!B154="", "",Eighteenth!B154)</f>
        <v/>
      </c>
      <c r="C4401" s="66" t="str">
        <f>IF(Eighteenth!C154="", "",Eighteenth!C154)</f>
        <v/>
      </c>
      <c r="D4401" s="66" t="str">
        <f>IF(Eighteenth!D154="", "",Eighteenth!D154)</f>
        <v/>
      </c>
      <c r="E4401" s="66" t="str">
        <f>IF(Eighteenth!E154="", "",Eighteenth!E154)</f>
        <v/>
      </c>
      <c r="F4401" s="66" t="str">
        <f>IF(Eighteenth!F154="", "",Eighteenth!F154)</f>
        <v/>
      </c>
      <c r="G4401" s="66" t="str">
        <f>IF(Eighteenth!G154="", "",Eighteenth!G154)</f>
        <v/>
      </c>
      <c r="H4401" s="66" t="str">
        <f>IF(Eighteenth!H154="", "",Eighteenth!H154)</f>
        <v/>
      </c>
      <c r="I4401" s="66" t="str">
        <f>IF(Eighteenth!I154="", "",Eighteenth!I154)</f>
        <v/>
      </c>
      <c r="J4401" s="66" t="str">
        <f>IF(Eighteenth!J154="", "",Eighteenth!J154)</f>
        <v/>
      </c>
      <c r="K4401" s="86" t="str">
        <f>IF(Eighteenth!K154="", "",Eighteenth!K154)</f>
        <v/>
      </c>
      <c r="M4401" s="67" t="str">
        <f t="shared" si="206"/>
        <v/>
      </c>
      <c r="N4401" s="76" t="str">
        <f t="shared" si="207"/>
        <v/>
      </c>
      <c r="O4401" s="33">
        <f t="shared" si="208"/>
        <v>0</v>
      </c>
    </row>
    <row r="4402" spans="1:15" x14ac:dyDescent="0.25">
      <c r="A4402" s="64" t="s">
        <v>189</v>
      </c>
      <c r="B4402" s="79" t="str">
        <f>IF(Eighteenth!B155="", "",Eighteenth!B155)</f>
        <v/>
      </c>
      <c r="C4402" s="66" t="str">
        <f>IF(Eighteenth!C155="", "",Eighteenth!C155)</f>
        <v/>
      </c>
      <c r="D4402" s="66" t="str">
        <f>IF(Eighteenth!D155="", "",Eighteenth!D155)</f>
        <v/>
      </c>
      <c r="E4402" s="66" t="str">
        <f>IF(Eighteenth!E155="", "",Eighteenth!E155)</f>
        <v/>
      </c>
      <c r="F4402" s="66" t="str">
        <f>IF(Eighteenth!F155="", "",Eighteenth!F155)</f>
        <v/>
      </c>
      <c r="G4402" s="66" t="str">
        <f>IF(Eighteenth!G155="", "",Eighteenth!G155)</f>
        <v/>
      </c>
      <c r="H4402" s="66" t="str">
        <f>IF(Eighteenth!H155="", "",Eighteenth!H155)</f>
        <v/>
      </c>
      <c r="I4402" s="66" t="str">
        <f>IF(Eighteenth!I155="", "",Eighteenth!I155)</f>
        <v/>
      </c>
      <c r="J4402" s="66" t="str">
        <f>IF(Eighteenth!J155="", "",Eighteenth!J155)</f>
        <v/>
      </c>
      <c r="K4402" s="86" t="str">
        <f>IF(Eighteenth!K155="", "",Eighteenth!K155)</f>
        <v/>
      </c>
      <c r="M4402" s="67" t="str">
        <f t="shared" si="206"/>
        <v/>
      </c>
      <c r="N4402" s="76" t="str">
        <f t="shared" si="207"/>
        <v/>
      </c>
      <c r="O4402" s="33">
        <f t="shared" si="208"/>
        <v>0</v>
      </c>
    </row>
    <row r="4403" spans="1:15" x14ac:dyDescent="0.25">
      <c r="A4403" s="64" t="s">
        <v>189</v>
      </c>
      <c r="B4403" s="79" t="str">
        <f>IF(Eighteenth!B156="", "",Eighteenth!B156)</f>
        <v/>
      </c>
      <c r="C4403" s="66" t="str">
        <f>IF(Eighteenth!C156="", "",Eighteenth!C156)</f>
        <v/>
      </c>
      <c r="D4403" s="66" t="str">
        <f>IF(Eighteenth!D156="", "",Eighteenth!D156)</f>
        <v/>
      </c>
      <c r="E4403" s="66" t="str">
        <f>IF(Eighteenth!E156="", "",Eighteenth!E156)</f>
        <v/>
      </c>
      <c r="F4403" s="66" t="str">
        <f>IF(Eighteenth!F156="", "",Eighteenth!F156)</f>
        <v/>
      </c>
      <c r="G4403" s="66" t="str">
        <f>IF(Eighteenth!G156="", "",Eighteenth!G156)</f>
        <v/>
      </c>
      <c r="H4403" s="66" t="str">
        <f>IF(Eighteenth!H156="", "",Eighteenth!H156)</f>
        <v/>
      </c>
      <c r="I4403" s="66" t="str">
        <f>IF(Eighteenth!I156="", "",Eighteenth!I156)</f>
        <v/>
      </c>
      <c r="J4403" s="66" t="str">
        <f>IF(Eighteenth!J156="", "",Eighteenth!J156)</f>
        <v/>
      </c>
      <c r="K4403" s="86" t="str">
        <f>IF(Eighteenth!K156="", "",Eighteenth!K156)</f>
        <v/>
      </c>
      <c r="M4403" s="67" t="str">
        <f t="shared" si="206"/>
        <v/>
      </c>
      <c r="N4403" s="76" t="str">
        <f t="shared" si="207"/>
        <v/>
      </c>
      <c r="O4403" s="33">
        <f t="shared" si="208"/>
        <v>0</v>
      </c>
    </row>
    <row r="4404" spans="1:15" x14ac:dyDescent="0.25">
      <c r="A4404" s="64" t="s">
        <v>189</v>
      </c>
      <c r="B4404" s="79" t="str">
        <f>IF(Eighteenth!B157="", "",Eighteenth!B157)</f>
        <v/>
      </c>
      <c r="C4404" s="66" t="str">
        <f>IF(Eighteenth!C157="", "",Eighteenth!C157)</f>
        <v/>
      </c>
      <c r="D4404" s="66" t="str">
        <f>IF(Eighteenth!D157="", "",Eighteenth!D157)</f>
        <v/>
      </c>
      <c r="E4404" s="66" t="str">
        <f>IF(Eighteenth!E157="", "",Eighteenth!E157)</f>
        <v/>
      </c>
      <c r="F4404" s="66" t="str">
        <f>IF(Eighteenth!F157="", "",Eighteenth!F157)</f>
        <v/>
      </c>
      <c r="G4404" s="66" t="str">
        <f>IF(Eighteenth!G157="", "",Eighteenth!G157)</f>
        <v/>
      </c>
      <c r="H4404" s="66" t="str">
        <f>IF(Eighteenth!H157="", "",Eighteenth!H157)</f>
        <v/>
      </c>
      <c r="I4404" s="66" t="str">
        <f>IF(Eighteenth!I157="", "",Eighteenth!I157)</f>
        <v/>
      </c>
      <c r="J4404" s="66" t="str">
        <f>IF(Eighteenth!J157="", "",Eighteenth!J157)</f>
        <v/>
      </c>
      <c r="K4404" s="86" t="str">
        <f>IF(Eighteenth!K157="", "",Eighteenth!K157)</f>
        <v/>
      </c>
      <c r="M4404" s="67" t="str">
        <f t="shared" si="206"/>
        <v/>
      </c>
      <c r="N4404" s="76" t="str">
        <f t="shared" si="207"/>
        <v/>
      </c>
      <c r="O4404" s="33">
        <f t="shared" si="208"/>
        <v>0</v>
      </c>
    </row>
    <row r="4405" spans="1:15" x14ac:dyDescent="0.25">
      <c r="A4405" s="64" t="s">
        <v>189</v>
      </c>
      <c r="B4405" s="79" t="str">
        <f>IF(Eighteenth!B158="", "",Eighteenth!B158)</f>
        <v/>
      </c>
      <c r="C4405" s="66" t="str">
        <f>IF(Eighteenth!C158="", "",Eighteenth!C158)</f>
        <v/>
      </c>
      <c r="D4405" s="66" t="str">
        <f>IF(Eighteenth!D158="", "",Eighteenth!D158)</f>
        <v/>
      </c>
      <c r="E4405" s="66" t="str">
        <f>IF(Eighteenth!E158="", "",Eighteenth!E158)</f>
        <v/>
      </c>
      <c r="F4405" s="66" t="str">
        <f>IF(Eighteenth!F158="", "",Eighteenth!F158)</f>
        <v/>
      </c>
      <c r="G4405" s="66" t="str">
        <f>IF(Eighteenth!G158="", "",Eighteenth!G158)</f>
        <v/>
      </c>
      <c r="H4405" s="66" t="str">
        <f>IF(Eighteenth!H158="", "",Eighteenth!H158)</f>
        <v/>
      </c>
      <c r="I4405" s="66" t="str">
        <f>IF(Eighteenth!I158="", "",Eighteenth!I158)</f>
        <v/>
      </c>
      <c r="J4405" s="66" t="str">
        <f>IF(Eighteenth!J158="", "",Eighteenth!J158)</f>
        <v/>
      </c>
      <c r="K4405" s="86" t="str">
        <f>IF(Eighteenth!K158="", "",Eighteenth!K158)</f>
        <v/>
      </c>
      <c r="M4405" s="67" t="str">
        <f t="shared" si="206"/>
        <v/>
      </c>
      <c r="N4405" s="76" t="str">
        <f t="shared" si="207"/>
        <v/>
      </c>
      <c r="O4405" s="33">
        <f t="shared" si="208"/>
        <v>0</v>
      </c>
    </row>
    <row r="4406" spans="1:15" x14ac:dyDescent="0.25">
      <c r="A4406" s="64" t="s">
        <v>189</v>
      </c>
      <c r="B4406" s="79" t="str">
        <f>IF(Eighteenth!B159="", "",Eighteenth!B159)</f>
        <v/>
      </c>
      <c r="C4406" s="66" t="str">
        <f>IF(Eighteenth!C159="", "",Eighteenth!C159)</f>
        <v/>
      </c>
      <c r="D4406" s="66" t="str">
        <f>IF(Eighteenth!D159="", "",Eighteenth!D159)</f>
        <v/>
      </c>
      <c r="E4406" s="66" t="str">
        <f>IF(Eighteenth!E159="", "",Eighteenth!E159)</f>
        <v/>
      </c>
      <c r="F4406" s="66" t="str">
        <f>IF(Eighteenth!F159="", "",Eighteenth!F159)</f>
        <v/>
      </c>
      <c r="G4406" s="66" t="str">
        <f>IF(Eighteenth!G159="", "",Eighteenth!G159)</f>
        <v/>
      </c>
      <c r="H4406" s="66" t="str">
        <f>IF(Eighteenth!H159="", "",Eighteenth!H159)</f>
        <v/>
      </c>
      <c r="I4406" s="66" t="str">
        <f>IF(Eighteenth!I159="", "",Eighteenth!I159)</f>
        <v/>
      </c>
      <c r="J4406" s="66" t="str">
        <f>IF(Eighteenth!J159="", "",Eighteenth!J159)</f>
        <v/>
      </c>
      <c r="K4406" s="86" t="str">
        <f>IF(Eighteenth!K159="", "",Eighteenth!K159)</f>
        <v/>
      </c>
      <c r="M4406" s="67" t="str">
        <f t="shared" si="206"/>
        <v/>
      </c>
      <c r="N4406" s="76" t="str">
        <f t="shared" si="207"/>
        <v/>
      </c>
      <c r="O4406" s="33">
        <f t="shared" si="208"/>
        <v>0</v>
      </c>
    </row>
    <row r="4407" spans="1:15" x14ac:dyDescent="0.25">
      <c r="A4407" s="64" t="s">
        <v>189</v>
      </c>
      <c r="B4407" s="79" t="str">
        <f>IF(Eighteenth!B160="", "",Eighteenth!B160)</f>
        <v/>
      </c>
      <c r="C4407" s="66" t="str">
        <f>IF(Eighteenth!C160="", "",Eighteenth!C160)</f>
        <v/>
      </c>
      <c r="D4407" s="66" t="str">
        <f>IF(Eighteenth!D160="", "",Eighteenth!D160)</f>
        <v/>
      </c>
      <c r="E4407" s="66" t="str">
        <f>IF(Eighteenth!E160="", "",Eighteenth!E160)</f>
        <v/>
      </c>
      <c r="F4407" s="66" t="str">
        <f>IF(Eighteenth!F160="", "",Eighteenth!F160)</f>
        <v/>
      </c>
      <c r="G4407" s="66" t="str">
        <f>IF(Eighteenth!G160="", "",Eighteenth!G160)</f>
        <v/>
      </c>
      <c r="H4407" s="66" t="str">
        <f>IF(Eighteenth!H160="", "",Eighteenth!H160)</f>
        <v/>
      </c>
      <c r="I4407" s="66" t="str">
        <f>IF(Eighteenth!I160="", "",Eighteenth!I160)</f>
        <v/>
      </c>
      <c r="J4407" s="66" t="str">
        <f>IF(Eighteenth!J160="", "",Eighteenth!J160)</f>
        <v/>
      </c>
      <c r="K4407" s="86" t="str">
        <f>IF(Eighteenth!K160="", "",Eighteenth!K160)</f>
        <v/>
      </c>
      <c r="M4407" s="67" t="str">
        <f t="shared" si="206"/>
        <v/>
      </c>
      <c r="N4407" s="76" t="str">
        <f t="shared" si="207"/>
        <v/>
      </c>
      <c r="O4407" s="33">
        <f t="shared" si="208"/>
        <v>0</v>
      </c>
    </row>
    <row r="4408" spans="1:15" x14ac:dyDescent="0.25">
      <c r="A4408" s="64" t="s">
        <v>189</v>
      </c>
      <c r="B4408" s="79" t="str">
        <f>IF(Eighteenth!B161="", "",Eighteenth!B161)</f>
        <v/>
      </c>
      <c r="C4408" s="66" t="str">
        <f>IF(Eighteenth!C161="", "",Eighteenth!C161)</f>
        <v/>
      </c>
      <c r="D4408" s="66" t="str">
        <f>IF(Eighteenth!D161="", "",Eighteenth!D161)</f>
        <v/>
      </c>
      <c r="E4408" s="66" t="str">
        <f>IF(Eighteenth!E161="", "",Eighteenth!E161)</f>
        <v/>
      </c>
      <c r="F4408" s="66" t="str">
        <f>IF(Eighteenth!F161="", "",Eighteenth!F161)</f>
        <v/>
      </c>
      <c r="G4408" s="66" t="str">
        <f>IF(Eighteenth!G161="", "",Eighteenth!G161)</f>
        <v/>
      </c>
      <c r="H4408" s="66" t="str">
        <f>IF(Eighteenth!H161="", "",Eighteenth!H161)</f>
        <v/>
      </c>
      <c r="I4408" s="66" t="str">
        <f>IF(Eighteenth!I161="", "",Eighteenth!I161)</f>
        <v/>
      </c>
      <c r="J4408" s="66" t="str">
        <f>IF(Eighteenth!J161="", "",Eighteenth!J161)</f>
        <v/>
      </c>
      <c r="K4408" s="86" t="str">
        <f>IF(Eighteenth!K161="", "",Eighteenth!K161)</f>
        <v/>
      </c>
      <c r="M4408" s="67" t="str">
        <f t="shared" si="206"/>
        <v/>
      </c>
      <c r="N4408" s="76" t="str">
        <f t="shared" si="207"/>
        <v/>
      </c>
      <c r="O4408" s="33">
        <f t="shared" si="208"/>
        <v>0</v>
      </c>
    </row>
    <row r="4409" spans="1:15" x14ac:dyDescent="0.25">
      <c r="A4409" s="64" t="s">
        <v>189</v>
      </c>
      <c r="B4409" s="79" t="str">
        <f>IF(Eighteenth!B162="", "",Eighteenth!B162)</f>
        <v/>
      </c>
      <c r="C4409" s="66" t="str">
        <f>IF(Eighteenth!C162="", "",Eighteenth!C162)</f>
        <v/>
      </c>
      <c r="D4409" s="66" t="str">
        <f>IF(Eighteenth!D162="", "",Eighteenth!D162)</f>
        <v/>
      </c>
      <c r="E4409" s="66" t="str">
        <f>IF(Eighteenth!E162="", "",Eighteenth!E162)</f>
        <v/>
      </c>
      <c r="F4409" s="66" t="str">
        <f>IF(Eighteenth!F162="", "",Eighteenth!F162)</f>
        <v/>
      </c>
      <c r="G4409" s="66" t="str">
        <f>IF(Eighteenth!G162="", "",Eighteenth!G162)</f>
        <v/>
      </c>
      <c r="H4409" s="66" t="str">
        <f>IF(Eighteenth!H162="", "",Eighteenth!H162)</f>
        <v/>
      </c>
      <c r="I4409" s="66" t="str">
        <f>IF(Eighteenth!I162="", "",Eighteenth!I162)</f>
        <v/>
      </c>
      <c r="J4409" s="66" t="str">
        <f>IF(Eighteenth!J162="", "",Eighteenth!J162)</f>
        <v/>
      </c>
      <c r="K4409" s="86" t="str">
        <f>IF(Eighteenth!K162="", "",Eighteenth!K162)</f>
        <v/>
      </c>
      <c r="M4409" s="67" t="str">
        <f t="shared" si="206"/>
        <v/>
      </c>
      <c r="N4409" s="76" t="str">
        <f t="shared" si="207"/>
        <v/>
      </c>
      <c r="O4409" s="33">
        <f t="shared" si="208"/>
        <v>0</v>
      </c>
    </row>
    <row r="4410" spans="1:15" x14ac:dyDescent="0.25">
      <c r="A4410" s="64" t="s">
        <v>189</v>
      </c>
      <c r="B4410" s="79" t="str">
        <f>IF(Eighteenth!B163="", "",Eighteenth!B163)</f>
        <v/>
      </c>
      <c r="C4410" s="66" t="str">
        <f>IF(Eighteenth!C163="", "",Eighteenth!C163)</f>
        <v/>
      </c>
      <c r="D4410" s="66" t="str">
        <f>IF(Eighteenth!D163="", "",Eighteenth!D163)</f>
        <v/>
      </c>
      <c r="E4410" s="66" t="str">
        <f>IF(Eighteenth!E163="", "",Eighteenth!E163)</f>
        <v/>
      </c>
      <c r="F4410" s="66" t="str">
        <f>IF(Eighteenth!F163="", "",Eighteenth!F163)</f>
        <v/>
      </c>
      <c r="G4410" s="66" t="str">
        <f>IF(Eighteenth!G163="", "",Eighteenth!G163)</f>
        <v/>
      </c>
      <c r="H4410" s="66" t="str">
        <f>IF(Eighteenth!H163="", "",Eighteenth!H163)</f>
        <v/>
      </c>
      <c r="I4410" s="66" t="str">
        <f>IF(Eighteenth!I163="", "",Eighteenth!I163)</f>
        <v/>
      </c>
      <c r="J4410" s="66" t="str">
        <f>IF(Eighteenth!J163="", "",Eighteenth!J163)</f>
        <v/>
      </c>
      <c r="K4410" s="86" t="str">
        <f>IF(Eighteenth!K163="", "",Eighteenth!K163)</f>
        <v/>
      </c>
      <c r="M4410" s="67" t="str">
        <f t="shared" si="206"/>
        <v/>
      </c>
      <c r="N4410" s="76" t="str">
        <f t="shared" si="207"/>
        <v/>
      </c>
      <c r="O4410" s="33">
        <f t="shared" si="208"/>
        <v>0</v>
      </c>
    </row>
    <row r="4411" spans="1:15" x14ac:dyDescent="0.25">
      <c r="A4411" s="64" t="s">
        <v>189</v>
      </c>
      <c r="B4411" s="79" t="str">
        <f>IF(Eighteenth!B164="", "",Eighteenth!B164)</f>
        <v/>
      </c>
      <c r="C4411" s="66" t="str">
        <f>IF(Eighteenth!C164="", "",Eighteenth!C164)</f>
        <v/>
      </c>
      <c r="D4411" s="66" t="str">
        <f>IF(Eighteenth!D164="", "",Eighteenth!D164)</f>
        <v/>
      </c>
      <c r="E4411" s="66" t="str">
        <f>IF(Eighteenth!E164="", "",Eighteenth!E164)</f>
        <v/>
      </c>
      <c r="F4411" s="66" t="str">
        <f>IF(Eighteenth!F164="", "",Eighteenth!F164)</f>
        <v/>
      </c>
      <c r="G4411" s="66" t="str">
        <f>IF(Eighteenth!G164="", "",Eighteenth!G164)</f>
        <v/>
      </c>
      <c r="H4411" s="66" t="str">
        <f>IF(Eighteenth!H164="", "",Eighteenth!H164)</f>
        <v/>
      </c>
      <c r="I4411" s="66" t="str">
        <f>IF(Eighteenth!I164="", "",Eighteenth!I164)</f>
        <v/>
      </c>
      <c r="J4411" s="66" t="str">
        <f>IF(Eighteenth!J164="", "",Eighteenth!J164)</f>
        <v/>
      </c>
      <c r="K4411" s="86" t="str">
        <f>IF(Eighteenth!K164="", "",Eighteenth!K164)</f>
        <v/>
      </c>
      <c r="M4411" s="67" t="str">
        <f t="shared" si="206"/>
        <v/>
      </c>
      <c r="N4411" s="76" t="str">
        <f t="shared" si="207"/>
        <v/>
      </c>
      <c r="O4411" s="33">
        <f t="shared" si="208"/>
        <v>0</v>
      </c>
    </row>
    <row r="4412" spans="1:15" x14ac:dyDescent="0.25">
      <c r="A4412" s="64" t="s">
        <v>189</v>
      </c>
      <c r="B4412" s="79" t="str">
        <f>IF(Eighteenth!B165="", "",Eighteenth!B165)</f>
        <v/>
      </c>
      <c r="C4412" s="66" t="str">
        <f>IF(Eighteenth!C165="", "",Eighteenth!C165)</f>
        <v/>
      </c>
      <c r="D4412" s="66" t="str">
        <f>IF(Eighteenth!D165="", "",Eighteenth!D165)</f>
        <v/>
      </c>
      <c r="E4412" s="66" t="str">
        <f>IF(Eighteenth!E165="", "",Eighteenth!E165)</f>
        <v/>
      </c>
      <c r="F4412" s="66" t="str">
        <f>IF(Eighteenth!F165="", "",Eighteenth!F165)</f>
        <v/>
      </c>
      <c r="G4412" s="66" t="str">
        <f>IF(Eighteenth!G165="", "",Eighteenth!G165)</f>
        <v/>
      </c>
      <c r="H4412" s="66" t="str">
        <f>IF(Eighteenth!H165="", "",Eighteenth!H165)</f>
        <v/>
      </c>
      <c r="I4412" s="66" t="str">
        <f>IF(Eighteenth!I165="", "",Eighteenth!I165)</f>
        <v/>
      </c>
      <c r="J4412" s="66" t="str">
        <f>IF(Eighteenth!J165="", "",Eighteenth!J165)</f>
        <v/>
      </c>
      <c r="K4412" s="86" t="str">
        <f>IF(Eighteenth!K165="", "",Eighteenth!K165)</f>
        <v/>
      </c>
      <c r="M4412" s="67" t="str">
        <f t="shared" si="206"/>
        <v/>
      </c>
      <c r="N4412" s="76" t="str">
        <f t="shared" si="207"/>
        <v/>
      </c>
      <c r="O4412" s="33">
        <f t="shared" si="208"/>
        <v>0</v>
      </c>
    </row>
    <row r="4413" spans="1:15" x14ac:dyDescent="0.25">
      <c r="A4413" s="64" t="s">
        <v>189</v>
      </c>
      <c r="B4413" s="79" t="str">
        <f>IF(Eighteenth!B166="", "",Eighteenth!B166)</f>
        <v/>
      </c>
      <c r="C4413" s="66" t="str">
        <f>IF(Eighteenth!C166="", "",Eighteenth!C166)</f>
        <v/>
      </c>
      <c r="D4413" s="66" t="str">
        <f>IF(Eighteenth!D166="", "",Eighteenth!D166)</f>
        <v/>
      </c>
      <c r="E4413" s="66" t="str">
        <f>IF(Eighteenth!E166="", "",Eighteenth!E166)</f>
        <v/>
      </c>
      <c r="F4413" s="66" t="str">
        <f>IF(Eighteenth!F166="", "",Eighteenth!F166)</f>
        <v/>
      </c>
      <c r="G4413" s="66" t="str">
        <f>IF(Eighteenth!G166="", "",Eighteenth!G166)</f>
        <v/>
      </c>
      <c r="H4413" s="66" t="str">
        <f>IF(Eighteenth!H166="", "",Eighteenth!H166)</f>
        <v/>
      </c>
      <c r="I4413" s="66" t="str">
        <f>IF(Eighteenth!I166="", "",Eighteenth!I166)</f>
        <v/>
      </c>
      <c r="J4413" s="66" t="str">
        <f>IF(Eighteenth!J166="", "",Eighteenth!J166)</f>
        <v/>
      </c>
      <c r="K4413" s="86" t="str">
        <f>IF(Eighteenth!K166="", "",Eighteenth!K166)</f>
        <v/>
      </c>
      <c r="M4413" s="67" t="str">
        <f t="shared" si="206"/>
        <v/>
      </c>
      <c r="N4413" s="76" t="str">
        <f t="shared" si="207"/>
        <v/>
      </c>
      <c r="O4413" s="33">
        <f t="shared" si="208"/>
        <v>0</v>
      </c>
    </row>
    <row r="4414" spans="1:15" x14ac:dyDescent="0.25">
      <c r="A4414" s="64" t="s">
        <v>189</v>
      </c>
      <c r="B4414" s="79" t="str">
        <f>IF(Eighteenth!B167="", "",Eighteenth!B167)</f>
        <v/>
      </c>
      <c r="C4414" s="66" t="str">
        <f>IF(Eighteenth!C167="", "",Eighteenth!C167)</f>
        <v/>
      </c>
      <c r="D4414" s="66" t="str">
        <f>IF(Eighteenth!D167="", "",Eighteenth!D167)</f>
        <v/>
      </c>
      <c r="E4414" s="66" t="str">
        <f>IF(Eighteenth!E167="", "",Eighteenth!E167)</f>
        <v/>
      </c>
      <c r="F4414" s="66" t="str">
        <f>IF(Eighteenth!F167="", "",Eighteenth!F167)</f>
        <v/>
      </c>
      <c r="G4414" s="66" t="str">
        <f>IF(Eighteenth!G167="", "",Eighteenth!G167)</f>
        <v/>
      </c>
      <c r="H4414" s="66" t="str">
        <f>IF(Eighteenth!H167="", "",Eighteenth!H167)</f>
        <v/>
      </c>
      <c r="I4414" s="66" t="str">
        <f>IF(Eighteenth!I167="", "",Eighteenth!I167)</f>
        <v/>
      </c>
      <c r="J4414" s="66" t="str">
        <f>IF(Eighteenth!J167="", "",Eighteenth!J167)</f>
        <v/>
      </c>
      <c r="K4414" s="86" t="str">
        <f>IF(Eighteenth!K167="", "",Eighteenth!K167)</f>
        <v/>
      </c>
      <c r="M4414" s="67" t="str">
        <f t="shared" si="206"/>
        <v/>
      </c>
      <c r="N4414" s="76" t="str">
        <f t="shared" si="207"/>
        <v/>
      </c>
      <c r="O4414" s="33">
        <f t="shared" si="208"/>
        <v>0</v>
      </c>
    </row>
    <row r="4415" spans="1:15" x14ac:dyDescent="0.25">
      <c r="A4415" s="64" t="s">
        <v>189</v>
      </c>
      <c r="B4415" s="79" t="str">
        <f>IF(Eighteenth!B168="", "",Eighteenth!B168)</f>
        <v/>
      </c>
      <c r="C4415" s="66" t="str">
        <f>IF(Eighteenth!C168="", "",Eighteenth!C168)</f>
        <v/>
      </c>
      <c r="D4415" s="66" t="str">
        <f>IF(Eighteenth!D168="", "",Eighteenth!D168)</f>
        <v/>
      </c>
      <c r="E4415" s="66" t="str">
        <f>IF(Eighteenth!E168="", "",Eighteenth!E168)</f>
        <v/>
      </c>
      <c r="F4415" s="66" t="str">
        <f>IF(Eighteenth!F168="", "",Eighteenth!F168)</f>
        <v/>
      </c>
      <c r="G4415" s="66" t="str">
        <f>IF(Eighteenth!G168="", "",Eighteenth!G168)</f>
        <v/>
      </c>
      <c r="H4415" s="66" t="str">
        <f>IF(Eighteenth!H168="", "",Eighteenth!H168)</f>
        <v/>
      </c>
      <c r="I4415" s="66" t="str">
        <f>IF(Eighteenth!I168="", "",Eighteenth!I168)</f>
        <v/>
      </c>
      <c r="J4415" s="66" t="str">
        <f>IF(Eighteenth!J168="", "",Eighteenth!J168)</f>
        <v/>
      </c>
      <c r="K4415" s="86" t="str">
        <f>IF(Eighteenth!K168="", "",Eighteenth!K168)</f>
        <v/>
      </c>
      <c r="M4415" s="67" t="str">
        <f t="shared" si="206"/>
        <v/>
      </c>
      <c r="N4415" s="76" t="str">
        <f t="shared" si="207"/>
        <v/>
      </c>
      <c r="O4415" s="33">
        <f t="shared" si="208"/>
        <v>0</v>
      </c>
    </row>
    <row r="4416" spans="1:15" x14ac:dyDescent="0.25">
      <c r="A4416" s="64" t="s">
        <v>189</v>
      </c>
      <c r="B4416" s="79" t="str">
        <f>IF(Eighteenth!B169="", "",Eighteenth!B169)</f>
        <v/>
      </c>
      <c r="C4416" s="66" t="str">
        <f>IF(Eighteenth!C169="", "",Eighteenth!C169)</f>
        <v/>
      </c>
      <c r="D4416" s="66" t="str">
        <f>IF(Eighteenth!D169="", "",Eighteenth!D169)</f>
        <v/>
      </c>
      <c r="E4416" s="66" t="str">
        <f>IF(Eighteenth!E169="", "",Eighteenth!E169)</f>
        <v/>
      </c>
      <c r="F4416" s="66" t="str">
        <f>IF(Eighteenth!F169="", "",Eighteenth!F169)</f>
        <v/>
      </c>
      <c r="G4416" s="66" t="str">
        <f>IF(Eighteenth!G169="", "",Eighteenth!G169)</f>
        <v/>
      </c>
      <c r="H4416" s="66" t="str">
        <f>IF(Eighteenth!H169="", "",Eighteenth!H169)</f>
        <v/>
      </c>
      <c r="I4416" s="66" t="str">
        <f>IF(Eighteenth!I169="", "",Eighteenth!I169)</f>
        <v/>
      </c>
      <c r="J4416" s="66" t="str">
        <f>IF(Eighteenth!J169="", "",Eighteenth!J169)</f>
        <v/>
      </c>
      <c r="K4416" s="86" t="str">
        <f>IF(Eighteenth!K169="", "",Eighteenth!K169)</f>
        <v/>
      </c>
      <c r="M4416" s="67" t="str">
        <f t="shared" si="206"/>
        <v/>
      </c>
      <c r="N4416" s="76" t="str">
        <f t="shared" si="207"/>
        <v/>
      </c>
      <c r="O4416" s="33">
        <f t="shared" si="208"/>
        <v>0</v>
      </c>
    </row>
    <row r="4417" spans="1:15" x14ac:dyDescent="0.25">
      <c r="A4417" s="64" t="s">
        <v>189</v>
      </c>
      <c r="B4417" s="79" t="str">
        <f>IF(Eighteenth!B170="", "",Eighteenth!B170)</f>
        <v/>
      </c>
      <c r="C4417" s="66" t="str">
        <f>IF(Eighteenth!C170="", "",Eighteenth!C170)</f>
        <v/>
      </c>
      <c r="D4417" s="66" t="str">
        <f>IF(Eighteenth!D170="", "",Eighteenth!D170)</f>
        <v/>
      </c>
      <c r="E4417" s="66" t="str">
        <f>IF(Eighteenth!E170="", "",Eighteenth!E170)</f>
        <v/>
      </c>
      <c r="F4417" s="66" t="str">
        <f>IF(Eighteenth!F170="", "",Eighteenth!F170)</f>
        <v/>
      </c>
      <c r="G4417" s="66" t="str">
        <f>IF(Eighteenth!G170="", "",Eighteenth!G170)</f>
        <v/>
      </c>
      <c r="H4417" s="66" t="str">
        <f>IF(Eighteenth!H170="", "",Eighteenth!H170)</f>
        <v/>
      </c>
      <c r="I4417" s="66" t="str">
        <f>IF(Eighteenth!I170="", "",Eighteenth!I170)</f>
        <v/>
      </c>
      <c r="J4417" s="66" t="str">
        <f>IF(Eighteenth!J170="", "",Eighteenth!J170)</f>
        <v/>
      </c>
      <c r="K4417" s="86" t="str">
        <f>IF(Eighteenth!K170="", "",Eighteenth!K170)</f>
        <v/>
      </c>
      <c r="M4417" s="67" t="str">
        <f t="shared" si="206"/>
        <v/>
      </c>
      <c r="N4417" s="76" t="str">
        <f t="shared" si="207"/>
        <v/>
      </c>
      <c r="O4417" s="33">
        <f t="shared" si="208"/>
        <v>0</v>
      </c>
    </row>
    <row r="4418" spans="1:15" x14ac:dyDescent="0.25">
      <c r="A4418" s="64" t="s">
        <v>189</v>
      </c>
      <c r="B4418" s="79" t="str">
        <f>IF(Eighteenth!B171="", "",Eighteenth!B171)</f>
        <v/>
      </c>
      <c r="C4418" s="66" t="str">
        <f>IF(Eighteenth!C171="", "",Eighteenth!C171)</f>
        <v/>
      </c>
      <c r="D4418" s="66" t="str">
        <f>IF(Eighteenth!D171="", "",Eighteenth!D171)</f>
        <v/>
      </c>
      <c r="E4418" s="66" t="str">
        <f>IF(Eighteenth!E171="", "",Eighteenth!E171)</f>
        <v/>
      </c>
      <c r="F4418" s="66" t="str">
        <f>IF(Eighteenth!F171="", "",Eighteenth!F171)</f>
        <v/>
      </c>
      <c r="G4418" s="66" t="str">
        <f>IF(Eighteenth!G171="", "",Eighteenth!G171)</f>
        <v/>
      </c>
      <c r="H4418" s="66" t="str">
        <f>IF(Eighteenth!H171="", "",Eighteenth!H171)</f>
        <v/>
      </c>
      <c r="I4418" s="66" t="str">
        <f>IF(Eighteenth!I171="", "",Eighteenth!I171)</f>
        <v/>
      </c>
      <c r="J4418" s="66" t="str">
        <f>IF(Eighteenth!J171="", "",Eighteenth!J171)</f>
        <v/>
      </c>
      <c r="K4418" s="86" t="str">
        <f>IF(Eighteenth!K171="", "",Eighteenth!K171)</f>
        <v/>
      </c>
      <c r="M4418" s="67" t="str">
        <f t="shared" si="206"/>
        <v/>
      </c>
      <c r="N4418" s="76" t="str">
        <f t="shared" si="207"/>
        <v/>
      </c>
      <c r="O4418" s="33">
        <f t="shared" si="208"/>
        <v>0</v>
      </c>
    </row>
    <row r="4419" spans="1:15" x14ac:dyDescent="0.25">
      <c r="A4419" s="64" t="s">
        <v>189</v>
      </c>
      <c r="B4419" s="79" t="str">
        <f>IF(Eighteenth!B172="", "",Eighteenth!B172)</f>
        <v/>
      </c>
      <c r="C4419" s="66" t="str">
        <f>IF(Eighteenth!C172="", "",Eighteenth!C172)</f>
        <v/>
      </c>
      <c r="D4419" s="66" t="str">
        <f>IF(Eighteenth!D172="", "",Eighteenth!D172)</f>
        <v/>
      </c>
      <c r="E4419" s="66" t="str">
        <f>IF(Eighteenth!E172="", "",Eighteenth!E172)</f>
        <v/>
      </c>
      <c r="F4419" s="66" t="str">
        <f>IF(Eighteenth!F172="", "",Eighteenth!F172)</f>
        <v/>
      </c>
      <c r="G4419" s="66" t="str">
        <f>IF(Eighteenth!G172="", "",Eighteenth!G172)</f>
        <v/>
      </c>
      <c r="H4419" s="66" t="str">
        <f>IF(Eighteenth!H172="", "",Eighteenth!H172)</f>
        <v/>
      </c>
      <c r="I4419" s="66" t="str">
        <f>IF(Eighteenth!I172="", "",Eighteenth!I172)</f>
        <v/>
      </c>
      <c r="J4419" s="66" t="str">
        <f>IF(Eighteenth!J172="", "",Eighteenth!J172)</f>
        <v/>
      </c>
      <c r="K4419" s="86" t="str">
        <f>IF(Eighteenth!K172="", "",Eighteenth!K172)</f>
        <v/>
      </c>
      <c r="M4419" s="67" t="str">
        <f t="shared" ref="M4419:M4482" si="209">IF(C4419="PwC",(7-COUNTIF(B4419:H4419,"")),"")</f>
        <v/>
      </c>
      <c r="N4419" s="76" t="str">
        <f t="shared" ref="N4419:N4482" si="210">IF(C4419="Carer",(7-COUNTIF(B4419:H4419,"")),"")</f>
        <v/>
      </c>
      <c r="O4419" s="33">
        <f t="shared" si="208"/>
        <v>0</v>
      </c>
    </row>
    <row r="4420" spans="1:15" x14ac:dyDescent="0.25">
      <c r="A4420" s="64" t="s">
        <v>189</v>
      </c>
      <c r="B4420" s="79" t="str">
        <f>IF(Eighteenth!B173="", "",Eighteenth!B173)</f>
        <v/>
      </c>
      <c r="C4420" s="66" t="str">
        <f>IF(Eighteenth!C173="", "",Eighteenth!C173)</f>
        <v/>
      </c>
      <c r="D4420" s="66" t="str">
        <f>IF(Eighteenth!D173="", "",Eighteenth!D173)</f>
        <v/>
      </c>
      <c r="E4420" s="66" t="str">
        <f>IF(Eighteenth!E173="", "",Eighteenth!E173)</f>
        <v/>
      </c>
      <c r="F4420" s="66" t="str">
        <f>IF(Eighteenth!F173="", "",Eighteenth!F173)</f>
        <v/>
      </c>
      <c r="G4420" s="66" t="str">
        <f>IF(Eighteenth!G173="", "",Eighteenth!G173)</f>
        <v/>
      </c>
      <c r="H4420" s="66" t="str">
        <f>IF(Eighteenth!H173="", "",Eighteenth!H173)</f>
        <v/>
      </c>
      <c r="I4420" s="66" t="str">
        <f>IF(Eighteenth!I173="", "",Eighteenth!I173)</f>
        <v/>
      </c>
      <c r="J4420" s="66" t="str">
        <f>IF(Eighteenth!J173="", "",Eighteenth!J173)</f>
        <v/>
      </c>
      <c r="K4420" s="86" t="str">
        <f>IF(Eighteenth!K173="", "",Eighteenth!K173)</f>
        <v/>
      </c>
      <c r="M4420" s="67" t="str">
        <f t="shared" si="209"/>
        <v/>
      </c>
      <c r="N4420" s="76" t="str">
        <f t="shared" si="210"/>
        <v/>
      </c>
      <c r="O4420" s="33">
        <f t="shared" si="208"/>
        <v>0</v>
      </c>
    </row>
    <row r="4421" spans="1:15" x14ac:dyDescent="0.25">
      <c r="A4421" s="64" t="s">
        <v>189</v>
      </c>
      <c r="B4421" s="79" t="str">
        <f>IF(Eighteenth!B174="", "",Eighteenth!B174)</f>
        <v/>
      </c>
      <c r="C4421" s="66" t="str">
        <f>IF(Eighteenth!C174="", "",Eighteenth!C174)</f>
        <v/>
      </c>
      <c r="D4421" s="66" t="str">
        <f>IF(Eighteenth!D174="", "",Eighteenth!D174)</f>
        <v/>
      </c>
      <c r="E4421" s="66" t="str">
        <f>IF(Eighteenth!E174="", "",Eighteenth!E174)</f>
        <v/>
      </c>
      <c r="F4421" s="66" t="str">
        <f>IF(Eighteenth!F174="", "",Eighteenth!F174)</f>
        <v/>
      </c>
      <c r="G4421" s="66" t="str">
        <f>IF(Eighteenth!G174="", "",Eighteenth!G174)</f>
        <v/>
      </c>
      <c r="H4421" s="66" t="str">
        <f>IF(Eighteenth!H174="", "",Eighteenth!H174)</f>
        <v/>
      </c>
      <c r="I4421" s="66" t="str">
        <f>IF(Eighteenth!I174="", "",Eighteenth!I174)</f>
        <v/>
      </c>
      <c r="J4421" s="66" t="str">
        <f>IF(Eighteenth!J174="", "",Eighteenth!J174)</f>
        <v/>
      </c>
      <c r="K4421" s="86" t="str">
        <f>IF(Eighteenth!K174="", "",Eighteenth!K174)</f>
        <v/>
      </c>
      <c r="M4421" s="67" t="str">
        <f t="shared" si="209"/>
        <v/>
      </c>
      <c r="N4421" s="76" t="str">
        <f t="shared" si="210"/>
        <v/>
      </c>
      <c r="O4421" s="33">
        <f t="shared" si="208"/>
        <v>0</v>
      </c>
    </row>
    <row r="4422" spans="1:15" x14ac:dyDescent="0.25">
      <c r="A4422" s="64" t="s">
        <v>189</v>
      </c>
      <c r="B4422" s="79" t="str">
        <f>IF(Eighteenth!B175="", "",Eighteenth!B175)</f>
        <v/>
      </c>
      <c r="C4422" s="66" t="str">
        <f>IF(Eighteenth!C175="", "",Eighteenth!C175)</f>
        <v/>
      </c>
      <c r="D4422" s="66" t="str">
        <f>IF(Eighteenth!D175="", "",Eighteenth!D175)</f>
        <v/>
      </c>
      <c r="E4422" s="66" t="str">
        <f>IF(Eighteenth!E175="", "",Eighteenth!E175)</f>
        <v/>
      </c>
      <c r="F4422" s="66" t="str">
        <f>IF(Eighteenth!F175="", "",Eighteenth!F175)</f>
        <v/>
      </c>
      <c r="G4422" s="66" t="str">
        <f>IF(Eighteenth!G175="", "",Eighteenth!G175)</f>
        <v/>
      </c>
      <c r="H4422" s="66" t="str">
        <f>IF(Eighteenth!H175="", "",Eighteenth!H175)</f>
        <v/>
      </c>
      <c r="I4422" s="66" t="str">
        <f>IF(Eighteenth!I175="", "",Eighteenth!I175)</f>
        <v/>
      </c>
      <c r="J4422" s="66" t="str">
        <f>IF(Eighteenth!J175="", "",Eighteenth!J175)</f>
        <v/>
      </c>
      <c r="K4422" s="86" t="str">
        <f>IF(Eighteenth!K175="", "",Eighteenth!K175)</f>
        <v/>
      </c>
      <c r="M4422" s="67" t="str">
        <f t="shared" si="209"/>
        <v/>
      </c>
      <c r="N4422" s="76" t="str">
        <f t="shared" si="210"/>
        <v/>
      </c>
      <c r="O4422" s="33">
        <f t="shared" si="208"/>
        <v>0</v>
      </c>
    </row>
    <row r="4423" spans="1:15" x14ac:dyDescent="0.25">
      <c r="A4423" s="64" t="s">
        <v>189</v>
      </c>
      <c r="B4423" s="79" t="str">
        <f>IF(Eighteenth!B176="", "",Eighteenth!B176)</f>
        <v/>
      </c>
      <c r="C4423" s="66" t="str">
        <f>IF(Eighteenth!C176="", "",Eighteenth!C176)</f>
        <v/>
      </c>
      <c r="D4423" s="66" t="str">
        <f>IF(Eighteenth!D176="", "",Eighteenth!D176)</f>
        <v/>
      </c>
      <c r="E4423" s="66" t="str">
        <f>IF(Eighteenth!E176="", "",Eighteenth!E176)</f>
        <v/>
      </c>
      <c r="F4423" s="66" t="str">
        <f>IF(Eighteenth!F176="", "",Eighteenth!F176)</f>
        <v/>
      </c>
      <c r="G4423" s="66" t="str">
        <f>IF(Eighteenth!G176="", "",Eighteenth!G176)</f>
        <v/>
      </c>
      <c r="H4423" s="66" t="str">
        <f>IF(Eighteenth!H176="", "",Eighteenth!H176)</f>
        <v/>
      </c>
      <c r="I4423" s="66" t="str">
        <f>IF(Eighteenth!I176="", "",Eighteenth!I176)</f>
        <v/>
      </c>
      <c r="J4423" s="66" t="str">
        <f>IF(Eighteenth!J176="", "",Eighteenth!J176)</f>
        <v/>
      </c>
      <c r="K4423" s="86" t="str">
        <f>IF(Eighteenth!K176="", "",Eighteenth!K176)</f>
        <v/>
      </c>
      <c r="M4423" s="67" t="str">
        <f t="shared" si="209"/>
        <v/>
      </c>
      <c r="N4423" s="76" t="str">
        <f t="shared" si="210"/>
        <v/>
      </c>
      <c r="O4423" s="33">
        <f t="shared" si="208"/>
        <v>0</v>
      </c>
    </row>
    <row r="4424" spans="1:15" x14ac:dyDescent="0.25">
      <c r="A4424" s="64" t="s">
        <v>189</v>
      </c>
      <c r="B4424" s="79" t="str">
        <f>IF(Eighteenth!B177="", "",Eighteenth!B177)</f>
        <v/>
      </c>
      <c r="C4424" s="66" t="str">
        <f>IF(Eighteenth!C177="", "",Eighteenth!C177)</f>
        <v/>
      </c>
      <c r="D4424" s="66" t="str">
        <f>IF(Eighteenth!D177="", "",Eighteenth!D177)</f>
        <v/>
      </c>
      <c r="E4424" s="66" t="str">
        <f>IF(Eighteenth!E177="", "",Eighteenth!E177)</f>
        <v/>
      </c>
      <c r="F4424" s="66" t="str">
        <f>IF(Eighteenth!F177="", "",Eighteenth!F177)</f>
        <v/>
      </c>
      <c r="G4424" s="66" t="str">
        <f>IF(Eighteenth!G177="", "",Eighteenth!G177)</f>
        <v/>
      </c>
      <c r="H4424" s="66" t="str">
        <f>IF(Eighteenth!H177="", "",Eighteenth!H177)</f>
        <v/>
      </c>
      <c r="I4424" s="66" t="str">
        <f>IF(Eighteenth!I177="", "",Eighteenth!I177)</f>
        <v/>
      </c>
      <c r="J4424" s="66" t="str">
        <f>IF(Eighteenth!J177="", "",Eighteenth!J177)</f>
        <v/>
      </c>
      <c r="K4424" s="86" t="str">
        <f>IF(Eighteenth!K177="", "",Eighteenth!K177)</f>
        <v/>
      </c>
      <c r="M4424" s="67" t="str">
        <f t="shared" si="209"/>
        <v/>
      </c>
      <c r="N4424" s="76" t="str">
        <f t="shared" si="210"/>
        <v/>
      </c>
      <c r="O4424" s="33">
        <f t="shared" si="208"/>
        <v>0</v>
      </c>
    </row>
    <row r="4425" spans="1:15" x14ac:dyDescent="0.25">
      <c r="A4425" s="64" t="s">
        <v>189</v>
      </c>
      <c r="B4425" s="79" t="str">
        <f>IF(Eighteenth!B178="", "",Eighteenth!B178)</f>
        <v/>
      </c>
      <c r="C4425" s="66" t="str">
        <f>IF(Eighteenth!C178="", "",Eighteenth!C178)</f>
        <v/>
      </c>
      <c r="D4425" s="66" t="str">
        <f>IF(Eighteenth!D178="", "",Eighteenth!D178)</f>
        <v/>
      </c>
      <c r="E4425" s="66" t="str">
        <f>IF(Eighteenth!E178="", "",Eighteenth!E178)</f>
        <v/>
      </c>
      <c r="F4425" s="66" t="str">
        <f>IF(Eighteenth!F178="", "",Eighteenth!F178)</f>
        <v/>
      </c>
      <c r="G4425" s="66" t="str">
        <f>IF(Eighteenth!G178="", "",Eighteenth!G178)</f>
        <v/>
      </c>
      <c r="H4425" s="66" t="str">
        <f>IF(Eighteenth!H178="", "",Eighteenth!H178)</f>
        <v/>
      </c>
      <c r="I4425" s="66" t="str">
        <f>IF(Eighteenth!I178="", "",Eighteenth!I178)</f>
        <v/>
      </c>
      <c r="J4425" s="66" t="str">
        <f>IF(Eighteenth!J178="", "",Eighteenth!J178)</f>
        <v/>
      </c>
      <c r="K4425" s="86" t="str">
        <f>IF(Eighteenth!K178="", "",Eighteenth!K178)</f>
        <v/>
      </c>
      <c r="M4425" s="67" t="str">
        <f t="shared" si="209"/>
        <v/>
      </c>
      <c r="N4425" s="76" t="str">
        <f t="shared" si="210"/>
        <v/>
      </c>
      <c r="O4425" s="33">
        <f t="shared" si="208"/>
        <v>0</v>
      </c>
    </row>
    <row r="4426" spans="1:15" x14ac:dyDescent="0.25">
      <c r="A4426" s="64" t="s">
        <v>189</v>
      </c>
      <c r="B4426" s="79" t="str">
        <f>IF(Eighteenth!B179="", "",Eighteenth!B179)</f>
        <v/>
      </c>
      <c r="C4426" s="66" t="str">
        <f>IF(Eighteenth!C179="", "",Eighteenth!C179)</f>
        <v/>
      </c>
      <c r="D4426" s="66" t="str">
        <f>IF(Eighteenth!D179="", "",Eighteenth!D179)</f>
        <v/>
      </c>
      <c r="E4426" s="66" t="str">
        <f>IF(Eighteenth!E179="", "",Eighteenth!E179)</f>
        <v/>
      </c>
      <c r="F4426" s="66" t="str">
        <f>IF(Eighteenth!F179="", "",Eighteenth!F179)</f>
        <v/>
      </c>
      <c r="G4426" s="66" t="str">
        <f>IF(Eighteenth!G179="", "",Eighteenth!G179)</f>
        <v/>
      </c>
      <c r="H4426" s="66" t="str">
        <f>IF(Eighteenth!H179="", "",Eighteenth!H179)</f>
        <v/>
      </c>
      <c r="I4426" s="66" t="str">
        <f>IF(Eighteenth!I179="", "",Eighteenth!I179)</f>
        <v/>
      </c>
      <c r="J4426" s="66" t="str">
        <f>IF(Eighteenth!J179="", "",Eighteenth!J179)</f>
        <v/>
      </c>
      <c r="K4426" s="86" t="str">
        <f>IF(Eighteenth!K179="", "",Eighteenth!K179)</f>
        <v/>
      </c>
      <c r="M4426" s="67" t="str">
        <f t="shared" si="209"/>
        <v/>
      </c>
      <c r="N4426" s="76" t="str">
        <f t="shared" si="210"/>
        <v/>
      </c>
      <c r="O4426" s="33">
        <f t="shared" si="208"/>
        <v>0</v>
      </c>
    </row>
    <row r="4427" spans="1:15" x14ac:dyDescent="0.25">
      <c r="A4427" s="64" t="s">
        <v>189</v>
      </c>
      <c r="B4427" s="79" t="str">
        <f>IF(Eighteenth!B180="", "",Eighteenth!B180)</f>
        <v/>
      </c>
      <c r="C4427" s="66" t="str">
        <f>IF(Eighteenth!C180="", "",Eighteenth!C180)</f>
        <v/>
      </c>
      <c r="D4427" s="66" t="str">
        <f>IF(Eighteenth!D180="", "",Eighteenth!D180)</f>
        <v/>
      </c>
      <c r="E4427" s="66" t="str">
        <f>IF(Eighteenth!E180="", "",Eighteenth!E180)</f>
        <v/>
      </c>
      <c r="F4427" s="66" t="str">
        <f>IF(Eighteenth!F180="", "",Eighteenth!F180)</f>
        <v/>
      </c>
      <c r="G4427" s="66" t="str">
        <f>IF(Eighteenth!G180="", "",Eighteenth!G180)</f>
        <v/>
      </c>
      <c r="H4427" s="66" t="str">
        <f>IF(Eighteenth!H180="", "",Eighteenth!H180)</f>
        <v/>
      </c>
      <c r="I4427" s="66" t="str">
        <f>IF(Eighteenth!I180="", "",Eighteenth!I180)</f>
        <v/>
      </c>
      <c r="J4427" s="66" t="str">
        <f>IF(Eighteenth!J180="", "",Eighteenth!J180)</f>
        <v/>
      </c>
      <c r="K4427" s="86" t="str">
        <f>IF(Eighteenth!K180="", "",Eighteenth!K180)</f>
        <v/>
      </c>
      <c r="M4427" s="67" t="str">
        <f t="shared" si="209"/>
        <v/>
      </c>
      <c r="N4427" s="76" t="str">
        <f t="shared" si="210"/>
        <v/>
      </c>
      <c r="O4427" s="33">
        <f t="shared" si="208"/>
        <v>0</v>
      </c>
    </row>
    <row r="4428" spans="1:15" x14ac:dyDescent="0.25">
      <c r="A4428" s="64" t="s">
        <v>189</v>
      </c>
      <c r="B4428" s="79" t="str">
        <f>IF(Eighteenth!B181="", "",Eighteenth!B181)</f>
        <v/>
      </c>
      <c r="C4428" s="66" t="str">
        <f>IF(Eighteenth!C181="", "",Eighteenth!C181)</f>
        <v/>
      </c>
      <c r="D4428" s="66" t="str">
        <f>IF(Eighteenth!D181="", "",Eighteenth!D181)</f>
        <v/>
      </c>
      <c r="E4428" s="66" t="str">
        <f>IF(Eighteenth!E181="", "",Eighteenth!E181)</f>
        <v/>
      </c>
      <c r="F4428" s="66" t="str">
        <f>IF(Eighteenth!F181="", "",Eighteenth!F181)</f>
        <v/>
      </c>
      <c r="G4428" s="66" t="str">
        <f>IF(Eighteenth!G181="", "",Eighteenth!G181)</f>
        <v/>
      </c>
      <c r="H4428" s="66" t="str">
        <f>IF(Eighteenth!H181="", "",Eighteenth!H181)</f>
        <v/>
      </c>
      <c r="I4428" s="66" t="str">
        <f>IF(Eighteenth!I181="", "",Eighteenth!I181)</f>
        <v/>
      </c>
      <c r="J4428" s="66" t="str">
        <f>IF(Eighteenth!J181="", "",Eighteenth!J181)</f>
        <v/>
      </c>
      <c r="K4428" s="86" t="str">
        <f>IF(Eighteenth!K181="", "",Eighteenth!K181)</f>
        <v/>
      </c>
      <c r="M4428" s="67" t="str">
        <f t="shared" si="209"/>
        <v/>
      </c>
      <c r="N4428" s="76" t="str">
        <f t="shared" si="210"/>
        <v/>
      </c>
      <c r="O4428" s="33">
        <f t="shared" si="208"/>
        <v>0</v>
      </c>
    </row>
    <row r="4429" spans="1:15" x14ac:dyDescent="0.25">
      <c r="A4429" s="64" t="s">
        <v>189</v>
      </c>
      <c r="B4429" s="79" t="str">
        <f>IF(Eighteenth!B182="", "",Eighteenth!B182)</f>
        <v/>
      </c>
      <c r="C4429" s="66" t="str">
        <f>IF(Eighteenth!C182="", "",Eighteenth!C182)</f>
        <v/>
      </c>
      <c r="D4429" s="66" t="str">
        <f>IF(Eighteenth!D182="", "",Eighteenth!D182)</f>
        <v/>
      </c>
      <c r="E4429" s="66" t="str">
        <f>IF(Eighteenth!E182="", "",Eighteenth!E182)</f>
        <v/>
      </c>
      <c r="F4429" s="66" t="str">
        <f>IF(Eighteenth!F182="", "",Eighteenth!F182)</f>
        <v/>
      </c>
      <c r="G4429" s="66" t="str">
        <f>IF(Eighteenth!G182="", "",Eighteenth!G182)</f>
        <v/>
      </c>
      <c r="H4429" s="66" t="str">
        <f>IF(Eighteenth!H182="", "",Eighteenth!H182)</f>
        <v/>
      </c>
      <c r="I4429" s="66" t="str">
        <f>IF(Eighteenth!I182="", "",Eighteenth!I182)</f>
        <v/>
      </c>
      <c r="J4429" s="66" t="str">
        <f>IF(Eighteenth!J182="", "",Eighteenth!J182)</f>
        <v/>
      </c>
      <c r="K4429" s="86" t="str">
        <f>IF(Eighteenth!K182="", "",Eighteenth!K182)</f>
        <v/>
      </c>
      <c r="M4429" s="67" t="str">
        <f t="shared" si="209"/>
        <v/>
      </c>
      <c r="N4429" s="76" t="str">
        <f t="shared" si="210"/>
        <v/>
      </c>
      <c r="O4429" s="33">
        <f t="shared" si="208"/>
        <v>0</v>
      </c>
    </row>
    <row r="4430" spans="1:15" x14ac:dyDescent="0.25">
      <c r="A4430" s="64" t="s">
        <v>189</v>
      </c>
      <c r="B4430" s="79" t="str">
        <f>IF(Eighteenth!B183="", "",Eighteenth!B183)</f>
        <v/>
      </c>
      <c r="C4430" s="66" t="str">
        <f>IF(Eighteenth!C183="", "",Eighteenth!C183)</f>
        <v/>
      </c>
      <c r="D4430" s="66" t="str">
        <f>IF(Eighteenth!D183="", "",Eighteenth!D183)</f>
        <v/>
      </c>
      <c r="E4430" s="66" t="str">
        <f>IF(Eighteenth!E183="", "",Eighteenth!E183)</f>
        <v/>
      </c>
      <c r="F4430" s="66" t="str">
        <f>IF(Eighteenth!F183="", "",Eighteenth!F183)</f>
        <v/>
      </c>
      <c r="G4430" s="66" t="str">
        <f>IF(Eighteenth!G183="", "",Eighteenth!G183)</f>
        <v/>
      </c>
      <c r="H4430" s="66" t="str">
        <f>IF(Eighteenth!H183="", "",Eighteenth!H183)</f>
        <v/>
      </c>
      <c r="I4430" s="66" t="str">
        <f>IF(Eighteenth!I183="", "",Eighteenth!I183)</f>
        <v/>
      </c>
      <c r="J4430" s="66" t="str">
        <f>IF(Eighteenth!J183="", "",Eighteenth!J183)</f>
        <v/>
      </c>
      <c r="K4430" s="86" t="str">
        <f>IF(Eighteenth!K183="", "",Eighteenth!K183)</f>
        <v/>
      </c>
      <c r="M4430" s="67" t="str">
        <f t="shared" si="209"/>
        <v/>
      </c>
      <c r="N4430" s="76" t="str">
        <f t="shared" si="210"/>
        <v/>
      </c>
      <c r="O4430" s="33">
        <f t="shared" si="208"/>
        <v>0</v>
      </c>
    </row>
    <row r="4431" spans="1:15" x14ac:dyDescent="0.25">
      <c r="A4431" s="64" t="s">
        <v>189</v>
      </c>
      <c r="B4431" s="79" t="str">
        <f>IF(Eighteenth!B184="", "",Eighteenth!B184)</f>
        <v/>
      </c>
      <c r="C4431" s="66" t="str">
        <f>IF(Eighteenth!C184="", "",Eighteenth!C184)</f>
        <v/>
      </c>
      <c r="D4431" s="66" t="str">
        <f>IF(Eighteenth!D184="", "",Eighteenth!D184)</f>
        <v/>
      </c>
      <c r="E4431" s="66" t="str">
        <f>IF(Eighteenth!E184="", "",Eighteenth!E184)</f>
        <v/>
      </c>
      <c r="F4431" s="66" t="str">
        <f>IF(Eighteenth!F184="", "",Eighteenth!F184)</f>
        <v/>
      </c>
      <c r="G4431" s="66" t="str">
        <f>IF(Eighteenth!G184="", "",Eighteenth!G184)</f>
        <v/>
      </c>
      <c r="H4431" s="66" t="str">
        <f>IF(Eighteenth!H184="", "",Eighteenth!H184)</f>
        <v/>
      </c>
      <c r="I4431" s="66" t="str">
        <f>IF(Eighteenth!I184="", "",Eighteenth!I184)</f>
        <v/>
      </c>
      <c r="J4431" s="66" t="str">
        <f>IF(Eighteenth!J184="", "",Eighteenth!J184)</f>
        <v/>
      </c>
      <c r="K4431" s="86" t="str">
        <f>IF(Eighteenth!K184="", "",Eighteenth!K184)</f>
        <v/>
      </c>
      <c r="M4431" s="67" t="str">
        <f t="shared" si="209"/>
        <v/>
      </c>
      <c r="N4431" s="76" t="str">
        <f t="shared" si="210"/>
        <v/>
      </c>
      <c r="O4431" s="33">
        <f t="shared" si="208"/>
        <v>0</v>
      </c>
    </row>
    <row r="4432" spans="1:15" x14ac:dyDescent="0.25">
      <c r="A4432" s="64" t="s">
        <v>189</v>
      </c>
      <c r="B4432" s="79" t="str">
        <f>IF(Eighteenth!B185="", "",Eighteenth!B185)</f>
        <v/>
      </c>
      <c r="C4432" s="66" t="str">
        <f>IF(Eighteenth!C185="", "",Eighteenth!C185)</f>
        <v/>
      </c>
      <c r="D4432" s="66" t="str">
        <f>IF(Eighteenth!D185="", "",Eighteenth!D185)</f>
        <v/>
      </c>
      <c r="E4432" s="66" t="str">
        <f>IF(Eighteenth!E185="", "",Eighteenth!E185)</f>
        <v/>
      </c>
      <c r="F4432" s="66" t="str">
        <f>IF(Eighteenth!F185="", "",Eighteenth!F185)</f>
        <v/>
      </c>
      <c r="G4432" s="66" t="str">
        <f>IF(Eighteenth!G185="", "",Eighteenth!G185)</f>
        <v/>
      </c>
      <c r="H4432" s="66" t="str">
        <f>IF(Eighteenth!H185="", "",Eighteenth!H185)</f>
        <v/>
      </c>
      <c r="I4432" s="66" t="str">
        <f>IF(Eighteenth!I185="", "",Eighteenth!I185)</f>
        <v/>
      </c>
      <c r="J4432" s="66" t="str">
        <f>IF(Eighteenth!J185="", "",Eighteenth!J185)</f>
        <v/>
      </c>
      <c r="K4432" s="86" t="str">
        <f>IF(Eighteenth!K185="", "",Eighteenth!K185)</f>
        <v/>
      </c>
      <c r="M4432" s="67" t="str">
        <f t="shared" si="209"/>
        <v/>
      </c>
      <c r="N4432" s="76" t="str">
        <f t="shared" si="210"/>
        <v/>
      </c>
      <c r="O4432" s="33">
        <f t="shared" si="208"/>
        <v>0</v>
      </c>
    </row>
    <row r="4433" spans="1:15" x14ac:dyDescent="0.25">
      <c r="A4433" s="64" t="s">
        <v>189</v>
      </c>
      <c r="B4433" s="79" t="str">
        <f>IF(Eighteenth!B186="", "",Eighteenth!B186)</f>
        <v/>
      </c>
      <c r="C4433" s="66" t="str">
        <f>IF(Eighteenth!C186="", "",Eighteenth!C186)</f>
        <v/>
      </c>
      <c r="D4433" s="66" t="str">
        <f>IF(Eighteenth!D186="", "",Eighteenth!D186)</f>
        <v/>
      </c>
      <c r="E4433" s="66" t="str">
        <f>IF(Eighteenth!E186="", "",Eighteenth!E186)</f>
        <v/>
      </c>
      <c r="F4433" s="66" t="str">
        <f>IF(Eighteenth!F186="", "",Eighteenth!F186)</f>
        <v/>
      </c>
      <c r="G4433" s="66" t="str">
        <f>IF(Eighteenth!G186="", "",Eighteenth!G186)</f>
        <v/>
      </c>
      <c r="H4433" s="66" t="str">
        <f>IF(Eighteenth!H186="", "",Eighteenth!H186)</f>
        <v/>
      </c>
      <c r="I4433" s="66" t="str">
        <f>IF(Eighteenth!I186="", "",Eighteenth!I186)</f>
        <v/>
      </c>
      <c r="J4433" s="66" t="str">
        <f>IF(Eighteenth!J186="", "",Eighteenth!J186)</f>
        <v/>
      </c>
      <c r="K4433" s="86" t="str">
        <f>IF(Eighteenth!K186="", "",Eighteenth!K186)</f>
        <v/>
      </c>
      <c r="M4433" s="67" t="str">
        <f t="shared" si="209"/>
        <v/>
      </c>
      <c r="N4433" s="76" t="str">
        <f t="shared" si="210"/>
        <v/>
      </c>
      <c r="O4433" s="33">
        <f t="shared" si="208"/>
        <v>0</v>
      </c>
    </row>
    <row r="4434" spans="1:15" x14ac:dyDescent="0.25">
      <c r="A4434" s="64" t="s">
        <v>189</v>
      </c>
      <c r="B4434" s="79" t="str">
        <f>IF(Eighteenth!B187="", "",Eighteenth!B187)</f>
        <v/>
      </c>
      <c r="C4434" s="66" t="str">
        <f>IF(Eighteenth!C187="", "",Eighteenth!C187)</f>
        <v/>
      </c>
      <c r="D4434" s="66" t="str">
        <f>IF(Eighteenth!D187="", "",Eighteenth!D187)</f>
        <v/>
      </c>
      <c r="E4434" s="66" t="str">
        <f>IF(Eighteenth!E187="", "",Eighteenth!E187)</f>
        <v/>
      </c>
      <c r="F4434" s="66" t="str">
        <f>IF(Eighteenth!F187="", "",Eighteenth!F187)</f>
        <v/>
      </c>
      <c r="G4434" s="66" t="str">
        <f>IF(Eighteenth!G187="", "",Eighteenth!G187)</f>
        <v/>
      </c>
      <c r="H4434" s="66" t="str">
        <f>IF(Eighteenth!H187="", "",Eighteenth!H187)</f>
        <v/>
      </c>
      <c r="I4434" s="66" t="str">
        <f>IF(Eighteenth!I187="", "",Eighteenth!I187)</f>
        <v/>
      </c>
      <c r="J4434" s="66" t="str">
        <f>IF(Eighteenth!J187="", "",Eighteenth!J187)</f>
        <v/>
      </c>
      <c r="K4434" s="86" t="str">
        <f>IF(Eighteenth!K187="", "",Eighteenth!K187)</f>
        <v/>
      </c>
      <c r="M4434" s="67" t="str">
        <f t="shared" si="209"/>
        <v/>
      </c>
      <c r="N4434" s="76" t="str">
        <f t="shared" si="210"/>
        <v/>
      </c>
      <c r="O4434" s="33">
        <f t="shared" si="208"/>
        <v>0</v>
      </c>
    </row>
    <row r="4435" spans="1:15" x14ac:dyDescent="0.25">
      <c r="A4435" s="64" t="s">
        <v>189</v>
      </c>
      <c r="B4435" s="79" t="str">
        <f>IF(Eighteenth!B188="", "",Eighteenth!B188)</f>
        <v/>
      </c>
      <c r="C4435" s="66" t="str">
        <f>IF(Eighteenth!C188="", "",Eighteenth!C188)</f>
        <v/>
      </c>
      <c r="D4435" s="66" t="str">
        <f>IF(Eighteenth!D188="", "",Eighteenth!D188)</f>
        <v/>
      </c>
      <c r="E4435" s="66" t="str">
        <f>IF(Eighteenth!E188="", "",Eighteenth!E188)</f>
        <v/>
      </c>
      <c r="F4435" s="66" t="str">
        <f>IF(Eighteenth!F188="", "",Eighteenth!F188)</f>
        <v/>
      </c>
      <c r="G4435" s="66" t="str">
        <f>IF(Eighteenth!G188="", "",Eighteenth!G188)</f>
        <v/>
      </c>
      <c r="H4435" s="66" t="str">
        <f>IF(Eighteenth!H188="", "",Eighteenth!H188)</f>
        <v/>
      </c>
      <c r="I4435" s="66" t="str">
        <f>IF(Eighteenth!I188="", "",Eighteenth!I188)</f>
        <v/>
      </c>
      <c r="J4435" s="66" t="str">
        <f>IF(Eighteenth!J188="", "",Eighteenth!J188)</f>
        <v/>
      </c>
      <c r="K4435" s="86" t="str">
        <f>IF(Eighteenth!K188="", "",Eighteenth!K188)</f>
        <v/>
      </c>
      <c r="M4435" s="67" t="str">
        <f t="shared" si="209"/>
        <v/>
      </c>
      <c r="N4435" s="76" t="str">
        <f t="shared" si="210"/>
        <v/>
      </c>
      <c r="O4435" s="33">
        <f t="shared" si="208"/>
        <v>0</v>
      </c>
    </row>
    <row r="4436" spans="1:15" x14ac:dyDescent="0.25">
      <c r="A4436" s="64" t="s">
        <v>189</v>
      </c>
      <c r="B4436" s="79" t="str">
        <f>IF(Eighteenth!B189="", "",Eighteenth!B189)</f>
        <v/>
      </c>
      <c r="C4436" s="66" t="str">
        <f>IF(Eighteenth!C189="", "",Eighteenth!C189)</f>
        <v/>
      </c>
      <c r="D4436" s="66" t="str">
        <f>IF(Eighteenth!D189="", "",Eighteenth!D189)</f>
        <v/>
      </c>
      <c r="E4436" s="66" t="str">
        <f>IF(Eighteenth!E189="", "",Eighteenth!E189)</f>
        <v/>
      </c>
      <c r="F4436" s="66" t="str">
        <f>IF(Eighteenth!F189="", "",Eighteenth!F189)</f>
        <v/>
      </c>
      <c r="G4436" s="66" t="str">
        <f>IF(Eighteenth!G189="", "",Eighteenth!G189)</f>
        <v/>
      </c>
      <c r="H4436" s="66" t="str">
        <f>IF(Eighteenth!H189="", "",Eighteenth!H189)</f>
        <v/>
      </c>
      <c r="I4436" s="66" t="str">
        <f>IF(Eighteenth!I189="", "",Eighteenth!I189)</f>
        <v/>
      </c>
      <c r="J4436" s="66" t="str">
        <f>IF(Eighteenth!J189="", "",Eighteenth!J189)</f>
        <v/>
      </c>
      <c r="K4436" s="86" t="str">
        <f>IF(Eighteenth!K189="", "",Eighteenth!K189)</f>
        <v/>
      </c>
      <c r="M4436" s="67" t="str">
        <f t="shared" si="209"/>
        <v/>
      </c>
      <c r="N4436" s="76" t="str">
        <f t="shared" si="210"/>
        <v/>
      </c>
      <c r="O4436" s="33">
        <f t="shared" si="208"/>
        <v>0</v>
      </c>
    </row>
    <row r="4437" spans="1:15" x14ac:dyDescent="0.25">
      <c r="A4437" s="64" t="s">
        <v>189</v>
      </c>
      <c r="B4437" s="79" t="str">
        <f>IF(Eighteenth!B190="", "",Eighteenth!B190)</f>
        <v/>
      </c>
      <c r="C4437" s="66" t="str">
        <f>IF(Eighteenth!C190="", "",Eighteenth!C190)</f>
        <v/>
      </c>
      <c r="D4437" s="66" t="str">
        <f>IF(Eighteenth!D190="", "",Eighteenth!D190)</f>
        <v/>
      </c>
      <c r="E4437" s="66" t="str">
        <f>IF(Eighteenth!E190="", "",Eighteenth!E190)</f>
        <v/>
      </c>
      <c r="F4437" s="66" t="str">
        <f>IF(Eighteenth!F190="", "",Eighteenth!F190)</f>
        <v/>
      </c>
      <c r="G4437" s="66" t="str">
        <f>IF(Eighteenth!G190="", "",Eighteenth!G190)</f>
        <v/>
      </c>
      <c r="H4437" s="66" t="str">
        <f>IF(Eighteenth!H190="", "",Eighteenth!H190)</f>
        <v/>
      </c>
      <c r="I4437" s="66" t="str">
        <f>IF(Eighteenth!I190="", "",Eighteenth!I190)</f>
        <v/>
      </c>
      <c r="J4437" s="66" t="str">
        <f>IF(Eighteenth!J190="", "",Eighteenth!J190)</f>
        <v/>
      </c>
      <c r="K4437" s="86" t="str">
        <f>IF(Eighteenth!K190="", "",Eighteenth!K190)</f>
        <v/>
      </c>
      <c r="M4437" s="67" t="str">
        <f t="shared" si="209"/>
        <v/>
      </c>
      <c r="N4437" s="76" t="str">
        <f t="shared" si="210"/>
        <v/>
      </c>
      <c r="O4437" s="33">
        <f t="shared" si="208"/>
        <v>0</v>
      </c>
    </row>
    <row r="4438" spans="1:15" x14ac:dyDescent="0.25">
      <c r="A4438" s="64" t="s">
        <v>189</v>
      </c>
      <c r="B4438" s="79" t="str">
        <f>IF(Eighteenth!B191="", "",Eighteenth!B191)</f>
        <v/>
      </c>
      <c r="C4438" s="66" t="str">
        <f>IF(Eighteenth!C191="", "",Eighteenth!C191)</f>
        <v/>
      </c>
      <c r="D4438" s="66" t="str">
        <f>IF(Eighteenth!D191="", "",Eighteenth!D191)</f>
        <v/>
      </c>
      <c r="E4438" s="66" t="str">
        <f>IF(Eighteenth!E191="", "",Eighteenth!E191)</f>
        <v/>
      </c>
      <c r="F4438" s="66" t="str">
        <f>IF(Eighteenth!F191="", "",Eighteenth!F191)</f>
        <v/>
      </c>
      <c r="G4438" s="66" t="str">
        <f>IF(Eighteenth!G191="", "",Eighteenth!G191)</f>
        <v/>
      </c>
      <c r="H4438" s="66" t="str">
        <f>IF(Eighteenth!H191="", "",Eighteenth!H191)</f>
        <v/>
      </c>
      <c r="I4438" s="66" t="str">
        <f>IF(Eighteenth!I191="", "",Eighteenth!I191)</f>
        <v/>
      </c>
      <c r="J4438" s="66" t="str">
        <f>IF(Eighteenth!J191="", "",Eighteenth!J191)</f>
        <v/>
      </c>
      <c r="K4438" s="86" t="str">
        <f>IF(Eighteenth!K191="", "",Eighteenth!K191)</f>
        <v/>
      </c>
      <c r="M4438" s="67" t="str">
        <f t="shared" si="209"/>
        <v/>
      </c>
      <c r="N4438" s="76" t="str">
        <f t="shared" si="210"/>
        <v/>
      </c>
      <c r="O4438" s="33">
        <f t="shared" si="208"/>
        <v>0</v>
      </c>
    </row>
    <row r="4439" spans="1:15" x14ac:dyDescent="0.25">
      <c r="A4439" s="64" t="s">
        <v>189</v>
      </c>
      <c r="B4439" s="79" t="str">
        <f>IF(Eighteenth!B192="", "",Eighteenth!B192)</f>
        <v/>
      </c>
      <c r="C4439" s="66" t="str">
        <f>IF(Eighteenth!C192="", "",Eighteenth!C192)</f>
        <v/>
      </c>
      <c r="D4439" s="66" t="str">
        <f>IF(Eighteenth!D192="", "",Eighteenth!D192)</f>
        <v/>
      </c>
      <c r="E4439" s="66" t="str">
        <f>IF(Eighteenth!E192="", "",Eighteenth!E192)</f>
        <v/>
      </c>
      <c r="F4439" s="66" t="str">
        <f>IF(Eighteenth!F192="", "",Eighteenth!F192)</f>
        <v/>
      </c>
      <c r="G4439" s="66" t="str">
        <f>IF(Eighteenth!G192="", "",Eighteenth!G192)</f>
        <v/>
      </c>
      <c r="H4439" s="66" t="str">
        <f>IF(Eighteenth!H192="", "",Eighteenth!H192)</f>
        <v/>
      </c>
      <c r="I4439" s="66" t="str">
        <f>IF(Eighteenth!I192="", "",Eighteenth!I192)</f>
        <v/>
      </c>
      <c r="J4439" s="66" t="str">
        <f>IF(Eighteenth!J192="", "",Eighteenth!J192)</f>
        <v/>
      </c>
      <c r="K4439" s="86" t="str">
        <f>IF(Eighteenth!K192="", "",Eighteenth!K192)</f>
        <v/>
      </c>
      <c r="M4439" s="67" t="str">
        <f t="shared" si="209"/>
        <v/>
      </c>
      <c r="N4439" s="76" t="str">
        <f t="shared" si="210"/>
        <v/>
      </c>
      <c r="O4439" s="33">
        <f t="shared" si="208"/>
        <v>0</v>
      </c>
    </row>
    <row r="4440" spans="1:15" x14ac:dyDescent="0.25">
      <c r="A4440" s="64" t="s">
        <v>189</v>
      </c>
      <c r="B4440" s="79" t="str">
        <f>IF(Eighteenth!B193="", "",Eighteenth!B193)</f>
        <v/>
      </c>
      <c r="C4440" s="66" t="str">
        <f>IF(Eighteenth!C193="", "",Eighteenth!C193)</f>
        <v/>
      </c>
      <c r="D4440" s="66" t="str">
        <f>IF(Eighteenth!D193="", "",Eighteenth!D193)</f>
        <v/>
      </c>
      <c r="E4440" s="66" t="str">
        <f>IF(Eighteenth!E193="", "",Eighteenth!E193)</f>
        <v/>
      </c>
      <c r="F4440" s="66" t="str">
        <f>IF(Eighteenth!F193="", "",Eighteenth!F193)</f>
        <v/>
      </c>
      <c r="G4440" s="66" t="str">
        <f>IF(Eighteenth!G193="", "",Eighteenth!G193)</f>
        <v/>
      </c>
      <c r="H4440" s="66" t="str">
        <f>IF(Eighteenth!H193="", "",Eighteenth!H193)</f>
        <v/>
      </c>
      <c r="I4440" s="66" t="str">
        <f>IF(Eighteenth!I193="", "",Eighteenth!I193)</f>
        <v/>
      </c>
      <c r="J4440" s="66" t="str">
        <f>IF(Eighteenth!J193="", "",Eighteenth!J193)</f>
        <v/>
      </c>
      <c r="K4440" s="86" t="str">
        <f>IF(Eighteenth!K193="", "",Eighteenth!K193)</f>
        <v/>
      </c>
      <c r="M4440" s="67" t="str">
        <f t="shared" si="209"/>
        <v/>
      </c>
      <c r="N4440" s="76" t="str">
        <f t="shared" si="210"/>
        <v/>
      </c>
      <c r="O4440" s="33">
        <f t="shared" si="208"/>
        <v>0</v>
      </c>
    </row>
    <row r="4441" spans="1:15" x14ac:dyDescent="0.25">
      <c r="A4441" s="64" t="s">
        <v>189</v>
      </c>
      <c r="B4441" s="79" t="str">
        <f>IF(Eighteenth!B194="", "",Eighteenth!B194)</f>
        <v/>
      </c>
      <c r="C4441" s="66" t="str">
        <f>IF(Eighteenth!C194="", "",Eighteenth!C194)</f>
        <v/>
      </c>
      <c r="D4441" s="66" t="str">
        <f>IF(Eighteenth!D194="", "",Eighteenth!D194)</f>
        <v/>
      </c>
      <c r="E4441" s="66" t="str">
        <f>IF(Eighteenth!E194="", "",Eighteenth!E194)</f>
        <v/>
      </c>
      <c r="F4441" s="66" t="str">
        <f>IF(Eighteenth!F194="", "",Eighteenth!F194)</f>
        <v/>
      </c>
      <c r="G4441" s="66" t="str">
        <f>IF(Eighteenth!G194="", "",Eighteenth!G194)</f>
        <v/>
      </c>
      <c r="H4441" s="66" t="str">
        <f>IF(Eighteenth!H194="", "",Eighteenth!H194)</f>
        <v/>
      </c>
      <c r="I4441" s="66" t="str">
        <f>IF(Eighteenth!I194="", "",Eighteenth!I194)</f>
        <v/>
      </c>
      <c r="J4441" s="66" t="str">
        <f>IF(Eighteenth!J194="", "",Eighteenth!J194)</f>
        <v/>
      </c>
      <c r="K4441" s="86" t="str">
        <f>IF(Eighteenth!K194="", "",Eighteenth!K194)</f>
        <v/>
      </c>
      <c r="M4441" s="67" t="str">
        <f t="shared" si="209"/>
        <v/>
      </c>
      <c r="N4441" s="76" t="str">
        <f t="shared" si="210"/>
        <v/>
      </c>
      <c r="O4441" s="33">
        <f t="shared" si="208"/>
        <v>0</v>
      </c>
    </row>
    <row r="4442" spans="1:15" x14ac:dyDescent="0.25">
      <c r="A4442" s="64" t="s">
        <v>189</v>
      </c>
      <c r="B4442" s="79" t="str">
        <f>IF(Eighteenth!B195="", "",Eighteenth!B195)</f>
        <v/>
      </c>
      <c r="C4442" s="66" t="str">
        <f>IF(Eighteenth!C195="", "",Eighteenth!C195)</f>
        <v/>
      </c>
      <c r="D4442" s="66" t="str">
        <f>IF(Eighteenth!D195="", "",Eighteenth!D195)</f>
        <v/>
      </c>
      <c r="E4442" s="66" t="str">
        <f>IF(Eighteenth!E195="", "",Eighteenth!E195)</f>
        <v/>
      </c>
      <c r="F4442" s="66" t="str">
        <f>IF(Eighteenth!F195="", "",Eighteenth!F195)</f>
        <v/>
      </c>
      <c r="G4442" s="66" t="str">
        <f>IF(Eighteenth!G195="", "",Eighteenth!G195)</f>
        <v/>
      </c>
      <c r="H4442" s="66" t="str">
        <f>IF(Eighteenth!H195="", "",Eighteenth!H195)</f>
        <v/>
      </c>
      <c r="I4442" s="66" t="str">
        <f>IF(Eighteenth!I195="", "",Eighteenth!I195)</f>
        <v/>
      </c>
      <c r="J4442" s="66" t="str">
        <f>IF(Eighteenth!J195="", "",Eighteenth!J195)</f>
        <v/>
      </c>
      <c r="K4442" s="86" t="str">
        <f>IF(Eighteenth!K195="", "",Eighteenth!K195)</f>
        <v/>
      </c>
      <c r="M4442" s="67" t="str">
        <f t="shared" si="209"/>
        <v/>
      </c>
      <c r="N4442" s="76" t="str">
        <f t="shared" si="210"/>
        <v/>
      </c>
      <c r="O4442" s="33">
        <f t="shared" si="208"/>
        <v>0</v>
      </c>
    </row>
    <row r="4443" spans="1:15" x14ac:dyDescent="0.25">
      <c r="A4443" s="64" t="s">
        <v>189</v>
      </c>
      <c r="B4443" s="79" t="str">
        <f>IF(Eighteenth!B196="", "",Eighteenth!B196)</f>
        <v/>
      </c>
      <c r="C4443" s="66" t="str">
        <f>IF(Eighteenth!C196="", "",Eighteenth!C196)</f>
        <v/>
      </c>
      <c r="D4443" s="66" t="str">
        <f>IF(Eighteenth!D196="", "",Eighteenth!D196)</f>
        <v/>
      </c>
      <c r="E4443" s="66" t="str">
        <f>IF(Eighteenth!E196="", "",Eighteenth!E196)</f>
        <v/>
      </c>
      <c r="F4443" s="66" t="str">
        <f>IF(Eighteenth!F196="", "",Eighteenth!F196)</f>
        <v/>
      </c>
      <c r="G4443" s="66" t="str">
        <f>IF(Eighteenth!G196="", "",Eighteenth!G196)</f>
        <v/>
      </c>
      <c r="H4443" s="66" t="str">
        <f>IF(Eighteenth!H196="", "",Eighteenth!H196)</f>
        <v/>
      </c>
      <c r="I4443" s="66" t="str">
        <f>IF(Eighteenth!I196="", "",Eighteenth!I196)</f>
        <v/>
      </c>
      <c r="J4443" s="66" t="str">
        <f>IF(Eighteenth!J196="", "",Eighteenth!J196)</f>
        <v/>
      </c>
      <c r="K4443" s="86" t="str">
        <f>IF(Eighteenth!K196="", "",Eighteenth!K196)</f>
        <v/>
      </c>
      <c r="M4443" s="67" t="str">
        <f t="shared" si="209"/>
        <v/>
      </c>
      <c r="N4443" s="76" t="str">
        <f t="shared" si="210"/>
        <v/>
      </c>
      <c r="O4443" s="33">
        <f t="shared" si="208"/>
        <v>0</v>
      </c>
    </row>
    <row r="4444" spans="1:15" x14ac:dyDescent="0.25">
      <c r="A4444" s="64" t="s">
        <v>189</v>
      </c>
      <c r="B4444" s="79" t="str">
        <f>IF(Eighteenth!B197="", "",Eighteenth!B197)</f>
        <v/>
      </c>
      <c r="C4444" s="66" t="str">
        <f>IF(Eighteenth!C197="", "",Eighteenth!C197)</f>
        <v/>
      </c>
      <c r="D4444" s="66" t="str">
        <f>IF(Eighteenth!D197="", "",Eighteenth!D197)</f>
        <v/>
      </c>
      <c r="E4444" s="66" t="str">
        <f>IF(Eighteenth!E197="", "",Eighteenth!E197)</f>
        <v/>
      </c>
      <c r="F4444" s="66" t="str">
        <f>IF(Eighteenth!F197="", "",Eighteenth!F197)</f>
        <v/>
      </c>
      <c r="G4444" s="66" t="str">
        <f>IF(Eighteenth!G197="", "",Eighteenth!G197)</f>
        <v/>
      </c>
      <c r="H4444" s="66" t="str">
        <f>IF(Eighteenth!H197="", "",Eighteenth!H197)</f>
        <v/>
      </c>
      <c r="I4444" s="66" t="str">
        <f>IF(Eighteenth!I197="", "",Eighteenth!I197)</f>
        <v/>
      </c>
      <c r="J4444" s="66" t="str">
        <f>IF(Eighteenth!J197="", "",Eighteenth!J197)</f>
        <v/>
      </c>
      <c r="K4444" s="86" t="str">
        <f>IF(Eighteenth!K197="", "",Eighteenth!K197)</f>
        <v/>
      </c>
      <c r="M4444" s="67" t="str">
        <f t="shared" si="209"/>
        <v/>
      </c>
      <c r="N4444" s="76" t="str">
        <f t="shared" si="210"/>
        <v/>
      </c>
      <c r="O4444" s="33">
        <f t="shared" si="208"/>
        <v>0</v>
      </c>
    </row>
    <row r="4445" spans="1:15" x14ac:dyDescent="0.25">
      <c r="A4445" s="64" t="s">
        <v>189</v>
      </c>
      <c r="B4445" s="79" t="str">
        <f>IF(Eighteenth!B198="", "",Eighteenth!B198)</f>
        <v/>
      </c>
      <c r="C4445" s="66" t="str">
        <f>IF(Eighteenth!C198="", "",Eighteenth!C198)</f>
        <v/>
      </c>
      <c r="D4445" s="66" t="str">
        <f>IF(Eighteenth!D198="", "",Eighteenth!D198)</f>
        <v/>
      </c>
      <c r="E4445" s="66" t="str">
        <f>IF(Eighteenth!E198="", "",Eighteenth!E198)</f>
        <v/>
      </c>
      <c r="F4445" s="66" t="str">
        <f>IF(Eighteenth!F198="", "",Eighteenth!F198)</f>
        <v/>
      </c>
      <c r="G4445" s="66" t="str">
        <f>IF(Eighteenth!G198="", "",Eighteenth!G198)</f>
        <v/>
      </c>
      <c r="H4445" s="66" t="str">
        <f>IF(Eighteenth!H198="", "",Eighteenth!H198)</f>
        <v/>
      </c>
      <c r="I4445" s="66" t="str">
        <f>IF(Eighteenth!I198="", "",Eighteenth!I198)</f>
        <v/>
      </c>
      <c r="J4445" s="66" t="str">
        <f>IF(Eighteenth!J198="", "",Eighteenth!J198)</f>
        <v/>
      </c>
      <c r="K4445" s="86" t="str">
        <f>IF(Eighteenth!K198="", "",Eighteenth!K198)</f>
        <v/>
      </c>
      <c r="M4445" s="67" t="str">
        <f t="shared" si="209"/>
        <v/>
      </c>
      <c r="N4445" s="76" t="str">
        <f t="shared" si="210"/>
        <v/>
      </c>
      <c r="O4445" s="33">
        <f t="shared" si="208"/>
        <v>0</v>
      </c>
    </row>
    <row r="4446" spans="1:15" x14ac:dyDescent="0.25">
      <c r="A4446" s="64" t="s">
        <v>189</v>
      </c>
      <c r="B4446" s="79" t="str">
        <f>IF(Eighteenth!B199="", "",Eighteenth!B199)</f>
        <v/>
      </c>
      <c r="C4446" s="66" t="str">
        <f>IF(Eighteenth!C199="", "",Eighteenth!C199)</f>
        <v/>
      </c>
      <c r="D4446" s="66" t="str">
        <f>IF(Eighteenth!D199="", "",Eighteenth!D199)</f>
        <v/>
      </c>
      <c r="E4446" s="66" t="str">
        <f>IF(Eighteenth!E199="", "",Eighteenth!E199)</f>
        <v/>
      </c>
      <c r="F4446" s="66" t="str">
        <f>IF(Eighteenth!F199="", "",Eighteenth!F199)</f>
        <v/>
      </c>
      <c r="G4446" s="66" t="str">
        <f>IF(Eighteenth!G199="", "",Eighteenth!G199)</f>
        <v/>
      </c>
      <c r="H4446" s="66" t="str">
        <f>IF(Eighteenth!H199="", "",Eighteenth!H199)</f>
        <v/>
      </c>
      <c r="I4446" s="66" t="str">
        <f>IF(Eighteenth!I199="", "",Eighteenth!I199)</f>
        <v/>
      </c>
      <c r="J4446" s="66" t="str">
        <f>IF(Eighteenth!J199="", "",Eighteenth!J199)</f>
        <v/>
      </c>
      <c r="K4446" s="86" t="str">
        <f>IF(Eighteenth!K199="", "",Eighteenth!K199)</f>
        <v/>
      </c>
      <c r="M4446" s="67" t="str">
        <f t="shared" si="209"/>
        <v/>
      </c>
      <c r="N4446" s="76" t="str">
        <f t="shared" si="210"/>
        <v/>
      </c>
      <c r="O4446" s="33">
        <f t="shared" si="208"/>
        <v>0</v>
      </c>
    </row>
    <row r="4447" spans="1:15" x14ac:dyDescent="0.25">
      <c r="A4447" s="64" t="s">
        <v>189</v>
      </c>
      <c r="B4447" s="79" t="str">
        <f>IF(Eighteenth!B200="", "",Eighteenth!B200)</f>
        <v/>
      </c>
      <c r="C4447" s="66" t="str">
        <f>IF(Eighteenth!C200="", "",Eighteenth!C200)</f>
        <v/>
      </c>
      <c r="D4447" s="66" t="str">
        <f>IF(Eighteenth!D200="", "",Eighteenth!D200)</f>
        <v/>
      </c>
      <c r="E4447" s="66" t="str">
        <f>IF(Eighteenth!E200="", "",Eighteenth!E200)</f>
        <v/>
      </c>
      <c r="F4447" s="66" t="str">
        <f>IF(Eighteenth!F200="", "",Eighteenth!F200)</f>
        <v/>
      </c>
      <c r="G4447" s="66" t="str">
        <f>IF(Eighteenth!G200="", "",Eighteenth!G200)</f>
        <v/>
      </c>
      <c r="H4447" s="66" t="str">
        <f>IF(Eighteenth!H200="", "",Eighteenth!H200)</f>
        <v/>
      </c>
      <c r="I4447" s="66" t="str">
        <f>IF(Eighteenth!I200="", "",Eighteenth!I200)</f>
        <v/>
      </c>
      <c r="J4447" s="66" t="str">
        <f>IF(Eighteenth!J200="", "",Eighteenth!J200)</f>
        <v/>
      </c>
      <c r="K4447" s="86" t="str">
        <f>IF(Eighteenth!K200="", "",Eighteenth!K200)</f>
        <v/>
      </c>
      <c r="M4447" s="67" t="str">
        <f t="shared" si="209"/>
        <v/>
      </c>
      <c r="N4447" s="76" t="str">
        <f t="shared" si="210"/>
        <v/>
      </c>
      <c r="O4447" s="33">
        <f t="shared" si="208"/>
        <v>0</v>
      </c>
    </row>
    <row r="4448" spans="1:15" x14ac:dyDescent="0.25">
      <c r="A4448" s="64" t="s">
        <v>189</v>
      </c>
      <c r="B4448" s="79" t="str">
        <f>IF(Eighteenth!B201="", "",Eighteenth!B201)</f>
        <v/>
      </c>
      <c r="C4448" s="66" t="str">
        <f>IF(Eighteenth!C201="", "",Eighteenth!C201)</f>
        <v/>
      </c>
      <c r="D4448" s="66" t="str">
        <f>IF(Eighteenth!D201="", "",Eighteenth!D201)</f>
        <v/>
      </c>
      <c r="E4448" s="66" t="str">
        <f>IF(Eighteenth!E201="", "",Eighteenth!E201)</f>
        <v/>
      </c>
      <c r="F4448" s="66" t="str">
        <f>IF(Eighteenth!F201="", "",Eighteenth!F201)</f>
        <v/>
      </c>
      <c r="G4448" s="66" t="str">
        <f>IF(Eighteenth!G201="", "",Eighteenth!G201)</f>
        <v/>
      </c>
      <c r="H4448" s="66" t="str">
        <f>IF(Eighteenth!H201="", "",Eighteenth!H201)</f>
        <v/>
      </c>
      <c r="I4448" s="66" t="str">
        <f>IF(Eighteenth!I201="", "",Eighteenth!I201)</f>
        <v/>
      </c>
      <c r="J4448" s="66" t="str">
        <f>IF(Eighteenth!J201="", "",Eighteenth!J201)</f>
        <v/>
      </c>
      <c r="K4448" s="86" t="str">
        <f>IF(Eighteenth!K201="", "",Eighteenth!K201)</f>
        <v/>
      </c>
      <c r="M4448" s="67" t="str">
        <f t="shared" si="209"/>
        <v/>
      </c>
      <c r="N4448" s="76" t="str">
        <f t="shared" si="210"/>
        <v/>
      </c>
      <c r="O4448" s="33">
        <f t="shared" si="208"/>
        <v>0</v>
      </c>
    </row>
    <row r="4449" spans="1:15" x14ac:dyDescent="0.25">
      <c r="A4449" s="64" t="s">
        <v>189</v>
      </c>
      <c r="B4449" s="79" t="str">
        <f>IF(Eighteenth!B202="", "",Eighteenth!B202)</f>
        <v/>
      </c>
      <c r="C4449" s="66" t="str">
        <f>IF(Eighteenth!C202="", "",Eighteenth!C202)</f>
        <v/>
      </c>
      <c r="D4449" s="66" t="str">
        <f>IF(Eighteenth!D202="", "",Eighteenth!D202)</f>
        <v/>
      </c>
      <c r="E4449" s="66" t="str">
        <f>IF(Eighteenth!E202="", "",Eighteenth!E202)</f>
        <v/>
      </c>
      <c r="F4449" s="66" t="str">
        <f>IF(Eighteenth!F202="", "",Eighteenth!F202)</f>
        <v/>
      </c>
      <c r="G4449" s="66" t="str">
        <f>IF(Eighteenth!G202="", "",Eighteenth!G202)</f>
        <v/>
      </c>
      <c r="H4449" s="66" t="str">
        <f>IF(Eighteenth!H202="", "",Eighteenth!H202)</f>
        <v/>
      </c>
      <c r="I4449" s="66" t="str">
        <f>IF(Eighteenth!I202="", "",Eighteenth!I202)</f>
        <v/>
      </c>
      <c r="J4449" s="66" t="str">
        <f>IF(Eighteenth!J202="", "",Eighteenth!J202)</f>
        <v/>
      </c>
      <c r="K4449" s="86" t="str">
        <f>IF(Eighteenth!K202="", "",Eighteenth!K202)</f>
        <v/>
      </c>
      <c r="M4449" s="67" t="str">
        <f t="shared" si="209"/>
        <v/>
      </c>
      <c r="N4449" s="76" t="str">
        <f t="shared" si="210"/>
        <v/>
      </c>
      <c r="O4449" s="33">
        <f t="shared" si="208"/>
        <v>0</v>
      </c>
    </row>
    <row r="4450" spans="1:15" x14ac:dyDescent="0.25">
      <c r="A4450" s="64" t="s">
        <v>189</v>
      </c>
      <c r="B4450" s="79" t="str">
        <f>IF(Eighteenth!B203="", "",Eighteenth!B203)</f>
        <v/>
      </c>
      <c r="C4450" s="66" t="str">
        <f>IF(Eighteenth!C203="", "",Eighteenth!C203)</f>
        <v/>
      </c>
      <c r="D4450" s="66" t="str">
        <f>IF(Eighteenth!D203="", "",Eighteenth!D203)</f>
        <v/>
      </c>
      <c r="E4450" s="66" t="str">
        <f>IF(Eighteenth!E203="", "",Eighteenth!E203)</f>
        <v/>
      </c>
      <c r="F4450" s="66" t="str">
        <f>IF(Eighteenth!F203="", "",Eighteenth!F203)</f>
        <v/>
      </c>
      <c r="G4450" s="66" t="str">
        <f>IF(Eighteenth!G203="", "",Eighteenth!G203)</f>
        <v/>
      </c>
      <c r="H4450" s="66" t="str">
        <f>IF(Eighteenth!H203="", "",Eighteenth!H203)</f>
        <v/>
      </c>
      <c r="I4450" s="66" t="str">
        <f>IF(Eighteenth!I203="", "",Eighteenth!I203)</f>
        <v/>
      </c>
      <c r="J4450" s="66" t="str">
        <f>IF(Eighteenth!J203="", "",Eighteenth!J203)</f>
        <v/>
      </c>
      <c r="K4450" s="86" t="str">
        <f>IF(Eighteenth!K203="", "",Eighteenth!K203)</f>
        <v/>
      </c>
      <c r="M4450" s="67" t="str">
        <f t="shared" si="209"/>
        <v/>
      </c>
      <c r="N4450" s="76" t="str">
        <f t="shared" si="210"/>
        <v/>
      </c>
      <c r="O4450" s="33">
        <f t="shared" si="208"/>
        <v>0</v>
      </c>
    </row>
    <row r="4451" spans="1:15" x14ac:dyDescent="0.25">
      <c r="A4451" s="64" t="s">
        <v>189</v>
      </c>
      <c r="B4451" s="79" t="str">
        <f>IF(Eighteenth!B204="", "",Eighteenth!B204)</f>
        <v/>
      </c>
      <c r="C4451" s="66" t="str">
        <f>IF(Eighteenth!C204="", "",Eighteenth!C204)</f>
        <v/>
      </c>
      <c r="D4451" s="66" t="str">
        <f>IF(Eighteenth!D204="", "",Eighteenth!D204)</f>
        <v/>
      </c>
      <c r="E4451" s="66" t="str">
        <f>IF(Eighteenth!E204="", "",Eighteenth!E204)</f>
        <v/>
      </c>
      <c r="F4451" s="66" t="str">
        <f>IF(Eighteenth!F204="", "",Eighteenth!F204)</f>
        <v/>
      </c>
      <c r="G4451" s="66" t="str">
        <f>IF(Eighteenth!G204="", "",Eighteenth!G204)</f>
        <v/>
      </c>
      <c r="H4451" s="66" t="str">
        <f>IF(Eighteenth!H204="", "",Eighteenth!H204)</f>
        <v/>
      </c>
      <c r="I4451" s="66" t="str">
        <f>IF(Eighteenth!I204="", "",Eighteenth!I204)</f>
        <v/>
      </c>
      <c r="J4451" s="66" t="str">
        <f>IF(Eighteenth!J204="", "",Eighteenth!J204)</f>
        <v/>
      </c>
      <c r="K4451" s="86" t="str">
        <f>IF(Eighteenth!K204="", "",Eighteenth!K204)</f>
        <v/>
      </c>
      <c r="M4451" s="67" t="str">
        <f t="shared" si="209"/>
        <v/>
      </c>
      <c r="N4451" s="76" t="str">
        <f t="shared" si="210"/>
        <v/>
      </c>
      <c r="O4451" s="33">
        <f t="shared" si="208"/>
        <v>0</v>
      </c>
    </row>
    <row r="4452" spans="1:15" x14ac:dyDescent="0.25">
      <c r="A4452" s="64" t="s">
        <v>189</v>
      </c>
      <c r="B4452" s="79" t="str">
        <f>IF(Eighteenth!B205="", "",Eighteenth!B205)</f>
        <v/>
      </c>
      <c r="C4452" s="66" t="str">
        <f>IF(Eighteenth!C205="", "",Eighteenth!C205)</f>
        <v/>
      </c>
      <c r="D4452" s="66" t="str">
        <f>IF(Eighteenth!D205="", "",Eighteenth!D205)</f>
        <v/>
      </c>
      <c r="E4452" s="66" t="str">
        <f>IF(Eighteenth!E205="", "",Eighteenth!E205)</f>
        <v/>
      </c>
      <c r="F4452" s="66" t="str">
        <f>IF(Eighteenth!F205="", "",Eighteenth!F205)</f>
        <v/>
      </c>
      <c r="G4452" s="66" t="str">
        <f>IF(Eighteenth!G205="", "",Eighteenth!G205)</f>
        <v/>
      </c>
      <c r="H4452" s="66" t="str">
        <f>IF(Eighteenth!H205="", "",Eighteenth!H205)</f>
        <v/>
      </c>
      <c r="I4452" s="66" t="str">
        <f>IF(Eighteenth!I205="", "",Eighteenth!I205)</f>
        <v/>
      </c>
      <c r="J4452" s="66" t="str">
        <f>IF(Eighteenth!J205="", "",Eighteenth!J205)</f>
        <v/>
      </c>
      <c r="K4452" s="86" t="str">
        <f>IF(Eighteenth!K205="", "",Eighteenth!K205)</f>
        <v/>
      </c>
      <c r="M4452" s="67" t="str">
        <f t="shared" si="209"/>
        <v/>
      </c>
      <c r="N4452" s="76" t="str">
        <f t="shared" si="210"/>
        <v/>
      </c>
      <c r="O4452" s="33">
        <f t="shared" si="208"/>
        <v>0</v>
      </c>
    </row>
    <row r="4453" spans="1:15" x14ac:dyDescent="0.25">
      <c r="A4453" s="64" t="s">
        <v>189</v>
      </c>
      <c r="B4453" s="79" t="str">
        <f>IF(Eighteenth!B206="", "",Eighteenth!B206)</f>
        <v/>
      </c>
      <c r="C4453" s="66" t="str">
        <f>IF(Eighteenth!C206="", "",Eighteenth!C206)</f>
        <v/>
      </c>
      <c r="D4453" s="66" t="str">
        <f>IF(Eighteenth!D206="", "",Eighteenth!D206)</f>
        <v/>
      </c>
      <c r="E4453" s="66" t="str">
        <f>IF(Eighteenth!E206="", "",Eighteenth!E206)</f>
        <v/>
      </c>
      <c r="F4453" s="66" t="str">
        <f>IF(Eighteenth!F206="", "",Eighteenth!F206)</f>
        <v/>
      </c>
      <c r="G4453" s="66" t="str">
        <f>IF(Eighteenth!G206="", "",Eighteenth!G206)</f>
        <v/>
      </c>
      <c r="H4453" s="66" t="str">
        <f>IF(Eighteenth!H206="", "",Eighteenth!H206)</f>
        <v/>
      </c>
      <c r="I4453" s="66" t="str">
        <f>IF(Eighteenth!I206="", "",Eighteenth!I206)</f>
        <v/>
      </c>
      <c r="J4453" s="66" t="str">
        <f>IF(Eighteenth!J206="", "",Eighteenth!J206)</f>
        <v/>
      </c>
      <c r="K4453" s="86" t="str">
        <f>IF(Eighteenth!K206="", "",Eighteenth!K206)</f>
        <v/>
      </c>
      <c r="M4453" s="67" t="str">
        <f t="shared" si="209"/>
        <v/>
      </c>
      <c r="N4453" s="76" t="str">
        <f t="shared" si="210"/>
        <v/>
      </c>
      <c r="O4453" s="33">
        <f t="shared" si="208"/>
        <v>0</v>
      </c>
    </row>
    <row r="4454" spans="1:15" x14ac:dyDescent="0.25">
      <c r="A4454" s="64" t="s">
        <v>189</v>
      </c>
      <c r="B4454" s="79" t="str">
        <f>IF(Eighteenth!B207="", "",Eighteenth!B207)</f>
        <v/>
      </c>
      <c r="C4454" s="66" t="str">
        <f>IF(Eighteenth!C207="", "",Eighteenth!C207)</f>
        <v/>
      </c>
      <c r="D4454" s="66" t="str">
        <f>IF(Eighteenth!D207="", "",Eighteenth!D207)</f>
        <v/>
      </c>
      <c r="E4454" s="66" t="str">
        <f>IF(Eighteenth!E207="", "",Eighteenth!E207)</f>
        <v/>
      </c>
      <c r="F4454" s="66" t="str">
        <f>IF(Eighteenth!F207="", "",Eighteenth!F207)</f>
        <v/>
      </c>
      <c r="G4454" s="66" t="str">
        <f>IF(Eighteenth!G207="", "",Eighteenth!G207)</f>
        <v/>
      </c>
      <c r="H4454" s="66" t="str">
        <f>IF(Eighteenth!H207="", "",Eighteenth!H207)</f>
        <v/>
      </c>
      <c r="I4454" s="66" t="str">
        <f>IF(Eighteenth!I207="", "",Eighteenth!I207)</f>
        <v/>
      </c>
      <c r="J4454" s="66" t="str">
        <f>IF(Eighteenth!J207="", "",Eighteenth!J207)</f>
        <v/>
      </c>
      <c r="K4454" s="86" t="str">
        <f>IF(Eighteenth!K207="", "",Eighteenth!K207)</f>
        <v/>
      </c>
      <c r="M4454" s="67" t="str">
        <f t="shared" si="209"/>
        <v/>
      </c>
      <c r="N4454" s="76" t="str">
        <f t="shared" si="210"/>
        <v/>
      </c>
      <c r="O4454" s="33">
        <f t="shared" si="208"/>
        <v>0</v>
      </c>
    </row>
    <row r="4455" spans="1:15" x14ac:dyDescent="0.25">
      <c r="A4455" s="64" t="s">
        <v>189</v>
      </c>
      <c r="B4455" s="79" t="str">
        <f>IF(Eighteenth!B208="", "",Eighteenth!B208)</f>
        <v/>
      </c>
      <c r="C4455" s="66" t="str">
        <f>IF(Eighteenth!C208="", "",Eighteenth!C208)</f>
        <v/>
      </c>
      <c r="D4455" s="66" t="str">
        <f>IF(Eighteenth!D208="", "",Eighteenth!D208)</f>
        <v/>
      </c>
      <c r="E4455" s="66" t="str">
        <f>IF(Eighteenth!E208="", "",Eighteenth!E208)</f>
        <v/>
      </c>
      <c r="F4455" s="66" t="str">
        <f>IF(Eighteenth!F208="", "",Eighteenth!F208)</f>
        <v/>
      </c>
      <c r="G4455" s="66" t="str">
        <f>IF(Eighteenth!G208="", "",Eighteenth!G208)</f>
        <v/>
      </c>
      <c r="H4455" s="66" t="str">
        <f>IF(Eighteenth!H208="", "",Eighteenth!H208)</f>
        <v/>
      </c>
      <c r="I4455" s="66" t="str">
        <f>IF(Eighteenth!I208="", "",Eighteenth!I208)</f>
        <v/>
      </c>
      <c r="J4455" s="66" t="str">
        <f>IF(Eighteenth!J208="", "",Eighteenth!J208)</f>
        <v/>
      </c>
      <c r="K4455" s="86" t="str">
        <f>IF(Eighteenth!K208="", "",Eighteenth!K208)</f>
        <v/>
      </c>
      <c r="M4455" s="67" t="str">
        <f t="shared" si="209"/>
        <v/>
      </c>
      <c r="N4455" s="76" t="str">
        <f t="shared" si="210"/>
        <v/>
      </c>
      <c r="O4455" s="33">
        <f t="shared" si="208"/>
        <v>0</v>
      </c>
    </row>
    <row r="4456" spans="1:15" x14ac:dyDescent="0.25">
      <c r="A4456" s="64" t="s">
        <v>189</v>
      </c>
      <c r="B4456" s="79" t="str">
        <f>IF(Eighteenth!B209="", "",Eighteenth!B209)</f>
        <v/>
      </c>
      <c r="C4456" s="66" t="str">
        <f>IF(Eighteenth!C209="", "",Eighteenth!C209)</f>
        <v/>
      </c>
      <c r="D4456" s="66" t="str">
        <f>IF(Eighteenth!D209="", "",Eighteenth!D209)</f>
        <v/>
      </c>
      <c r="E4456" s="66" t="str">
        <f>IF(Eighteenth!E209="", "",Eighteenth!E209)</f>
        <v/>
      </c>
      <c r="F4456" s="66" t="str">
        <f>IF(Eighteenth!F209="", "",Eighteenth!F209)</f>
        <v/>
      </c>
      <c r="G4456" s="66" t="str">
        <f>IF(Eighteenth!G209="", "",Eighteenth!G209)</f>
        <v/>
      </c>
      <c r="H4456" s="66" t="str">
        <f>IF(Eighteenth!H209="", "",Eighteenth!H209)</f>
        <v/>
      </c>
      <c r="I4456" s="66" t="str">
        <f>IF(Eighteenth!I209="", "",Eighteenth!I209)</f>
        <v/>
      </c>
      <c r="J4456" s="66" t="str">
        <f>IF(Eighteenth!J209="", "",Eighteenth!J209)</f>
        <v/>
      </c>
      <c r="K4456" s="86" t="str">
        <f>IF(Eighteenth!K209="", "",Eighteenth!K209)</f>
        <v/>
      </c>
      <c r="M4456" s="67" t="str">
        <f t="shared" si="209"/>
        <v/>
      </c>
      <c r="N4456" s="76" t="str">
        <f t="shared" si="210"/>
        <v/>
      </c>
      <c r="O4456" s="33">
        <f t="shared" si="208"/>
        <v>0</v>
      </c>
    </row>
    <row r="4457" spans="1:15" x14ac:dyDescent="0.25">
      <c r="A4457" s="64" t="s">
        <v>189</v>
      </c>
      <c r="B4457" s="79" t="str">
        <f>IF(Eighteenth!B210="", "",Eighteenth!B210)</f>
        <v/>
      </c>
      <c r="C4457" s="66" t="str">
        <f>IF(Eighteenth!C210="", "",Eighteenth!C210)</f>
        <v/>
      </c>
      <c r="D4457" s="66" t="str">
        <f>IF(Eighteenth!D210="", "",Eighteenth!D210)</f>
        <v/>
      </c>
      <c r="E4457" s="66" t="str">
        <f>IF(Eighteenth!E210="", "",Eighteenth!E210)</f>
        <v/>
      </c>
      <c r="F4457" s="66" t="str">
        <f>IF(Eighteenth!F210="", "",Eighteenth!F210)</f>
        <v/>
      </c>
      <c r="G4457" s="66" t="str">
        <f>IF(Eighteenth!G210="", "",Eighteenth!G210)</f>
        <v/>
      </c>
      <c r="H4457" s="66" t="str">
        <f>IF(Eighteenth!H210="", "",Eighteenth!H210)</f>
        <v/>
      </c>
      <c r="I4457" s="66" t="str">
        <f>IF(Eighteenth!I210="", "",Eighteenth!I210)</f>
        <v/>
      </c>
      <c r="J4457" s="66" t="str">
        <f>IF(Eighteenth!J210="", "",Eighteenth!J210)</f>
        <v/>
      </c>
      <c r="K4457" s="86" t="str">
        <f>IF(Eighteenth!K210="", "",Eighteenth!K210)</f>
        <v/>
      </c>
      <c r="M4457" s="67" t="str">
        <f t="shared" si="209"/>
        <v/>
      </c>
      <c r="N4457" s="76" t="str">
        <f t="shared" si="210"/>
        <v/>
      </c>
      <c r="O4457" s="33">
        <f t="shared" si="208"/>
        <v>0</v>
      </c>
    </row>
    <row r="4458" spans="1:15" x14ac:dyDescent="0.25">
      <c r="A4458" s="64" t="s">
        <v>189</v>
      </c>
      <c r="B4458" s="79" t="str">
        <f>IF(Eighteenth!B211="", "",Eighteenth!B211)</f>
        <v/>
      </c>
      <c r="C4458" s="66" t="str">
        <f>IF(Eighteenth!C211="", "",Eighteenth!C211)</f>
        <v/>
      </c>
      <c r="D4458" s="66" t="str">
        <f>IF(Eighteenth!D211="", "",Eighteenth!D211)</f>
        <v/>
      </c>
      <c r="E4458" s="66" t="str">
        <f>IF(Eighteenth!E211="", "",Eighteenth!E211)</f>
        <v/>
      </c>
      <c r="F4458" s="66" t="str">
        <f>IF(Eighteenth!F211="", "",Eighteenth!F211)</f>
        <v/>
      </c>
      <c r="G4458" s="66" t="str">
        <f>IF(Eighteenth!G211="", "",Eighteenth!G211)</f>
        <v/>
      </c>
      <c r="H4458" s="66" t="str">
        <f>IF(Eighteenth!H211="", "",Eighteenth!H211)</f>
        <v/>
      </c>
      <c r="I4458" s="66" t="str">
        <f>IF(Eighteenth!I211="", "",Eighteenth!I211)</f>
        <v/>
      </c>
      <c r="J4458" s="66" t="str">
        <f>IF(Eighteenth!J211="", "",Eighteenth!J211)</f>
        <v/>
      </c>
      <c r="K4458" s="86" t="str">
        <f>IF(Eighteenth!K211="", "",Eighteenth!K211)</f>
        <v/>
      </c>
      <c r="M4458" s="67" t="str">
        <f t="shared" si="209"/>
        <v/>
      </c>
      <c r="N4458" s="76" t="str">
        <f t="shared" si="210"/>
        <v/>
      </c>
      <c r="O4458" s="33">
        <f t="shared" ref="O4458:O4522" si="211">SUM(M4458:N4458)</f>
        <v>0</v>
      </c>
    </row>
    <row r="4459" spans="1:15" x14ac:dyDescent="0.25">
      <c r="A4459" s="64" t="s">
        <v>189</v>
      </c>
      <c r="B4459" s="79" t="str">
        <f>IF(Eighteenth!B212="", "",Eighteenth!B212)</f>
        <v/>
      </c>
      <c r="C4459" s="66" t="str">
        <f>IF(Eighteenth!C212="", "",Eighteenth!C212)</f>
        <v/>
      </c>
      <c r="D4459" s="66" t="str">
        <f>IF(Eighteenth!D212="", "",Eighteenth!D212)</f>
        <v/>
      </c>
      <c r="E4459" s="66" t="str">
        <f>IF(Eighteenth!E212="", "",Eighteenth!E212)</f>
        <v/>
      </c>
      <c r="F4459" s="66" t="str">
        <f>IF(Eighteenth!F212="", "",Eighteenth!F212)</f>
        <v/>
      </c>
      <c r="G4459" s="66" t="str">
        <f>IF(Eighteenth!G212="", "",Eighteenth!G212)</f>
        <v/>
      </c>
      <c r="H4459" s="66" t="str">
        <f>IF(Eighteenth!H212="", "",Eighteenth!H212)</f>
        <v/>
      </c>
      <c r="I4459" s="66" t="str">
        <f>IF(Eighteenth!I212="", "",Eighteenth!I212)</f>
        <v/>
      </c>
      <c r="J4459" s="66" t="str">
        <f>IF(Eighteenth!J212="", "",Eighteenth!J212)</f>
        <v/>
      </c>
      <c r="K4459" s="86" t="str">
        <f>IF(Eighteenth!K212="", "",Eighteenth!K212)</f>
        <v/>
      </c>
      <c r="M4459" s="67" t="str">
        <f t="shared" si="209"/>
        <v/>
      </c>
      <c r="N4459" s="76" t="str">
        <f t="shared" si="210"/>
        <v/>
      </c>
      <c r="O4459" s="33">
        <f t="shared" si="211"/>
        <v>0</v>
      </c>
    </row>
    <row r="4460" spans="1:15" x14ac:dyDescent="0.25">
      <c r="A4460" s="64" t="s">
        <v>189</v>
      </c>
      <c r="B4460" s="79" t="str">
        <f>IF(Eighteenth!B213="", "",Eighteenth!B213)</f>
        <v/>
      </c>
      <c r="C4460" s="66" t="str">
        <f>IF(Eighteenth!C213="", "",Eighteenth!C213)</f>
        <v/>
      </c>
      <c r="D4460" s="66" t="str">
        <f>IF(Eighteenth!D213="", "",Eighteenth!D213)</f>
        <v/>
      </c>
      <c r="E4460" s="66" t="str">
        <f>IF(Eighteenth!E213="", "",Eighteenth!E213)</f>
        <v/>
      </c>
      <c r="F4460" s="66" t="str">
        <f>IF(Eighteenth!F213="", "",Eighteenth!F213)</f>
        <v/>
      </c>
      <c r="G4460" s="66" t="str">
        <f>IF(Eighteenth!G213="", "",Eighteenth!G213)</f>
        <v/>
      </c>
      <c r="H4460" s="66" t="str">
        <f>IF(Eighteenth!H213="", "",Eighteenth!H213)</f>
        <v/>
      </c>
      <c r="I4460" s="66" t="str">
        <f>IF(Eighteenth!I213="", "",Eighteenth!I213)</f>
        <v/>
      </c>
      <c r="J4460" s="66" t="str">
        <f>IF(Eighteenth!J213="", "",Eighteenth!J213)</f>
        <v/>
      </c>
      <c r="K4460" s="86" t="str">
        <f>IF(Eighteenth!K213="", "",Eighteenth!K213)</f>
        <v/>
      </c>
      <c r="M4460" s="67" t="str">
        <f t="shared" si="209"/>
        <v/>
      </c>
      <c r="N4460" s="76" t="str">
        <f t="shared" si="210"/>
        <v/>
      </c>
      <c r="O4460" s="33">
        <f t="shared" si="211"/>
        <v>0</v>
      </c>
    </row>
    <row r="4461" spans="1:15" x14ac:dyDescent="0.25">
      <c r="A4461" s="64" t="s">
        <v>189</v>
      </c>
      <c r="B4461" s="79" t="str">
        <f>IF(Eighteenth!B214="", "",Eighteenth!B214)</f>
        <v/>
      </c>
      <c r="C4461" s="66" t="str">
        <f>IF(Eighteenth!C214="", "",Eighteenth!C214)</f>
        <v/>
      </c>
      <c r="D4461" s="66" t="str">
        <f>IF(Eighteenth!D214="", "",Eighteenth!D214)</f>
        <v/>
      </c>
      <c r="E4461" s="66" t="str">
        <f>IF(Eighteenth!E214="", "",Eighteenth!E214)</f>
        <v/>
      </c>
      <c r="F4461" s="66" t="str">
        <f>IF(Eighteenth!F214="", "",Eighteenth!F214)</f>
        <v/>
      </c>
      <c r="G4461" s="66" t="str">
        <f>IF(Eighteenth!G214="", "",Eighteenth!G214)</f>
        <v/>
      </c>
      <c r="H4461" s="66" t="str">
        <f>IF(Eighteenth!H214="", "",Eighteenth!H214)</f>
        <v/>
      </c>
      <c r="I4461" s="66" t="str">
        <f>IF(Eighteenth!I214="", "",Eighteenth!I214)</f>
        <v/>
      </c>
      <c r="J4461" s="66" t="str">
        <f>IF(Eighteenth!J214="", "",Eighteenth!J214)</f>
        <v/>
      </c>
      <c r="K4461" s="86" t="str">
        <f>IF(Eighteenth!K214="", "",Eighteenth!K214)</f>
        <v/>
      </c>
      <c r="M4461" s="67" t="str">
        <f t="shared" si="209"/>
        <v/>
      </c>
      <c r="N4461" s="76" t="str">
        <f t="shared" si="210"/>
        <v/>
      </c>
      <c r="O4461" s="33">
        <f t="shared" si="211"/>
        <v>0</v>
      </c>
    </row>
    <row r="4462" spans="1:15" x14ac:dyDescent="0.25">
      <c r="A4462" s="64" t="s">
        <v>189</v>
      </c>
      <c r="B4462" s="79" t="str">
        <f>IF(Eighteenth!B215="", "",Eighteenth!B215)</f>
        <v/>
      </c>
      <c r="C4462" s="66" t="str">
        <f>IF(Eighteenth!C215="", "",Eighteenth!C215)</f>
        <v/>
      </c>
      <c r="D4462" s="66" t="str">
        <f>IF(Eighteenth!D215="", "",Eighteenth!D215)</f>
        <v/>
      </c>
      <c r="E4462" s="66" t="str">
        <f>IF(Eighteenth!E215="", "",Eighteenth!E215)</f>
        <v/>
      </c>
      <c r="F4462" s="66" t="str">
        <f>IF(Eighteenth!F215="", "",Eighteenth!F215)</f>
        <v/>
      </c>
      <c r="G4462" s="66" t="str">
        <f>IF(Eighteenth!G215="", "",Eighteenth!G215)</f>
        <v/>
      </c>
      <c r="H4462" s="66" t="str">
        <f>IF(Eighteenth!H215="", "",Eighteenth!H215)</f>
        <v/>
      </c>
      <c r="I4462" s="66" t="str">
        <f>IF(Eighteenth!I215="", "",Eighteenth!I215)</f>
        <v/>
      </c>
      <c r="J4462" s="66" t="str">
        <f>IF(Eighteenth!J215="", "",Eighteenth!J215)</f>
        <v/>
      </c>
      <c r="K4462" s="86" t="str">
        <f>IF(Eighteenth!K215="", "",Eighteenth!K215)</f>
        <v/>
      </c>
      <c r="M4462" s="67" t="str">
        <f t="shared" si="209"/>
        <v/>
      </c>
      <c r="N4462" s="76" t="str">
        <f t="shared" si="210"/>
        <v/>
      </c>
      <c r="O4462" s="33">
        <f t="shared" si="211"/>
        <v>0</v>
      </c>
    </row>
    <row r="4463" spans="1:15" x14ac:dyDescent="0.25">
      <c r="A4463" s="64" t="s">
        <v>189</v>
      </c>
      <c r="B4463" s="79" t="str">
        <f>IF(Eighteenth!B216="", "",Eighteenth!B216)</f>
        <v/>
      </c>
      <c r="C4463" s="66" t="str">
        <f>IF(Eighteenth!C216="", "",Eighteenth!C216)</f>
        <v/>
      </c>
      <c r="D4463" s="66" t="str">
        <f>IF(Eighteenth!D216="", "",Eighteenth!D216)</f>
        <v/>
      </c>
      <c r="E4463" s="66" t="str">
        <f>IF(Eighteenth!E216="", "",Eighteenth!E216)</f>
        <v/>
      </c>
      <c r="F4463" s="66" t="str">
        <f>IF(Eighteenth!F216="", "",Eighteenth!F216)</f>
        <v/>
      </c>
      <c r="G4463" s="66" t="str">
        <f>IF(Eighteenth!G216="", "",Eighteenth!G216)</f>
        <v/>
      </c>
      <c r="H4463" s="66" t="str">
        <f>IF(Eighteenth!H216="", "",Eighteenth!H216)</f>
        <v/>
      </c>
      <c r="I4463" s="66" t="str">
        <f>IF(Eighteenth!I216="", "",Eighteenth!I216)</f>
        <v/>
      </c>
      <c r="J4463" s="66" t="str">
        <f>IF(Eighteenth!J216="", "",Eighteenth!J216)</f>
        <v/>
      </c>
      <c r="K4463" s="86" t="str">
        <f>IF(Eighteenth!K216="", "",Eighteenth!K216)</f>
        <v/>
      </c>
      <c r="M4463" s="67" t="str">
        <f t="shared" si="209"/>
        <v/>
      </c>
      <c r="N4463" s="76" t="str">
        <f t="shared" si="210"/>
        <v/>
      </c>
      <c r="O4463" s="33">
        <f t="shared" si="211"/>
        <v>0</v>
      </c>
    </row>
    <row r="4464" spans="1:15" x14ac:dyDescent="0.25">
      <c r="A4464" s="64" t="s">
        <v>189</v>
      </c>
      <c r="B4464" s="79" t="str">
        <f>IF(Eighteenth!B217="", "",Eighteenth!B217)</f>
        <v/>
      </c>
      <c r="C4464" s="66" t="str">
        <f>IF(Eighteenth!C217="", "",Eighteenth!C217)</f>
        <v/>
      </c>
      <c r="D4464" s="66" t="str">
        <f>IF(Eighteenth!D217="", "",Eighteenth!D217)</f>
        <v/>
      </c>
      <c r="E4464" s="66" t="str">
        <f>IF(Eighteenth!E217="", "",Eighteenth!E217)</f>
        <v/>
      </c>
      <c r="F4464" s="66" t="str">
        <f>IF(Eighteenth!F217="", "",Eighteenth!F217)</f>
        <v/>
      </c>
      <c r="G4464" s="66" t="str">
        <f>IF(Eighteenth!G217="", "",Eighteenth!G217)</f>
        <v/>
      </c>
      <c r="H4464" s="66" t="str">
        <f>IF(Eighteenth!H217="", "",Eighteenth!H217)</f>
        <v/>
      </c>
      <c r="I4464" s="66" t="str">
        <f>IF(Eighteenth!I217="", "",Eighteenth!I217)</f>
        <v/>
      </c>
      <c r="J4464" s="66" t="str">
        <f>IF(Eighteenth!J217="", "",Eighteenth!J217)</f>
        <v/>
      </c>
      <c r="K4464" s="86" t="str">
        <f>IF(Eighteenth!K217="", "",Eighteenth!K217)</f>
        <v/>
      </c>
      <c r="M4464" s="67" t="str">
        <f t="shared" si="209"/>
        <v/>
      </c>
      <c r="N4464" s="76" t="str">
        <f t="shared" si="210"/>
        <v/>
      </c>
      <c r="O4464" s="33">
        <f t="shared" si="211"/>
        <v>0</v>
      </c>
    </row>
    <row r="4465" spans="1:15" x14ac:dyDescent="0.25">
      <c r="A4465" s="64" t="s">
        <v>189</v>
      </c>
      <c r="B4465" s="79" t="str">
        <f>IF(Eighteenth!B218="", "",Eighteenth!B218)</f>
        <v/>
      </c>
      <c r="C4465" s="66" t="str">
        <f>IF(Eighteenth!C218="", "",Eighteenth!C218)</f>
        <v/>
      </c>
      <c r="D4465" s="66" t="str">
        <f>IF(Eighteenth!D218="", "",Eighteenth!D218)</f>
        <v/>
      </c>
      <c r="E4465" s="66" t="str">
        <f>IF(Eighteenth!E218="", "",Eighteenth!E218)</f>
        <v/>
      </c>
      <c r="F4465" s="66" t="str">
        <f>IF(Eighteenth!F218="", "",Eighteenth!F218)</f>
        <v/>
      </c>
      <c r="G4465" s="66" t="str">
        <f>IF(Eighteenth!G218="", "",Eighteenth!G218)</f>
        <v/>
      </c>
      <c r="H4465" s="66" t="str">
        <f>IF(Eighteenth!H218="", "",Eighteenth!H218)</f>
        <v/>
      </c>
      <c r="I4465" s="66" t="str">
        <f>IF(Eighteenth!I218="", "",Eighteenth!I218)</f>
        <v/>
      </c>
      <c r="J4465" s="66" t="str">
        <f>IF(Eighteenth!J218="", "",Eighteenth!J218)</f>
        <v/>
      </c>
      <c r="K4465" s="86" t="str">
        <f>IF(Eighteenth!K218="", "",Eighteenth!K218)</f>
        <v/>
      </c>
      <c r="M4465" s="67" t="str">
        <f t="shared" si="209"/>
        <v/>
      </c>
      <c r="N4465" s="76" t="str">
        <f t="shared" si="210"/>
        <v/>
      </c>
      <c r="O4465" s="33">
        <f t="shared" si="211"/>
        <v>0</v>
      </c>
    </row>
    <row r="4466" spans="1:15" x14ac:dyDescent="0.25">
      <c r="A4466" s="64" t="s">
        <v>189</v>
      </c>
      <c r="B4466" s="79" t="str">
        <f>IF(Eighteenth!B219="", "",Eighteenth!B219)</f>
        <v/>
      </c>
      <c r="C4466" s="66" t="str">
        <f>IF(Eighteenth!C219="", "",Eighteenth!C219)</f>
        <v/>
      </c>
      <c r="D4466" s="66" t="str">
        <f>IF(Eighteenth!D219="", "",Eighteenth!D219)</f>
        <v/>
      </c>
      <c r="E4466" s="66" t="str">
        <f>IF(Eighteenth!E219="", "",Eighteenth!E219)</f>
        <v/>
      </c>
      <c r="F4466" s="66" t="str">
        <f>IF(Eighteenth!F219="", "",Eighteenth!F219)</f>
        <v/>
      </c>
      <c r="G4466" s="66" t="str">
        <f>IF(Eighteenth!G219="", "",Eighteenth!G219)</f>
        <v/>
      </c>
      <c r="H4466" s="66" t="str">
        <f>IF(Eighteenth!H219="", "",Eighteenth!H219)</f>
        <v/>
      </c>
      <c r="I4466" s="66" t="str">
        <f>IF(Eighteenth!I219="", "",Eighteenth!I219)</f>
        <v/>
      </c>
      <c r="J4466" s="66" t="str">
        <f>IF(Eighteenth!J219="", "",Eighteenth!J219)</f>
        <v/>
      </c>
      <c r="K4466" s="86" t="str">
        <f>IF(Eighteenth!K219="", "",Eighteenth!K219)</f>
        <v/>
      </c>
      <c r="M4466" s="67" t="str">
        <f t="shared" si="209"/>
        <v/>
      </c>
      <c r="N4466" s="76" t="str">
        <f t="shared" si="210"/>
        <v/>
      </c>
      <c r="O4466" s="33">
        <f t="shared" si="211"/>
        <v>0</v>
      </c>
    </row>
    <row r="4467" spans="1:15" x14ac:dyDescent="0.25">
      <c r="A4467" s="64" t="s">
        <v>189</v>
      </c>
      <c r="B4467" s="79" t="str">
        <f>IF(Eighteenth!B220="", "",Eighteenth!B220)</f>
        <v/>
      </c>
      <c r="C4467" s="66" t="str">
        <f>IF(Eighteenth!C220="", "",Eighteenth!C220)</f>
        <v/>
      </c>
      <c r="D4467" s="66" t="str">
        <f>IF(Eighteenth!D220="", "",Eighteenth!D220)</f>
        <v/>
      </c>
      <c r="E4467" s="66" t="str">
        <f>IF(Eighteenth!E220="", "",Eighteenth!E220)</f>
        <v/>
      </c>
      <c r="F4467" s="66" t="str">
        <f>IF(Eighteenth!F220="", "",Eighteenth!F220)</f>
        <v/>
      </c>
      <c r="G4467" s="66" t="str">
        <f>IF(Eighteenth!G220="", "",Eighteenth!G220)</f>
        <v/>
      </c>
      <c r="H4467" s="66" t="str">
        <f>IF(Eighteenth!H220="", "",Eighteenth!H220)</f>
        <v/>
      </c>
      <c r="I4467" s="66" t="str">
        <f>IF(Eighteenth!I220="", "",Eighteenth!I220)</f>
        <v/>
      </c>
      <c r="J4467" s="66" t="str">
        <f>IF(Eighteenth!J220="", "",Eighteenth!J220)</f>
        <v/>
      </c>
      <c r="K4467" s="86" t="str">
        <f>IF(Eighteenth!K220="", "",Eighteenth!K220)</f>
        <v/>
      </c>
      <c r="M4467" s="67" t="str">
        <f t="shared" si="209"/>
        <v/>
      </c>
      <c r="N4467" s="76" t="str">
        <f t="shared" si="210"/>
        <v/>
      </c>
      <c r="O4467" s="33">
        <f t="shared" si="211"/>
        <v>0</v>
      </c>
    </row>
    <row r="4468" spans="1:15" x14ac:dyDescent="0.25">
      <c r="A4468" s="64" t="s">
        <v>189</v>
      </c>
      <c r="B4468" s="79" t="str">
        <f>IF(Eighteenth!B221="", "",Eighteenth!B221)</f>
        <v/>
      </c>
      <c r="C4468" s="66" t="str">
        <f>IF(Eighteenth!C221="", "",Eighteenth!C221)</f>
        <v/>
      </c>
      <c r="D4468" s="66" t="str">
        <f>IF(Eighteenth!D221="", "",Eighteenth!D221)</f>
        <v/>
      </c>
      <c r="E4468" s="66" t="str">
        <f>IF(Eighteenth!E221="", "",Eighteenth!E221)</f>
        <v/>
      </c>
      <c r="F4468" s="66" t="str">
        <f>IF(Eighteenth!F221="", "",Eighteenth!F221)</f>
        <v/>
      </c>
      <c r="G4468" s="66" t="str">
        <f>IF(Eighteenth!G221="", "",Eighteenth!G221)</f>
        <v/>
      </c>
      <c r="H4468" s="66" t="str">
        <f>IF(Eighteenth!H221="", "",Eighteenth!H221)</f>
        <v/>
      </c>
      <c r="I4468" s="66" t="str">
        <f>IF(Eighteenth!I221="", "",Eighteenth!I221)</f>
        <v/>
      </c>
      <c r="J4468" s="66" t="str">
        <f>IF(Eighteenth!J221="", "",Eighteenth!J221)</f>
        <v/>
      </c>
      <c r="K4468" s="86" t="str">
        <f>IF(Eighteenth!K221="", "",Eighteenth!K221)</f>
        <v/>
      </c>
      <c r="M4468" s="67" t="str">
        <f t="shared" si="209"/>
        <v/>
      </c>
      <c r="N4468" s="76" t="str">
        <f t="shared" si="210"/>
        <v/>
      </c>
      <c r="O4468" s="33">
        <f t="shared" si="211"/>
        <v>0</v>
      </c>
    </row>
    <row r="4469" spans="1:15" x14ac:dyDescent="0.25">
      <c r="A4469" s="64" t="s">
        <v>189</v>
      </c>
      <c r="B4469" s="79" t="str">
        <f>IF(Eighteenth!B222="", "",Eighteenth!B222)</f>
        <v/>
      </c>
      <c r="C4469" s="66" t="str">
        <f>IF(Eighteenth!C222="", "",Eighteenth!C222)</f>
        <v/>
      </c>
      <c r="D4469" s="66" t="str">
        <f>IF(Eighteenth!D222="", "",Eighteenth!D222)</f>
        <v/>
      </c>
      <c r="E4469" s="66" t="str">
        <f>IF(Eighteenth!E222="", "",Eighteenth!E222)</f>
        <v/>
      </c>
      <c r="F4469" s="66" t="str">
        <f>IF(Eighteenth!F222="", "",Eighteenth!F222)</f>
        <v/>
      </c>
      <c r="G4469" s="66" t="str">
        <f>IF(Eighteenth!G222="", "",Eighteenth!G222)</f>
        <v/>
      </c>
      <c r="H4469" s="66" t="str">
        <f>IF(Eighteenth!H222="", "",Eighteenth!H222)</f>
        <v/>
      </c>
      <c r="I4469" s="66" t="str">
        <f>IF(Eighteenth!I222="", "",Eighteenth!I222)</f>
        <v/>
      </c>
      <c r="J4469" s="66" t="str">
        <f>IF(Eighteenth!J222="", "",Eighteenth!J222)</f>
        <v/>
      </c>
      <c r="K4469" s="86" t="str">
        <f>IF(Eighteenth!K222="", "",Eighteenth!K222)</f>
        <v/>
      </c>
      <c r="M4469" s="67" t="str">
        <f t="shared" si="209"/>
        <v/>
      </c>
      <c r="N4469" s="76" t="str">
        <f t="shared" si="210"/>
        <v/>
      </c>
      <c r="O4469" s="33">
        <f t="shared" si="211"/>
        <v>0</v>
      </c>
    </row>
    <row r="4470" spans="1:15" x14ac:dyDescent="0.25">
      <c r="A4470" s="64" t="s">
        <v>189</v>
      </c>
      <c r="B4470" s="79" t="str">
        <f>IF(Eighteenth!B223="", "",Eighteenth!B223)</f>
        <v/>
      </c>
      <c r="C4470" s="66" t="str">
        <f>IF(Eighteenth!C223="", "",Eighteenth!C223)</f>
        <v/>
      </c>
      <c r="D4470" s="66" t="str">
        <f>IF(Eighteenth!D223="", "",Eighteenth!D223)</f>
        <v/>
      </c>
      <c r="E4470" s="66" t="str">
        <f>IF(Eighteenth!E223="", "",Eighteenth!E223)</f>
        <v/>
      </c>
      <c r="F4470" s="66" t="str">
        <f>IF(Eighteenth!F223="", "",Eighteenth!F223)</f>
        <v/>
      </c>
      <c r="G4470" s="66" t="str">
        <f>IF(Eighteenth!G223="", "",Eighteenth!G223)</f>
        <v/>
      </c>
      <c r="H4470" s="66" t="str">
        <f>IF(Eighteenth!H223="", "",Eighteenth!H223)</f>
        <v/>
      </c>
      <c r="I4470" s="66" t="str">
        <f>IF(Eighteenth!I223="", "",Eighteenth!I223)</f>
        <v/>
      </c>
      <c r="J4470" s="66" t="str">
        <f>IF(Eighteenth!J223="", "",Eighteenth!J223)</f>
        <v/>
      </c>
      <c r="K4470" s="86" t="str">
        <f>IF(Eighteenth!K223="", "",Eighteenth!K223)</f>
        <v/>
      </c>
      <c r="M4470" s="67" t="str">
        <f t="shared" si="209"/>
        <v/>
      </c>
      <c r="N4470" s="76" t="str">
        <f t="shared" si="210"/>
        <v/>
      </c>
      <c r="O4470" s="33">
        <f t="shared" si="211"/>
        <v>0</v>
      </c>
    </row>
    <row r="4471" spans="1:15" x14ac:dyDescent="0.25">
      <c r="A4471" s="64" t="s">
        <v>189</v>
      </c>
      <c r="B4471" s="79" t="str">
        <f>IF(Eighteenth!B224="", "",Eighteenth!B224)</f>
        <v/>
      </c>
      <c r="C4471" s="66" t="str">
        <f>IF(Eighteenth!C224="", "",Eighteenth!C224)</f>
        <v/>
      </c>
      <c r="D4471" s="66" t="str">
        <f>IF(Eighteenth!D224="", "",Eighteenth!D224)</f>
        <v/>
      </c>
      <c r="E4471" s="66" t="str">
        <f>IF(Eighteenth!E224="", "",Eighteenth!E224)</f>
        <v/>
      </c>
      <c r="F4471" s="66" t="str">
        <f>IF(Eighteenth!F224="", "",Eighteenth!F224)</f>
        <v/>
      </c>
      <c r="G4471" s="66" t="str">
        <f>IF(Eighteenth!G224="", "",Eighteenth!G224)</f>
        <v/>
      </c>
      <c r="H4471" s="66" t="str">
        <f>IF(Eighteenth!H224="", "",Eighteenth!H224)</f>
        <v/>
      </c>
      <c r="I4471" s="66" t="str">
        <f>IF(Eighteenth!I224="", "",Eighteenth!I224)</f>
        <v/>
      </c>
      <c r="J4471" s="66" t="str">
        <f>IF(Eighteenth!J224="", "",Eighteenth!J224)</f>
        <v/>
      </c>
      <c r="K4471" s="86" t="str">
        <f>IF(Eighteenth!K224="", "",Eighteenth!K224)</f>
        <v/>
      </c>
      <c r="M4471" s="67" t="str">
        <f t="shared" si="209"/>
        <v/>
      </c>
      <c r="N4471" s="76" t="str">
        <f t="shared" si="210"/>
        <v/>
      </c>
      <c r="O4471" s="33">
        <f t="shared" si="211"/>
        <v>0</v>
      </c>
    </row>
    <row r="4472" spans="1:15" x14ac:dyDescent="0.25">
      <c r="A4472" s="64" t="s">
        <v>189</v>
      </c>
      <c r="B4472" s="79" t="str">
        <f>IF(Eighteenth!B225="", "",Eighteenth!B225)</f>
        <v/>
      </c>
      <c r="C4472" s="66" t="str">
        <f>IF(Eighteenth!C225="", "",Eighteenth!C225)</f>
        <v/>
      </c>
      <c r="D4472" s="66" t="str">
        <f>IF(Eighteenth!D225="", "",Eighteenth!D225)</f>
        <v/>
      </c>
      <c r="E4472" s="66" t="str">
        <f>IF(Eighteenth!E225="", "",Eighteenth!E225)</f>
        <v/>
      </c>
      <c r="F4472" s="66" t="str">
        <f>IF(Eighteenth!F225="", "",Eighteenth!F225)</f>
        <v/>
      </c>
      <c r="G4472" s="66" t="str">
        <f>IF(Eighteenth!G225="", "",Eighteenth!G225)</f>
        <v/>
      </c>
      <c r="H4472" s="66" t="str">
        <f>IF(Eighteenth!H225="", "",Eighteenth!H225)</f>
        <v/>
      </c>
      <c r="I4472" s="66" t="str">
        <f>IF(Eighteenth!I225="", "",Eighteenth!I225)</f>
        <v/>
      </c>
      <c r="J4472" s="66" t="str">
        <f>IF(Eighteenth!J225="", "",Eighteenth!J225)</f>
        <v/>
      </c>
      <c r="K4472" s="86" t="str">
        <f>IF(Eighteenth!K225="", "",Eighteenth!K225)</f>
        <v/>
      </c>
      <c r="M4472" s="67" t="str">
        <f t="shared" si="209"/>
        <v/>
      </c>
      <c r="N4472" s="76" t="str">
        <f t="shared" si="210"/>
        <v/>
      </c>
      <c r="O4472" s="33">
        <f t="shared" si="211"/>
        <v>0</v>
      </c>
    </row>
    <row r="4473" spans="1:15" x14ac:dyDescent="0.25">
      <c r="A4473" s="64" t="s">
        <v>189</v>
      </c>
      <c r="B4473" s="79" t="str">
        <f>IF(Eighteenth!B226="", "",Eighteenth!B226)</f>
        <v/>
      </c>
      <c r="C4473" s="66" t="str">
        <f>IF(Eighteenth!C226="", "",Eighteenth!C226)</f>
        <v/>
      </c>
      <c r="D4473" s="66" t="str">
        <f>IF(Eighteenth!D226="", "",Eighteenth!D226)</f>
        <v/>
      </c>
      <c r="E4473" s="66" t="str">
        <f>IF(Eighteenth!E226="", "",Eighteenth!E226)</f>
        <v/>
      </c>
      <c r="F4473" s="66" t="str">
        <f>IF(Eighteenth!F226="", "",Eighteenth!F226)</f>
        <v/>
      </c>
      <c r="G4473" s="66" t="str">
        <f>IF(Eighteenth!G226="", "",Eighteenth!G226)</f>
        <v/>
      </c>
      <c r="H4473" s="66" t="str">
        <f>IF(Eighteenth!H226="", "",Eighteenth!H226)</f>
        <v/>
      </c>
      <c r="I4473" s="66" t="str">
        <f>IF(Eighteenth!I226="", "",Eighteenth!I226)</f>
        <v/>
      </c>
      <c r="J4473" s="66" t="str">
        <f>IF(Eighteenth!J226="", "",Eighteenth!J226)</f>
        <v/>
      </c>
      <c r="K4473" s="86" t="str">
        <f>IF(Eighteenth!K226="", "",Eighteenth!K226)</f>
        <v/>
      </c>
      <c r="M4473" s="67" t="str">
        <f t="shared" si="209"/>
        <v/>
      </c>
      <c r="N4473" s="76" t="str">
        <f t="shared" si="210"/>
        <v/>
      </c>
      <c r="O4473" s="33">
        <f t="shared" si="211"/>
        <v>0</v>
      </c>
    </row>
    <row r="4474" spans="1:15" x14ac:dyDescent="0.25">
      <c r="A4474" s="64" t="s">
        <v>189</v>
      </c>
      <c r="B4474" s="79" t="str">
        <f>IF(Eighteenth!B227="", "",Eighteenth!B227)</f>
        <v/>
      </c>
      <c r="C4474" s="66" t="str">
        <f>IF(Eighteenth!C227="", "",Eighteenth!C227)</f>
        <v/>
      </c>
      <c r="D4474" s="66" t="str">
        <f>IF(Eighteenth!D227="", "",Eighteenth!D227)</f>
        <v/>
      </c>
      <c r="E4474" s="66" t="str">
        <f>IF(Eighteenth!E227="", "",Eighteenth!E227)</f>
        <v/>
      </c>
      <c r="F4474" s="66" t="str">
        <f>IF(Eighteenth!F227="", "",Eighteenth!F227)</f>
        <v/>
      </c>
      <c r="G4474" s="66" t="str">
        <f>IF(Eighteenth!G227="", "",Eighteenth!G227)</f>
        <v/>
      </c>
      <c r="H4474" s="66" t="str">
        <f>IF(Eighteenth!H227="", "",Eighteenth!H227)</f>
        <v/>
      </c>
      <c r="I4474" s="66" t="str">
        <f>IF(Eighteenth!I227="", "",Eighteenth!I227)</f>
        <v/>
      </c>
      <c r="J4474" s="66" t="str">
        <f>IF(Eighteenth!J227="", "",Eighteenth!J227)</f>
        <v/>
      </c>
      <c r="K4474" s="86" t="str">
        <f>IF(Eighteenth!K227="", "",Eighteenth!K227)</f>
        <v/>
      </c>
      <c r="M4474" s="67" t="str">
        <f t="shared" si="209"/>
        <v/>
      </c>
      <c r="N4474" s="76" t="str">
        <f t="shared" si="210"/>
        <v/>
      </c>
      <c r="O4474" s="33">
        <f t="shared" si="211"/>
        <v>0</v>
      </c>
    </row>
    <row r="4475" spans="1:15" x14ac:dyDescent="0.25">
      <c r="A4475" s="64" t="s">
        <v>189</v>
      </c>
      <c r="B4475" s="79" t="str">
        <f>IF(Eighteenth!B228="", "",Eighteenth!B228)</f>
        <v/>
      </c>
      <c r="C4475" s="66" t="str">
        <f>IF(Eighteenth!C228="", "",Eighteenth!C228)</f>
        <v/>
      </c>
      <c r="D4475" s="66" t="str">
        <f>IF(Eighteenth!D228="", "",Eighteenth!D228)</f>
        <v/>
      </c>
      <c r="E4475" s="66" t="str">
        <f>IF(Eighteenth!E228="", "",Eighteenth!E228)</f>
        <v/>
      </c>
      <c r="F4475" s="66" t="str">
        <f>IF(Eighteenth!F228="", "",Eighteenth!F228)</f>
        <v/>
      </c>
      <c r="G4475" s="66" t="str">
        <f>IF(Eighteenth!G228="", "",Eighteenth!G228)</f>
        <v/>
      </c>
      <c r="H4475" s="66" t="str">
        <f>IF(Eighteenth!H228="", "",Eighteenth!H228)</f>
        <v/>
      </c>
      <c r="I4475" s="66" t="str">
        <f>IF(Eighteenth!I228="", "",Eighteenth!I228)</f>
        <v/>
      </c>
      <c r="J4475" s="66" t="str">
        <f>IF(Eighteenth!J228="", "",Eighteenth!J228)</f>
        <v/>
      </c>
      <c r="K4475" s="86" t="str">
        <f>IF(Eighteenth!K228="", "",Eighteenth!K228)</f>
        <v/>
      </c>
      <c r="M4475" s="67" t="str">
        <f t="shared" si="209"/>
        <v/>
      </c>
      <c r="N4475" s="76" t="str">
        <f t="shared" si="210"/>
        <v/>
      </c>
      <c r="O4475" s="33">
        <f t="shared" si="211"/>
        <v>0</v>
      </c>
    </row>
    <row r="4476" spans="1:15" x14ac:dyDescent="0.25">
      <c r="A4476" s="64" t="s">
        <v>189</v>
      </c>
      <c r="B4476" s="79" t="str">
        <f>IF(Eighteenth!B229="", "",Eighteenth!B229)</f>
        <v/>
      </c>
      <c r="C4476" s="66" t="str">
        <f>IF(Eighteenth!C229="", "",Eighteenth!C229)</f>
        <v/>
      </c>
      <c r="D4476" s="66" t="str">
        <f>IF(Eighteenth!D229="", "",Eighteenth!D229)</f>
        <v/>
      </c>
      <c r="E4476" s="66" t="str">
        <f>IF(Eighteenth!E229="", "",Eighteenth!E229)</f>
        <v/>
      </c>
      <c r="F4476" s="66" t="str">
        <f>IF(Eighteenth!F229="", "",Eighteenth!F229)</f>
        <v/>
      </c>
      <c r="G4476" s="66" t="str">
        <f>IF(Eighteenth!G229="", "",Eighteenth!G229)</f>
        <v/>
      </c>
      <c r="H4476" s="66" t="str">
        <f>IF(Eighteenth!H229="", "",Eighteenth!H229)</f>
        <v/>
      </c>
      <c r="I4476" s="66" t="str">
        <f>IF(Eighteenth!I229="", "",Eighteenth!I229)</f>
        <v/>
      </c>
      <c r="J4476" s="66" t="str">
        <f>IF(Eighteenth!J229="", "",Eighteenth!J229)</f>
        <v/>
      </c>
      <c r="K4476" s="86" t="str">
        <f>IF(Eighteenth!K229="", "",Eighteenth!K229)</f>
        <v/>
      </c>
      <c r="M4476" s="67" t="str">
        <f t="shared" si="209"/>
        <v/>
      </c>
      <c r="N4476" s="76" t="str">
        <f t="shared" si="210"/>
        <v/>
      </c>
      <c r="O4476" s="33">
        <f t="shared" si="211"/>
        <v>0</v>
      </c>
    </row>
    <row r="4477" spans="1:15" x14ac:dyDescent="0.25">
      <c r="A4477" s="64" t="s">
        <v>189</v>
      </c>
      <c r="B4477" s="79" t="str">
        <f>IF(Eighteenth!B230="", "",Eighteenth!B230)</f>
        <v/>
      </c>
      <c r="C4477" s="66" t="str">
        <f>IF(Eighteenth!C230="", "",Eighteenth!C230)</f>
        <v/>
      </c>
      <c r="D4477" s="66" t="str">
        <f>IF(Eighteenth!D230="", "",Eighteenth!D230)</f>
        <v/>
      </c>
      <c r="E4477" s="66" t="str">
        <f>IF(Eighteenth!E230="", "",Eighteenth!E230)</f>
        <v/>
      </c>
      <c r="F4477" s="66" t="str">
        <f>IF(Eighteenth!F230="", "",Eighteenth!F230)</f>
        <v/>
      </c>
      <c r="G4477" s="66" t="str">
        <f>IF(Eighteenth!G230="", "",Eighteenth!G230)</f>
        <v/>
      </c>
      <c r="H4477" s="66" t="str">
        <f>IF(Eighteenth!H230="", "",Eighteenth!H230)</f>
        <v/>
      </c>
      <c r="I4477" s="66" t="str">
        <f>IF(Eighteenth!I230="", "",Eighteenth!I230)</f>
        <v/>
      </c>
      <c r="J4477" s="66" t="str">
        <f>IF(Eighteenth!J230="", "",Eighteenth!J230)</f>
        <v/>
      </c>
      <c r="K4477" s="86" t="str">
        <f>IF(Eighteenth!K230="", "",Eighteenth!K230)</f>
        <v/>
      </c>
      <c r="M4477" s="67" t="str">
        <f t="shared" si="209"/>
        <v/>
      </c>
      <c r="N4477" s="76" t="str">
        <f t="shared" si="210"/>
        <v/>
      </c>
      <c r="O4477" s="33">
        <f t="shared" si="211"/>
        <v>0</v>
      </c>
    </row>
    <row r="4478" spans="1:15" x14ac:dyDescent="0.25">
      <c r="A4478" s="64" t="s">
        <v>189</v>
      </c>
      <c r="B4478" s="79" t="str">
        <f>IF(Eighteenth!B231="", "",Eighteenth!B231)</f>
        <v/>
      </c>
      <c r="C4478" s="66" t="str">
        <f>IF(Eighteenth!C231="", "",Eighteenth!C231)</f>
        <v/>
      </c>
      <c r="D4478" s="66" t="str">
        <f>IF(Eighteenth!D231="", "",Eighteenth!D231)</f>
        <v/>
      </c>
      <c r="E4478" s="66" t="str">
        <f>IF(Eighteenth!E231="", "",Eighteenth!E231)</f>
        <v/>
      </c>
      <c r="F4478" s="66" t="str">
        <f>IF(Eighteenth!F231="", "",Eighteenth!F231)</f>
        <v/>
      </c>
      <c r="G4478" s="66" t="str">
        <f>IF(Eighteenth!G231="", "",Eighteenth!G231)</f>
        <v/>
      </c>
      <c r="H4478" s="66" t="str">
        <f>IF(Eighteenth!H231="", "",Eighteenth!H231)</f>
        <v/>
      </c>
      <c r="I4478" s="66" t="str">
        <f>IF(Eighteenth!I231="", "",Eighteenth!I231)</f>
        <v/>
      </c>
      <c r="J4478" s="66" t="str">
        <f>IF(Eighteenth!J231="", "",Eighteenth!J231)</f>
        <v/>
      </c>
      <c r="K4478" s="86" t="str">
        <f>IF(Eighteenth!K231="", "",Eighteenth!K231)</f>
        <v/>
      </c>
      <c r="M4478" s="67" t="str">
        <f t="shared" si="209"/>
        <v/>
      </c>
      <c r="N4478" s="76" t="str">
        <f t="shared" si="210"/>
        <v/>
      </c>
      <c r="O4478" s="33">
        <f t="shared" si="211"/>
        <v>0</v>
      </c>
    </row>
    <row r="4479" spans="1:15" x14ac:dyDescent="0.25">
      <c r="A4479" s="64" t="s">
        <v>189</v>
      </c>
      <c r="B4479" s="79" t="str">
        <f>IF(Eighteenth!B232="", "",Eighteenth!B232)</f>
        <v/>
      </c>
      <c r="C4479" s="66" t="str">
        <f>IF(Eighteenth!C232="", "",Eighteenth!C232)</f>
        <v/>
      </c>
      <c r="D4479" s="66" t="str">
        <f>IF(Eighteenth!D232="", "",Eighteenth!D232)</f>
        <v/>
      </c>
      <c r="E4479" s="66" t="str">
        <f>IF(Eighteenth!E232="", "",Eighteenth!E232)</f>
        <v/>
      </c>
      <c r="F4479" s="66" t="str">
        <f>IF(Eighteenth!F232="", "",Eighteenth!F232)</f>
        <v/>
      </c>
      <c r="G4479" s="66" t="str">
        <f>IF(Eighteenth!G232="", "",Eighteenth!G232)</f>
        <v/>
      </c>
      <c r="H4479" s="66" t="str">
        <f>IF(Eighteenth!H232="", "",Eighteenth!H232)</f>
        <v/>
      </c>
      <c r="I4479" s="66" t="str">
        <f>IF(Eighteenth!I232="", "",Eighteenth!I232)</f>
        <v/>
      </c>
      <c r="J4479" s="66" t="str">
        <f>IF(Eighteenth!J232="", "",Eighteenth!J232)</f>
        <v/>
      </c>
      <c r="K4479" s="86" t="str">
        <f>IF(Eighteenth!K232="", "",Eighteenth!K232)</f>
        <v/>
      </c>
      <c r="M4479" s="67" t="str">
        <f t="shared" si="209"/>
        <v/>
      </c>
      <c r="N4479" s="76" t="str">
        <f t="shared" si="210"/>
        <v/>
      </c>
      <c r="O4479" s="33">
        <f t="shared" si="211"/>
        <v>0</v>
      </c>
    </row>
    <row r="4480" spans="1:15" x14ac:dyDescent="0.25">
      <c r="A4480" s="64" t="s">
        <v>189</v>
      </c>
      <c r="B4480" s="79" t="str">
        <f>IF(Eighteenth!B233="", "",Eighteenth!B233)</f>
        <v/>
      </c>
      <c r="C4480" s="66" t="str">
        <f>IF(Eighteenth!C233="", "",Eighteenth!C233)</f>
        <v/>
      </c>
      <c r="D4480" s="66" t="str">
        <f>IF(Eighteenth!D233="", "",Eighteenth!D233)</f>
        <v/>
      </c>
      <c r="E4480" s="66" t="str">
        <f>IF(Eighteenth!E233="", "",Eighteenth!E233)</f>
        <v/>
      </c>
      <c r="F4480" s="66" t="str">
        <f>IF(Eighteenth!F233="", "",Eighteenth!F233)</f>
        <v/>
      </c>
      <c r="G4480" s="66" t="str">
        <f>IF(Eighteenth!G233="", "",Eighteenth!G233)</f>
        <v/>
      </c>
      <c r="H4480" s="66" t="str">
        <f>IF(Eighteenth!H233="", "",Eighteenth!H233)</f>
        <v/>
      </c>
      <c r="I4480" s="66" t="str">
        <f>IF(Eighteenth!I233="", "",Eighteenth!I233)</f>
        <v/>
      </c>
      <c r="J4480" s="66" t="str">
        <f>IF(Eighteenth!J233="", "",Eighteenth!J233)</f>
        <v/>
      </c>
      <c r="K4480" s="86" t="str">
        <f>IF(Eighteenth!K233="", "",Eighteenth!K233)</f>
        <v/>
      </c>
      <c r="M4480" s="67" t="str">
        <f t="shared" si="209"/>
        <v/>
      </c>
      <c r="N4480" s="76" t="str">
        <f t="shared" si="210"/>
        <v/>
      </c>
      <c r="O4480" s="33">
        <f t="shared" si="211"/>
        <v>0</v>
      </c>
    </row>
    <row r="4481" spans="1:15" x14ac:dyDescent="0.25">
      <c r="A4481" s="64" t="s">
        <v>189</v>
      </c>
      <c r="B4481" s="79" t="str">
        <f>IF(Eighteenth!B234="", "",Eighteenth!B234)</f>
        <v/>
      </c>
      <c r="C4481" s="66" t="str">
        <f>IF(Eighteenth!C234="", "",Eighteenth!C234)</f>
        <v/>
      </c>
      <c r="D4481" s="66" t="str">
        <f>IF(Eighteenth!D234="", "",Eighteenth!D234)</f>
        <v/>
      </c>
      <c r="E4481" s="66" t="str">
        <f>IF(Eighteenth!E234="", "",Eighteenth!E234)</f>
        <v/>
      </c>
      <c r="F4481" s="66" t="str">
        <f>IF(Eighteenth!F234="", "",Eighteenth!F234)</f>
        <v/>
      </c>
      <c r="G4481" s="66" t="str">
        <f>IF(Eighteenth!G234="", "",Eighteenth!G234)</f>
        <v/>
      </c>
      <c r="H4481" s="66" t="str">
        <f>IF(Eighteenth!H234="", "",Eighteenth!H234)</f>
        <v/>
      </c>
      <c r="I4481" s="66" t="str">
        <f>IF(Eighteenth!I234="", "",Eighteenth!I234)</f>
        <v/>
      </c>
      <c r="J4481" s="66" t="str">
        <f>IF(Eighteenth!J234="", "",Eighteenth!J234)</f>
        <v/>
      </c>
      <c r="K4481" s="86" t="str">
        <f>IF(Eighteenth!K234="", "",Eighteenth!K234)</f>
        <v/>
      </c>
      <c r="M4481" s="67" t="str">
        <f t="shared" si="209"/>
        <v/>
      </c>
      <c r="N4481" s="76" t="str">
        <f t="shared" si="210"/>
        <v/>
      </c>
      <c r="O4481" s="33">
        <f t="shared" si="211"/>
        <v>0</v>
      </c>
    </row>
    <row r="4482" spans="1:15" x14ac:dyDescent="0.25">
      <c r="A4482" s="64" t="s">
        <v>189</v>
      </c>
      <c r="B4482" s="79" t="str">
        <f>IF(Eighteenth!B235="", "",Eighteenth!B235)</f>
        <v/>
      </c>
      <c r="C4482" s="66" t="str">
        <f>IF(Eighteenth!C235="", "",Eighteenth!C235)</f>
        <v/>
      </c>
      <c r="D4482" s="66" t="str">
        <f>IF(Eighteenth!D235="", "",Eighteenth!D235)</f>
        <v/>
      </c>
      <c r="E4482" s="66" t="str">
        <f>IF(Eighteenth!E235="", "",Eighteenth!E235)</f>
        <v/>
      </c>
      <c r="F4482" s="66" t="str">
        <f>IF(Eighteenth!F235="", "",Eighteenth!F235)</f>
        <v/>
      </c>
      <c r="G4482" s="66" t="str">
        <f>IF(Eighteenth!G235="", "",Eighteenth!G235)</f>
        <v/>
      </c>
      <c r="H4482" s="66" t="str">
        <f>IF(Eighteenth!H235="", "",Eighteenth!H235)</f>
        <v/>
      </c>
      <c r="I4482" s="66" t="str">
        <f>IF(Eighteenth!I235="", "",Eighteenth!I235)</f>
        <v/>
      </c>
      <c r="J4482" s="66" t="str">
        <f>IF(Eighteenth!J235="", "",Eighteenth!J235)</f>
        <v/>
      </c>
      <c r="K4482" s="86" t="str">
        <f>IF(Eighteenth!K235="", "",Eighteenth!K235)</f>
        <v/>
      </c>
      <c r="M4482" s="67" t="str">
        <f t="shared" si="209"/>
        <v/>
      </c>
      <c r="N4482" s="76" t="str">
        <f t="shared" si="210"/>
        <v/>
      </c>
      <c r="O4482" s="33">
        <f t="shared" si="211"/>
        <v>0</v>
      </c>
    </row>
    <row r="4483" spans="1:15" x14ac:dyDescent="0.25">
      <c r="A4483" s="64" t="s">
        <v>189</v>
      </c>
      <c r="B4483" s="79" t="str">
        <f>IF(Eighteenth!B236="", "",Eighteenth!B236)</f>
        <v/>
      </c>
      <c r="C4483" s="66" t="str">
        <f>IF(Eighteenth!C236="", "",Eighteenth!C236)</f>
        <v/>
      </c>
      <c r="D4483" s="66" t="str">
        <f>IF(Eighteenth!D236="", "",Eighteenth!D236)</f>
        <v/>
      </c>
      <c r="E4483" s="66" t="str">
        <f>IF(Eighteenth!E236="", "",Eighteenth!E236)</f>
        <v/>
      </c>
      <c r="F4483" s="66" t="str">
        <f>IF(Eighteenth!F236="", "",Eighteenth!F236)</f>
        <v/>
      </c>
      <c r="G4483" s="66" t="str">
        <f>IF(Eighteenth!G236="", "",Eighteenth!G236)</f>
        <v/>
      </c>
      <c r="H4483" s="66" t="str">
        <f>IF(Eighteenth!H236="", "",Eighteenth!H236)</f>
        <v/>
      </c>
      <c r="I4483" s="66" t="str">
        <f>IF(Eighteenth!I236="", "",Eighteenth!I236)</f>
        <v/>
      </c>
      <c r="J4483" s="66" t="str">
        <f>IF(Eighteenth!J236="", "",Eighteenth!J236)</f>
        <v/>
      </c>
      <c r="K4483" s="86" t="str">
        <f>IF(Eighteenth!K236="", "",Eighteenth!K236)</f>
        <v/>
      </c>
      <c r="M4483" s="67" t="str">
        <f t="shared" ref="M4483:M4547" si="212">IF(C4483="PwC",(7-COUNTIF(B4483:H4483,"")),"")</f>
        <v/>
      </c>
      <c r="N4483" s="76" t="str">
        <f t="shared" ref="N4483:N4547" si="213">IF(C4483="Carer",(7-COUNTIF(B4483:H4483,"")),"")</f>
        <v/>
      </c>
      <c r="O4483" s="33">
        <f t="shared" si="211"/>
        <v>0</v>
      </c>
    </row>
    <row r="4484" spans="1:15" x14ac:dyDescent="0.25">
      <c r="A4484" s="64" t="s">
        <v>189</v>
      </c>
      <c r="B4484" s="79" t="str">
        <f>IF(Eighteenth!B237="", "",Eighteenth!B237)</f>
        <v/>
      </c>
      <c r="C4484" s="66" t="str">
        <f>IF(Eighteenth!C237="", "",Eighteenth!C237)</f>
        <v/>
      </c>
      <c r="D4484" s="66" t="str">
        <f>IF(Eighteenth!D237="", "",Eighteenth!D237)</f>
        <v/>
      </c>
      <c r="E4484" s="66" t="str">
        <f>IF(Eighteenth!E237="", "",Eighteenth!E237)</f>
        <v/>
      </c>
      <c r="F4484" s="66" t="str">
        <f>IF(Eighteenth!F237="", "",Eighteenth!F237)</f>
        <v/>
      </c>
      <c r="G4484" s="66" t="str">
        <f>IF(Eighteenth!G237="", "",Eighteenth!G237)</f>
        <v/>
      </c>
      <c r="H4484" s="66" t="str">
        <f>IF(Eighteenth!H237="", "",Eighteenth!H237)</f>
        <v/>
      </c>
      <c r="I4484" s="66" t="str">
        <f>IF(Eighteenth!I237="", "",Eighteenth!I237)</f>
        <v/>
      </c>
      <c r="J4484" s="66" t="str">
        <f>IF(Eighteenth!J237="", "",Eighteenth!J237)</f>
        <v/>
      </c>
      <c r="K4484" s="86" t="str">
        <f>IF(Eighteenth!K237="", "",Eighteenth!K237)</f>
        <v/>
      </c>
      <c r="M4484" s="67" t="str">
        <f t="shared" si="212"/>
        <v/>
      </c>
      <c r="N4484" s="76" t="str">
        <f t="shared" si="213"/>
        <v/>
      </c>
      <c r="O4484" s="33">
        <f t="shared" si="211"/>
        <v>0</v>
      </c>
    </row>
    <row r="4485" spans="1:15" x14ac:dyDescent="0.25">
      <c r="A4485" s="64" t="s">
        <v>189</v>
      </c>
      <c r="B4485" s="79" t="str">
        <f>IF(Eighteenth!B238="", "",Eighteenth!B238)</f>
        <v/>
      </c>
      <c r="C4485" s="66" t="str">
        <f>IF(Eighteenth!C238="", "",Eighteenth!C238)</f>
        <v/>
      </c>
      <c r="D4485" s="66" t="str">
        <f>IF(Eighteenth!D238="", "",Eighteenth!D238)</f>
        <v/>
      </c>
      <c r="E4485" s="66" t="str">
        <f>IF(Eighteenth!E238="", "",Eighteenth!E238)</f>
        <v/>
      </c>
      <c r="F4485" s="66" t="str">
        <f>IF(Eighteenth!F238="", "",Eighteenth!F238)</f>
        <v/>
      </c>
      <c r="G4485" s="66" t="str">
        <f>IF(Eighteenth!G238="", "",Eighteenth!G238)</f>
        <v/>
      </c>
      <c r="H4485" s="66" t="str">
        <f>IF(Eighteenth!H238="", "",Eighteenth!H238)</f>
        <v/>
      </c>
      <c r="I4485" s="66" t="str">
        <f>IF(Eighteenth!I238="", "",Eighteenth!I238)</f>
        <v/>
      </c>
      <c r="J4485" s="66" t="str">
        <f>IF(Eighteenth!J238="", "",Eighteenth!J238)</f>
        <v/>
      </c>
      <c r="K4485" s="86" t="str">
        <f>IF(Eighteenth!K238="", "",Eighteenth!K238)</f>
        <v/>
      </c>
      <c r="M4485" s="67" t="str">
        <f t="shared" si="212"/>
        <v/>
      </c>
      <c r="N4485" s="76" t="str">
        <f t="shared" si="213"/>
        <v/>
      </c>
      <c r="O4485" s="33">
        <f t="shared" si="211"/>
        <v>0</v>
      </c>
    </row>
    <row r="4486" spans="1:15" x14ac:dyDescent="0.25">
      <c r="A4486" s="64" t="s">
        <v>189</v>
      </c>
      <c r="B4486" s="79" t="str">
        <f>IF(Eighteenth!B239="", "",Eighteenth!B239)</f>
        <v/>
      </c>
      <c r="C4486" s="66" t="str">
        <f>IF(Eighteenth!C239="", "",Eighteenth!C239)</f>
        <v/>
      </c>
      <c r="D4486" s="66" t="str">
        <f>IF(Eighteenth!D239="", "",Eighteenth!D239)</f>
        <v/>
      </c>
      <c r="E4486" s="66" t="str">
        <f>IF(Eighteenth!E239="", "",Eighteenth!E239)</f>
        <v/>
      </c>
      <c r="F4486" s="66" t="str">
        <f>IF(Eighteenth!F239="", "",Eighteenth!F239)</f>
        <v/>
      </c>
      <c r="G4486" s="66" t="str">
        <f>IF(Eighteenth!G239="", "",Eighteenth!G239)</f>
        <v/>
      </c>
      <c r="H4486" s="66" t="str">
        <f>IF(Eighteenth!H239="", "",Eighteenth!H239)</f>
        <v/>
      </c>
      <c r="I4486" s="66" t="str">
        <f>IF(Eighteenth!I239="", "",Eighteenth!I239)</f>
        <v/>
      </c>
      <c r="J4486" s="66" t="str">
        <f>IF(Eighteenth!J239="", "",Eighteenth!J239)</f>
        <v/>
      </c>
      <c r="K4486" s="86" t="str">
        <f>IF(Eighteenth!K239="", "",Eighteenth!K239)</f>
        <v/>
      </c>
      <c r="M4486" s="67" t="str">
        <f t="shared" si="212"/>
        <v/>
      </c>
      <c r="N4486" s="76" t="str">
        <f t="shared" si="213"/>
        <v/>
      </c>
      <c r="O4486" s="33">
        <f t="shared" si="211"/>
        <v>0</v>
      </c>
    </row>
    <row r="4487" spans="1:15" x14ac:dyDescent="0.25">
      <c r="A4487" s="64" t="s">
        <v>189</v>
      </c>
      <c r="B4487" s="79" t="str">
        <f>IF(Eighteenth!B240="", "",Eighteenth!B240)</f>
        <v/>
      </c>
      <c r="C4487" s="66" t="str">
        <f>IF(Eighteenth!C240="", "",Eighteenth!C240)</f>
        <v/>
      </c>
      <c r="D4487" s="66" t="str">
        <f>IF(Eighteenth!D240="", "",Eighteenth!D240)</f>
        <v/>
      </c>
      <c r="E4487" s="66" t="str">
        <f>IF(Eighteenth!E240="", "",Eighteenth!E240)</f>
        <v/>
      </c>
      <c r="F4487" s="66" t="str">
        <f>IF(Eighteenth!F240="", "",Eighteenth!F240)</f>
        <v/>
      </c>
      <c r="G4487" s="66" t="str">
        <f>IF(Eighteenth!G240="", "",Eighteenth!G240)</f>
        <v/>
      </c>
      <c r="H4487" s="66" t="str">
        <f>IF(Eighteenth!H240="", "",Eighteenth!H240)</f>
        <v/>
      </c>
      <c r="I4487" s="66" t="str">
        <f>IF(Eighteenth!I240="", "",Eighteenth!I240)</f>
        <v/>
      </c>
      <c r="J4487" s="66" t="str">
        <f>IF(Eighteenth!J240="", "",Eighteenth!J240)</f>
        <v/>
      </c>
      <c r="K4487" s="86" t="str">
        <f>IF(Eighteenth!K240="", "",Eighteenth!K240)</f>
        <v/>
      </c>
      <c r="M4487" s="67" t="str">
        <f t="shared" si="212"/>
        <v/>
      </c>
      <c r="N4487" s="76" t="str">
        <f t="shared" si="213"/>
        <v/>
      </c>
      <c r="O4487" s="33">
        <f t="shared" si="211"/>
        <v>0</v>
      </c>
    </row>
    <row r="4488" spans="1:15" x14ac:dyDescent="0.25">
      <c r="A4488" s="64" t="s">
        <v>189</v>
      </c>
      <c r="B4488" s="79" t="str">
        <f>IF(Eighteenth!B241="", "",Eighteenth!B241)</f>
        <v/>
      </c>
      <c r="C4488" s="66" t="str">
        <f>IF(Eighteenth!C241="", "",Eighteenth!C241)</f>
        <v/>
      </c>
      <c r="D4488" s="66" t="str">
        <f>IF(Eighteenth!D241="", "",Eighteenth!D241)</f>
        <v/>
      </c>
      <c r="E4488" s="66" t="str">
        <f>IF(Eighteenth!E241="", "",Eighteenth!E241)</f>
        <v/>
      </c>
      <c r="F4488" s="66" t="str">
        <f>IF(Eighteenth!F241="", "",Eighteenth!F241)</f>
        <v/>
      </c>
      <c r="G4488" s="66" t="str">
        <f>IF(Eighteenth!G241="", "",Eighteenth!G241)</f>
        <v/>
      </c>
      <c r="H4488" s="66" t="str">
        <f>IF(Eighteenth!H241="", "",Eighteenth!H241)</f>
        <v/>
      </c>
      <c r="I4488" s="66" t="str">
        <f>IF(Eighteenth!I241="", "",Eighteenth!I241)</f>
        <v/>
      </c>
      <c r="J4488" s="66" t="str">
        <f>IF(Eighteenth!J241="", "",Eighteenth!J241)</f>
        <v/>
      </c>
      <c r="K4488" s="86" t="str">
        <f>IF(Eighteenth!K241="", "",Eighteenth!K241)</f>
        <v/>
      </c>
      <c r="M4488" s="67" t="str">
        <f t="shared" si="212"/>
        <v/>
      </c>
      <c r="N4488" s="76" t="str">
        <f t="shared" si="213"/>
        <v/>
      </c>
      <c r="O4488" s="33">
        <f t="shared" si="211"/>
        <v>0</v>
      </c>
    </row>
    <row r="4489" spans="1:15" x14ac:dyDescent="0.25">
      <c r="A4489" s="64" t="s">
        <v>189</v>
      </c>
      <c r="B4489" s="79" t="str">
        <f>IF(Eighteenth!B242="", "",Eighteenth!B242)</f>
        <v/>
      </c>
      <c r="C4489" s="66" t="str">
        <f>IF(Eighteenth!C242="", "",Eighteenth!C242)</f>
        <v/>
      </c>
      <c r="D4489" s="66" t="str">
        <f>IF(Eighteenth!D242="", "",Eighteenth!D242)</f>
        <v/>
      </c>
      <c r="E4489" s="66" t="str">
        <f>IF(Eighteenth!E242="", "",Eighteenth!E242)</f>
        <v/>
      </c>
      <c r="F4489" s="66" t="str">
        <f>IF(Eighteenth!F242="", "",Eighteenth!F242)</f>
        <v/>
      </c>
      <c r="G4489" s="66" t="str">
        <f>IF(Eighteenth!G242="", "",Eighteenth!G242)</f>
        <v/>
      </c>
      <c r="H4489" s="66" t="str">
        <f>IF(Eighteenth!H242="", "",Eighteenth!H242)</f>
        <v/>
      </c>
      <c r="I4489" s="66" t="str">
        <f>IF(Eighteenth!I242="", "",Eighteenth!I242)</f>
        <v/>
      </c>
      <c r="J4489" s="66" t="str">
        <f>IF(Eighteenth!J242="", "",Eighteenth!J242)</f>
        <v/>
      </c>
      <c r="K4489" s="86" t="str">
        <f>IF(Eighteenth!K242="", "",Eighteenth!K242)</f>
        <v/>
      </c>
      <c r="M4489" s="67" t="str">
        <f t="shared" si="212"/>
        <v/>
      </c>
      <c r="N4489" s="76" t="str">
        <f t="shared" si="213"/>
        <v/>
      </c>
      <c r="O4489" s="33">
        <f t="shared" si="211"/>
        <v>0</v>
      </c>
    </row>
    <row r="4490" spans="1:15" x14ac:dyDescent="0.25">
      <c r="A4490" s="64" t="s">
        <v>189</v>
      </c>
      <c r="B4490" s="79" t="str">
        <f>IF(Eighteenth!B243="", "",Eighteenth!B243)</f>
        <v/>
      </c>
      <c r="C4490" s="66" t="str">
        <f>IF(Eighteenth!C243="", "",Eighteenth!C243)</f>
        <v/>
      </c>
      <c r="D4490" s="66" t="str">
        <f>IF(Eighteenth!D243="", "",Eighteenth!D243)</f>
        <v/>
      </c>
      <c r="E4490" s="66" t="str">
        <f>IF(Eighteenth!E243="", "",Eighteenth!E243)</f>
        <v/>
      </c>
      <c r="F4490" s="66" t="str">
        <f>IF(Eighteenth!F243="", "",Eighteenth!F243)</f>
        <v/>
      </c>
      <c r="G4490" s="66" t="str">
        <f>IF(Eighteenth!G243="", "",Eighteenth!G243)</f>
        <v/>
      </c>
      <c r="H4490" s="66" t="str">
        <f>IF(Eighteenth!H243="", "",Eighteenth!H243)</f>
        <v/>
      </c>
      <c r="I4490" s="66" t="str">
        <f>IF(Eighteenth!I243="", "",Eighteenth!I243)</f>
        <v/>
      </c>
      <c r="J4490" s="66" t="str">
        <f>IF(Eighteenth!J243="", "",Eighteenth!J243)</f>
        <v/>
      </c>
      <c r="K4490" s="86" t="str">
        <f>IF(Eighteenth!K243="", "",Eighteenth!K243)</f>
        <v/>
      </c>
      <c r="M4490" s="67" t="str">
        <f t="shared" si="212"/>
        <v/>
      </c>
      <c r="N4490" s="76" t="str">
        <f t="shared" si="213"/>
        <v/>
      </c>
      <c r="O4490" s="33">
        <f t="shared" si="211"/>
        <v>0</v>
      </c>
    </row>
    <row r="4491" spans="1:15" x14ac:dyDescent="0.25">
      <c r="A4491" s="64" t="s">
        <v>189</v>
      </c>
      <c r="B4491" s="79" t="str">
        <f>IF(Eighteenth!B244="", "",Eighteenth!B244)</f>
        <v/>
      </c>
      <c r="C4491" s="66" t="str">
        <f>IF(Eighteenth!C244="", "",Eighteenth!C244)</f>
        <v/>
      </c>
      <c r="D4491" s="66" t="str">
        <f>IF(Eighteenth!D244="", "",Eighteenth!D244)</f>
        <v/>
      </c>
      <c r="E4491" s="66" t="str">
        <f>IF(Eighteenth!E244="", "",Eighteenth!E244)</f>
        <v/>
      </c>
      <c r="F4491" s="66" t="str">
        <f>IF(Eighteenth!F244="", "",Eighteenth!F244)</f>
        <v/>
      </c>
      <c r="G4491" s="66" t="str">
        <f>IF(Eighteenth!G244="", "",Eighteenth!G244)</f>
        <v/>
      </c>
      <c r="H4491" s="66" t="str">
        <f>IF(Eighteenth!H244="", "",Eighteenth!H244)</f>
        <v/>
      </c>
      <c r="I4491" s="66" t="str">
        <f>IF(Eighteenth!I244="", "",Eighteenth!I244)</f>
        <v/>
      </c>
      <c r="J4491" s="66" t="str">
        <f>IF(Eighteenth!J244="", "",Eighteenth!J244)</f>
        <v/>
      </c>
      <c r="K4491" s="86" t="str">
        <f>IF(Eighteenth!K244="", "",Eighteenth!K244)</f>
        <v/>
      </c>
      <c r="M4491" s="67" t="str">
        <f t="shared" si="212"/>
        <v/>
      </c>
      <c r="N4491" s="76" t="str">
        <f t="shared" si="213"/>
        <v/>
      </c>
      <c r="O4491" s="33">
        <f t="shared" si="211"/>
        <v>0</v>
      </c>
    </row>
    <row r="4492" spans="1:15" x14ac:dyDescent="0.25">
      <c r="A4492" s="64" t="s">
        <v>189</v>
      </c>
      <c r="B4492" s="79" t="str">
        <f>IF(Eighteenth!B245="", "",Eighteenth!B245)</f>
        <v/>
      </c>
      <c r="C4492" s="66" t="str">
        <f>IF(Eighteenth!C245="", "",Eighteenth!C245)</f>
        <v/>
      </c>
      <c r="D4492" s="66" t="str">
        <f>IF(Eighteenth!D245="", "",Eighteenth!D245)</f>
        <v/>
      </c>
      <c r="E4492" s="66" t="str">
        <f>IF(Eighteenth!E245="", "",Eighteenth!E245)</f>
        <v/>
      </c>
      <c r="F4492" s="66" t="str">
        <f>IF(Eighteenth!F245="", "",Eighteenth!F245)</f>
        <v/>
      </c>
      <c r="G4492" s="66" t="str">
        <f>IF(Eighteenth!G245="", "",Eighteenth!G245)</f>
        <v/>
      </c>
      <c r="H4492" s="66" t="str">
        <f>IF(Eighteenth!H245="", "",Eighteenth!H245)</f>
        <v/>
      </c>
      <c r="I4492" s="66" t="str">
        <f>IF(Eighteenth!I245="", "",Eighteenth!I245)</f>
        <v/>
      </c>
      <c r="J4492" s="66" t="str">
        <f>IF(Eighteenth!J245="", "",Eighteenth!J245)</f>
        <v/>
      </c>
      <c r="K4492" s="86" t="str">
        <f>IF(Eighteenth!K245="", "",Eighteenth!K245)</f>
        <v/>
      </c>
      <c r="M4492" s="67" t="str">
        <f t="shared" si="212"/>
        <v/>
      </c>
      <c r="N4492" s="76" t="str">
        <f t="shared" si="213"/>
        <v/>
      </c>
      <c r="O4492" s="33">
        <f t="shared" si="211"/>
        <v>0</v>
      </c>
    </row>
    <row r="4493" spans="1:15" x14ac:dyDescent="0.25">
      <c r="A4493" s="64" t="s">
        <v>189</v>
      </c>
      <c r="B4493" s="79" t="str">
        <f>IF(Eighteenth!B246="", "",Eighteenth!B246)</f>
        <v/>
      </c>
      <c r="C4493" s="66" t="str">
        <f>IF(Eighteenth!C246="", "",Eighteenth!C246)</f>
        <v/>
      </c>
      <c r="D4493" s="66" t="str">
        <f>IF(Eighteenth!D246="", "",Eighteenth!D246)</f>
        <v/>
      </c>
      <c r="E4493" s="66" t="str">
        <f>IF(Eighteenth!E246="", "",Eighteenth!E246)</f>
        <v/>
      </c>
      <c r="F4493" s="66" t="str">
        <f>IF(Eighteenth!F246="", "",Eighteenth!F246)</f>
        <v/>
      </c>
      <c r="G4493" s="66" t="str">
        <f>IF(Eighteenth!G246="", "",Eighteenth!G246)</f>
        <v/>
      </c>
      <c r="H4493" s="66" t="str">
        <f>IF(Eighteenth!H246="", "",Eighteenth!H246)</f>
        <v/>
      </c>
      <c r="I4493" s="66" t="str">
        <f>IF(Eighteenth!I246="", "",Eighteenth!I246)</f>
        <v/>
      </c>
      <c r="J4493" s="66" t="str">
        <f>IF(Eighteenth!J246="", "",Eighteenth!J246)</f>
        <v/>
      </c>
      <c r="K4493" s="86" t="str">
        <f>IF(Eighteenth!K246="", "",Eighteenth!K246)</f>
        <v/>
      </c>
      <c r="M4493" s="67" t="str">
        <f t="shared" si="212"/>
        <v/>
      </c>
      <c r="N4493" s="76" t="str">
        <f t="shared" si="213"/>
        <v/>
      </c>
      <c r="O4493" s="33">
        <f t="shared" si="211"/>
        <v>0</v>
      </c>
    </row>
    <row r="4494" spans="1:15" x14ac:dyDescent="0.25">
      <c r="A4494" s="64" t="s">
        <v>189</v>
      </c>
      <c r="B4494" s="79" t="str">
        <f>IF(Eighteenth!B247="", "",Eighteenth!B247)</f>
        <v/>
      </c>
      <c r="C4494" s="66" t="str">
        <f>IF(Eighteenth!C247="", "",Eighteenth!C247)</f>
        <v/>
      </c>
      <c r="D4494" s="66" t="str">
        <f>IF(Eighteenth!D247="", "",Eighteenth!D247)</f>
        <v/>
      </c>
      <c r="E4494" s="66" t="str">
        <f>IF(Eighteenth!E247="", "",Eighteenth!E247)</f>
        <v/>
      </c>
      <c r="F4494" s="66" t="str">
        <f>IF(Eighteenth!F247="", "",Eighteenth!F247)</f>
        <v/>
      </c>
      <c r="G4494" s="66" t="str">
        <f>IF(Eighteenth!G247="", "",Eighteenth!G247)</f>
        <v/>
      </c>
      <c r="H4494" s="66" t="str">
        <f>IF(Eighteenth!H247="", "",Eighteenth!H247)</f>
        <v/>
      </c>
      <c r="I4494" s="66" t="str">
        <f>IF(Eighteenth!I247="", "",Eighteenth!I247)</f>
        <v/>
      </c>
      <c r="J4494" s="66" t="str">
        <f>IF(Eighteenth!J247="", "",Eighteenth!J247)</f>
        <v/>
      </c>
      <c r="K4494" s="86" t="str">
        <f>IF(Eighteenth!K247="", "",Eighteenth!K247)</f>
        <v/>
      </c>
      <c r="M4494" s="67" t="str">
        <f t="shared" si="212"/>
        <v/>
      </c>
      <c r="N4494" s="76" t="str">
        <f t="shared" si="213"/>
        <v/>
      </c>
      <c r="O4494" s="33">
        <f t="shared" si="211"/>
        <v>0</v>
      </c>
    </row>
    <row r="4495" spans="1:15" x14ac:dyDescent="0.25">
      <c r="A4495" s="64" t="s">
        <v>189</v>
      </c>
      <c r="B4495" s="79" t="str">
        <f>IF(Eighteenth!B248="", "",Eighteenth!B248)</f>
        <v/>
      </c>
      <c r="C4495" s="66" t="str">
        <f>IF(Eighteenth!C248="", "",Eighteenth!C248)</f>
        <v/>
      </c>
      <c r="D4495" s="66" t="str">
        <f>IF(Eighteenth!D248="", "",Eighteenth!D248)</f>
        <v/>
      </c>
      <c r="E4495" s="66" t="str">
        <f>IF(Eighteenth!E248="", "",Eighteenth!E248)</f>
        <v/>
      </c>
      <c r="F4495" s="66" t="str">
        <f>IF(Eighteenth!F248="", "",Eighteenth!F248)</f>
        <v/>
      </c>
      <c r="G4495" s="66" t="str">
        <f>IF(Eighteenth!G248="", "",Eighteenth!G248)</f>
        <v/>
      </c>
      <c r="H4495" s="66" t="str">
        <f>IF(Eighteenth!H248="", "",Eighteenth!H248)</f>
        <v/>
      </c>
      <c r="I4495" s="66" t="str">
        <f>IF(Eighteenth!I248="", "",Eighteenth!I248)</f>
        <v/>
      </c>
      <c r="J4495" s="66" t="str">
        <f>IF(Eighteenth!J248="", "",Eighteenth!J248)</f>
        <v/>
      </c>
      <c r="K4495" s="86" t="str">
        <f>IF(Eighteenth!K248="", "",Eighteenth!K248)</f>
        <v/>
      </c>
      <c r="M4495" s="67" t="str">
        <f t="shared" si="212"/>
        <v/>
      </c>
      <c r="N4495" s="76" t="str">
        <f t="shared" si="213"/>
        <v/>
      </c>
      <c r="O4495" s="33">
        <f t="shared" si="211"/>
        <v>0</v>
      </c>
    </row>
    <row r="4496" spans="1:15" x14ac:dyDescent="0.25">
      <c r="A4496" s="64" t="s">
        <v>189</v>
      </c>
      <c r="B4496" s="79" t="str">
        <f>IF(Eighteenth!B249="", "",Eighteenth!B249)</f>
        <v/>
      </c>
      <c r="C4496" s="66" t="str">
        <f>IF(Eighteenth!C249="", "",Eighteenth!C249)</f>
        <v/>
      </c>
      <c r="D4496" s="66" t="str">
        <f>IF(Eighteenth!D249="", "",Eighteenth!D249)</f>
        <v/>
      </c>
      <c r="E4496" s="66" t="str">
        <f>IF(Eighteenth!E249="", "",Eighteenth!E249)</f>
        <v/>
      </c>
      <c r="F4496" s="66" t="str">
        <f>IF(Eighteenth!F249="", "",Eighteenth!F249)</f>
        <v/>
      </c>
      <c r="G4496" s="66" t="str">
        <f>IF(Eighteenth!G249="", "",Eighteenth!G249)</f>
        <v/>
      </c>
      <c r="H4496" s="66" t="str">
        <f>IF(Eighteenth!H249="", "",Eighteenth!H249)</f>
        <v/>
      </c>
      <c r="I4496" s="66" t="str">
        <f>IF(Eighteenth!I249="", "",Eighteenth!I249)</f>
        <v/>
      </c>
      <c r="J4496" s="66" t="str">
        <f>IF(Eighteenth!J249="", "",Eighteenth!J249)</f>
        <v/>
      </c>
      <c r="K4496" s="86" t="str">
        <f>IF(Eighteenth!K249="", "",Eighteenth!K249)</f>
        <v/>
      </c>
      <c r="M4496" s="67" t="str">
        <f t="shared" si="212"/>
        <v/>
      </c>
      <c r="N4496" s="76" t="str">
        <f t="shared" si="213"/>
        <v/>
      </c>
      <c r="O4496" s="33">
        <f t="shared" si="211"/>
        <v>0</v>
      </c>
    </row>
    <row r="4497" spans="1:15" x14ac:dyDescent="0.25">
      <c r="A4497" s="64" t="s">
        <v>189</v>
      </c>
      <c r="B4497" s="79" t="str">
        <f>IF(Eighteenth!B250="", "",Eighteenth!B250)</f>
        <v/>
      </c>
      <c r="C4497" s="66" t="str">
        <f>IF(Eighteenth!C250="", "",Eighteenth!C250)</f>
        <v/>
      </c>
      <c r="D4497" s="66" t="str">
        <f>IF(Eighteenth!D250="", "",Eighteenth!D250)</f>
        <v/>
      </c>
      <c r="E4497" s="66" t="str">
        <f>IF(Eighteenth!E250="", "",Eighteenth!E250)</f>
        <v/>
      </c>
      <c r="F4497" s="66" t="str">
        <f>IF(Eighteenth!F250="", "",Eighteenth!F250)</f>
        <v/>
      </c>
      <c r="G4497" s="66" t="str">
        <f>IF(Eighteenth!G250="", "",Eighteenth!G250)</f>
        <v/>
      </c>
      <c r="H4497" s="66" t="str">
        <f>IF(Eighteenth!H250="", "",Eighteenth!H250)</f>
        <v/>
      </c>
      <c r="I4497" s="66" t="str">
        <f>IF(Eighteenth!I250="", "",Eighteenth!I250)</f>
        <v/>
      </c>
      <c r="J4497" s="66" t="str">
        <f>IF(Eighteenth!J250="", "",Eighteenth!J250)</f>
        <v/>
      </c>
      <c r="K4497" s="86" t="str">
        <f>IF(Eighteenth!K250="", "",Eighteenth!K250)</f>
        <v/>
      </c>
      <c r="M4497" s="67" t="str">
        <f t="shared" si="212"/>
        <v/>
      </c>
      <c r="N4497" s="76" t="str">
        <f t="shared" si="213"/>
        <v/>
      </c>
      <c r="O4497" s="33">
        <f t="shared" si="211"/>
        <v>0</v>
      </c>
    </row>
    <row r="4498" spans="1:15" x14ac:dyDescent="0.25">
      <c r="A4498" s="64" t="s">
        <v>189</v>
      </c>
      <c r="B4498" s="79" t="str">
        <f>IF(Eighteenth!B251="", "",Eighteenth!B251)</f>
        <v/>
      </c>
      <c r="C4498" s="66" t="str">
        <f>IF(Eighteenth!C251="", "",Eighteenth!C251)</f>
        <v/>
      </c>
      <c r="D4498" s="66" t="str">
        <f>IF(Eighteenth!D251="", "",Eighteenth!D251)</f>
        <v/>
      </c>
      <c r="E4498" s="66" t="str">
        <f>IF(Eighteenth!E251="", "",Eighteenth!E251)</f>
        <v/>
      </c>
      <c r="F4498" s="66" t="str">
        <f>IF(Eighteenth!F251="", "",Eighteenth!F251)</f>
        <v/>
      </c>
      <c r="G4498" s="66" t="str">
        <f>IF(Eighteenth!G251="", "",Eighteenth!G251)</f>
        <v/>
      </c>
      <c r="H4498" s="66" t="str">
        <f>IF(Eighteenth!H251="", "",Eighteenth!H251)</f>
        <v/>
      </c>
      <c r="I4498" s="66" t="str">
        <f>IF(Eighteenth!I251="", "",Eighteenth!I251)</f>
        <v/>
      </c>
      <c r="J4498" s="66" t="str">
        <f>IF(Eighteenth!J251="", "",Eighteenth!J251)</f>
        <v/>
      </c>
      <c r="K4498" s="86" t="str">
        <f>IF(Eighteenth!K251="", "",Eighteenth!K251)</f>
        <v/>
      </c>
      <c r="M4498" s="67" t="str">
        <f t="shared" si="212"/>
        <v/>
      </c>
      <c r="N4498" s="76" t="str">
        <f t="shared" si="213"/>
        <v/>
      </c>
      <c r="O4498" s="33">
        <f t="shared" si="211"/>
        <v>0</v>
      </c>
    </row>
    <row r="4499" spans="1:15" x14ac:dyDescent="0.25">
      <c r="A4499" s="64" t="s">
        <v>189</v>
      </c>
      <c r="B4499" s="79" t="str">
        <f>IF(Eighteenth!B252="", "",Eighteenth!B252)</f>
        <v/>
      </c>
      <c r="C4499" s="66" t="str">
        <f>IF(Eighteenth!C252="", "",Eighteenth!C252)</f>
        <v/>
      </c>
      <c r="D4499" s="66" t="str">
        <f>IF(Eighteenth!D252="", "",Eighteenth!D252)</f>
        <v/>
      </c>
      <c r="E4499" s="66" t="str">
        <f>IF(Eighteenth!E252="", "",Eighteenth!E252)</f>
        <v/>
      </c>
      <c r="F4499" s="66" t="str">
        <f>IF(Eighteenth!F252="", "",Eighteenth!F252)</f>
        <v/>
      </c>
      <c r="G4499" s="66" t="str">
        <f>IF(Eighteenth!G252="", "",Eighteenth!G252)</f>
        <v/>
      </c>
      <c r="H4499" s="66" t="str">
        <f>IF(Eighteenth!H252="", "",Eighteenth!H252)</f>
        <v/>
      </c>
      <c r="I4499" s="66" t="str">
        <f>IF(Eighteenth!I252="", "",Eighteenth!I252)</f>
        <v/>
      </c>
      <c r="J4499" s="66" t="str">
        <f>IF(Eighteenth!J252="", "",Eighteenth!J252)</f>
        <v/>
      </c>
      <c r="K4499" s="86" t="str">
        <f>IF(Eighteenth!K252="", "",Eighteenth!K252)</f>
        <v/>
      </c>
      <c r="M4499" s="67" t="str">
        <f t="shared" si="212"/>
        <v/>
      </c>
      <c r="N4499" s="76" t="str">
        <f t="shared" si="213"/>
        <v/>
      </c>
      <c r="O4499" s="33">
        <f t="shared" si="211"/>
        <v>0</v>
      </c>
    </row>
    <row r="4500" spans="1:15" x14ac:dyDescent="0.25">
      <c r="A4500" s="64" t="s">
        <v>189</v>
      </c>
      <c r="B4500" s="79" t="str">
        <f>IF(Eighteenth!B253="", "",Eighteenth!B253)</f>
        <v/>
      </c>
      <c r="C4500" s="66" t="str">
        <f>IF(Eighteenth!C253="", "",Eighteenth!C253)</f>
        <v/>
      </c>
      <c r="D4500" s="66" t="str">
        <f>IF(Eighteenth!D253="", "",Eighteenth!D253)</f>
        <v/>
      </c>
      <c r="E4500" s="66" t="str">
        <f>IF(Eighteenth!E253="", "",Eighteenth!E253)</f>
        <v/>
      </c>
      <c r="F4500" s="66" t="str">
        <f>IF(Eighteenth!F253="", "",Eighteenth!F253)</f>
        <v/>
      </c>
      <c r="G4500" s="66" t="str">
        <f>IF(Eighteenth!G253="", "",Eighteenth!G253)</f>
        <v/>
      </c>
      <c r="H4500" s="66" t="str">
        <f>IF(Eighteenth!H253="", "",Eighteenth!H253)</f>
        <v/>
      </c>
      <c r="I4500" s="66" t="str">
        <f>IF(Eighteenth!I253="", "",Eighteenth!I253)</f>
        <v/>
      </c>
      <c r="J4500" s="66" t="str">
        <f>IF(Eighteenth!J253="", "",Eighteenth!J253)</f>
        <v/>
      </c>
      <c r="K4500" s="86" t="str">
        <f>IF(Eighteenth!K253="", "",Eighteenth!K253)</f>
        <v/>
      </c>
      <c r="M4500" s="67" t="str">
        <f t="shared" si="212"/>
        <v/>
      </c>
      <c r="N4500" s="76" t="str">
        <f t="shared" si="213"/>
        <v/>
      </c>
      <c r="O4500" s="33">
        <f t="shared" si="211"/>
        <v>0</v>
      </c>
    </row>
    <row r="4501" spans="1:15" ht="15.75" thickBot="1" x14ac:dyDescent="0.3">
      <c r="A4501" s="68" t="s">
        <v>189</v>
      </c>
      <c r="B4501" s="80" t="str">
        <f>IF(Eighteenth!B254="", "",Eighteenth!B254)</f>
        <v/>
      </c>
      <c r="C4501" s="70" t="str">
        <f>IF(Eighteenth!C254="", "",Eighteenth!C254)</f>
        <v/>
      </c>
      <c r="D4501" s="70" t="str">
        <f>IF(Eighteenth!D254="", "",Eighteenth!D254)</f>
        <v/>
      </c>
      <c r="E4501" s="70" t="str">
        <f>IF(Eighteenth!E254="", "",Eighteenth!E254)</f>
        <v/>
      </c>
      <c r="F4501" s="70" t="str">
        <f>IF(Eighteenth!F254="", "",Eighteenth!F254)</f>
        <v/>
      </c>
      <c r="G4501" s="70" t="str">
        <f>IF(Eighteenth!G254="", "",Eighteenth!G254)</f>
        <v/>
      </c>
      <c r="H4501" s="70" t="str">
        <f>IF(Eighteenth!H254="", "",Eighteenth!H254)</f>
        <v/>
      </c>
      <c r="I4501" s="70" t="str">
        <f>IF(Eighteenth!I254="", "",Eighteenth!I254)</f>
        <v/>
      </c>
      <c r="J4501" s="70" t="str">
        <f>IF(Eighteenth!J254="", "",Eighteenth!J254)</f>
        <v/>
      </c>
      <c r="K4501" s="90" t="str">
        <f>IF(Eighteenth!K254="", "",Eighteenth!K254)</f>
        <v/>
      </c>
      <c r="L4501" s="91"/>
      <c r="M4501" s="71" t="str">
        <f t="shared" si="212"/>
        <v/>
      </c>
      <c r="N4501" s="77" t="str">
        <f t="shared" si="213"/>
        <v/>
      </c>
      <c r="O4501" s="33">
        <f t="shared" si="211"/>
        <v>0</v>
      </c>
    </row>
    <row r="4502" spans="1:15" x14ac:dyDescent="0.25">
      <c r="A4502" s="64" t="s">
        <v>208</v>
      </c>
      <c r="B4502" s="79" t="str">
        <f>IF(Nineteenth!B5="", "",Nineteenth!B5)</f>
        <v>CSS</v>
      </c>
      <c r="C4502" s="66" t="str">
        <f>IF(Nineteenth!C5="", "",Nineteenth!C5)</f>
        <v>PwC</v>
      </c>
      <c r="D4502" s="66" t="str">
        <f>IF(Nineteenth!D5="", "",Nineteenth!D5)</f>
        <v>Returning</v>
      </c>
      <c r="E4502" s="66" t="str">
        <f>IF(Nineteenth!E5="", "",Nineteenth!E5)</f>
        <v>Female</v>
      </c>
      <c r="F4502" s="66" t="str">
        <f>IF(Nineteenth!F5="", "",Nineteenth!F5)</f>
        <v>Head/Neck</v>
      </c>
      <c r="G4502" s="66" t="str">
        <f>IF(Nineteenth!G5="", "",Nineteenth!G5)</f>
        <v>Curative Intent</v>
      </c>
      <c r="H4502" s="66" t="str">
        <f>IF(Nineteenth!H5="", "",Nineteenth!H5)</f>
        <v>Drop-In</v>
      </c>
      <c r="I4502" s="66" t="str">
        <f>IF(Nineteenth!I5="", "",Nineteenth!I5)</f>
        <v/>
      </c>
      <c r="J4502" s="66" t="str">
        <f>IF(Nineteenth!J5="", "",Nineteenth!J5)</f>
        <v/>
      </c>
      <c r="K4502" s="86" t="str">
        <f>IF(Nineteenth!K5="", "",Nineteenth!K5)</f>
        <v/>
      </c>
      <c r="M4502" s="67">
        <f t="shared" si="212"/>
        <v>7</v>
      </c>
      <c r="N4502" s="76" t="str">
        <f t="shared" si="213"/>
        <v/>
      </c>
      <c r="O4502" s="33">
        <f t="shared" si="211"/>
        <v>7</v>
      </c>
    </row>
    <row r="4503" spans="1:15" x14ac:dyDescent="0.25">
      <c r="A4503" s="64" t="s">
        <v>208</v>
      </c>
      <c r="B4503" s="79" t="str">
        <f>IF(Nineteenth!B6="", "",Nineteenth!B6)</f>
        <v>CSS</v>
      </c>
      <c r="C4503" s="66" t="str">
        <f>IF(Nineteenth!C6="", "",Nineteenth!C6)</f>
        <v>Carer</v>
      </c>
      <c r="D4503" s="66" t="str">
        <f>IF(Nineteenth!D6="", "",Nineteenth!D6)</f>
        <v>Returning</v>
      </c>
      <c r="E4503" s="66" t="str">
        <f>IF(Nineteenth!E6="", "",Nineteenth!E6)</f>
        <v>Male</v>
      </c>
      <c r="F4503" s="66" t="str">
        <f>IF(Nineteenth!F6="", "",Nineteenth!F6)</f>
        <v>Head/Neck</v>
      </c>
      <c r="G4503" s="66" t="str">
        <f>IF(Nineteenth!G6="", "",Nineteenth!G6)</f>
        <v>Curative Intent</v>
      </c>
      <c r="H4503" s="66" t="str">
        <f>IF(Nineteenth!H6="", "",Nineteenth!H6)</f>
        <v>Drop-In</v>
      </c>
      <c r="I4503" s="66" t="str">
        <f>IF(Nineteenth!I6="", "",Nineteenth!I6)</f>
        <v/>
      </c>
      <c r="J4503" s="66" t="str">
        <f>IF(Nineteenth!J6="", "",Nineteenth!J6)</f>
        <v/>
      </c>
      <c r="K4503" s="86" t="str">
        <f>IF(Nineteenth!K6="", "",Nineteenth!K6)</f>
        <v/>
      </c>
      <c r="M4503" s="67" t="str">
        <f t="shared" si="212"/>
        <v/>
      </c>
      <c r="N4503" s="76">
        <f t="shared" si="213"/>
        <v>7</v>
      </c>
      <c r="O4503" s="33">
        <f t="shared" si="211"/>
        <v>7</v>
      </c>
    </row>
    <row r="4504" spans="1:15" x14ac:dyDescent="0.25">
      <c r="A4504" s="64" t="s">
        <v>208</v>
      </c>
      <c r="B4504" s="79" t="str">
        <f>IF(Nineteenth!B7="", "",Nineteenth!B7)</f>
        <v>CSS</v>
      </c>
      <c r="C4504" s="66" t="str">
        <f>IF(Nineteenth!C7="", "",Nineteenth!C7)</f>
        <v>Carer</v>
      </c>
      <c r="D4504" s="66" t="str">
        <f>IF(Nineteenth!D7="", "",Nineteenth!D7)</f>
        <v>Returning</v>
      </c>
      <c r="E4504" s="66" t="str">
        <f>IF(Nineteenth!E7="", "",Nineteenth!E7)</f>
        <v>Male</v>
      </c>
      <c r="F4504" s="66" t="str">
        <f>IF(Nineteenth!F7="", "",Nineteenth!F7)</f>
        <v>Not Stated</v>
      </c>
      <c r="G4504" s="66" t="str">
        <f>IF(Nineteenth!G7="", "",Nineteenth!G7)</f>
        <v>Curative Intent</v>
      </c>
      <c r="H4504" s="66" t="str">
        <f>IF(Nineteenth!H7="", "",Nineteenth!H7)</f>
        <v>Drop-In</v>
      </c>
      <c r="I4504" s="66" t="str">
        <f>IF(Nineteenth!I7="", "",Nineteenth!I7)</f>
        <v/>
      </c>
      <c r="J4504" s="66" t="str">
        <f>IF(Nineteenth!J7="", "",Nineteenth!J7)</f>
        <v/>
      </c>
      <c r="K4504" s="86" t="str">
        <f>IF(Nineteenth!K7="", "",Nineteenth!K7)</f>
        <v/>
      </c>
      <c r="M4504" s="67" t="str">
        <f t="shared" si="212"/>
        <v/>
      </c>
      <c r="N4504" s="76">
        <f t="shared" si="213"/>
        <v>7</v>
      </c>
      <c r="O4504" s="33">
        <f t="shared" si="211"/>
        <v>7</v>
      </c>
    </row>
    <row r="4505" spans="1:15" x14ac:dyDescent="0.25">
      <c r="A4505" s="64" t="s">
        <v>208</v>
      </c>
      <c r="B4505" s="79" t="str">
        <f>IF(Nineteenth!B8="", "",Nineteenth!B8)</f>
        <v>CSS</v>
      </c>
      <c r="C4505" s="66" t="str">
        <f>IF(Nineteenth!C8="", "",Nineteenth!C8)</f>
        <v>PwC</v>
      </c>
      <c r="D4505" s="66" t="str">
        <f>IF(Nineteenth!D8="", "",Nineteenth!D8)</f>
        <v>Returning</v>
      </c>
      <c r="E4505" s="66" t="str">
        <f>IF(Nineteenth!E8="", "",Nineteenth!E8)</f>
        <v>Female</v>
      </c>
      <c r="F4505" s="66" t="str">
        <f>IF(Nineteenth!F8="", "",Nineteenth!F8)</f>
        <v>Breast</v>
      </c>
      <c r="G4505" s="66" t="str">
        <f>IF(Nineteenth!G8="", "",Nineteenth!G8)</f>
        <v>Curative Intent</v>
      </c>
      <c r="H4505" s="66" t="str">
        <f>IF(Nineteenth!H8="", "",Nineteenth!H8)</f>
        <v>Drop-In</v>
      </c>
      <c r="I4505" s="66" t="str">
        <f>IF(Nineteenth!I8="", "",Nineteenth!I8)</f>
        <v/>
      </c>
      <c r="J4505" s="66" t="str">
        <f>IF(Nineteenth!J8="", "",Nineteenth!J8)</f>
        <v/>
      </c>
      <c r="K4505" s="86" t="str">
        <f>IF(Nineteenth!K8="", "",Nineteenth!K8)</f>
        <v/>
      </c>
      <c r="M4505" s="67">
        <f t="shared" si="212"/>
        <v>7</v>
      </c>
      <c r="N4505" s="76" t="str">
        <f t="shared" si="213"/>
        <v/>
      </c>
      <c r="O4505" s="33">
        <f t="shared" si="211"/>
        <v>7</v>
      </c>
    </row>
    <row r="4506" spans="1:15" x14ac:dyDescent="0.25">
      <c r="A4506" s="64" t="s">
        <v>208</v>
      </c>
      <c r="B4506" s="79" t="str">
        <f>IF(Nineteenth!B9="", "",Nineteenth!B9)</f>
        <v>CSS</v>
      </c>
      <c r="C4506" s="66" t="str">
        <f>IF(Nineteenth!C9="", "",Nineteenth!C9)</f>
        <v>PwC</v>
      </c>
      <c r="D4506" s="66" t="str">
        <f>IF(Nineteenth!D9="", "",Nineteenth!D9)</f>
        <v>Returning</v>
      </c>
      <c r="E4506" s="66" t="str">
        <f>IF(Nineteenth!E9="", "",Nineteenth!E9)</f>
        <v>Female</v>
      </c>
      <c r="F4506" s="66" t="str">
        <f>IF(Nineteenth!F9="", "",Nineteenth!F9)</f>
        <v>Breast</v>
      </c>
      <c r="G4506" s="66" t="str">
        <f>IF(Nineteenth!G9="", "",Nineteenth!G9)</f>
        <v>Post Treatment - Curative Intent</v>
      </c>
      <c r="H4506" s="66" t="str">
        <f>IF(Nineteenth!H9="", "",Nineteenth!H9)</f>
        <v>Booked</v>
      </c>
      <c r="I4506" s="66" t="str">
        <f>IF(Nineteenth!I9="", "",Nineteenth!I9)</f>
        <v>Psych Support - Individual</v>
      </c>
      <c r="J4506" s="66" t="str">
        <f>IF(Nineteenth!J9="", "",Nineteenth!J9)</f>
        <v/>
      </c>
      <c r="K4506" s="86" t="str">
        <f>IF(Nineteenth!K9="", "",Nineteenth!K9)</f>
        <v/>
      </c>
      <c r="M4506" s="67">
        <f t="shared" si="212"/>
        <v>7</v>
      </c>
      <c r="N4506" s="76" t="str">
        <f t="shared" si="213"/>
        <v/>
      </c>
      <c r="O4506" s="33">
        <f t="shared" si="211"/>
        <v>7</v>
      </c>
    </row>
    <row r="4507" spans="1:15" x14ac:dyDescent="0.25">
      <c r="A4507" s="64" t="s">
        <v>208</v>
      </c>
      <c r="B4507" s="79" t="str">
        <f>IF(Nineteenth!B10="", "",Nineteenth!B10)</f>
        <v>CSS</v>
      </c>
      <c r="C4507" s="66" t="str">
        <f>IF(Nineteenth!C10="", "",Nineteenth!C10)</f>
        <v>PwC</v>
      </c>
      <c r="D4507" s="66" t="str">
        <f>IF(Nineteenth!D10="", "",Nineteenth!D10)</f>
        <v>Returning</v>
      </c>
      <c r="E4507" s="66" t="str">
        <f>IF(Nineteenth!E10="", "",Nineteenth!E10)</f>
        <v>Female</v>
      </c>
      <c r="F4507" s="66" t="str">
        <f>IF(Nineteenth!F10="", "",Nineteenth!F10)</f>
        <v>Breast</v>
      </c>
      <c r="G4507" s="66" t="str">
        <f>IF(Nineteenth!G10="", "",Nineteenth!G10)</f>
        <v>Post Treatment - Curative Intent</v>
      </c>
      <c r="H4507" s="66" t="str">
        <f>IF(Nineteenth!H10="", "",Nineteenth!H10)</f>
        <v>Booked</v>
      </c>
      <c r="I4507" s="66" t="str">
        <f>IF(Nineteenth!I10="", "",Nineteenth!I10)</f>
        <v>Psych Support - Individual</v>
      </c>
      <c r="J4507" s="66" t="str">
        <f>IF(Nineteenth!J10="", "",Nineteenth!J10)</f>
        <v/>
      </c>
      <c r="K4507" s="86" t="str">
        <f>IF(Nineteenth!K10="", "",Nineteenth!K10)</f>
        <v/>
      </c>
      <c r="M4507" s="67">
        <f t="shared" si="212"/>
        <v>7</v>
      </c>
      <c r="N4507" s="76" t="str">
        <f t="shared" si="213"/>
        <v/>
      </c>
      <c r="O4507" s="33">
        <f t="shared" si="211"/>
        <v>7</v>
      </c>
    </row>
    <row r="4508" spans="1:15" x14ac:dyDescent="0.25">
      <c r="A4508" s="64" t="s">
        <v>208</v>
      </c>
      <c r="B4508" s="79" t="str">
        <f>IF(Nineteenth!B11="", "",Nineteenth!B11)</f>
        <v>CSS</v>
      </c>
      <c r="C4508" s="66" t="str">
        <f>IF(Nineteenth!C11="", "",Nineteenth!C11)</f>
        <v>PwC</v>
      </c>
      <c r="D4508" s="66" t="str">
        <f>IF(Nineteenth!D11="", "",Nineteenth!D11)</f>
        <v>Returning</v>
      </c>
      <c r="E4508" s="66" t="str">
        <f>IF(Nineteenth!E11="", "",Nineteenth!E11)</f>
        <v>Female</v>
      </c>
      <c r="F4508" s="66" t="str">
        <f>IF(Nineteenth!F11="", "",Nineteenth!F11)</f>
        <v>Breast</v>
      </c>
      <c r="G4508" s="66" t="str">
        <f>IF(Nineteenth!G11="", "",Nineteenth!G11)</f>
        <v>Curative Intent</v>
      </c>
      <c r="H4508" s="66" t="str">
        <f>IF(Nineteenth!H11="", "",Nineteenth!H11)</f>
        <v>Booked</v>
      </c>
      <c r="I4508" s="66" t="str">
        <f>IF(Nineteenth!I11="", "",Nineteenth!I11)</f>
        <v>Psych Support - Individual</v>
      </c>
      <c r="J4508" s="66" t="str">
        <f>IF(Nineteenth!J11="", "",Nineteenth!J11)</f>
        <v/>
      </c>
      <c r="K4508" s="86" t="str">
        <f>IF(Nineteenth!K11="", "",Nineteenth!K11)</f>
        <v/>
      </c>
      <c r="M4508" s="67">
        <f t="shared" si="212"/>
        <v>7</v>
      </c>
      <c r="N4508" s="76" t="str">
        <f t="shared" si="213"/>
        <v/>
      </c>
      <c r="O4508" s="33">
        <f t="shared" si="211"/>
        <v>7</v>
      </c>
    </row>
    <row r="4509" spans="1:15" x14ac:dyDescent="0.25">
      <c r="A4509" s="64" t="s">
        <v>208</v>
      </c>
      <c r="B4509" s="79" t="str">
        <f>IF(Nineteenth!B12="", "",Nineteenth!B12)</f>
        <v>Sessional Staff</v>
      </c>
      <c r="C4509" s="66" t="str">
        <f>IF(Nineteenth!C12="", "",Nineteenth!C12)</f>
        <v>PwC</v>
      </c>
      <c r="D4509" s="66" t="str">
        <f>IF(Nineteenth!D12="", "",Nineteenth!D12)</f>
        <v>Returning</v>
      </c>
      <c r="E4509" s="66" t="str">
        <f>IF(Nineteenth!E12="", "",Nineteenth!E12)</f>
        <v>Female</v>
      </c>
      <c r="F4509" s="66" t="str">
        <f>IF(Nineteenth!F12="", "",Nineteenth!F12)</f>
        <v>Breast</v>
      </c>
      <c r="G4509" s="66" t="str">
        <f>IF(Nineteenth!G12="", "",Nineteenth!G12)</f>
        <v>Post Treatment - Curative Intent</v>
      </c>
      <c r="H4509" s="66" t="str">
        <f>IF(Nineteenth!H12="", "",Nineteenth!H12)</f>
        <v>Programme</v>
      </c>
      <c r="I4509" s="66" t="str">
        <f>IF(Nineteenth!I12="", "",Nineteenth!I12)</f>
        <v>Nordic Walking</v>
      </c>
      <c r="J4509" s="66" t="str">
        <f>IF(Nineteenth!J12="", "",Nineteenth!J12)</f>
        <v/>
      </c>
      <c r="K4509" s="86" t="str">
        <f>IF(Nineteenth!K12="", "",Nineteenth!K12)</f>
        <v/>
      </c>
      <c r="M4509" s="67">
        <f t="shared" si="212"/>
        <v>7</v>
      </c>
      <c r="N4509" s="76" t="str">
        <f t="shared" si="213"/>
        <v/>
      </c>
      <c r="O4509" s="33">
        <f t="shared" si="211"/>
        <v>7</v>
      </c>
    </row>
    <row r="4510" spans="1:15" x14ac:dyDescent="0.25">
      <c r="A4510" s="64" t="s">
        <v>208</v>
      </c>
      <c r="B4510" s="79" t="str">
        <f>IF(Nineteenth!B13="", "",Nineteenth!B13)</f>
        <v>Sessional Staff</v>
      </c>
      <c r="C4510" s="66" t="str">
        <f>IF(Nineteenth!C13="", "",Nineteenth!C13)</f>
        <v>Carer</v>
      </c>
      <c r="D4510" s="66" t="str">
        <f>IF(Nineteenth!D13="", "",Nineteenth!D13)</f>
        <v>Returning</v>
      </c>
      <c r="E4510" s="66" t="str">
        <f>IF(Nineteenth!E13="", "",Nineteenth!E13)</f>
        <v>Male</v>
      </c>
      <c r="F4510" s="66" t="str">
        <f>IF(Nineteenth!F13="", "",Nineteenth!F13)</f>
        <v>Breast</v>
      </c>
      <c r="G4510" s="66" t="str">
        <f>IF(Nineteenth!G13="", "",Nineteenth!G13)</f>
        <v>Post Treatment - Curative Intent</v>
      </c>
      <c r="H4510" s="66" t="str">
        <f>IF(Nineteenth!H13="", "",Nineteenth!H13)</f>
        <v>Programme</v>
      </c>
      <c r="I4510" s="66" t="str">
        <f>IF(Nineteenth!I13="", "",Nineteenth!I13)</f>
        <v>Nordic Walking</v>
      </c>
      <c r="J4510" s="66" t="str">
        <f>IF(Nineteenth!J13="", "",Nineteenth!J13)</f>
        <v/>
      </c>
      <c r="K4510" s="86" t="str">
        <f>IF(Nineteenth!K13="", "",Nineteenth!K13)</f>
        <v/>
      </c>
      <c r="M4510" s="67" t="str">
        <f t="shared" si="212"/>
        <v/>
      </c>
      <c r="N4510" s="76">
        <f t="shared" si="213"/>
        <v>7</v>
      </c>
      <c r="O4510" s="33">
        <f t="shared" si="211"/>
        <v>7</v>
      </c>
    </row>
    <row r="4511" spans="1:15" x14ac:dyDescent="0.25">
      <c r="A4511" s="64" t="s">
        <v>208</v>
      </c>
      <c r="B4511" s="79" t="str">
        <f>IF(Nineteenth!B14="", "",Nineteenth!B14)</f>
        <v>Sessional Staff</v>
      </c>
      <c r="C4511" s="66" t="str">
        <f>IF(Nineteenth!C14="", "",Nineteenth!C14)</f>
        <v>PwC</v>
      </c>
      <c r="D4511" s="66" t="str">
        <f>IF(Nineteenth!D14="", "",Nineteenth!D14)</f>
        <v>Returning</v>
      </c>
      <c r="E4511" s="66" t="str">
        <f>IF(Nineteenth!E14="", "",Nineteenth!E14)</f>
        <v>Male</v>
      </c>
      <c r="F4511" s="66" t="str">
        <f>IF(Nineteenth!F14="", "",Nineteenth!F14)</f>
        <v>Prostate</v>
      </c>
      <c r="G4511" s="66" t="str">
        <f>IF(Nineteenth!G14="", "",Nineteenth!G14)</f>
        <v>Non-Curative Intent</v>
      </c>
      <c r="H4511" s="66" t="str">
        <f>IF(Nineteenth!H14="", "",Nineteenth!H14)</f>
        <v>Programme</v>
      </c>
      <c r="I4511" s="66" t="str">
        <f>IF(Nineteenth!I14="", "",Nineteenth!I14)</f>
        <v>Nordic Walking</v>
      </c>
      <c r="J4511" s="66" t="str">
        <f>IF(Nineteenth!J14="", "",Nineteenth!J14)</f>
        <v/>
      </c>
      <c r="K4511" s="86" t="str">
        <f>IF(Nineteenth!K14="", "",Nineteenth!K14)</f>
        <v/>
      </c>
      <c r="M4511" s="67">
        <f t="shared" si="212"/>
        <v>7</v>
      </c>
      <c r="N4511" s="76" t="str">
        <f t="shared" si="213"/>
        <v/>
      </c>
      <c r="O4511" s="33">
        <f t="shared" si="211"/>
        <v>7</v>
      </c>
    </row>
    <row r="4512" spans="1:15" x14ac:dyDescent="0.25">
      <c r="A4512" s="64" t="s">
        <v>208</v>
      </c>
      <c r="B4512" s="79" t="str">
        <f>IF(Nineteenth!B15="", "",Nineteenth!B15)</f>
        <v>Sessional Staff</v>
      </c>
      <c r="C4512" s="66" t="str">
        <f>IF(Nineteenth!C15="", "",Nineteenth!C15)</f>
        <v>PwC</v>
      </c>
      <c r="D4512" s="66" t="str">
        <f>IF(Nineteenth!D15="", "",Nineteenth!D15)</f>
        <v>Returning</v>
      </c>
      <c r="E4512" s="66" t="str">
        <f>IF(Nineteenth!E15="", "",Nineteenth!E15)</f>
        <v>Female</v>
      </c>
      <c r="F4512" s="66" t="str">
        <f>IF(Nineteenth!F15="", "",Nineteenth!F15)</f>
        <v>Breast</v>
      </c>
      <c r="G4512" s="66" t="str">
        <f>IF(Nineteenth!G15="", "",Nineteenth!G15)</f>
        <v>Post Treatment - Curative Intent</v>
      </c>
      <c r="H4512" s="66" t="str">
        <f>IF(Nineteenth!H15="", "",Nineteenth!H15)</f>
        <v>Programme</v>
      </c>
      <c r="I4512" s="66" t="str">
        <f>IF(Nineteenth!I15="", "",Nineteenth!I15)</f>
        <v>Nordic Walking</v>
      </c>
      <c r="J4512" s="66" t="str">
        <f>IF(Nineteenth!J15="", "",Nineteenth!J15)</f>
        <v/>
      </c>
      <c r="K4512" s="86" t="str">
        <f>IF(Nineteenth!K15="", "",Nineteenth!K15)</f>
        <v/>
      </c>
      <c r="M4512" s="67">
        <f t="shared" si="212"/>
        <v>7</v>
      </c>
      <c r="N4512" s="76" t="str">
        <f t="shared" si="213"/>
        <v/>
      </c>
      <c r="O4512" s="33">
        <f t="shared" si="211"/>
        <v>7</v>
      </c>
    </row>
    <row r="4513" spans="1:15" x14ac:dyDescent="0.25">
      <c r="A4513" s="64" t="s">
        <v>208</v>
      </c>
      <c r="B4513" s="79" t="str">
        <f>IF(Nineteenth!B16="", "",Nineteenth!B16)</f>
        <v>Sessional Staff</v>
      </c>
      <c r="C4513" s="66" t="str">
        <f>IF(Nineteenth!C16="", "",Nineteenth!C16)</f>
        <v>PwC</v>
      </c>
      <c r="D4513" s="66" t="str">
        <f>IF(Nineteenth!D16="", "",Nineteenth!D16)</f>
        <v>Returning</v>
      </c>
      <c r="E4513" s="66" t="str">
        <f>IF(Nineteenth!E16="", "",Nineteenth!E16)</f>
        <v>Female</v>
      </c>
      <c r="F4513" s="66" t="str">
        <f>IF(Nineteenth!F16="", "",Nineteenth!F16)</f>
        <v>Breast</v>
      </c>
      <c r="G4513" s="66" t="str">
        <f>IF(Nineteenth!G16="", "",Nineteenth!G16)</f>
        <v>Curative Intent</v>
      </c>
      <c r="H4513" s="66" t="str">
        <f>IF(Nineteenth!H16="", "",Nineteenth!H16)</f>
        <v>Programme</v>
      </c>
      <c r="I4513" s="66" t="str">
        <f>IF(Nineteenth!I16="", "",Nineteenth!I16)</f>
        <v>Nordic Walking</v>
      </c>
      <c r="J4513" s="66" t="str">
        <f>IF(Nineteenth!J16="", "",Nineteenth!J16)</f>
        <v/>
      </c>
      <c r="K4513" s="86" t="str">
        <f>IF(Nineteenth!K16="", "",Nineteenth!K16)</f>
        <v/>
      </c>
      <c r="M4513" s="67">
        <f t="shared" si="212"/>
        <v>7</v>
      </c>
      <c r="N4513" s="76" t="str">
        <f t="shared" si="213"/>
        <v/>
      </c>
      <c r="O4513" s="33">
        <f t="shared" si="211"/>
        <v>7</v>
      </c>
    </row>
    <row r="4514" spans="1:15" x14ac:dyDescent="0.25">
      <c r="A4514" s="64" t="s">
        <v>208</v>
      </c>
      <c r="B4514" s="79" t="str">
        <f>IF(Nineteenth!B17="", "",Nineteenth!B17)</f>
        <v>Sessional Staff</v>
      </c>
      <c r="C4514" s="66" t="str">
        <f>IF(Nineteenth!C17="", "",Nineteenth!C17)</f>
        <v>PwC</v>
      </c>
      <c r="D4514" s="66" t="str">
        <f>IF(Nineteenth!D17="", "",Nineteenth!D17)</f>
        <v>Returning</v>
      </c>
      <c r="E4514" s="66" t="str">
        <f>IF(Nineteenth!E17="", "",Nineteenth!E17)</f>
        <v>Female</v>
      </c>
      <c r="F4514" s="66" t="str">
        <f>IF(Nineteenth!F17="", "",Nineteenth!F17)</f>
        <v>Not Stated</v>
      </c>
      <c r="G4514" s="66" t="str">
        <f>IF(Nineteenth!G17="", "",Nineteenth!G17)</f>
        <v>Not Stated</v>
      </c>
      <c r="H4514" s="66" t="str">
        <f>IF(Nineteenth!H17="", "",Nineteenth!H17)</f>
        <v>Programme</v>
      </c>
      <c r="I4514" s="66" t="str">
        <f>IF(Nineteenth!I17="", "",Nineteenth!I17)</f>
        <v>Nordic Walking</v>
      </c>
      <c r="J4514" s="66" t="str">
        <f>IF(Nineteenth!J17="", "",Nineteenth!J17)</f>
        <v/>
      </c>
      <c r="K4514" s="86" t="str">
        <f>IF(Nineteenth!K17="", "",Nineteenth!K17)</f>
        <v/>
      </c>
      <c r="M4514" s="67">
        <f t="shared" si="212"/>
        <v>7</v>
      </c>
      <c r="N4514" s="76" t="str">
        <f t="shared" si="213"/>
        <v/>
      </c>
      <c r="O4514" s="33">
        <f t="shared" si="211"/>
        <v>7</v>
      </c>
    </row>
    <row r="4515" spans="1:15" x14ac:dyDescent="0.25">
      <c r="A4515" s="64" t="s">
        <v>208</v>
      </c>
      <c r="B4515" s="79" t="str">
        <f>IF(Nineteenth!B18="", "",Nineteenth!B18)</f>
        <v>Sessional Staff</v>
      </c>
      <c r="C4515" s="66" t="str">
        <f>IF(Nineteenth!C18="", "",Nineteenth!C18)</f>
        <v>PwC</v>
      </c>
      <c r="D4515" s="66" t="str">
        <f>IF(Nineteenth!D18="", "",Nineteenth!D18)</f>
        <v>Returning</v>
      </c>
      <c r="E4515" s="66" t="str">
        <f>IF(Nineteenth!E18="", "",Nineteenth!E18)</f>
        <v>Female</v>
      </c>
      <c r="F4515" s="66" t="str">
        <f>IF(Nineteenth!F18="", "",Nineteenth!F18)</f>
        <v>Not Stated</v>
      </c>
      <c r="G4515" s="66" t="str">
        <f>IF(Nineteenth!G18="", "",Nineteenth!G18)</f>
        <v>Not Stated</v>
      </c>
      <c r="H4515" s="66" t="str">
        <f>IF(Nineteenth!H18="", "",Nineteenth!H18)</f>
        <v>Programme</v>
      </c>
      <c r="I4515" s="66" t="str">
        <f>IF(Nineteenth!I18="", "",Nineteenth!I18)</f>
        <v>Nordic Walking</v>
      </c>
      <c r="J4515" s="66" t="str">
        <f>IF(Nineteenth!J18="", "",Nineteenth!J18)</f>
        <v/>
      </c>
      <c r="K4515" s="86" t="str">
        <f>IF(Nineteenth!K18="", "",Nineteenth!K18)</f>
        <v/>
      </c>
      <c r="M4515" s="67">
        <f t="shared" si="212"/>
        <v>7</v>
      </c>
      <c r="N4515" s="76" t="str">
        <f t="shared" si="213"/>
        <v/>
      </c>
      <c r="O4515" s="33">
        <f t="shared" si="211"/>
        <v>7</v>
      </c>
    </row>
    <row r="4516" spans="1:15" x14ac:dyDescent="0.25">
      <c r="A4516" s="64" t="s">
        <v>208</v>
      </c>
      <c r="B4516" s="79" t="str">
        <f>IF(Nineteenth!B19="", "",Nineteenth!B19)</f>
        <v>Sessional Staff</v>
      </c>
      <c r="C4516" s="66" t="str">
        <f>IF(Nineteenth!C19="", "",Nineteenth!C19)</f>
        <v>PwC</v>
      </c>
      <c r="D4516" s="66" t="str">
        <f>IF(Nineteenth!D19="", "",Nineteenth!D19)</f>
        <v>Returning</v>
      </c>
      <c r="E4516" s="66" t="str">
        <f>IF(Nineteenth!E19="", "",Nineteenth!E19)</f>
        <v>Female</v>
      </c>
      <c r="F4516" s="66" t="str">
        <f>IF(Nineteenth!F19="", "",Nineteenth!F19)</f>
        <v>Not Stated</v>
      </c>
      <c r="G4516" s="66" t="str">
        <f>IF(Nineteenth!G19="", "",Nineteenth!G19)</f>
        <v>Not Stated</v>
      </c>
      <c r="H4516" s="66" t="str">
        <f>IF(Nineteenth!H19="", "",Nineteenth!H19)</f>
        <v>Programme</v>
      </c>
      <c r="I4516" s="66" t="str">
        <f>IF(Nineteenth!I19="", "",Nineteenth!I19)</f>
        <v>Nordic Walking</v>
      </c>
      <c r="J4516" s="66" t="str">
        <f>IF(Nineteenth!J19="", "",Nineteenth!J19)</f>
        <v/>
      </c>
      <c r="K4516" s="86" t="str">
        <f>IF(Nineteenth!K19="", "",Nineteenth!K19)</f>
        <v/>
      </c>
      <c r="M4516" s="67">
        <f t="shared" si="212"/>
        <v>7</v>
      </c>
      <c r="N4516" s="76" t="str">
        <f t="shared" si="213"/>
        <v/>
      </c>
      <c r="O4516" s="33">
        <f t="shared" si="211"/>
        <v>7</v>
      </c>
    </row>
    <row r="4517" spans="1:15" x14ac:dyDescent="0.25">
      <c r="A4517" s="64" t="s">
        <v>208</v>
      </c>
      <c r="B4517" s="79" t="str">
        <f>IF(Nineteenth!B20="", "",Nineteenth!B20)</f>
        <v>CSS</v>
      </c>
      <c r="C4517" s="66" t="str">
        <f>IF(Nineteenth!C20="", "",Nineteenth!C20)</f>
        <v>PwC</v>
      </c>
      <c r="D4517" s="66" t="str">
        <f>IF(Nineteenth!D20="", "",Nineteenth!D20)</f>
        <v>Returning</v>
      </c>
      <c r="E4517" s="66" t="str">
        <f>IF(Nineteenth!E20="", "",Nineteenth!E20)</f>
        <v>Female</v>
      </c>
      <c r="F4517" s="66" t="str">
        <f>IF(Nineteenth!F20="", "",Nineteenth!F20)</f>
        <v>Breast</v>
      </c>
      <c r="G4517" s="66" t="str">
        <f>IF(Nineteenth!G20="", "",Nineteenth!G20)</f>
        <v>Post Treatment - Curative Intent</v>
      </c>
      <c r="H4517" s="66" t="str">
        <f>IF(Nineteenth!H20="", "",Nineteenth!H20)</f>
        <v>Drop-In</v>
      </c>
      <c r="I4517" s="66" t="str">
        <f>IF(Nineteenth!I20="", "",Nineteenth!I20)</f>
        <v/>
      </c>
      <c r="J4517" s="66" t="str">
        <f>IF(Nineteenth!J20="", "",Nineteenth!J20)</f>
        <v/>
      </c>
      <c r="K4517" s="86" t="str">
        <f>IF(Nineteenth!K20="", "",Nineteenth!K20)</f>
        <v/>
      </c>
      <c r="M4517" s="67">
        <f t="shared" si="212"/>
        <v>7</v>
      </c>
      <c r="N4517" s="76" t="str">
        <f t="shared" si="213"/>
        <v/>
      </c>
      <c r="O4517" s="33">
        <f t="shared" si="211"/>
        <v>7</v>
      </c>
    </row>
    <row r="4518" spans="1:15" x14ac:dyDescent="0.25">
      <c r="A4518" s="64" t="s">
        <v>208</v>
      </c>
      <c r="B4518" s="79" t="str">
        <f>IF(Nineteenth!B21="", "",Nineteenth!B21)</f>
        <v>CSS</v>
      </c>
      <c r="C4518" s="66" t="str">
        <f>IF(Nineteenth!C21="", "",Nineteenth!C21)</f>
        <v>PwC</v>
      </c>
      <c r="D4518" s="66" t="str">
        <f>IF(Nineteenth!D21="", "",Nineteenth!D21)</f>
        <v>Returning</v>
      </c>
      <c r="E4518" s="66" t="str">
        <f>IF(Nineteenth!E21="", "",Nineteenth!E21)</f>
        <v>Female</v>
      </c>
      <c r="F4518" s="66" t="str">
        <f>IF(Nineteenth!F21="", "",Nineteenth!F21)</f>
        <v>Breast</v>
      </c>
      <c r="G4518" s="66" t="str">
        <f>IF(Nineteenth!G21="", "",Nineteenth!G21)</f>
        <v>Curative Intent</v>
      </c>
      <c r="H4518" s="66" t="str">
        <f>IF(Nineteenth!H21="", "",Nineteenth!H21)</f>
        <v>Booked</v>
      </c>
      <c r="I4518" s="66" t="str">
        <f>IF(Nineteenth!I21="", "",Nineteenth!I21)</f>
        <v>Psych Support - Individual</v>
      </c>
      <c r="J4518" s="66" t="str">
        <f>IF(Nineteenth!J21="", "",Nineteenth!J21)</f>
        <v/>
      </c>
      <c r="K4518" s="86" t="str">
        <f>IF(Nineteenth!K21="", "",Nineteenth!K21)</f>
        <v/>
      </c>
      <c r="M4518" s="67">
        <f t="shared" si="212"/>
        <v>7</v>
      </c>
      <c r="N4518" s="76" t="str">
        <f t="shared" si="213"/>
        <v/>
      </c>
      <c r="O4518" s="33">
        <f t="shared" si="211"/>
        <v>7</v>
      </c>
    </row>
    <row r="4519" spans="1:15" x14ac:dyDescent="0.25">
      <c r="A4519" s="64" t="s">
        <v>208</v>
      </c>
      <c r="B4519" s="79" t="str">
        <f>IF(Nineteenth!B22="", "",Nineteenth!B22)</f>
        <v>CSS</v>
      </c>
      <c r="C4519" s="66" t="str">
        <f>IF(Nineteenth!C22="", "",Nineteenth!C22)</f>
        <v>Carer</v>
      </c>
      <c r="D4519" s="66" t="str">
        <f>IF(Nineteenth!D22="", "",Nineteenth!D22)</f>
        <v>Returning</v>
      </c>
      <c r="E4519" s="66" t="str">
        <f>IF(Nineteenth!E22="", "",Nineteenth!E22)</f>
        <v>Female</v>
      </c>
      <c r="F4519" s="66" t="str">
        <f>IF(Nineteenth!F22="", "",Nineteenth!F22)</f>
        <v>Breast</v>
      </c>
      <c r="G4519" s="66" t="str">
        <f>IF(Nineteenth!G22="", "",Nineteenth!G22)</f>
        <v>Curative Intent</v>
      </c>
      <c r="H4519" s="66" t="str">
        <f>IF(Nineteenth!H22="", "",Nineteenth!H22)</f>
        <v>Drop-In</v>
      </c>
      <c r="I4519" s="66" t="str">
        <f>IF(Nineteenth!I22="", "",Nineteenth!I22)</f>
        <v/>
      </c>
      <c r="J4519" s="66" t="str">
        <f>IF(Nineteenth!J22="", "",Nineteenth!J22)</f>
        <v/>
      </c>
      <c r="K4519" s="86" t="str">
        <f>IF(Nineteenth!K22="", "",Nineteenth!K22)</f>
        <v/>
      </c>
      <c r="M4519" s="67" t="str">
        <f t="shared" si="212"/>
        <v/>
      </c>
      <c r="N4519" s="76">
        <f t="shared" si="213"/>
        <v>7</v>
      </c>
      <c r="O4519" s="33">
        <f t="shared" si="211"/>
        <v>7</v>
      </c>
    </row>
    <row r="4520" spans="1:15" x14ac:dyDescent="0.25">
      <c r="A4520" s="64" t="s">
        <v>208</v>
      </c>
      <c r="B4520" s="79" t="str">
        <f>IF(Nineteenth!B23="", "",Nineteenth!B23)</f>
        <v>CSS</v>
      </c>
      <c r="C4520" s="66" t="str">
        <f>IF(Nineteenth!C23="", "",Nineteenth!C23)</f>
        <v>PwC</v>
      </c>
      <c r="D4520" s="66" t="str">
        <f>IF(Nineteenth!D23="", "",Nineteenth!D23)</f>
        <v>Returning</v>
      </c>
      <c r="E4520" s="66" t="str">
        <f>IF(Nineteenth!E23="", "",Nineteenth!E23)</f>
        <v>Female</v>
      </c>
      <c r="F4520" s="66" t="str">
        <f>IF(Nineteenth!F23="", "",Nineteenth!F23)</f>
        <v>Not Stated</v>
      </c>
      <c r="G4520" s="66" t="str">
        <f>IF(Nineteenth!G23="", "",Nineteenth!G23)</f>
        <v>Not Stated</v>
      </c>
      <c r="H4520" s="66" t="str">
        <f>IF(Nineteenth!H23="", "",Nineteenth!H23)</f>
        <v>Programme</v>
      </c>
      <c r="I4520" s="66" t="str">
        <f>IF(Nineteenth!I23="", "",Nineteenth!I23)</f>
        <v>Talking Heads; Managing Hair Loss</v>
      </c>
      <c r="J4520" s="66" t="str">
        <f>IF(Nineteenth!J23="", "",Nineteenth!J23)</f>
        <v/>
      </c>
      <c r="K4520" s="86" t="str">
        <f>IF(Nineteenth!K23="", "",Nineteenth!K23)</f>
        <v/>
      </c>
      <c r="M4520" s="67">
        <f t="shared" si="212"/>
        <v>7</v>
      </c>
      <c r="N4520" s="76" t="str">
        <f t="shared" si="213"/>
        <v/>
      </c>
      <c r="O4520" s="33">
        <f t="shared" si="211"/>
        <v>7</v>
      </c>
    </row>
    <row r="4521" spans="1:15" x14ac:dyDescent="0.25">
      <c r="A4521" s="64" t="s">
        <v>208</v>
      </c>
      <c r="B4521" s="79" t="str">
        <f>IF(Nineteenth!B24="", "",Nineteenth!B24)</f>
        <v>CSS</v>
      </c>
      <c r="C4521" s="66" t="str">
        <f>IF(Nineteenth!C24="", "",Nineteenth!C24)</f>
        <v>PwC</v>
      </c>
      <c r="D4521" s="66" t="str">
        <f>IF(Nineteenth!D24="", "",Nineteenth!D24)</f>
        <v>Returning</v>
      </c>
      <c r="E4521" s="66" t="str">
        <f>IF(Nineteenth!E24="", "",Nineteenth!E24)</f>
        <v>Female</v>
      </c>
      <c r="F4521" s="66" t="str">
        <f>IF(Nineteenth!F24="", "",Nineteenth!F24)</f>
        <v>Skin/Mel</v>
      </c>
      <c r="G4521" s="66" t="str">
        <f>IF(Nineteenth!G24="", "",Nineteenth!G24)</f>
        <v>Non-Curative Intent</v>
      </c>
      <c r="H4521" s="66" t="str">
        <f>IF(Nineteenth!H24="", "",Nineteenth!H24)</f>
        <v>Programme</v>
      </c>
      <c r="I4521" s="66" t="str">
        <f>IF(Nineteenth!I24="", "",Nineteenth!I24)</f>
        <v>Talking Heads; Managing Hair Loss</v>
      </c>
      <c r="J4521" s="66" t="str">
        <f>IF(Nineteenth!J24="", "",Nineteenth!J24)</f>
        <v/>
      </c>
      <c r="K4521" s="86" t="str">
        <f>IF(Nineteenth!K24="", "",Nineteenth!K24)</f>
        <v/>
      </c>
      <c r="M4521" s="67">
        <f t="shared" si="212"/>
        <v>7</v>
      </c>
      <c r="N4521" s="76" t="str">
        <f t="shared" si="213"/>
        <v/>
      </c>
      <c r="O4521" s="33">
        <f t="shared" si="211"/>
        <v>7</v>
      </c>
    </row>
    <row r="4522" spans="1:15" x14ac:dyDescent="0.25">
      <c r="A4522" s="64" t="s">
        <v>208</v>
      </c>
      <c r="B4522" s="79" t="str">
        <f>IF(Nineteenth!B25="", "",Nineteenth!B25)</f>
        <v>Centre Head</v>
      </c>
      <c r="C4522" s="66" t="str">
        <f>IF(Nineteenth!C25="", "",Nineteenth!C25)</f>
        <v>PwC</v>
      </c>
      <c r="D4522" s="66" t="str">
        <f>IF(Nineteenth!D25="", "",Nineteenth!D25)</f>
        <v>Returning</v>
      </c>
      <c r="E4522" s="66" t="str">
        <f>IF(Nineteenth!E25="", "",Nineteenth!E25)</f>
        <v>Male</v>
      </c>
      <c r="F4522" s="66" t="str">
        <f>IF(Nineteenth!F25="", "",Nineteenth!F25)</f>
        <v>Head/Neck</v>
      </c>
      <c r="G4522" s="66" t="str">
        <f>IF(Nineteenth!G25="", "",Nineteenth!G25)</f>
        <v>Post Treatment - Curative Intent</v>
      </c>
      <c r="H4522" s="66" t="str">
        <f>IF(Nineteenth!H25="", "",Nineteenth!H25)</f>
        <v>Programme</v>
      </c>
      <c r="I4522" s="66" t="str">
        <f>IF(Nineteenth!I25="", "",Nineteenth!I25)</f>
        <v>NG Laryngectomy</v>
      </c>
      <c r="J4522" s="66" t="str">
        <f>IF(Nineteenth!J25="", "",Nineteenth!J25)</f>
        <v/>
      </c>
      <c r="K4522" s="86" t="str">
        <f>IF(Nineteenth!K25="", "",Nineteenth!K25)</f>
        <v/>
      </c>
      <c r="M4522" s="67">
        <f t="shared" si="212"/>
        <v>7</v>
      </c>
      <c r="N4522" s="76" t="str">
        <f t="shared" si="213"/>
        <v/>
      </c>
      <c r="O4522" s="33">
        <f t="shared" si="211"/>
        <v>7</v>
      </c>
    </row>
    <row r="4523" spans="1:15" x14ac:dyDescent="0.25">
      <c r="A4523" s="64" t="s">
        <v>208</v>
      </c>
      <c r="B4523" s="79" t="str">
        <f>IF(Nineteenth!B26="", "",Nineteenth!B26)</f>
        <v>Centre Head</v>
      </c>
      <c r="C4523" s="66" t="str">
        <f>IF(Nineteenth!C26="", "",Nineteenth!C26)</f>
        <v>PwC</v>
      </c>
      <c r="D4523" s="66" t="str">
        <f>IF(Nineteenth!D26="", "",Nineteenth!D26)</f>
        <v>Returning</v>
      </c>
      <c r="E4523" s="66" t="str">
        <f>IF(Nineteenth!E26="", "",Nineteenth!E26)</f>
        <v>Male</v>
      </c>
      <c r="F4523" s="66" t="str">
        <f>IF(Nineteenth!F26="", "",Nineteenth!F26)</f>
        <v>Head/Neck</v>
      </c>
      <c r="G4523" s="66" t="str">
        <f>IF(Nineteenth!G26="", "",Nineteenth!G26)</f>
        <v>Post Treatment - Curative Intent</v>
      </c>
      <c r="H4523" s="66" t="str">
        <f>IF(Nineteenth!H26="", "",Nineteenth!H26)</f>
        <v>Programme</v>
      </c>
      <c r="I4523" s="66" t="str">
        <f>IF(Nineteenth!I26="", "",Nineteenth!I26)</f>
        <v>NG Laryngectomy</v>
      </c>
      <c r="J4523" s="66" t="str">
        <f>IF(Nineteenth!J26="", "",Nineteenth!J26)</f>
        <v/>
      </c>
      <c r="K4523" s="86" t="str">
        <f>IF(Nineteenth!K26="", "",Nineteenth!K26)</f>
        <v/>
      </c>
      <c r="M4523" s="67">
        <f t="shared" si="212"/>
        <v>7</v>
      </c>
      <c r="N4523" s="76" t="str">
        <f t="shared" si="213"/>
        <v/>
      </c>
      <c r="O4523" s="33">
        <f t="shared" ref="O4523:O4586" si="214">SUM(M4523:N4523)</f>
        <v>7</v>
      </c>
    </row>
    <row r="4524" spans="1:15" x14ac:dyDescent="0.25">
      <c r="A4524" s="64" t="s">
        <v>208</v>
      </c>
      <c r="B4524" s="79" t="str">
        <f>IF(Nineteenth!B27="", "",Nineteenth!B27)</f>
        <v>Centre Head</v>
      </c>
      <c r="C4524" s="66" t="str">
        <f>IF(Nineteenth!C27="", "",Nineteenth!C27)</f>
        <v>PwC</v>
      </c>
      <c r="D4524" s="66" t="str">
        <f>IF(Nineteenth!D27="", "",Nineteenth!D27)</f>
        <v>Returning</v>
      </c>
      <c r="E4524" s="66" t="str">
        <f>IF(Nineteenth!E27="", "",Nineteenth!E27)</f>
        <v>Male</v>
      </c>
      <c r="F4524" s="66" t="str">
        <f>IF(Nineteenth!F27="", "",Nineteenth!F27)</f>
        <v>Head/Neck</v>
      </c>
      <c r="G4524" s="66" t="str">
        <f>IF(Nineteenth!G27="", "",Nineteenth!G27)</f>
        <v>Post Treatment - Curative Intent</v>
      </c>
      <c r="H4524" s="66" t="str">
        <f>IF(Nineteenth!H27="", "",Nineteenth!H27)</f>
        <v>Programme</v>
      </c>
      <c r="I4524" s="66" t="str">
        <f>IF(Nineteenth!I27="", "",Nineteenth!I27)</f>
        <v>NG Laryngectomy</v>
      </c>
      <c r="J4524" s="66" t="str">
        <f>IF(Nineteenth!J27="", "",Nineteenth!J27)</f>
        <v/>
      </c>
      <c r="K4524" s="86" t="str">
        <f>IF(Nineteenth!K27="", "",Nineteenth!K27)</f>
        <v/>
      </c>
      <c r="M4524" s="67">
        <f t="shared" si="212"/>
        <v>7</v>
      </c>
      <c r="N4524" s="76" t="str">
        <f t="shared" si="213"/>
        <v/>
      </c>
      <c r="O4524" s="33">
        <f t="shared" si="214"/>
        <v>7</v>
      </c>
    </row>
    <row r="4525" spans="1:15" x14ac:dyDescent="0.25">
      <c r="A4525" s="64" t="s">
        <v>208</v>
      </c>
      <c r="B4525" s="79" t="str">
        <f>IF(Nineteenth!B28="", "",Nineteenth!B28)</f>
        <v>Centre Head</v>
      </c>
      <c r="C4525" s="66" t="str">
        <f>IF(Nineteenth!C28="", "",Nineteenth!C28)</f>
        <v>PwC</v>
      </c>
      <c r="D4525" s="66" t="str">
        <f>IF(Nineteenth!D28="", "",Nineteenth!D28)</f>
        <v>Returning</v>
      </c>
      <c r="E4525" s="66" t="str">
        <f>IF(Nineteenth!E28="", "",Nineteenth!E28)</f>
        <v>Female</v>
      </c>
      <c r="F4525" s="66" t="str">
        <f>IF(Nineteenth!F28="", "",Nineteenth!F28)</f>
        <v>Head/Neck</v>
      </c>
      <c r="G4525" s="66" t="str">
        <f>IF(Nineteenth!G28="", "",Nineteenth!G28)</f>
        <v>Post Treatment - Curative Intent</v>
      </c>
      <c r="H4525" s="66" t="str">
        <f>IF(Nineteenth!H28="", "",Nineteenth!H28)</f>
        <v>Programme</v>
      </c>
      <c r="I4525" s="66" t="str">
        <f>IF(Nineteenth!I28="", "",Nineteenth!I28)</f>
        <v>NG Laryngectomy</v>
      </c>
      <c r="J4525" s="66" t="str">
        <f>IF(Nineteenth!J28="", "",Nineteenth!J28)</f>
        <v/>
      </c>
      <c r="K4525" s="86" t="str">
        <f>IF(Nineteenth!K28="", "",Nineteenth!K28)</f>
        <v/>
      </c>
      <c r="M4525" s="67">
        <f t="shared" si="212"/>
        <v>7</v>
      </c>
      <c r="N4525" s="76" t="str">
        <f t="shared" si="213"/>
        <v/>
      </c>
      <c r="O4525" s="33">
        <f t="shared" si="214"/>
        <v>7</v>
      </c>
    </row>
    <row r="4526" spans="1:15" x14ac:dyDescent="0.25">
      <c r="A4526" s="64" t="s">
        <v>208</v>
      </c>
      <c r="B4526" s="79" t="str">
        <f>IF(Nineteenth!B29="", "",Nineteenth!B29)</f>
        <v>Centre Head</v>
      </c>
      <c r="C4526" s="66" t="str">
        <f>IF(Nineteenth!C29="", "",Nineteenth!C29)</f>
        <v>PwC</v>
      </c>
      <c r="D4526" s="66" t="str">
        <f>IF(Nineteenth!D29="", "",Nineteenth!D29)</f>
        <v>Returning</v>
      </c>
      <c r="E4526" s="66" t="str">
        <f>IF(Nineteenth!E29="", "",Nineteenth!E29)</f>
        <v>Female</v>
      </c>
      <c r="F4526" s="66" t="str">
        <f>IF(Nineteenth!F29="", "",Nineteenth!F29)</f>
        <v>Head/Neck</v>
      </c>
      <c r="G4526" s="66" t="str">
        <f>IF(Nineteenth!G29="", "",Nineteenth!G29)</f>
        <v>Post Treatment - Curative Intent</v>
      </c>
      <c r="H4526" s="66" t="str">
        <f>IF(Nineteenth!H29="", "",Nineteenth!H29)</f>
        <v>Programme</v>
      </c>
      <c r="I4526" s="66" t="str">
        <f>IF(Nineteenth!I29="", "",Nineteenth!I29)</f>
        <v>NG Laryngectomy</v>
      </c>
      <c r="J4526" s="66" t="str">
        <f>IF(Nineteenth!J29="", "",Nineteenth!J29)</f>
        <v/>
      </c>
      <c r="K4526" s="86" t="str">
        <f>IF(Nineteenth!K29="", "",Nineteenth!K29)</f>
        <v/>
      </c>
      <c r="M4526" s="67">
        <f t="shared" si="212"/>
        <v>7</v>
      </c>
      <c r="N4526" s="76" t="str">
        <f t="shared" si="213"/>
        <v/>
      </c>
      <c r="O4526" s="33">
        <f t="shared" si="214"/>
        <v>7</v>
      </c>
    </row>
    <row r="4527" spans="1:15" x14ac:dyDescent="0.25">
      <c r="A4527" s="64" t="s">
        <v>208</v>
      </c>
      <c r="B4527" s="79" t="str">
        <f>IF(Nineteenth!B30="", "",Nineteenth!B30)</f>
        <v>Centre Head</v>
      </c>
      <c r="C4527" s="66" t="str">
        <f>IF(Nineteenth!C30="", "",Nineteenth!C30)</f>
        <v>PwC</v>
      </c>
      <c r="D4527" s="66" t="str">
        <f>IF(Nineteenth!D30="", "",Nineteenth!D30)</f>
        <v>Returning</v>
      </c>
      <c r="E4527" s="66" t="str">
        <f>IF(Nineteenth!E30="", "",Nineteenth!E30)</f>
        <v>Female</v>
      </c>
      <c r="F4527" s="66" t="str">
        <f>IF(Nineteenth!F30="", "",Nineteenth!F30)</f>
        <v>Head/Neck</v>
      </c>
      <c r="G4527" s="66" t="str">
        <f>IF(Nineteenth!G30="", "",Nineteenth!G30)</f>
        <v>Post Treatment - Curative Intent</v>
      </c>
      <c r="H4527" s="66" t="str">
        <f>IF(Nineteenth!H30="", "",Nineteenth!H30)</f>
        <v>Programme</v>
      </c>
      <c r="I4527" s="66" t="str">
        <f>IF(Nineteenth!I30="", "",Nineteenth!I30)</f>
        <v>NG Laryngectomy</v>
      </c>
      <c r="J4527" s="66" t="str">
        <f>IF(Nineteenth!J30="", "",Nineteenth!J30)</f>
        <v/>
      </c>
      <c r="K4527" s="86" t="str">
        <f>IF(Nineteenth!K30="", "",Nineteenth!K30)</f>
        <v/>
      </c>
      <c r="M4527" s="67">
        <f t="shared" si="212"/>
        <v>7</v>
      </c>
      <c r="N4527" s="76" t="str">
        <f t="shared" si="213"/>
        <v/>
      </c>
      <c r="O4527" s="33">
        <f t="shared" si="214"/>
        <v>7</v>
      </c>
    </row>
    <row r="4528" spans="1:15" x14ac:dyDescent="0.25">
      <c r="A4528" s="64" t="s">
        <v>208</v>
      </c>
      <c r="B4528" s="79" t="str">
        <f>IF(Nineteenth!B31="", "",Nineteenth!B31)</f>
        <v>Centre Head</v>
      </c>
      <c r="C4528" s="66" t="str">
        <f>IF(Nineteenth!C31="", "",Nineteenth!C31)</f>
        <v>Carer</v>
      </c>
      <c r="D4528" s="66" t="str">
        <f>IF(Nineteenth!D31="", "",Nineteenth!D31)</f>
        <v>Returning</v>
      </c>
      <c r="E4528" s="66" t="str">
        <f>IF(Nineteenth!E31="", "",Nineteenth!E31)</f>
        <v>Male</v>
      </c>
      <c r="F4528" s="66" t="str">
        <f>IF(Nineteenth!F31="", "",Nineteenth!F31)</f>
        <v>Head/Neck</v>
      </c>
      <c r="G4528" s="66" t="str">
        <f>IF(Nineteenth!G31="", "",Nineteenth!G31)</f>
        <v>Post Treatment - Curative Intent</v>
      </c>
      <c r="H4528" s="66" t="str">
        <f>IF(Nineteenth!H31="", "",Nineteenth!H31)</f>
        <v>Programme</v>
      </c>
      <c r="I4528" s="66" t="str">
        <f>IF(Nineteenth!I31="", "",Nineteenth!I31)</f>
        <v>NG Laryngectomy</v>
      </c>
      <c r="J4528" s="66" t="str">
        <f>IF(Nineteenth!J31="", "",Nineteenth!J31)</f>
        <v/>
      </c>
      <c r="K4528" s="86" t="str">
        <f>IF(Nineteenth!K31="", "",Nineteenth!K31)</f>
        <v/>
      </c>
      <c r="M4528" s="67" t="str">
        <f t="shared" si="212"/>
        <v/>
      </c>
      <c r="N4528" s="76">
        <f t="shared" si="213"/>
        <v>7</v>
      </c>
      <c r="O4528" s="33">
        <f t="shared" si="214"/>
        <v>7</v>
      </c>
    </row>
    <row r="4529" spans="1:15" x14ac:dyDescent="0.25">
      <c r="A4529" s="64" t="s">
        <v>208</v>
      </c>
      <c r="B4529" s="79" t="str">
        <f>IF(Nineteenth!B32="", "",Nineteenth!B32)</f>
        <v>Centre Head</v>
      </c>
      <c r="C4529" s="66" t="str">
        <f>IF(Nineteenth!C32="", "",Nineteenth!C32)</f>
        <v>Carer</v>
      </c>
      <c r="D4529" s="66" t="str">
        <f>IF(Nineteenth!D32="", "",Nineteenth!D32)</f>
        <v>Returning</v>
      </c>
      <c r="E4529" s="66" t="str">
        <f>IF(Nineteenth!E32="", "",Nineteenth!E32)</f>
        <v>Male</v>
      </c>
      <c r="F4529" s="66" t="str">
        <f>IF(Nineteenth!F32="", "",Nineteenth!F32)</f>
        <v>Head/Neck</v>
      </c>
      <c r="G4529" s="66" t="str">
        <f>IF(Nineteenth!G32="", "",Nineteenth!G32)</f>
        <v>Post Treatment - Curative Intent</v>
      </c>
      <c r="H4529" s="66" t="str">
        <f>IF(Nineteenth!H32="", "",Nineteenth!H32)</f>
        <v>Programme</v>
      </c>
      <c r="I4529" s="66" t="str">
        <f>IF(Nineteenth!I32="", "",Nineteenth!I32)</f>
        <v>NG Laryngectomy</v>
      </c>
      <c r="J4529" s="66" t="str">
        <f>IF(Nineteenth!J32="", "",Nineteenth!J32)</f>
        <v/>
      </c>
      <c r="K4529" s="86" t="str">
        <f>IF(Nineteenth!K32="", "",Nineteenth!K32)</f>
        <v/>
      </c>
      <c r="M4529" s="67" t="str">
        <f t="shared" si="212"/>
        <v/>
      </c>
      <c r="N4529" s="76">
        <f t="shared" si="213"/>
        <v>7</v>
      </c>
      <c r="O4529" s="33">
        <f t="shared" si="214"/>
        <v>7</v>
      </c>
    </row>
    <row r="4530" spans="1:15" x14ac:dyDescent="0.25">
      <c r="A4530" s="64" t="s">
        <v>208</v>
      </c>
      <c r="B4530" s="79" t="str">
        <f>IF(Nineteenth!B33="", "",Nineteenth!B33)</f>
        <v>Centre Head</v>
      </c>
      <c r="C4530" s="66" t="str">
        <f>IF(Nineteenth!C33="", "",Nineteenth!C33)</f>
        <v>Carer</v>
      </c>
      <c r="D4530" s="66" t="str">
        <f>IF(Nineteenth!D33="", "",Nineteenth!D33)</f>
        <v>Returning</v>
      </c>
      <c r="E4530" s="66" t="str">
        <f>IF(Nineteenth!E33="", "",Nineteenth!E33)</f>
        <v>Male</v>
      </c>
      <c r="F4530" s="66" t="str">
        <f>IF(Nineteenth!F33="", "",Nineteenth!F33)</f>
        <v>Head/Neck</v>
      </c>
      <c r="G4530" s="66" t="str">
        <f>IF(Nineteenth!G33="", "",Nineteenth!G33)</f>
        <v>Post Treatment - Curative Intent</v>
      </c>
      <c r="H4530" s="66" t="str">
        <f>IF(Nineteenth!H33="", "",Nineteenth!H33)</f>
        <v>Programme</v>
      </c>
      <c r="I4530" s="66" t="str">
        <f>IF(Nineteenth!I33="", "",Nineteenth!I33)</f>
        <v>NG Laryngectomy</v>
      </c>
      <c r="J4530" s="66" t="str">
        <f>IF(Nineteenth!J33="", "",Nineteenth!J33)</f>
        <v/>
      </c>
      <c r="K4530" s="86" t="str">
        <f>IF(Nineteenth!K33="", "",Nineteenth!K33)</f>
        <v/>
      </c>
      <c r="M4530" s="67" t="str">
        <f t="shared" si="212"/>
        <v/>
      </c>
      <c r="N4530" s="76">
        <f t="shared" si="213"/>
        <v>7</v>
      </c>
      <c r="O4530" s="33">
        <f t="shared" si="214"/>
        <v>7</v>
      </c>
    </row>
    <row r="4531" spans="1:15" x14ac:dyDescent="0.25">
      <c r="A4531" s="64" t="s">
        <v>208</v>
      </c>
      <c r="B4531" s="79" t="str">
        <f>IF(Nineteenth!B34="", "",Nineteenth!B34)</f>
        <v>Centre Head</v>
      </c>
      <c r="C4531" s="66" t="str">
        <f>IF(Nineteenth!C34="", "",Nineteenth!C34)</f>
        <v>Carer</v>
      </c>
      <c r="D4531" s="66" t="str">
        <f>IF(Nineteenth!D34="", "",Nineteenth!D34)</f>
        <v>Returning</v>
      </c>
      <c r="E4531" s="66" t="str">
        <f>IF(Nineteenth!E34="", "",Nineteenth!E34)</f>
        <v>Male</v>
      </c>
      <c r="F4531" s="66" t="str">
        <f>IF(Nineteenth!F34="", "",Nineteenth!F34)</f>
        <v>Head/Neck</v>
      </c>
      <c r="G4531" s="66" t="str">
        <f>IF(Nineteenth!G34="", "",Nineteenth!G34)</f>
        <v>Post Treatment - Curative Intent</v>
      </c>
      <c r="H4531" s="66" t="str">
        <f>IF(Nineteenth!H34="", "",Nineteenth!H34)</f>
        <v>Programme</v>
      </c>
      <c r="I4531" s="66" t="str">
        <f>IF(Nineteenth!I34="", "",Nineteenth!I34)</f>
        <v>NG Laryngectomy</v>
      </c>
      <c r="J4531" s="66" t="str">
        <f>IF(Nineteenth!J34="", "",Nineteenth!J34)</f>
        <v/>
      </c>
      <c r="K4531" s="86" t="str">
        <f>IF(Nineteenth!K34="", "",Nineteenth!K34)</f>
        <v/>
      </c>
      <c r="M4531" s="67" t="str">
        <f t="shared" si="212"/>
        <v/>
      </c>
      <c r="N4531" s="76">
        <f t="shared" si="213"/>
        <v>7</v>
      </c>
      <c r="O4531" s="33">
        <f t="shared" si="214"/>
        <v>7</v>
      </c>
    </row>
    <row r="4532" spans="1:15" x14ac:dyDescent="0.25">
      <c r="A4532" s="64" t="s">
        <v>208</v>
      </c>
      <c r="B4532" s="79" t="str">
        <f>IF(Nineteenth!B35="", "",Nineteenth!B35)</f>
        <v>Centre Head</v>
      </c>
      <c r="C4532" s="66" t="str">
        <f>IF(Nineteenth!C35="", "",Nineteenth!C35)</f>
        <v>Carer</v>
      </c>
      <c r="D4532" s="66" t="str">
        <f>IF(Nineteenth!D35="", "",Nineteenth!D35)</f>
        <v>Returning</v>
      </c>
      <c r="E4532" s="66" t="str">
        <f>IF(Nineteenth!E35="", "",Nineteenth!E35)</f>
        <v>Male</v>
      </c>
      <c r="F4532" s="66" t="str">
        <f>IF(Nineteenth!F35="", "",Nineteenth!F35)</f>
        <v>Head/Neck</v>
      </c>
      <c r="G4532" s="66" t="str">
        <f>IF(Nineteenth!G35="", "",Nineteenth!G35)</f>
        <v>Post Treatment - Curative Intent</v>
      </c>
      <c r="H4532" s="66" t="str">
        <f>IF(Nineteenth!H35="", "",Nineteenth!H35)</f>
        <v>Programme</v>
      </c>
      <c r="I4532" s="66" t="str">
        <f>IF(Nineteenth!I35="", "",Nineteenth!I35)</f>
        <v>NG Laryngectomy</v>
      </c>
      <c r="J4532" s="66" t="str">
        <f>IF(Nineteenth!J35="", "",Nineteenth!J35)</f>
        <v/>
      </c>
      <c r="K4532" s="86" t="str">
        <f>IF(Nineteenth!K35="", "",Nineteenth!K35)</f>
        <v/>
      </c>
      <c r="M4532" s="67" t="str">
        <f t="shared" si="212"/>
        <v/>
      </c>
      <c r="N4532" s="76">
        <f t="shared" si="213"/>
        <v>7</v>
      </c>
      <c r="O4532" s="33">
        <f t="shared" si="214"/>
        <v>7</v>
      </c>
    </row>
    <row r="4533" spans="1:15" x14ac:dyDescent="0.25">
      <c r="A4533" s="64" t="s">
        <v>208</v>
      </c>
      <c r="B4533" s="79" t="str">
        <f>IF(Nineteenth!B36="", "",Nineteenth!B36)</f>
        <v>Centre Head</v>
      </c>
      <c r="C4533" s="66" t="str">
        <f>IF(Nineteenth!C36="", "",Nineteenth!C36)</f>
        <v>Carer</v>
      </c>
      <c r="D4533" s="66" t="str">
        <f>IF(Nineteenth!D36="", "",Nineteenth!D36)</f>
        <v>Returning</v>
      </c>
      <c r="E4533" s="66" t="str">
        <f>IF(Nineteenth!E36="", "",Nineteenth!E36)</f>
        <v>Male</v>
      </c>
      <c r="F4533" s="66" t="str">
        <f>IF(Nineteenth!F36="", "",Nineteenth!F36)</f>
        <v>Head/Neck</v>
      </c>
      <c r="G4533" s="66" t="str">
        <f>IF(Nineteenth!G36="", "",Nineteenth!G36)</f>
        <v>Post Treatment - Curative Intent</v>
      </c>
      <c r="H4533" s="66" t="str">
        <f>IF(Nineteenth!H36="", "",Nineteenth!H36)</f>
        <v>Programme</v>
      </c>
      <c r="I4533" s="66" t="str">
        <f>IF(Nineteenth!I36="", "",Nineteenth!I36)</f>
        <v>NG Laryngectomy</v>
      </c>
      <c r="J4533" s="66" t="str">
        <f>IF(Nineteenth!J36="", "",Nineteenth!J36)</f>
        <v/>
      </c>
      <c r="K4533" s="86" t="str">
        <f>IF(Nineteenth!K36="", "",Nineteenth!K36)</f>
        <v/>
      </c>
      <c r="M4533" s="67" t="str">
        <f t="shared" si="212"/>
        <v/>
      </c>
      <c r="N4533" s="76">
        <f t="shared" si="213"/>
        <v>7</v>
      </c>
      <c r="O4533" s="33">
        <f t="shared" si="214"/>
        <v>7</v>
      </c>
    </row>
    <row r="4534" spans="1:15" x14ac:dyDescent="0.25">
      <c r="A4534" s="64" t="s">
        <v>208</v>
      </c>
      <c r="B4534" s="79" t="str">
        <f>IF(Nineteenth!B37="", "",Nineteenth!B37)</f>
        <v>Centre Head</v>
      </c>
      <c r="C4534" s="66" t="str">
        <f>IF(Nineteenth!C37="", "",Nineteenth!C37)</f>
        <v>Carer</v>
      </c>
      <c r="D4534" s="66" t="str">
        <f>IF(Nineteenth!D37="", "",Nineteenth!D37)</f>
        <v>Returning</v>
      </c>
      <c r="E4534" s="66" t="str">
        <f>IF(Nineteenth!E37="", "",Nineteenth!E37)</f>
        <v>Female</v>
      </c>
      <c r="F4534" s="66" t="str">
        <f>IF(Nineteenth!F37="", "",Nineteenth!F37)</f>
        <v>Head/Neck</v>
      </c>
      <c r="G4534" s="66" t="str">
        <f>IF(Nineteenth!G37="", "",Nineteenth!G37)</f>
        <v>Post Treatment - Curative Intent</v>
      </c>
      <c r="H4534" s="66" t="str">
        <f>IF(Nineteenth!H37="", "",Nineteenth!H37)</f>
        <v>Programme</v>
      </c>
      <c r="I4534" s="66" t="str">
        <f>IF(Nineteenth!I37="", "",Nineteenth!I37)</f>
        <v>NG Laryngectomy</v>
      </c>
      <c r="J4534" s="66" t="str">
        <f>IF(Nineteenth!J37="", "",Nineteenth!J37)</f>
        <v/>
      </c>
      <c r="K4534" s="86" t="str">
        <f>IF(Nineteenth!K37="", "",Nineteenth!K37)</f>
        <v/>
      </c>
      <c r="M4534" s="67" t="str">
        <f t="shared" si="212"/>
        <v/>
      </c>
      <c r="N4534" s="76">
        <f t="shared" si="213"/>
        <v>7</v>
      </c>
      <c r="O4534" s="33">
        <f t="shared" si="214"/>
        <v>7</v>
      </c>
    </row>
    <row r="4535" spans="1:15" x14ac:dyDescent="0.25">
      <c r="A4535" s="64" t="s">
        <v>208</v>
      </c>
      <c r="B4535" s="79" t="str">
        <f>IF(Nineteenth!B38="", "",Nineteenth!B38)</f>
        <v>Centre Head</v>
      </c>
      <c r="C4535" s="66" t="str">
        <f>IF(Nineteenth!C38="", "",Nineteenth!C38)</f>
        <v>Carer</v>
      </c>
      <c r="D4535" s="66" t="str">
        <f>IF(Nineteenth!D38="", "",Nineteenth!D38)</f>
        <v>Returning</v>
      </c>
      <c r="E4535" s="66" t="str">
        <f>IF(Nineteenth!E38="", "",Nineteenth!E38)</f>
        <v>Female</v>
      </c>
      <c r="F4535" s="66" t="str">
        <f>IF(Nineteenth!F38="", "",Nineteenth!F38)</f>
        <v>Head/Neck</v>
      </c>
      <c r="G4535" s="66" t="str">
        <f>IF(Nineteenth!G38="", "",Nineteenth!G38)</f>
        <v>Post Treatment - Curative Intent</v>
      </c>
      <c r="H4535" s="66" t="str">
        <f>IF(Nineteenth!H38="", "",Nineteenth!H38)</f>
        <v>Programme</v>
      </c>
      <c r="I4535" s="66" t="str">
        <f>IF(Nineteenth!I38="", "",Nineteenth!I38)</f>
        <v>NG Laryngectomy</v>
      </c>
      <c r="J4535" s="66" t="str">
        <f>IF(Nineteenth!J38="", "",Nineteenth!J38)</f>
        <v/>
      </c>
      <c r="K4535" s="86" t="str">
        <f>IF(Nineteenth!K38="", "",Nineteenth!K38)</f>
        <v/>
      </c>
      <c r="M4535" s="67" t="str">
        <f t="shared" si="212"/>
        <v/>
      </c>
      <c r="N4535" s="76">
        <f t="shared" si="213"/>
        <v>7</v>
      </c>
      <c r="O4535" s="33">
        <f t="shared" si="214"/>
        <v>7</v>
      </c>
    </row>
    <row r="4536" spans="1:15" x14ac:dyDescent="0.25">
      <c r="A4536" s="64" t="s">
        <v>208</v>
      </c>
      <c r="B4536" s="79" t="str">
        <f>IF(Nineteenth!B39="", "",Nineteenth!B39)</f>
        <v>Centre Head</v>
      </c>
      <c r="C4536" s="66" t="str">
        <f>IF(Nineteenth!C39="", "",Nineteenth!C39)</f>
        <v>Carer</v>
      </c>
      <c r="D4536" s="66" t="str">
        <f>IF(Nineteenth!D39="", "",Nineteenth!D39)</f>
        <v>Returning</v>
      </c>
      <c r="E4536" s="66" t="str">
        <f>IF(Nineteenth!E39="", "",Nineteenth!E39)</f>
        <v>Female</v>
      </c>
      <c r="F4536" s="66" t="str">
        <f>IF(Nineteenth!F39="", "",Nineteenth!F39)</f>
        <v>Head/Neck</v>
      </c>
      <c r="G4536" s="66" t="str">
        <f>IF(Nineteenth!G39="", "",Nineteenth!G39)</f>
        <v>Post Treatment - Curative Intent</v>
      </c>
      <c r="H4536" s="66" t="str">
        <f>IF(Nineteenth!H39="", "",Nineteenth!H39)</f>
        <v>Programme</v>
      </c>
      <c r="I4536" s="66" t="str">
        <f>IF(Nineteenth!I39="", "",Nineteenth!I39)</f>
        <v>NG Laryngectomy</v>
      </c>
      <c r="J4536" s="66" t="str">
        <f>IF(Nineteenth!J39="", "",Nineteenth!J39)</f>
        <v/>
      </c>
      <c r="K4536" s="86" t="str">
        <f>IF(Nineteenth!K39="", "",Nineteenth!K39)</f>
        <v/>
      </c>
      <c r="M4536" s="67" t="str">
        <f t="shared" si="212"/>
        <v/>
      </c>
      <c r="N4536" s="76">
        <f t="shared" si="213"/>
        <v>7</v>
      </c>
      <c r="O4536" s="33">
        <f t="shared" si="214"/>
        <v>7</v>
      </c>
    </row>
    <row r="4537" spans="1:15" x14ac:dyDescent="0.25">
      <c r="A4537" s="64" t="s">
        <v>208</v>
      </c>
      <c r="B4537" s="79" t="str">
        <f>IF(Nineteenth!B40="", "",Nineteenth!B40)</f>
        <v>Centre Head</v>
      </c>
      <c r="C4537" s="66" t="str">
        <f>IF(Nineteenth!C40="", "",Nineteenth!C40)</f>
        <v>Carer</v>
      </c>
      <c r="D4537" s="66" t="str">
        <f>IF(Nineteenth!D40="", "",Nineteenth!D40)</f>
        <v>Returning</v>
      </c>
      <c r="E4537" s="66" t="str">
        <f>IF(Nineteenth!E40="", "",Nineteenth!E40)</f>
        <v>Female</v>
      </c>
      <c r="F4537" s="66" t="str">
        <f>IF(Nineteenth!F40="", "",Nineteenth!F40)</f>
        <v>Head/Neck</v>
      </c>
      <c r="G4537" s="66" t="str">
        <f>IF(Nineteenth!G40="", "",Nineteenth!G40)</f>
        <v>Post Treatment - Curative Intent</v>
      </c>
      <c r="H4537" s="66" t="str">
        <f>IF(Nineteenth!H40="", "",Nineteenth!H40)</f>
        <v>Programme</v>
      </c>
      <c r="I4537" s="66" t="str">
        <f>IF(Nineteenth!I40="", "",Nineteenth!I40)</f>
        <v>NG Laryngectomy</v>
      </c>
      <c r="J4537" s="66" t="str">
        <f>IF(Nineteenth!J40="", "",Nineteenth!J40)</f>
        <v/>
      </c>
      <c r="K4537" s="86" t="str">
        <f>IF(Nineteenth!K40="", "",Nineteenth!K40)</f>
        <v/>
      </c>
      <c r="M4537" s="67" t="str">
        <f t="shared" si="212"/>
        <v/>
      </c>
      <c r="N4537" s="76">
        <f t="shared" si="213"/>
        <v>7</v>
      </c>
      <c r="O4537" s="33">
        <f t="shared" si="214"/>
        <v>7</v>
      </c>
    </row>
    <row r="4538" spans="1:15" x14ac:dyDescent="0.25">
      <c r="A4538" s="64" t="s">
        <v>208</v>
      </c>
      <c r="B4538" s="79" t="str">
        <f>IF(Nineteenth!B41="", "",Nineteenth!B41)</f>
        <v>Centre Head</v>
      </c>
      <c r="C4538" s="66" t="str">
        <f>IF(Nineteenth!C41="", "",Nineteenth!C41)</f>
        <v>Carer</v>
      </c>
      <c r="D4538" s="66" t="str">
        <f>IF(Nineteenth!D41="", "",Nineteenth!D41)</f>
        <v>Returning</v>
      </c>
      <c r="E4538" s="66" t="str">
        <f>IF(Nineteenth!E41="", "",Nineteenth!E41)</f>
        <v>Female</v>
      </c>
      <c r="F4538" s="66" t="str">
        <f>IF(Nineteenth!F41="", "",Nineteenth!F41)</f>
        <v>Head/Neck</v>
      </c>
      <c r="G4538" s="66" t="str">
        <f>IF(Nineteenth!G41="", "",Nineteenth!G41)</f>
        <v>Post Treatment - Curative Intent</v>
      </c>
      <c r="H4538" s="66" t="str">
        <f>IF(Nineteenth!H41="", "",Nineteenth!H41)</f>
        <v>Programme</v>
      </c>
      <c r="I4538" s="66" t="str">
        <f>IF(Nineteenth!I41="", "",Nineteenth!I41)</f>
        <v>NG Laryngectomy</v>
      </c>
      <c r="J4538" s="66" t="str">
        <f>IF(Nineteenth!J41="", "",Nineteenth!J41)</f>
        <v/>
      </c>
      <c r="K4538" s="86" t="str">
        <f>IF(Nineteenth!K41="", "",Nineteenth!K41)</f>
        <v/>
      </c>
      <c r="M4538" s="67" t="str">
        <f t="shared" si="212"/>
        <v/>
      </c>
      <c r="N4538" s="76">
        <f t="shared" si="213"/>
        <v>7</v>
      </c>
      <c r="O4538" s="33">
        <f t="shared" si="214"/>
        <v>7</v>
      </c>
    </row>
    <row r="4539" spans="1:15" x14ac:dyDescent="0.25">
      <c r="A4539" s="64" t="s">
        <v>208</v>
      </c>
      <c r="B4539" s="79" t="str">
        <f>IF(Nineteenth!B42="", "",Nineteenth!B42)</f>
        <v>Centre Head</v>
      </c>
      <c r="C4539" s="66" t="str">
        <f>IF(Nineteenth!C42="", "",Nineteenth!C42)</f>
        <v>Carer</v>
      </c>
      <c r="D4539" s="66" t="str">
        <f>IF(Nineteenth!D42="", "",Nineteenth!D42)</f>
        <v>Returning</v>
      </c>
      <c r="E4539" s="66" t="str">
        <f>IF(Nineteenth!E42="", "",Nineteenth!E42)</f>
        <v>Female</v>
      </c>
      <c r="F4539" s="66" t="str">
        <f>IF(Nineteenth!F42="", "",Nineteenth!F42)</f>
        <v>Head/Neck</v>
      </c>
      <c r="G4539" s="66" t="str">
        <f>IF(Nineteenth!G42="", "",Nineteenth!G42)</f>
        <v>Post Treatment - Curative Intent</v>
      </c>
      <c r="H4539" s="66" t="str">
        <f>IF(Nineteenth!H42="", "",Nineteenth!H42)</f>
        <v>Programme</v>
      </c>
      <c r="I4539" s="66" t="str">
        <f>IF(Nineteenth!I42="", "",Nineteenth!I42)</f>
        <v>NG Laryngectomy</v>
      </c>
      <c r="J4539" s="66" t="str">
        <f>IF(Nineteenth!J42="", "",Nineteenth!J42)</f>
        <v/>
      </c>
      <c r="K4539" s="86" t="str">
        <f>IF(Nineteenth!K42="", "",Nineteenth!K42)</f>
        <v/>
      </c>
      <c r="M4539" s="67" t="str">
        <f t="shared" si="212"/>
        <v/>
      </c>
      <c r="N4539" s="76">
        <f t="shared" si="213"/>
        <v>7</v>
      </c>
      <c r="O4539" s="33">
        <f t="shared" si="214"/>
        <v>7</v>
      </c>
    </row>
    <row r="4540" spans="1:15" x14ac:dyDescent="0.25">
      <c r="A4540" s="64" t="s">
        <v>208</v>
      </c>
      <c r="B4540" s="79" t="str">
        <f>IF(Nineteenth!B43="", "",Nineteenth!B43)</f>
        <v>Centre Head</v>
      </c>
      <c r="C4540" s="66" t="str">
        <f>IF(Nineteenth!C43="", "",Nineteenth!C43)</f>
        <v>Carer</v>
      </c>
      <c r="D4540" s="66" t="str">
        <f>IF(Nineteenth!D43="", "",Nineteenth!D43)</f>
        <v>Returning</v>
      </c>
      <c r="E4540" s="66" t="str">
        <f>IF(Nineteenth!E43="", "",Nineteenth!E43)</f>
        <v>Female</v>
      </c>
      <c r="F4540" s="66" t="str">
        <f>IF(Nineteenth!F43="", "",Nineteenth!F43)</f>
        <v>Head/Neck</v>
      </c>
      <c r="G4540" s="66" t="str">
        <f>IF(Nineteenth!G43="", "",Nineteenth!G43)</f>
        <v>Post Treatment - Curative Intent</v>
      </c>
      <c r="H4540" s="66" t="str">
        <f>IF(Nineteenth!H43="", "",Nineteenth!H43)</f>
        <v>Programme</v>
      </c>
      <c r="I4540" s="66" t="str">
        <f>IF(Nineteenth!I43="", "",Nineteenth!I43)</f>
        <v>NG Laryngectomy</v>
      </c>
      <c r="J4540" s="66" t="str">
        <f>IF(Nineteenth!J43="", "",Nineteenth!J43)</f>
        <v/>
      </c>
      <c r="K4540" s="86" t="str">
        <f>IF(Nineteenth!K43="", "",Nineteenth!K43)</f>
        <v/>
      </c>
      <c r="M4540" s="67" t="str">
        <f t="shared" si="212"/>
        <v/>
      </c>
      <c r="N4540" s="76">
        <f t="shared" si="213"/>
        <v>7</v>
      </c>
      <c r="O4540" s="33">
        <f t="shared" si="214"/>
        <v>7</v>
      </c>
    </row>
    <row r="4541" spans="1:15" x14ac:dyDescent="0.25">
      <c r="A4541" s="64" t="s">
        <v>208</v>
      </c>
      <c r="B4541" s="79" t="str">
        <f>IF(Nineteenth!B44="", "",Nineteenth!B44)</f>
        <v>Centre Head</v>
      </c>
      <c r="C4541" s="66" t="str">
        <f>IF(Nineteenth!C44="", "",Nineteenth!C44)</f>
        <v>Carer</v>
      </c>
      <c r="D4541" s="66" t="str">
        <f>IF(Nineteenth!D44="", "",Nineteenth!D44)</f>
        <v>Returning</v>
      </c>
      <c r="E4541" s="66" t="str">
        <f>IF(Nineteenth!E44="", "",Nineteenth!E44)</f>
        <v>Female</v>
      </c>
      <c r="F4541" s="66" t="str">
        <f>IF(Nineteenth!F44="", "",Nineteenth!F44)</f>
        <v>Head/Neck</v>
      </c>
      <c r="G4541" s="66" t="str">
        <f>IF(Nineteenth!G44="", "",Nineteenth!G44)</f>
        <v>Post Treatment - Curative Intent</v>
      </c>
      <c r="H4541" s="66" t="str">
        <f>IF(Nineteenth!H44="", "",Nineteenth!H44)</f>
        <v>Programme</v>
      </c>
      <c r="I4541" s="66" t="str">
        <f>IF(Nineteenth!I44="", "",Nineteenth!I44)</f>
        <v>NG Laryngectomy</v>
      </c>
      <c r="J4541" s="66" t="str">
        <f>IF(Nineteenth!J44="", "",Nineteenth!J44)</f>
        <v/>
      </c>
      <c r="K4541" s="86" t="str">
        <f>IF(Nineteenth!K44="", "",Nineteenth!K44)</f>
        <v/>
      </c>
      <c r="M4541" s="67" t="str">
        <f t="shared" si="212"/>
        <v/>
      </c>
      <c r="N4541" s="76">
        <f t="shared" si="213"/>
        <v>7</v>
      </c>
      <c r="O4541" s="33">
        <f t="shared" si="214"/>
        <v>7</v>
      </c>
    </row>
    <row r="4542" spans="1:15" x14ac:dyDescent="0.25">
      <c r="A4542" s="64" t="s">
        <v>208</v>
      </c>
      <c r="B4542" s="79" t="str">
        <f>IF(Nineteenth!B45="", "",Nineteenth!B45)</f>
        <v>Centre Head</v>
      </c>
      <c r="C4542" s="66" t="str">
        <f>IF(Nineteenth!C45="", "",Nineteenth!C45)</f>
        <v>PwC</v>
      </c>
      <c r="D4542" s="66" t="str">
        <f>IF(Nineteenth!D45="", "",Nineteenth!D45)</f>
        <v>Returning</v>
      </c>
      <c r="E4542" s="66" t="str">
        <f>IF(Nineteenth!E45="", "",Nineteenth!E45)</f>
        <v>Female</v>
      </c>
      <c r="F4542" s="66" t="str">
        <f>IF(Nineteenth!F45="", "",Nineteenth!F45)</f>
        <v>Breast</v>
      </c>
      <c r="G4542" s="66" t="str">
        <f>IF(Nineteenth!G45="", "",Nineteenth!G45)</f>
        <v>Post Treatment - Curative Intent</v>
      </c>
      <c r="H4542" s="66" t="str">
        <f>IF(Nineteenth!H45="", "",Nineteenth!H45)</f>
        <v>Booked</v>
      </c>
      <c r="I4542" s="66" t="str">
        <f>IF(Nineteenth!I45="", "",Nineteenth!I45)</f>
        <v>Psych Support - Individual</v>
      </c>
      <c r="J4542" s="66" t="str">
        <f>IF(Nineteenth!J45="", "",Nineteenth!J45)</f>
        <v/>
      </c>
      <c r="K4542" s="86" t="str">
        <f>IF(Nineteenth!K45="", "",Nineteenth!K45)</f>
        <v/>
      </c>
      <c r="M4542" s="67">
        <f t="shared" si="212"/>
        <v>7</v>
      </c>
      <c r="N4542" s="76" t="str">
        <f t="shared" si="213"/>
        <v/>
      </c>
      <c r="O4542" s="33">
        <f t="shared" si="214"/>
        <v>7</v>
      </c>
    </row>
    <row r="4543" spans="1:15" x14ac:dyDescent="0.25">
      <c r="A4543" s="64" t="s">
        <v>208</v>
      </c>
      <c r="B4543" s="79" t="str">
        <f>IF(Nineteenth!B46="", "",Nineteenth!B46)</f>
        <v>Centre Head</v>
      </c>
      <c r="C4543" s="66" t="str">
        <f>IF(Nineteenth!C46="", "",Nineteenth!C46)</f>
        <v>PwC</v>
      </c>
      <c r="D4543" s="66" t="str">
        <f>IF(Nineteenth!D46="", "",Nineteenth!D46)</f>
        <v>Returning</v>
      </c>
      <c r="E4543" s="66" t="str">
        <f>IF(Nineteenth!E46="", "",Nineteenth!E46)</f>
        <v>Female</v>
      </c>
      <c r="F4543" s="66" t="str">
        <f>IF(Nineteenth!F46="", "",Nineteenth!F46)</f>
        <v>Sarcoma</v>
      </c>
      <c r="G4543" s="66" t="str">
        <f>IF(Nineteenth!G46="", "",Nineteenth!G46)</f>
        <v>Post Treatment - Curative Intent</v>
      </c>
      <c r="H4543" s="66" t="str">
        <f>IF(Nineteenth!H46="", "",Nineteenth!H46)</f>
        <v>Booked</v>
      </c>
      <c r="I4543" s="66" t="str">
        <f>IF(Nineteenth!I46="", "",Nineteenth!I46)</f>
        <v>Psych Support - Individual</v>
      </c>
      <c r="J4543" s="66" t="str">
        <f>IF(Nineteenth!J46="", "",Nineteenth!J46)</f>
        <v/>
      </c>
      <c r="K4543" s="86" t="str">
        <f>IF(Nineteenth!K46="", "",Nineteenth!K46)</f>
        <v/>
      </c>
      <c r="M4543" s="67">
        <f t="shared" si="212"/>
        <v>7</v>
      </c>
      <c r="N4543" s="76" t="str">
        <f t="shared" si="213"/>
        <v/>
      </c>
      <c r="O4543" s="33">
        <f t="shared" si="214"/>
        <v>7</v>
      </c>
    </row>
    <row r="4544" spans="1:15" x14ac:dyDescent="0.25">
      <c r="A4544" s="64" t="s">
        <v>208</v>
      </c>
      <c r="B4544" s="79" t="str">
        <f>IF(Nineteenth!B47="", "",Nineteenth!B47)</f>
        <v>Centre Head</v>
      </c>
      <c r="C4544" s="66" t="str">
        <f>IF(Nineteenth!C47="", "",Nineteenth!C47)</f>
        <v>Carer</v>
      </c>
      <c r="D4544" s="66" t="str">
        <f>IF(Nineteenth!D47="", "",Nineteenth!D47)</f>
        <v>Returning</v>
      </c>
      <c r="E4544" s="66" t="str">
        <f>IF(Nineteenth!E47="", "",Nineteenth!E47)</f>
        <v>Female</v>
      </c>
      <c r="F4544" s="66" t="str">
        <f>IF(Nineteenth!F47="", "",Nineteenth!F47)</f>
        <v>Gynae</v>
      </c>
      <c r="G4544" s="66" t="str">
        <f>IF(Nineteenth!G47="", "",Nineteenth!G47)</f>
        <v>Bereaved</v>
      </c>
      <c r="H4544" s="66" t="str">
        <f>IF(Nineteenth!H47="", "",Nineteenth!H47)</f>
        <v>Booked</v>
      </c>
      <c r="I4544" s="66" t="str">
        <f>IF(Nineteenth!I47="", "",Nineteenth!I47)</f>
        <v>Psych Support - Individual</v>
      </c>
      <c r="J4544" s="66" t="str">
        <f>IF(Nineteenth!J47="", "",Nineteenth!J47)</f>
        <v/>
      </c>
      <c r="K4544" s="86" t="str">
        <f>IF(Nineteenth!K47="", "",Nineteenth!K47)</f>
        <v/>
      </c>
      <c r="M4544" s="67" t="str">
        <f t="shared" si="212"/>
        <v/>
      </c>
      <c r="N4544" s="76">
        <f t="shared" si="213"/>
        <v>7</v>
      </c>
      <c r="O4544" s="33">
        <f t="shared" si="214"/>
        <v>7</v>
      </c>
    </row>
    <row r="4545" spans="1:15" x14ac:dyDescent="0.25">
      <c r="A4545" s="64" t="s">
        <v>208</v>
      </c>
      <c r="B4545" s="79" t="str">
        <f>IF(Nineteenth!B48="", "",Nineteenth!B48)</f>
        <v>Centre Head</v>
      </c>
      <c r="C4545" s="66" t="str">
        <f>IF(Nineteenth!C48="", "",Nineteenth!C48)</f>
        <v>Carer</v>
      </c>
      <c r="D4545" s="66" t="str">
        <f>IF(Nineteenth!D48="", "",Nineteenth!D48)</f>
        <v>Returning</v>
      </c>
      <c r="E4545" s="66" t="str">
        <f>IF(Nineteenth!E48="", "",Nineteenth!E48)</f>
        <v>Male</v>
      </c>
      <c r="F4545" s="66" t="str">
        <f>IF(Nineteenth!F48="", "",Nineteenth!F48)</f>
        <v>Lower GI</v>
      </c>
      <c r="G4545" s="66" t="str">
        <f>IF(Nineteenth!G48="", "",Nineteenth!G48)</f>
        <v>Not Stated</v>
      </c>
      <c r="H4545" s="66" t="str">
        <f>IF(Nineteenth!H48="", "",Nineteenth!H48)</f>
        <v>Programme</v>
      </c>
      <c r="I4545" s="66" t="str">
        <f>IF(Nineteenth!I48="", "",Nineteenth!I48)</f>
        <v>FSG Family and Friends</v>
      </c>
      <c r="J4545" s="66" t="str">
        <f>IF(Nineteenth!J48="", "",Nineteenth!J48)</f>
        <v/>
      </c>
      <c r="K4545" s="86" t="str">
        <f>IF(Nineteenth!K48="", "",Nineteenth!K48)</f>
        <v/>
      </c>
      <c r="M4545" s="67" t="str">
        <f t="shared" si="212"/>
        <v/>
      </c>
      <c r="N4545" s="76">
        <f t="shared" si="213"/>
        <v>7</v>
      </c>
      <c r="O4545" s="33">
        <f t="shared" si="214"/>
        <v>7</v>
      </c>
    </row>
    <row r="4546" spans="1:15" x14ac:dyDescent="0.25">
      <c r="A4546" s="64" t="s">
        <v>208</v>
      </c>
      <c r="B4546" s="79" t="str">
        <f>IF(Nineteenth!B49="", "",Nineteenth!B49)</f>
        <v>Centre Head</v>
      </c>
      <c r="C4546" s="66" t="str">
        <f>IF(Nineteenth!C49="", "",Nineteenth!C49)</f>
        <v>Carer</v>
      </c>
      <c r="D4546" s="66" t="str">
        <f>IF(Nineteenth!D49="", "",Nineteenth!D49)</f>
        <v>Returning</v>
      </c>
      <c r="E4546" s="66" t="str">
        <f>IF(Nineteenth!E49="", "",Nineteenth!E49)</f>
        <v>Male</v>
      </c>
      <c r="F4546" s="66" t="str">
        <f>IF(Nineteenth!F49="", "",Nineteenth!F49)</f>
        <v>Prostate</v>
      </c>
      <c r="G4546" s="66" t="str">
        <f>IF(Nineteenth!G49="", "",Nineteenth!G49)</f>
        <v>Non-Curative Intent</v>
      </c>
      <c r="H4546" s="66" t="str">
        <f>IF(Nineteenth!H49="", "",Nineteenth!H49)</f>
        <v>Booked</v>
      </c>
      <c r="I4546" s="66" t="str">
        <f>IF(Nineteenth!I49="", "",Nineteenth!I49)</f>
        <v>Psych Support - Individual</v>
      </c>
      <c r="J4546" s="66" t="str">
        <f>IF(Nineteenth!J49="", "",Nineteenth!J49)</f>
        <v/>
      </c>
      <c r="K4546" s="86" t="str">
        <f>IF(Nineteenth!K49="", "",Nineteenth!K49)</f>
        <v/>
      </c>
      <c r="M4546" s="67" t="str">
        <f t="shared" si="212"/>
        <v/>
      </c>
      <c r="N4546" s="76">
        <f t="shared" si="213"/>
        <v>7</v>
      </c>
      <c r="O4546" s="33">
        <f t="shared" si="214"/>
        <v>7</v>
      </c>
    </row>
    <row r="4547" spans="1:15" x14ac:dyDescent="0.25">
      <c r="A4547" s="64" t="s">
        <v>208</v>
      </c>
      <c r="B4547" s="79" t="str">
        <f>IF(Nineteenth!B50="", "",Nineteenth!B50)</f>
        <v>Centre Head</v>
      </c>
      <c r="C4547" s="66" t="str">
        <f>IF(Nineteenth!C50="", "",Nineteenth!C50)</f>
        <v>Carer</v>
      </c>
      <c r="D4547" s="66" t="str">
        <f>IF(Nineteenth!D50="", "",Nineteenth!D50)</f>
        <v>Returning</v>
      </c>
      <c r="E4547" s="66" t="str">
        <f>IF(Nineteenth!E50="", "",Nineteenth!E50)</f>
        <v>Female</v>
      </c>
      <c r="F4547" s="66" t="str">
        <f>IF(Nineteenth!F50="", "",Nineteenth!F50)</f>
        <v>Prostate</v>
      </c>
      <c r="G4547" s="66" t="str">
        <f>IF(Nineteenth!G50="", "",Nineteenth!G50)</f>
        <v>Bereaved</v>
      </c>
      <c r="H4547" s="66" t="str">
        <f>IF(Nineteenth!H50="", "",Nineteenth!H50)</f>
        <v>Booked</v>
      </c>
      <c r="I4547" s="66" t="str">
        <f>IF(Nineteenth!I50="", "",Nineteenth!I50)</f>
        <v>Psych Support - Individual</v>
      </c>
      <c r="J4547" s="66" t="str">
        <f>IF(Nineteenth!J50="", "",Nineteenth!J50)</f>
        <v/>
      </c>
      <c r="K4547" s="86" t="str">
        <f>IF(Nineteenth!K50="", "",Nineteenth!K50)</f>
        <v/>
      </c>
      <c r="M4547" s="67" t="str">
        <f t="shared" si="212"/>
        <v/>
      </c>
      <c r="N4547" s="76">
        <f t="shared" si="213"/>
        <v>7</v>
      </c>
      <c r="O4547" s="33">
        <f t="shared" si="214"/>
        <v>7</v>
      </c>
    </row>
    <row r="4548" spans="1:15" x14ac:dyDescent="0.25">
      <c r="A4548" s="64" t="s">
        <v>208</v>
      </c>
      <c r="B4548" s="79" t="str">
        <f>IF(Nineteenth!B51="", "",Nineteenth!B51)</f>
        <v>Centre Head</v>
      </c>
      <c r="C4548" s="66" t="str">
        <f>IF(Nineteenth!C51="", "",Nineteenth!C51)</f>
        <v>Carer</v>
      </c>
      <c r="D4548" s="66" t="str">
        <f>IF(Nineteenth!D51="", "",Nineteenth!D51)</f>
        <v>Returning</v>
      </c>
      <c r="E4548" s="66" t="str">
        <f>IF(Nineteenth!E51="", "",Nineteenth!E51)</f>
        <v>Female</v>
      </c>
      <c r="F4548" s="66" t="str">
        <f>IF(Nineteenth!F51="", "",Nineteenth!F51)</f>
        <v>Prostate</v>
      </c>
      <c r="G4548" s="66" t="str">
        <f>IF(Nineteenth!G51="", "",Nineteenth!G51)</f>
        <v>Non-Curative Intent</v>
      </c>
      <c r="H4548" s="66" t="str">
        <f>IF(Nineteenth!H51="", "",Nineteenth!H51)</f>
        <v>Programme</v>
      </c>
      <c r="I4548" s="66" t="str">
        <f>IF(Nineteenth!I51="", "",Nineteenth!I51)</f>
        <v>FSG Family and Friends</v>
      </c>
      <c r="J4548" s="66" t="str">
        <f>IF(Nineteenth!J51="", "",Nineteenth!J51)</f>
        <v/>
      </c>
      <c r="K4548" s="86" t="str">
        <f>IF(Nineteenth!K51="", "",Nineteenth!K51)</f>
        <v/>
      </c>
      <c r="M4548" s="67" t="str">
        <f t="shared" ref="M4548:M4611" si="215">IF(C4548="PwC",(7-COUNTIF(B4548:H4548,"")),"")</f>
        <v/>
      </c>
      <c r="N4548" s="76">
        <f t="shared" ref="N4548:N4611" si="216">IF(C4548="Carer",(7-COUNTIF(B4548:H4548,"")),"")</f>
        <v>7</v>
      </c>
      <c r="O4548" s="33">
        <f t="shared" si="214"/>
        <v>7</v>
      </c>
    </row>
    <row r="4549" spans="1:15" x14ac:dyDescent="0.25">
      <c r="A4549" s="64" t="s">
        <v>208</v>
      </c>
      <c r="B4549" s="79" t="str">
        <f>IF(Nineteenth!B52="", "",Nineteenth!B52)</f>
        <v>Centre Head</v>
      </c>
      <c r="C4549" s="66" t="str">
        <f>IF(Nineteenth!C52="", "",Nineteenth!C52)</f>
        <v>Carer</v>
      </c>
      <c r="D4549" s="66" t="str">
        <f>IF(Nineteenth!D52="", "",Nineteenth!D52)</f>
        <v>Returning</v>
      </c>
      <c r="E4549" s="66" t="str">
        <f>IF(Nineteenth!E52="", "",Nineteenth!E52)</f>
        <v>Female</v>
      </c>
      <c r="F4549" s="66" t="str">
        <f>IF(Nineteenth!F52="", "",Nineteenth!F52)</f>
        <v>Lung</v>
      </c>
      <c r="G4549" s="66" t="str">
        <f>IF(Nineteenth!G52="", "",Nineteenth!G52)</f>
        <v>Non-Curative Intent</v>
      </c>
      <c r="H4549" s="66" t="str">
        <f>IF(Nineteenth!H52="", "",Nineteenth!H52)</f>
        <v>Programme</v>
      </c>
      <c r="I4549" s="66" t="str">
        <f>IF(Nineteenth!I52="", "",Nineteenth!I52)</f>
        <v>FSG Family and Friends</v>
      </c>
      <c r="J4549" s="66" t="str">
        <f>IF(Nineteenth!J52="", "",Nineteenth!J52)</f>
        <v/>
      </c>
      <c r="K4549" s="86" t="str">
        <f>IF(Nineteenth!K52="", "",Nineteenth!K52)</f>
        <v/>
      </c>
      <c r="M4549" s="67" t="str">
        <f t="shared" si="215"/>
        <v/>
      </c>
      <c r="N4549" s="76">
        <f t="shared" si="216"/>
        <v>7</v>
      </c>
      <c r="O4549" s="33">
        <f t="shared" si="214"/>
        <v>7</v>
      </c>
    </row>
    <row r="4550" spans="1:15" x14ac:dyDescent="0.25">
      <c r="A4550" s="64" t="s">
        <v>208</v>
      </c>
      <c r="B4550" s="79" t="str">
        <f>IF(Nineteenth!B53="", "",Nineteenth!B53)</f>
        <v>Centre Head</v>
      </c>
      <c r="C4550" s="66" t="str">
        <f>IF(Nineteenth!C53="", "",Nineteenth!C53)</f>
        <v>Carer</v>
      </c>
      <c r="D4550" s="66" t="str">
        <f>IF(Nineteenth!D53="", "",Nineteenth!D53)</f>
        <v>Returning</v>
      </c>
      <c r="E4550" s="66" t="str">
        <f>IF(Nineteenth!E53="", "",Nineteenth!E53)</f>
        <v>Female</v>
      </c>
      <c r="F4550" s="66" t="str">
        <f>IF(Nineteenth!F53="", "",Nineteenth!F53)</f>
        <v>Lung</v>
      </c>
      <c r="G4550" s="66" t="str">
        <f>IF(Nineteenth!G53="", "",Nineteenth!G53)</f>
        <v>Non-Curative Intent</v>
      </c>
      <c r="H4550" s="66" t="str">
        <f>IF(Nineteenth!H53="", "",Nineteenth!H53)</f>
        <v>Programme</v>
      </c>
      <c r="I4550" s="66" t="str">
        <f>IF(Nineteenth!I53="", "",Nineteenth!I53)</f>
        <v>FSG Family and Friends</v>
      </c>
      <c r="J4550" s="66" t="str">
        <f>IF(Nineteenth!J53="", "",Nineteenth!J53)</f>
        <v/>
      </c>
      <c r="K4550" s="86" t="str">
        <f>IF(Nineteenth!K53="", "",Nineteenth!K53)</f>
        <v/>
      </c>
      <c r="M4550" s="67" t="str">
        <f t="shared" si="215"/>
        <v/>
      </c>
      <c r="N4550" s="76">
        <f t="shared" si="216"/>
        <v>7</v>
      </c>
      <c r="O4550" s="33">
        <f t="shared" si="214"/>
        <v>7</v>
      </c>
    </row>
    <row r="4551" spans="1:15" x14ac:dyDescent="0.25">
      <c r="A4551" s="64" t="s">
        <v>208</v>
      </c>
      <c r="B4551" s="79" t="str">
        <f>IF(Nineteenth!B54="", "",Nineteenth!B54)</f>
        <v>Centre Head</v>
      </c>
      <c r="C4551" s="66" t="str">
        <f>IF(Nineteenth!C54="", "",Nineteenth!C54)</f>
        <v>Carer</v>
      </c>
      <c r="D4551" s="66" t="str">
        <f>IF(Nineteenth!D54="", "",Nineteenth!D54)</f>
        <v>Returning</v>
      </c>
      <c r="E4551" s="66" t="str">
        <f>IF(Nineteenth!E54="", "",Nineteenth!E54)</f>
        <v>Female</v>
      </c>
      <c r="F4551" s="66" t="str">
        <f>IF(Nineteenth!F54="", "",Nineteenth!F54)</f>
        <v>Lung</v>
      </c>
      <c r="G4551" s="66" t="str">
        <f>IF(Nineteenth!G54="", "",Nineteenth!G54)</f>
        <v>Non-Curative Intent</v>
      </c>
      <c r="H4551" s="66" t="str">
        <f>IF(Nineteenth!H54="", "",Nineteenth!H54)</f>
        <v>Programme</v>
      </c>
      <c r="I4551" s="66" t="str">
        <f>IF(Nineteenth!I54="", "",Nineteenth!I54)</f>
        <v>FSG Family and Friends</v>
      </c>
      <c r="J4551" s="66" t="str">
        <f>IF(Nineteenth!J54="", "",Nineteenth!J54)</f>
        <v/>
      </c>
      <c r="K4551" s="86" t="str">
        <f>IF(Nineteenth!K54="", "",Nineteenth!K54)</f>
        <v/>
      </c>
      <c r="M4551" s="67" t="str">
        <f t="shared" si="215"/>
        <v/>
      </c>
      <c r="N4551" s="76">
        <f t="shared" si="216"/>
        <v>7</v>
      </c>
      <c r="O4551" s="33">
        <f t="shared" si="214"/>
        <v>7</v>
      </c>
    </row>
    <row r="4552" spans="1:15" x14ac:dyDescent="0.25">
      <c r="A4552" s="64" t="s">
        <v>208</v>
      </c>
      <c r="B4552" s="79" t="str">
        <f>IF(Nineteenth!B55="", "",Nineteenth!B55)</f>
        <v>Centre Head</v>
      </c>
      <c r="C4552" s="66" t="str">
        <f>IF(Nineteenth!C55="", "",Nineteenth!C55)</f>
        <v>Carer</v>
      </c>
      <c r="D4552" s="66" t="str">
        <f>IF(Nineteenth!D55="", "",Nineteenth!D55)</f>
        <v>Returning</v>
      </c>
      <c r="E4552" s="66" t="str">
        <f>IF(Nineteenth!E55="", "",Nineteenth!E55)</f>
        <v>Female</v>
      </c>
      <c r="F4552" s="66" t="str">
        <f>IF(Nineteenth!F55="", "",Nineteenth!F55)</f>
        <v>Lower GI</v>
      </c>
      <c r="G4552" s="66" t="str">
        <f>IF(Nineteenth!G55="", "",Nineteenth!G55)</f>
        <v>Non-Curative Intent</v>
      </c>
      <c r="H4552" s="66" t="str">
        <f>IF(Nineteenth!H55="", "",Nineteenth!H55)</f>
        <v>Programme</v>
      </c>
      <c r="I4552" s="66" t="str">
        <f>IF(Nineteenth!I55="", "",Nineteenth!I55)</f>
        <v>FSG Family and Friends</v>
      </c>
      <c r="J4552" s="66" t="str">
        <f>IF(Nineteenth!J55="", "",Nineteenth!J55)</f>
        <v/>
      </c>
      <c r="K4552" s="86" t="str">
        <f>IF(Nineteenth!K55="", "",Nineteenth!K55)</f>
        <v/>
      </c>
      <c r="M4552" s="67" t="str">
        <f t="shared" si="215"/>
        <v/>
      </c>
      <c r="N4552" s="76">
        <f t="shared" si="216"/>
        <v>7</v>
      </c>
      <c r="O4552" s="33">
        <f t="shared" si="214"/>
        <v>7</v>
      </c>
    </row>
    <row r="4553" spans="1:15" x14ac:dyDescent="0.25">
      <c r="A4553" s="64" t="s">
        <v>208</v>
      </c>
      <c r="B4553" s="79" t="str">
        <f>IF(Nineteenth!B56="", "",Nineteenth!B56)</f>
        <v>Benefits Advisor</v>
      </c>
      <c r="C4553" s="66" t="str">
        <f>IF(Nineteenth!C56="", "",Nineteenth!C56)</f>
        <v>Carer</v>
      </c>
      <c r="D4553" s="66" t="str">
        <f>IF(Nineteenth!D56="", "",Nineteenth!D56)</f>
        <v>Returning</v>
      </c>
      <c r="E4553" s="66" t="str">
        <f>IF(Nineteenth!E56="", "",Nineteenth!E56)</f>
        <v>Female</v>
      </c>
      <c r="F4553" s="66" t="str">
        <f>IF(Nineteenth!F56="", "",Nineteenth!F56)</f>
        <v>Haemat</v>
      </c>
      <c r="G4553" s="66" t="str">
        <f>IF(Nineteenth!G56="", "",Nineteenth!G56)</f>
        <v>Curative Intent</v>
      </c>
      <c r="H4553" s="66" t="str">
        <f>IF(Nineteenth!H56="", "",Nineteenth!H56)</f>
        <v>Booked</v>
      </c>
      <c r="I4553" s="66" t="str">
        <f>IF(Nineteenth!I56="", "",Nineteenth!I56)</f>
        <v>Benefits - Couple</v>
      </c>
      <c r="J4553" s="66" t="str">
        <f>IF(Nineteenth!J56="", "",Nineteenth!J56)</f>
        <v/>
      </c>
      <c r="K4553" s="86" t="str">
        <f>IF(Nineteenth!K56="", "",Nineteenth!K56)</f>
        <v/>
      </c>
      <c r="M4553" s="67" t="str">
        <f t="shared" si="215"/>
        <v/>
      </c>
      <c r="N4553" s="76">
        <f t="shared" si="216"/>
        <v>7</v>
      </c>
      <c r="O4553" s="33">
        <f t="shared" si="214"/>
        <v>7</v>
      </c>
    </row>
    <row r="4554" spans="1:15" x14ac:dyDescent="0.25">
      <c r="A4554" s="64" t="s">
        <v>208</v>
      </c>
      <c r="B4554" s="79" t="str">
        <f>IF(Nineteenth!B57="", "",Nineteenth!B57)</f>
        <v>Benefits Advisor</v>
      </c>
      <c r="C4554" s="66" t="str">
        <f>IF(Nineteenth!C57="", "",Nineteenth!C57)</f>
        <v>PwC</v>
      </c>
      <c r="D4554" s="66" t="str">
        <f>IF(Nineteenth!D57="", "",Nineteenth!D57)</f>
        <v>Returning</v>
      </c>
      <c r="E4554" s="66" t="str">
        <f>IF(Nineteenth!E57="", "",Nineteenth!E57)</f>
        <v>Male</v>
      </c>
      <c r="F4554" s="66" t="str">
        <f>IF(Nineteenth!F57="", "",Nineteenth!F57)</f>
        <v>Haemat</v>
      </c>
      <c r="G4554" s="66" t="str">
        <f>IF(Nineteenth!G57="", "",Nineteenth!G57)</f>
        <v>Curative Intent</v>
      </c>
      <c r="H4554" s="66" t="str">
        <f>IF(Nineteenth!H57="", "",Nineteenth!H57)</f>
        <v>Booked</v>
      </c>
      <c r="I4554" s="66" t="str">
        <f>IF(Nineteenth!I57="", "",Nineteenth!I57)</f>
        <v>Benefits - Couple</v>
      </c>
      <c r="J4554" s="66" t="str">
        <f>IF(Nineteenth!J57="", "",Nineteenth!J57)</f>
        <v/>
      </c>
      <c r="K4554" s="86" t="str">
        <f>IF(Nineteenth!K57="", "",Nineteenth!K57)</f>
        <v/>
      </c>
      <c r="M4554" s="67">
        <f t="shared" si="215"/>
        <v>7</v>
      </c>
      <c r="N4554" s="76" t="str">
        <f t="shared" si="216"/>
        <v/>
      </c>
      <c r="O4554" s="33">
        <f t="shared" si="214"/>
        <v>7</v>
      </c>
    </row>
    <row r="4555" spans="1:15" x14ac:dyDescent="0.25">
      <c r="A4555" s="64" t="s">
        <v>208</v>
      </c>
      <c r="B4555" s="79" t="str">
        <f>IF(Nineteenth!B58="", "",Nineteenth!B58)</f>
        <v>Benefits Advisor</v>
      </c>
      <c r="C4555" s="66" t="str">
        <f>IF(Nineteenth!C58="", "",Nineteenth!C58)</f>
        <v>Carer</v>
      </c>
      <c r="D4555" s="66" t="str">
        <f>IF(Nineteenth!D58="", "",Nineteenth!D58)</f>
        <v>Returning</v>
      </c>
      <c r="E4555" s="66" t="str">
        <f>IF(Nineteenth!E58="", "",Nineteenth!E58)</f>
        <v>Female</v>
      </c>
      <c r="F4555" s="66" t="str">
        <f>IF(Nineteenth!F58="", "",Nineteenth!F58)</f>
        <v>Prostate</v>
      </c>
      <c r="G4555" s="66" t="str">
        <f>IF(Nineteenth!G58="", "",Nineteenth!G58)</f>
        <v>Curative Intent</v>
      </c>
      <c r="H4555" s="66" t="str">
        <f>IF(Nineteenth!H58="", "",Nineteenth!H58)</f>
        <v>Telephone Support</v>
      </c>
      <c r="I4555" s="66" t="str">
        <f>IF(Nineteenth!I58="", "",Nineteenth!I58)</f>
        <v>Benefits - Individual</v>
      </c>
      <c r="J4555" s="66" t="str">
        <f>IF(Nineteenth!J58="", "",Nineteenth!J58)</f>
        <v/>
      </c>
      <c r="K4555" s="86" t="str">
        <f>IF(Nineteenth!K58="", "",Nineteenth!K58)</f>
        <v/>
      </c>
      <c r="M4555" s="67" t="str">
        <f t="shared" si="215"/>
        <v/>
      </c>
      <c r="N4555" s="76">
        <f t="shared" si="216"/>
        <v>7</v>
      </c>
      <c r="O4555" s="33">
        <f t="shared" si="214"/>
        <v>7</v>
      </c>
    </row>
    <row r="4556" spans="1:15" x14ac:dyDescent="0.25">
      <c r="A4556" s="64" t="s">
        <v>208</v>
      </c>
      <c r="B4556" s="79" t="str">
        <f>IF(Nineteenth!B59="", "",Nineteenth!B59)</f>
        <v>Benefits Advisor</v>
      </c>
      <c r="C4556" s="66" t="str">
        <f>IF(Nineteenth!C59="", "",Nineteenth!C59)</f>
        <v>PwC</v>
      </c>
      <c r="D4556" s="66" t="str">
        <f>IF(Nineteenth!D59="", "",Nineteenth!D59)</f>
        <v>Returning</v>
      </c>
      <c r="E4556" s="66" t="str">
        <f>IF(Nineteenth!E59="", "",Nineteenth!E59)</f>
        <v>Female</v>
      </c>
      <c r="F4556" s="66" t="str">
        <f>IF(Nineteenth!F59="", "",Nineteenth!F59)</f>
        <v>Gynae</v>
      </c>
      <c r="G4556" s="66" t="str">
        <f>IF(Nineteenth!G59="", "",Nineteenth!G59)</f>
        <v>Non-Curative Intent</v>
      </c>
      <c r="H4556" s="66" t="str">
        <f>IF(Nineteenth!H59="", "",Nineteenth!H59)</f>
        <v>Telephone Support</v>
      </c>
      <c r="I4556" s="66" t="str">
        <f>IF(Nineteenth!I59="", "",Nineteenth!I59)</f>
        <v>Benefits - Individual</v>
      </c>
      <c r="J4556" s="66" t="str">
        <f>IF(Nineteenth!J59="", "",Nineteenth!J59)</f>
        <v/>
      </c>
      <c r="K4556" s="86" t="str">
        <f>IF(Nineteenth!K59="", "",Nineteenth!K59)</f>
        <v/>
      </c>
      <c r="M4556" s="67">
        <f t="shared" si="215"/>
        <v>7</v>
      </c>
      <c r="N4556" s="76" t="str">
        <f t="shared" si="216"/>
        <v/>
      </c>
      <c r="O4556" s="33">
        <f t="shared" si="214"/>
        <v>7</v>
      </c>
    </row>
    <row r="4557" spans="1:15" x14ac:dyDescent="0.25">
      <c r="A4557" s="64" t="s">
        <v>208</v>
      </c>
      <c r="B4557" s="79" t="str">
        <f>IF(Nineteenth!B60="", "",Nineteenth!B60)</f>
        <v>CSS</v>
      </c>
      <c r="C4557" s="66" t="str">
        <f>IF(Nineteenth!C60="", "",Nineteenth!C60)</f>
        <v>PwC</v>
      </c>
      <c r="D4557" s="66" t="str">
        <f>IF(Nineteenth!D60="", "",Nineteenth!D60)</f>
        <v>Returning</v>
      </c>
      <c r="E4557" s="66" t="str">
        <f>IF(Nineteenth!E60="", "",Nineteenth!E60)</f>
        <v>Male</v>
      </c>
      <c r="F4557" s="66" t="str">
        <f>IF(Nineteenth!F60="", "",Nineteenth!F60)</f>
        <v>Haemat</v>
      </c>
      <c r="G4557" s="66" t="str">
        <f>IF(Nineteenth!G60="", "",Nineteenth!G60)</f>
        <v>Non-Curative Intent</v>
      </c>
      <c r="H4557" s="66" t="str">
        <f>IF(Nineteenth!H60="", "",Nineteenth!H60)</f>
        <v>Drop-In</v>
      </c>
      <c r="I4557" s="66" t="str">
        <f>IF(Nineteenth!I60="", "",Nineteenth!I60)</f>
        <v/>
      </c>
      <c r="J4557" s="66" t="str">
        <f>IF(Nineteenth!J60="", "",Nineteenth!J60)</f>
        <v/>
      </c>
      <c r="K4557" s="86" t="str">
        <f>IF(Nineteenth!K60="", "",Nineteenth!K60)</f>
        <v/>
      </c>
      <c r="M4557" s="67">
        <f t="shared" si="215"/>
        <v>7</v>
      </c>
      <c r="N4557" s="76" t="str">
        <f t="shared" si="216"/>
        <v/>
      </c>
      <c r="O4557" s="33">
        <f t="shared" si="214"/>
        <v>7</v>
      </c>
    </row>
    <row r="4558" spans="1:15" x14ac:dyDescent="0.25">
      <c r="A4558" s="64" t="s">
        <v>208</v>
      </c>
      <c r="B4558" s="79" t="str">
        <f>IF(Nineteenth!B61="", "",Nineteenth!B61)</f>
        <v>CSS</v>
      </c>
      <c r="C4558" s="66" t="str">
        <f>IF(Nineteenth!C61="", "",Nineteenth!C61)</f>
        <v>Carer</v>
      </c>
      <c r="D4558" s="66" t="str">
        <f>IF(Nineteenth!D61="", "",Nineteenth!D61)</f>
        <v>Returning</v>
      </c>
      <c r="E4558" s="66" t="str">
        <f>IF(Nineteenth!E61="", "",Nineteenth!E61)</f>
        <v>Female</v>
      </c>
      <c r="F4558" s="66" t="str">
        <f>IF(Nineteenth!F61="", "",Nineteenth!F61)</f>
        <v>Haemat</v>
      </c>
      <c r="G4558" s="66" t="str">
        <f>IF(Nineteenth!G61="", "",Nineteenth!G61)</f>
        <v>Non-Curative Intent</v>
      </c>
      <c r="H4558" s="66" t="str">
        <f>IF(Nineteenth!H61="", "",Nineteenth!H61)</f>
        <v>Drop-In</v>
      </c>
      <c r="I4558" s="66" t="str">
        <f>IF(Nineteenth!I61="", "",Nineteenth!I61)</f>
        <v/>
      </c>
      <c r="J4558" s="66" t="str">
        <f>IF(Nineteenth!J61="", "",Nineteenth!J61)</f>
        <v/>
      </c>
      <c r="K4558" s="86" t="str">
        <f>IF(Nineteenth!K61="", "",Nineteenth!K61)</f>
        <v/>
      </c>
      <c r="M4558" s="67" t="str">
        <f t="shared" si="215"/>
        <v/>
      </c>
      <c r="N4558" s="76">
        <f t="shared" si="216"/>
        <v>7</v>
      </c>
      <c r="O4558" s="33">
        <f t="shared" si="214"/>
        <v>7</v>
      </c>
    </row>
    <row r="4559" spans="1:15" x14ac:dyDescent="0.25">
      <c r="A4559" s="64" t="s">
        <v>208</v>
      </c>
      <c r="B4559" s="79" t="str">
        <f>IF(Nineteenth!B62="", "",Nineteenth!B62)</f>
        <v>CSS</v>
      </c>
      <c r="C4559" s="66" t="str">
        <f>IF(Nineteenth!C62="", "",Nineteenth!C62)</f>
        <v>PwC</v>
      </c>
      <c r="D4559" s="66" t="str">
        <f>IF(Nineteenth!D62="", "",Nineteenth!D62)</f>
        <v>New</v>
      </c>
      <c r="E4559" s="66" t="str">
        <f>IF(Nineteenth!E62="", "",Nineteenth!E62)</f>
        <v>Female</v>
      </c>
      <c r="F4559" s="66" t="str">
        <f>IF(Nineteenth!F62="", "",Nineteenth!F62)</f>
        <v>Haemat</v>
      </c>
      <c r="G4559" s="66" t="str">
        <f>IF(Nineteenth!G62="", "",Nineteenth!G62)</f>
        <v>Non-Curative Intent</v>
      </c>
      <c r="H4559" s="66" t="str">
        <f>IF(Nineteenth!H62="", "",Nineteenth!H62)</f>
        <v>Drop-In</v>
      </c>
      <c r="I4559" s="66" t="str">
        <f>IF(Nineteenth!I62="", "",Nineteenth!I62)</f>
        <v/>
      </c>
      <c r="J4559" s="66" t="str">
        <f>IF(Nineteenth!J62="", "",Nineteenth!J62)</f>
        <v/>
      </c>
      <c r="K4559" s="86" t="str">
        <f>IF(Nineteenth!K62="", "",Nineteenth!K62)</f>
        <v/>
      </c>
      <c r="M4559" s="67">
        <f t="shared" si="215"/>
        <v>7</v>
      </c>
      <c r="N4559" s="76" t="str">
        <f t="shared" si="216"/>
        <v/>
      </c>
      <c r="O4559" s="33">
        <f t="shared" si="214"/>
        <v>7</v>
      </c>
    </row>
    <row r="4560" spans="1:15" x14ac:dyDescent="0.25">
      <c r="A4560" s="64" t="s">
        <v>208</v>
      </c>
      <c r="B4560" s="79" t="str">
        <f>IF(Nineteenth!B63="", "",Nineteenth!B63)</f>
        <v>CSS</v>
      </c>
      <c r="C4560" s="66" t="str">
        <f>IF(Nineteenth!C63="", "",Nineteenth!C63)</f>
        <v>PwC</v>
      </c>
      <c r="D4560" s="66" t="str">
        <f>IF(Nineteenth!D63="", "",Nineteenth!D63)</f>
        <v>Returning</v>
      </c>
      <c r="E4560" s="66" t="str">
        <f>IF(Nineteenth!E63="", "",Nineteenth!E63)</f>
        <v>Female</v>
      </c>
      <c r="F4560" s="66" t="str">
        <f>IF(Nineteenth!F63="", "",Nineteenth!F63)</f>
        <v>Breast</v>
      </c>
      <c r="G4560" s="66" t="str">
        <f>IF(Nineteenth!G63="", "",Nineteenth!G63)</f>
        <v>Post Treatment - Curative Intent</v>
      </c>
      <c r="H4560" s="66" t="str">
        <f>IF(Nineteenth!H63="", "",Nineteenth!H63)</f>
        <v>Booked</v>
      </c>
      <c r="I4560" s="66" t="str">
        <f>IF(Nineteenth!I63="", "",Nineteenth!I63)</f>
        <v>Psych Support - Individual</v>
      </c>
      <c r="J4560" s="66" t="str">
        <f>IF(Nineteenth!J63="", "",Nineteenth!J63)</f>
        <v/>
      </c>
      <c r="K4560" s="86" t="str">
        <f>IF(Nineteenth!K63="", "",Nineteenth!K63)</f>
        <v/>
      </c>
      <c r="M4560" s="67">
        <f t="shared" si="215"/>
        <v>7</v>
      </c>
      <c r="N4560" s="76" t="str">
        <f t="shared" si="216"/>
        <v/>
      </c>
      <c r="O4560" s="33">
        <f t="shared" si="214"/>
        <v>7</v>
      </c>
    </row>
    <row r="4561" spans="1:15" x14ac:dyDescent="0.25">
      <c r="A4561" s="64" t="s">
        <v>208</v>
      </c>
      <c r="B4561" s="79" t="str">
        <f>IF(Nineteenth!B64="", "",Nineteenth!B64)</f>
        <v>CSS</v>
      </c>
      <c r="C4561" s="66" t="str">
        <f>IF(Nineteenth!C64="", "",Nineteenth!C64)</f>
        <v>Carer</v>
      </c>
      <c r="D4561" s="66" t="str">
        <f>IF(Nineteenth!D64="", "",Nineteenth!D64)</f>
        <v>Returning</v>
      </c>
      <c r="E4561" s="66" t="str">
        <f>IF(Nineteenth!E64="", "",Nineteenth!E64)</f>
        <v>Female</v>
      </c>
      <c r="F4561" s="66" t="str">
        <f>IF(Nineteenth!F64="", "",Nineteenth!F64)</f>
        <v>Breast</v>
      </c>
      <c r="G4561" s="66" t="str">
        <f>IF(Nineteenth!G64="", "",Nineteenth!G64)</f>
        <v>Post Treatment - Curative Intent</v>
      </c>
      <c r="H4561" s="66" t="str">
        <f>IF(Nineteenth!H64="", "",Nineteenth!H64)</f>
        <v>Drop-In</v>
      </c>
      <c r="I4561" s="66" t="str">
        <f>IF(Nineteenth!I64="", "",Nineteenth!I64)</f>
        <v/>
      </c>
      <c r="J4561" s="66" t="str">
        <f>IF(Nineteenth!J64="", "",Nineteenth!J64)</f>
        <v/>
      </c>
      <c r="K4561" s="86" t="str">
        <f>IF(Nineteenth!K64="", "",Nineteenth!K64)</f>
        <v/>
      </c>
      <c r="M4561" s="67" t="str">
        <f t="shared" si="215"/>
        <v/>
      </c>
      <c r="N4561" s="76">
        <f t="shared" si="216"/>
        <v>7</v>
      </c>
      <c r="O4561" s="33">
        <f t="shared" si="214"/>
        <v>7</v>
      </c>
    </row>
    <row r="4562" spans="1:15" x14ac:dyDescent="0.25">
      <c r="A4562" s="64" t="s">
        <v>208</v>
      </c>
      <c r="B4562" s="79" t="str">
        <f>IF(Nineteenth!B65="", "",Nineteenth!B65)</f>
        <v>Psychologist</v>
      </c>
      <c r="C4562" s="66" t="str">
        <f>IF(Nineteenth!C65="", "",Nineteenth!C65)</f>
        <v>PwC</v>
      </c>
      <c r="D4562" s="66" t="str">
        <f>IF(Nineteenth!D65="", "",Nineteenth!D65)</f>
        <v>Returning</v>
      </c>
      <c r="E4562" s="66" t="str">
        <f>IF(Nineteenth!E65="", "",Nineteenth!E65)</f>
        <v>Female</v>
      </c>
      <c r="F4562" s="66" t="str">
        <f>IF(Nineteenth!F65="", "",Nineteenth!F65)</f>
        <v>Brain/CNS</v>
      </c>
      <c r="G4562" s="66" t="str">
        <f>IF(Nineteenth!G65="", "",Nineteenth!G65)</f>
        <v>Post Treatment - Curative Intent</v>
      </c>
      <c r="H4562" s="66" t="str">
        <f>IF(Nineteenth!H65="", "",Nineteenth!H65)</f>
        <v>Booked</v>
      </c>
      <c r="I4562" s="66" t="str">
        <f>IF(Nineteenth!I65="", "",Nineteenth!I65)</f>
        <v>Psych Support - Individual</v>
      </c>
      <c r="J4562" s="66" t="str">
        <f>IF(Nineteenth!J65="", "",Nineteenth!J65)</f>
        <v/>
      </c>
      <c r="K4562" s="86" t="str">
        <f>IF(Nineteenth!K65="", "",Nineteenth!K65)</f>
        <v/>
      </c>
      <c r="M4562" s="67">
        <f t="shared" si="215"/>
        <v>7</v>
      </c>
      <c r="N4562" s="76" t="str">
        <f t="shared" si="216"/>
        <v/>
      </c>
      <c r="O4562" s="33">
        <f t="shared" si="214"/>
        <v>7</v>
      </c>
    </row>
    <row r="4563" spans="1:15" x14ac:dyDescent="0.25">
      <c r="A4563" s="64" t="s">
        <v>208</v>
      </c>
      <c r="B4563" s="79" t="str">
        <f>IF(Nineteenth!B66="", "",Nineteenth!B66)</f>
        <v>Psychologist</v>
      </c>
      <c r="C4563" s="66" t="str">
        <f>IF(Nineteenth!C66="", "",Nineteenth!C66)</f>
        <v>PwC</v>
      </c>
      <c r="D4563" s="66" t="str">
        <f>IF(Nineteenth!D66="", "",Nineteenth!D66)</f>
        <v>Returning</v>
      </c>
      <c r="E4563" s="66" t="str">
        <f>IF(Nineteenth!E66="", "",Nineteenth!E66)</f>
        <v>Female</v>
      </c>
      <c r="F4563" s="66" t="str">
        <f>IF(Nineteenth!F66="", "",Nineteenth!F66)</f>
        <v>Breast</v>
      </c>
      <c r="G4563" s="66" t="str">
        <f>IF(Nineteenth!G66="", "",Nineteenth!G66)</f>
        <v>Post Treatment - Curative Intent</v>
      </c>
      <c r="H4563" s="66" t="str">
        <f>IF(Nineteenth!H66="", "",Nineteenth!H66)</f>
        <v>Booked</v>
      </c>
      <c r="I4563" s="66" t="str">
        <f>IF(Nineteenth!I66="", "",Nineteenth!I66)</f>
        <v>Psych Support - Individual</v>
      </c>
      <c r="J4563" s="66" t="str">
        <f>IF(Nineteenth!J66="", "",Nineteenth!J66)</f>
        <v/>
      </c>
      <c r="K4563" s="86" t="str">
        <f>IF(Nineteenth!K66="", "",Nineteenth!K66)</f>
        <v/>
      </c>
      <c r="M4563" s="67">
        <f t="shared" si="215"/>
        <v>7</v>
      </c>
      <c r="N4563" s="76" t="str">
        <f t="shared" si="216"/>
        <v/>
      </c>
      <c r="O4563" s="33">
        <f t="shared" si="214"/>
        <v>7</v>
      </c>
    </row>
    <row r="4564" spans="1:15" x14ac:dyDescent="0.25">
      <c r="A4564" s="64" t="s">
        <v>208</v>
      </c>
      <c r="B4564" s="79" t="str">
        <f>IF(Nineteenth!B67="", "",Nineteenth!B67)</f>
        <v>Psychologist</v>
      </c>
      <c r="C4564" s="66" t="str">
        <f>IF(Nineteenth!C67="", "",Nineteenth!C67)</f>
        <v>PwC</v>
      </c>
      <c r="D4564" s="66" t="str">
        <f>IF(Nineteenth!D67="", "",Nineteenth!D67)</f>
        <v>Returning</v>
      </c>
      <c r="E4564" s="66" t="str">
        <f>IF(Nineteenth!E67="", "",Nineteenth!E67)</f>
        <v>Female</v>
      </c>
      <c r="F4564" s="66" t="str">
        <f>IF(Nineteenth!F67="", "",Nineteenth!F67)</f>
        <v>Breast</v>
      </c>
      <c r="G4564" s="66" t="str">
        <f>IF(Nineteenth!G67="", "",Nineteenth!G67)</f>
        <v>Post Treatment - Curative Intent</v>
      </c>
      <c r="H4564" s="66" t="str">
        <f>IF(Nineteenth!H67="", "",Nineteenth!H67)</f>
        <v>Booked</v>
      </c>
      <c r="I4564" s="66" t="str">
        <f>IF(Nineteenth!I67="", "",Nineteenth!I67)</f>
        <v>Psych Support - Individual</v>
      </c>
      <c r="J4564" s="66" t="str">
        <f>IF(Nineteenth!J67="", "",Nineteenth!J67)</f>
        <v/>
      </c>
      <c r="K4564" s="86" t="str">
        <f>IF(Nineteenth!K67="", "",Nineteenth!K67)</f>
        <v/>
      </c>
      <c r="M4564" s="67">
        <f t="shared" si="215"/>
        <v>7</v>
      </c>
      <c r="N4564" s="76" t="str">
        <f t="shared" si="216"/>
        <v/>
      </c>
      <c r="O4564" s="33">
        <f t="shared" si="214"/>
        <v>7</v>
      </c>
    </row>
    <row r="4565" spans="1:15" x14ac:dyDescent="0.25">
      <c r="A4565" s="64" t="s">
        <v>208</v>
      </c>
      <c r="B4565" s="79" t="str">
        <f>IF(Nineteenth!B68="", "",Nineteenth!B68)</f>
        <v>Psychologist</v>
      </c>
      <c r="C4565" s="66" t="str">
        <f>IF(Nineteenth!C68="", "",Nineteenth!C68)</f>
        <v>PwC</v>
      </c>
      <c r="D4565" s="66" t="str">
        <f>IF(Nineteenth!D68="", "",Nineteenth!D68)</f>
        <v>Returning</v>
      </c>
      <c r="E4565" s="66" t="str">
        <f>IF(Nineteenth!E68="", "",Nineteenth!E68)</f>
        <v>Female</v>
      </c>
      <c r="F4565" s="66" t="str">
        <f>IF(Nineteenth!F68="", "",Nineteenth!F68)</f>
        <v>Skin/Mel</v>
      </c>
      <c r="G4565" s="66" t="str">
        <f>IF(Nineteenth!G68="", "",Nineteenth!G68)</f>
        <v>Post Treatment - Curative Intent</v>
      </c>
      <c r="H4565" s="66" t="str">
        <f>IF(Nineteenth!H68="", "",Nineteenth!H68)</f>
        <v>Booked</v>
      </c>
      <c r="I4565" s="66" t="str">
        <f>IF(Nineteenth!I68="", "",Nineteenth!I68)</f>
        <v>Psych Support - Individual</v>
      </c>
      <c r="J4565" s="66" t="str">
        <f>IF(Nineteenth!J68="", "",Nineteenth!J68)</f>
        <v/>
      </c>
      <c r="K4565" s="86" t="str">
        <f>IF(Nineteenth!K68="", "",Nineteenth!K68)</f>
        <v/>
      </c>
      <c r="M4565" s="67">
        <f t="shared" si="215"/>
        <v>7</v>
      </c>
      <c r="N4565" s="76" t="str">
        <f t="shared" si="216"/>
        <v/>
      </c>
      <c r="O4565" s="33">
        <f t="shared" si="214"/>
        <v>7</v>
      </c>
    </row>
    <row r="4566" spans="1:15" x14ac:dyDescent="0.25">
      <c r="A4566" s="64" t="s">
        <v>208</v>
      </c>
      <c r="B4566" s="79" t="str">
        <f>IF(Nineteenth!B69="", "",Nineteenth!B69)</f>
        <v>Psychologist</v>
      </c>
      <c r="C4566" s="66" t="str">
        <f>IF(Nineteenth!C69="", "",Nineteenth!C69)</f>
        <v>Carer</v>
      </c>
      <c r="D4566" s="66" t="str">
        <f>IF(Nineteenth!D69="", "",Nineteenth!D69)</f>
        <v>Returning</v>
      </c>
      <c r="E4566" s="66" t="str">
        <f>IF(Nineteenth!E69="", "",Nineteenth!E69)</f>
        <v>Female</v>
      </c>
      <c r="F4566" s="66" t="str">
        <f>IF(Nineteenth!F69="", "",Nineteenth!F69)</f>
        <v>Lower GI</v>
      </c>
      <c r="G4566" s="66" t="str">
        <f>IF(Nineteenth!G69="", "",Nineteenth!G69)</f>
        <v>Bereaved</v>
      </c>
      <c r="H4566" s="66" t="str">
        <f>IF(Nineteenth!H69="", "",Nineteenth!H69)</f>
        <v>Booked</v>
      </c>
      <c r="I4566" s="66" t="str">
        <f>IF(Nineteenth!I69="", "",Nineteenth!I69)</f>
        <v>Psych Support - Individual</v>
      </c>
      <c r="J4566" s="66" t="str">
        <f>IF(Nineteenth!J69="", "",Nineteenth!J69)</f>
        <v/>
      </c>
      <c r="K4566" s="86" t="str">
        <f>IF(Nineteenth!K69="", "",Nineteenth!K69)</f>
        <v/>
      </c>
      <c r="M4566" s="67" t="str">
        <f t="shared" si="215"/>
        <v/>
      </c>
      <c r="N4566" s="76">
        <f t="shared" si="216"/>
        <v>7</v>
      </c>
      <c r="O4566" s="33">
        <f t="shared" si="214"/>
        <v>7</v>
      </c>
    </row>
    <row r="4567" spans="1:15" x14ac:dyDescent="0.25">
      <c r="A4567" s="64" t="s">
        <v>208</v>
      </c>
      <c r="B4567" s="79" t="str">
        <f>IF(Nineteenth!B70="", "",Nineteenth!B70)</f>
        <v>Psychologist</v>
      </c>
      <c r="C4567" s="66" t="str">
        <f>IF(Nineteenth!C70="", "",Nineteenth!C70)</f>
        <v>Carer</v>
      </c>
      <c r="D4567" s="66" t="str">
        <f>IF(Nineteenth!D70="", "",Nineteenth!D70)</f>
        <v>Returning</v>
      </c>
      <c r="E4567" s="66" t="str">
        <f>IF(Nineteenth!E70="", "",Nineteenth!E70)</f>
        <v>Male</v>
      </c>
      <c r="F4567" s="66" t="str">
        <f>IF(Nineteenth!F70="", "",Nineteenth!F70)</f>
        <v>Breast</v>
      </c>
      <c r="G4567" s="66" t="str">
        <f>IF(Nineteenth!G70="", "",Nineteenth!G70)</f>
        <v>Bereaved</v>
      </c>
      <c r="H4567" s="66" t="str">
        <f>IF(Nineteenth!H70="", "",Nineteenth!H70)</f>
        <v>Programme</v>
      </c>
      <c r="I4567" s="66" t="str">
        <f>IF(Nineteenth!I70="", "",Nineteenth!I70)</f>
        <v>FSG Bereavement</v>
      </c>
      <c r="J4567" s="66" t="str">
        <f>IF(Nineteenth!J70="", "",Nineteenth!J70)</f>
        <v/>
      </c>
      <c r="K4567" s="86" t="str">
        <f>IF(Nineteenth!K70="", "",Nineteenth!K70)</f>
        <v/>
      </c>
      <c r="M4567" s="67" t="str">
        <f t="shared" si="215"/>
        <v/>
      </c>
      <c r="N4567" s="76">
        <f t="shared" si="216"/>
        <v>7</v>
      </c>
      <c r="O4567" s="33">
        <f t="shared" si="214"/>
        <v>7</v>
      </c>
    </row>
    <row r="4568" spans="1:15" x14ac:dyDescent="0.25">
      <c r="A4568" s="64" t="s">
        <v>208</v>
      </c>
      <c r="B4568" s="79" t="str">
        <f>IF(Nineteenth!B71="", "",Nineteenth!B71)</f>
        <v>Psychologist</v>
      </c>
      <c r="C4568" s="66" t="str">
        <f>IF(Nineteenth!C71="", "",Nineteenth!C71)</f>
        <v>Carer</v>
      </c>
      <c r="D4568" s="66" t="str">
        <f>IF(Nineteenth!D71="", "",Nineteenth!D71)</f>
        <v>Returning</v>
      </c>
      <c r="E4568" s="66" t="str">
        <f>IF(Nineteenth!E71="", "",Nineteenth!E71)</f>
        <v>Male</v>
      </c>
      <c r="F4568" s="66" t="str">
        <f>IF(Nineteenth!F71="", "",Nineteenth!F71)</f>
        <v>Lung</v>
      </c>
      <c r="G4568" s="66" t="str">
        <f>IF(Nineteenth!G71="", "",Nineteenth!G71)</f>
        <v>Bereaved</v>
      </c>
      <c r="H4568" s="66" t="str">
        <f>IF(Nineteenth!H71="", "",Nineteenth!H71)</f>
        <v>Programme</v>
      </c>
      <c r="I4568" s="66" t="str">
        <f>IF(Nineteenth!I71="", "",Nineteenth!I71)</f>
        <v>FSG Bereavement</v>
      </c>
      <c r="J4568" s="66" t="str">
        <f>IF(Nineteenth!J71="", "",Nineteenth!J71)</f>
        <v/>
      </c>
      <c r="K4568" s="86" t="str">
        <f>IF(Nineteenth!K71="", "",Nineteenth!K71)</f>
        <v/>
      </c>
      <c r="M4568" s="67" t="str">
        <f t="shared" si="215"/>
        <v/>
      </c>
      <c r="N4568" s="76">
        <f t="shared" si="216"/>
        <v>7</v>
      </c>
      <c r="O4568" s="33">
        <f t="shared" si="214"/>
        <v>7</v>
      </c>
    </row>
    <row r="4569" spans="1:15" x14ac:dyDescent="0.25">
      <c r="A4569" s="64" t="s">
        <v>208</v>
      </c>
      <c r="B4569" s="79" t="str">
        <f>IF(Nineteenth!B72="", "",Nineteenth!B72)</f>
        <v>Psychologist</v>
      </c>
      <c r="C4569" s="66" t="str">
        <f>IF(Nineteenth!C72="", "",Nineteenth!C72)</f>
        <v>Carer</v>
      </c>
      <c r="D4569" s="66" t="str">
        <f>IF(Nineteenth!D72="", "",Nineteenth!D72)</f>
        <v>Returning</v>
      </c>
      <c r="E4569" s="66" t="str">
        <f>IF(Nineteenth!E72="", "",Nineteenth!E72)</f>
        <v>Female</v>
      </c>
      <c r="F4569" s="66" t="str">
        <f>IF(Nineteenth!F72="", "",Nineteenth!F72)</f>
        <v>Prostate</v>
      </c>
      <c r="G4569" s="66" t="str">
        <f>IF(Nineteenth!G72="", "",Nineteenth!G72)</f>
        <v>Bereaved</v>
      </c>
      <c r="H4569" s="66" t="str">
        <f>IF(Nineteenth!H72="", "",Nineteenth!H72)</f>
        <v>Programme</v>
      </c>
      <c r="I4569" s="66" t="str">
        <f>IF(Nineteenth!I72="", "",Nineteenth!I72)</f>
        <v>FSG Bereavement</v>
      </c>
      <c r="J4569" s="66" t="str">
        <f>IF(Nineteenth!J72="", "",Nineteenth!J72)</f>
        <v/>
      </c>
      <c r="K4569" s="86" t="str">
        <f>IF(Nineteenth!K72="", "",Nineteenth!K72)</f>
        <v/>
      </c>
      <c r="M4569" s="67" t="str">
        <f t="shared" si="215"/>
        <v/>
      </c>
      <c r="N4569" s="76">
        <f t="shared" si="216"/>
        <v>7</v>
      </c>
      <c r="O4569" s="33">
        <f t="shared" si="214"/>
        <v>7</v>
      </c>
    </row>
    <row r="4570" spans="1:15" x14ac:dyDescent="0.25">
      <c r="A4570" s="64" t="s">
        <v>208</v>
      </c>
      <c r="B4570" s="79" t="str">
        <f>IF(Nineteenth!B73="", "",Nineteenth!B73)</f>
        <v>Psychologist</v>
      </c>
      <c r="C4570" s="66" t="str">
        <f>IF(Nineteenth!C73="", "",Nineteenth!C73)</f>
        <v>Carer</v>
      </c>
      <c r="D4570" s="66" t="str">
        <f>IF(Nineteenth!D73="", "",Nineteenth!D73)</f>
        <v>Returning</v>
      </c>
      <c r="E4570" s="66" t="str">
        <f>IF(Nineteenth!E73="", "",Nineteenth!E73)</f>
        <v>Female</v>
      </c>
      <c r="F4570" s="66" t="str">
        <f>IF(Nineteenth!F73="", "",Nineteenth!F73)</f>
        <v>Lower GI</v>
      </c>
      <c r="G4570" s="66" t="str">
        <f>IF(Nineteenth!G73="", "",Nineteenth!G73)</f>
        <v>Bereaved</v>
      </c>
      <c r="H4570" s="66" t="str">
        <f>IF(Nineteenth!H73="", "",Nineteenth!H73)</f>
        <v>Programme</v>
      </c>
      <c r="I4570" s="66" t="str">
        <f>IF(Nineteenth!I73="", "",Nineteenth!I73)</f>
        <v>FSG Bereavement</v>
      </c>
      <c r="J4570" s="66" t="str">
        <f>IF(Nineteenth!J73="", "",Nineteenth!J73)</f>
        <v/>
      </c>
      <c r="K4570" s="86" t="str">
        <f>IF(Nineteenth!K73="", "",Nineteenth!K73)</f>
        <v/>
      </c>
      <c r="M4570" s="67" t="str">
        <f t="shared" si="215"/>
        <v/>
      </c>
      <c r="N4570" s="76">
        <f t="shared" si="216"/>
        <v>7</v>
      </c>
      <c r="O4570" s="33">
        <f t="shared" si="214"/>
        <v>7</v>
      </c>
    </row>
    <row r="4571" spans="1:15" x14ac:dyDescent="0.25">
      <c r="A4571" s="64" t="s">
        <v>208</v>
      </c>
      <c r="B4571" s="79" t="str">
        <f>IF(Nineteenth!B74="", "",Nineteenth!B74)</f>
        <v>Psychologist</v>
      </c>
      <c r="C4571" s="66" t="str">
        <f>IF(Nineteenth!C74="", "",Nineteenth!C74)</f>
        <v>Carer</v>
      </c>
      <c r="D4571" s="66" t="str">
        <f>IF(Nineteenth!D74="", "",Nineteenth!D74)</f>
        <v>Returning</v>
      </c>
      <c r="E4571" s="66" t="str">
        <f>IF(Nineteenth!E74="", "",Nineteenth!E74)</f>
        <v>Female</v>
      </c>
      <c r="F4571" s="66" t="str">
        <f>IF(Nineteenth!F74="", "",Nineteenth!F74)</f>
        <v>Upper GI</v>
      </c>
      <c r="G4571" s="66" t="str">
        <f>IF(Nineteenth!G74="", "",Nineteenth!G74)</f>
        <v>Bereaved</v>
      </c>
      <c r="H4571" s="66" t="str">
        <f>IF(Nineteenth!H74="", "",Nineteenth!H74)</f>
        <v>Programme</v>
      </c>
      <c r="I4571" s="66" t="str">
        <f>IF(Nineteenth!I74="", "",Nineteenth!I74)</f>
        <v>FSG Bereavement</v>
      </c>
      <c r="J4571" s="66" t="str">
        <f>IF(Nineteenth!J74="", "",Nineteenth!J74)</f>
        <v/>
      </c>
      <c r="K4571" s="86" t="str">
        <f>IF(Nineteenth!K74="", "",Nineteenth!K74)</f>
        <v/>
      </c>
      <c r="M4571" s="67" t="str">
        <f t="shared" si="215"/>
        <v/>
      </c>
      <c r="N4571" s="76">
        <f t="shared" si="216"/>
        <v>7</v>
      </c>
      <c r="O4571" s="33">
        <f t="shared" si="214"/>
        <v>7</v>
      </c>
    </row>
    <row r="4572" spans="1:15" x14ac:dyDescent="0.25">
      <c r="A4572" s="64" t="s">
        <v>208</v>
      </c>
      <c r="B4572" s="79" t="str">
        <f>IF(Nineteenth!B75="", "",Nineteenth!B75)</f>
        <v>Psychologist</v>
      </c>
      <c r="C4572" s="66" t="str">
        <f>IF(Nineteenth!C75="", "",Nineteenth!C75)</f>
        <v>PwC</v>
      </c>
      <c r="D4572" s="66" t="str">
        <f>IF(Nineteenth!D75="", "",Nineteenth!D75)</f>
        <v>Returning</v>
      </c>
      <c r="E4572" s="66" t="str">
        <f>IF(Nineteenth!E75="", "",Nineteenth!E75)</f>
        <v>Male</v>
      </c>
      <c r="F4572" s="66" t="str">
        <f>IF(Nineteenth!F75="", "",Nineteenth!F75)</f>
        <v>Brain/CNS</v>
      </c>
      <c r="G4572" s="66" t="str">
        <f>IF(Nineteenth!G75="", "",Nineteenth!G75)</f>
        <v>Non-Curative Intent</v>
      </c>
      <c r="H4572" s="66" t="str">
        <f>IF(Nineteenth!H75="", "",Nineteenth!H75)</f>
        <v>Booked</v>
      </c>
      <c r="I4572" s="66" t="str">
        <f>IF(Nineteenth!I75="", "",Nineteenth!I75)</f>
        <v>Psych Support - Individual</v>
      </c>
      <c r="J4572" s="66" t="str">
        <f>IF(Nineteenth!J75="", "",Nineteenth!J75)</f>
        <v/>
      </c>
      <c r="K4572" s="86" t="str">
        <f>IF(Nineteenth!K75="", "",Nineteenth!K75)</f>
        <v/>
      </c>
      <c r="M4572" s="67">
        <f t="shared" si="215"/>
        <v>7</v>
      </c>
      <c r="N4572" s="76" t="str">
        <f t="shared" si="216"/>
        <v/>
      </c>
      <c r="O4572" s="33">
        <f t="shared" si="214"/>
        <v>7</v>
      </c>
    </row>
    <row r="4573" spans="1:15" x14ac:dyDescent="0.25">
      <c r="A4573" s="64" t="s">
        <v>208</v>
      </c>
      <c r="B4573" s="79" t="str">
        <f>IF(Nineteenth!B76="", "",Nineteenth!B76)</f>
        <v>Psychologist</v>
      </c>
      <c r="C4573" s="66" t="str">
        <f>IF(Nineteenth!C76="", "",Nineteenth!C76)</f>
        <v>PwC</v>
      </c>
      <c r="D4573" s="66" t="str">
        <f>IF(Nineteenth!D76="", "",Nineteenth!D76)</f>
        <v>Returning</v>
      </c>
      <c r="E4573" s="66" t="str">
        <f>IF(Nineteenth!E76="", "",Nineteenth!E76)</f>
        <v>Male</v>
      </c>
      <c r="F4573" s="66" t="str">
        <f>IF(Nineteenth!F76="", "",Nineteenth!F76)</f>
        <v>Testicular</v>
      </c>
      <c r="G4573" s="66" t="str">
        <f>IF(Nineteenth!G76="", "",Nineteenth!G76)</f>
        <v>Post Treatment - Curative Intent</v>
      </c>
      <c r="H4573" s="66" t="str">
        <f>IF(Nineteenth!H76="", "",Nineteenth!H76)</f>
        <v>Booked</v>
      </c>
      <c r="I4573" s="66" t="str">
        <f>IF(Nineteenth!I76="", "",Nineteenth!I76)</f>
        <v>Psych Support - Individual</v>
      </c>
      <c r="J4573" s="66" t="str">
        <f>IF(Nineteenth!J76="", "",Nineteenth!J76)</f>
        <v/>
      </c>
      <c r="K4573" s="86" t="str">
        <f>IF(Nineteenth!K76="", "",Nineteenth!K76)</f>
        <v/>
      </c>
      <c r="M4573" s="67">
        <f t="shared" si="215"/>
        <v>7</v>
      </c>
      <c r="N4573" s="76" t="str">
        <f t="shared" si="216"/>
        <v/>
      </c>
      <c r="O4573" s="33">
        <f t="shared" si="214"/>
        <v>7</v>
      </c>
    </row>
    <row r="4574" spans="1:15" x14ac:dyDescent="0.25">
      <c r="A4574" s="64" t="s">
        <v>208</v>
      </c>
      <c r="B4574" s="79" t="str">
        <f>IF(Nineteenth!B77="", "",Nineteenth!B77)</f>
        <v>Psychologist</v>
      </c>
      <c r="C4574" s="66" t="str">
        <f>IF(Nineteenth!C77="", "",Nineteenth!C77)</f>
        <v>PwC</v>
      </c>
      <c r="D4574" s="66" t="str">
        <f>IF(Nineteenth!D77="", "",Nineteenth!D77)</f>
        <v>Returning</v>
      </c>
      <c r="E4574" s="66" t="str">
        <f>IF(Nineteenth!E77="", "",Nineteenth!E77)</f>
        <v>Female</v>
      </c>
      <c r="F4574" s="66" t="str">
        <f>IF(Nineteenth!F77="", "",Nineteenth!F77)</f>
        <v>Breast</v>
      </c>
      <c r="G4574" s="66" t="str">
        <f>IF(Nineteenth!G77="", "",Nineteenth!G77)</f>
        <v>Curative Intent</v>
      </c>
      <c r="H4574" s="66" t="str">
        <f>IF(Nineteenth!H77="", "",Nineteenth!H77)</f>
        <v>Booked</v>
      </c>
      <c r="I4574" s="66" t="str">
        <f>IF(Nineteenth!I77="", "",Nineteenth!I77)</f>
        <v>Psych Support - Individual</v>
      </c>
      <c r="J4574" s="66" t="str">
        <f>IF(Nineteenth!J77="", "",Nineteenth!J77)</f>
        <v/>
      </c>
      <c r="K4574" s="86" t="str">
        <f>IF(Nineteenth!K77="", "",Nineteenth!K77)</f>
        <v/>
      </c>
      <c r="M4574" s="67">
        <f t="shared" si="215"/>
        <v>7</v>
      </c>
      <c r="N4574" s="76" t="str">
        <f t="shared" si="216"/>
        <v/>
      </c>
      <c r="O4574" s="33">
        <f t="shared" si="214"/>
        <v>7</v>
      </c>
    </row>
    <row r="4575" spans="1:15" x14ac:dyDescent="0.25">
      <c r="A4575" s="64" t="s">
        <v>208</v>
      </c>
      <c r="B4575" s="79" t="str">
        <f>IF(Nineteenth!B78="", "",Nineteenth!B78)</f>
        <v>Centre Head</v>
      </c>
      <c r="C4575" s="66" t="str">
        <f>IF(Nineteenth!C78="", "",Nineteenth!C78)</f>
        <v>PwC</v>
      </c>
      <c r="D4575" s="66" t="str">
        <f>IF(Nineteenth!D78="", "",Nineteenth!D78)</f>
        <v>New</v>
      </c>
      <c r="E4575" s="66" t="str">
        <f>IF(Nineteenth!E78="", "",Nineteenth!E78)</f>
        <v>Male</v>
      </c>
      <c r="F4575" s="66" t="str">
        <f>IF(Nineteenth!F78="", "",Nineteenth!F78)</f>
        <v>Haemat</v>
      </c>
      <c r="G4575" s="66" t="str">
        <f>IF(Nineteenth!G78="", "",Nineteenth!G78)</f>
        <v>Non-Curative Intent</v>
      </c>
      <c r="H4575" s="66" t="str">
        <f>IF(Nineteenth!H78="", "",Nineteenth!H78)</f>
        <v>Drop-In</v>
      </c>
      <c r="I4575" s="66" t="str">
        <f>IF(Nineteenth!I78="", "",Nineteenth!I78)</f>
        <v/>
      </c>
      <c r="J4575" s="66" t="str">
        <f>IF(Nineteenth!J78="", "",Nineteenth!J78)</f>
        <v/>
      </c>
      <c r="K4575" s="86" t="str">
        <f>IF(Nineteenth!K78="", "",Nineteenth!K78)</f>
        <v/>
      </c>
      <c r="M4575" s="67">
        <f t="shared" si="215"/>
        <v>7</v>
      </c>
      <c r="N4575" s="76" t="str">
        <f t="shared" si="216"/>
        <v/>
      </c>
      <c r="O4575" s="33">
        <f t="shared" si="214"/>
        <v>7</v>
      </c>
    </row>
    <row r="4576" spans="1:15" x14ac:dyDescent="0.25">
      <c r="A4576" s="64" t="s">
        <v>208</v>
      </c>
      <c r="B4576" s="79" t="str">
        <f>IF(Nineteenth!B79="", "",Nineteenth!B79)</f>
        <v>Centre Head</v>
      </c>
      <c r="C4576" s="66" t="str">
        <f>IF(Nineteenth!C79="", "",Nineteenth!C79)</f>
        <v>Carer</v>
      </c>
      <c r="D4576" s="66" t="str">
        <f>IF(Nineteenth!D79="", "",Nineteenth!D79)</f>
        <v>New</v>
      </c>
      <c r="E4576" s="66" t="str">
        <f>IF(Nineteenth!E79="", "",Nineteenth!E79)</f>
        <v>Male</v>
      </c>
      <c r="F4576" s="66" t="str">
        <f>IF(Nineteenth!F79="", "",Nineteenth!F79)</f>
        <v>Haemat</v>
      </c>
      <c r="G4576" s="66" t="str">
        <f>IF(Nineteenth!G79="", "",Nineteenth!G79)</f>
        <v>Non-Curative Intent</v>
      </c>
      <c r="H4576" s="66" t="str">
        <f>IF(Nineteenth!H79="", "",Nineteenth!H79)</f>
        <v>Drop-In</v>
      </c>
      <c r="I4576" s="66" t="str">
        <f>IF(Nineteenth!I79="", "",Nineteenth!I79)</f>
        <v/>
      </c>
      <c r="J4576" s="66" t="str">
        <f>IF(Nineteenth!J79="", "",Nineteenth!J79)</f>
        <v/>
      </c>
      <c r="K4576" s="86" t="str">
        <f>IF(Nineteenth!K79="", "",Nineteenth!K79)</f>
        <v/>
      </c>
      <c r="M4576" s="67" t="str">
        <f t="shared" si="215"/>
        <v/>
      </c>
      <c r="N4576" s="76">
        <f t="shared" si="216"/>
        <v>7</v>
      </c>
      <c r="O4576" s="33">
        <f t="shared" si="214"/>
        <v>7</v>
      </c>
    </row>
    <row r="4577" spans="1:15" x14ac:dyDescent="0.25">
      <c r="A4577" s="64" t="s">
        <v>208</v>
      </c>
      <c r="B4577" s="79" t="str">
        <f>IF(Nineteenth!B80="", "",Nineteenth!B80)</f>
        <v>Centre Head</v>
      </c>
      <c r="C4577" s="66" t="str">
        <f>IF(Nineteenth!C80="", "",Nineteenth!C80)</f>
        <v>Carer</v>
      </c>
      <c r="D4577" s="66" t="str">
        <f>IF(Nineteenth!D80="", "",Nineteenth!D80)</f>
        <v>New</v>
      </c>
      <c r="E4577" s="66" t="str">
        <f>IF(Nineteenth!E80="", "",Nineteenth!E80)</f>
        <v>Female</v>
      </c>
      <c r="F4577" s="66" t="str">
        <f>IF(Nineteenth!F80="", "",Nineteenth!F80)</f>
        <v>Haemat</v>
      </c>
      <c r="G4577" s="66" t="str">
        <f>IF(Nineteenth!G80="", "",Nineteenth!G80)</f>
        <v>Non-Curative Intent</v>
      </c>
      <c r="H4577" s="66" t="str">
        <f>IF(Nineteenth!H80="", "",Nineteenth!H80)</f>
        <v>Drop-In</v>
      </c>
      <c r="I4577" s="66" t="str">
        <f>IF(Nineteenth!I80="", "",Nineteenth!I80)</f>
        <v/>
      </c>
      <c r="J4577" s="66" t="str">
        <f>IF(Nineteenth!J80="", "",Nineteenth!J80)</f>
        <v/>
      </c>
      <c r="K4577" s="86" t="str">
        <f>IF(Nineteenth!K80="", "",Nineteenth!K80)</f>
        <v/>
      </c>
      <c r="M4577" s="67" t="str">
        <f t="shared" si="215"/>
        <v/>
      </c>
      <c r="N4577" s="76">
        <f t="shared" si="216"/>
        <v>7</v>
      </c>
      <c r="O4577" s="33">
        <f t="shared" si="214"/>
        <v>7</v>
      </c>
    </row>
    <row r="4578" spans="1:15" x14ac:dyDescent="0.25">
      <c r="A4578" s="64" t="s">
        <v>208</v>
      </c>
      <c r="B4578" s="79" t="str">
        <f>IF(Nineteenth!B81="", "",Nineteenth!B81)</f>
        <v>Psychologist</v>
      </c>
      <c r="C4578" s="66" t="str">
        <f>IF(Nineteenth!C81="", "",Nineteenth!C81)</f>
        <v>Carer</v>
      </c>
      <c r="D4578" s="66" t="str">
        <f>IF(Nineteenth!D81="", "",Nineteenth!D81)</f>
        <v>Returning</v>
      </c>
      <c r="E4578" s="66" t="str">
        <f>IF(Nineteenth!E81="", "",Nineteenth!E81)</f>
        <v>Male</v>
      </c>
      <c r="F4578" s="66" t="str">
        <f>IF(Nineteenth!F81="", "",Nineteenth!F81)</f>
        <v>Breast</v>
      </c>
      <c r="G4578" s="66" t="str">
        <f>IF(Nineteenth!G81="", "",Nineteenth!G81)</f>
        <v>Bereaved</v>
      </c>
      <c r="H4578" s="66" t="str">
        <f>IF(Nineteenth!H81="", "",Nineteenth!H81)</f>
        <v>Programme</v>
      </c>
      <c r="I4578" s="66" t="str">
        <f>IF(Nineteenth!I81="", "",Nineteenth!I81)</f>
        <v>FSG Bereavement</v>
      </c>
      <c r="J4578" s="66" t="str">
        <f>IF(Nineteenth!J81="", "",Nineteenth!J81)</f>
        <v/>
      </c>
      <c r="K4578" s="86" t="str">
        <f>IF(Nineteenth!K81="", "",Nineteenth!K81)</f>
        <v/>
      </c>
      <c r="M4578" s="67" t="str">
        <f t="shared" si="215"/>
        <v/>
      </c>
      <c r="N4578" s="76">
        <f t="shared" si="216"/>
        <v>7</v>
      </c>
      <c r="O4578" s="33">
        <f t="shared" si="214"/>
        <v>7</v>
      </c>
    </row>
    <row r="4579" spans="1:15" x14ac:dyDescent="0.25">
      <c r="A4579" s="64" t="s">
        <v>208</v>
      </c>
      <c r="B4579" s="79" t="str">
        <f>IF(Nineteenth!B82="", "",Nineteenth!B82)</f>
        <v>Psychologist</v>
      </c>
      <c r="C4579" s="66" t="str">
        <f>IF(Nineteenth!C82="", "",Nineteenth!C82)</f>
        <v>Carer</v>
      </c>
      <c r="D4579" s="66" t="str">
        <f>IF(Nineteenth!D82="", "",Nineteenth!D82)</f>
        <v>Returning</v>
      </c>
      <c r="E4579" s="66" t="str">
        <f>IF(Nineteenth!E82="", "",Nineteenth!E82)</f>
        <v>Male</v>
      </c>
      <c r="F4579" s="66" t="str">
        <f>IF(Nineteenth!F82="", "",Nineteenth!F82)</f>
        <v>Lung</v>
      </c>
      <c r="G4579" s="66" t="str">
        <f>IF(Nineteenth!G82="", "",Nineteenth!G82)</f>
        <v>Bereaved</v>
      </c>
      <c r="H4579" s="66" t="str">
        <f>IF(Nineteenth!H82="", "",Nineteenth!H82)</f>
        <v>Programme</v>
      </c>
      <c r="I4579" s="66" t="str">
        <f>IF(Nineteenth!I82="", "",Nineteenth!I82)</f>
        <v>FSG Bereavement</v>
      </c>
      <c r="J4579" s="66" t="str">
        <f>IF(Nineteenth!J82="", "",Nineteenth!J82)</f>
        <v/>
      </c>
      <c r="K4579" s="86" t="str">
        <f>IF(Nineteenth!K82="", "",Nineteenth!K82)</f>
        <v/>
      </c>
      <c r="M4579" s="67" t="str">
        <f t="shared" si="215"/>
        <v/>
      </c>
      <c r="N4579" s="76">
        <f t="shared" si="216"/>
        <v>7</v>
      </c>
      <c r="O4579" s="33">
        <f t="shared" si="214"/>
        <v>7</v>
      </c>
    </row>
    <row r="4580" spans="1:15" x14ac:dyDescent="0.25">
      <c r="A4580" s="64" t="s">
        <v>208</v>
      </c>
      <c r="B4580" s="79" t="str">
        <f>IF(Nineteenth!B83="", "",Nineteenth!B83)</f>
        <v>Psychologist</v>
      </c>
      <c r="C4580" s="66" t="str">
        <f>IF(Nineteenth!C83="", "",Nineteenth!C83)</f>
        <v>Carer</v>
      </c>
      <c r="D4580" s="66" t="str">
        <f>IF(Nineteenth!D83="", "",Nineteenth!D83)</f>
        <v>Returning</v>
      </c>
      <c r="E4580" s="66" t="str">
        <f>IF(Nineteenth!E83="", "",Nineteenth!E83)</f>
        <v>Female</v>
      </c>
      <c r="F4580" s="66" t="str">
        <f>IF(Nineteenth!F83="", "",Nineteenth!F83)</f>
        <v>Prostate</v>
      </c>
      <c r="G4580" s="66" t="str">
        <f>IF(Nineteenth!G83="", "",Nineteenth!G83)</f>
        <v>Bereaved</v>
      </c>
      <c r="H4580" s="66" t="str">
        <f>IF(Nineteenth!H83="", "",Nineteenth!H83)</f>
        <v>Programme</v>
      </c>
      <c r="I4580" s="66" t="str">
        <f>IF(Nineteenth!I83="", "",Nineteenth!I83)</f>
        <v>FSG Bereavement</v>
      </c>
      <c r="J4580" s="66" t="str">
        <f>IF(Nineteenth!J83="", "",Nineteenth!J83)</f>
        <v/>
      </c>
      <c r="K4580" s="86" t="str">
        <f>IF(Nineteenth!K83="", "",Nineteenth!K83)</f>
        <v/>
      </c>
      <c r="M4580" s="67" t="str">
        <f t="shared" si="215"/>
        <v/>
      </c>
      <c r="N4580" s="76">
        <f t="shared" si="216"/>
        <v>7</v>
      </c>
      <c r="O4580" s="33">
        <f t="shared" si="214"/>
        <v>7</v>
      </c>
    </row>
    <row r="4581" spans="1:15" x14ac:dyDescent="0.25">
      <c r="A4581" s="64" t="s">
        <v>208</v>
      </c>
      <c r="B4581" s="79" t="str">
        <f>IF(Nineteenth!B84="", "",Nineteenth!B84)</f>
        <v>Psychologist</v>
      </c>
      <c r="C4581" s="66" t="str">
        <f>IF(Nineteenth!C84="", "",Nineteenth!C84)</f>
        <v>Carer</v>
      </c>
      <c r="D4581" s="66" t="str">
        <f>IF(Nineteenth!D84="", "",Nineteenth!D84)</f>
        <v>Returning</v>
      </c>
      <c r="E4581" s="66" t="str">
        <f>IF(Nineteenth!E84="", "",Nineteenth!E84)</f>
        <v>Female</v>
      </c>
      <c r="F4581" s="66" t="str">
        <f>IF(Nineteenth!F84="", "",Nineteenth!F84)</f>
        <v>Lower GI</v>
      </c>
      <c r="G4581" s="66" t="str">
        <f>IF(Nineteenth!G84="", "",Nineteenth!G84)</f>
        <v>Bereaved</v>
      </c>
      <c r="H4581" s="66" t="str">
        <f>IF(Nineteenth!H84="", "",Nineteenth!H84)</f>
        <v>Programme</v>
      </c>
      <c r="I4581" s="66" t="str">
        <f>IF(Nineteenth!I84="", "",Nineteenth!I84)</f>
        <v>FSG Bereavement</v>
      </c>
      <c r="J4581" s="66" t="str">
        <f>IF(Nineteenth!J84="", "",Nineteenth!J84)</f>
        <v/>
      </c>
      <c r="K4581" s="86" t="str">
        <f>IF(Nineteenth!K84="", "",Nineteenth!K84)</f>
        <v/>
      </c>
      <c r="M4581" s="67" t="str">
        <f t="shared" si="215"/>
        <v/>
      </c>
      <c r="N4581" s="76">
        <f t="shared" si="216"/>
        <v>7</v>
      </c>
      <c r="O4581" s="33">
        <f t="shared" si="214"/>
        <v>7</v>
      </c>
    </row>
    <row r="4582" spans="1:15" x14ac:dyDescent="0.25">
      <c r="A4582" s="64" t="s">
        <v>208</v>
      </c>
      <c r="B4582" s="79" t="str">
        <f>IF(Nineteenth!B85="", "",Nineteenth!B85)</f>
        <v>Psychologist</v>
      </c>
      <c r="C4582" s="66" t="str">
        <f>IF(Nineteenth!C85="", "",Nineteenth!C85)</f>
        <v>Carer</v>
      </c>
      <c r="D4582" s="66" t="str">
        <f>IF(Nineteenth!D85="", "",Nineteenth!D85)</f>
        <v>Returning</v>
      </c>
      <c r="E4582" s="66" t="str">
        <f>IF(Nineteenth!E85="", "",Nineteenth!E85)</f>
        <v>Female</v>
      </c>
      <c r="F4582" s="66" t="str">
        <f>IF(Nineteenth!F85="", "",Nineteenth!F85)</f>
        <v>Upper GI</v>
      </c>
      <c r="G4582" s="66" t="str">
        <f>IF(Nineteenth!G85="", "",Nineteenth!G85)</f>
        <v>Bereaved</v>
      </c>
      <c r="H4582" s="66" t="str">
        <f>IF(Nineteenth!H85="", "",Nineteenth!H85)</f>
        <v>Programme</v>
      </c>
      <c r="I4582" s="66" t="str">
        <f>IF(Nineteenth!I85="", "",Nineteenth!I85)</f>
        <v>FSG Bereavement</v>
      </c>
      <c r="J4582" s="66" t="str">
        <f>IF(Nineteenth!J85="", "",Nineteenth!J85)</f>
        <v/>
      </c>
      <c r="K4582" s="86" t="str">
        <f>IF(Nineteenth!K85="", "",Nineteenth!K85)</f>
        <v/>
      </c>
      <c r="M4582" s="67" t="str">
        <f t="shared" si="215"/>
        <v/>
      </c>
      <c r="N4582" s="76">
        <f t="shared" si="216"/>
        <v>7</v>
      </c>
      <c r="O4582" s="33">
        <f t="shared" si="214"/>
        <v>7</v>
      </c>
    </row>
    <row r="4583" spans="1:15" x14ac:dyDescent="0.25">
      <c r="A4583" s="64" t="s">
        <v>208</v>
      </c>
      <c r="B4583" s="79" t="str">
        <f>IF(Nineteenth!B86="", "",Nineteenth!B86)</f>
        <v/>
      </c>
      <c r="C4583" s="66" t="str">
        <f>IF(Nineteenth!C86="", "",Nineteenth!C86)</f>
        <v/>
      </c>
      <c r="D4583" s="66" t="str">
        <f>IF(Nineteenth!D86="", "",Nineteenth!D86)</f>
        <v/>
      </c>
      <c r="E4583" s="66" t="str">
        <f>IF(Nineteenth!E86="", "",Nineteenth!E86)</f>
        <v/>
      </c>
      <c r="F4583" s="66" t="str">
        <f>IF(Nineteenth!F86="", "",Nineteenth!F86)</f>
        <v/>
      </c>
      <c r="G4583" s="66" t="str">
        <f>IF(Nineteenth!G86="", "",Nineteenth!G86)</f>
        <v/>
      </c>
      <c r="H4583" s="66" t="str">
        <f>IF(Nineteenth!H86="", "",Nineteenth!H86)</f>
        <v/>
      </c>
      <c r="I4583" s="66" t="str">
        <f>IF(Nineteenth!I86="", "",Nineteenth!I86)</f>
        <v/>
      </c>
      <c r="J4583" s="66" t="str">
        <f>IF(Nineteenth!J86="", "",Nineteenth!J86)</f>
        <v/>
      </c>
      <c r="K4583" s="86" t="str">
        <f>IF(Nineteenth!K86="", "",Nineteenth!K86)</f>
        <v/>
      </c>
      <c r="M4583" s="67" t="str">
        <f t="shared" si="215"/>
        <v/>
      </c>
      <c r="N4583" s="76" t="str">
        <f t="shared" si="216"/>
        <v/>
      </c>
      <c r="O4583" s="33">
        <f t="shared" si="214"/>
        <v>0</v>
      </c>
    </row>
    <row r="4584" spans="1:15" x14ac:dyDescent="0.25">
      <c r="A4584" s="64" t="s">
        <v>208</v>
      </c>
      <c r="B4584" s="79" t="str">
        <f>IF(Nineteenth!B87="", "",Nineteenth!B87)</f>
        <v/>
      </c>
      <c r="C4584" s="66" t="str">
        <f>IF(Nineteenth!C87="", "",Nineteenth!C87)</f>
        <v/>
      </c>
      <c r="D4584" s="66" t="str">
        <f>IF(Nineteenth!D87="", "",Nineteenth!D87)</f>
        <v/>
      </c>
      <c r="E4584" s="66" t="str">
        <f>IF(Nineteenth!E87="", "",Nineteenth!E87)</f>
        <v/>
      </c>
      <c r="F4584" s="66" t="str">
        <f>IF(Nineteenth!F87="", "",Nineteenth!F87)</f>
        <v/>
      </c>
      <c r="G4584" s="66" t="str">
        <f>IF(Nineteenth!G87="", "",Nineteenth!G87)</f>
        <v/>
      </c>
      <c r="H4584" s="66" t="str">
        <f>IF(Nineteenth!H87="", "",Nineteenth!H87)</f>
        <v/>
      </c>
      <c r="I4584" s="66" t="str">
        <f>IF(Nineteenth!I87="", "",Nineteenth!I87)</f>
        <v/>
      </c>
      <c r="J4584" s="66" t="str">
        <f>IF(Nineteenth!J87="", "",Nineteenth!J87)</f>
        <v/>
      </c>
      <c r="K4584" s="86" t="str">
        <f>IF(Nineteenth!K87="", "",Nineteenth!K87)</f>
        <v/>
      </c>
      <c r="M4584" s="67" t="str">
        <f t="shared" si="215"/>
        <v/>
      </c>
      <c r="N4584" s="76" t="str">
        <f t="shared" si="216"/>
        <v/>
      </c>
      <c r="O4584" s="33">
        <f t="shared" si="214"/>
        <v>0</v>
      </c>
    </row>
    <row r="4585" spans="1:15" x14ac:dyDescent="0.25">
      <c r="A4585" s="64" t="s">
        <v>208</v>
      </c>
      <c r="B4585" s="79" t="str">
        <f>IF(Nineteenth!B88="", "",Nineteenth!B88)</f>
        <v/>
      </c>
      <c r="C4585" s="66" t="str">
        <f>IF(Nineteenth!C88="", "",Nineteenth!C88)</f>
        <v/>
      </c>
      <c r="D4585" s="66" t="str">
        <f>IF(Nineteenth!D88="", "",Nineteenth!D88)</f>
        <v/>
      </c>
      <c r="E4585" s="66" t="str">
        <f>IF(Nineteenth!E88="", "",Nineteenth!E88)</f>
        <v/>
      </c>
      <c r="F4585" s="66" t="str">
        <f>IF(Nineteenth!F88="", "",Nineteenth!F88)</f>
        <v/>
      </c>
      <c r="G4585" s="66" t="str">
        <f>IF(Nineteenth!G88="", "",Nineteenth!G88)</f>
        <v/>
      </c>
      <c r="H4585" s="66" t="str">
        <f>IF(Nineteenth!H88="", "",Nineteenth!H88)</f>
        <v/>
      </c>
      <c r="I4585" s="66" t="str">
        <f>IF(Nineteenth!I88="", "",Nineteenth!I88)</f>
        <v/>
      </c>
      <c r="J4585" s="66" t="str">
        <f>IF(Nineteenth!J88="", "",Nineteenth!J88)</f>
        <v/>
      </c>
      <c r="K4585" s="86" t="str">
        <f>IF(Nineteenth!K88="", "",Nineteenth!K88)</f>
        <v/>
      </c>
      <c r="M4585" s="67" t="str">
        <f t="shared" si="215"/>
        <v/>
      </c>
      <c r="N4585" s="76" t="str">
        <f t="shared" si="216"/>
        <v/>
      </c>
      <c r="O4585" s="33">
        <f t="shared" si="214"/>
        <v>0</v>
      </c>
    </row>
    <row r="4586" spans="1:15" x14ac:dyDescent="0.25">
      <c r="A4586" s="64" t="s">
        <v>208</v>
      </c>
      <c r="B4586" s="79" t="str">
        <f>IF(Nineteenth!B89="", "",Nineteenth!B89)</f>
        <v/>
      </c>
      <c r="C4586" s="66" t="str">
        <f>IF(Nineteenth!C89="", "",Nineteenth!C89)</f>
        <v/>
      </c>
      <c r="D4586" s="66" t="str">
        <f>IF(Nineteenth!D89="", "",Nineteenth!D89)</f>
        <v/>
      </c>
      <c r="E4586" s="66" t="str">
        <f>IF(Nineteenth!E89="", "",Nineteenth!E89)</f>
        <v/>
      </c>
      <c r="F4586" s="66" t="str">
        <f>IF(Nineteenth!F89="", "",Nineteenth!F89)</f>
        <v/>
      </c>
      <c r="G4586" s="66" t="str">
        <f>IF(Nineteenth!G89="", "",Nineteenth!G89)</f>
        <v/>
      </c>
      <c r="H4586" s="66" t="str">
        <f>IF(Nineteenth!H89="", "",Nineteenth!H89)</f>
        <v/>
      </c>
      <c r="I4586" s="66" t="str">
        <f>IF(Nineteenth!I89="", "",Nineteenth!I89)</f>
        <v/>
      </c>
      <c r="J4586" s="66" t="str">
        <f>IF(Nineteenth!J89="", "",Nineteenth!J89)</f>
        <v/>
      </c>
      <c r="K4586" s="86" t="str">
        <f>IF(Nineteenth!K89="", "",Nineteenth!K89)</f>
        <v/>
      </c>
      <c r="M4586" s="67" t="str">
        <f t="shared" si="215"/>
        <v/>
      </c>
      <c r="N4586" s="76" t="str">
        <f t="shared" si="216"/>
        <v/>
      </c>
      <c r="O4586" s="33">
        <f t="shared" si="214"/>
        <v>0</v>
      </c>
    </row>
    <row r="4587" spans="1:15" x14ac:dyDescent="0.25">
      <c r="A4587" s="64" t="s">
        <v>208</v>
      </c>
      <c r="B4587" s="79" t="str">
        <f>IF(Nineteenth!B90="", "",Nineteenth!B90)</f>
        <v/>
      </c>
      <c r="C4587" s="66" t="str">
        <f>IF(Nineteenth!C90="", "",Nineteenth!C90)</f>
        <v/>
      </c>
      <c r="D4587" s="66" t="str">
        <f>IF(Nineteenth!D90="", "",Nineteenth!D90)</f>
        <v/>
      </c>
      <c r="E4587" s="66" t="str">
        <f>IF(Nineteenth!E90="", "",Nineteenth!E90)</f>
        <v/>
      </c>
      <c r="F4587" s="66" t="str">
        <f>IF(Nineteenth!F90="", "",Nineteenth!F90)</f>
        <v/>
      </c>
      <c r="G4587" s="66" t="str">
        <f>IF(Nineteenth!G90="", "",Nineteenth!G90)</f>
        <v/>
      </c>
      <c r="H4587" s="66" t="str">
        <f>IF(Nineteenth!H90="", "",Nineteenth!H90)</f>
        <v/>
      </c>
      <c r="I4587" s="66" t="str">
        <f>IF(Nineteenth!I90="", "",Nineteenth!I90)</f>
        <v/>
      </c>
      <c r="J4587" s="66" t="str">
        <f>IF(Nineteenth!J90="", "",Nineteenth!J90)</f>
        <v/>
      </c>
      <c r="K4587" s="86" t="str">
        <f>IF(Nineteenth!K90="", "",Nineteenth!K90)</f>
        <v/>
      </c>
      <c r="M4587" s="67" t="str">
        <f t="shared" si="215"/>
        <v/>
      </c>
      <c r="N4587" s="76" t="str">
        <f t="shared" si="216"/>
        <v/>
      </c>
      <c r="O4587" s="33">
        <f t="shared" ref="O4587:O4650" si="217">SUM(M4587:N4587)</f>
        <v>0</v>
      </c>
    </row>
    <row r="4588" spans="1:15" x14ac:dyDescent="0.25">
      <c r="A4588" s="64" t="s">
        <v>208</v>
      </c>
      <c r="B4588" s="79" t="str">
        <f>IF(Nineteenth!B91="", "",Nineteenth!B91)</f>
        <v/>
      </c>
      <c r="C4588" s="66" t="str">
        <f>IF(Nineteenth!C91="", "",Nineteenth!C91)</f>
        <v/>
      </c>
      <c r="D4588" s="66" t="str">
        <f>IF(Nineteenth!D91="", "",Nineteenth!D91)</f>
        <v/>
      </c>
      <c r="E4588" s="66" t="str">
        <f>IF(Nineteenth!E91="", "",Nineteenth!E91)</f>
        <v/>
      </c>
      <c r="F4588" s="66" t="str">
        <f>IF(Nineteenth!F91="", "",Nineteenth!F91)</f>
        <v/>
      </c>
      <c r="G4588" s="66" t="str">
        <f>IF(Nineteenth!G91="", "",Nineteenth!G91)</f>
        <v/>
      </c>
      <c r="H4588" s="66" t="str">
        <f>IF(Nineteenth!H91="", "",Nineteenth!H91)</f>
        <v/>
      </c>
      <c r="I4588" s="66" t="str">
        <f>IF(Nineteenth!I91="", "",Nineteenth!I91)</f>
        <v/>
      </c>
      <c r="J4588" s="66" t="str">
        <f>IF(Nineteenth!J91="", "",Nineteenth!J91)</f>
        <v/>
      </c>
      <c r="K4588" s="86" t="str">
        <f>IF(Nineteenth!K91="", "",Nineteenth!K91)</f>
        <v/>
      </c>
      <c r="M4588" s="67" t="str">
        <f t="shared" si="215"/>
        <v/>
      </c>
      <c r="N4588" s="76" t="str">
        <f t="shared" si="216"/>
        <v/>
      </c>
      <c r="O4588" s="33">
        <f t="shared" si="217"/>
        <v>0</v>
      </c>
    </row>
    <row r="4589" spans="1:15" x14ac:dyDescent="0.25">
      <c r="A4589" s="64" t="s">
        <v>208</v>
      </c>
      <c r="B4589" s="79" t="str">
        <f>IF(Nineteenth!B92="", "",Nineteenth!B92)</f>
        <v/>
      </c>
      <c r="C4589" s="66" t="str">
        <f>IF(Nineteenth!C92="", "",Nineteenth!C92)</f>
        <v/>
      </c>
      <c r="D4589" s="66" t="str">
        <f>IF(Nineteenth!D92="", "",Nineteenth!D92)</f>
        <v/>
      </c>
      <c r="E4589" s="66" t="str">
        <f>IF(Nineteenth!E92="", "",Nineteenth!E92)</f>
        <v/>
      </c>
      <c r="F4589" s="66" t="str">
        <f>IF(Nineteenth!F92="", "",Nineteenth!F92)</f>
        <v/>
      </c>
      <c r="G4589" s="66" t="str">
        <f>IF(Nineteenth!G92="", "",Nineteenth!G92)</f>
        <v/>
      </c>
      <c r="H4589" s="66" t="str">
        <f>IF(Nineteenth!H92="", "",Nineteenth!H92)</f>
        <v/>
      </c>
      <c r="I4589" s="66" t="str">
        <f>IF(Nineteenth!I92="", "",Nineteenth!I92)</f>
        <v/>
      </c>
      <c r="J4589" s="66" t="str">
        <f>IF(Nineteenth!J92="", "",Nineteenth!J92)</f>
        <v/>
      </c>
      <c r="K4589" s="86" t="str">
        <f>IF(Nineteenth!K92="", "",Nineteenth!K92)</f>
        <v/>
      </c>
      <c r="M4589" s="67" t="str">
        <f t="shared" si="215"/>
        <v/>
      </c>
      <c r="N4589" s="76" t="str">
        <f t="shared" si="216"/>
        <v/>
      </c>
      <c r="O4589" s="33">
        <f t="shared" si="217"/>
        <v>0</v>
      </c>
    </row>
    <row r="4590" spans="1:15" x14ac:dyDescent="0.25">
      <c r="A4590" s="64" t="s">
        <v>208</v>
      </c>
      <c r="B4590" s="79" t="str">
        <f>IF(Nineteenth!B93="", "",Nineteenth!B93)</f>
        <v/>
      </c>
      <c r="C4590" s="66" t="str">
        <f>IF(Nineteenth!C93="", "",Nineteenth!C93)</f>
        <v/>
      </c>
      <c r="D4590" s="66" t="str">
        <f>IF(Nineteenth!D93="", "",Nineteenth!D93)</f>
        <v/>
      </c>
      <c r="E4590" s="66" t="str">
        <f>IF(Nineteenth!E93="", "",Nineteenth!E93)</f>
        <v/>
      </c>
      <c r="F4590" s="66" t="str">
        <f>IF(Nineteenth!F93="", "",Nineteenth!F93)</f>
        <v/>
      </c>
      <c r="G4590" s="66" t="str">
        <f>IF(Nineteenth!G93="", "",Nineteenth!G93)</f>
        <v/>
      </c>
      <c r="H4590" s="66" t="str">
        <f>IF(Nineteenth!H93="", "",Nineteenth!H93)</f>
        <v/>
      </c>
      <c r="I4590" s="66" t="str">
        <f>IF(Nineteenth!I93="", "",Nineteenth!I93)</f>
        <v/>
      </c>
      <c r="J4590" s="66" t="str">
        <f>IF(Nineteenth!J93="", "",Nineteenth!J93)</f>
        <v/>
      </c>
      <c r="K4590" s="86" t="str">
        <f>IF(Nineteenth!K93="", "",Nineteenth!K93)</f>
        <v/>
      </c>
      <c r="M4590" s="67" t="str">
        <f t="shared" si="215"/>
        <v/>
      </c>
      <c r="N4590" s="76" t="str">
        <f t="shared" si="216"/>
        <v/>
      </c>
      <c r="O4590" s="33">
        <f t="shared" si="217"/>
        <v>0</v>
      </c>
    </row>
    <row r="4591" spans="1:15" x14ac:dyDescent="0.25">
      <c r="A4591" s="64" t="s">
        <v>208</v>
      </c>
      <c r="B4591" s="79" t="str">
        <f>IF(Nineteenth!B94="", "",Nineteenth!B94)</f>
        <v/>
      </c>
      <c r="C4591" s="66" t="str">
        <f>IF(Nineteenth!C94="", "",Nineteenth!C94)</f>
        <v/>
      </c>
      <c r="D4591" s="66" t="str">
        <f>IF(Nineteenth!D94="", "",Nineteenth!D94)</f>
        <v/>
      </c>
      <c r="E4591" s="66" t="str">
        <f>IF(Nineteenth!E94="", "",Nineteenth!E94)</f>
        <v/>
      </c>
      <c r="F4591" s="66" t="str">
        <f>IF(Nineteenth!F94="", "",Nineteenth!F94)</f>
        <v/>
      </c>
      <c r="G4591" s="66" t="str">
        <f>IF(Nineteenth!G94="", "",Nineteenth!G94)</f>
        <v/>
      </c>
      <c r="H4591" s="66" t="str">
        <f>IF(Nineteenth!H94="", "",Nineteenth!H94)</f>
        <v/>
      </c>
      <c r="I4591" s="66" t="str">
        <f>IF(Nineteenth!I94="", "",Nineteenth!I94)</f>
        <v/>
      </c>
      <c r="J4591" s="66" t="str">
        <f>IF(Nineteenth!J94="", "",Nineteenth!J94)</f>
        <v/>
      </c>
      <c r="K4591" s="86" t="str">
        <f>IF(Nineteenth!K94="", "",Nineteenth!K94)</f>
        <v/>
      </c>
      <c r="M4591" s="67" t="str">
        <f t="shared" si="215"/>
        <v/>
      </c>
      <c r="N4591" s="76" t="str">
        <f t="shared" si="216"/>
        <v/>
      </c>
      <c r="O4591" s="33">
        <f t="shared" si="217"/>
        <v>0</v>
      </c>
    </row>
    <row r="4592" spans="1:15" x14ac:dyDescent="0.25">
      <c r="A4592" s="64" t="s">
        <v>208</v>
      </c>
      <c r="B4592" s="79" t="str">
        <f>IF(Nineteenth!B95="", "",Nineteenth!B95)</f>
        <v/>
      </c>
      <c r="C4592" s="66" t="str">
        <f>IF(Nineteenth!C95="", "",Nineteenth!C95)</f>
        <v/>
      </c>
      <c r="D4592" s="66" t="str">
        <f>IF(Nineteenth!D95="", "",Nineteenth!D95)</f>
        <v/>
      </c>
      <c r="E4592" s="66" t="str">
        <f>IF(Nineteenth!E95="", "",Nineteenth!E95)</f>
        <v/>
      </c>
      <c r="F4592" s="66" t="str">
        <f>IF(Nineteenth!F95="", "",Nineteenth!F95)</f>
        <v/>
      </c>
      <c r="G4592" s="66" t="str">
        <f>IF(Nineteenth!G95="", "",Nineteenth!G95)</f>
        <v/>
      </c>
      <c r="H4592" s="66" t="str">
        <f>IF(Nineteenth!H95="", "",Nineteenth!H95)</f>
        <v/>
      </c>
      <c r="I4592" s="66" t="str">
        <f>IF(Nineteenth!I95="", "",Nineteenth!I95)</f>
        <v/>
      </c>
      <c r="J4592" s="66" t="str">
        <f>IF(Nineteenth!J95="", "",Nineteenth!J95)</f>
        <v/>
      </c>
      <c r="K4592" s="86" t="str">
        <f>IF(Nineteenth!K95="", "",Nineteenth!K95)</f>
        <v/>
      </c>
      <c r="M4592" s="67" t="str">
        <f t="shared" si="215"/>
        <v/>
      </c>
      <c r="N4592" s="76" t="str">
        <f t="shared" si="216"/>
        <v/>
      </c>
      <c r="O4592" s="33">
        <f t="shared" si="217"/>
        <v>0</v>
      </c>
    </row>
    <row r="4593" spans="1:15" x14ac:dyDescent="0.25">
      <c r="A4593" s="64" t="s">
        <v>208</v>
      </c>
      <c r="B4593" s="79" t="str">
        <f>IF(Nineteenth!B96="", "",Nineteenth!B96)</f>
        <v/>
      </c>
      <c r="C4593" s="66" t="str">
        <f>IF(Nineteenth!C96="", "",Nineteenth!C96)</f>
        <v/>
      </c>
      <c r="D4593" s="66" t="str">
        <f>IF(Nineteenth!D96="", "",Nineteenth!D96)</f>
        <v/>
      </c>
      <c r="E4593" s="66" t="str">
        <f>IF(Nineteenth!E96="", "",Nineteenth!E96)</f>
        <v/>
      </c>
      <c r="F4593" s="66" t="str">
        <f>IF(Nineteenth!F96="", "",Nineteenth!F96)</f>
        <v/>
      </c>
      <c r="G4593" s="66" t="str">
        <f>IF(Nineteenth!G96="", "",Nineteenth!G96)</f>
        <v/>
      </c>
      <c r="H4593" s="66" t="str">
        <f>IF(Nineteenth!H96="", "",Nineteenth!H96)</f>
        <v/>
      </c>
      <c r="I4593" s="66" t="str">
        <f>IF(Nineteenth!I96="", "",Nineteenth!I96)</f>
        <v/>
      </c>
      <c r="J4593" s="66" t="str">
        <f>IF(Nineteenth!J96="", "",Nineteenth!J96)</f>
        <v/>
      </c>
      <c r="K4593" s="86" t="str">
        <f>IF(Nineteenth!K96="", "",Nineteenth!K96)</f>
        <v/>
      </c>
      <c r="M4593" s="67" t="str">
        <f t="shared" si="215"/>
        <v/>
      </c>
      <c r="N4593" s="76" t="str">
        <f t="shared" si="216"/>
        <v/>
      </c>
      <c r="O4593" s="33">
        <f t="shared" si="217"/>
        <v>0</v>
      </c>
    </row>
    <row r="4594" spans="1:15" x14ac:dyDescent="0.25">
      <c r="A4594" s="64" t="s">
        <v>208</v>
      </c>
      <c r="B4594" s="79" t="str">
        <f>IF(Nineteenth!B97="", "",Nineteenth!B97)</f>
        <v/>
      </c>
      <c r="C4594" s="66" t="str">
        <f>IF(Nineteenth!C97="", "",Nineteenth!C97)</f>
        <v/>
      </c>
      <c r="D4594" s="66" t="str">
        <f>IF(Nineteenth!D97="", "",Nineteenth!D97)</f>
        <v/>
      </c>
      <c r="E4594" s="66" t="str">
        <f>IF(Nineteenth!E97="", "",Nineteenth!E97)</f>
        <v/>
      </c>
      <c r="F4594" s="66" t="str">
        <f>IF(Nineteenth!F97="", "",Nineteenth!F97)</f>
        <v/>
      </c>
      <c r="G4594" s="66" t="str">
        <f>IF(Nineteenth!G97="", "",Nineteenth!G97)</f>
        <v/>
      </c>
      <c r="H4594" s="66" t="str">
        <f>IF(Nineteenth!H97="", "",Nineteenth!H97)</f>
        <v/>
      </c>
      <c r="I4594" s="66" t="str">
        <f>IF(Nineteenth!I97="", "",Nineteenth!I97)</f>
        <v/>
      </c>
      <c r="J4594" s="66" t="str">
        <f>IF(Nineteenth!J97="", "",Nineteenth!J97)</f>
        <v/>
      </c>
      <c r="K4594" s="86" t="str">
        <f>IF(Nineteenth!K97="", "",Nineteenth!K97)</f>
        <v/>
      </c>
      <c r="M4594" s="67" t="str">
        <f t="shared" si="215"/>
        <v/>
      </c>
      <c r="N4594" s="76" t="str">
        <f t="shared" si="216"/>
        <v/>
      </c>
      <c r="O4594" s="33">
        <f t="shared" si="217"/>
        <v>0</v>
      </c>
    </row>
    <row r="4595" spans="1:15" x14ac:dyDescent="0.25">
      <c r="A4595" s="64" t="s">
        <v>208</v>
      </c>
      <c r="B4595" s="79" t="str">
        <f>IF(Nineteenth!B98="", "",Nineteenth!B98)</f>
        <v/>
      </c>
      <c r="C4595" s="66" t="str">
        <f>IF(Nineteenth!C98="", "",Nineteenth!C98)</f>
        <v/>
      </c>
      <c r="D4595" s="66" t="str">
        <f>IF(Nineteenth!D98="", "",Nineteenth!D98)</f>
        <v/>
      </c>
      <c r="E4595" s="66" t="str">
        <f>IF(Nineteenth!E98="", "",Nineteenth!E98)</f>
        <v/>
      </c>
      <c r="F4595" s="66" t="str">
        <f>IF(Nineteenth!F98="", "",Nineteenth!F98)</f>
        <v/>
      </c>
      <c r="G4595" s="66" t="str">
        <f>IF(Nineteenth!G98="", "",Nineteenth!G98)</f>
        <v/>
      </c>
      <c r="H4595" s="66" t="str">
        <f>IF(Nineteenth!H98="", "",Nineteenth!H98)</f>
        <v/>
      </c>
      <c r="I4595" s="66" t="str">
        <f>IF(Nineteenth!I98="", "",Nineteenth!I98)</f>
        <v/>
      </c>
      <c r="J4595" s="66" t="str">
        <f>IF(Nineteenth!J98="", "",Nineteenth!J98)</f>
        <v/>
      </c>
      <c r="K4595" s="86" t="str">
        <f>IF(Nineteenth!K98="", "",Nineteenth!K98)</f>
        <v/>
      </c>
      <c r="M4595" s="67" t="str">
        <f t="shared" si="215"/>
        <v/>
      </c>
      <c r="N4595" s="76" t="str">
        <f t="shared" si="216"/>
        <v/>
      </c>
      <c r="O4595" s="33">
        <f t="shared" si="217"/>
        <v>0</v>
      </c>
    </row>
    <row r="4596" spans="1:15" x14ac:dyDescent="0.25">
      <c r="A4596" s="64" t="s">
        <v>208</v>
      </c>
      <c r="B4596" s="79" t="str">
        <f>IF(Nineteenth!B99="", "",Nineteenth!B99)</f>
        <v/>
      </c>
      <c r="C4596" s="66" t="str">
        <f>IF(Nineteenth!C99="", "",Nineteenth!C99)</f>
        <v/>
      </c>
      <c r="D4596" s="66" t="str">
        <f>IF(Nineteenth!D99="", "",Nineteenth!D99)</f>
        <v/>
      </c>
      <c r="E4596" s="66" t="str">
        <f>IF(Nineteenth!E99="", "",Nineteenth!E99)</f>
        <v/>
      </c>
      <c r="F4596" s="66" t="str">
        <f>IF(Nineteenth!F99="", "",Nineteenth!F99)</f>
        <v/>
      </c>
      <c r="G4596" s="66" t="str">
        <f>IF(Nineteenth!G99="", "",Nineteenth!G99)</f>
        <v/>
      </c>
      <c r="H4596" s="66" t="str">
        <f>IF(Nineteenth!H99="", "",Nineteenth!H99)</f>
        <v/>
      </c>
      <c r="I4596" s="66" t="str">
        <f>IF(Nineteenth!I99="", "",Nineteenth!I99)</f>
        <v/>
      </c>
      <c r="J4596" s="66" t="str">
        <f>IF(Nineteenth!J99="", "",Nineteenth!J99)</f>
        <v/>
      </c>
      <c r="K4596" s="86" t="str">
        <f>IF(Nineteenth!K99="", "",Nineteenth!K99)</f>
        <v/>
      </c>
      <c r="M4596" s="67" t="str">
        <f t="shared" si="215"/>
        <v/>
      </c>
      <c r="N4596" s="76" t="str">
        <f t="shared" si="216"/>
        <v/>
      </c>
      <c r="O4596" s="33">
        <f t="shared" si="217"/>
        <v>0</v>
      </c>
    </row>
    <row r="4597" spans="1:15" x14ac:dyDescent="0.25">
      <c r="A4597" s="64" t="s">
        <v>208</v>
      </c>
      <c r="B4597" s="79" t="str">
        <f>IF(Nineteenth!B100="", "",Nineteenth!B100)</f>
        <v/>
      </c>
      <c r="C4597" s="66" t="str">
        <f>IF(Nineteenth!C100="", "",Nineteenth!C100)</f>
        <v/>
      </c>
      <c r="D4597" s="66" t="str">
        <f>IF(Nineteenth!D100="", "",Nineteenth!D100)</f>
        <v/>
      </c>
      <c r="E4597" s="66" t="str">
        <f>IF(Nineteenth!E100="", "",Nineteenth!E100)</f>
        <v/>
      </c>
      <c r="F4597" s="66" t="str">
        <f>IF(Nineteenth!F100="", "",Nineteenth!F100)</f>
        <v/>
      </c>
      <c r="G4597" s="66" t="str">
        <f>IF(Nineteenth!G100="", "",Nineteenth!G100)</f>
        <v/>
      </c>
      <c r="H4597" s="66" t="str">
        <f>IF(Nineteenth!H100="", "",Nineteenth!H100)</f>
        <v/>
      </c>
      <c r="I4597" s="66" t="str">
        <f>IF(Nineteenth!I100="", "",Nineteenth!I100)</f>
        <v/>
      </c>
      <c r="J4597" s="66" t="str">
        <f>IF(Nineteenth!J100="", "",Nineteenth!J100)</f>
        <v/>
      </c>
      <c r="K4597" s="86" t="str">
        <f>IF(Nineteenth!K100="", "",Nineteenth!K100)</f>
        <v/>
      </c>
      <c r="M4597" s="67" t="str">
        <f t="shared" si="215"/>
        <v/>
      </c>
      <c r="N4597" s="76" t="str">
        <f t="shared" si="216"/>
        <v/>
      </c>
      <c r="O4597" s="33">
        <f t="shared" si="217"/>
        <v>0</v>
      </c>
    </row>
    <row r="4598" spans="1:15" x14ac:dyDescent="0.25">
      <c r="A4598" s="64" t="s">
        <v>208</v>
      </c>
      <c r="B4598" s="79" t="str">
        <f>IF(Nineteenth!B101="", "",Nineteenth!B101)</f>
        <v/>
      </c>
      <c r="C4598" s="66" t="str">
        <f>IF(Nineteenth!C101="", "",Nineteenth!C101)</f>
        <v/>
      </c>
      <c r="D4598" s="66" t="str">
        <f>IF(Nineteenth!D101="", "",Nineteenth!D101)</f>
        <v/>
      </c>
      <c r="E4598" s="66" t="str">
        <f>IF(Nineteenth!E101="", "",Nineteenth!E101)</f>
        <v/>
      </c>
      <c r="F4598" s="66" t="str">
        <f>IF(Nineteenth!F101="", "",Nineteenth!F101)</f>
        <v/>
      </c>
      <c r="G4598" s="66" t="str">
        <f>IF(Nineteenth!G101="", "",Nineteenth!G101)</f>
        <v/>
      </c>
      <c r="H4598" s="66" t="str">
        <f>IF(Nineteenth!H101="", "",Nineteenth!H101)</f>
        <v/>
      </c>
      <c r="I4598" s="66" t="str">
        <f>IF(Nineteenth!I101="", "",Nineteenth!I101)</f>
        <v/>
      </c>
      <c r="J4598" s="66" t="str">
        <f>IF(Nineteenth!J101="", "",Nineteenth!J101)</f>
        <v/>
      </c>
      <c r="K4598" s="86" t="str">
        <f>IF(Nineteenth!K101="", "",Nineteenth!K101)</f>
        <v/>
      </c>
      <c r="M4598" s="67" t="str">
        <f t="shared" si="215"/>
        <v/>
      </c>
      <c r="N4598" s="76" t="str">
        <f t="shared" si="216"/>
        <v/>
      </c>
      <c r="O4598" s="33">
        <f t="shared" si="217"/>
        <v>0</v>
      </c>
    </row>
    <row r="4599" spans="1:15" x14ac:dyDescent="0.25">
      <c r="A4599" s="64" t="s">
        <v>208</v>
      </c>
      <c r="B4599" s="79" t="str">
        <f>IF(Nineteenth!B102="", "",Nineteenth!B102)</f>
        <v/>
      </c>
      <c r="C4599" s="66" t="str">
        <f>IF(Nineteenth!C102="", "",Nineteenth!C102)</f>
        <v/>
      </c>
      <c r="D4599" s="66" t="str">
        <f>IF(Nineteenth!D102="", "",Nineteenth!D102)</f>
        <v/>
      </c>
      <c r="E4599" s="66" t="str">
        <f>IF(Nineteenth!E102="", "",Nineteenth!E102)</f>
        <v/>
      </c>
      <c r="F4599" s="66" t="str">
        <f>IF(Nineteenth!F102="", "",Nineteenth!F102)</f>
        <v/>
      </c>
      <c r="G4599" s="66" t="str">
        <f>IF(Nineteenth!G102="", "",Nineteenth!G102)</f>
        <v/>
      </c>
      <c r="H4599" s="66" t="str">
        <f>IF(Nineteenth!H102="", "",Nineteenth!H102)</f>
        <v/>
      </c>
      <c r="I4599" s="66" t="str">
        <f>IF(Nineteenth!I102="", "",Nineteenth!I102)</f>
        <v/>
      </c>
      <c r="J4599" s="66" t="str">
        <f>IF(Nineteenth!J102="", "",Nineteenth!J102)</f>
        <v/>
      </c>
      <c r="K4599" s="86" t="str">
        <f>IF(Nineteenth!K102="", "",Nineteenth!K102)</f>
        <v/>
      </c>
      <c r="M4599" s="67" t="str">
        <f t="shared" si="215"/>
        <v/>
      </c>
      <c r="N4599" s="76" t="str">
        <f t="shared" si="216"/>
        <v/>
      </c>
      <c r="O4599" s="33">
        <f t="shared" si="217"/>
        <v>0</v>
      </c>
    </row>
    <row r="4600" spans="1:15" x14ac:dyDescent="0.25">
      <c r="A4600" s="64" t="s">
        <v>208</v>
      </c>
      <c r="B4600" s="79" t="str">
        <f>IF(Nineteenth!B103="", "",Nineteenth!B103)</f>
        <v/>
      </c>
      <c r="C4600" s="66" t="str">
        <f>IF(Nineteenth!C103="", "",Nineteenth!C103)</f>
        <v/>
      </c>
      <c r="D4600" s="66" t="str">
        <f>IF(Nineteenth!D103="", "",Nineteenth!D103)</f>
        <v/>
      </c>
      <c r="E4600" s="66" t="str">
        <f>IF(Nineteenth!E103="", "",Nineteenth!E103)</f>
        <v/>
      </c>
      <c r="F4600" s="66" t="str">
        <f>IF(Nineteenth!F103="", "",Nineteenth!F103)</f>
        <v/>
      </c>
      <c r="G4600" s="66" t="str">
        <f>IF(Nineteenth!G103="", "",Nineteenth!G103)</f>
        <v/>
      </c>
      <c r="H4600" s="66" t="str">
        <f>IF(Nineteenth!H103="", "",Nineteenth!H103)</f>
        <v/>
      </c>
      <c r="I4600" s="66" t="str">
        <f>IF(Nineteenth!I103="", "",Nineteenth!I103)</f>
        <v/>
      </c>
      <c r="J4600" s="66" t="str">
        <f>IF(Nineteenth!J103="", "",Nineteenth!J103)</f>
        <v/>
      </c>
      <c r="K4600" s="86" t="str">
        <f>IF(Nineteenth!K103="", "",Nineteenth!K103)</f>
        <v/>
      </c>
      <c r="M4600" s="67" t="str">
        <f t="shared" si="215"/>
        <v/>
      </c>
      <c r="N4600" s="76" t="str">
        <f t="shared" si="216"/>
        <v/>
      </c>
      <c r="O4600" s="33">
        <f t="shared" si="217"/>
        <v>0</v>
      </c>
    </row>
    <row r="4601" spans="1:15" x14ac:dyDescent="0.25">
      <c r="A4601" s="64" t="s">
        <v>208</v>
      </c>
      <c r="B4601" s="79" t="str">
        <f>IF(Nineteenth!B104="", "",Nineteenth!B104)</f>
        <v/>
      </c>
      <c r="C4601" s="66" t="str">
        <f>IF(Nineteenth!C104="", "",Nineteenth!C104)</f>
        <v/>
      </c>
      <c r="D4601" s="66" t="str">
        <f>IF(Nineteenth!D104="", "",Nineteenth!D104)</f>
        <v/>
      </c>
      <c r="E4601" s="66" t="str">
        <f>IF(Nineteenth!E104="", "",Nineteenth!E104)</f>
        <v/>
      </c>
      <c r="F4601" s="66" t="str">
        <f>IF(Nineteenth!F104="", "",Nineteenth!F104)</f>
        <v/>
      </c>
      <c r="G4601" s="66" t="str">
        <f>IF(Nineteenth!G104="", "",Nineteenth!G104)</f>
        <v/>
      </c>
      <c r="H4601" s="66" t="str">
        <f>IF(Nineteenth!H104="", "",Nineteenth!H104)</f>
        <v/>
      </c>
      <c r="I4601" s="66" t="str">
        <f>IF(Nineteenth!I104="", "",Nineteenth!I104)</f>
        <v/>
      </c>
      <c r="J4601" s="66" t="str">
        <f>IF(Nineteenth!J104="", "",Nineteenth!J104)</f>
        <v/>
      </c>
      <c r="K4601" s="86" t="str">
        <f>IF(Nineteenth!K104="", "",Nineteenth!K104)</f>
        <v/>
      </c>
      <c r="M4601" s="67" t="str">
        <f t="shared" si="215"/>
        <v/>
      </c>
      <c r="N4601" s="76" t="str">
        <f t="shared" si="216"/>
        <v/>
      </c>
      <c r="O4601" s="33">
        <f t="shared" si="217"/>
        <v>0</v>
      </c>
    </row>
    <row r="4602" spans="1:15" x14ac:dyDescent="0.25">
      <c r="A4602" s="64" t="s">
        <v>208</v>
      </c>
      <c r="B4602" s="79" t="str">
        <f>IF(Nineteenth!B105="", "",Nineteenth!B105)</f>
        <v/>
      </c>
      <c r="C4602" s="66" t="str">
        <f>IF(Nineteenth!C105="", "",Nineteenth!C105)</f>
        <v/>
      </c>
      <c r="D4602" s="66" t="str">
        <f>IF(Nineteenth!D105="", "",Nineteenth!D105)</f>
        <v/>
      </c>
      <c r="E4602" s="66" t="str">
        <f>IF(Nineteenth!E105="", "",Nineteenth!E105)</f>
        <v/>
      </c>
      <c r="F4602" s="66" t="str">
        <f>IF(Nineteenth!F105="", "",Nineteenth!F105)</f>
        <v/>
      </c>
      <c r="G4602" s="66" t="str">
        <f>IF(Nineteenth!G105="", "",Nineteenth!G105)</f>
        <v/>
      </c>
      <c r="H4602" s="66" t="str">
        <f>IF(Nineteenth!H105="", "",Nineteenth!H105)</f>
        <v/>
      </c>
      <c r="I4602" s="66" t="str">
        <f>IF(Nineteenth!I105="", "",Nineteenth!I105)</f>
        <v/>
      </c>
      <c r="J4602" s="66" t="str">
        <f>IF(Nineteenth!J105="", "",Nineteenth!J105)</f>
        <v/>
      </c>
      <c r="K4602" s="86" t="str">
        <f>IF(Nineteenth!K105="", "",Nineteenth!K105)</f>
        <v/>
      </c>
      <c r="M4602" s="67" t="str">
        <f t="shared" si="215"/>
        <v/>
      </c>
      <c r="N4602" s="76" t="str">
        <f t="shared" si="216"/>
        <v/>
      </c>
      <c r="O4602" s="33">
        <f t="shared" si="217"/>
        <v>0</v>
      </c>
    </row>
    <row r="4603" spans="1:15" x14ac:dyDescent="0.25">
      <c r="A4603" s="64" t="s">
        <v>208</v>
      </c>
      <c r="B4603" s="79" t="str">
        <f>IF(Nineteenth!B106="", "",Nineteenth!B106)</f>
        <v/>
      </c>
      <c r="C4603" s="66" t="str">
        <f>IF(Nineteenth!C106="", "",Nineteenth!C106)</f>
        <v/>
      </c>
      <c r="D4603" s="66" t="str">
        <f>IF(Nineteenth!D106="", "",Nineteenth!D106)</f>
        <v/>
      </c>
      <c r="E4603" s="66" t="str">
        <f>IF(Nineteenth!E106="", "",Nineteenth!E106)</f>
        <v/>
      </c>
      <c r="F4603" s="66" t="str">
        <f>IF(Nineteenth!F106="", "",Nineteenth!F106)</f>
        <v/>
      </c>
      <c r="G4603" s="66" t="str">
        <f>IF(Nineteenth!G106="", "",Nineteenth!G106)</f>
        <v/>
      </c>
      <c r="H4603" s="66" t="str">
        <f>IF(Nineteenth!H106="", "",Nineteenth!H106)</f>
        <v/>
      </c>
      <c r="I4603" s="66" t="str">
        <f>IF(Nineteenth!I106="", "",Nineteenth!I106)</f>
        <v/>
      </c>
      <c r="J4603" s="66" t="str">
        <f>IF(Nineteenth!J106="", "",Nineteenth!J106)</f>
        <v/>
      </c>
      <c r="K4603" s="86" t="str">
        <f>IF(Nineteenth!K106="", "",Nineteenth!K106)</f>
        <v/>
      </c>
      <c r="M4603" s="67" t="str">
        <f t="shared" si="215"/>
        <v/>
      </c>
      <c r="N4603" s="76" t="str">
        <f t="shared" si="216"/>
        <v/>
      </c>
      <c r="O4603" s="33">
        <f t="shared" si="217"/>
        <v>0</v>
      </c>
    </row>
    <row r="4604" spans="1:15" x14ac:dyDescent="0.25">
      <c r="A4604" s="64" t="s">
        <v>208</v>
      </c>
      <c r="B4604" s="79" t="str">
        <f>IF(Nineteenth!B107="", "",Nineteenth!B107)</f>
        <v/>
      </c>
      <c r="C4604" s="66" t="str">
        <f>IF(Nineteenth!C107="", "",Nineteenth!C107)</f>
        <v/>
      </c>
      <c r="D4604" s="66" t="str">
        <f>IF(Nineteenth!D107="", "",Nineteenth!D107)</f>
        <v/>
      </c>
      <c r="E4604" s="66" t="str">
        <f>IF(Nineteenth!E107="", "",Nineteenth!E107)</f>
        <v/>
      </c>
      <c r="F4604" s="66" t="str">
        <f>IF(Nineteenth!F107="", "",Nineteenth!F107)</f>
        <v/>
      </c>
      <c r="G4604" s="66" t="str">
        <f>IF(Nineteenth!G107="", "",Nineteenth!G107)</f>
        <v/>
      </c>
      <c r="H4604" s="66" t="str">
        <f>IF(Nineteenth!H107="", "",Nineteenth!H107)</f>
        <v/>
      </c>
      <c r="I4604" s="66" t="str">
        <f>IF(Nineteenth!I107="", "",Nineteenth!I107)</f>
        <v/>
      </c>
      <c r="J4604" s="66" t="str">
        <f>IF(Nineteenth!J107="", "",Nineteenth!J107)</f>
        <v/>
      </c>
      <c r="K4604" s="86" t="str">
        <f>IF(Nineteenth!K107="", "",Nineteenth!K107)</f>
        <v/>
      </c>
      <c r="M4604" s="67" t="str">
        <f t="shared" si="215"/>
        <v/>
      </c>
      <c r="N4604" s="76" t="str">
        <f t="shared" si="216"/>
        <v/>
      </c>
      <c r="O4604" s="33">
        <f t="shared" si="217"/>
        <v>0</v>
      </c>
    </row>
    <row r="4605" spans="1:15" x14ac:dyDescent="0.25">
      <c r="A4605" s="64" t="s">
        <v>208</v>
      </c>
      <c r="B4605" s="79" t="str">
        <f>IF(Nineteenth!B108="", "",Nineteenth!B108)</f>
        <v/>
      </c>
      <c r="C4605" s="66" t="str">
        <f>IF(Nineteenth!C108="", "",Nineteenth!C108)</f>
        <v/>
      </c>
      <c r="D4605" s="66" t="str">
        <f>IF(Nineteenth!D108="", "",Nineteenth!D108)</f>
        <v/>
      </c>
      <c r="E4605" s="66" t="str">
        <f>IF(Nineteenth!E108="", "",Nineteenth!E108)</f>
        <v/>
      </c>
      <c r="F4605" s="66" t="str">
        <f>IF(Nineteenth!F108="", "",Nineteenth!F108)</f>
        <v/>
      </c>
      <c r="G4605" s="66" t="str">
        <f>IF(Nineteenth!G108="", "",Nineteenth!G108)</f>
        <v/>
      </c>
      <c r="H4605" s="66" t="str">
        <f>IF(Nineteenth!H108="", "",Nineteenth!H108)</f>
        <v/>
      </c>
      <c r="I4605" s="66" t="str">
        <f>IF(Nineteenth!I108="", "",Nineteenth!I108)</f>
        <v/>
      </c>
      <c r="J4605" s="66" t="str">
        <f>IF(Nineteenth!J108="", "",Nineteenth!J108)</f>
        <v/>
      </c>
      <c r="K4605" s="86" t="str">
        <f>IF(Nineteenth!K108="", "",Nineteenth!K108)</f>
        <v/>
      </c>
      <c r="M4605" s="67" t="str">
        <f t="shared" si="215"/>
        <v/>
      </c>
      <c r="N4605" s="76" t="str">
        <f t="shared" si="216"/>
        <v/>
      </c>
      <c r="O4605" s="33">
        <f t="shared" si="217"/>
        <v>0</v>
      </c>
    </row>
    <row r="4606" spans="1:15" x14ac:dyDescent="0.25">
      <c r="A4606" s="64" t="s">
        <v>208</v>
      </c>
      <c r="B4606" s="79" t="str">
        <f>IF(Nineteenth!B109="", "",Nineteenth!B109)</f>
        <v/>
      </c>
      <c r="C4606" s="66" t="str">
        <f>IF(Nineteenth!C109="", "",Nineteenth!C109)</f>
        <v/>
      </c>
      <c r="D4606" s="66" t="str">
        <f>IF(Nineteenth!D109="", "",Nineteenth!D109)</f>
        <v/>
      </c>
      <c r="E4606" s="66" t="str">
        <f>IF(Nineteenth!E109="", "",Nineteenth!E109)</f>
        <v/>
      </c>
      <c r="F4606" s="66" t="str">
        <f>IF(Nineteenth!F109="", "",Nineteenth!F109)</f>
        <v/>
      </c>
      <c r="G4606" s="66" t="str">
        <f>IF(Nineteenth!G109="", "",Nineteenth!G109)</f>
        <v/>
      </c>
      <c r="H4606" s="66" t="str">
        <f>IF(Nineteenth!H109="", "",Nineteenth!H109)</f>
        <v/>
      </c>
      <c r="I4606" s="66" t="str">
        <f>IF(Nineteenth!I109="", "",Nineteenth!I109)</f>
        <v/>
      </c>
      <c r="J4606" s="66" t="str">
        <f>IF(Nineteenth!J109="", "",Nineteenth!J109)</f>
        <v/>
      </c>
      <c r="K4606" s="86" t="str">
        <f>IF(Nineteenth!K109="", "",Nineteenth!K109)</f>
        <v/>
      </c>
      <c r="M4606" s="67" t="str">
        <f t="shared" si="215"/>
        <v/>
      </c>
      <c r="N4606" s="76" t="str">
        <f t="shared" si="216"/>
        <v/>
      </c>
      <c r="O4606" s="33">
        <f t="shared" si="217"/>
        <v>0</v>
      </c>
    </row>
    <row r="4607" spans="1:15" x14ac:dyDescent="0.25">
      <c r="A4607" s="64" t="s">
        <v>208</v>
      </c>
      <c r="B4607" s="79" t="str">
        <f>IF(Nineteenth!B110="", "",Nineteenth!B110)</f>
        <v/>
      </c>
      <c r="C4607" s="66" t="str">
        <f>IF(Nineteenth!C110="", "",Nineteenth!C110)</f>
        <v/>
      </c>
      <c r="D4607" s="66" t="str">
        <f>IF(Nineteenth!D110="", "",Nineteenth!D110)</f>
        <v/>
      </c>
      <c r="E4607" s="66" t="str">
        <f>IF(Nineteenth!E110="", "",Nineteenth!E110)</f>
        <v/>
      </c>
      <c r="F4607" s="66" t="str">
        <f>IF(Nineteenth!F110="", "",Nineteenth!F110)</f>
        <v/>
      </c>
      <c r="G4607" s="66" t="str">
        <f>IF(Nineteenth!G110="", "",Nineteenth!G110)</f>
        <v/>
      </c>
      <c r="H4607" s="66" t="str">
        <f>IF(Nineteenth!H110="", "",Nineteenth!H110)</f>
        <v/>
      </c>
      <c r="I4607" s="66" t="str">
        <f>IF(Nineteenth!I110="", "",Nineteenth!I110)</f>
        <v/>
      </c>
      <c r="J4607" s="66" t="str">
        <f>IF(Nineteenth!J110="", "",Nineteenth!J110)</f>
        <v/>
      </c>
      <c r="K4607" s="86" t="str">
        <f>IF(Nineteenth!K110="", "",Nineteenth!K110)</f>
        <v/>
      </c>
      <c r="M4607" s="67" t="str">
        <f t="shared" si="215"/>
        <v/>
      </c>
      <c r="N4607" s="76" t="str">
        <f t="shared" si="216"/>
        <v/>
      </c>
      <c r="O4607" s="33">
        <f t="shared" si="217"/>
        <v>0</v>
      </c>
    </row>
    <row r="4608" spans="1:15" x14ac:dyDescent="0.25">
      <c r="A4608" s="64" t="s">
        <v>208</v>
      </c>
      <c r="B4608" s="79" t="str">
        <f>IF(Nineteenth!B111="", "",Nineteenth!B111)</f>
        <v/>
      </c>
      <c r="C4608" s="66" t="str">
        <f>IF(Nineteenth!C111="", "",Nineteenth!C111)</f>
        <v/>
      </c>
      <c r="D4608" s="66" t="str">
        <f>IF(Nineteenth!D111="", "",Nineteenth!D111)</f>
        <v/>
      </c>
      <c r="E4608" s="66" t="str">
        <f>IF(Nineteenth!E111="", "",Nineteenth!E111)</f>
        <v/>
      </c>
      <c r="F4608" s="66" t="str">
        <f>IF(Nineteenth!F111="", "",Nineteenth!F111)</f>
        <v/>
      </c>
      <c r="G4608" s="66" t="str">
        <f>IF(Nineteenth!G111="", "",Nineteenth!G111)</f>
        <v/>
      </c>
      <c r="H4608" s="66" t="str">
        <f>IF(Nineteenth!H111="", "",Nineteenth!H111)</f>
        <v/>
      </c>
      <c r="I4608" s="66" t="str">
        <f>IF(Nineteenth!I111="", "",Nineteenth!I111)</f>
        <v/>
      </c>
      <c r="J4608" s="66" t="str">
        <f>IF(Nineteenth!J111="", "",Nineteenth!J111)</f>
        <v/>
      </c>
      <c r="K4608" s="86" t="str">
        <f>IF(Nineteenth!K111="", "",Nineteenth!K111)</f>
        <v/>
      </c>
      <c r="M4608" s="67" t="str">
        <f t="shared" si="215"/>
        <v/>
      </c>
      <c r="N4608" s="76" t="str">
        <f t="shared" si="216"/>
        <v/>
      </c>
      <c r="O4608" s="33">
        <f t="shared" si="217"/>
        <v>0</v>
      </c>
    </row>
    <row r="4609" spans="1:15" x14ac:dyDescent="0.25">
      <c r="A4609" s="64" t="s">
        <v>208</v>
      </c>
      <c r="B4609" s="79" t="str">
        <f>IF(Nineteenth!B112="", "",Nineteenth!B112)</f>
        <v/>
      </c>
      <c r="C4609" s="66" t="str">
        <f>IF(Nineteenth!C112="", "",Nineteenth!C112)</f>
        <v/>
      </c>
      <c r="D4609" s="66" t="str">
        <f>IF(Nineteenth!D112="", "",Nineteenth!D112)</f>
        <v/>
      </c>
      <c r="E4609" s="66" t="str">
        <f>IF(Nineteenth!E112="", "",Nineteenth!E112)</f>
        <v/>
      </c>
      <c r="F4609" s="66" t="str">
        <f>IF(Nineteenth!F112="", "",Nineteenth!F112)</f>
        <v/>
      </c>
      <c r="G4609" s="66" t="str">
        <f>IF(Nineteenth!G112="", "",Nineteenth!G112)</f>
        <v/>
      </c>
      <c r="H4609" s="66" t="str">
        <f>IF(Nineteenth!H112="", "",Nineteenth!H112)</f>
        <v/>
      </c>
      <c r="I4609" s="66" t="str">
        <f>IF(Nineteenth!I112="", "",Nineteenth!I112)</f>
        <v/>
      </c>
      <c r="J4609" s="66" t="str">
        <f>IF(Nineteenth!J112="", "",Nineteenth!J112)</f>
        <v/>
      </c>
      <c r="K4609" s="86" t="str">
        <f>IF(Nineteenth!K112="", "",Nineteenth!K112)</f>
        <v/>
      </c>
      <c r="M4609" s="67" t="str">
        <f t="shared" si="215"/>
        <v/>
      </c>
      <c r="N4609" s="76" t="str">
        <f t="shared" si="216"/>
        <v/>
      </c>
      <c r="O4609" s="33">
        <f t="shared" si="217"/>
        <v>0</v>
      </c>
    </row>
    <row r="4610" spans="1:15" x14ac:dyDescent="0.25">
      <c r="A4610" s="64" t="s">
        <v>208</v>
      </c>
      <c r="B4610" s="79" t="str">
        <f>IF(Nineteenth!B113="", "",Nineteenth!B113)</f>
        <v/>
      </c>
      <c r="C4610" s="66" t="str">
        <f>IF(Nineteenth!C113="", "",Nineteenth!C113)</f>
        <v/>
      </c>
      <c r="D4610" s="66" t="str">
        <f>IF(Nineteenth!D113="", "",Nineteenth!D113)</f>
        <v/>
      </c>
      <c r="E4610" s="66" t="str">
        <f>IF(Nineteenth!E113="", "",Nineteenth!E113)</f>
        <v/>
      </c>
      <c r="F4610" s="66" t="str">
        <f>IF(Nineteenth!F113="", "",Nineteenth!F113)</f>
        <v/>
      </c>
      <c r="G4610" s="66" t="str">
        <f>IF(Nineteenth!G113="", "",Nineteenth!G113)</f>
        <v/>
      </c>
      <c r="H4610" s="66" t="str">
        <f>IF(Nineteenth!H113="", "",Nineteenth!H113)</f>
        <v/>
      </c>
      <c r="I4610" s="66" t="str">
        <f>IF(Nineteenth!I113="", "",Nineteenth!I113)</f>
        <v/>
      </c>
      <c r="J4610" s="66" t="str">
        <f>IF(Nineteenth!J113="", "",Nineteenth!J113)</f>
        <v/>
      </c>
      <c r="K4610" s="86" t="str">
        <f>IF(Nineteenth!K113="", "",Nineteenth!K113)</f>
        <v/>
      </c>
      <c r="M4610" s="67" t="str">
        <f t="shared" si="215"/>
        <v/>
      </c>
      <c r="N4610" s="76" t="str">
        <f t="shared" si="216"/>
        <v/>
      </c>
      <c r="O4610" s="33">
        <f t="shared" si="217"/>
        <v>0</v>
      </c>
    </row>
    <row r="4611" spans="1:15" x14ac:dyDescent="0.25">
      <c r="A4611" s="64" t="s">
        <v>208</v>
      </c>
      <c r="B4611" s="79" t="str">
        <f>IF(Nineteenth!B114="", "",Nineteenth!B114)</f>
        <v/>
      </c>
      <c r="C4611" s="66" t="str">
        <f>IF(Nineteenth!C114="", "",Nineteenth!C114)</f>
        <v/>
      </c>
      <c r="D4611" s="66" t="str">
        <f>IF(Nineteenth!D114="", "",Nineteenth!D114)</f>
        <v/>
      </c>
      <c r="E4611" s="66" t="str">
        <f>IF(Nineteenth!E114="", "",Nineteenth!E114)</f>
        <v/>
      </c>
      <c r="F4611" s="66" t="str">
        <f>IF(Nineteenth!F114="", "",Nineteenth!F114)</f>
        <v/>
      </c>
      <c r="G4611" s="66" t="str">
        <f>IF(Nineteenth!G114="", "",Nineteenth!G114)</f>
        <v/>
      </c>
      <c r="H4611" s="66" t="str">
        <f>IF(Nineteenth!H114="", "",Nineteenth!H114)</f>
        <v/>
      </c>
      <c r="I4611" s="66" t="str">
        <f>IF(Nineteenth!I114="", "",Nineteenth!I114)</f>
        <v/>
      </c>
      <c r="J4611" s="66" t="str">
        <f>IF(Nineteenth!J114="", "",Nineteenth!J114)</f>
        <v/>
      </c>
      <c r="K4611" s="86" t="str">
        <f>IF(Nineteenth!K114="", "",Nineteenth!K114)</f>
        <v/>
      </c>
      <c r="M4611" s="67" t="str">
        <f t="shared" si="215"/>
        <v/>
      </c>
      <c r="N4611" s="76" t="str">
        <f t="shared" si="216"/>
        <v/>
      </c>
      <c r="O4611" s="33">
        <f t="shared" si="217"/>
        <v>0</v>
      </c>
    </row>
    <row r="4612" spans="1:15" x14ac:dyDescent="0.25">
      <c r="A4612" s="64" t="s">
        <v>208</v>
      </c>
      <c r="B4612" s="79" t="str">
        <f>IF(Nineteenth!B115="", "",Nineteenth!B115)</f>
        <v/>
      </c>
      <c r="C4612" s="66" t="str">
        <f>IF(Nineteenth!C115="", "",Nineteenth!C115)</f>
        <v/>
      </c>
      <c r="D4612" s="66" t="str">
        <f>IF(Nineteenth!D115="", "",Nineteenth!D115)</f>
        <v/>
      </c>
      <c r="E4612" s="66" t="str">
        <f>IF(Nineteenth!E115="", "",Nineteenth!E115)</f>
        <v/>
      </c>
      <c r="F4612" s="66" t="str">
        <f>IF(Nineteenth!F115="", "",Nineteenth!F115)</f>
        <v/>
      </c>
      <c r="G4612" s="66" t="str">
        <f>IF(Nineteenth!G115="", "",Nineteenth!G115)</f>
        <v/>
      </c>
      <c r="H4612" s="66" t="str">
        <f>IF(Nineteenth!H115="", "",Nineteenth!H115)</f>
        <v/>
      </c>
      <c r="I4612" s="66" t="str">
        <f>IF(Nineteenth!I115="", "",Nineteenth!I115)</f>
        <v/>
      </c>
      <c r="J4612" s="66" t="str">
        <f>IF(Nineteenth!J115="", "",Nineteenth!J115)</f>
        <v/>
      </c>
      <c r="K4612" s="86" t="str">
        <f>IF(Nineteenth!K115="", "",Nineteenth!K115)</f>
        <v/>
      </c>
      <c r="M4612" s="67" t="str">
        <f t="shared" ref="M4612:M4651" si="218">IF(C4612="PwC",(7-COUNTIF(B4612:H4612,"")),"")</f>
        <v/>
      </c>
      <c r="N4612" s="76" t="str">
        <f t="shared" ref="N4612:N4651" si="219">IF(C4612="Carer",(7-COUNTIF(B4612:H4612,"")),"")</f>
        <v/>
      </c>
      <c r="O4612" s="33">
        <f t="shared" si="217"/>
        <v>0</v>
      </c>
    </row>
    <row r="4613" spans="1:15" x14ac:dyDescent="0.25">
      <c r="A4613" s="64" t="s">
        <v>208</v>
      </c>
      <c r="B4613" s="79" t="str">
        <f>IF(Nineteenth!B116="", "",Nineteenth!B116)</f>
        <v/>
      </c>
      <c r="C4613" s="66" t="str">
        <f>IF(Nineteenth!C116="", "",Nineteenth!C116)</f>
        <v/>
      </c>
      <c r="D4613" s="66" t="str">
        <f>IF(Nineteenth!D116="", "",Nineteenth!D116)</f>
        <v/>
      </c>
      <c r="E4613" s="66" t="str">
        <f>IF(Nineteenth!E116="", "",Nineteenth!E116)</f>
        <v/>
      </c>
      <c r="F4613" s="66" t="str">
        <f>IF(Nineteenth!F116="", "",Nineteenth!F116)</f>
        <v/>
      </c>
      <c r="G4613" s="66" t="str">
        <f>IF(Nineteenth!G116="", "",Nineteenth!G116)</f>
        <v/>
      </c>
      <c r="H4613" s="66" t="str">
        <f>IF(Nineteenth!H116="", "",Nineteenth!H116)</f>
        <v/>
      </c>
      <c r="I4613" s="66" t="str">
        <f>IF(Nineteenth!I116="", "",Nineteenth!I116)</f>
        <v/>
      </c>
      <c r="J4613" s="66" t="str">
        <f>IF(Nineteenth!J116="", "",Nineteenth!J116)</f>
        <v/>
      </c>
      <c r="K4613" s="86" t="str">
        <f>IF(Nineteenth!K116="", "",Nineteenth!K116)</f>
        <v/>
      </c>
      <c r="M4613" s="67" t="str">
        <f t="shared" si="218"/>
        <v/>
      </c>
      <c r="N4613" s="76" t="str">
        <f t="shared" si="219"/>
        <v/>
      </c>
      <c r="O4613" s="33">
        <f t="shared" si="217"/>
        <v>0</v>
      </c>
    </row>
    <row r="4614" spans="1:15" x14ac:dyDescent="0.25">
      <c r="A4614" s="64" t="s">
        <v>208</v>
      </c>
      <c r="B4614" s="79" t="str">
        <f>IF(Nineteenth!B117="", "",Nineteenth!B117)</f>
        <v/>
      </c>
      <c r="C4614" s="66" t="str">
        <f>IF(Nineteenth!C117="", "",Nineteenth!C117)</f>
        <v/>
      </c>
      <c r="D4614" s="66" t="str">
        <f>IF(Nineteenth!D117="", "",Nineteenth!D117)</f>
        <v/>
      </c>
      <c r="E4614" s="66" t="str">
        <f>IF(Nineteenth!E117="", "",Nineteenth!E117)</f>
        <v/>
      </c>
      <c r="F4614" s="66" t="str">
        <f>IF(Nineteenth!F117="", "",Nineteenth!F117)</f>
        <v/>
      </c>
      <c r="G4614" s="66" t="str">
        <f>IF(Nineteenth!G117="", "",Nineteenth!G117)</f>
        <v/>
      </c>
      <c r="H4614" s="66" t="str">
        <f>IF(Nineteenth!H117="", "",Nineteenth!H117)</f>
        <v/>
      </c>
      <c r="I4614" s="66" t="str">
        <f>IF(Nineteenth!I117="", "",Nineteenth!I117)</f>
        <v/>
      </c>
      <c r="J4614" s="66" t="str">
        <f>IF(Nineteenth!J117="", "",Nineteenth!J117)</f>
        <v/>
      </c>
      <c r="K4614" s="86" t="str">
        <f>IF(Nineteenth!K117="", "",Nineteenth!K117)</f>
        <v/>
      </c>
      <c r="M4614" s="67" t="str">
        <f t="shared" si="218"/>
        <v/>
      </c>
      <c r="N4614" s="76" t="str">
        <f t="shared" si="219"/>
        <v/>
      </c>
      <c r="O4614" s="33">
        <f t="shared" si="217"/>
        <v>0</v>
      </c>
    </row>
    <row r="4615" spans="1:15" x14ac:dyDescent="0.25">
      <c r="A4615" s="64" t="s">
        <v>208</v>
      </c>
      <c r="B4615" s="79" t="str">
        <f>IF(Nineteenth!B118="", "",Nineteenth!B118)</f>
        <v/>
      </c>
      <c r="C4615" s="66" t="str">
        <f>IF(Nineteenth!C118="", "",Nineteenth!C118)</f>
        <v/>
      </c>
      <c r="D4615" s="66" t="str">
        <f>IF(Nineteenth!D118="", "",Nineteenth!D118)</f>
        <v/>
      </c>
      <c r="E4615" s="66" t="str">
        <f>IF(Nineteenth!E118="", "",Nineteenth!E118)</f>
        <v/>
      </c>
      <c r="F4615" s="66" t="str">
        <f>IF(Nineteenth!F118="", "",Nineteenth!F118)</f>
        <v/>
      </c>
      <c r="G4615" s="66" t="str">
        <f>IF(Nineteenth!G118="", "",Nineteenth!G118)</f>
        <v/>
      </c>
      <c r="H4615" s="66" t="str">
        <f>IF(Nineteenth!H118="", "",Nineteenth!H118)</f>
        <v/>
      </c>
      <c r="I4615" s="66" t="str">
        <f>IF(Nineteenth!I118="", "",Nineteenth!I118)</f>
        <v/>
      </c>
      <c r="J4615" s="66" t="str">
        <f>IF(Nineteenth!J118="", "",Nineteenth!J118)</f>
        <v/>
      </c>
      <c r="K4615" s="86" t="str">
        <f>IF(Nineteenth!K118="", "",Nineteenth!K118)</f>
        <v/>
      </c>
      <c r="M4615" s="67" t="str">
        <f t="shared" si="218"/>
        <v/>
      </c>
      <c r="N4615" s="76" t="str">
        <f t="shared" si="219"/>
        <v/>
      </c>
      <c r="O4615" s="33">
        <f t="shared" si="217"/>
        <v>0</v>
      </c>
    </row>
    <row r="4616" spans="1:15" x14ac:dyDescent="0.25">
      <c r="A4616" s="64" t="s">
        <v>208</v>
      </c>
      <c r="B4616" s="79" t="str">
        <f>IF(Nineteenth!B119="", "",Nineteenth!B119)</f>
        <v/>
      </c>
      <c r="C4616" s="66" t="str">
        <f>IF(Nineteenth!C119="", "",Nineteenth!C119)</f>
        <v/>
      </c>
      <c r="D4616" s="66" t="str">
        <f>IF(Nineteenth!D119="", "",Nineteenth!D119)</f>
        <v/>
      </c>
      <c r="E4616" s="66" t="str">
        <f>IF(Nineteenth!E119="", "",Nineteenth!E119)</f>
        <v/>
      </c>
      <c r="F4616" s="66" t="str">
        <f>IF(Nineteenth!F119="", "",Nineteenth!F119)</f>
        <v/>
      </c>
      <c r="G4616" s="66" t="str">
        <f>IF(Nineteenth!G119="", "",Nineteenth!G119)</f>
        <v/>
      </c>
      <c r="H4616" s="66" t="str">
        <f>IF(Nineteenth!H119="", "",Nineteenth!H119)</f>
        <v/>
      </c>
      <c r="I4616" s="66" t="str">
        <f>IF(Nineteenth!I119="", "",Nineteenth!I119)</f>
        <v/>
      </c>
      <c r="J4616" s="66" t="str">
        <f>IF(Nineteenth!J119="", "",Nineteenth!J119)</f>
        <v/>
      </c>
      <c r="K4616" s="86" t="str">
        <f>IF(Nineteenth!K119="", "",Nineteenth!K119)</f>
        <v/>
      </c>
      <c r="M4616" s="67" t="str">
        <f t="shared" si="218"/>
        <v/>
      </c>
      <c r="N4616" s="76" t="str">
        <f t="shared" si="219"/>
        <v/>
      </c>
      <c r="O4616" s="33">
        <f t="shared" si="217"/>
        <v>0</v>
      </c>
    </row>
    <row r="4617" spans="1:15" x14ac:dyDescent="0.25">
      <c r="A4617" s="64" t="s">
        <v>208</v>
      </c>
      <c r="B4617" s="79" t="str">
        <f>IF(Nineteenth!B120="", "",Nineteenth!B120)</f>
        <v/>
      </c>
      <c r="C4617" s="66" t="str">
        <f>IF(Nineteenth!C120="", "",Nineteenth!C120)</f>
        <v/>
      </c>
      <c r="D4617" s="66" t="str">
        <f>IF(Nineteenth!D120="", "",Nineteenth!D120)</f>
        <v/>
      </c>
      <c r="E4617" s="66" t="str">
        <f>IF(Nineteenth!E120="", "",Nineteenth!E120)</f>
        <v/>
      </c>
      <c r="F4617" s="66" t="str">
        <f>IF(Nineteenth!F120="", "",Nineteenth!F120)</f>
        <v/>
      </c>
      <c r="G4617" s="66" t="str">
        <f>IF(Nineteenth!G120="", "",Nineteenth!G120)</f>
        <v/>
      </c>
      <c r="H4617" s="66" t="str">
        <f>IF(Nineteenth!H120="", "",Nineteenth!H120)</f>
        <v/>
      </c>
      <c r="I4617" s="66" t="str">
        <f>IF(Nineteenth!I120="", "",Nineteenth!I120)</f>
        <v/>
      </c>
      <c r="J4617" s="66" t="str">
        <f>IF(Nineteenth!J120="", "",Nineteenth!J120)</f>
        <v/>
      </c>
      <c r="K4617" s="86" t="str">
        <f>IF(Nineteenth!K120="", "",Nineteenth!K120)</f>
        <v/>
      </c>
      <c r="M4617" s="67" t="str">
        <f t="shared" si="218"/>
        <v/>
      </c>
      <c r="N4617" s="76" t="str">
        <f t="shared" si="219"/>
        <v/>
      </c>
      <c r="O4617" s="33">
        <f t="shared" si="217"/>
        <v>0</v>
      </c>
    </row>
    <row r="4618" spans="1:15" x14ac:dyDescent="0.25">
      <c r="A4618" s="64" t="s">
        <v>208</v>
      </c>
      <c r="B4618" s="79" t="str">
        <f>IF(Nineteenth!B121="", "",Nineteenth!B121)</f>
        <v/>
      </c>
      <c r="C4618" s="66" t="str">
        <f>IF(Nineteenth!C121="", "",Nineteenth!C121)</f>
        <v/>
      </c>
      <c r="D4618" s="66" t="str">
        <f>IF(Nineteenth!D121="", "",Nineteenth!D121)</f>
        <v/>
      </c>
      <c r="E4618" s="66" t="str">
        <f>IF(Nineteenth!E121="", "",Nineteenth!E121)</f>
        <v/>
      </c>
      <c r="F4618" s="66" t="str">
        <f>IF(Nineteenth!F121="", "",Nineteenth!F121)</f>
        <v/>
      </c>
      <c r="G4618" s="66" t="str">
        <f>IF(Nineteenth!G121="", "",Nineteenth!G121)</f>
        <v/>
      </c>
      <c r="H4618" s="66" t="str">
        <f>IF(Nineteenth!H121="", "",Nineteenth!H121)</f>
        <v/>
      </c>
      <c r="I4618" s="66" t="str">
        <f>IF(Nineteenth!I121="", "",Nineteenth!I121)</f>
        <v/>
      </c>
      <c r="J4618" s="66" t="str">
        <f>IF(Nineteenth!J121="", "",Nineteenth!J121)</f>
        <v/>
      </c>
      <c r="K4618" s="86" t="str">
        <f>IF(Nineteenth!K121="", "",Nineteenth!K121)</f>
        <v/>
      </c>
      <c r="M4618" s="67" t="str">
        <f t="shared" si="218"/>
        <v/>
      </c>
      <c r="N4618" s="76" t="str">
        <f t="shared" si="219"/>
        <v/>
      </c>
      <c r="O4618" s="33">
        <f t="shared" si="217"/>
        <v>0</v>
      </c>
    </row>
    <row r="4619" spans="1:15" x14ac:dyDescent="0.25">
      <c r="A4619" s="64" t="s">
        <v>208</v>
      </c>
      <c r="B4619" s="79" t="str">
        <f>IF(Nineteenth!B122="", "",Nineteenth!B122)</f>
        <v/>
      </c>
      <c r="C4619" s="66" t="str">
        <f>IF(Nineteenth!C122="", "",Nineteenth!C122)</f>
        <v/>
      </c>
      <c r="D4619" s="66" t="str">
        <f>IF(Nineteenth!D122="", "",Nineteenth!D122)</f>
        <v/>
      </c>
      <c r="E4619" s="66" t="str">
        <f>IF(Nineteenth!E122="", "",Nineteenth!E122)</f>
        <v/>
      </c>
      <c r="F4619" s="66" t="str">
        <f>IF(Nineteenth!F122="", "",Nineteenth!F122)</f>
        <v/>
      </c>
      <c r="G4619" s="66" t="str">
        <f>IF(Nineteenth!G122="", "",Nineteenth!G122)</f>
        <v/>
      </c>
      <c r="H4619" s="66" t="str">
        <f>IF(Nineteenth!H122="", "",Nineteenth!H122)</f>
        <v/>
      </c>
      <c r="I4619" s="66" t="str">
        <f>IF(Nineteenth!I122="", "",Nineteenth!I122)</f>
        <v/>
      </c>
      <c r="J4619" s="66" t="str">
        <f>IF(Nineteenth!J122="", "",Nineteenth!J122)</f>
        <v/>
      </c>
      <c r="K4619" s="86" t="str">
        <f>IF(Nineteenth!K122="", "",Nineteenth!K122)</f>
        <v/>
      </c>
      <c r="M4619" s="67" t="str">
        <f t="shared" si="218"/>
        <v/>
      </c>
      <c r="N4619" s="76" t="str">
        <f t="shared" si="219"/>
        <v/>
      </c>
      <c r="O4619" s="33">
        <f t="shared" si="217"/>
        <v>0</v>
      </c>
    </row>
    <row r="4620" spans="1:15" x14ac:dyDescent="0.25">
      <c r="A4620" s="64" t="s">
        <v>208</v>
      </c>
      <c r="B4620" s="79" t="str">
        <f>IF(Nineteenth!B123="", "",Nineteenth!B123)</f>
        <v/>
      </c>
      <c r="C4620" s="66" t="str">
        <f>IF(Nineteenth!C123="", "",Nineteenth!C123)</f>
        <v/>
      </c>
      <c r="D4620" s="66" t="str">
        <f>IF(Nineteenth!D123="", "",Nineteenth!D123)</f>
        <v/>
      </c>
      <c r="E4620" s="66" t="str">
        <f>IF(Nineteenth!E123="", "",Nineteenth!E123)</f>
        <v/>
      </c>
      <c r="F4620" s="66" t="str">
        <f>IF(Nineteenth!F123="", "",Nineteenth!F123)</f>
        <v/>
      </c>
      <c r="G4620" s="66" t="str">
        <f>IF(Nineteenth!G123="", "",Nineteenth!G123)</f>
        <v/>
      </c>
      <c r="H4620" s="66" t="str">
        <f>IF(Nineteenth!H123="", "",Nineteenth!H123)</f>
        <v/>
      </c>
      <c r="I4620" s="66" t="str">
        <f>IF(Nineteenth!I123="", "",Nineteenth!I123)</f>
        <v/>
      </c>
      <c r="J4620" s="66" t="str">
        <f>IF(Nineteenth!J123="", "",Nineteenth!J123)</f>
        <v/>
      </c>
      <c r="K4620" s="86" t="str">
        <f>IF(Nineteenth!K123="", "",Nineteenth!K123)</f>
        <v/>
      </c>
      <c r="M4620" s="67" t="str">
        <f t="shared" si="218"/>
        <v/>
      </c>
      <c r="N4620" s="76" t="str">
        <f t="shared" si="219"/>
        <v/>
      </c>
      <c r="O4620" s="33">
        <f t="shared" si="217"/>
        <v>0</v>
      </c>
    </row>
    <row r="4621" spans="1:15" x14ac:dyDescent="0.25">
      <c r="A4621" s="64" t="s">
        <v>208</v>
      </c>
      <c r="B4621" s="79" t="str">
        <f>IF(Nineteenth!B124="", "",Nineteenth!B124)</f>
        <v/>
      </c>
      <c r="C4621" s="66" t="str">
        <f>IF(Nineteenth!C124="", "",Nineteenth!C124)</f>
        <v/>
      </c>
      <c r="D4621" s="66" t="str">
        <f>IF(Nineteenth!D124="", "",Nineteenth!D124)</f>
        <v/>
      </c>
      <c r="E4621" s="66" t="str">
        <f>IF(Nineteenth!E124="", "",Nineteenth!E124)</f>
        <v/>
      </c>
      <c r="F4621" s="66" t="str">
        <f>IF(Nineteenth!F124="", "",Nineteenth!F124)</f>
        <v/>
      </c>
      <c r="G4621" s="66" t="str">
        <f>IF(Nineteenth!G124="", "",Nineteenth!G124)</f>
        <v/>
      </c>
      <c r="H4621" s="66" t="str">
        <f>IF(Nineteenth!H124="", "",Nineteenth!H124)</f>
        <v/>
      </c>
      <c r="I4621" s="66" t="str">
        <f>IF(Nineteenth!I124="", "",Nineteenth!I124)</f>
        <v/>
      </c>
      <c r="J4621" s="66" t="str">
        <f>IF(Nineteenth!J124="", "",Nineteenth!J124)</f>
        <v/>
      </c>
      <c r="K4621" s="86" t="str">
        <f>IF(Nineteenth!K124="", "",Nineteenth!K124)</f>
        <v/>
      </c>
      <c r="M4621" s="67" t="str">
        <f t="shared" si="218"/>
        <v/>
      </c>
      <c r="N4621" s="76" t="str">
        <f t="shared" si="219"/>
        <v/>
      </c>
      <c r="O4621" s="33">
        <f t="shared" si="217"/>
        <v>0</v>
      </c>
    </row>
    <row r="4622" spans="1:15" x14ac:dyDescent="0.25">
      <c r="A4622" s="64" t="s">
        <v>208</v>
      </c>
      <c r="B4622" s="79" t="str">
        <f>IF(Nineteenth!B125="", "",Nineteenth!B125)</f>
        <v/>
      </c>
      <c r="C4622" s="66" t="str">
        <f>IF(Nineteenth!C125="", "",Nineteenth!C125)</f>
        <v/>
      </c>
      <c r="D4622" s="66" t="str">
        <f>IF(Nineteenth!D125="", "",Nineteenth!D125)</f>
        <v/>
      </c>
      <c r="E4622" s="66" t="str">
        <f>IF(Nineteenth!E125="", "",Nineteenth!E125)</f>
        <v/>
      </c>
      <c r="F4622" s="66" t="str">
        <f>IF(Nineteenth!F125="", "",Nineteenth!F125)</f>
        <v/>
      </c>
      <c r="G4622" s="66" t="str">
        <f>IF(Nineteenth!G125="", "",Nineteenth!G125)</f>
        <v/>
      </c>
      <c r="H4622" s="66" t="str">
        <f>IF(Nineteenth!H125="", "",Nineteenth!H125)</f>
        <v/>
      </c>
      <c r="I4622" s="66" t="str">
        <f>IF(Nineteenth!I125="", "",Nineteenth!I125)</f>
        <v/>
      </c>
      <c r="J4622" s="66" t="str">
        <f>IF(Nineteenth!J125="", "",Nineteenth!J125)</f>
        <v/>
      </c>
      <c r="K4622" s="86" t="str">
        <f>IF(Nineteenth!K125="", "",Nineteenth!K125)</f>
        <v/>
      </c>
      <c r="M4622" s="67" t="str">
        <f t="shared" si="218"/>
        <v/>
      </c>
      <c r="N4622" s="76" t="str">
        <f t="shared" si="219"/>
        <v/>
      </c>
      <c r="O4622" s="33">
        <f t="shared" si="217"/>
        <v>0</v>
      </c>
    </row>
    <row r="4623" spans="1:15" x14ac:dyDescent="0.25">
      <c r="A4623" s="64" t="s">
        <v>208</v>
      </c>
      <c r="B4623" s="79" t="str">
        <f>IF(Nineteenth!B126="", "",Nineteenth!B126)</f>
        <v/>
      </c>
      <c r="C4623" s="66" t="str">
        <f>IF(Nineteenth!C126="", "",Nineteenth!C126)</f>
        <v/>
      </c>
      <c r="D4623" s="66" t="str">
        <f>IF(Nineteenth!D126="", "",Nineteenth!D126)</f>
        <v/>
      </c>
      <c r="E4623" s="66" t="str">
        <f>IF(Nineteenth!E126="", "",Nineteenth!E126)</f>
        <v/>
      </c>
      <c r="F4623" s="66" t="str">
        <f>IF(Nineteenth!F126="", "",Nineteenth!F126)</f>
        <v/>
      </c>
      <c r="G4623" s="66" t="str">
        <f>IF(Nineteenth!G126="", "",Nineteenth!G126)</f>
        <v/>
      </c>
      <c r="H4623" s="66" t="str">
        <f>IF(Nineteenth!H126="", "",Nineteenth!H126)</f>
        <v/>
      </c>
      <c r="I4623" s="66" t="str">
        <f>IF(Nineteenth!I126="", "",Nineteenth!I126)</f>
        <v/>
      </c>
      <c r="J4623" s="66" t="str">
        <f>IF(Nineteenth!J126="", "",Nineteenth!J126)</f>
        <v/>
      </c>
      <c r="K4623" s="86" t="str">
        <f>IF(Nineteenth!K126="", "",Nineteenth!K126)</f>
        <v/>
      </c>
      <c r="M4623" s="67" t="str">
        <f t="shared" si="218"/>
        <v/>
      </c>
      <c r="N4623" s="76" t="str">
        <f t="shared" si="219"/>
        <v/>
      </c>
      <c r="O4623" s="33">
        <f t="shared" si="217"/>
        <v>0</v>
      </c>
    </row>
    <row r="4624" spans="1:15" x14ac:dyDescent="0.25">
      <c r="A4624" s="64" t="s">
        <v>208</v>
      </c>
      <c r="B4624" s="79" t="str">
        <f>IF(Nineteenth!B127="", "",Nineteenth!B127)</f>
        <v/>
      </c>
      <c r="C4624" s="66" t="str">
        <f>IF(Nineteenth!C127="", "",Nineteenth!C127)</f>
        <v/>
      </c>
      <c r="D4624" s="66" t="str">
        <f>IF(Nineteenth!D127="", "",Nineteenth!D127)</f>
        <v/>
      </c>
      <c r="E4624" s="66" t="str">
        <f>IF(Nineteenth!E127="", "",Nineteenth!E127)</f>
        <v/>
      </c>
      <c r="F4624" s="66" t="str">
        <f>IF(Nineteenth!F127="", "",Nineteenth!F127)</f>
        <v/>
      </c>
      <c r="G4624" s="66" t="str">
        <f>IF(Nineteenth!G127="", "",Nineteenth!G127)</f>
        <v/>
      </c>
      <c r="H4624" s="66" t="str">
        <f>IF(Nineteenth!H127="", "",Nineteenth!H127)</f>
        <v/>
      </c>
      <c r="I4624" s="66" t="str">
        <f>IF(Nineteenth!I127="", "",Nineteenth!I127)</f>
        <v/>
      </c>
      <c r="J4624" s="66" t="str">
        <f>IF(Nineteenth!J127="", "",Nineteenth!J127)</f>
        <v/>
      </c>
      <c r="K4624" s="86" t="str">
        <f>IF(Nineteenth!K127="", "",Nineteenth!K127)</f>
        <v/>
      </c>
      <c r="M4624" s="67" t="str">
        <f t="shared" si="218"/>
        <v/>
      </c>
      <c r="N4624" s="76" t="str">
        <f t="shared" si="219"/>
        <v/>
      </c>
      <c r="O4624" s="33">
        <f t="shared" si="217"/>
        <v>0</v>
      </c>
    </row>
    <row r="4625" spans="1:15" x14ac:dyDescent="0.25">
      <c r="A4625" s="64" t="s">
        <v>208</v>
      </c>
      <c r="B4625" s="79" t="str">
        <f>IF(Nineteenth!B128="", "",Nineteenth!B128)</f>
        <v/>
      </c>
      <c r="C4625" s="66" t="str">
        <f>IF(Nineteenth!C128="", "",Nineteenth!C128)</f>
        <v/>
      </c>
      <c r="D4625" s="66" t="str">
        <f>IF(Nineteenth!D128="", "",Nineteenth!D128)</f>
        <v/>
      </c>
      <c r="E4625" s="66" t="str">
        <f>IF(Nineteenth!E128="", "",Nineteenth!E128)</f>
        <v/>
      </c>
      <c r="F4625" s="66" t="str">
        <f>IF(Nineteenth!F128="", "",Nineteenth!F128)</f>
        <v/>
      </c>
      <c r="G4625" s="66" t="str">
        <f>IF(Nineteenth!G128="", "",Nineteenth!G128)</f>
        <v/>
      </c>
      <c r="H4625" s="66" t="str">
        <f>IF(Nineteenth!H128="", "",Nineteenth!H128)</f>
        <v/>
      </c>
      <c r="I4625" s="66" t="str">
        <f>IF(Nineteenth!I128="", "",Nineteenth!I128)</f>
        <v/>
      </c>
      <c r="J4625" s="66" t="str">
        <f>IF(Nineteenth!J128="", "",Nineteenth!J128)</f>
        <v/>
      </c>
      <c r="K4625" s="86" t="str">
        <f>IF(Nineteenth!K128="", "",Nineteenth!K128)</f>
        <v/>
      </c>
      <c r="M4625" s="67" t="str">
        <f t="shared" si="218"/>
        <v/>
      </c>
      <c r="N4625" s="76" t="str">
        <f t="shared" si="219"/>
        <v/>
      </c>
      <c r="O4625" s="33">
        <f t="shared" si="217"/>
        <v>0</v>
      </c>
    </row>
    <row r="4626" spans="1:15" x14ac:dyDescent="0.25">
      <c r="A4626" s="64" t="s">
        <v>208</v>
      </c>
      <c r="B4626" s="79" t="str">
        <f>IF(Nineteenth!B129="", "",Nineteenth!B129)</f>
        <v/>
      </c>
      <c r="C4626" s="66" t="str">
        <f>IF(Nineteenth!C129="", "",Nineteenth!C129)</f>
        <v/>
      </c>
      <c r="D4626" s="66" t="str">
        <f>IF(Nineteenth!D129="", "",Nineteenth!D129)</f>
        <v/>
      </c>
      <c r="E4626" s="66" t="str">
        <f>IF(Nineteenth!E129="", "",Nineteenth!E129)</f>
        <v/>
      </c>
      <c r="F4626" s="66" t="str">
        <f>IF(Nineteenth!F129="", "",Nineteenth!F129)</f>
        <v/>
      </c>
      <c r="G4626" s="66" t="str">
        <f>IF(Nineteenth!G129="", "",Nineteenth!G129)</f>
        <v/>
      </c>
      <c r="H4626" s="66" t="str">
        <f>IF(Nineteenth!H129="", "",Nineteenth!H129)</f>
        <v/>
      </c>
      <c r="I4626" s="66" t="str">
        <f>IF(Nineteenth!I129="", "",Nineteenth!I129)</f>
        <v/>
      </c>
      <c r="J4626" s="66" t="str">
        <f>IF(Nineteenth!J129="", "",Nineteenth!J129)</f>
        <v/>
      </c>
      <c r="K4626" s="86" t="str">
        <f>IF(Nineteenth!K129="", "",Nineteenth!K129)</f>
        <v/>
      </c>
      <c r="M4626" s="67" t="str">
        <f t="shared" si="218"/>
        <v/>
      </c>
      <c r="N4626" s="76" t="str">
        <f t="shared" si="219"/>
        <v/>
      </c>
      <c r="O4626" s="33">
        <f t="shared" si="217"/>
        <v>0</v>
      </c>
    </row>
    <row r="4627" spans="1:15" x14ac:dyDescent="0.25">
      <c r="A4627" s="64" t="s">
        <v>208</v>
      </c>
      <c r="B4627" s="79" t="str">
        <f>IF(Nineteenth!B130="", "",Nineteenth!B130)</f>
        <v/>
      </c>
      <c r="C4627" s="66" t="str">
        <f>IF(Nineteenth!C130="", "",Nineteenth!C130)</f>
        <v/>
      </c>
      <c r="D4627" s="66" t="str">
        <f>IF(Nineteenth!D130="", "",Nineteenth!D130)</f>
        <v/>
      </c>
      <c r="E4627" s="66" t="str">
        <f>IF(Nineteenth!E130="", "",Nineteenth!E130)</f>
        <v/>
      </c>
      <c r="F4627" s="66" t="str">
        <f>IF(Nineteenth!F130="", "",Nineteenth!F130)</f>
        <v/>
      </c>
      <c r="G4627" s="66" t="str">
        <f>IF(Nineteenth!G130="", "",Nineteenth!G130)</f>
        <v/>
      </c>
      <c r="H4627" s="66" t="str">
        <f>IF(Nineteenth!H130="", "",Nineteenth!H130)</f>
        <v/>
      </c>
      <c r="I4627" s="66" t="str">
        <f>IF(Nineteenth!I130="", "",Nineteenth!I130)</f>
        <v/>
      </c>
      <c r="J4627" s="66" t="str">
        <f>IF(Nineteenth!J130="", "",Nineteenth!J130)</f>
        <v/>
      </c>
      <c r="K4627" s="86" t="str">
        <f>IF(Nineteenth!K130="", "",Nineteenth!K130)</f>
        <v/>
      </c>
      <c r="M4627" s="67" t="str">
        <f t="shared" si="218"/>
        <v/>
      </c>
      <c r="N4627" s="76" t="str">
        <f t="shared" si="219"/>
        <v/>
      </c>
      <c r="O4627" s="33">
        <f t="shared" si="217"/>
        <v>0</v>
      </c>
    </row>
    <row r="4628" spans="1:15" x14ac:dyDescent="0.25">
      <c r="A4628" s="64" t="s">
        <v>208</v>
      </c>
      <c r="B4628" s="79" t="str">
        <f>IF(Nineteenth!B131="", "",Nineteenth!B131)</f>
        <v/>
      </c>
      <c r="C4628" s="66" t="str">
        <f>IF(Nineteenth!C131="", "",Nineteenth!C131)</f>
        <v/>
      </c>
      <c r="D4628" s="66" t="str">
        <f>IF(Nineteenth!D131="", "",Nineteenth!D131)</f>
        <v/>
      </c>
      <c r="E4628" s="66" t="str">
        <f>IF(Nineteenth!E131="", "",Nineteenth!E131)</f>
        <v/>
      </c>
      <c r="F4628" s="66" t="str">
        <f>IF(Nineteenth!F131="", "",Nineteenth!F131)</f>
        <v/>
      </c>
      <c r="G4628" s="66" t="str">
        <f>IF(Nineteenth!G131="", "",Nineteenth!G131)</f>
        <v/>
      </c>
      <c r="H4628" s="66" t="str">
        <f>IF(Nineteenth!H131="", "",Nineteenth!H131)</f>
        <v/>
      </c>
      <c r="I4628" s="66" t="str">
        <f>IF(Nineteenth!I131="", "",Nineteenth!I131)</f>
        <v/>
      </c>
      <c r="J4628" s="66" t="str">
        <f>IF(Nineteenth!J131="", "",Nineteenth!J131)</f>
        <v/>
      </c>
      <c r="K4628" s="86" t="str">
        <f>IF(Nineteenth!K131="", "",Nineteenth!K131)</f>
        <v/>
      </c>
      <c r="M4628" s="67" t="str">
        <f t="shared" si="218"/>
        <v/>
      </c>
      <c r="N4628" s="76" t="str">
        <f t="shared" si="219"/>
        <v/>
      </c>
      <c r="O4628" s="33">
        <f t="shared" si="217"/>
        <v>0</v>
      </c>
    </row>
    <row r="4629" spans="1:15" x14ac:dyDescent="0.25">
      <c r="A4629" s="64" t="s">
        <v>208</v>
      </c>
      <c r="B4629" s="79" t="str">
        <f>IF(Nineteenth!B132="", "",Nineteenth!B132)</f>
        <v/>
      </c>
      <c r="C4629" s="66" t="str">
        <f>IF(Nineteenth!C132="", "",Nineteenth!C132)</f>
        <v/>
      </c>
      <c r="D4629" s="66" t="str">
        <f>IF(Nineteenth!D132="", "",Nineteenth!D132)</f>
        <v/>
      </c>
      <c r="E4629" s="66" t="str">
        <f>IF(Nineteenth!E132="", "",Nineteenth!E132)</f>
        <v/>
      </c>
      <c r="F4629" s="66" t="str">
        <f>IF(Nineteenth!F132="", "",Nineteenth!F132)</f>
        <v/>
      </c>
      <c r="G4629" s="66" t="str">
        <f>IF(Nineteenth!G132="", "",Nineteenth!G132)</f>
        <v/>
      </c>
      <c r="H4629" s="66" t="str">
        <f>IF(Nineteenth!H132="", "",Nineteenth!H132)</f>
        <v/>
      </c>
      <c r="I4629" s="66" t="str">
        <f>IF(Nineteenth!I132="", "",Nineteenth!I132)</f>
        <v/>
      </c>
      <c r="J4629" s="66" t="str">
        <f>IF(Nineteenth!J132="", "",Nineteenth!J132)</f>
        <v/>
      </c>
      <c r="K4629" s="86" t="str">
        <f>IF(Nineteenth!K132="", "",Nineteenth!K132)</f>
        <v/>
      </c>
      <c r="M4629" s="67" t="str">
        <f t="shared" si="218"/>
        <v/>
      </c>
      <c r="N4629" s="76" t="str">
        <f t="shared" si="219"/>
        <v/>
      </c>
      <c r="O4629" s="33">
        <f t="shared" si="217"/>
        <v>0</v>
      </c>
    </row>
    <row r="4630" spans="1:15" x14ac:dyDescent="0.25">
      <c r="A4630" s="64" t="s">
        <v>208</v>
      </c>
      <c r="B4630" s="79" t="str">
        <f>IF(Nineteenth!B133="", "",Nineteenth!B133)</f>
        <v/>
      </c>
      <c r="C4630" s="66" t="str">
        <f>IF(Nineteenth!C133="", "",Nineteenth!C133)</f>
        <v/>
      </c>
      <c r="D4630" s="66" t="str">
        <f>IF(Nineteenth!D133="", "",Nineteenth!D133)</f>
        <v/>
      </c>
      <c r="E4630" s="66" t="str">
        <f>IF(Nineteenth!E133="", "",Nineteenth!E133)</f>
        <v/>
      </c>
      <c r="F4630" s="66" t="str">
        <f>IF(Nineteenth!F133="", "",Nineteenth!F133)</f>
        <v/>
      </c>
      <c r="G4630" s="66" t="str">
        <f>IF(Nineteenth!G133="", "",Nineteenth!G133)</f>
        <v/>
      </c>
      <c r="H4630" s="66" t="str">
        <f>IF(Nineteenth!H133="", "",Nineteenth!H133)</f>
        <v/>
      </c>
      <c r="I4630" s="66" t="str">
        <f>IF(Nineteenth!I133="", "",Nineteenth!I133)</f>
        <v/>
      </c>
      <c r="J4630" s="66" t="str">
        <f>IF(Nineteenth!J133="", "",Nineteenth!J133)</f>
        <v/>
      </c>
      <c r="K4630" s="86" t="str">
        <f>IF(Nineteenth!K133="", "",Nineteenth!K133)</f>
        <v/>
      </c>
      <c r="M4630" s="67" t="str">
        <f t="shared" si="218"/>
        <v/>
      </c>
      <c r="N4630" s="76" t="str">
        <f t="shared" si="219"/>
        <v/>
      </c>
      <c r="O4630" s="33">
        <f t="shared" si="217"/>
        <v>0</v>
      </c>
    </row>
    <row r="4631" spans="1:15" x14ac:dyDescent="0.25">
      <c r="A4631" s="64" t="s">
        <v>208</v>
      </c>
      <c r="B4631" s="79" t="str">
        <f>IF(Nineteenth!B134="", "",Nineteenth!B134)</f>
        <v/>
      </c>
      <c r="C4631" s="66" t="str">
        <f>IF(Nineteenth!C134="", "",Nineteenth!C134)</f>
        <v/>
      </c>
      <c r="D4631" s="66" t="str">
        <f>IF(Nineteenth!D134="", "",Nineteenth!D134)</f>
        <v/>
      </c>
      <c r="E4631" s="66" t="str">
        <f>IF(Nineteenth!E134="", "",Nineteenth!E134)</f>
        <v/>
      </c>
      <c r="F4631" s="66" t="str">
        <f>IF(Nineteenth!F134="", "",Nineteenth!F134)</f>
        <v/>
      </c>
      <c r="G4631" s="66" t="str">
        <f>IF(Nineteenth!G134="", "",Nineteenth!G134)</f>
        <v/>
      </c>
      <c r="H4631" s="66" t="str">
        <f>IF(Nineteenth!H134="", "",Nineteenth!H134)</f>
        <v/>
      </c>
      <c r="I4631" s="66" t="str">
        <f>IF(Nineteenth!I134="", "",Nineteenth!I134)</f>
        <v/>
      </c>
      <c r="J4631" s="66" t="str">
        <f>IF(Nineteenth!J134="", "",Nineteenth!J134)</f>
        <v/>
      </c>
      <c r="K4631" s="86" t="str">
        <f>IF(Nineteenth!K134="", "",Nineteenth!K134)</f>
        <v/>
      </c>
      <c r="M4631" s="67" t="str">
        <f t="shared" si="218"/>
        <v/>
      </c>
      <c r="N4631" s="76" t="str">
        <f t="shared" si="219"/>
        <v/>
      </c>
      <c r="O4631" s="33">
        <f t="shared" si="217"/>
        <v>0</v>
      </c>
    </row>
    <row r="4632" spans="1:15" x14ac:dyDescent="0.25">
      <c r="A4632" s="64" t="s">
        <v>208</v>
      </c>
      <c r="B4632" s="79" t="str">
        <f>IF(Nineteenth!B135="", "",Nineteenth!B135)</f>
        <v/>
      </c>
      <c r="C4632" s="66" t="str">
        <f>IF(Nineteenth!C135="", "",Nineteenth!C135)</f>
        <v/>
      </c>
      <c r="D4632" s="66" t="str">
        <f>IF(Nineteenth!D135="", "",Nineteenth!D135)</f>
        <v/>
      </c>
      <c r="E4632" s="66" t="str">
        <f>IF(Nineteenth!E135="", "",Nineteenth!E135)</f>
        <v/>
      </c>
      <c r="F4632" s="66" t="str">
        <f>IF(Nineteenth!F135="", "",Nineteenth!F135)</f>
        <v/>
      </c>
      <c r="G4632" s="66" t="str">
        <f>IF(Nineteenth!G135="", "",Nineteenth!G135)</f>
        <v/>
      </c>
      <c r="H4632" s="66" t="str">
        <f>IF(Nineteenth!H135="", "",Nineteenth!H135)</f>
        <v/>
      </c>
      <c r="I4632" s="66" t="str">
        <f>IF(Nineteenth!I135="", "",Nineteenth!I135)</f>
        <v/>
      </c>
      <c r="J4632" s="66" t="str">
        <f>IF(Nineteenth!J135="", "",Nineteenth!J135)</f>
        <v/>
      </c>
      <c r="K4632" s="86" t="str">
        <f>IF(Nineteenth!K135="", "",Nineteenth!K135)</f>
        <v/>
      </c>
      <c r="M4632" s="67" t="str">
        <f t="shared" si="218"/>
        <v/>
      </c>
      <c r="N4632" s="76" t="str">
        <f t="shared" si="219"/>
        <v/>
      </c>
      <c r="O4632" s="33">
        <f t="shared" si="217"/>
        <v>0</v>
      </c>
    </row>
    <row r="4633" spans="1:15" x14ac:dyDescent="0.25">
      <c r="A4633" s="64" t="s">
        <v>208</v>
      </c>
      <c r="B4633" s="79" t="str">
        <f>IF(Nineteenth!B136="", "",Nineteenth!B136)</f>
        <v/>
      </c>
      <c r="C4633" s="66" t="str">
        <f>IF(Nineteenth!C136="", "",Nineteenth!C136)</f>
        <v/>
      </c>
      <c r="D4633" s="66" t="str">
        <f>IF(Nineteenth!D136="", "",Nineteenth!D136)</f>
        <v/>
      </c>
      <c r="E4633" s="66" t="str">
        <f>IF(Nineteenth!E136="", "",Nineteenth!E136)</f>
        <v/>
      </c>
      <c r="F4633" s="66" t="str">
        <f>IF(Nineteenth!F136="", "",Nineteenth!F136)</f>
        <v/>
      </c>
      <c r="G4633" s="66" t="str">
        <f>IF(Nineteenth!G136="", "",Nineteenth!G136)</f>
        <v/>
      </c>
      <c r="H4633" s="66" t="str">
        <f>IF(Nineteenth!H136="", "",Nineteenth!H136)</f>
        <v/>
      </c>
      <c r="I4633" s="66" t="str">
        <f>IF(Nineteenth!I136="", "",Nineteenth!I136)</f>
        <v/>
      </c>
      <c r="J4633" s="66" t="str">
        <f>IF(Nineteenth!J136="", "",Nineteenth!J136)</f>
        <v/>
      </c>
      <c r="K4633" s="86" t="str">
        <f>IF(Nineteenth!K136="", "",Nineteenth!K136)</f>
        <v/>
      </c>
      <c r="M4633" s="67" t="str">
        <f t="shared" si="218"/>
        <v/>
      </c>
      <c r="N4633" s="76" t="str">
        <f t="shared" si="219"/>
        <v/>
      </c>
      <c r="O4633" s="33">
        <f t="shared" si="217"/>
        <v>0</v>
      </c>
    </row>
    <row r="4634" spans="1:15" x14ac:dyDescent="0.25">
      <c r="A4634" s="64" t="s">
        <v>208</v>
      </c>
      <c r="B4634" s="79" t="str">
        <f>IF(Nineteenth!B137="", "",Nineteenth!B137)</f>
        <v/>
      </c>
      <c r="C4634" s="66" t="str">
        <f>IF(Nineteenth!C137="", "",Nineteenth!C137)</f>
        <v/>
      </c>
      <c r="D4634" s="66" t="str">
        <f>IF(Nineteenth!D137="", "",Nineteenth!D137)</f>
        <v/>
      </c>
      <c r="E4634" s="66" t="str">
        <f>IF(Nineteenth!E137="", "",Nineteenth!E137)</f>
        <v/>
      </c>
      <c r="F4634" s="66" t="str">
        <f>IF(Nineteenth!F137="", "",Nineteenth!F137)</f>
        <v/>
      </c>
      <c r="G4634" s="66" t="str">
        <f>IF(Nineteenth!G137="", "",Nineteenth!G137)</f>
        <v/>
      </c>
      <c r="H4634" s="66" t="str">
        <f>IF(Nineteenth!H137="", "",Nineteenth!H137)</f>
        <v/>
      </c>
      <c r="I4634" s="66" t="str">
        <f>IF(Nineteenth!I137="", "",Nineteenth!I137)</f>
        <v/>
      </c>
      <c r="J4634" s="66" t="str">
        <f>IF(Nineteenth!J137="", "",Nineteenth!J137)</f>
        <v/>
      </c>
      <c r="K4634" s="86" t="str">
        <f>IF(Nineteenth!K137="", "",Nineteenth!K137)</f>
        <v/>
      </c>
      <c r="M4634" s="67" t="str">
        <f t="shared" si="218"/>
        <v/>
      </c>
      <c r="N4634" s="76" t="str">
        <f t="shared" si="219"/>
        <v/>
      </c>
      <c r="O4634" s="33">
        <f t="shared" si="217"/>
        <v>0</v>
      </c>
    </row>
    <row r="4635" spans="1:15" x14ac:dyDescent="0.25">
      <c r="A4635" s="64" t="s">
        <v>208</v>
      </c>
      <c r="B4635" s="79" t="str">
        <f>IF(Nineteenth!B138="", "",Nineteenth!B138)</f>
        <v/>
      </c>
      <c r="C4635" s="66" t="str">
        <f>IF(Nineteenth!C138="", "",Nineteenth!C138)</f>
        <v/>
      </c>
      <c r="D4635" s="66" t="str">
        <f>IF(Nineteenth!D138="", "",Nineteenth!D138)</f>
        <v/>
      </c>
      <c r="E4635" s="66" t="str">
        <f>IF(Nineteenth!E138="", "",Nineteenth!E138)</f>
        <v/>
      </c>
      <c r="F4635" s="66" t="str">
        <f>IF(Nineteenth!F138="", "",Nineteenth!F138)</f>
        <v/>
      </c>
      <c r="G4635" s="66" t="str">
        <f>IF(Nineteenth!G138="", "",Nineteenth!G138)</f>
        <v/>
      </c>
      <c r="H4635" s="66" t="str">
        <f>IF(Nineteenth!H138="", "",Nineteenth!H138)</f>
        <v/>
      </c>
      <c r="I4635" s="66" t="str">
        <f>IF(Nineteenth!I138="", "",Nineteenth!I138)</f>
        <v/>
      </c>
      <c r="J4635" s="66" t="str">
        <f>IF(Nineteenth!J138="", "",Nineteenth!J138)</f>
        <v/>
      </c>
      <c r="K4635" s="86" t="str">
        <f>IF(Nineteenth!K138="", "",Nineteenth!K138)</f>
        <v/>
      </c>
      <c r="M4635" s="67" t="str">
        <f t="shared" si="218"/>
        <v/>
      </c>
      <c r="N4635" s="76" t="str">
        <f t="shared" si="219"/>
        <v/>
      </c>
      <c r="O4635" s="33">
        <f t="shared" si="217"/>
        <v>0</v>
      </c>
    </row>
    <row r="4636" spans="1:15" x14ac:dyDescent="0.25">
      <c r="A4636" s="64" t="s">
        <v>208</v>
      </c>
      <c r="B4636" s="79" t="str">
        <f>IF(Nineteenth!B139="", "",Nineteenth!B139)</f>
        <v/>
      </c>
      <c r="C4636" s="66" t="str">
        <f>IF(Nineteenth!C139="", "",Nineteenth!C139)</f>
        <v/>
      </c>
      <c r="D4636" s="66" t="str">
        <f>IF(Nineteenth!D139="", "",Nineteenth!D139)</f>
        <v/>
      </c>
      <c r="E4636" s="66" t="str">
        <f>IF(Nineteenth!E139="", "",Nineteenth!E139)</f>
        <v/>
      </c>
      <c r="F4636" s="66" t="str">
        <f>IF(Nineteenth!F139="", "",Nineteenth!F139)</f>
        <v/>
      </c>
      <c r="G4636" s="66" t="str">
        <f>IF(Nineteenth!G139="", "",Nineteenth!G139)</f>
        <v/>
      </c>
      <c r="H4636" s="66" t="str">
        <f>IF(Nineteenth!H139="", "",Nineteenth!H139)</f>
        <v/>
      </c>
      <c r="I4636" s="66" t="str">
        <f>IF(Nineteenth!I139="", "",Nineteenth!I139)</f>
        <v/>
      </c>
      <c r="J4636" s="66" t="str">
        <f>IF(Nineteenth!J139="", "",Nineteenth!J139)</f>
        <v/>
      </c>
      <c r="K4636" s="86" t="str">
        <f>IF(Nineteenth!K139="", "",Nineteenth!K139)</f>
        <v/>
      </c>
      <c r="M4636" s="67" t="str">
        <f t="shared" si="218"/>
        <v/>
      </c>
      <c r="N4636" s="76" t="str">
        <f t="shared" si="219"/>
        <v/>
      </c>
      <c r="O4636" s="33">
        <f t="shared" si="217"/>
        <v>0</v>
      </c>
    </row>
    <row r="4637" spans="1:15" x14ac:dyDescent="0.25">
      <c r="A4637" s="64" t="s">
        <v>208</v>
      </c>
      <c r="B4637" s="79" t="str">
        <f>IF(Nineteenth!B140="", "",Nineteenth!B140)</f>
        <v/>
      </c>
      <c r="C4637" s="66" t="str">
        <f>IF(Nineteenth!C140="", "",Nineteenth!C140)</f>
        <v/>
      </c>
      <c r="D4637" s="66" t="str">
        <f>IF(Nineteenth!D140="", "",Nineteenth!D140)</f>
        <v/>
      </c>
      <c r="E4637" s="66" t="str">
        <f>IF(Nineteenth!E140="", "",Nineteenth!E140)</f>
        <v/>
      </c>
      <c r="F4637" s="66" t="str">
        <f>IF(Nineteenth!F140="", "",Nineteenth!F140)</f>
        <v/>
      </c>
      <c r="G4637" s="66" t="str">
        <f>IF(Nineteenth!G140="", "",Nineteenth!G140)</f>
        <v/>
      </c>
      <c r="H4637" s="66" t="str">
        <f>IF(Nineteenth!H140="", "",Nineteenth!H140)</f>
        <v/>
      </c>
      <c r="I4637" s="66" t="str">
        <f>IF(Nineteenth!I140="", "",Nineteenth!I140)</f>
        <v/>
      </c>
      <c r="J4637" s="66" t="str">
        <f>IF(Nineteenth!J140="", "",Nineteenth!J140)</f>
        <v/>
      </c>
      <c r="K4637" s="86" t="str">
        <f>IF(Nineteenth!K140="", "",Nineteenth!K140)</f>
        <v/>
      </c>
      <c r="M4637" s="67" t="str">
        <f t="shared" si="218"/>
        <v/>
      </c>
      <c r="N4637" s="76" t="str">
        <f t="shared" si="219"/>
        <v/>
      </c>
      <c r="O4637" s="33">
        <f t="shared" si="217"/>
        <v>0</v>
      </c>
    </row>
    <row r="4638" spans="1:15" x14ac:dyDescent="0.25">
      <c r="A4638" s="64" t="s">
        <v>208</v>
      </c>
      <c r="B4638" s="79" t="str">
        <f>IF(Nineteenth!B141="", "",Nineteenth!B141)</f>
        <v/>
      </c>
      <c r="C4638" s="66" t="str">
        <f>IF(Nineteenth!C141="", "",Nineteenth!C141)</f>
        <v/>
      </c>
      <c r="D4638" s="66" t="str">
        <f>IF(Nineteenth!D141="", "",Nineteenth!D141)</f>
        <v/>
      </c>
      <c r="E4638" s="66" t="str">
        <f>IF(Nineteenth!E141="", "",Nineteenth!E141)</f>
        <v/>
      </c>
      <c r="F4638" s="66" t="str">
        <f>IF(Nineteenth!F141="", "",Nineteenth!F141)</f>
        <v/>
      </c>
      <c r="G4638" s="66" t="str">
        <f>IF(Nineteenth!G141="", "",Nineteenth!G141)</f>
        <v/>
      </c>
      <c r="H4638" s="66" t="str">
        <f>IF(Nineteenth!H141="", "",Nineteenth!H141)</f>
        <v/>
      </c>
      <c r="I4638" s="66" t="str">
        <f>IF(Nineteenth!I141="", "",Nineteenth!I141)</f>
        <v/>
      </c>
      <c r="J4638" s="66" t="str">
        <f>IF(Nineteenth!J141="", "",Nineteenth!J141)</f>
        <v/>
      </c>
      <c r="K4638" s="86" t="str">
        <f>IF(Nineteenth!K141="", "",Nineteenth!K141)</f>
        <v/>
      </c>
      <c r="M4638" s="67" t="str">
        <f t="shared" si="218"/>
        <v/>
      </c>
      <c r="N4638" s="76" t="str">
        <f t="shared" si="219"/>
        <v/>
      </c>
      <c r="O4638" s="33">
        <f t="shared" si="217"/>
        <v>0</v>
      </c>
    </row>
    <row r="4639" spans="1:15" x14ac:dyDescent="0.25">
      <c r="A4639" s="64" t="s">
        <v>208</v>
      </c>
      <c r="B4639" s="79" t="str">
        <f>IF(Nineteenth!B142="", "",Nineteenth!B142)</f>
        <v/>
      </c>
      <c r="C4639" s="66" t="str">
        <f>IF(Nineteenth!C142="", "",Nineteenth!C142)</f>
        <v/>
      </c>
      <c r="D4639" s="66" t="str">
        <f>IF(Nineteenth!D142="", "",Nineteenth!D142)</f>
        <v/>
      </c>
      <c r="E4639" s="66" t="str">
        <f>IF(Nineteenth!E142="", "",Nineteenth!E142)</f>
        <v/>
      </c>
      <c r="F4639" s="66" t="str">
        <f>IF(Nineteenth!F142="", "",Nineteenth!F142)</f>
        <v/>
      </c>
      <c r="G4639" s="66" t="str">
        <f>IF(Nineteenth!G142="", "",Nineteenth!G142)</f>
        <v/>
      </c>
      <c r="H4639" s="66" t="str">
        <f>IF(Nineteenth!H142="", "",Nineteenth!H142)</f>
        <v/>
      </c>
      <c r="I4639" s="66" t="str">
        <f>IF(Nineteenth!I142="", "",Nineteenth!I142)</f>
        <v/>
      </c>
      <c r="J4639" s="66" t="str">
        <f>IF(Nineteenth!J142="", "",Nineteenth!J142)</f>
        <v/>
      </c>
      <c r="K4639" s="86" t="str">
        <f>IF(Nineteenth!K142="", "",Nineteenth!K142)</f>
        <v/>
      </c>
      <c r="M4639" s="67" t="str">
        <f t="shared" si="218"/>
        <v/>
      </c>
      <c r="N4639" s="76" t="str">
        <f t="shared" si="219"/>
        <v/>
      </c>
      <c r="O4639" s="33">
        <f t="shared" si="217"/>
        <v>0</v>
      </c>
    </row>
    <row r="4640" spans="1:15" x14ac:dyDescent="0.25">
      <c r="A4640" s="64" t="s">
        <v>208</v>
      </c>
      <c r="B4640" s="79" t="str">
        <f>IF(Nineteenth!B143="", "",Nineteenth!B143)</f>
        <v/>
      </c>
      <c r="C4640" s="66" t="str">
        <f>IF(Nineteenth!C143="", "",Nineteenth!C143)</f>
        <v/>
      </c>
      <c r="D4640" s="66" t="str">
        <f>IF(Nineteenth!D143="", "",Nineteenth!D143)</f>
        <v/>
      </c>
      <c r="E4640" s="66" t="str">
        <f>IF(Nineteenth!E143="", "",Nineteenth!E143)</f>
        <v/>
      </c>
      <c r="F4640" s="66" t="str">
        <f>IF(Nineteenth!F143="", "",Nineteenth!F143)</f>
        <v/>
      </c>
      <c r="G4640" s="66" t="str">
        <f>IF(Nineteenth!G143="", "",Nineteenth!G143)</f>
        <v/>
      </c>
      <c r="H4640" s="66" t="str">
        <f>IF(Nineteenth!H143="", "",Nineteenth!H143)</f>
        <v/>
      </c>
      <c r="I4640" s="66" t="str">
        <f>IF(Nineteenth!I143="", "",Nineteenth!I143)</f>
        <v/>
      </c>
      <c r="J4640" s="66" t="str">
        <f>IF(Nineteenth!J143="", "",Nineteenth!J143)</f>
        <v/>
      </c>
      <c r="K4640" s="86" t="str">
        <f>IF(Nineteenth!K143="", "",Nineteenth!K143)</f>
        <v/>
      </c>
      <c r="M4640" s="67" t="str">
        <f t="shared" si="218"/>
        <v/>
      </c>
      <c r="N4640" s="76" t="str">
        <f t="shared" si="219"/>
        <v/>
      </c>
      <c r="O4640" s="33">
        <f t="shared" si="217"/>
        <v>0</v>
      </c>
    </row>
    <row r="4641" spans="1:15" x14ac:dyDescent="0.25">
      <c r="A4641" s="64" t="s">
        <v>208</v>
      </c>
      <c r="B4641" s="79" t="str">
        <f>IF(Nineteenth!B144="", "",Nineteenth!B144)</f>
        <v/>
      </c>
      <c r="C4641" s="66" t="str">
        <f>IF(Nineteenth!C144="", "",Nineteenth!C144)</f>
        <v/>
      </c>
      <c r="D4641" s="66" t="str">
        <f>IF(Nineteenth!D144="", "",Nineteenth!D144)</f>
        <v/>
      </c>
      <c r="E4641" s="66" t="str">
        <f>IF(Nineteenth!E144="", "",Nineteenth!E144)</f>
        <v/>
      </c>
      <c r="F4641" s="66" t="str">
        <f>IF(Nineteenth!F144="", "",Nineteenth!F144)</f>
        <v/>
      </c>
      <c r="G4641" s="66" t="str">
        <f>IF(Nineteenth!G144="", "",Nineteenth!G144)</f>
        <v/>
      </c>
      <c r="H4641" s="66" t="str">
        <f>IF(Nineteenth!H144="", "",Nineteenth!H144)</f>
        <v/>
      </c>
      <c r="I4641" s="66" t="str">
        <f>IF(Nineteenth!I144="", "",Nineteenth!I144)</f>
        <v/>
      </c>
      <c r="J4641" s="66" t="str">
        <f>IF(Nineteenth!J144="", "",Nineteenth!J144)</f>
        <v/>
      </c>
      <c r="K4641" s="86" t="str">
        <f>IF(Nineteenth!K144="", "",Nineteenth!K144)</f>
        <v/>
      </c>
      <c r="M4641" s="67" t="str">
        <f t="shared" si="218"/>
        <v/>
      </c>
      <c r="N4641" s="76" t="str">
        <f t="shared" si="219"/>
        <v/>
      </c>
      <c r="O4641" s="33">
        <f t="shared" si="217"/>
        <v>0</v>
      </c>
    </row>
    <row r="4642" spans="1:15" x14ac:dyDescent="0.25">
      <c r="A4642" s="64" t="s">
        <v>208</v>
      </c>
      <c r="B4642" s="79" t="str">
        <f>IF(Nineteenth!B145="", "",Nineteenth!B145)</f>
        <v/>
      </c>
      <c r="C4642" s="66" t="str">
        <f>IF(Nineteenth!C145="", "",Nineteenth!C145)</f>
        <v/>
      </c>
      <c r="D4642" s="66" t="str">
        <f>IF(Nineteenth!D145="", "",Nineteenth!D145)</f>
        <v/>
      </c>
      <c r="E4642" s="66" t="str">
        <f>IF(Nineteenth!E145="", "",Nineteenth!E145)</f>
        <v/>
      </c>
      <c r="F4642" s="66" t="str">
        <f>IF(Nineteenth!F145="", "",Nineteenth!F145)</f>
        <v/>
      </c>
      <c r="G4642" s="66" t="str">
        <f>IF(Nineteenth!G145="", "",Nineteenth!G145)</f>
        <v/>
      </c>
      <c r="H4642" s="66" t="str">
        <f>IF(Nineteenth!H145="", "",Nineteenth!H145)</f>
        <v/>
      </c>
      <c r="I4642" s="66" t="str">
        <f>IF(Nineteenth!I145="", "",Nineteenth!I145)</f>
        <v/>
      </c>
      <c r="J4642" s="66" t="str">
        <f>IF(Nineteenth!J145="", "",Nineteenth!J145)</f>
        <v/>
      </c>
      <c r="K4642" s="86" t="str">
        <f>IF(Nineteenth!K145="", "",Nineteenth!K145)</f>
        <v/>
      </c>
      <c r="M4642" s="67" t="str">
        <f t="shared" si="218"/>
        <v/>
      </c>
      <c r="N4642" s="76" t="str">
        <f t="shared" si="219"/>
        <v/>
      </c>
      <c r="O4642" s="33">
        <f t="shared" si="217"/>
        <v>0</v>
      </c>
    </row>
    <row r="4643" spans="1:15" x14ac:dyDescent="0.25">
      <c r="A4643" s="64" t="s">
        <v>208</v>
      </c>
      <c r="B4643" s="79" t="str">
        <f>IF(Nineteenth!B146="", "",Nineteenth!B146)</f>
        <v/>
      </c>
      <c r="C4643" s="66" t="str">
        <f>IF(Nineteenth!C146="", "",Nineteenth!C146)</f>
        <v/>
      </c>
      <c r="D4643" s="66" t="str">
        <f>IF(Nineteenth!D146="", "",Nineteenth!D146)</f>
        <v/>
      </c>
      <c r="E4643" s="66" t="str">
        <f>IF(Nineteenth!E146="", "",Nineteenth!E146)</f>
        <v/>
      </c>
      <c r="F4643" s="66" t="str">
        <f>IF(Nineteenth!F146="", "",Nineteenth!F146)</f>
        <v/>
      </c>
      <c r="G4643" s="66" t="str">
        <f>IF(Nineteenth!G146="", "",Nineteenth!G146)</f>
        <v/>
      </c>
      <c r="H4643" s="66" t="str">
        <f>IF(Nineteenth!H146="", "",Nineteenth!H146)</f>
        <v/>
      </c>
      <c r="I4643" s="66" t="str">
        <f>IF(Nineteenth!I146="", "",Nineteenth!I146)</f>
        <v/>
      </c>
      <c r="J4643" s="66" t="str">
        <f>IF(Nineteenth!J146="", "",Nineteenth!J146)</f>
        <v/>
      </c>
      <c r="K4643" s="86" t="str">
        <f>IF(Nineteenth!K146="", "",Nineteenth!K146)</f>
        <v/>
      </c>
      <c r="M4643" s="67" t="str">
        <f t="shared" si="218"/>
        <v/>
      </c>
      <c r="N4643" s="76" t="str">
        <f t="shared" si="219"/>
        <v/>
      </c>
      <c r="O4643" s="33">
        <f t="shared" si="217"/>
        <v>0</v>
      </c>
    </row>
    <row r="4644" spans="1:15" x14ac:dyDescent="0.25">
      <c r="A4644" s="64" t="s">
        <v>208</v>
      </c>
      <c r="B4644" s="79" t="str">
        <f>IF(Nineteenth!B147="", "",Nineteenth!B147)</f>
        <v/>
      </c>
      <c r="C4644" s="66" t="str">
        <f>IF(Nineteenth!C147="", "",Nineteenth!C147)</f>
        <v/>
      </c>
      <c r="D4644" s="66" t="str">
        <f>IF(Nineteenth!D147="", "",Nineteenth!D147)</f>
        <v/>
      </c>
      <c r="E4644" s="66" t="str">
        <f>IF(Nineteenth!E147="", "",Nineteenth!E147)</f>
        <v/>
      </c>
      <c r="F4644" s="66" t="str">
        <f>IF(Nineteenth!F147="", "",Nineteenth!F147)</f>
        <v/>
      </c>
      <c r="G4644" s="66" t="str">
        <f>IF(Nineteenth!G147="", "",Nineteenth!G147)</f>
        <v/>
      </c>
      <c r="H4644" s="66" t="str">
        <f>IF(Nineteenth!H147="", "",Nineteenth!H147)</f>
        <v/>
      </c>
      <c r="I4644" s="66" t="str">
        <f>IF(Nineteenth!I147="", "",Nineteenth!I147)</f>
        <v/>
      </c>
      <c r="J4644" s="66" t="str">
        <f>IF(Nineteenth!J147="", "",Nineteenth!J147)</f>
        <v/>
      </c>
      <c r="K4644" s="86" t="str">
        <f>IF(Nineteenth!K147="", "",Nineteenth!K147)</f>
        <v/>
      </c>
      <c r="M4644" s="67" t="str">
        <f t="shared" si="218"/>
        <v/>
      </c>
      <c r="N4644" s="76" t="str">
        <f t="shared" si="219"/>
        <v/>
      </c>
      <c r="O4644" s="33">
        <f t="shared" si="217"/>
        <v>0</v>
      </c>
    </row>
    <row r="4645" spans="1:15" x14ac:dyDescent="0.25">
      <c r="A4645" s="64" t="s">
        <v>208</v>
      </c>
      <c r="B4645" s="79" t="str">
        <f>IF(Nineteenth!B148="", "",Nineteenth!B148)</f>
        <v/>
      </c>
      <c r="C4645" s="66" t="str">
        <f>IF(Nineteenth!C148="", "",Nineteenth!C148)</f>
        <v/>
      </c>
      <c r="D4645" s="66" t="str">
        <f>IF(Nineteenth!D148="", "",Nineteenth!D148)</f>
        <v/>
      </c>
      <c r="E4645" s="66" t="str">
        <f>IF(Nineteenth!E148="", "",Nineteenth!E148)</f>
        <v/>
      </c>
      <c r="F4645" s="66" t="str">
        <f>IF(Nineteenth!F148="", "",Nineteenth!F148)</f>
        <v/>
      </c>
      <c r="G4645" s="66" t="str">
        <f>IF(Nineteenth!G148="", "",Nineteenth!G148)</f>
        <v/>
      </c>
      <c r="H4645" s="66" t="str">
        <f>IF(Nineteenth!H148="", "",Nineteenth!H148)</f>
        <v/>
      </c>
      <c r="I4645" s="66" t="str">
        <f>IF(Nineteenth!I148="", "",Nineteenth!I148)</f>
        <v/>
      </c>
      <c r="J4645" s="66" t="str">
        <f>IF(Nineteenth!J148="", "",Nineteenth!J148)</f>
        <v/>
      </c>
      <c r="K4645" s="86" t="str">
        <f>IF(Nineteenth!K148="", "",Nineteenth!K148)</f>
        <v/>
      </c>
      <c r="M4645" s="67" t="str">
        <f t="shared" si="218"/>
        <v/>
      </c>
      <c r="N4645" s="76" t="str">
        <f t="shared" si="219"/>
        <v/>
      </c>
      <c r="O4645" s="33">
        <f t="shared" si="217"/>
        <v>0</v>
      </c>
    </row>
    <row r="4646" spans="1:15" x14ac:dyDescent="0.25">
      <c r="A4646" s="64" t="s">
        <v>208</v>
      </c>
      <c r="B4646" s="79" t="str">
        <f>IF(Nineteenth!B149="", "",Nineteenth!B149)</f>
        <v/>
      </c>
      <c r="C4646" s="66" t="str">
        <f>IF(Nineteenth!C149="", "",Nineteenth!C149)</f>
        <v/>
      </c>
      <c r="D4646" s="66" t="str">
        <f>IF(Nineteenth!D149="", "",Nineteenth!D149)</f>
        <v/>
      </c>
      <c r="E4646" s="66" t="str">
        <f>IF(Nineteenth!E149="", "",Nineteenth!E149)</f>
        <v/>
      </c>
      <c r="F4646" s="66" t="str">
        <f>IF(Nineteenth!F149="", "",Nineteenth!F149)</f>
        <v/>
      </c>
      <c r="G4646" s="66" t="str">
        <f>IF(Nineteenth!G149="", "",Nineteenth!G149)</f>
        <v/>
      </c>
      <c r="H4646" s="66" t="str">
        <f>IF(Nineteenth!H149="", "",Nineteenth!H149)</f>
        <v/>
      </c>
      <c r="I4646" s="66" t="str">
        <f>IF(Nineteenth!I149="", "",Nineteenth!I149)</f>
        <v/>
      </c>
      <c r="J4646" s="66" t="str">
        <f>IF(Nineteenth!J149="", "",Nineteenth!J149)</f>
        <v/>
      </c>
      <c r="K4646" s="86" t="str">
        <f>IF(Nineteenth!K149="", "",Nineteenth!K149)</f>
        <v/>
      </c>
      <c r="M4646" s="67" t="str">
        <f t="shared" si="218"/>
        <v/>
      </c>
      <c r="N4646" s="76" t="str">
        <f t="shared" si="219"/>
        <v/>
      </c>
      <c r="O4646" s="33">
        <f t="shared" si="217"/>
        <v>0</v>
      </c>
    </row>
    <row r="4647" spans="1:15" x14ac:dyDescent="0.25">
      <c r="A4647" s="64" t="s">
        <v>208</v>
      </c>
      <c r="B4647" s="79" t="str">
        <f>IF(Nineteenth!B150="", "",Nineteenth!B150)</f>
        <v/>
      </c>
      <c r="C4647" s="66" t="str">
        <f>IF(Nineteenth!C150="", "",Nineteenth!C150)</f>
        <v/>
      </c>
      <c r="D4647" s="66" t="str">
        <f>IF(Nineteenth!D150="", "",Nineteenth!D150)</f>
        <v/>
      </c>
      <c r="E4647" s="66" t="str">
        <f>IF(Nineteenth!E150="", "",Nineteenth!E150)</f>
        <v/>
      </c>
      <c r="F4647" s="66" t="str">
        <f>IF(Nineteenth!F150="", "",Nineteenth!F150)</f>
        <v/>
      </c>
      <c r="G4647" s="66" t="str">
        <f>IF(Nineteenth!G150="", "",Nineteenth!G150)</f>
        <v/>
      </c>
      <c r="H4647" s="66" t="str">
        <f>IF(Nineteenth!H150="", "",Nineteenth!H150)</f>
        <v/>
      </c>
      <c r="I4647" s="66" t="str">
        <f>IF(Nineteenth!I150="", "",Nineteenth!I150)</f>
        <v/>
      </c>
      <c r="J4647" s="66" t="str">
        <f>IF(Nineteenth!J150="", "",Nineteenth!J150)</f>
        <v/>
      </c>
      <c r="K4647" s="86" t="str">
        <f>IF(Nineteenth!K150="", "",Nineteenth!K150)</f>
        <v/>
      </c>
      <c r="M4647" s="67" t="str">
        <f t="shared" si="218"/>
        <v/>
      </c>
      <c r="N4647" s="76" t="str">
        <f t="shared" si="219"/>
        <v/>
      </c>
      <c r="O4647" s="33">
        <f t="shared" si="217"/>
        <v>0</v>
      </c>
    </row>
    <row r="4648" spans="1:15" x14ac:dyDescent="0.25">
      <c r="A4648" s="64" t="s">
        <v>208</v>
      </c>
      <c r="B4648" s="79" t="str">
        <f>IF(Nineteenth!B151="", "",Nineteenth!B151)</f>
        <v/>
      </c>
      <c r="C4648" s="66" t="str">
        <f>IF(Nineteenth!C151="", "",Nineteenth!C151)</f>
        <v/>
      </c>
      <c r="D4648" s="66" t="str">
        <f>IF(Nineteenth!D151="", "",Nineteenth!D151)</f>
        <v/>
      </c>
      <c r="E4648" s="66" t="str">
        <f>IF(Nineteenth!E151="", "",Nineteenth!E151)</f>
        <v/>
      </c>
      <c r="F4648" s="66" t="str">
        <f>IF(Nineteenth!F151="", "",Nineteenth!F151)</f>
        <v/>
      </c>
      <c r="G4648" s="66" t="str">
        <f>IF(Nineteenth!G151="", "",Nineteenth!G151)</f>
        <v/>
      </c>
      <c r="H4648" s="66" t="str">
        <f>IF(Nineteenth!H151="", "",Nineteenth!H151)</f>
        <v/>
      </c>
      <c r="I4648" s="66" t="str">
        <f>IF(Nineteenth!I151="", "",Nineteenth!I151)</f>
        <v/>
      </c>
      <c r="J4648" s="66" t="str">
        <f>IF(Nineteenth!J151="", "",Nineteenth!J151)</f>
        <v/>
      </c>
      <c r="K4648" s="86" t="str">
        <f>IF(Nineteenth!K151="", "",Nineteenth!K151)</f>
        <v/>
      </c>
      <c r="M4648" s="67" t="str">
        <f t="shared" si="218"/>
        <v/>
      </c>
      <c r="N4648" s="76" t="str">
        <f t="shared" si="219"/>
        <v/>
      </c>
      <c r="O4648" s="33">
        <f t="shared" si="217"/>
        <v>0</v>
      </c>
    </row>
    <row r="4649" spans="1:15" x14ac:dyDescent="0.25">
      <c r="A4649" s="64" t="s">
        <v>208</v>
      </c>
      <c r="B4649" s="79" t="str">
        <f>IF(Nineteenth!B152="", "",Nineteenth!B152)</f>
        <v/>
      </c>
      <c r="C4649" s="66" t="str">
        <f>IF(Nineteenth!C152="", "",Nineteenth!C152)</f>
        <v/>
      </c>
      <c r="D4649" s="66" t="str">
        <f>IF(Nineteenth!D152="", "",Nineteenth!D152)</f>
        <v/>
      </c>
      <c r="E4649" s="66" t="str">
        <f>IF(Nineteenth!E152="", "",Nineteenth!E152)</f>
        <v/>
      </c>
      <c r="F4649" s="66" t="str">
        <f>IF(Nineteenth!F152="", "",Nineteenth!F152)</f>
        <v/>
      </c>
      <c r="G4649" s="66" t="str">
        <f>IF(Nineteenth!G152="", "",Nineteenth!G152)</f>
        <v/>
      </c>
      <c r="H4649" s="66" t="str">
        <f>IF(Nineteenth!H152="", "",Nineteenth!H152)</f>
        <v/>
      </c>
      <c r="I4649" s="66" t="str">
        <f>IF(Nineteenth!I152="", "",Nineteenth!I152)</f>
        <v/>
      </c>
      <c r="J4649" s="66" t="str">
        <f>IF(Nineteenth!J152="", "",Nineteenth!J152)</f>
        <v/>
      </c>
      <c r="K4649" s="86" t="str">
        <f>IF(Nineteenth!K152="", "",Nineteenth!K152)</f>
        <v/>
      </c>
      <c r="M4649" s="67" t="str">
        <f t="shared" si="218"/>
        <v/>
      </c>
      <c r="N4649" s="76" t="str">
        <f t="shared" si="219"/>
        <v/>
      </c>
      <c r="O4649" s="33">
        <f t="shared" si="217"/>
        <v>0</v>
      </c>
    </row>
    <row r="4650" spans="1:15" x14ac:dyDescent="0.25">
      <c r="A4650" s="64" t="s">
        <v>208</v>
      </c>
      <c r="B4650" s="79" t="str">
        <f>IF(Nineteenth!B153="", "",Nineteenth!B153)</f>
        <v/>
      </c>
      <c r="C4650" s="66" t="str">
        <f>IF(Nineteenth!C153="", "",Nineteenth!C153)</f>
        <v/>
      </c>
      <c r="D4650" s="66" t="str">
        <f>IF(Nineteenth!D153="", "",Nineteenth!D153)</f>
        <v/>
      </c>
      <c r="E4650" s="66" t="str">
        <f>IF(Nineteenth!E153="", "",Nineteenth!E153)</f>
        <v/>
      </c>
      <c r="F4650" s="66" t="str">
        <f>IF(Nineteenth!F153="", "",Nineteenth!F153)</f>
        <v/>
      </c>
      <c r="G4650" s="66" t="str">
        <f>IF(Nineteenth!G153="", "",Nineteenth!G153)</f>
        <v/>
      </c>
      <c r="H4650" s="66" t="str">
        <f>IF(Nineteenth!H153="", "",Nineteenth!H153)</f>
        <v/>
      </c>
      <c r="I4650" s="66" t="str">
        <f>IF(Nineteenth!I153="", "",Nineteenth!I153)</f>
        <v/>
      </c>
      <c r="J4650" s="66" t="str">
        <f>IF(Nineteenth!J153="", "",Nineteenth!J153)</f>
        <v/>
      </c>
      <c r="K4650" s="86" t="str">
        <f>IF(Nineteenth!K153="", "",Nineteenth!K153)</f>
        <v/>
      </c>
      <c r="M4650" s="67" t="str">
        <f t="shared" si="218"/>
        <v/>
      </c>
      <c r="N4650" s="76" t="str">
        <f t="shared" si="219"/>
        <v/>
      </c>
      <c r="O4650" s="33">
        <f t="shared" si="217"/>
        <v>0</v>
      </c>
    </row>
    <row r="4651" spans="1:15" x14ac:dyDescent="0.25">
      <c r="A4651" s="64" t="s">
        <v>208</v>
      </c>
      <c r="B4651" s="79" t="str">
        <f>IF(Nineteenth!B154="", "",Nineteenth!B154)</f>
        <v/>
      </c>
      <c r="C4651" s="66" t="str">
        <f>IF(Nineteenth!C154="", "",Nineteenth!C154)</f>
        <v/>
      </c>
      <c r="D4651" s="66" t="str">
        <f>IF(Nineteenth!D154="", "",Nineteenth!D154)</f>
        <v/>
      </c>
      <c r="E4651" s="66" t="str">
        <f>IF(Nineteenth!E154="", "",Nineteenth!E154)</f>
        <v/>
      </c>
      <c r="F4651" s="66" t="str">
        <f>IF(Nineteenth!F154="", "",Nineteenth!F154)</f>
        <v/>
      </c>
      <c r="G4651" s="66" t="str">
        <f>IF(Nineteenth!G154="", "",Nineteenth!G154)</f>
        <v/>
      </c>
      <c r="H4651" s="66" t="str">
        <f>IF(Nineteenth!H154="", "",Nineteenth!H154)</f>
        <v/>
      </c>
      <c r="I4651" s="66" t="str">
        <f>IF(Nineteenth!I154="", "",Nineteenth!I154)</f>
        <v/>
      </c>
      <c r="J4651" s="66" t="str">
        <f>IF(Nineteenth!J154="", "",Nineteenth!J154)</f>
        <v/>
      </c>
      <c r="K4651" s="86" t="str">
        <f>IF(Nineteenth!K154="", "",Nineteenth!K154)</f>
        <v/>
      </c>
      <c r="M4651" s="67" t="str">
        <f t="shared" si="218"/>
        <v/>
      </c>
      <c r="N4651" s="76" t="str">
        <f t="shared" si="219"/>
        <v/>
      </c>
      <c r="O4651" s="33">
        <f t="shared" ref="O4651" si="220">SUM(M4651:N4651)</f>
        <v>0</v>
      </c>
    </row>
    <row r="4652" spans="1:15" x14ac:dyDescent="0.25">
      <c r="A4652" s="64" t="s">
        <v>208</v>
      </c>
      <c r="B4652" s="79" t="str">
        <f>IF(Nineteenth!B155="", "",Nineteenth!B155)</f>
        <v/>
      </c>
      <c r="C4652" s="66" t="str">
        <f>IF(Nineteenth!C155="", "",Nineteenth!C155)</f>
        <v/>
      </c>
      <c r="D4652" s="66" t="str">
        <f>IF(Nineteenth!D155="", "",Nineteenth!D155)</f>
        <v/>
      </c>
      <c r="E4652" s="66" t="str">
        <f>IF(Nineteenth!E155="", "",Nineteenth!E155)</f>
        <v/>
      </c>
      <c r="F4652" s="66" t="str">
        <f>IF(Nineteenth!F155="", "",Nineteenth!F155)</f>
        <v/>
      </c>
      <c r="G4652" s="66" t="str">
        <f>IF(Nineteenth!G155="", "",Nineteenth!G155)</f>
        <v/>
      </c>
      <c r="H4652" s="66" t="str">
        <f>IF(Nineteenth!H155="", "",Nineteenth!H155)</f>
        <v/>
      </c>
      <c r="I4652" s="66" t="str">
        <f>IF(Nineteenth!I155="", "",Nineteenth!I155)</f>
        <v/>
      </c>
      <c r="J4652" s="66" t="str">
        <f>IF(Nineteenth!J155="", "",Nineteenth!J155)</f>
        <v/>
      </c>
      <c r="K4652" s="86" t="str">
        <f>IF(Nineteenth!K155="", "",Nineteenth!K155)</f>
        <v/>
      </c>
      <c r="M4652" s="67" t="str">
        <f t="shared" ref="M4652:M4715" si="221">IF(C4652="PwC",(7-COUNTIF(B4652:H4652,"")),"")</f>
        <v/>
      </c>
      <c r="N4652" s="76" t="str">
        <f t="shared" ref="N4652:N4715" si="222">IF(C4652="Carer",(7-COUNTIF(B4652:H4652,"")),"")</f>
        <v/>
      </c>
      <c r="O4652" s="33">
        <f t="shared" ref="O4652:O4715" si="223">SUM(M4652:N4652)</f>
        <v>0</v>
      </c>
    </row>
    <row r="4653" spans="1:15" x14ac:dyDescent="0.25">
      <c r="A4653" s="64" t="s">
        <v>208</v>
      </c>
      <c r="B4653" s="79" t="str">
        <f>IF(Nineteenth!B156="", "",Nineteenth!B156)</f>
        <v/>
      </c>
      <c r="C4653" s="66" t="str">
        <f>IF(Nineteenth!C156="", "",Nineteenth!C156)</f>
        <v/>
      </c>
      <c r="D4653" s="66" t="str">
        <f>IF(Nineteenth!D156="", "",Nineteenth!D156)</f>
        <v/>
      </c>
      <c r="E4653" s="66" t="str">
        <f>IF(Nineteenth!E156="", "",Nineteenth!E156)</f>
        <v/>
      </c>
      <c r="F4653" s="66" t="str">
        <f>IF(Nineteenth!F156="", "",Nineteenth!F156)</f>
        <v/>
      </c>
      <c r="G4653" s="66" t="str">
        <f>IF(Nineteenth!G156="", "",Nineteenth!G156)</f>
        <v/>
      </c>
      <c r="H4653" s="66" t="str">
        <f>IF(Nineteenth!H156="", "",Nineteenth!H156)</f>
        <v/>
      </c>
      <c r="I4653" s="66" t="str">
        <f>IF(Nineteenth!I156="", "",Nineteenth!I156)</f>
        <v/>
      </c>
      <c r="J4653" s="66" t="str">
        <f>IF(Nineteenth!J156="", "",Nineteenth!J156)</f>
        <v/>
      </c>
      <c r="K4653" s="86" t="str">
        <f>IF(Nineteenth!K156="", "",Nineteenth!K156)</f>
        <v/>
      </c>
      <c r="M4653" s="67" t="str">
        <f t="shared" si="221"/>
        <v/>
      </c>
      <c r="N4653" s="76" t="str">
        <f t="shared" si="222"/>
        <v/>
      </c>
      <c r="O4653" s="33">
        <f t="shared" si="223"/>
        <v>0</v>
      </c>
    </row>
    <row r="4654" spans="1:15" x14ac:dyDescent="0.25">
      <c r="A4654" s="64" t="s">
        <v>208</v>
      </c>
      <c r="B4654" s="79" t="str">
        <f>IF(Nineteenth!B157="", "",Nineteenth!B157)</f>
        <v/>
      </c>
      <c r="C4654" s="66" t="str">
        <f>IF(Nineteenth!C157="", "",Nineteenth!C157)</f>
        <v/>
      </c>
      <c r="D4654" s="66" t="str">
        <f>IF(Nineteenth!D157="", "",Nineteenth!D157)</f>
        <v/>
      </c>
      <c r="E4654" s="66" t="str">
        <f>IF(Nineteenth!E157="", "",Nineteenth!E157)</f>
        <v/>
      </c>
      <c r="F4654" s="66" t="str">
        <f>IF(Nineteenth!F157="", "",Nineteenth!F157)</f>
        <v/>
      </c>
      <c r="G4654" s="66" t="str">
        <f>IF(Nineteenth!G157="", "",Nineteenth!G157)</f>
        <v/>
      </c>
      <c r="H4654" s="66" t="str">
        <f>IF(Nineteenth!H157="", "",Nineteenth!H157)</f>
        <v/>
      </c>
      <c r="I4654" s="66" t="str">
        <f>IF(Nineteenth!I157="", "",Nineteenth!I157)</f>
        <v/>
      </c>
      <c r="J4654" s="66" t="str">
        <f>IF(Nineteenth!J157="", "",Nineteenth!J157)</f>
        <v/>
      </c>
      <c r="K4654" s="86" t="str">
        <f>IF(Nineteenth!K157="", "",Nineteenth!K157)</f>
        <v/>
      </c>
      <c r="M4654" s="67" t="str">
        <f t="shared" si="221"/>
        <v/>
      </c>
      <c r="N4654" s="76" t="str">
        <f t="shared" si="222"/>
        <v/>
      </c>
      <c r="O4654" s="33">
        <f t="shared" si="223"/>
        <v>0</v>
      </c>
    </row>
    <row r="4655" spans="1:15" x14ac:dyDescent="0.25">
      <c r="A4655" s="64" t="s">
        <v>208</v>
      </c>
      <c r="B4655" s="79" t="str">
        <f>IF(Nineteenth!B158="", "",Nineteenth!B158)</f>
        <v/>
      </c>
      <c r="C4655" s="66" t="str">
        <f>IF(Nineteenth!C158="", "",Nineteenth!C158)</f>
        <v/>
      </c>
      <c r="D4655" s="66" t="str">
        <f>IF(Nineteenth!D158="", "",Nineteenth!D158)</f>
        <v/>
      </c>
      <c r="E4655" s="66" t="str">
        <f>IF(Nineteenth!E158="", "",Nineteenth!E158)</f>
        <v/>
      </c>
      <c r="F4655" s="66" t="str">
        <f>IF(Nineteenth!F158="", "",Nineteenth!F158)</f>
        <v/>
      </c>
      <c r="G4655" s="66" t="str">
        <f>IF(Nineteenth!G158="", "",Nineteenth!G158)</f>
        <v/>
      </c>
      <c r="H4655" s="66" t="str">
        <f>IF(Nineteenth!H158="", "",Nineteenth!H158)</f>
        <v/>
      </c>
      <c r="I4655" s="66" t="str">
        <f>IF(Nineteenth!I158="", "",Nineteenth!I158)</f>
        <v/>
      </c>
      <c r="J4655" s="66" t="str">
        <f>IF(Nineteenth!J158="", "",Nineteenth!J158)</f>
        <v/>
      </c>
      <c r="K4655" s="86" t="str">
        <f>IF(Nineteenth!K158="", "",Nineteenth!K158)</f>
        <v/>
      </c>
      <c r="M4655" s="67" t="str">
        <f t="shared" si="221"/>
        <v/>
      </c>
      <c r="N4655" s="76" t="str">
        <f t="shared" si="222"/>
        <v/>
      </c>
      <c r="O4655" s="33">
        <f t="shared" si="223"/>
        <v>0</v>
      </c>
    </row>
    <row r="4656" spans="1:15" x14ac:dyDescent="0.25">
      <c r="A4656" s="64" t="s">
        <v>208</v>
      </c>
      <c r="B4656" s="79" t="str">
        <f>IF(Nineteenth!B159="", "",Nineteenth!B159)</f>
        <v/>
      </c>
      <c r="C4656" s="66" t="str">
        <f>IF(Nineteenth!C159="", "",Nineteenth!C159)</f>
        <v/>
      </c>
      <c r="D4656" s="66" t="str">
        <f>IF(Nineteenth!D159="", "",Nineteenth!D159)</f>
        <v/>
      </c>
      <c r="E4656" s="66" t="str">
        <f>IF(Nineteenth!E159="", "",Nineteenth!E159)</f>
        <v/>
      </c>
      <c r="F4656" s="66" t="str">
        <f>IF(Nineteenth!F159="", "",Nineteenth!F159)</f>
        <v/>
      </c>
      <c r="G4656" s="66" t="str">
        <f>IF(Nineteenth!G159="", "",Nineteenth!G159)</f>
        <v/>
      </c>
      <c r="H4656" s="66" t="str">
        <f>IF(Nineteenth!H159="", "",Nineteenth!H159)</f>
        <v/>
      </c>
      <c r="I4656" s="66" t="str">
        <f>IF(Nineteenth!I159="", "",Nineteenth!I159)</f>
        <v/>
      </c>
      <c r="J4656" s="66" t="str">
        <f>IF(Nineteenth!J159="", "",Nineteenth!J159)</f>
        <v/>
      </c>
      <c r="K4656" s="86" t="str">
        <f>IF(Nineteenth!K159="", "",Nineteenth!K159)</f>
        <v/>
      </c>
      <c r="M4656" s="67" t="str">
        <f t="shared" si="221"/>
        <v/>
      </c>
      <c r="N4656" s="76" t="str">
        <f t="shared" si="222"/>
        <v/>
      </c>
      <c r="O4656" s="33">
        <f t="shared" si="223"/>
        <v>0</v>
      </c>
    </row>
    <row r="4657" spans="1:15" x14ac:dyDescent="0.25">
      <c r="A4657" s="64" t="s">
        <v>208</v>
      </c>
      <c r="B4657" s="79" t="str">
        <f>IF(Nineteenth!B160="", "",Nineteenth!B160)</f>
        <v/>
      </c>
      <c r="C4657" s="66" t="str">
        <f>IF(Nineteenth!C160="", "",Nineteenth!C160)</f>
        <v/>
      </c>
      <c r="D4657" s="66" t="str">
        <f>IF(Nineteenth!D160="", "",Nineteenth!D160)</f>
        <v/>
      </c>
      <c r="E4657" s="66" t="str">
        <f>IF(Nineteenth!E160="", "",Nineteenth!E160)</f>
        <v/>
      </c>
      <c r="F4657" s="66" t="str">
        <f>IF(Nineteenth!F160="", "",Nineteenth!F160)</f>
        <v/>
      </c>
      <c r="G4657" s="66" t="str">
        <f>IF(Nineteenth!G160="", "",Nineteenth!G160)</f>
        <v/>
      </c>
      <c r="H4657" s="66" t="str">
        <f>IF(Nineteenth!H160="", "",Nineteenth!H160)</f>
        <v/>
      </c>
      <c r="I4657" s="66" t="str">
        <f>IF(Nineteenth!I160="", "",Nineteenth!I160)</f>
        <v/>
      </c>
      <c r="J4657" s="66" t="str">
        <f>IF(Nineteenth!J160="", "",Nineteenth!J160)</f>
        <v/>
      </c>
      <c r="K4657" s="86" t="str">
        <f>IF(Nineteenth!K160="", "",Nineteenth!K160)</f>
        <v/>
      </c>
      <c r="M4657" s="67" t="str">
        <f t="shared" si="221"/>
        <v/>
      </c>
      <c r="N4657" s="76" t="str">
        <f t="shared" si="222"/>
        <v/>
      </c>
      <c r="O4657" s="33">
        <f t="shared" si="223"/>
        <v>0</v>
      </c>
    </row>
    <row r="4658" spans="1:15" x14ac:dyDescent="0.25">
      <c r="A4658" s="64" t="s">
        <v>208</v>
      </c>
      <c r="B4658" s="79" t="str">
        <f>IF(Nineteenth!B161="", "",Nineteenth!B161)</f>
        <v/>
      </c>
      <c r="C4658" s="66" t="str">
        <f>IF(Nineteenth!C161="", "",Nineteenth!C161)</f>
        <v/>
      </c>
      <c r="D4658" s="66" t="str">
        <f>IF(Nineteenth!D161="", "",Nineteenth!D161)</f>
        <v/>
      </c>
      <c r="E4658" s="66" t="str">
        <f>IF(Nineteenth!E161="", "",Nineteenth!E161)</f>
        <v/>
      </c>
      <c r="F4658" s="66" t="str">
        <f>IF(Nineteenth!F161="", "",Nineteenth!F161)</f>
        <v/>
      </c>
      <c r="G4658" s="66" t="str">
        <f>IF(Nineteenth!G161="", "",Nineteenth!G161)</f>
        <v/>
      </c>
      <c r="H4658" s="66" t="str">
        <f>IF(Nineteenth!H161="", "",Nineteenth!H161)</f>
        <v/>
      </c>
      <c r="I4658" s="66" t="str">
        <f>IF(Nineteenth!I161="", "",Nineteenth!I161)</f>
        <v/>
      </c>
      <c r="J4658" s="66" t="str">
        <f>IF(Nineteenth!J161="", "",Nineteenth!J161)</f>
        <v/>
      </c>
      <c r="K4658" s="86" t="str">
        <f>IF(Nineteenth!K161="", "",Nineteenth!K161)</f>
        <v/>
      </c>
      <c r="M4658" s="67" t="str">
        <f t="shared" si="221"/>
        <v/>
      </c>
      <c r="N4658" s="76" t="str">
        <f t="shared" si="222"/>
        <v/>
      </c>
      <c r="O4658" s="33">
        <f t="shared" si="223"/>
        <v>0</v>
      </c>
    </row>
    <row r="4659" spans="1:15" x14ac:dyDescent="0.25">
      <c r="A4659" s="64" t="s">
        <v>208</v>
      </c>
      <c r="B4659" s="79" t="str">
        <f>IF(Nineteenth!B162="", "",Nineteenth!B162)</f>
        <v/>
      </c>
      <c r="C4659" s="66" t="str">
        <f>IF(Nineteenth!C162="", "",Nineteenth!C162)</f>
        <v/>
      </c>
      <c r="D4659" s="66" t="str">
        <f>IF(Nineteenth!D162="", "",Nineteenth!D162)</f>
        <v/>
      </c>
      <c r="E4659" s="66" t="str">
        <f>IF(Nineteenth!E162="", "",Nineteenth!E162)</f>
        <v/>
      </c>
      <c r="F4659" s="66" t="str">
        <f>IF(Nineteenth!F162="", "",Nineteenth!F162)</f>
        <v/>
      </c>
      <c r="G4659" s="66" t="str">
        <f>IF(Nineteenth!G162="", "",Nineteenth!G162)</f>
        <v/>
      </c>
      <c r="H4659" s="66" t="str">
        <f>IF(Nineteenth!H162="", "",Nineteenth!H162)</f>
        <v/>
      </c>
      <c r="I4659" s="66" t="str">
        <f>IF(Nineteenth!I162="", "",Nineteenth!I162)</f>
        <v/>
      </c>
      <c r="J4659" s="66" t="str">
        <f>IF(Nineteenth!J162="", "",Nineteenth!J162)</f>
        <v/>
      </c>
      <c r="K4659" s="86" t="str">
        <f>IF(Nineteenth!K162="", "",Nineteenth!K162)</f>
        <v/>
      </c>
      <c r="M4659" s="67" t="str">
        <f t="shared" si="221"/>
        <v/>
      </c>
      <c r="N4659" s="76" t="str">
        <f t="shared" si="222"/>
        <v/>
      </c>
      <c r="O4659" s="33">
        <f t="shared" si="223"/>
        <v>0</v>
      </c>
    </row>
    <row r="4660" spans="1:15" x14ac:dyDescent="0.25">
      <c r="A4660" s="64" t="s">
        <v>208</v>
      </c>
      <c r="B4660" s="79" t="str">
        <f>IF(Nineteenth!B163="", "",Nineteenth!B163)</f>
        <v/>
      </c>
      <c r="C4660" s="66" t="str">
        <f>IF(Nineteenth!C163="", "",Nineteenth!C163)</f>
        <v/>
      </c>
      <c r="D4660" s="66" t="str">
        <f>IF(Nineteenth!D163="", "",Nineteenth!D163)</f>
        <v/>
      </c>
      <c r="E4660" s="66" t="str">
        <f>IF(Nineteenth!E163="", "",Nineteenth!E163)</f>
        <v/>
      </c>
      <c r="F4660" s="66" t="str">
        <f>IF(Nineteenth!F163="", "",Nineteenth!F163)</f>
        <v/>
      </c>
      <c r="G4660" s="66" t="str">
        <f>IF(Nineteenth!G163="", "",Nineteenth!G163)</f>
        <v/>
      </c>
      <c r="H4660" s="66" t="str">
        <f>IF(Nineteenth!H163="", "",Nineteenth!H163)</f>
        <v/>
      </c>
      <c r="I4660" s="66" t="str">
        <f>IF(Nineteenth!I163="", "",Nineteenth!I163)</f>
        <v/>
      </c>
      <c r="J4660" s="66" t="str">
        <f>IF(Nineteenth!J163="", "",Nineteenth!J163)</f>
        <v/>
      </c>
      <c r="K4660" s="86" t="str">
        <f>IF(Nineteenth!K163="", "",Nineteenth!K163)</f>
        <v/>
      </c>
      <c r="M4660" s="67" t="str">
        <f t="shared" si="221"/>
        <v/>
      </c>
      <c r="N4660" s="76" t="str">
        <f t="shared" si="222"/>
        <v/>
      </c>
      <c r="O4660" s="33">
        <f t="shared" si="223"/>
        <v>0</v>
      </c>
    </row>
    <row r="4661" spans="1:15" x14ac:dyDescent="0.25">
      <c r="A4661" s="64" t="s">
        <v>208</v>
      </c>
      <c r="B4661" s="79" t="str">
        <f>IF(Nineteenth!B164="", "",Nineteenth!B164)</f>
        <v/>
      </c>
      <c r="C4661" s="66" t="str">
        <f>IF(Nineteenth!C164="", "",Nineteenth!C164)</f>
        <v/>
      </c>
      <c r="D4661" s="66" t="str">
        <f>IF(Nineteenth!D164="", "",Nineteenth!D164)</f>
        <v/>
      </c>
      <c r="E4661" s="66" t="str">
        <f>IF(Nineteenth!E164="", "",Nineteenth!E164)</f>
        <v/>
      </c>
      <c r="F4661" s="66" t="str">
        <f>IF(Nineteenth!F164="", "",Nineteenth!F164)</f>
        <v/>
      </c>
      <c r="G4661" s="66" t="str">
        <f>IF(Nineteenth!G164="", "",Nineteenth!G164)</f>
        <v/>
      </c>
      <c r="H4661" s="66" t="str">
        <f>IF(Nineteenth!H164="", "",Nineteenth!H164)</f>
        <v/>
      </c>
      <c r="I4661" s="66" t="str">
        <f>IF(Nineteenth!I164="", "",Nineteenth!I164)</f>
        <v/>
      </c>
      <c r="J4661" s="66" t="str">
        <f>IF(Nineteenth!J164="", "",Nineteenth!J164)</f>
        <v/>
      </c>
      <c r="K4661" s="86" t="str">
        <f>IF(Nineteenth!K164="", "",Nineteenth!K164)</f>
        <v/>
      </c>
      <c r="M4661" s="67" t="str">
        <f t="shared" si="221"/>
        <v/>
      </c>
      <c r="N4661" s="76" t="str">
        <f t="shared" si="222"/>
        <v/>
      </c>
      <c r="O4661" s="33">
        <f t="shared" si="223"/>
        <v>0</v>
      </c>
    </row>
    <row r="4662" spans="1:15" x14ac:dyDescent="0.25">
      <c r="A4662" s="64" t="s">
        <v>208</v>
      </c>
      <c r="B4662" s="79" t="str">
        <f>IF(Nineteenth!B165="", "",Nineteenth!B165)</f>
        <v/>
      </c>
      <c r="C4662" s="66" t="str">
        <f>IF(Nineteenth!C165="", "",Nineteenth!C165)</f>
        <v/>
      </c>
      <c r="D4662" s="66" t="str">
        <f>IF(Nineteenth!D165="", "",Nineteenth!D165)</f>
        <v/>
      </c>
      <c r="E4662" s="66" t="str">
        <f>IF(Nineteenth!E165="", "",Nineteenth!E165)</f>
        <v/>
      </c>
      <c r="F4662" s="66" t="str">
        <f>IF(Nineteenth!F165="", "",Nineteenth!F165)</f>
        <v/>
      </c>
      <c r="G4662" s="66" t="str">
        <f>IF(Nineteenth!G165="", "",Nineteenth!G165)</f>
        <v/>
      </c>
      <c r="H4662" s="66" t="str">
        <f>IF(Nineteenth!H165="", "",Nineteenth!H165)</f>
        <v/>
      </c>
      <c r="I4662" s="66" t="str">
        <f>IF(Nineteenth!I165="", "",Nineteenth!I165)</f>
        <v/>
      </c>
      <c r="J4662" s="66" t="str">
        <f>IF(Nineteenth!J165="", "",Nineteenth!J165)</f>
        <v/>
      </c>
      <c r="K4662" s="86" t="str">
        <f>IF(Nineteenth!K165="", "",Nineteenth!K165)</f>
        <v/>
      </c>
      <c r="M4662" s="67" t="str">
        <f t="shared" si="221"/>
        <v/>
      </c>
      <c r="N4662" s="76" t="str">
        <f t="shared" si="222"/>
        <v/>
      </c>
      <c r="O4662" s="33">
        <f t="shared" si="223"/>
        <v>0</v>
      </c>
    </row>
    <row r="4663" spans="1:15" x14ac:dyDescent="0.25">
      <c r="A4663" s="64" t="s">
        <v>208</v>
      </c>
      <c r="B4663" s="79" t="str">
        <f>IF(Nineteenth!B166="", "",Nineteenth!B166)</f>
        <v/>
      </c>
      <c r="C4663" s="66" t="str">
        <f>IF(Nineteenth!C166="", "",Nineteenth!C166)</f>
        <v/>
      </c>
      <c r="D4663" s="66" t="str">
        <f>IF(Nineteenth!D166="", "",Nineteenth!D166)</f>
        <v/>
      </c>
      <c r="E4663" s="66" t="str">
        <f>IF(Nineteenth!E166="", "",Nineteenth!E166)</f>
        <v/>
      </c>
      <c r="F4663" s="66" t="str">
        <f>IF(Nineteenth!F166="", "",Nineteenth!F166)</f>
        <v/>
      </c>
      <c r="G4663" s="66" t="str">
        <f>IF(Nineteenth!G166="", "",Nineteenth!G166)</f>
        <v/>
      </c>
      <c r="H4663" s="66" t="str">
        <f>IF(Nineteenth!H166="", "",Nineteenth!H166)</f>
        <v/>
      </c>
      <c r="I4663" s="66" t="str">
        <f>IF(Nineteenth!I166="", "",Nineteenth!I166)</f>
        <v/>
      </c>
      <c r="J4663" s="66" t="str">
        <f>IF(Nineteenth!J166="", "",Nineteenth!J166)</f>
        <v/>
      </c>
      <c r="K4663" s="86" t="str">
        <f>IF(Nineteenth!K166="", "",Nineteenth!K166)</f>
        <v/>
      </c>
      <c r="M4663" s="67" t="str">
        <f t="shared" si="221"/>
        <v/>
      </c>
      <c r="N4663" s="76" t="str">
        <f t="shared" si="222"/>
        <v/>
      </c>
      <c r="O4663" s="33">
        <f t="shared" si="223"/>
        <v>0</v>
      </c>
    </row>
    <row r="4664" spans="1:15" x14ac:dyDescent="0.25">
      <c r="A4664" s="64" t="s">
        <v>208</v>
      </c>
      <c r="B4664" s="79" t="str">
        <f>IF(Nineteenth!B167="", "",Nineteenth!B167)</f>
        <v/>
      </c>
      <c r="C4664" s="66" t="str">
        <f>IF(Nineteenth!C167="", "",Nineteenth!C167)</f>
        <v/>
      </c>
      <c r="D4664" s="66" t="str">
        <f>IF(Nineteenth!D167="", "",Nineteenth!D167)</f>
        <v/>
      </c>
      <c r="E4664" s="66" t="str">
        <f>IF(Nineteenth!E167="", "",Nineteenth!E167)</f>
        <v/>
      </c>
      <c r="F4664" s="66" t="str">
        <f>IF(Nineteenth!F167="", "",Nineteenth!F167)</f>
        <v/>
      </c>
      <c r="G4664" s="66" t="str">
        <f>IF(Nineteenth!G167="", "",Nineteenth!G167)</f>
        <v/>
      </c>
      <c r="H4664" s="66" t="str">
        <f>IF(Nineteenth!H167="", "",Nineteenth!H167)</f>
        <v/>
      </c>
      <c r="I4664" s="66" t="str">
        <f>IF(Nineteenth!I167="", "",Nineteenth!I167)</f>
        <v/>
      </c>
      <c r="J4664" s="66" t="str">
        <f>IF(Nineteenth!J167="", "",Nineteenth!J167)</f>
        <v/>
      </c>
      <c r="K4664" s="86" t="str">
        <f>IF(Nineteenth!K167="", "",Nineteenth!K167)</f>
        <v/>
      </c>
      <c r="M4664" s="67" t="str">
        <f t="shared" si="221"/>
        <v/>
      </c>
      <c r="N4664" s="76" t="str">
        <f t="shared" si="222"/>
        <v/>
      </c>
      <c r="O4664" s="33">
        <f t="shared" si="223"/>
        <v>0</v>
      </c>
    </row>
    <row r="4665" spans="1:15" x14ac:dyDescent="0.25">
      <c r="A4665" s="64" t="s">
        <v>208</v>
      </c>
      <c r="B4665" s="79" t="str">
        <f>IF(Nineteenth!B168="", "",Nineteenth!B168)</f>
        <v/>
      </c>
      <c r="C4665" s="66" t="str">
        <f>IF(Nineteenth!C168="", "",Nineteenth!C168)</f>
        <v/>
      </c>
      <c r="D4665" s="66" t="str">
        <f>IF(Nineteenth!D168="", "",Nineteenth!D168)</f>
        <v/>
      </c>
      <c r="E4665" s="66" t="str">
        <f>IF(Nineteenth!E168="", "",Nineteenth!E168)</f>
        <v/>
      </c>
      <c r="F4665" s="66" t="str">
        <f>IF(Nineteenth!F168="", "",Nineteenth!F168)</f>
        <v/>
      </c>
      <c r="G4665" s="66" t="str">
        <f>IF(Nineteenth!G168="", "",Nineteenth!G168)</f>
        <v/>
      </c>
      <c r="H4665" s="66" t="str">
        <f>IF(Nineteenth!H168="", "",Nineteenth!H168)</f>
        <v/>
      </c>
      <c r="I4665" s="66" t="str">
        <f>IF(Nineteenth!I168="", "",Nineteenth!I168)</f>
        <v/>
      </c>
      <c r="J4665" s="66" t="str">
        <f>IF(Nineteenth!J168="", "",Nineteenth!J168)</f>
        <v/>
      </c>
      <c r="K4665" s="86" t="str">
        <f>IF(Nineteenth!K168="", "",Nineteenth!K168)</f>
        <v/>
      </c>
      <c r="M4665" s="67" t="str">
        <f t="shared" si="221"/>
        <v/>
      </c>
      <c r="N4665" s="76" t="str">
        <f t="shared" si="222"/>
        <v/>
      </c>
      <c r="O4665" s="33">
        <f t="shared" si="223"/>
        <v>0</v>
      </c>
    </row>
    <row r="4666" spans="1:15" x14ac:dyDescent="0.25">
      <c r="A4666" s="64" t="s">
        <v>208</v>
      </c>
      <c r="B4666" s="79" t="str">
        <f>IF(Nineteenth!B169="", "",Nineteenth!B169)</f>
        <v/>
      </c>
      <c r="C4666" s="66" t="str">
        <f>IF(Nineteenth!C169="", "",Nineteenth!C169)</f>
        <v/>
      </c>
      <c r="D4666" s="66" t="str">
        <f>IF(Nineteenth!D169="", "",Nineteenth!D169)</f>
        <v/>
      </c>
      <c r="E4666" s="66" t="str">
        <f>IF(Nineteenth!E169="", "",Nineteenth!E169)</f>
        <v/>
      </c>
      <c r="F4666" s="66" t="str">
        <f>IF(Nineteenth!F169="", "",Nineteenth!F169)</f>
        <v/>
      </c>
      <c r="G4666" s="66" t="str">
        <f>IF(Nineteenth!G169="", "",Nineteenth!G169)</f>
        <v/>
      </c>
      <c r="H4666" s="66" t="str">
        <f>IF(Nineteenth!H169="", "",Nineteenth!H169)</f>
        <v/>
      </c>
      <c r="I4666" s="66" t="str">
        <f>IF(Nineteenth!I169="", "",Nineteenth!I169)</f>
        <v/>
      </c>
      <c r="J4666" s="66" t="str">
        <f>IF(Nineteenth!J169="", "",Nineteenth!J169)</f>
        <v/>
      </c>
      <c r="K4666" s="86" t="str">
        <f>IF(Nineteenth!K169="", "",Nineteenth!K169)</f>
        <v/>
      </c>
      <c r="M4666" s="67" t="str">
        <f t="shared" si="221"/>
        <v/>
      </c>
      <c r="N4666" s="76" t="str">
        <f t="shared" si="222"/>
        <v/>
      </c>
      <c r="O4666" s="33">
        <f t="shared" si="223"/>
        <v>0</v>
      </c>
    </row>
    <row r="4667" spans="1:15" x14ac:dyDescent="0.25">
      <c r="A4667" s="64" t="s">
        <v>208</v>
      </c>
      <c r="B4667" s="79" t="str">
        <f>IF(Nineteenth!B170="", "",Nineteenth!B170)</f>
        <v/>
      </c>
      <c r="C4667" s="66" t="str">
        <f>IF(Nineteenth!C170="", "",Nineteenth!C170)</f>
        <v/>
      </c>
      <c r="D4667" s="66" t="str">
        <f>IF(Nineteenth!D170="", "",Nineteenth!D170)</f>
        <v/>
      </c>
      <c r="E4667" s="66" t="str">
        <f>IF(Nineteenth!E170="", "",Nineteenth!E170)</f>
        <v/>
      </c>
      <c r="F4667" s="66" t="str">
        <f>IF(Nineteenth!F170="", "",Nineteenth!F170)</f>
        <v/>
      </c>
      <c r="G4667" s="66" t="str">
        <f>IF(Nineteenth!G170="", "",Nineteenth!G170)</f>
        <v/>
      </c>
      <c r="H4667" s="66" t="str">
        <f>IF(Nineteenth!H170="", "",Nineteenth!H170)</f>
        <v/>
      </c>
      <c r="I4667" s="66" t="str">
        <f>IF(Nineteenth!I170="", "",Nineteenth!I170)</f>
        <v/>
      </c>
      <c r="J4667" s="66" t="str">
        <f>IF(Nineteenth!J170="", "",Nineteenth!J170)</f>
        <v/>
      </c>
      <c r="K4667" s="86" t="str">
        <f>IF(Nineteenth!K170="", "",Nineteenth!K170)</f>
        <v/>
      </c>
      <c r="M4667" s="67" t="str">
        <f t="shared" si="221"/>
        <v/>
      </c>
      <c r="N4667" s="76" t="str">
        <f t="shared" si="222"/>
        <v/>
      </c>
      <c r="O4667" s="33">
        <f t="shared" si="223"/>
        <v>0</v>
      </c>
    </row>
    <row r="4668" spans="1:15" x14ac:dyDescent="0.25">
      <c r="A4668" s="64" t="s">
        <v>208</v>
      </c>
      <c r="B4668" s="79" t="str">
        <f>IF(Nineteenth!B171="", "",Nineteenth!B171)</f>
        <v/>
      </c>
      <c r="C4668" s="66" t="str">
        <f>IF(Nineteenth!C171="", "",Nineteenth!C171)</f>
        <v/>
      </c>
      <c r="D4668" s="66" t="str">
        <f>IF(Nineteenth!D171="", "",Nineteenth!D171)</f>
        <v/>
      </c>
      <c r="E4668" s="66" t="str">
        <f>IF(Nineteenth!E171="", "",Nineteenth!E171)</f>
        <v/>
      </c>
      <c r="F4668" s="66" t="str">
        <f>IF(Nineteenth!F171="", "",Nineteenth!F171)</f>
        <v/>
      </c>
      <c r="G4668" s="66" t="str">
        <f>IF(Nineteenth!G171="", "",Nineteenth!G171)</f>
        <v/>
      </c>
      <c r="H4668" s="66" t="str">
        <f>IF(Nineteenth!H171="", "",Nineteenth!H171)</f>
        <v/>
      </c>
      <c r="I4668" s="66" t="str">
        <f>IF(Nineteenth!I171="", "",Nineteenth!I171)</f>
        <v/>
      </c>
      <c r="J4668" s="66" t="str">
        <f>IF(Nineteenth!J171="", "",Nineteenth!J171)</f>
        <v/>
      </c>
      <c r="K4668" s="86" t="str">
        <f>IF(Nineteenth!K171="", "",Nineteenth!K171)</f>
        <v/>
      </c>
      <c r="M4668" s="67" t="str">
        <f t="shared" si="221"/>
        <v/>
      </c>
      <c r="N4668" s="76" t="str">
        <f t="shared" si="222"/>
        <v/>
      </c>
      <c r="O4668" s="33">
        <f t="shared" si="223"/>
        <v>0</v>
      </c>
    </row>
    <row r="4669" spans="1:15" x14ac:dyDescent="0.25">
      <c r="A4669" s="64" t="s">
        <v>208</v>
      </c>
      <c r="B4669" s="79" t="str">
        <f>IF(Nineteenth!B172="", "",Nineteenth!B172)</f>
        <v/>
      </c>
      <c r="C4669" s="66" t="str">
        <f>IF(Nineteenth!C172="", "",Nineteenth!C172)</f>
        <v/>
      </c>
      <c r="D4669" s="66" t="str">
        <f>IF(Nineteenth!D172="", "",Nineteenth!D172)</f>
        <v/>
      </c>
      <c r="E4669" s="66" t="str">
        <f>IF(Nineteenth!E172="", "",Nineteenth!E172)</f>
        <v/>
      </c>
      <c r="F4669" s="66" t="str">
        <f>IF(Nineteenth!F172="", "",Nineteenth!F172)</f>
        <v/>
      </c>
      <c r="G4669" s="66" t="str">
        <f>IF(Nineteenth!G172="", "",Nineteenth!G172)</f>
        <v/>
      </c>
      <c r="H4669" s="66" t="str">
        <f>IF(Nineteenth!H172="", "",Nineteenth!H172)</f>
        <v/>
      </c>
      <c r="I4669" s="66" t="str">
        <f>IF(Nineteenth!I172="", "",Nineteenth!I172)</f>
        <v/>
      </c>
      <c r="J4669" s="66" t="str">
        <f>IF(Nineteenth!J172="", "",Nineteenth!J172)</f>
        <v/>
      </c>
      <c r="K4669" s="86" t="str">
        <f>IF(Nineteenth!K172="", "",Nineteenth!K172)</f>
        <v/>
      </c>
      <c r="M4669" s="67" t="str">
        <f t="shared" si="221"/>
        <v/>
      </c>
      <c r="N4669" s="76" t="str">
        <f t="shared" si="222"/>
        <v/>
      </c>
      <c r="O4669" s="33">
        <f t="shared" si="223"/>
        <v>0</v>
      </c>
    </row>
    <row r="4670" spans="1:15" x14ac:dyDescent="0.25">
      <c r="A4670" s="64" t="s">
        <v>208</v>
      </c>
      <c r="B4670" s="79" t="str">
        <f>IF(Nineteenth!B173="", "",Nineteenth!B173)</f>
        <v/>
      </c>
      <c r="C4670" s="66" t="str">
        <f>IF(Nineteenth!C173="", "",Nineteenth!C173)</f>
        <v/>
      </c>
      <c r="D4670" s="66" t="str">
        <f>IF(Nineteenth!D173="", "",Nineteenth!D173)</f>
        <v/>
      </c>
      <c r="E4670" s="66" t="str">
        <f>IF(Nineteenth!E173="", "",Nineteenth!E173)</f>
        <v/>
      </c>
      <c r="F4670" s="66" t="str">
        <f>IF(Nineteenth!F173="", "",Nineteenth!F173)</f>
        <v/>
      </c>
      <c r="G4670" s="66" t="str">
        <f>IF(Nineteenth!G173="", "",Nineteenth!G173)</f>
        <v/>
      </c>
      <c r="H4670" s="66" t="str">
        <f>IF(Nineteenth!H173="", "",Nineteenth!H173)</f>
        <v/>
      </c>
      <c r="I4670" s="66" t="str">
        <f>IF(Nineteenth!I173="", "",Nineteenth!I173)</f>
        <v/>
      </c>
      <c r="J4670" s="66" t="str">
        <f>IF(Nineteenth!J173="", "",Nineteenth!J173)</f>
        <v/>
      </c>
      <c r="K4670" s="86" t="str">
        <f>IF(Nineteenth!K173="", "",Nineteenth!K173)</f>
        <v/>
      </c>
      <c r="M4670" s="67" t="str">
        <f t="shared" si="221"/>
        <v/>
      </c>
      <c r="N4670" s="76" t="str">
        <f t="shared" si="222"/>
        <v/>
      </c>
      <c r="O4670" s="33">
        <f t="shared" si="223"/>
        <v>0</v>
      </c>
    </row>
    <row r="4671" spans="1:15" x14ac:dyDescent="0.25">
      <c r="A4671" s="64" t="s">
        <v>208</v>
      </c>
      <c r="B4671" s="79" t="str">
        <f>IF(Nineteenth!B174="", "",Nineteenth!B174)</f>
        <v/>
      </c>
      <c r="C4671" s="66" t="str">
        <f>IF(Nineteenth!C174="", "",Nineteenth!C174)</f>
        <v/>
      </c>
      <c r="D4671" s="66" t="str">
        <f>IF(Nineteenth!D174="", "",Nineteenth!D174)</f>
        <v/>
      </c>
      <c r="E4671" s="66" t="str">
        <f>IF(Nineteenth!E174="", "",Nineteenth!E174)</f>
        <v/>
      </c>
      <c r="F4671" s="66" t="str">
        <f>IF(Nineteenth!F174="", "",Nineteenth!F174)</f>
        <v/>
      </c>
      <c r="G4671" s="66" t="str">
        <f>IF(Nineteenth!G174="", "",Nineteenth!G174)</f>
        <v/>
      </c>
      <c r="H4671" s="66" t="str">
        <f>IF(Nineteenth!H174="", "",Nineteenth!H174)</f>
        <v/>
      </c>
      <c r="I4671" s="66" t="str">
        <f>IF(Nineteenth!I174="", "",Nineteenth!I174)</f>
        <v/>
      </c>
      <c r="J4671" s="66" t="str">
        <f>IF(Nineteenth!J174="", "",Nineteenth!J174)</f>
        <v/>
      </c>
      <c r="K4671" s="86" t="str">
        <f>IF(Nineteenth!K174="", "",Nineteenth!K174)</f>
        <v/>
      </c>
      <c r="M4671" s="67" t="str">
        <f t="shared" si="221"/>
        <v/>
      </c>
      <c r="N4671" s="76" t="str">
        <f t="shared" si="222"/>
        <v/>
      </c>
      <c r="O4671" s="33">
        <f t="shared" si="223"/>
        <v>0</v>
      </c>
    </row>
    <row r="4672" spans="1:15" x14ac:dyDescent="0.25">
      <c r="A4672" s="64" t="s">
        <v>208</v>
      </c>
      <c r="B4672" s="79" t="str">
        <f>IF(Nineteenth!B175="", "",Nineteenth!B175)</f>
        <v/>
      </c>
      <c r="C4672" s="66" t="str">
        <f>IF(Nineteenth!C175="", "",Nineteenth!C175)</f>
        <v/>
      </c>
      <c r="D4672" s="66" t="str">
        <f>IF(Nineteenth!D175="", "",Nineteenth!D175)</f>
        <v/>
      </c>
      <c r="E4672" s="66" t="str">
        <f>IF(Nineteenth!E175="", "",Nineteenth!E175)</f>
        <v/>
      </c>
      <c r="F4672" s="66" t="str">
        <f>IF(Nineteenth!F175="", "",Nineteenth!F175)</f>
        <v/>
      </c>
      <c r="G4672" s="66" t="str">
        <f>IF(Nineteenth!G175="", "",Nineteenth!G175)</f>
        <v/>
      </c>
      <c r="H4672" s="66" t="str">
        <f>IF(Nineteenth!H175="", "",Nineteenth!H175)</f>
        <v/>
      </c>
      <c r="I4672" s="66" t="str">
        <f>IF(Nineteenth!I175="", "",Nineteenth!I175)</f>
        <v/>
      </c>
      <c r="J4672" s="66" t="str">
        <f>IF(Nineteenth!J175="", "",Nineteenth!J175)</f>
        <v/>
      </c>
      <c r="K4672" s="86" t="str">
        <f>IF(Nineteenth!K175="", "",Nineteenth!K175)</f>
        <v/>
      </c>
      <c r="M4672" s="67" t="str">
        <f t="shared" si="221"/>
        <v/>
      </c>
      <c r="N4672" s="76" t="str">
        <f t="shared" si="222"/>
        <v/>
      </c>
      <c r="O4672" s="33">
        <f t="shared" si="223"/>
        <v>0</v>
      </c>
    </row>
    <row r="4673" spans="1:15" x14ac:dyDescent="0.25">
      <c r="A4673" s="64" t="s">
        <v>208</v>
      </c>
      <c r="B4673" s="79" t="str">
        <f>IF(Nineteenth!B176="", "",Nineteenth!B176)</f>
        <v/>
      </c>
      <c r="C4673" s="66" t="str">
        <f>IF(Nineteenth!C176="", "",Nineteenth!C176)</f>
        <v/>
      </c>
      <c r="D4673" s="66" t="str">
        <f>IF(Nineteenth!D176="", "",Nineteenth!D176)</f>
        <v/>
      </c>
      <c r="E4673" s="66" t="str">
        <f>IF(Nineteenth!E176="", "",Nineteenth!E176)</f>
        <v/>
      </c>
      <c r="F4673" s="66" t="str">
        <f>IF(Nineteenth!F176="", "",Nineteenth!F176)</f>
        <v/>
      </c>
      <c r="G4673" s="66" t="str">
        <f>IF(Nineteenth!G176="", "",Nineteenth!G176)</f>
        <v/>
      </c>
      <c r="H4673" s="66" t="str">
        <f>IF(Nineteenth!H176="", "",Nineteenth!H176)</f>
        <v/>
      </c>
      <c r="I4673" s="66" t="str">
        <f>IF(Nineteenth!I176="", "",Nineteenth!I176)</f>
        <v/>
      </c>
      <c r="J4673" s="66" t="str">
        <f>IF(Nineteenth!J176="", "",Nineteenth!J176)</f>
        <v/>
      </c>
      <c r="K4673" s="86" t="str">
        <f>IF(Nineteenth!K176="", "",Nineteenth!K176)</f>
        <v/>
      </c>
      <c r="M4673" s="67" t="str">
        <f t="shared" si="221"/>
        <v/>
      </c>
      <c r="N4673" s="76" t="str">
        <f t="shared" si="222"/>
        <v/>
      </c>
      <c r="O4673" s="33">
        <f t="shared" si="223"/>
        <v>0</v>
      </c>
    </row>
    <row r="4674" spans="1:15" x14ac:dyDescent="0.25">
      <c r="A4674" s="64" t="s">
        <v>208</v>
      </c>
      <c r="B4674" s="79" t="str">
        <f>IF(Nineteenth!B177="", "",Nineteenth!B177)</f>
        <v/>
      </c>
      <c r="C4674" s="66" t="str">
        <f>IF(Nineteenth!C177="", "",Nineteenth!C177)</f>
        <v/>
      </c>
      <c r="D4674" s="66" t="str">
        <f>IF(Nineteenth!D177="", "",Nineteenth!D177)</f>
        <v/>
      </c>
      <c r="E4674" s="66" t="str">
        <f>IF(Nineteenth!E177="", "",Nineteenth!E177)</f>
        <v/>
      </c>
      <c r="F4674" s="66" t="str">
        <f>IF(Nineteenth!F177="", "",Nineteenth!F177)</f>
        <v/>
      </c>
      <c r="G4674" s="66" t="str">
        <f>IF(Nineteenth!G177="", "",Nineteenth!G177)</f>
        <v/>
      </c>
      <c r="H4674" s="66" t="str">
        <f>IF(Nineteenth!H177="", "",Nineteenth!H177)</f>
        <v/>
      </c>
      <c r="I4674" s="66" t="str">
        <f>IF(Nineteenth!I177="", "",Nineteenth!I177)</f>
        <v/>
      </c>
      <c r="J4674" s="66" t="str">
        <f>IF(Nineteenth!J177="", "",Nineteenth!J177)</f>
        <v/>
      </c>
      <c r="K4674" s="86" t="str">
        <f>IF(Nineteenth!K177="", "",Nineteenth!K177)</f>
        <v/>
      </c>
      <c r="M4674" s="67" t="str">
        <f t="shared" si="221"/>
        <v/>
      </c>
      <c r="N4674" s="76" t="str">
        <f t="shared" si="222"/>
        <v/>
      </c>
      <c r="O4674" s="33">
        <f t="shared" si="223"/>
        <v>0</v>
      </c>
    </row>
    <row r="4675" spans="1:15" x14ac:dyDescent="0.25">
      <c r="A4675" s="64" t="s">
        <v>208</v>
      </c>
      <c r="B4675" s="79" t="str">
        <f>IF(Nineteenth!B178="", "",Nineteenth!B178)</f>
        <v/>
      </c>
      <c r="C4675" s="66" t="str">
        <f>IF(Nineteenth!C178="", "",Nineteenth!C178)</f>
        <v/>
      </c>
      <c r="D4675" s="66" t="str">
        <f>IF(Nineteenth!D178="", "",Nineteenth!D178)</f>
        <v/>
      </c>
      <c r="E4675" s="66" t="str">
        <f>IF(Nineteenth!E178="", "",Nineteenth!E178)</f>
        <v/>
      </c>
      <c r="F4675" s="66" t="str">
        <f>IF(Nineteenth!F178="", "",Nineteenth!F178)</f>
        <v/>
      </c>
      <c r="G4675" s="66" t="str">
        <f>IF(Nineteenth!G178="", "",Nineteenth!G178)</f>
        <v/>
      </c>
      <c r="H4675" s="66" t="str">
        <f>IF(Nineteenth!H178="", "",Nineteenth!H178)</f>
        <v/>
      </c>
      <c r="I4675" s="66" t="str">
        <f>IF(Nineteenth!I178="", "",Nineteenth!I178)</f>
        <v/>
      </c>
      <c r="J4675" s="66" t="str">
        <f>IF(Nineteenth!J178="", "",Nineteenth!J178)</f>
        <v/>
      </c>
      <c r="K4675" s="86" t="str">
        <f>IF(Nineteenth!K178="", "",Nineteenth!K178)</f>
        <v/>
      </c>
      <c r="M4675" s="67" t="str">
        <f t="shared" si="221"/>
        <v/>
      </c>
      <c r="N4675" s="76" t="str">
        <f t="shared" si="222"/>
        <v/>
      </c>
      <c r="O4675" s="33">
        <f t="shared" si="223"/>
        <v>0</v>
      </c>
    </row>
    <row r="4676" spans="1:15" x14ac:dyDescent="0.25">
      <c r="A4676" s="64" t="s">
        <v>208</v>
      </c>
      <c r="B4676" s="79" t="str">
        <f>IF(Nineteenth!B179="", "",Nineteenth!B179)</f>
        <v/>
      </c>
      <c r="C4676" s="66" t="str">
        <f>IF(Nineteenth!C179="", "",Nineteenth!C179)</f>
        <v/>
      </c>
      <c r="D4676" s="66" t="str">
        <f>IF(Nineteenth!D179="", "",Nineteenth!D179)</f>
        <v/>
      </c>
      <c r="E4676" s="66" t="str">
        <f>IF(Nineteenth!E179="", "",Nineteenth!E179)</f>
        <v/>
      </c>
      <c r="F4676" s="66" t="str">
        <f>IF(Nineteenth!F179="", "",Nineteenth!F179)</f>
        <v/>
      </c>
      <c r="G4676" s="66" t="str">
        <f>IF(Nineteenth!G179="", "",Nineteenth!G179)</f>
        <v/>
      </c>
      <c r="H4676" s="66" t="str">
        <f>IF(Nineteenth!H179="", "",Nineteenth!H179)</f>
        <v/>
      </c>
      <c r="I4676" s="66" t="str">
        <f>IF(Nineteenth!I179="", "",Nineteenth!I179)</f>
        <v/>
      </c>
      <c r="J4676" s="66" t="str">
        <f>IF(Nineteenth!J179="", "",Nineteenth!J179)</f>
        <v/>
      </c>
      <c r="K4676" s="86" t="str">
        <f>IF(Nineteenth!K179="", "",Nineteenth!K179)</f>
        <v/>
      </c>
      <c r="M4676" s="67" t="str">
        <f t="shared" si="221"/>
        <v/>
      </c>
      <c r="N4676" s="76" t="str">
        <f t="shared" si="222"/>
        <v/>
      </c>
      <c r="O4676" s="33">
        <f t="shared" si="223"/>
        <v>0</v>
      </c>
    </row>
    <row r="4677" spans="1:15" x14ac:dyDescent="0.25">
      <c r="A4677" s="64" t="s">
        <v>208</v>
      </c>
      <c r="B4677" s="79" t="str">
        <f>IF(Nineteenth!B180="", "",Nineteenth!B180)</f>
        <v/>
      </c>
      <c r="C4677" s="66" t="str">
        <f>IF(Nineteenth!C180="", "",Nineteenth!C180)</f>
        <v/>
      </c>
      <c r="D4677" s="66" t="str">
        <f>IF(Nineteenth!D180="", "",Nineteenth!D180)</f>
        <v/>
      </c>
      <c r="E4677" s="66" t="str">
        <f>IF(Nineteenth!E180="", "",Nineteenth!E180)</f>
        <v/>
      </c>
      <c r="F4677" s="66" t="str">
        <f>IF(Nineteenth!F180="", "",Nineteenth!F180)</f>
        <v/>
      </c>
      <c r="G4677" s="66" t="str">
        <f>IF(Nineteenth!G180="", "",Nineteenth!G180)</f>
        <v/>
      </c>
      <c r="H4677" s="66" t="str">
        <f>IF(Nineteenth!H180="", "",Nineteenth!H180)</f>
        <v/>
      </c>
      <c r="I4677" s="66" t="str">
        <f>IF(Nineteenth!I180="", "",Nineteenth!I180)</f>
        <v/>
      </c>
      <c r="J4677" s="66" t="str">
        <f>IF(Nineteenth!J180="", "",Nineteenth!J180)</f>
        <v/>
      </c>
      <c r="K4677" s="86" t="str">
        <f>IF(Nineteenth!K180="", "",Nineteenth!K180)</f>
        <v/>
      </c>
      <c r="M4677" s="67" t="str">
        <f t="shared" si="221"/>
        <v/>
      </c>
      <c r="N4677" s="76" t="str">
        <f t="shared" si="222"/>
        <v/>
      </c>
      <c r="O4677" s="33">
        <f t="shared" si="223"/>
        <v>0</v>
      </c>
    </row>
    <row r="4678" spans="1:15" x14ac:dyDescent="0.25">
      <c r="A4678" s="64" t="s">
        <v>208</v>
      </c>
      <c r="B4678" s="79" t="str">
        <f>IF(Nineteenth!B181="", "",Nineteenth!B181)</f>
        <v/>
      </c>
      <c r="C4678" s="66" t="str">
        <f>IF(Nineteenth!C181="", "",Nineteenth!C181)</f>
        <v/>
      </c>
      <c r="D4678" s="66" t="str">
        <f>IF(Nineteenth!D181="", "",Nineteenth!D181)</f>
        <v/>
      </c>
      <c r="E4678" s="66" t="str">
        <f>IF(Nineteenth!E181="", "",Nineteenth!E181)</f>
        <v/>
      </c>
      <c r="F4678" s="66" t="str">
        <f>IF(Nineteenth!F181="", "",Nineteenth!F181)</f>
        <v/>
      </c>
      <c r="G4678" s="66" t="str">
        <f>IF(Nineteenth!G181="", "",Nineteenth!G181)</f>
        <v/>
      </c>
      <c r="H4678" s="66" t="str">
        <f>IF(Nineteenth!H181="", "",Nineteenth!H181)</f>
        <v/>
      </c>
      <c r="I4678" s="66" t="str">
        <f>IF(Nineteenth!I181="", "",Nineteenth!I181)</f>
        <v/>
      </c>
      <c r="J4678" s="66" t="str">
        <f>IF(Nineteenth!J181="", "",Nineteenth!J181)</f>
        <v/>
      </c>
      <c r="K4678" s="86" t="str">
        <f>IF(Nineteenth!K181="", "",Nineteenth!K181)</f>
        <v/>
      </c>
      <c r="M4678" s="67" t="str">
        <f t="shared" si="221"/>
        <v/>
      </c>
      <c r="N4678" s="76" t="str">
        <f t="shared" si="222"/>
        <v/>
      </c>
      <c r="O4678" s="33">
        <f t="shared" si="223"/>
        <v>0</v>
      </c>
    </row>
    <row r="4679" spans="1:15" x14ac:dyDescent="0.25">
      <c r="A4679" s="64" t="s">
        <v>208</v>
      </c>
      <c r="B4679" s="79" t="str">
        <f>IF(Nineteenth!B182="", "",Nineteenth!B182)</f>
        <v/>
      </c>
      <c r="C4679" s="66" t="str">
        <f>IF(Nineteenth!C182="", "",Nineteenth!C182)</f>
        <v/>
      </c>
      <c r="D4679" s="66" t="str">
        <f>IF(Nineteenth!D182="", "",Nineteenth!D182)</f>
        <v/>
      </c>
      <c r="E4679" s="66" t="str">
        <f>IF(Nineteenth!E182="", "",Nineteenth!E182)</f>
        <v/>
      </c>
      <c r="F4679" s="66" t="str">
        <f>IF(Nineteenth!F182="", "",Nineteenth!F182)</f>
        <v/>
      </c>
      <c r="G4679" s="66" t="str">
        <f>IF(Nineteenth!G182="", "",Nineteenth!G182)</f>
        <v/>
      </c>
      <c r="H4679" s="66" t="str">
        <f>IF(Nineteenth!H182="", "",Nineteenth!H182)</f>
        <v/>
      </c>
      <c r="I4679" s="66" t="str">
        <f>IF(Nineteenth!I182="", "",Nineteenth!I182)</f>
        <v/>
      </c>
      <c r="J4679" s="66" t="str">
        <f>IF(Nineteenth!J182="", "",Nineteenth!J182)</f>
        <v/>
      </c>
      <c r="K4679" s="86" t="str">
        <f>IF(Nineteenth!K182="", "",Nineteenth!K182)</f>
        <v/>
      </c>
      <c r="M4679" s="67" t="str">
        <f t="shared" si="221"/>
        <v/>
      </c>
      <c r="N4679" s="76" t="str">
        <f t="shared" si="222"/>
        <v/>
      </c>
      <c r="O4679" s="33">
        <f t="shared" si="223"/>
        <v>0</v>
      </c>
    </row>
    <row r="4680" spans="1:15" x14ac:dyDescent="0.25">
      <c r="A4680" s="64" t="s">
        <v>208</v>
      </c>
      <c r="B4680" s="79" t="str">
        <f>IF(Nineteenth!B183="", "",Nineteenth!B183)</f>
        <v/>
      </c>
      <c r="C4680" s="66" t="str">
        <f>IF(Nineteenth!C183="", "",Nineteenth!C183)</f>
        <v/>
      </c>
      <c r="D4680" s="66" t="str">
        <f>IF(Nineteenth!D183="", "",Nineteenth!D183)</f>
        <v/>
      </c>
      <c r="E4680" s="66" t="str">
        <f>IF(Nineteenth!E183="", "",Nineteenth!E183)</f>
        <v/>
      </c>
      <c r="F4680" s="66" t="str">
        <f>IF(Nineteenth!F183="", "",Nineteenth!F183)</f>
        <v/>
      </c>
      <c r="G4680" s="66" t="str">
        <f>IF(Nineteenth!G183="", "",Nineteenth!G183)</f>
        <v/>
      </c>
      <c r="H4680" s="66" t="str">
        <f>IF(Nineteenth!H183="", "",Nineteenth!H183)</f>
        <v/>
      </c>
      <c r="I4680" s="66" t="str">
        <f>IF(Nineteenth!I183="", "",Nineteenth!I183)</f>
        <v/>
      </c>
      <c r="J4680" s="66" t="str">
        <f>IF(Nineteenth!J183="", "",Nineteenth!J183)</f>
        <v/>
      </c>
      <c r="K4680" s="86" t="str">
        <f>IF(Nineteenth!K183="", "",Nineteenth!K183)</f>
        <v/>
      </c>
      <c r="M4680" s="67" t="str">
        <f t="shared" si="221"/>
        <v/>
      </c>
      <c r="N4680" s="76" t="str">
        <f t="shared" si="222"/>
        <v/>
      </c>
      <c r="O4680" s="33">
        <f t="shared" si="223"/>
        <v>0</v>
      </c>
    </row>
    <row r="4681" spans="1:15" x14ac:dyDescent="0.25">
      <c r="A4681" s="64" t="s">
        <v>208</v>
      </c>
      <c r="B4681" s="79" t="str">
        <f>IF(Nineteenth!B184="", "",Nineteenth!B184)</f>
        <v/>
      </c>
      <c r="C4681" s="66" t="str">
        <f>IF(Nineteenth!C184="", "",Nineteenth!C184)</f>
        <v/>
      </c>
      <c r="D4681" s="66" t="str">
        <f>IF(Nineteenth!D184="", "",Nineteenth!D184)</f>
        <v/>
      </c>
      <c r="E4681" s="66" t="str">
        <f>IF(Nineteenth!E184="", "",Nineteenth!E184)</f>
        <v/>
      </c>
      <c r="F4681" s="66" t="str">
        <f>IF(Nineteenth!F184="", "",Nineteenth!F184)</f>
        <v/>
      </c>
      <c r="G4681" s="66" t="str">
        <f>IF(Nineteenth!G184="", "",Nineteenth!G184)</f>
        <v/>
      </c>
      <c r="H4681" s="66" t="str">
        <f>IF(Nineteenth!H184="", "",Nineteenth!H184)</f>
        <v/>
      </c>
      <c r="I4681" s="66" t="str">
        <f>IF(Nineteenth!I184="", "",Nineteenth!I184)</f>
        <v/>
      </c>
      <c r="J4681" s="66" t="str">
        <f>IF(Nineteenth!J184="", "",Nineteenth!J184)</f>
        <v/>
      </c>
      <c r="K4681" s="86" t="str">
        <f>IF(Nineteenth!K184="", "",Nineteenth!K184)</f>
        <v/>
      </c>
      <c r="M4681" s="67" t="str">
        <f t="shared" si="221"/>
        <v/>
      </c>
      <c r="N4681" s="76" t="str">
        <f t="shared" si="222"/>
        <v/>
      </c>
      <c r="O4681" s="33">
        <f t="shared" si="223"/>
        <v>0</v>
      </c>
    </row>
    <row r="4682" spans="1:15" x14ac:dyDescent="0.25">
      <c r="A4682" s="64" t="s">
        <v>208</v>
      </c>
      <c r="B4682" s="79" t="str">
        <f>IF(Nineteenth!B185="", "",Nineteenth!B185)</f>
        <v/>
      </c>
      <c r="C4682" s="66" t="str">
        <f>IF(Nineteenth!C185="", "",Nineteenth!C185)</f>
        <v/>
      </c>
      <c r="D4682" s="66" t="str">
        <f>IF(Nineteenth!D185="", "",Nineteenth!D185)</f>
        <v/>
      </c>
      <c r="E4682" s="66" t="str">
        <f>IF(Nineteenth!E185="", "",Nineteenth!E185)</f>
        <v/>
      </c>
      <c r="F4682" s="66" t="str">
        <f>IF(Nineteenth!F185="", "",Nineteenth!F185)</f>
        <v/>
      </c>
      <c r="G4682" s="66" t="str">
        <f>IF(Nineteenth!G185="", "",Nineteenth!G185)</f>
        <v/>
      </c>
      <c r="H4682" s="66" t="str">
        <f>IF(Nineteenth!H185="", "",Nineteenth!H185)</f>
        <v/>
      </c>
      <c r="I4682" s="66" t="str">
        <f>IF(Nineteenth!I185="", "",Nineteenth!I185)</f>
        <v/>
      </c>
      <c r="J4682" s="66" t="str">
        <f>IF(Nineteenth!J185="", "",Nineteenth!J185)</f>
        <v/>
      </c>
      <c r="K4682" s="86" t="str">
        <f>IF(Nineteenth!K185="", "",Nineteenth!K185)</f>
        <v/>
      </c>
      <c r="M4682" s="67" t="str">
        <f t="shared" si="221"/>
        <v/>
      </c>
      <c r="N4682" s="76" t="str">
        <f t="shared" si="222"/>
        <v/>
      </c>
      <c r="O4682" s="33">
        <f t="shared" si="223"/>
        <v>0</v>
      </c>
    </row>
    <row r="4683" spans="1:15" x14ac:dyDescent="0.25">
      <c r="A4683" s="64" t="s">
        <v>208</v>
      </c>
      <c r="B4683" s="79" t="str">
        <f>IF(Nineteenth!B186="", "",Nineteenth!B186)</f>
        <v/>
      </c>
      <c r="C4683" s="66" t="str">
        <f>IF(Nineteenth!C186="", "",Nineteenth!C186)</f>
        <v/>
      </c>
      <c r="D4683" s="66" t="str">
        <f>IF(Nineteenth!D186="", "",Nineteenth!D186)</f>
        <v/>
      </c>
      <c r="E4683" s="66" t="str">
        <f>IF(Nineteenth!E186="", "",Nineteenth!E186)</f>
        <v/>
      </c>
      <c r="F4683" s="66" t="str">
        <f>IF(Nineteenth!F186="", "",Nineteenth!F186)</f>
        <v/>
      </c>
      <c r="G4683" s="66" t="str">
        <f>IF(Nineteenth!G186="", "",Nineteenth!G186)</f>
        <v/>
      </c>
      <c r="H4683" s="66" t="str">
        <f>IF(Nineteenth!H186="", "",Nineteenth!H186)</f>
        <v/>
      </c>
      <c r="I4683" s="66" t="str">
        <f>IF(Nineteenth!I186="", "",Nineteenth!I186)</f>
        <v/>
      </c>
      <c r="J4683" s="66" t="str">
        <f>IF(Nineteenth!J186="", "",Nineteenth!J186)</f>
        <v/>
      </c>
      <c r="K4683" s="86" t="str">
        <f>IF(Nineteenth!K186="", "",Nineteenth!K186)</f>
        <v/>
      </c>
      <c r="M4683" s="67" t="str">
        <f t="shared" si="221"/>
        <v/>
      </c>
      <c r="N4683" s="76" t="str">
        <f t="shared" si="222"/>
        <v/>
      </c>
      <c r="O4683" s="33">
        <f t="shared" si="223"/>
        <v>0</v>
      </c>
    </row>
    <row r="4684" spans="1:15" x14ac:dyDescent="0.25">
      <c r="A4684" s="64" t="s">
        <v>208</v>
      </c>
      <c r="B4684" s="79" t="str">
        <f>IF(Nineteenth!B187="", "",Nineteenth!B187)</f>
        <v/>
      </c>
      <c r="C4684" s="66" t="str">
        <f>IF(Nineteenth!C187="", "",Nineteenth!C187)</f>
        <v/>
      </c>
      <c r="D4684" s="66" t="str">
        <f>IF(Nineteenth!D187="", "",Nineteenth!D187)</f>
        <v/>
      </c>
      <c r="E4684" s="66" t="str">
        <f>IF(Nineteenth!E187="", "",Nineteenth!E187)</f>
        <v/>
      </c>
      <c r="F4684" s="66" t="str">
        <f>IF(Nineteenth!F187="", "",Nineteenth!F187)</f>
        <v/>
      </c>
      <c r="G4684" s="66" t="str">
        <f>IF(Nineteenth!G187="", "",Nineteenth!G187)</f>
        <v/>
      </c>
      <c r="H4684" s="66" t="str">
        <f>IF(Nineteenth!H187="", "",Nineteenth!H187)</f>
        <v/>
      </c>
      <c r="I4684" s="66" t="str">
        <f>IF(Nineteenth!I187="", "",Nineteenth!I187)</f>
        <v/>
      </c>
      <c r="J4684" s="66" t="str">
        <f>IF(Nineteenth!J187="", "",Nineteenth!J187)</f>
        <v/>
      </c>
      <c r="K4684" s="86" t="str">
        <f>IF(Nineteenth!K187="", "",Nineteenth!K187)</f>
        <v/>
      </c>
      <c r="M4684" s="67" t="str">
        <f t="shared" si="221"/>
        <v/>
      </c>
      <c r="N4684" s="76" t="str">
        <f t="shared" si="222"/>
        <v/>
      </c>
      <c r="O4684" s="33">
        <f t="shared" si="223"/>
        <v>0</v>
      </c>
    </row>
    <row r="4685" spans="1:15" x14ac:dyDescent="0.25">
      <c r="A4685" s="64" t="s">
        <v>208</v>
      </c>
      <c r="B4685" s="79" t="str">
        <f>IF(Nineteenth!B188="", "",Nineteenth!B188)</f>
        <v/>
      </c>
      <c r="C4685" s="66" t="str">
        <f>IF(Nineteenth!C188="", "",Nineteenth!C188)</f>
        <v/>
      </c>
      <c r="D4685" s="66" t="str">
        <f>IF(Nineteenth!D188="", "",Nineteenth!D188)</f>
        <v/>
      </c>
      <c r="E4685" s="66" t="str">
        <f>IF(Nineteenth!E188="", "",Nineteenth!E188)</f>
        <v/>
      </c>
      <c r="F4685" s="66" t="str">
        <f>IF(Nineteenth!F188="", "",Nineteenth!F188)</f>
        <v/>
      </c>
      <c r="G4685" s="66" t="str">
        <f>IF(Nineteenth!G188="", "",Nineteenth!G188)</f>
        <v/>
      </c>
      <c r="H4685" s="66" t="str">
        <f>IF(Nineteenth!H188="", "",Nineteenth!H188)</f>
        <v/>
      </c>
      <c r="I4685" s="66" t="str">
        <f>IF(Nineteenth!I188="", "",Nineteenth!I188)</f>
        <v/>
      </c>
      <c r="J4685" s="66" t="str">
        <f>IF(Nineteenth!J188="", "",Nineteenth!J188)</f>
        <v/>
      </c>
      <c r="K4685" s="86" t="str">
        <f>IF(Nineteenth!K188="", "",Nineteenth!K188)</f>
        <v/>
      </c>
      <c r="M4685" s="67" t="str">
        <f t="shared" si="221"/>
        <v/>
      </c>
      <c r="N4685" s="76" t="str">
        <f t="shared" si="222"/>
        <v/>
      </c>
      <c r="O4685" s="33">
        <f t="shared" si="223"/>
        <v>0</v>
      </c>
    </row>
    <row r="4686" spans="1:15" x14ac:dyDescent="0.25">
      <c r="A4686" s="64" t="s">
        <v>208</v>
      </c>
      <c r="B4686" s="79" t="str">
        <f>IF(Nineteenth!B189="", "",Nineteenth!B189)</f>
        <v/>
      </c>
      <c r="C4686" s="66" t="str">
        <f>IF(Nineteenth!C189="", "",Nineteenth!C189)</f>
        <v/>
      </c>
      <c r="D4686" s="66" t="str">
        <f>IF(Nineteenth!D189="", "",Nineteenth!D189)</f>
        <v/>
      </c>
      <c r="E4686" s="66" t="str">
        <f>IF(Nineteenth!E189="", "",Nineteenth!E189)</f>
        <v/>
      </c>
      <c r="F4686" s="66" t="str">
        <f>IF(Nineteenth!F189="", "",Nineteenth!F189)</f>
        <v/>
      </c>
      <c r="G4686" s="66" t="str">
        <f>IF(Nineteenth!G189="", "",Nineteenth!G189)</f>
        <v/>
      </c>
      <c r="H4686" s="66" t="str">
        <f>IF(Nineteenth!H189="", "",Nineteenth!H189)</f>
        <v/>
      </c>
      <c r="I4686" s="66" t="str">
        <f>IF(Nineteenth!I189="", "",Nineteenth!I189)</f>
        <v/>
      </c>
      <c r="J4686" s="66" t="str">
        <f>IF(Nineteenth!J189="", "",Nineteenth!J189)</f>
        <v/>
      </c>
      <c r="K4686" s="86" t="str">
        <f>IF(Nineteenth!K189="", "",Nineteenth!K189)</f>
        <v/>
      </c>
      <c r="M4686" s="67" t="str">
        <f t="shared" si="221"/>
        <v/>
      </c>
      <c r="N4686" s="76" t="str">
        <f t="shared" si="222"/>
        <v/>
      </c>
      <c r="O4686" s="33">
        <f t="shared" si="223"/>
        <v>0</v>
      </c>
    </row>
    <row r="4687" spans="1:15" x14ac:dyDescent="0.25">
      <c r="A4687" s="64" t="s">
        <v>208</v>
      </c>
      <c r="B4687" s="79" t="str">
        <f>IF(Nineteenth!B190="", "",Nineteenth!B190)</f>
        <v/>
      </c>
      <c r="C4687" s="66" t="str">
        <f>IF(Nineteenth!C190="", "",Nineteenth!C190)</f>
        <v/>
      </c>
      <c r="D4687" s="66" t="str">
        <f>IF(Nineteenth!D190="", "",Nineteenth!D190)</f>
        <v/>
      </c>
      <c r="E4687" s="66" t="str">
        <f>IF(Nineteenth!E190="", "",Nineteenth!E190)</f>
        <v/>
      </c>
      <c r="F4687" s="66" t="str">
        <f>IF(Nineteenth!F190="", "",Nineteenth!F190)</f>
        <v/>
      </c>
      <c r="G4687" s="66" t="str">
        <f>IF(Nineteenth!G190="", "",Nineteenth!G190)</f>
        <v/>
      </c>
      <c r="H4687" s="66" t="str">
        <f>IF(Nineteenth!H190="", "",Nineteenth!H190)</f>
        <v/>
      </c>
      <c r="I4687" s="66" t="str">
        <f>IF(Nineteenth!I190="", "",Nineteenth!I190)</f>
        <v/>
      </c>
      <c r="J4687" s="66" t="str">
        <f>IF(Nineteenth!J190="", "",Nineteenth!J190)</f>
        <v/>
      </c>
      <c r="K4687" s="86" t="str">
        <f>IF(Nineteenth!K190="", "",Nineteenth!K190)</f>
        <v/>
      </c>
      <c r="M4687" s="67" t="str">
        <f t="shared" si="221"/>
        <v/>
      </c>
      <c r="N4687" s="76" t="str">
        <f t="shared" si="222"/>
        <v/>
      </c>
      <c r="O4687" s="33">
        <f t="shared" si="223"/>
        <v>0</v>
      </c>
    </row>
    <row r="4688" spans="1:15" x14ac:dyDescent="0.25">
      <c r="A4688" s="64" t="s">
        <v>208</v>
      </c>
      <c r="B4688" s="79" t="str">
        <f>IF(Nineteenth!B191="", "",Nineteenth!B191)</f>
        <v/>
      </c>
      <c r="C4688" s="66" t="str">
        <f>IF(Nineteenth!C191="", "",Nineteenth!C191)</f>
        <v/>
      </c>
      <c r="D4688" s="66" t="str">
        <f>IF(Nineteenth!D191="", "",Nineteenth!D191)</f>
        <v/>
      </c>
      <c r="E4688" s="66" t="str">
        <f>IF(Nineteenth!E191="", "",Nineteenth!E191)</f>
        <v/>
      </c>
      <c r="F4688" s="66" t="str">
        <f>IF(Nineteenth!F191="", "",Nineteenth!F191)</f>
        <v/>
      </c>
      <c r="G4688" s="66" t="str">
        <f>IF(Nineteenth!G191="", "",Nineteenth!G191)</f>
        <v/>
      </c>
      <c r="H4688" s="66" t="str">
        <f>IF(Nineteenth!H191="", "",Nineteenth!H191)</f>
        <v/>
      </c>
      <c r="I4688" s="66" t="str">
        <f>IF(Nineteenth!I191="", "",Nineteenth!I191)</f>
        <v/>
      </c>
      <c r="J4688" s="66" t="str">
        <f>IF(Nineteenth!J191="", "",Nineteenth!J191)</f>
        <v/>
      </c>
      <c r="K4688" s="86" t="str">
        <f>IF(Nineteenth!K191="", "",Nineteenth!K191)</f>
        <v/>
      </c>
      <c r="M4688" s="67" t="str">
        <f t="shared" si="221"/>
        <v/>
      </c>
      <c r="N4688" s="76" t="str">
        <f t="shared" si="222"/>
        <v/>
      </c>
      <c r="O4688" s="33">
        <f t="shared" si="223"/>
        <v>0</v>
      </c>
    </row>
    <row r="4689" spans="1:15" x14ac:dyDescent="0.25">
      <c r="A4689" s="64" t="s">
        <v>208</v>
      </c>
      <c r="B4689" s="79" t="str">
        <f>IF(Nineteenth!B192="", "",Nineteenth!B192)</f>
        <v/>
      </c>
      <c r="C4689" s="66" t="str">
        <f>IF(Nineteenth!C192="", "",Nineteenth!C192)</f>
        <v/>
      </c>
      <c r="D4689" s="66" t="str">
        <f>IF(Nineteenth!D192="", "",Nineteenth!D192)</f>
        <v/>
      </c>
      <c r="E4689" s="66" t="str">
        <f>IF(Nineteenth!E192="", "",Nineteenth!E192)</f>
        <v/>
      </c>
      <c r="F4689" s="66" t="str">
        <f>IF(Nineteenth!F192="", "",Nineteenth!F192)</f>
        <v/>
      </c>
      <c r="G4689" s="66" t="str">
        <f>IF(Nineteenth!G192="", "",Nineteenth!G192)</f>
        <v/>
      </c>
      <c r="H4689" s="66" t="str">
        <f>IF(Nineteenth!H192="", "",Nineteenth!H192)</f>
        <v/>
      </c>
      <c r="I4689" s="66" t="str">
        <f>IF(Nineteenth!I192="", "",Nineteenth!I192)</f>
        <v/>
      </c>
      <c r="J4689" s="66" t="str">
        <f>IF(Nineteenth!J192="", "",Nineteenth!J192)</f>
        <v/>
      </c>
      <c r="K4689" s="86" t="str">
        <f>IF(Nineteenth!K192="", "",Nineteenth!K192)</f>
        <v/>
      </c>
      <c r="M4689" s="67" t="str">
        <f t="shared" si="221"/>
        <v/>
      </c>
      <c r="N4689" s="76" t="str">
        <f t="shared" si="222"/>
        <v/>
      </c>
      <c r="O4689" s="33">
        <f t="shared" si="223"/>
        <v>0</v>
      </c>
    </row>
    <row r="4690" spans="1:15" x14ac:dyDescent="0.25">
      <c r="A4690" s="64" t="s">
        <v>208</v>
      </c>
      <c r="B4690" s="79" t="str">
        <f>IF(Nineteenth!B193="", "",Nineteenth!B193)</f>
        <v/>
      </c>
      <c r="C4690" s="66" t="str">
        <f>IF(Nineteenth!C193="", "",Nineteenth!C193)</f>
        <v/>
      </c>
      <c r="D4690" s="66" t="str">
        <f>IF(Nineteenth!D193="", "",Nineteenth!D193)</f>
        <v/>
      </c>
      <c r="E4690" s="66" t="str">
        <f>IF(Nineteenth!E193="", "",Nineteenth!E193)</f>
        <v/>
      </c>
      <c r="F4690" s="66" t="str">
        <f>IF(Nineteenth!F193="", "",Nineteenth!F193)</f>
        <v/>
      </c>
      <c r="G4690" s="66" t="str">
        <f>IF(Nineteenth!G193="", "",Nineteenth!G193)</f>
        <v/>
      </c>
      <c r="H4690" s="66" t="str">
        <f>IF(Nineteenth!H193="", "",Nineteenth!H193)</f>
        <v/>
      </c>
      <c r="I4690" s="66" t="str">
        <f>IF(Nineteenth!I193="", "",Nineteenth!I193)</f>
        <v/>
      </c>
      <c r="J4690" s="66" t="str">
        <f>IF(Nineteenth!J193="", "",Nineteenth!J193)</f>
        <v/>
      </c>
      <c r="K4690" s="86" t="str">
        <f>IF(Nineteenth!K193="", "",Nineteenth!K193)</f>
        <v/>
      </c>
      <c r="M4690" s="67" t="str">
        <f t="shared" si="221"/>
        <v/>
      </c>
      <c r="N4690" s="76" t="str">
        <f t="shared" si="222"/>
        <v/>
      </c>
      <c r="O4690" s="33">
        <f t="shared" si="223"/>
        <v>0</v>
      </c>
    </row>
    <row r="4691" spans="1:15" x14ac:dyDescent="0.25">
      <c r="A4691" s="64" t="s">
        <v>208</v>
      </c>
      <c r="B4691" s="79" t="str">
        <f>IF(Nineteenth!B194="", "",Nineteenth!B194)</f>
        <v/>
      </c>
      <c r="C4691" s="66" t="str">
        <f>IF(Nineteenth!C194="", "",Nineteenth!C194)</f>
        <v/>
      </c>
      <c r="D4691" s="66" t="str">
        <f>IF(Nineteenth!D194="", "",Nineteenth!D194)</f>
        <v/>
      </c>
      <c r="E4691" s="66" t="str">
        <f>IF(Nineteenth!E194="", "",Nineteenth!E194)</f>
        <v/>
      </c>
      <c r="F4691" s="66" t="str">
        <f>IF(Nineteenth!F194="", "",Nineteenth!F194)</f>
        <v/>
      </c>
      <c r="G4691" s="66" t="str">
        <f>IF(Nineteenth!G194="", "",Nineteenth!G194)</f>
        <v/>
      </c>
      <c r="H4691" s="66" t="str">
        <f>IF(Nineteenth!H194="", "",Nineteenth!H194)</f>
        <v/>
      </c>
      <c r="I4691" s="66" t="str">
        <f>IF(Nineteenth!I194="", "",Nineteenth!I194)</f>
        <v/>
      </c>
      <c r="J4691" s="66" t="str">
        <f>IF(Nineteenth!J194="", "",Nineteenth!J194)</f>
        <v/>
      </c>
      <c r="K4691" s="86" t="str">
        <f>IF(Nineteenth!K194="", "",Nineteenth!K194)</f>
        <v/>
      </c>
      <c r="M4691" s="67" t="str">
        <f t="shared" si="221"/>
        <v/>
      </c>
      <c r="N4691" s="76" t="str">
        <f t="shared" si="222"/>
        <v/>
      </c>
      <c r="O4691" s="33">
        <f t="shared" si="223"/>
        <v>0</v>
      </c>
    </row>
    <row r="4692" spans="1:15" x14ac:dyDescent="0.25">
      <c r="A4692" s="64" t="s">
        <v>208</v>
      </c>
      <c r="B4692" s="79" t="str">
        <f>IF(Nineteenth!B195="", "",Nineteenth!B195)</f>
        <v/>
      </c>
      <c r="C4692" s="66" t="str">
        <f>IF(Nineteenth!C195="", "",Nineteenth!C195)</f>
        <v/>
      </c>
      <c r="D4692" s="66" t="str">
        <f>IF(Nineteenth!D195="", "",Nineteenth!D195)</f>
        <v/>
      </c>
      <c r="E4692" s="66" t="str">
        <f>IF(Nineteenth!E195="", "",Nineteenth!E195)</f>
        <v/>
      </c>
      <c r="F4692" s="66" t="str">
        <f>IF(Nineteenth!F195="", "",Nineteenth!F195)</f>
        <v/>
      </c>
      <c r="G4692" s="66" t="str">
        <f>IF(Nineteenth!G195="", "",Nineteenth!G195)</f>
        <v/>
      </c>
      <c r="H4692" s="66" t="str">
        <f>IF(Nineteenth!H195="", "",Nineteenth!H195)</f>
        <v/>
      </c>
      <c r="I4692" s="66" t="str">
        <f>IF(Nineteenth!I195="", "",Nineteenth!I195)</f>
        <v/>
      </c>
      <c r="J4692" s="66" t="str">
        <f>IF(Nineteenth!J195="", "",Nineteenth!J195)</f>
        <v/>
      </c>
      <c r="K4692" s="86" t="str">
        <f>IF(Nineteenth!K195="", "",Nineteenth!K195)</f>
        <v/>
      </c>
      <c r="M4692" s="67" t="str">
        <f t="shared" si="221"/>
        <v/>
      </c>
      <c r="N4692" s="76" t="str">
        <f t="shared" si="222"/>
        <v/>
      </c>
      <c r="O4692" s="33">
        <f t="shared" si="223"/>
        <v>0</v>
      </c>
    </row>
    <row r="4693" spans="1:15" x14ac:dyDescent="0.25">
      <c r="A4693" s="64" t="s">
        <v>208</v>
      </c>
      <c r="B4693" s="79" t="str">
        <f>IF(Nineteenth!B196="", "",Nineteenth!B196)</f>
        <v/>
      </c>
      <c r="C4693" s="66" t="str">
        <f>IF(Nineteenth!C196="", "",Nineteenth!C196)</f>
        <v/>
      </c>
      <c r="D4693" s="66" t="str">
        <f>IF(Nineteenth!D196="", "",Nineteenth!D196)</f>
        <v/>
      </c>
      <c r="E4693" s="66" t="str">
        <f>IF(Nineteenth!E196="", "",Nineteenth!E196)</f>
        <v/>
      </c>
      <c r="F4693" s="66" t="str">
        <f>IF(Nineteenth!F196="", "",Nineteenth!F196)</f>
        <v/>
      </c>
      <c r="G4693" s="66" t="str">
        <f>IF(Nineteenth!G196="", "",Nineteenth!G196)</f>
        <v/>
      </c>
      <c r="H4693" s="66" t="str">
        <f>IF(Nineteenth!H196="", "",Nineteenth!H196)</f>
        <v/>
      </c>
      <c r="I4693" s="66" t="str">
        <f>IF(Nineteenth!I196="", "",Nineteenth!I196)</f>
        <v/>
      </c>
      <c r="J4693" s="66" t="str">
        <f>IF(Nineteenth!J196="", "",Nineteenth!J196)</f>
        <v/>
      </c>
      <c r="K4693" s="86" t="str">
        <f>IF(Nineteenth!K196="", "",Nineteenth!K196)</f>
        <v/>
      </c>
      <c r="M4693" s="67" t="str">
        <f t="shared" si="221"/>
        <v/>
      </c>
      <c r="N4693" s="76" t="str">
        <f t="shared" si="222"/>
        <v/>
      </c>
      <c r="O4693" s="33">
        <f t="shared" si="223"/>
        <v>0</v>
      </c>
    </row>
    <row r="4694" spans="1:15" x14ac:dyDescent="0.25">
      <c r="A4694" s="64" t="s">
        <v>208</v>
      </c>
      <c r="B4694" s="79" t="str">
        <f>IF(Nineteenth!B197="", "",Nineteenth!B197)</f>
        <v/>
      </c>
      <c r="C4694" s="66" t="str">
        <f>IF(Nineteenth!C197="", "",Nineteenth!C197)</f>
        <v/>
      </c>
      <c r="D4694" s="66" t="str">
        <f>IF(Nineteenth!D197="", "",Nineteenth!D197)</f>
        <v/>
      </c>
      <c r="E4694" s="66" t="str">
        <f>IF(Nineteenth!E197="", "",Nineteenth!E197)</f>
        <v/>
      </c>
      <c r="F4694" s="66" t="str">
        <f>IF(Nineteenth!F197="", "",Nineteenth!F197)</f>
        <v/>
      </c>
      <c r="G4694" s="66" t="str">
        <f>IF(Nineteenth!G197="", "",Nineteenth!G197)</f>
        <v/>
      </c>
      <c r="H4694" s="66" t="str">
        <f>IF(Nineteenth!H197="", "",Nineteenth!H197)</f>
        <v/>
      </c>
      <c r="I4694" s="66" t="str">
        <f>IF(Nineteenth!I197="", "",Nineteenth!I197)</f>
        <v/>
      </c>
      <c r="J4694" s="66" t="str">
        <f>IF(Nineteenth!J197="", "",Nineteenth!J197)</f>
        <v/>
      </c>
      <c r="K4694" s="86" t="str">
        <f>IF(Nineteenth!K197="", "",Nineteenth!K197)</f>
        <v/>
      </c>
      <c r="M4694" s="67" t="str">
        <f t="shared" si="221"/>
        <v/>
      </c>
      <c r="N4694" s="76" t="str">
        <f t="shared" si="222"/>
        <v/>
      </c>
      <c r="O4694" s="33">
        <f t="shared" si="223"/>
        <v>0</v>
      </c>
    </row>
    <row r="4695" spans="1:15" x14ac:dyDescent="0.25">
      <c r="A4695" s="64" t="s">
        <v>208</v>
      </c>
      <c r="B4695" s="79" t="str">
        <f>IF(Nineteenth!B198="", "",Nineteenth!B198)</f>
        <v/>
      </c>
      <c r="C4695" s="66" t="str">
        <f>IF(Nineteenth!C198="", "",Nineteenth!C198)</f>
        <v/>
      </c>
      <c r="D4695" s="66" t="str">
        <f>IF(Nineteenth!D198="", "",Nineteenth!D198)</f>
        <v/>
      </c>
      <c r="E4695" s="66" t="str">
        <f>IF(Nineteenth!E198="", "",Nineteenth!E198)</f>
        <v/>
      </c>
      <c r="F4695" s="66" t="str">
        <f>IF(Nineteenth!F198="", "",Nineteenth!F198)</f>
        <v/>
      </c>
      <c r="G4695" s="66" t="str">
        <f>IF(Nineteenth!G198="", "",Nineteenth!G198)</f>
        <v/>
      </c>
      <c r="H4695" s="66" t="str">
        <f>IF(Nineteenth!H198="", "",Nineteenth!H198)</f>
        <v/>
      </c>
      <c r="I4695" s="66" t="str">
        <f>IF(Nineteenth!I198="", "",Nineteenth!I198)</f>
        <v/>
      </c>
      <c r="J4695" s="66" t="str">
        <f>IF(Nineteenth!J198="", "",Nineteenth!J198)</f>
        <v/>
      </c>
      <c r="K4695" s="86" t="str">
        <f>IF(Nineteenth!K198="", "",Nineteenth!K198)</f>
        <v/>
      </c>
      <c r="M4695" s="67" t="str">
        <f t="shared" si="221"/>
        <v/>
      </c>
      <c r="N4695" s="76" t="str">
        <f t="shared" si="222"/>
        <v/>
      </c>
      <c r="O4695" s="33">
        <f t="shared" si="223"/>
        <v>0</v>
      </c>
    </row>
    <row r="4696" spans="1:15" x14ac:dyDescent="0.25">
      <c r="A4696" s="64" t="s">
        <v>208</v>
      </c>
      <c r="B4696" s="79" t="str">
        <f>IF(Nineteenth!B199="", "",Nineteenth!B199)</f>
        <v/>
      </c>
      <c r="C4696" s="66" t="str">
        <f>IF(Nineteenth!C199="", "",Nineteenth!C199)</f>
        <v/>
      </c>
      <c r="D4696" s="66" t="str">
        <f>IF(Nineteenth!D199="", "",Nineteenth!D199)</f>
        <v/>
      </c>
      <c r="E4696" s="66" t="str">
        <f>IF(Nineteenth!E199="", "",Nineteenth!E199)</f>
        <v/>
      </c>
      <c r="F4696" s="66" t="str">
        <f>IF(Nineteenth!F199="", "",Nineteenth!F199)</f>
        <v/>
      </c>
      <c r="G4696" s="66" t="str">
        <f>IF(Nineteenth!G199="", "",Nineteenth!G199)</f>
        <v/>
      </c>
      <c r="H4696" s="66" t="str">
        <f>IF(Nineteenth!H199="", "",Nineteenth!H199)</f>
        <v/>
      </c>
      <c r="I4696" s="66" t="str">
        <f>IF(Nineteenth!I199="", "",Nineteenth!I199)</f>
        <v/>
      </c>
      <c r="J4696" s="66" t="str">
        <f>IF(Nineteenth!J199="", "",Nineteenth!J199)</f>
        <v/>
      </c>
      <c r="K4696" s="86" t="str">
        <f>IF(Nineteenth!K199="", "",Nineteenth!K199)</f>
        <v/>
      </c>
      <c r="M4696" s="67" t="str">
        <f t="shared" si="221"/>
        <v/>
      </c>
      <c r="N4696" s="76" t="str">
        <f t="shared" si="222"/>
        <v/>
      </c>
      <c r="O4696" s="33">
        <f t="shared" si="223"/>
        <v>0</v>
      </c>
    </row>
    <row r="4697" spans="1:15" x14ac:dyDescent="0.25">
      <c r="A4697" s="64" t="s">
        <v>208</v>
      </c>
      <c r="B4697" s="79" t="str">
        <f>IF(Nineteenth!B200="", "",Nineteenth!B200)</f>
        <v/>
      </c>
      <c r="C4697" s="66" t="str">
        <f>IF(Nineteenth!C200="", "",Nineteenth!C200)</f>
        <v/>
      </c>
      <c r="D4697" s="66" t="str">
        <f>IF(Nineteenth!D200="", "",Nineteenth!D200)</f>
        <v/>
      </c>
      <c r="E4697" s="66" t="str">
        <f>IF(Nineteenth!E200="", "",Nineteenth!E200)</f>
        <v/>
      </c>
      <c r="F4697" s="66" t="str">
        <f>IF(Nineteenth!F200="", "",Nineteenth!F200)</f>
        <v/>
      </c>
      <c r="G4697" s="66" t="str">
        <f>IF(Nineteenth!G200="", "",Nineteenth!G200)</f>
        <v/>
      </c>
      <c r="H4697" s="66" t="str">
        <f>IF(Nineteenth!H200="", "",Nineteenth!H200)</f>
        <v/>
      </c>
      <c r="I4697" s="66" t="str">
        <f>IF(Nineteenth!I200="", "",Nineteenth!I200)</f>
        <v/>
      </c>
      <c r="J4697" s="66" t="str">
        <f>IF(Nineteenth!J200="", "",Nineteenth!J200)</f>
        <v/>
      </c>
      <c r="K4697" s="86" t="str">
        <f>IF(Nineteenth!K200="", "",Nineteenth!K200)</f>
        <v/>
      </c>
      <c r="M4697" s="67" t="str">
        <f t="shared" si="221"/>
        <v/>
      </c>
      <c r="N4697" s="76" t="str">
        <f t="shared" si="222"/>
        <v/>
      </c>
      <c r="O4697" s="33">
        <f t="shared" si="223"/>
        <v>0</v>
      </c>
    </row>
    <row r="4698" spans="1:15" x14ac:dyDescent="0.25">
      <c r="A4698" s="64" t="s">
        <v>208</v>
      </c>
      <c r="B4698" s="79" t="str">
        <f>IF(Nineteenth!B201="", "",Nineteenth!B201)</f>
        <v/>
      </c>
      <c r="C4698" s="66" t="str">
        <f>IF(Nineteenth!C201="", "",Nineteenth!C201)</f>
        <v/>
      </c>
      <c r="D4698" s="66" t="str">
        <f>IF(Nineteenth!D201="", "",Nineteenth!D201)</f>
        <v/>
      </c>
      <c r="E4698" s="66" t="str">
        <f>IF(Nineteenth!E201="", "",Nineteenth!E201)</f>
        <v/>
      </c>
      <c r="F4698" s="66" t="str">
        <f>IF(Nineteenth!F201="", "",Nineteenth!F201)</f>
        <v/>
      </c>
      <c r="G4698" s="66" t="str">
        <f>IF(Nineteenth!G201="", "",Nineteenth!G201)</f>
        <v/>
      </c>
      <c r="H4698" s="66" t="str">
        <f>IF(Nineteenth!H201="", "",Nineteenth!H201)</f>
        <v/>
      </c>
      <c r="I4698" s="66" t="str">
        <f>IF(Nineteenth!I201="", "",Nineteenth!I201)</f>
        <v/>
      </c>
      <c r="J4698" s="66" t="str">
        <f>IF(Nineteenth!J201="", "",Nineteenth!J201)</f>
        <v/>
      </c>
      <c r="K4698" s="86" t="str">
        <f>IF(Nineteenth!K201="", "",Nineteenth!K201)</f>
        <v/>
      </c>
      <c r="M4698" s="67" t="str">
        <f t="shared" si="221"/>
        <v/>
      </c>
      <c r="N4698" s="76" t="str">
        <f t="shared" si="222"/>
        <v/>
      </c>
      <c r="O4698" s="33">
        <f t="shared" si="223"/>
        <v>0</v>
      </c>
    </row>
    <row r="4699" spans="1:15" x14ac:dyDescent="0.25">
      <c r="A4699" s="64" t="s">
        <v>208</v>
      </c>
      <c r="B4699" s="79" t="str">
        <f>IF(Nineteenth!B202="", "",Nineteenth!B202)</f>
        <v/>
      </c>
      <c r="C4699" s="66" t="str">
        <f>IF(Nineteenth!C202="", "",Nineteenth!C202)</f>
        <v/>
      </c>
      <c r="D4699" s="66" t="str">
        <f>IF(Nineteenth!D202="", "",Nineteenth!D202)</f>
        <v/>
      </c>
      <c r="E4699" s="66" t="str">
        <f>IF(Nineteenth!E202="", "",Nineteenth!E202)</f>
        <v/>
      </c>
      <c r="F4699" s="66" t="str">
        <f>IF(Nineteenth!F202="", "",Nineteenth!F202)</f>
        <v/>
      </c>
      <c r="G4699" s="66" t="str">
        <f>IF(Nineteenth!G202="", "",Nineteenth!G202)</f>
        <v/>
      </c>
      <c r="H4699" s="66" t="str">
        <f>IF(Nineteenth!H202="", "",Nineteenth!H202)</f>
        <v/>
      </c>
      <c r="I4699" s="66" t="str">
        <f>IF(Nineteenth!I202="", "",Nineteenth!I202)</f>
        <v/>
      </c>
      <c r="J4699" s="66" t="str">
        <f>IF(Nineteenth!J202="", "",Nineteenth!J202)</f>
        <v/>
      </c>
      <c r="K4699" s="86" t="str">
        <f>IF(Nineteenth!K202="", "",Nineteenth!K202)</f>
        <v/>
      </c>
      <c r="M4699" s="67" t="str">
        <f t="shared" si="221"/>
        <v/>
      </c>
      <c r="N4699" s="76" t="str">
        <f t="shared" si="222"/>
        <v/>
      </c>
      <c r="O4699" s="33">
        <f t="shared" si="223"/>
        <v>0</v>
      </c>
    </row>
    <row r="4700" spans="1:15" x14ac:dyDescent="0.25">
      <c r="A4700" s="64" t="s">
        <v>208</v>
      </c>
      <c r="B4700" s="79" t="str">
        <f>IF(Nineteenth!B203="", "",Nineteenth!B203)</f>
        <v/>
      </c>
      <c r="C4700" s="66" t="str">
        <f>IF(Nineteenth!C203="", "",Nineteenth!C203)</f>
        <v/>
      </c>
      <c r="D4700" s="66" t="str">
        <f>IF(Nineteenth!D203="", "",Nineteenth!D203)</f>
        <v/>
      </c>
      <c r="E4700" s="66" t="str">
        <f>IF(Nineteenth!E203="", "",Nineteenth!E203)</f>
        <v/>
      </c>
      <c r="F4700" s="66" t="str">
        <f>IF(Nineteenth!F203="", "",Nineteenth!F203)</f>
        <v/>
      </c>
      <c r="G4700" s="66" t="str">
        <f>IF(Nineteenth!G203="", "",Nineteenth!G203)</f>
        <v/>
      </c>
      <c r="H4700" s="66" t="str">
        <f>IF(Nineteenth!H203="", "",Nineteenth!H203)</f>
        <v/>
      </c>
      <c r="I4700" s="66" t="str">
        <f>IF(Nineteenth!I203="", "",Nineteenth!I203)</f>
        <v/>
      </c>
      <c r="J4700" s="66" t="str">
        <f>IF(Nineteenth!J203="", "",Nineteenth!J203)</f>
        <v/>
      </c>
      <c r="K4700" s="86" t="str">
        <f>IF(Nineteenth!K203="", "",Nineteenth!K203)</f>
        <v/>
      </c>
      <c r="M4700" s="67" t="str">
        <f t="shared" si="221"/>
        <v/>
      </c>
      <c r="N4700" s="76" t="str">
        <f t="shared" si="222"/>
        <v/>
      </c>
      <c r="O4700" s="33">
        <f t="shared" si="223"/>
        <v>0</v>
      </c>
    </row>
    <row r="4701" spans="1:15" x14ac:dyDescent="0.25">
      <c r="A4701" s="64" t="s">
        <v>208</v>
      </c>
      <c r="B4701" s="79" t="str">
        <f>IF(Nineteenth!B204="", "",Nineteenth!B204)</f>
        <v/>
      </c>
      <c r="C4701" s="66" t="str">
        <f>IF(Nineteenth!C204="", "",Nineteenth!C204)</f>
        <v/>
      </c>
      <c r="D4701" s="66" t="str">
        <f>IF(Nineteenth!D204="", "",Nineteenth!D204)</f>
        <v/>
      </c>
      <c r="E4701" s="66" t="str">
        <f>IF(Nineteenth!E204="", "",Nineteenth!E204)</f>
        <v/>
      </c>
      <c r="F4701" s="66" t="str">
        <f>IF(Nineteenth!F204="", "",Nineteenth!F204)</f>
        <v/>
      </c>
      <c r="G4701" s="66" t="str">
        <f>IF(Nineteenth!G204="", "",Nineteenth!G204)</f>
        <v/>
      </c>
      <c r="H4701" s="66" t="str">
        <f>IF(Nineteenth!H204="", "",Nineteenth!H204)</f>
        <v/>
      </c>
      <c r="I4701" s="66" t="str">
        <f>IF(Nineteenth!I204="", "",Nineteenth!I204)</f>
        <v/>
      </c>
      <c r="J4701" s="66" t="str">
        <f>IF(Nineteenth!J204="", "",Nineteenth!J204)</f>
        <v/>
      </c>
      <c r="K4701" s="86" t="str">
        <f>IF(Nineteenth!K204="", "",Nineteenth!K204)</f>
        <v/>
      </c>
      <c r="M4701" s="67" t="str">
        <f t="shared" si="221"/>
        <v/>
      </c>
      <c r="N4701" s="76" t="str">
        <f t="shared" si="222"/>
        <v/>
      </c>
      <c r="O4701" s="33">
        <f t="shared" si="223"/>
        <v>0</v>
      </c>
    </row>
    <row r="4702" spans="1:15" x14ac:dyDescent="0.25">
      <c r="A4702" s="64" t="s">
        <v>208</v>
      </c>
      <c r="B4702" s="79" t="str">
        <f>IF(Nineteenth!B205="", "",Nineteenth!B205)</f>
        <v/>
      </c>
      <c r="C4702" s="66" t="str">
        <f>IF(Nineteenth!C205="", "",Nineteenth!C205)</f>
        <v/>
      </c>
      <c r="D4702" s="66" t="str">
        <f>IF(Nineteenth!D205="", "",Nineteenth!D205)</f>
        <v/>
      </c>
      <c r="E4702" s="66" t="str">
        <f>IF(Nineteenth!E205="", "",Nineteenth!E205)</f>
        <v/>
      </c>
      <c r="F4702" s="66" t="str">
        <f>IF(Nineteenth!F205="", "",Nineteenth!F205)</f>
        <v/>
      </c>
      <c r="G4702" s="66" t="str">
        <f>IF(Nineteenth!G205="", "",Nineteenth!G205)</f>
        <v/>
      </c>
      <c r="H4702" s="66" t="str">
        <f>IF(Nineteenth!H205="", "",Nineteenth!H205)</f>
        <v/>
      </c>
      <c r="I4702" s="66" t="str">
        <f>IF(Nineteenth!I205="", "",Nineteenth!I205)</f>
        <v/>
      </c>
      <c r="J4702" s="66" t="str">
        <f>IF(Nineteenth!J205="", "",Nineteenth!J205)</f>
        <v/>
      </c>
      <c r="K4702" s="86" t="str">
        <f>IF(Nineteenth!K205="", "",Nineteenth!K205)</f>
        <v/>
      </c>
      <c r="M4702" s="67" t="str">
        <f t="shared" si="221"/>
        <v/>
      </c>
      <c r="N4702" s="76" t="str">
        <f t="shared" si="222"/>
        <v/>
      </c>
      <c r="O4702" s="33">
        <f t="shared" si="223"/>
        <v>0</v>
      </c>
    </row>
    <row r="4703" spans="1:15" x14ac:dyDescent="0.25">
      <c r="A4703" s="64" t="s">
        <v>208</v>
      </c>
      <c r="B4703" s="79" t="str">
        <f>IF(Nineteenth!B206="", "",Nineteenth!B206)</f>
        <v/>
      </c>
      <c r="C4703" s="66" t="str">
        <f>IF(Nineteenth!C206="", "",Nineteenth!C206)</f>
        <v/>
      </c>
      <c r="D4703" s="66" t="str">
        <f>IF(Nineteenth!D206="", "",Nineteenth!D206)</f>
        <v/>
      </c>
      <c r="E4703" s="66" t="str">
        <f>IF(Nineteenth!E206="", "",Nineteenth!E206)</f>
        <v/>
      </c>
      <c r="F4703" s="66" t="str">
        <f>IF(Nineteenth!F206="", "",Nineteenth!F206)</f>
        <v/>
      </c>
      <c r="G4703" s="66" t="str">
        <f>IF(Nineteenth!G206="", "",Nineteenth!G206)</f>
        <v/>
      </c>
      <c r="H4703" s="66" t="str">
        <f>IF(Nineteenth!H206="", "",Nineteenth!H206)</f>
        <v/>
      </c>
      <c r="I4703" s="66" t="str">
        <f>IF(Nineteenth!I206="", "",Nineteenth!I206)</f>
        <v/>
      </c>
      <c r="J4703" s="66" t="str">
        <f>IF(Nineteenth!J206="", "",Nineteenth!J206)</f>
        <v/>
      </c>
      <c r="K4703" s="86" t="str">
        <f>IF(Nineteenth!K206="", "",Nineteenth!K206)</f>
        <v/>
      </c>
      <c r="M4703" s="67" t="str">
        <f t="shared" si="221"/>
        <v/>
      </c>
      <c r="N4703" s="76" t="str">
        <f t="shared" si="222"/>
        <v/>
      </c>
      <c r="O4703" s="33">
        <f t="shared" si="223"/>
        <v>0</v>
      </c>
    </row>
    <row r="4704" spans="1:15" x14ac:dyDescent="0.25">
      <c r="A4704" s="64" t="s">
        <v>208</v>
      </c>
      <c r="B4704" s="79" t="str">
        <f>IF(Nineteenth!B207="", "",Nineteenth!B207)</f>
        <v/>
      </c>
      <c r="C4704" s="66" t="str">
        <f>IF(Nineteenth!C207="", "",Nineteenth!C207)</f>
        <v/>
      </c>
      <c r="D4704" s="66" t="str">
        <f>IF(Nineteenth!D207="", "",Nineteenth!D207)</f>
        <v/>
      </c>
      <c r="E4704" s="66" t="str">
        <f>IF(Nineteenth!E207="", "",Nineteenth!E207)</f>
        <v/>
      </c>
      <c r="F4704" s="66" t="str">
        <f>IF(Nineteenth!F207="", "",Nineteenth!F207)</f>
        <v/>
      </c>
      <c r="G4704" s="66" t="str">
        <f>IF(Nineteenth!G207="", "",Nineteenth!G207)</f>
        <v/>
      </c>
      <c r="H4704" s="66" t="str">
        <f>IF(Nineteenth!H207="", "",Nineteenth!H207)</f>
        <v/>
      </c>
      <c r="I4704" s="66" t="str">
        <f>IF(Nineteenth!I207="", "",Nineteenth!I207)</f>
        <v/>
      </c>
      <c r="J4704" s="66" t="str">
        <f>IF(Nineteenth!J207="", "",Nineteenth!J207)</f>
        <v/>
      </c>
      <c r="K4704" s="86" t="str">
        <f>IF(Nineteenth!K207="", "",Nineteenth!K207)</f>
        <v/>
      </c>
      <c r="M4704" s="67" t="str">
        <f t="shared" si="221"/>
        <v/>
      </c>
      <c r="N4704" s="76" t="str">
        <f t="shared" si="222"/>
        <v/>
      </c>
      <c r="O4704" s="33">
        <f t="shared" si="223"/>
        <v>0</v>
      </c>
    </row>
    <row r="4705" spans="1:15" x14ac:dyDescent="0.25">
      <c r="A4705" s="64" t="s">
        <v>208</v>
      </c>
      <c r="B4705" s="79" t="str">
        <f>IF(Nineteenth!B208="", "",Nineteenth!B208)</f>
        <v/>
      </c>
      <c r="C4705" s="66" t="str">
        <f>IF(Nineteenth!C208="", "",Nineteenth!C208)</f>
        <v/>
      </c>
      <c r="D4705" s="66" t="str">
        <f>IF(Nineteenth!D208="", "",Nineteenth!D208)</f>
        <v/>
      </c>
      <c r="E4705" s="66" t="str">
        <f>IF(Nineteenth!E208="", "",Nineteenth!E208)</f>
        <v/>
      </c>
      <c r="F4705" s="66" t="str">
        <f>IF(Nineteenth!F208="", "",Nineteenth!F208)</f>
        <v/>
      </c>
      <c r="G4705" s="66" t="str">
        <f>IF(Nineteenth!G208="", "",Nineteenth!G208)</f>
        <v/>
      </c>
      <c r="H4705" s="66" t="str">
        <f>IF(Nineteenth!H208="", "",Nineteenth!H208)</f>
        <v/>
      </c>
      <c r="I4705" s="66" t="str">
        <f>IF(Nineteenth!I208="", "",Nineteenth!I208)</f>
        <v/>
      </c>
      <c r="J4705" s="66" t="str">
        <f>IF(Nineteenth!J208="", "",Nineteenth!J208)</f>
        <v/>
      </c>
      <c r="K4705" s="86" t="str">
        <f>IF(Nineteenth!K208="", "",Nineteenth!K208)</f>
        <v/>
      </c>
      <c r="M4705" s="67" t="str">
        <f t="shared" si="221"/>
        <v/>
      </c>
      <c r="N4705" s="76" t="str">
        <f t="shared" si="222"/>
        <v/>
      </c>
      <c r="O4705" s="33">
        <f t="shared" si="223"/>
        <v>0</v>
      </c>
    </row>
    <row r="4706" spans="1:15" x14ac:dyDescent="0.25">
      <c r="A4706" s="64" t="s">
        <v>208</v>
      </c>
      <c r="B4706" s="79" t="str">
        <f>IF(Nineteenth!B209="", "",Nineteenth!B209)</f>
        <v/>
      </c>
      <c r="C4706" s="66" t="str">
        <f>IF(Nineteenth!C209="", "",Nineteenth!C209)</f>
        <v/>
      </c>
      <c r="D4706" s="66" t="str">
        <f>IF(Nineteenth!D209="", "",Nineteenth!D209)</f>
        <v/>
      </c>
      <c r="E4706" s="66" t="str">
        <f>IF(Nineteenth!E209="", "",Nineteenth!E209)</f>
        <v/>
      </c>
      <c r="F4706" s="66" t="str">
        <f>IF(Nineteenth!F209="", "",Nineteenth!F209)</f>
        <v/>
      </c>
      <c r="G4706" s="66" t="str">
        <f>IF(Nineteenth!G209="", "",Nineteenth!G209)</f>
        <v/>
      </c>
      <c r="H4706" s="66" t="str">
        <f>IF(Nineteenth!H209="", "",Nineteenth!H209)</f>
        <v/>
      </c>
      <c r="I4706" s="66" t="str">
        <f>IF(Nineteenth!I209="", "",Nineteenth!I209)</f>
        <v/>
      </c>
      <c r="J4706" s="66" t="str">
        <f>IF(Nineteenth!J209="", "",Nineteenth!J209)</f>
        <v/>
      </c>
      <c r="K4706" s="86" t="str">
        <f>IF(Nineteenth!K209="", "",Nineteenth!K209)</f>
        <v/>
      </c>
      <c r="M4706" s="67" t="str">
        <f t="shared" si="221"/>
        <v/>
      </c>
      <c r="N4706" s="76" t="str">
        <f t="shared" si="222"/>
        <v/>
      </c>
      <c r="O4706" s="33">
        <f t="shared" si="223"/>
        <v>0</v>
      </c>
    </row>
    <row r="4707" spans="1:15" x14ac:dyDescent="0.25">
      <c r="A4707" s="64" t="s">
        <v>208</v>
      </c>
      <c r="B4707" s="79" t="str">
        <f>IF(Nineteenth!B210="", "",Nineteenth!B210)</f>
        <v/>
      </c>
      <c r="C4707" s="66" t="str">
        <f>IF(Nineteenth!C210="", "",Nineteenth!C210)</f>
        <v/>
      </c>
      <c r="D4707" s="66" t="str">
        <f>IF(Nineteenth!D210="", "",Nineteenth!D210)</f>
        <v/>
      </c>
      <c r="E4707" s="66" t="str">
        <f>IF(Nineteenth!E210="", "",Nineteenth!E210)</f>
        <v/>
      </c>
      <c r="F4707" s="66" t="str">
        <f>IF(Nineteenth!F210="", "",Nineteenth!F210)</f>
        <v/>
      </c>
      <c r="G4707" s="66" t="str">
        <f>IF(Nineteenth!G210="", "",Nineteenth!G210)</f>
        <v/>
      </c>
      <c r="H4707" s="66" t="str">
        <f>IF(Nineteenth!H210="", "",Nineteenth!H210)</f>
        <v/>
      </c>
      <c r="I4707" s="66" t="str">
        <f>IF(Nineteenth!I210="", "",Nineteenth!I210)</f>
        <v/>
      </c>
      <c r="J4707" s="66" t="str">
        <f>IF(Nineteenth!J210="", "",Nineteenth!J210)</f>
        <v/>
      </c>
      <c r="K4707" s="86" t="str">
        <f>IF(Nineteenth!K210="", "",Nineteenth!K210)</f>
        <v/>
      </c>
      <c r="M4707" s="67" t="str">
        <f t="shared" si="221"/>
        <v/>
      </c>
      <c r="N4707" s="76" t="str">
        <f t="shared" si="222"/>
        <v/>
      </c>
      <c r="O4707" s="33">
        <f t="shared" si="223"/>
        <v>0</v>
      </c>
    </row>
    <row r="4708" spans="1:15" x14ac:dyDescent="0.25">
      <c r="A4708" s="64" t="s">
        <v>208</v>
      </c>
      <c r="B4708" s="79" t="str">
        <f>IF(Nineteenth!B211="", "",Nineteenth!B211)</f>
        <v/>
      </c>
      <c r="C4708" s="66" t="str">
        <f>IF(Nineteenth!C211="", "",Nineteenth!C211)</f>
        <v/>
      </c>
      <c r="D4708" s="66" t="str">
        <f>IF(Nineteenth!D211="", "",Nineteenth!D211)</f>
        <v/>
      </c>
      <c r="E4708" s="66" t="str">
        <f>IF(Nineteenth!E211="", "",Nineteenth!E211)</f>
        <v/>
      </c>
      <c r="F4708" s="66" t="str">
        <f>IF(Nineteenth!F211="", "",Nineteenth!F211)</f>
        <v/>
      </c>
      <c r="G4708" s="66" t="str">
        <f>IF(Nineteenth!G211="", "",Nineteenth!G211)</f>
        <v/>
      </c>
      <c r="H4708" s="66" t="str">
        <f>IF(Nineteenth!H211="", "",Nineteenth!H211)</f>
        <v/>
      </c>
      <c r="I4708" s="66" t="str">
        <f>IF(Nineteenth!I211="", "",Nineteenth!I211)</f>
        <v/>
      </c>
      <c r="J4708" s="66" t="str">
        <f>IF(Nineteenth!J211="", "",Nineteenth!J211)</f>
        <v/>
      </c>
      <c r="K4708" s="86" t="str">
        <f>IF(Nineteenth!K211="", "",Nineteenth!K211)</f>
        <v/>
      </c>
      <c r="M4708" s="67" t="str">
        <f t="shared" si="221"/>
        <v/>
      </c>
      <c r="N4708" s="76" t="str">
        <f t="shared" si="222"/>
        <v/>
      </c>
      <c r="O4708" s="33">
        <f t="shared" si="223"/>
        <v>0</v>
      </c>
    </row>
    <row r="4709" spans="1:15" x14ac:dyDescent="0.25">
      <c r="A4709" s="64" t="s">
        <v>208</v>
      </c>
      <c r="B4709" s="79" t="str">
        <f>IF(Nineteenth!B212="", "",Nineteenth!B212)</f>
        <v/>
      </c>
      <c r="C4709" s="66" t="str">
        <f>IF(Nineteenth!C212="", "",Nineteenth!C212)</f>
        <v/>
      </c>
      <c r="D4709" s="66" t="str">
        <f>IF(Nineteenth!D212="", "",Nineteenth!D212)</f>
        <v/>
      </c>
      <c r="E4709" s="66" t="str">
        <f>IF(Nineteenth!E212="", "",Nineteenth!E212)</f>
        <v/>
      </c>
      <c r="F4709" s="66" t="str">
        <f>IF(Nineteenth!F212="", "",Nineteenth!F212)</f>
        <v/>
      </c>
      <c r="G4709" s="66" t="str">
        <f>IF(Nineteenth!G212="", "",Nineteenth!G212)</f>
        <v/>
      </c>
      <c r="H4709" s="66" t="str">
        <f>IF(Nineteenth!H212="", "",Nineteenth!H212)</f>
        <v/>
      </c>
      <c r="I4709" s="66" t="str">
        <f>IF(Nineteenth!I212="", "",Nineteenth!I212)</f>
        <v/>
      </c>
      <c r="J4709" s="66" t="str">
        <f>IF(Nineteenth!J212="", "",Nineteenth!J212)</f>
        <v/>
      </c>
      <c r="K4709" s="86" t="str">
        <f>IF(Nineteenth!K212="", "",Nineteenth!K212)</f>
        <v/>
      </c>
      <c r="M4709" s="67" t="str">
        <f t="shared" si="221"/>
        <v/>
      </c>
      <c r="N4709" s="76" t="str">
        <f t="shared" si="222"/>
        <v/>
      </c>
      <c r="O4709" s="33">
        <f t="shared" si="223"/>
        <v>0</v>
      </c>
    </row>
    <row r="4710" spans="1:15" x14ac:dyDescent="0.25">
      <c r="A4710" s="64" t="s">
        <v>208</v>
      </c>
      <c r="B4710" s="79" t="str">
        <f>IF(Nineteenth!B213="", "",Nineteenth!B213)</f>
        <v/>
      </c>
      <c r="C4710" s="66" t="str">
        <f>IF(Nineteenth!C213="", "",Nineteenth!C213)</f>
        <v/>
      </c>
      <c r="D4710" s="66" t="str">
        <f>IF(Nineteenth!D213="", "",Nineteenth!D213)</f>
        <v/>
      </c>
      <c r="E4710" s="66" t="str">
        <f>IF(Nineteenth!E213="", "",Nineteenth!E213)</f>
        <v/>
      </c>
      <c r="F4710" s="66" t="str">
        <f>IF(Nineteenth!F213="", "",Nineteenth!F213)</f>
        <v/>
      </c>
      <c r="G4710" s="66" t="str">
        <f>IF(Nineteenth!G213="", "",Nineteenth!G213)</f>
        <v/>
      </c>
      <c r="H4710" s="66" t="str">
        <f>IF(Nineteenth!H213="", "",Nineteenth!H213)</f>
        <v/>
      </c>
      <c r="I4710" s="66" t="str">
        <f>IF(Nineteenth!I213="", "",Nineteenth!I213)</f>
        <v/>
      </c>
      <c r="J4710" s="66" t="str">
        <f>IF(Nineteenth!J213="", "",Nineteenth!J213)</f>
        <v/>
      </c>
      <c r="K4710" s="86" t="str">
        <f>IF(Nineteenth!K213="", "",Nineteenth!K213)</f>
        <v/>
      </c>
      <c r="M4710" s="67" t="str">
        <f t="shared" si="221"/>
        <v/>
      </c>
      <c r="N4710" s="76" t="str">
        <f t="shared" si="222"/>
        <v/>
      </c>
      <c r="O4710" s="33">
        <f t="shared" si="223"/>
        <v>0</v>
      </c>
    </row>
    <row r="4711" spans="1:15" x14ac:dyDescent="0.25">
      <c r="A4711" s="64" t="s">
        <v>208</v>
      </c>
      <c r="B4711" s="79" t="str">
        <f>IF(Nineteenth!B214="", "",Nineteenth!B214)</f>
        <v/>
      </c>
      <c r="C4711" s="66" t="str">
        <f>IF(Nineteenth!C214="", "",Nineteenth!C214)</f>
        <v/>
      </c>
      <c r="D4711" s="66" t="str">
        <f>IF(Nineteenth!D214="", "",Nineteenth!D214)</f>
        <v/>
      </c>
      <c r="E4711" s="66" t="str">
        <f>IF(Nineteenth!E214="", "",Nineteenth!E214)</f>
        <v/>
      </c>
      <c r="F4711" s="66" t="str">
        <f>IF(Nineteenth!F214="", "",Nineteenth!F214)</f>
        <v/>
      </c>
      <c r="G4711" s="66" t="str">
        <f>IF(Nineteenth!G214="", "",Nineteenth!G214)</f>
        <v/>
      </c>
      <c r="H4711" s="66" t="str">
        <f>IF(Nineteenth!H214="", "",Nineteenth!H214)</f>
        <v/>
      </c>
      <c r="I4711" s="66" t="str">
        <f>IF(Nineteenth!I214="", "",Nineteenth!I214)</f>
        <v/>
      </c>
      <c r="J4711" s="66" t="str">
        <f>IF(Nineteenth!J214="", "",Nineteenth!J214)</f>
        <v/>
      </c>
      <c r="K4711" s="86" t="str">
        <f>IF(Nineteenth!K214="", "",Nineteenth!K214)</f>
        <v/>
      </c>
      <c r="M4711" s="67" t="str">
        <f t="shared" si="221"/>
        <v/>
      </c>
      <c r="N4711" s="76" t="str">
        <f t="shared" si="222"/>
        <v/>
      </c>
      <c r="O4711" s="33">
        <f t="shared" si="223"/>
        <v>0</v>
      </c>
    </row>
    <row r="4712" spans="1:15" x14ac:dyDescent="0.25">
      <c r="A4712" s="64" t="s">
        <v>208</v>
      </c>
      <c r="B4712" s="79" t="str">
        <f>IF(Nineteenth!B215="", "",Nineteenth!B215)</f>
        <v/>
      </c>
      <c r="C4712" s="66" t="str">
        <f>IF(Nineteenth!C215="", "",Nineteenth!C215)</f>
        <v/>
      </c>
      <c r="D4712" s="66" t="str">
        <f>IF(Nineteenth!D215="", "",Nineteenth!D215)</f>
        <v/>
      </c>
      <c r="E4712" s="66" t="str">
        <f>IF(Nineteenth!E215="", "",Nineteenth!E215)</f>
        <v/>
      </c>
      <c r="F4712" s="66" t="str">
        <f>IF(Nineteenth!F215="", "",Nineteenth!F215)</f>
        <v/>
      </c>
      <c r="G4712" s="66" t="str">
        <f>IF(Nineteenth!G215="", "",Nineteenth!G215)</f>
        <v/>
      </c>
      <c r="H4712" s="66" t="str">
        <f>IF(Nineteenth!H215="", "",Nineteenth!H215)</f>
        <v/>
      </c>
      <c r="I4712" s="66" t="str">
        <f>IF(Nineteenth!I215="", "",Nineteenth!I215)</f>
        <v/>
      </c>
      <c r="J4712" s="66" t="str">
        <f>IF(Nineteenth!J215="", "",Nineteenth!J215)</f>
        <v/>
      </c>
      <c r="K4712" s="86" t="str">
        <f>IF(Nineteenth!K215="", "",Nineteenth!K215)</f>
        <v/>
      </c>
      <c r="M4712" s="67" t="str">
        <f t="shared" si="221"/>
        <v/>
      </c>
      <c r="N4712" s="76" t="str">
        <f t="shared" si="222"/>
        <v/>
      </c>
      <c r="O4712" s="33">
        <f t="shared" si="223"/>
        <v>0</v>
      </c>
    </row>
    <row r="4713" spans="1:15" x14ac:dyDescent="0.25">
      <c r="A4713" s="64" t="s">
        <v>208</v>
      </c>
      <c r="B4713" s="79" t="str">
        <f>IF(Nineteenth!B216="", "",Nineteenth!B216)</f>
        <v/>
      </c>
      <c r="C4713" s="66" t="str">
        <f>IF(Nineteenth!C216="", "",Nineteenth!C216)</f>
        <v/>
      </c>
      <c r="D4713" s="66" t="str">
        <f>IF(Nineteenth!D216="", "",Nineteenth!D216)</f>
        <v/>
      </c>
      <c r="E4713" s="66" t="str">
        <f>IF(Nineteenth!E216="", "",Nineteenth!E216)</f>
        <v/>
      </c>
      <c r="F4713" s="66" t="str">
        <f>IF(Nineteenth!F216="", "",Nineteenth!F216)</f>
        <v/>
      </c>
      <c r="G4713" s="66" t="str">
        <f>IF(Nineteenth!G216="", "",Nineteenth!G216)</f>
        <v/>
      </c>
      <c r="H4713" s="66" t="str">
        <f>IF(Nineteenth!H216="", "",Nineteenth!H216)</f>
        <v/>
      </c>
      <c r="I4713" s="66" t="str">
        <f>IF(Nineteenth!I216="", "",Nineteenth!I216)</f>
        <v/>
      </c>
      <c r="J4713" s="66" t="str">
        <f>IF(Nineteenth!J216="", "",Nineteenth!J216)</f>
        <v/>
      </c>
      <c r="K4713" s="86" t="str">
        <f>IF(Nineteenth!K216="", "",Nineteenth!K216)</f>
        <v/>
      </c>
      <c r="M4713" s="67" t="str">
        <f t="shared" si="221"/>
        <v/>
      </c>
      <c r="N4713" s="76" t="str">
        <f t="shared" si="222"/>
        <v/>
      </c>
      <c r="O4713" s="33">
        <f t="shared" si="223"/>
        <v>0</v>
      </c>
    </row>
    <row r="4714" spans="1:15" x14ac:dyDescent="0.25">
      <c r="A4714" s="64" t="s">
        <v>208</v>
      </c>
      <c r="B4714" s="79" t="str">
        <f>IF(Nineteenth!B217="", "",Nineteenth!B217)</f>
        <v/>
      </c>
      <c r="C4714" s="66" t="str">
        <f>IF(Nineteenth!C217="", "",Nineteenth!C217)</f>
        <v/>
      </c>
      <c r="D4714" s="66" t="str">
        <f>IF(Nineteenth!D217="", "",Nineteenth!D217)</f>
        <v/>
      </c>
      <c r="E4714" s="66" t="str">
        <f>IF(Nineteenth!E217="", "",Nineteenth!E217)</f>
        <v/>
      </c>
      <c r="F4714" s="66" t="str">
        <f>IF(Nineteenth!F217="", "",Nineteenth!F217)</f>
        <v/>
      </c>
      <c r="G4714" s="66" t="str">
        <f>IF(Nineteenth!G217="", "",Nineteenth!G217)</f>
        <v/>
      </c>
      <c r="H4714" s="66" t="str">
        <f>IF(Nineteenth!H217="", "",Nineteenth!H217)</f>
        <v/>
      </c>
      <c r="I4714" s="66" t="str">
        <f>IF(Nineteenth!I217="", "",Nineteenth!I217)</f>
        <v/>
      </c>
      <c r="J4714" s="66" t="str">
        <f>IF(Nineteenth!J217="", "",Nineteenth!J217)</f>
        <v/>
      </c>
      <c r="K4714" s="86" t="str">
        <f>IF(Nineteenth!K217="", "",Nineteenth!K217)</f>
        <v/>
      </c>
      <c r="M4714" s="67" t="str">
        <f t="shared" si="221"/>
        <v/>
      </c>
      <c r="N4714" s="76" t="str">
        <f t="shared" si="222"/>
        <v/>
      </c>
      <c r="O4714" s="33">
        <f t="shared" si="223"/>
        <v>0</v>
      </c>
    </row>
    <row r="4715" spans="1:15" x14ac:dyDescent="0.25">
      <c r="A4715" s="64" t="s">
        <v>208</v>
      </c>
      <c r="B4715" s="79" t="str">
        <f>IF(Nineteenth!B218="", "",Nineteenth!B218)</f>
        <v/>
      </c>
      <c r="C4715" s="66" t="str">
        <f>IF(Nineteenth!C218="", "",Nineteenth!C218)</f>
        <v/>
      </c>
      <c r="D4715" s="66" t="str">
        <f>IF(Nineteenth!D218="", "",Nineteenth!D218)</f>
        <v/>
      </c>
      <c r="E4715" s="66" t="str">
        <f>IF(Nineteenth!E218="", "",Nineteenth!E218)</f>
        <v/>
      </c>
      <c r="F4715" s="66" t="str">
        <f>IF(Nineteenth!F218="", "",Nineteenth!F218)</f>
        <v/>
      </c>
      <c r="G4715" s="66" t="str">
        <f>IF(Nineteenth!G218="", "",Nineteenth!G218)</f>
        <v/>
      </c>
      <c r="H4715" s="66" t="str">
        <f>IF(Nineteenth!H218="", "",Nineteenth!H218)</f>
        <v/>
      </c>
      <c r="I4715" s="66" t="str">
        <f>IF(Nineteenth!I218="", "",Nineteenth!I218)</f>
        <v/>
      </c>
      <c r="J4715" s="66" t="str">
        <f>IF(Nineteenth!J218="", "",Nineteenth!J218)</f>
        <v/>
      </c>
      <c r="K4715" s="86" t="str">
        <f>IF(Nineteenth!K218="", "",Nineteenth!K218)</f>
        <v/>
      </c>
      <c r="M4715" s="67" t="str">
        <f t="shared" si="221"/>
        <v/>
      </c>
      <c r="N4715" s="76" t="str">
        <f t="shared" si="222"/>
        <v/>
      </c>
      <c r="O4715" s="33">
        <f t="shared" si="223"/>
        <v>0</v>
      </c>
    </row>
    <row r="4716" spans="1:15" x14ac:dyDescent="0.25">
      <c r="A4716" s="64" t="s">
        <v>208</v>
      </c>
      <c r="B4716" s="79" t="str">
        <f>IF(Nineteenth!B219="", "",Nineteenth!B219)</f>
        <v/>
      </c>
      <c r="C4716" s="66" t="str">
        <f>IF(Nineteenth!C219="", "",Nineteenth!C219)</f>
        <v/>
      </c>
      <c r="D4716" s="66" t="str">
        <f>IF(Nineteenth!D219="", "",Nineteenth!D219)</f>
        <v/>
      </c>
      <c r="E4716" s="66" t="str">
        <f>IF(Nineteenth!E219="", "",Nineteenth!E219)</f>
        <v/>
      </c>
      <c r="F4716" s="66" t="str">
        <f>IF(Nineteenth!F219="", "",Nineteenth!F219)</f>
        <v/>
      </c>
      <c r="G4716" s="66" t="str">
        <f>IF(Nineteenth!G219="", "",Nineteenth!G219)</f>
        <v/>
      </c>
      <c r="H4716" s="66" t="str">
        <f>IF(Nineteenth!H219="", "",Nineteenth!H219)</f>
        <v/>
      </c>
      <c r="I4716" s="66" t="str">
        <f>IF(Nineteenth!I219="", "",Nineteenth!I219)</f>
        <v/>
      </c>
      <c r="J4716" s="66" t="str">
        <f>IF(Nineteenth!J219="", "",Nineteenth!J219)</f>
        <v/>
      </c>
      <c r="K4716" s="86" t="str">
        <f>IF(Nineteenth!K219="", "",Nineteenth!K219)</f>
        <v/>
      </c>
      <c r="M4716" s="67" t="str">
        <f t="shared" ref="M4716:M4779" si="224">IF(C4716="PwC",(7-COUNTIF(B4716:H4716,"")),"")</f>
        <v/>
      </c>
      <c r="N4716" s="76" t="str">
        <f t="shared" ref="N4716:N4779" si="225">IF(C4716="Carer",(7-COUNTIF(B4716:H4716,"")),"")</f>
        <v/>
      </c>
      <c r="O4716" s="33">
        <f t="shared" ref="O4716:O4779" si="226">SUM(M4716:N4716)</f>
        <v>0</v>
      </c>
    </row>
    <row r="4717" spans="1:15" x14ac:dyDescent="0.25">
      <c r="A4717" s="64" t="s">
        <v>208</v>
      </c>
      <c r="B4717" s="79" t="str">
        <f>IF(Nineteenth!B220="", "",Nineteenth!B220)</f>
        <v/>
      </c>
      <c r="C4717" s="66" t="str">
        <f>IF(Nineteenth!C220="", "",Nineteenth!C220)</f>
        <v/>
      </c>
      <c r="D4717" s="66" t="str">
        <f>IF(Nineteenth!D220="", "",Nineteenth!D220)</f>
        <v/>
      </c>
      <c r="E4717" s="66" t="str">
        <f>IF(Nineteenth!E220="", "",Nineteenth!E220)</f>
        <v/>
      </c>
      <c r="F4717" s="66" t="str">
        <f>IF(Nineteenth!F220="", "",Nineteenth!F220)</f>
        <v/>
      </c>
      <c r="G4717" s="66" t="str">
        <f>IF(Nineteenth!G220="", "",Nineteenth!G220)</f>
        <v/>
      </c>
      <c r="H4717" s="66" t="str">
        <f>IF(Nineteenth!H220="", "",Nineteenth!H220)</f>
        <v/>
      </c>
      <c r="I4717" s="66" t="str">
        <f>IF(Nineteenth!I220="", "",Nineteenth!I220)</f>
        <v/>
      </c>
      <c r="J4717" s="66" t="str">
        <f>IF(Nineteenth!J220="", "",Nineteenth!J220)</f>
        <v/>
      </c>
      <c r="K4717" s="86" t="str">
        <f>IF(Nineteenth!K220="", "",Nineteenth!K220)</f>
        <v/>
      </c>
      <c r="M4717" s="67" t="str">
        <f t="shared" si="224"/>
        <v/>
      </c>
      <c r="N4717" s="76" t="str">
        <f t="shared" si="225"/>
        <v/>
      </c>
      <c r="O4717" s="33">
        <f t="shared" si="226"/>
        <v>0</v>
      </c>
    </row>
    <row r="4718" spans="1:15" x14ac:dyDescent="0.25">
      <c r="A4718" s="64" t="s">
        <v>208</v>
      </c>
      <c r="B4718" s="79" t="str">
        <f>IF(Nineteenth!B221="", "",Nineteenth!B221)</f>
        <v/>
      </c>
      <c r="C4718" s="66" t="str">
        <f>IF(Nineteenth!C221="", "",Nineteenth!C221)</f>
        <v/>
      </c>
      <c r="D4718" s="66" t="str">
        <f>IF(Nineteenth!D221="", "",Nineteenth!D221)</f>
        <v/>
      </c>
      <c r="E4718" s="66" t="str">
        <f>IF(Nineteenth!E221="", "",Nineteenth!E221)</f>
        <v/>
      </c>
      <c r="F4718" s="66" t="str">
        <f>IF(Nineteenth!F221="", "",Nineteenth!F221)</f>
        <v/>
      </c>
      <c r="G4718" s="66" t="str">
        <f>IF(Nineteenth!G221="", "",Nineteenth!G221)</f>
        <v/>
      </c>
      <c r="H4718" s="66" t="str">
        <f>IF(Nineteenth!H221="", "",Nineteenth!H221)</f>
        <v/>
      </c>
      <c r="I4718" s="66" t="str">
        <f>IF(Nineteenth!I221="", "",Nineteenth!I221)</f>
        <v/>
      </c>
      <c r="J4718" s="66" t="str">
        <f>IF(Nineteenth!J221="", "",Nineteenth!J221)</f>
        <v/>
      </c>
      <c r="K4718" s="86" t="str">
        <f>IF(Nineteenth!K221="", "",Nineteenth!K221)</f>
        <v/>
      </c>
      <c r="M4718" s="67" t="str">
        <f t="shared" si="224"/>
        <v/>
      </c>
      <c r="N4718" s="76" t="str">
        <f t="shared" si="225"/>
        <v/>
      </c>
      <c r="O4718" s="33">
        <f t="shared" si="226"/>
        <v>0</v>
      </c>
    </row>
    <row r="4719" spans="1:15" x14ac:dyDescent="0.25">
      <c r="A4719" s="64" t="s">
        <v>208</v>
      </c>
      <c r="B4719" s="79" t="str">
        <f>IF(Nineteenth!B222="", "",Nineteenth!B222)</f>
        <v/>
      </c>
      <c r="C4719" s="66" t="str">
        <f>IF(Nineteenth!C222="", "",Nineteenth!C222)</f>
        <v/>
      </c>
      <c r="D4719" s="66" t="str">
        <f>IF(Nineteenth!D222="", "",Nineteenth!D222)</f>
        <v/>
      </c>
      <c r="E4719" s="66" t="str">
        <f>IF(Nineteenth!E222="", "",Nineteenth!E222)</f>
        <v/>
      </c>
      <c r="F4719" s="66" t="str">
        <f>IF(Nineteenth!F222="", "",Nineteenth!F222)</f>
        <v/>
      </c>
      <c r="G4719" s="66" t="str">
        <f>IF(Nineteenth!G222="", "",Nineteenth!G222)</f>
        <v/>
      </c>
      <c r="H4719" s="66" t="str">
        <f>IF(Nineteenth!H222="", "",Nineteenth!H222)</f>
        <v/>
      </c>
      <c r="I4719" s="66" t="str">
        <f>IF(Nineteenth!I222="", "",Nineteenth!I222)</f>
        <v/>
      </c>
      <c r="J4719" s="66" t="str">
        <f>IF(Nineteenth!J222="", "",Nineteenth!J222)</f>
        <v/>
      </c>
      <c r="K4719" s="86" t="str">
        <f>IF(Nineteenth!K222="", "",Nineteenth!K222)</f>
        <v/>
      </c>
      <c r="M4719" s="67" t="str">
        <f t="shared" si="224"/>
        <v/>
      </c>
      <c r="N4719" s="76" t="str">
        <f t="shared" si="225"/>
        <v/>
      </c>
      <c r="O4719" s="33">
        <f t="shared" si="226"/>
        <v>0</v>
      </c>
    </row>
    <row r="4720" spans="1:15" x14ac:dyDescent="0.25">
      <c r="A4720" s="64" t="s">
        <v>208</v>
      </c>
      <c r="B4720" s="79" t="str">
        <f>IF(Nineteenth!B223="", "",Nineteenth!B223)</f>
        <v/>
      </c>
      <c r="C4720" s="66" t="str">
        <f>IF(Nineteenth!C223="", "",Nineteenth!C223)</f>
        <v/>
      </c>
      <c r="D4720" s="66" t="str">
        <f>IF(Nineteenth!D223="", "",Nineteenth!D223)</f>
        <v/>
      </c>
      <c r="E4720" s="66" t="str">
        <f>IF(Nineteenth!E223="", "",Nineteenth!E223)</f>
        <v/>
      </c>
      <c r="F4720" s="66" t="str">
        <f>IF(Nineteenth!F223="", "",Nineteenth!F223)</f>
        <v/>
      </c>
      <c r="G4720" s="66" t="str">
        <f>IF(Nineteenth!G223="", "",Nineteenth!G223)</f>
        <v/>
      </c>
      <c r="H4720" s="66" t="str">
        <f>IF(Nineteenth!H223="", "",Nineteenth!H223)</f>
        <v/>
      </c>
      <c r="I4720" s="66" t="str">
        <f>IF(Nineteenth!I223="", "",Nineteenth!I223)</f>
        <v/>
      </c>
      <c r="J4720" s="66" t="str">
        <f>IF(Nineteenth!J223="", "",Nineteenth!J223)</f>
        <v/>
      </c>
      <c r="K4720" s="86" t="str">
        <f>IF(Nineteenth!K223="", "",Nineteenth!K223)</f>
        <v/>
      </c>
      <c r="M4720" s="67" t="str">
        <f t="shared" si="224"/>
        <v/>
      </c>
      <c r="N4720" s="76" t="str">
        <f t="shared" si="225"/>
        <v/>
      </c>
      <c r="O4720" s="33">
        <f t="shared" si="226"/>
        <v>0</v>
      </c>
    </row>
    <row r="4721" spans="1:15" x14ac:dyDescent="0.25">
      <c r="A4721" s="64" t="s">
        <v>208</v>
      </c>
      <c r="B4721" s="79" t="str">
        <f>IF(Nineteenth!B224="", "",Nineteenth!B224)</f>
        <v/>
      </c>
      <c r="C4721" s="66" t="str">
        <f>IF(Nineteenth!C224="", "",Nineteenth!C224)</f>
        <v/>
      </c>
      <c r="D4721" s="66" t="str">
        <f>IF(Nineteenth!D224="", "",Nineteenth!D224)</f>
        <v/>
      </c>
      <c r="E4721" s="66" t="str">
        <f>IF(Nineteenth!E224="", "",Nineteenth!E224)</f>
        <v/>
      </c>
      <c r="F4721" s="66" t="str">
        <f>IF(Nineteenth!F224="", "",Nineteenth!F224)</f>
        <v/>
      </c>
      <c r="G4721" s="66" t="str">
        <f>IF(Nineteenth!G224="", "",Nineteenth!G224)</f>
        <v/>
      </c>
      <c r="H4721" s="66" t="str">
        <f>IF(Nineteenth!H224="", "",Nineteenth!H224)</f>
        <v/>
      </c>
      <c r="I4721" s="66" t="str">
        <f>IF(Nineteenth!I224="", "",Nineteenth!I224)</f>
        <v/>
      </c>
      <c r="J4721" s="66" t="str">
        <f>IF(Nineteenth!J224="", "",Nineteenth!J224)</f>
        <v/>
      </c>
      <c r="K4721" s="86" t="str">
        <f>IF(Nineteenth!K224="", "",Nineteenth!K224)</f>
        <v/>
      </c>
      <c r="M4721" s="67" t="str">
        <f t="shared" si="224"/>
        <v/>
      </c>
      <c r="N4721" s="76" t="str">
        <f t="shared" si="225"/>
        <v/>
      </c>
      <c r="O4721" s="33">
        <f t="shared" si="226"/>
        <v>0</v>
      </c>
    </row>
    <row r="4722" spans="1:15" x14ac:dyDescent="0.25">
      <c r="A4722" s="64" t="s">
        <v>208</v>
      </c>
      <c r="B4722" s="79" t="str">
        <f>IF(Nineteenth!B225="", "",Nineteenth!B225)</f>
        <v/>
      </c>
      <c r="C4722" s="66" t="str">
        <f>IF(Nineteenth!C225="", "",Nineteenth!C225)</f>
        <v/>
      </c>
      <c r="D4722" s="66" t="str">
        <f>IF(Nineteenth!D225="", "",Nineteenth!D225)</f>
        <v/>
      </c>
      <c r="E4722" s="66" t="str">
        <f>IF(Nineteenth!E225="", "",Nineteenth!E225)</f>
        <v/>
      </c>
      <c r="F4722" s="66" t="str">
        <f>IF(Nineteenth!F225="", "",Nineteenth!F225)</f>
        <v/>
      </c>
      <c r="G4722" s="66" t="str">
        <f>IF(Nineteenth!G225="", "",Nineteenth!G225)</f>
        <v/>
      </c>
      <c r="H4722" s="66" t="str">
        <f>IF(Nineteenth!H225="", "",Nineteenth!H225)</f>
        <v/>
      </c>
      <c r="I4722" s="66" t="str">
        <f>IF(Nineteenth!I225="", "",Nineteenth!I225)</f>
        <v/>
      </c>
      <c r="J4722" s="66" t="str">
        <f>IF(Nineteenth!J225="", "",Nineteenth!J225)</f>
        <v/>
      </c>
      <c r="K4722" s="86" t="str">
        <f>IF(Nineteenth!K225="", "",Nineteenth!K225)</f>
        <v/>
      </c>
      <c r="M4722" s="67" t="str">
        <f t="shared" si="224"/>
        <v/>
      </c>
      <c r="N4722" s="76" t="str">
        <f t="shared" si="225"/>
        <v/>
      </c>
      <c r="O4722" s="33">
        <f t="shared" si="226"/>
        <v>0</v>
      </c>
    </row>
    <row r="4723" spans="1:15" x14ac:dyDescent="0.25">
      <c r="A4723" s="64" t="s">
        <v>208</v>
      </c>
      <c r="B4723" s="79" t="str">
        <f>IF(Nineteenth!B226="", "",Nineteenth!B226)</f>
        <v/>
      </c>
      <c r="C4723" s="66" t="str">
        <f>IF(Nineteenth!C226="", "",Nineteenth!C226)</f>
        <v/>
      </c>
      <c r="D4723" s="66" t="str">
        <f>IF(Nineteenth!D226="", "",Nineteenth!D226)</f>
        <v/>
      </c>
      <c r="E4723" s="66" t="str">
        <f>IF(Nineteenth!E226="", "",Nineteenth!E226)</f>
        <v/>
      </c>
      <c r="F4723" s="66" t="str">
        <f>IF(Nineteenth!F226="", "",Nineteenth!F226)</f>
        <v/>
      </c>
      <c r="G4723" s="66" t="str">
        <f>IF(Nineteenth!G226="", "",Nineteenth!G226)</f>
        <v/>
      </c>
      <c r="H4723" s="66" t="str">
        <f>IF(Nineteenth!H226="", "",Nineteenth!H226)</f>
        <v/>
      </c>
      <c r="I4723" s="66" t="str">
        <f>IF(Nineteenth!I226="", "",Nineteenth!I226)</f>
        <v/>
      </c>
      <c r="J4723" s="66" t="str">
        <f>IF(Nineteenth!J226="", "",Nineteenth!J226)</f>
        <v/>
      </c>
      <c r="K4723" s="86" t="str">
        <f>IF(Nineteenth!K226="", "",Nineteenth!K226)</f>
        <v/>
      </c>
      <c r="M4723" s="67" t="str">
        <f t="shared" si="224"/>
        <v/>
      </c>
      <c r="N4723" s="76" t="str">
        <f t="shared" si="225"/>
        <v/>
      </c>
      <c r="O4723" s="33">
        <f t="shared" si="226"/>
        <v>0</v>
      </c>
    </row>
    <row r="4724" spans="1:15" x14ac:dyDescent="0.25">
      <c r="A4724" s="64" t="s">
        <v>208</v>
      </c>
      <c r="B4724" s="79" t="str">
        <f>IF(Nineteenth!B227="", "",Nineteenth!B227)</f>
        <v/>
      </c>
      <c r="C4724" s="66" t="str">
        <f>IF(Nineteenth!C227="", "",Nineteenth!C227)</f>
        <v/>
      </c>
      <c r="D4724" s="66" t="str">
        <f>IF(Nineteenth!D227="", "",Nineteenth!D227)</f>
        <v/>
      </c>
      <c r="E4724" s="66" t="str">
        <f>IF(Nineteenth!E227="", "",Nineteenth!E227)</f>
        <v/>
      </c>
      <c r="F4724" s="66" t="str">
        <f>IF(Nineteenth!F227="", "",Nineteenth!F227)</f>
        <v/>
      </c>
      <c r="G4724" s="66" t="str">
        <f>IF(Nineteenth!G227="", "",Nineteenth!G227)</f>
        <v/>
      </c>
      <c r="H4724" s="66" t="str">
        <f>IF(Nineteenth!H227="", "",Nineteenth!H227)</f>
        <v/>
      </c>
      <c r="I4724" s="66" t="str">
        <f>IF(Nineteenth!I227="", "",Nineteenth!I227)</f>
        <v/>
      </c>
      <c r="J4724" s="66" t="str">
        <f>IF(Nineteenth!J227="", "",Nineteenth!J227)</f>
        <v/>
      </c>
      <c r="K4724" s="86" t="str">
        <f>IF(Nineteenth!K227="", "",Nineteenth!K227)</f>
        <v/>
      </c>
      <c r="M4724" s="67" t="str">
        <f t="shared" si="224"/>
        <v/>
      </c>
      <c r="N4724" s="76" t="str">
        <f t="shared" si="225"/>
        <v/>
      </c>
      <c r="O4724" s="33">
        <f t="shared" si="226"/>
        <v>0</v>
      </c>
    </row>
    <row r="4725" spans="1:15" x14ac:dyDescent="0.25">
      <c r="A4725" s="64" t="s">
        <v>208</v>
      </c>
      <c r="B4725" s="79" t="str">
        <f>IF(Nineteenth!B228="", "",Nineteenth!B228)</f>
        <v/>
      </c>
      <c r="C4725" s="66" t="str">
        <f>IF(Nineteenth!C228="", "",Nineteenth!C228)</f>
        <v/>
      </c>
      <c r="D4725" s="66" t="str">
        <f>IF(Nineteenth!D228="", "",Nineteenth!D228)</f>
        <v/>
      </c>
      <c r="E4725" s="66" t="str">
        <f>IF(Nineteenth!E228="", "",Nineteenth!E228)</f>
        <v/>
      </c>
      <c r="F4725" s="66" t="str">
        <f>IF(Nineteenth!F228="", "",Nineteenth!F228)</f>
        <v/>
      </c>
      <c r="G4725" s="66" t="str">
        <f>IF(Nineteenth!G228="", "",Nineteenth!G228)</f>
        <v/>
      </c>
      <c r="H4725" s="66" t="str">
        <f>IF(Nineteenth!H228="", "",Nineteenth!H228)</f>
        <v/>
      </c>
      <c r="I4725" s="66" t="str">
        <f>IF(Nineteenth!I228="", "",Nineteenth!I228)</f>
        <v/>
      </c>
      <c r="J4725" s="66" t="str">
        <f>IF(Nineteenth!J228="", "",Nineteenth!J228)</f>
        <v/>
      </c>
      <c r="K4725" s="86" t="str">
        <f>IF(Nineteenth!K228="", "",Nineteenth!K228)</f>
        <v/>
      </c>
      <c r="M4725" s="67" t="str">
        <f t="shared" si="224"/>
        <v/>
      </c>
      <c r="N4725" s="76" t="str">
        <f t="shared" si="225"/>
        <v/>
      </c>
      <c r="O4725" s="33">
        <f t="shared" si="226"/>
        <v>0</v>
      </c>
    </row>
    <row r="4726" spans="1:15" x14ac:dyDescent="0.25">
      <c r="A4726" s="64" t="s">
        <v>208</v>
      </c>
      <c r="B4726" s="79" t="str">
        <f>IF(Nineteenth!B229="", "",Nineteenth!B229)</f>
        <v/>
      </c>
      <c r="C4726" s="66" t="str">
        <f>IF(Nineteenth!C229="", "",Nineteenth!C229)</f>
        <v/>
      </c>
      <c r="D4726" s="66" t="str">
        <f>IF(Nineteenth!D229="", "",Nineteenth!D229)</f>
        <v/>
      </c>
      <c r="E4726" s="66" t="str">
        <f>IF(Nineteenth!E229="", "",Nineteenth!E229)</f>
        <v/>
      </c>
      <c r="F4726" s="66" t="str">
        <f>IF(Nineteenth!F229="", "",Nineteenth!F229)</f>
        <v/>
      </c>
      <c r="G4726" s="66" t="str">
        <f>IF(Nineteenth!G229="", "",Nineteenth!G229)</f>
        <v/>
      </c>
      <c r="H4726" s="66" t="str">
        <f>IF(Nineteenth!H229="", "",Nineteenth!H229)</f>
        <v/>
      </c>
      <c r="I4726" s="66" t="str">
        <f>IF(Nineteenth!I229="", "",Nineteenth!I229)</f>
        <v/>
      </c>
      <c r="J4726" s="66" t="str">
        <f>IF(Nineteenth!J229="", "",Nineteenth!J229)</f>
        <v/>
      </c>
      <c r="K4726" s="86" t="str">
        <f>IF(Nineteenth!K229="", "",Nineteenth!K229)</f>
        <v/>
      </c>
      <c r="M4726" s="67" t="str">
        <f t="shared" si="224"/>
        <v/>
      </c>
      <c r="N4726" s="76" t="str">
        <f t="shared" si="225"/>
        <v/>
      </c>
      <c r="O4726" s="33">
        <f t="shared" si="226"/>
        <v>0</v>
      </c>
    </row>
    <row r="4727" spans="1:15" x14ac:dyDescent="0.25">
      <c r="A4727" s="64" t="s">
        <v>208</v>
      </c>
      <c r="B4727" s="79" t="str">
        <f>IF(Nineteenth!B230="", "",Nineteenth!B230)</f>
        <v/>
      </c>
      <c r="C4727" s="66" t="str">
        <f>IF(Nineteenth!C230="", "",Nineteenth!C230)</f>
        <v/>
      </c>
      <c r="D4727" s="66" t="str">
        <f>IF(Nineteenth!D230="", "",Nineteenth!D230)</f>
        <v/>
      </c>
      <c r="E4727" s="66" t="str">
        <f>IF(Nineteenth!E230="", "",Nineteenth!E230)</f>
        <v/>
      </c>
      <c r="F4727" s="66" t="str">
        <f>IF(Nineteenth!F230="", "",Nineteenth!F230)</f>
        <v/>
      </c>
      <c r="G4727" s="66" t="str">
        <f>IF(Nineteenth!G230="", "",Nineteenth!G230)</f>
        <v/>
      </c>
      <c r="H4727" s="66" t="str">
        <f>IF(Nineteenth!H230="", "",Nineteenth!H230)</f>
        <v/>
      </c>
      <c r="I4727" s="66" t="str">
        <f>IF(Nineteenth!I230="", "",Nineteenth!I230)</f>
        <v/>
      </c>
      <c r="J4727" s="66" t="str">
        <f>IF(Nineteenth!J230="", "",Nineteenth!J230)</f>
        <v/>
      </c>
      <c r="K4727" s="86" t="str">
        <f>IF(Nineteenth!K230="", "",Nineteenth!K230)</f>
        <v/>
      </c>
      <c r="M4727" s="67" t="str">
        <f t="shared" si="224"/>
        <v/>
      </c>
      <c r="N4727" s="76" t="str">
        <f t="shared" si="225"/>
        <v/>
      </c>
      <c r="O4727" s="33">
        <f t="shared" si="226"/>
        <v>0</v>
      </c>
    </row>
    <row r="4728" spans="1:15" x14ac:dyDescent="0.25">
      <c r="A4728" s="64" t="s">
        <v>208</v>
      </c>
      <c r="B4728" s="79" t="str">
        <f>IF(Nineteenth!B231="", "",Nineteenth!B231)</f>
        <v/>
      </c>
      <c r="C4728" s="66" t="str">
        <f>IF(Nineteenth!C231="", "",Nineteenth!C231)</f>
        <v/>
      </c>
      <c r="D4728" s="66" t="str">
        <f>IF(Nineteenth!D231="", "",Nineteenth!D231)</f>
        <v/>
      </c>
      <c r="E4728" s="66" t="str">
        <f>IF(Nineteenth!E231="", "",Nineteenth!E231)</f>
        <v/>
      </c>
      <c r="F4728" s="66" t="str">
        <f>IF(Nineteenth!F231="", "",Nineteenth!F231)</f>
        <v/>
      </c>
      <c r="G4728" s="66" t="str">
        <f>IF(Nineteenth!G231="", "",Nineteenth!G231)</f>
        <v/>
      </c>
      <c r="H4728" s="66" t="str">
        <f>IF(Nineteenth!H231="", "",Nineteenth!H231)</f>
        <v/>
      </c>
      <c r="I4728" s="66" t="str">
        <f>IF(Nineteenth!I231="", "",Nineteenth!I231)</f>
        <v/>
      </c>
      <c r="J4728" s="66" t="str">
        <f>IF(Nineteenth!J231="", "",Nineteenth!J231)</f>
        <v/>
      </c>
      <c r="K4728" s="86" t="str">
        <f>IF(Nineteenth!K231="", "",Nineteenth!K231)</f>
        <v/>
      </c>
      <c r="M4728" s="67" t="str">
        <f t="shared" si="224"/>
        <v/>
      </c>
      <c r="N4728" s="76" t="str">
        <f t="shared" si="225"/>
        <v/>
      </c>
      <c r="O4728" s="33">
        <f t="shared" si="226"/>
        <v>0</v>
      </c>
    </row>
    <row r="4729" spans="1:15" x14ac:dyDescent="0.25">
      <c r="A4729" s="64" t="s">
        <v>208</v>
      </c>
      <c r="B4729" s="79" t="str">
        <f>IF(Nineteenth!B232="", "",Nineteenth!B232)</f>
        <v/>
      </c>
      <c r="C4729" s="66" t="str">
        <f>IF(Nineteenth!C232="", "",Nineteenth!C232)</f>
        <v/>
      </c>
      <c r="D4729" s="66" t="str">
        <f>IF(Nineteenth!D232="", "",Nineteenth!D232)</f>
        <v/>
      </c>
      <c r="E4729" s="66" t="str">
        <f>IF(Nineteenth!E232="", "",Nineteenth!E232)</f>
        <v/>
      </c>
      <c r="F4729" s="66" t="str">
        <f>IF(Nineteenth!F232="", "",Nineteenth!F232)</f>
        <v/>
      </c>
      <c r="G4729" s="66" t="str">
        <f>IF(Nineteenth!G232="", "",Nineteenth!G232)</f>
        <v/>
      </c>
      <c r="H4729" s="66" t="str">
        <f>IF(Nineteenth!H232="", "",Nineteenth!H232)</f>
        <v/>
      </c>
      <c r="I4729" s="66" t="str">
        <f>IF(Nineteenth!I232="", "",Nineteenth!I232)</f>
        <v/>
      </c>
      <c r="J4729" s="66" t="str">
        <f>IF(Nineteenth!J232="", "",Nineteenth!J232)</f>
        <v/>
      </c>
      <c r="K4729" s="86" t="str">
        <f>IF(Nineteenth!K232="", "",Nineteenth!K232)</f>
        <v/>
      </c>
      <c r="M4729" s="67" t="str">
        <f t="shared" si="224"/>
        <v/>
      </c>
      <c r="N4729" s="76" t="str">
        <f t="shared" si="225"/>
        <v/>
      </c>
      <c r="O4729" s="33">
        <f t="shared" si="226"/>
        <v>0</v>
      </c>
    </row>
    <row r="4730" spans="1:15" x14ac:dyDescent="0.25">
      <c r="A4730" s="64" t="s">
        <v>208</v>
      </c>
      <c r="B4730" s="79" t="str">
        <f>IF(Nineteenth!B233="", "",Nineteenth!B233)</f>
        <v/>
      </c>
      <c r="C4730" s="66" t="str">
        <f>IF(Nineteenth!C233="", "",Nineteenth!C233)</f>
        <v/>
      </c>
      <c r="D4730" s="66" t="str">
        <f>IF(Nineteenth!D233="", "",Nineteenth!D233)</f>
        <v/>
      </c>
      <c r="E4730" s="66" t="str">
        <f>IF(Nineteenth!E233="", "",Nineteenth!E233)</f>
        <v/>
      </c>
      <c r="F4730" s="66" t="str">
        <f>IF(Nineteenth!F233="", "",Nineteenth!F233)</f>
        <v/>
      </c>
      <c r="G4730" s="66" t="str">
        <f>IF(Nineteenth!G233="", "",Nineteenth!G233)</f>
        <v/>
      </c>
      <c r="H4730" s="66" t="str">
        <f>IF(Nineteenth!H233="", "",Nineteenth!H233)</f>
        <v/>
      </c>
      <c r="I4730" s="66" t="str">
        <f>IF(Nineteenth!I233="", "",Nineteenth!I233)</f>
        <v/>
      </c>
      <c r="J4730" s="66" t="str">
        <f>IF(Nineteenth!J233="", "",Nineteenth!J233)</f>
        <v/>
      </c>
      <c r="K4730" s="86" t="str">
        <f>IF(Nineteenth!K233="", "",Nineteenth!K233)</f>
        <v/>
      </c>
      <c r="M4730" s="67" t="str">
        <f t="shared" si="224"/>
        <v/>
      </c>
      <c r="N4730" s="76" t="str">
        <f t="shared" si="225"/>
        <v/>
      </c>
      <c r="O4730" s="33">
        <f t="shared" si="226"/>
        <v>0</v>
      </c>
    </row>
    <row r="4731" spans="1:15" x14ac:dyDescent="0.25">
      <c r="A4731" s="64" t="s">
        <v>208</v>
      </c>
      <c r="B4731" s="79" t="str">
        <f>IF(Nineteenth!B234="", "",Nineteenth!B234)</f>
        <v/>
      </c>
      <c r="C4731" s="66" t="str">
        <f>IF(Nineteenth!C234="", "",Nineteenth!C234)</f>
        <v/>
      </c>
      <c r="D4731" s="66" t="str">
        <f>IF(Nineteenth!D234="", "",Nineteenth!D234)</f>
        <v/>
      </c>
      <c r="E4731" s="66" t="str">
        <f>IF(Nineteenth!E234="", "",Nineteenth!E234)</f>
        <v/>
      </c>
      <c r="F4731" s="66" t="str">
        <f>IF(Nineteenth!F234="", "",Nineteenth!F234)</f>
        <v/>
      </c>
      <c r="G4731" s="66" t="str">
        <f>IF(Nineteenth!G234="", "",Nineteenth!G234)</f>
        <v/>
      </c>
      <c r="H4731" s="66" t="str">
        <f>IF(Nineteenth!H234="", "",Nineteenth!H234)</f>
        <v/>
      </c>
      <c r="I4731" s="66" t="str">
        <f>IF(Nineteenth!I234="", "",Nineteenth!I234)</f>
        <v/>
      </c>
      <c r="J4731" s="66" t="str">
        <f>IF(Nineteenth!J234="", "",Nineteenth!J234)</f>
        <v/>
      </c>
      <c r="K4731" s="86" t="str">
        <f>IF(Nineteenth!K234="", "",Nineteenth!K234)</f>
        <v/>
      </c>
      <c r="M4731" s="67" t="str">
        <f t="shared" si="224"/>
        <v/>
      </c>
      <c r="N4731" s="76" t="str">
        <f t="shared" si="225"/>
        <v/>
      </c>
      <c r="O4731" s="33">
        <f t="shared" si="226"/>
        <v>0</v>
      </c>
    </row>
    <row r="4732" spans="1:15" x14ac:dyDescent="0.25">
      <c r="A4732" s="64" t="s">
        <v>208</v>
      </c>
      <c r="B4732" s="79" t="str">
        <f>IF(Nineteenth!B235="", "",Nineteenth!B235)</f>
        <v/>
      </c>
      <c r="C4732" s="66" t="str">
        <f>IF(Nineteenth!C235="", "",Nineteenth!C235)</f>
        <v/>
      </c>
      <c r="D4732" s="66" t="str">
        <f>IF(Nineteenth!D235="", "",Nineteenth!D235)</f>
        <v/>
      </c>
      <c r="E4732" s="66" t="str">
        <f>IF(Nineteenth!E235="", "",Nineteenth!E235)</f>
        <v/>
      </c>
      <c r="F4732" s="66" t="str">
        <f>IF(Nineteenth!F235="", "",Nineteenth!F235)</f>
        <v/>
      </c>
      <c r="G4732" s="66" t="str">
        <f>IF(Nineteenth!G235="", "",Nineteenth!G235)</f>
        <v/>
      </c>
      <c r="H4732" s="66" t="str">
        <f>IF(Nineteenth!H235="", "",Nineteenth!H235)</f>
        <v/>
      </c>
      <c r="I4732" s="66" t="str">
        <f>IF(Nineteenth!I235="", "",Nineteenth!I235)</f>
        <v/>
      </c>
      <c r="J4732" s="66" t="str">
        <f>IF(Nineteenth!J235="", "",Nineteenth!J235)</f>
        <v/>
      </c>
      <c r="K4732" s="86" t="str">
        <f>IF(Nineteenth!K235="", "",Nineteenth!K235)</f>
        <v/>
      </c>
      <c r="M4732" s="67" t="str">
        <f t="shared" si="224"/>
        <v/>
      </c>
      <c r="N4732" s="76" t="str">
        <f t="shared" si="225"/>
        <v/>
      </c>
      <c r="O4732" s="33">
        <f t="shared" si="226"/>
        <v>0</v>
      </c>
    </row>
    <row r="4733" spans="1:15" x14ac:dyDescent="0.25">
      <c r="A4733" s="64" t="s">
        <v>208</v>
      </c>
      <c r="B4733" s="79" t="str">
        <f>IF(Nineteenth!B236="", "",Nineteenth!B236)</f>
        <v/>
      </c>
      <c r="C4733" s="66" t="str">
        <f>IF(Nineteenth!C236="", "",Nineteenth!C236)</f>
        <v/>
      </c>
      <c r="D4733" s="66" t="str">
        <f>IF(Nineteenth!D236="", "",Nineteenth!D236)</f>
        <v/>
      </c>
      <c r="E4733" s="66" t="str">
        <f>IF(Nineteenth!E236="", "",Nineteenth!E236)</f>
        <v/>
      </c>
      <c r="F4733" s="66" t="str">
        <f>IF(Nineteenth!F236="", "",Nineteenth!F236)</f>
        <v/>
      </c>
      <c r="G4733" s="66" t="str">
        <f>IF(Nineteenth!G236="", "",Nineteenth!G236)</f>
        <v/>
      </c>
      <c r="H4733" s="66" t="str">
        <f>IF(Nineteenth!H236="", "",Nineteenth!H236)</f>
        <v/>
      </c>
      <c r="I4733" s="66" t="str">
        <f>IF(Nineteenth!I236="", "",Nineteenth!I236)</f>
        <v/>
      </c>
      <c r="J4733" s="66" t="str">
        <f>IF(Nineteenth!J236="", "",Nineteenth!J236)</f>
        <v/>
      </c>
      <c r="K4733" s="86" t="str">
        <f>IF(Nineteenth!K236="", "",Nineteenth!K236)</f>
        <v/>
      </c>
      <c r="M4733" s="67" t="str">
        <f t="shared" si="224"/>
        <v/>
      </c>
      <c r="N4733" s="76" t="str">
        <f t="shared" si="225"/>
        <v/>
      </c>
      <c r="O4733" s="33">
        <f t="shared" si="226"/>
        <v>0</v>
      </c>
    </row>
    <row r="4734" spans="1:15" x14ac:dyDescent="0.25">
      <c r="A4734" s="64" t="s">
        <v>208</v>
      </c>
      <c r="B4734" s="79" t="str">
        <f>IF(Nineteenth!B237="", "",Nineteenth!B237)</f>
        <v/>
      </c>
      <c r="C4734" s="66" t="str">
        <f>IF(Nineteenth!C237="", "",Nineteenth!C237)</f>
        <v/>
      </c>
      <c r="D4734" s="66" t="str">
        <f>IF(Nineteenth!D237="", "",Nineteenth!D237)</f>
        <v/>
      </c>
      <c r="E4734" s="66" t="str">
        <f>IF(Nineteenth!E237="", "",Nineteenth!E237)</f>
        <v/>
      </c>
      <c r="F4734" s="66" t="str">
        <f>IF(Nineteenth!F237="", "",Nineteenth!F237)</f>
        <v/>
      </c>
      <c r="G4734" s="66" t="str">
        <f>IF(Nineteenth!G237="", "",Nineteenth!G237)</f>
        <v/>
      </c>
      <c r="H4734" s="66" t="str">
        <f>IF(Nineteenth!H237="", "",Nineteenth!H237)</f>
        <v/>
      </c>
      <c r="I4734" s="66" t="str">
        <f>IF(Nineteenth!I237="", "",Nineteenth!I237)</f>
        <v/>
      </c>
      <c r="J4734" s="66" t="str">
        <f>IF(Nineteenth!J237="", "",Nineteenth!J237)</f>
        <v/>
      </c>
      <c r="K4734" s="86" t="str">
        <f>IF(Nineteenth!K237="", "",Nineteenth!K237)</f>
        <v/>
      </c>
      <c r="M4734" s="67" t="str">
        <f t="shared" si="224"/>
        <v/>
      </c>
      <c r="N4734" s="76" t="str">
        <f t="shared" si="225"/>
        <v/>
      </c>
      <c r="O4734" s="33">
        <f t="shared" si="226"/>
        <v>0</v>
      </c>
    </row>
    <row r="4735" spans="1:15" x14ac:dyDescent="0.25">
      <c r="A4735" s="64" t="s">
        <v>208</v>
      </c>
      <c r="B4735" s="79" t="str">
        <f>IF(Nineteenth!B238="", "",Nineteenth!B238)</f>
        <v/>
      </c>
      <c r="C4735" s="66" t="str">
        <f>IF(Nineteenth!C238="", "",Nineteenth!C238)</f>
        <v/>
      </c>
      <c r="D4735" s="66" t="str">
        <f>IF(Nineteenth!D238="", "",Nineteenth!D238)</f>
        <v/>
      </c>
      <c r="E4735" s="66" t="str">
        <f>IF(Nineteenth!E238="", "",Nineteenth!E238)</f>
        <v/>
      </c>
      <c r="F4735" s="66" t="str">
        <f>IF(Nineteenth!F238="", "",Nineteenth!F238)</f>
        <v/>
      </c>
      <c r="G4735" s="66" t="str">
        <f>IF(Nineteenth!G238="", "",Nineteenth!G238)</f>
        <v/>
      </c>
      <c r="H4735" s="66" t="str">
        <f>IF(Nineteenth!H238="", "",Nineteenth!H238)</f>
        <v/>
      </c>
      <c r="I4735" s="66" t="str">
        <f>IF(Nineteenth!I238="", "",Nineteenth!I238)</f>
        <v/>
      </c>
      <c r="J4735" s="66" t="str">
        <f>IF(Nineteenth!J238="", "",Nineteenth!J238)</f>
        <v/>
      </c>
      <c r="K4735" s="86" t="str">
        <f>IF(Nineteenth!K238="", "",Nineteenth!K238)</f>
        <v/>
      </c>
      <c r="M4735" s="67" t="str">
        <f t="shared" si="224"/>
        <v/>
      </c>
      <c r="N4735" s="76" t="str">
        <f t="shared" si="225"/>
        <v/>
      </c>
      <c r="O4735" s="33">
        <f t="shared" si="226"/>
        <v>0</v>
      </c>
    </row>
    <row r="4736" spans="1:15" x14ac:dyDescent="0.25">
      <c r="A4736" s="64" t="s">
        <v>208</v>
      </c>
      <c r="B4736" s="79" t="str">
        <f>IF(Nineteenth!B239="", "",Nineteenth!B239)</f>
        <v/>
      </c>
      <c r="C4736" s="66" t="str">
        <f>IF(Nineteenth!C239="", "",Nineteenth!C239)</f>
        <v/>
      </c>
      <c r="D4736" s="66" t="str">
        <f>IF(Nineteenth!D239="", "",Nineteenth!D239)</f>
        <v/>
      </c>
      <c r="E4736" s="66" t="str">
        <f>IF(Nineteenth!E239="", "",Nineteenth!E239)</f>
        <v/>
      </c>
      <c r="F4736" s="66" t="str">
        <f>IF(Nineteenth!F239="", "",Nineteenth!F239)</f>
        <v/>
      </c>
      <c r="G4736" s="66" t="str">
        <f>IF(Nineteenth!G239="", "",Nineteenth!G239)</f>
        <v/>
      </c>
      <c r="H4736" s="66" t="str">
        <f>IF(Nineteenth!H239="", "",Nineteenth!H239)</f>
        <v/>
      </c>
      <c r="I4736" s="66" t="str">
        <f>IF(Nineteenth!I239="", "",Nineteenth!I239)</f>
        <v/>
      </c>
      <c r="J4736" s="66" t="str">
        <f>IF(Nineteenth!J239="", "",Nineteenth!J239)</f>
        <v/>
      </c>
      <c r="K4736" s="86" t="str">
        <f>IF(Nineteenth!K239="", "",Nineteenth!K239)</f>
        <v/>
      </c>
      <c r="M4736" s="67" t="str">
        <f t="shared" si="224"/>
        <v/>
      </c>
      <c r="N4736" s="76" t="str">
        <f t="shared" si="225"/>
        <v/>
      </c>
      <c r="O4736" s="33">
        <f t="shared" si="226"/>
        <v>0</v>
      </c>
    </row>
    <row r="4737" spans="1:15" x14ac:dyDescent="0.25">
      <c r="A4737" s="64" t="s">
        <v>208</v>
      </c>
      <c r="B4737" s="79" t="str">
        <f>IF(Nineteenth!B240="", "",Nineteenth!B240)</f>
        <v/>
      </c>
      <c r="C4737" s="66" t="str">
        <f>IF(Nineteenth!C240="", "",Nineteenth!C240)</f>
        <v/>
      </c>
      <c r="D4737" s="66" t="str">
        <f>IF(Nineteenth!D240="", "",Nineteenth!D240)</f>
        <v/>
      </c>
      <c r="E4737" s="66" t="str">
        <f>IF(Nineteenth!E240="", "",Nineteenth!E240)</f>
        <v/>
      </c>
      <c r="F4737" s="66" t="str">
        <f>IF(Nineteenth!F240="", "",Nineteenth!F240)</f>
        <v/>
      </c>
      <c r="G4737" s="66" t="str">
        <f>IF(Nineteenth!G240="", "",Nineteenth!G240)</f>
        <v/>
      </c>
      <c r="H4737" s="66" t="str">
        <f>IF(Nineteenth!H240="", "",Nineteenth!H240)</f>
        <v/>
      </c>
      <c r="I4737" s="66" t="str">
        <f>IF(Nineteenth!I240="", "",Nineteenth!I240)</f>
        <v/>
      </c>
      <c r="J4737" s="66" t="str">
        <f>IF(Nineteenth!J240="", "",Nineteenth!J240)</f>
        <v/>
      </c>
      <c r="K4737" s="86" t="str">
        <f>IF(Nineteenth!K240="", "",Nineteenth!K240)</f>
        <v/>
      </c>
      <c r="M4737" s="67" t="str">
        <f t="shared" si="224"/>
        <v/>
      </c>
      <c r="N4737" s="76" t="str">
        <f t="shared" si="225"/>
        <v/>
      </c>
      <c r="O4737" s="33">
        <f t="shared" si="226"/>
        <v>0</v>
      </c>
    </row>
    <row r="4738" spans="1:15" x14ac:dyDescent="0.25">
      <c r="A4738" s="64" t="s">
        <v>208</v>
      </c>
      <c r="B4738" s="79" t="str">
        <f>IF(Nineteenth!B241="", "",Nineteenth!B241)</f>
        <v/>
      </c>
      <c r="C4738" s="66" t="str">
        <f>IF(Nineteenth!C241="", "",Nineteenth!C241)</f>
        <v/>
      </c>
      <c r="D4738" s="66" t="str">
        <f>IF(Nineteenth!D241="", "",Nineteenth!D241)</f>
        <v/>
      </c>
      <c r="E4738" s="66" t="str">
        <f>IF(Nineteenth!E241="", "",Nineteenth!E241)</f>
        <v/>
      </c>
      <c r="F4738" s="66" t="str">
        <f>IF(Nineteenth!F241="", "",Nineteenth!F241)</f>
        <v/>
      </c>
      <c r="G4738" s="66" t="str">
        <f>IF(Nineteenth!G241="", "",Nineteenth!G241)</f>
        <v/>
      </c>
      <c r="H4738" s="66" t="str">
        <f>IF(Nineteenth!H241="", "",Nineteenth!H241)</f>
        <v/>
      </c>
      <c r="I4738" s="66" t="str">
        <f>IF(Nineteenth!I241="", "",Nineteenth!I241)</f>
        <v/>
      </c>
      <c r="J4738" s="66" t="str">
        <f>IF(Nineteenth!J241="", "",Nineteenth!J241)</f>
        <v/>
      </c>
      <c r="K4738" s="86" t="str">
        <f>IF(Nineteenth!K241="", "",Nineteenth!K241)</f>
        <v/>
      </c>
      <c r="M4738" s="67" t="str">
        <f t="shared" si="224"/>
        <v/>
      </c>
      <c r="N4738" s="76" t="str">
        <f t="shared" si="225"/>
        <v/>
      </c>
      <c r="O4738" s="33">
        <f t="shared" si="226"/>
        <v>0</v>
      </c>
    </row>
    <row r="4739" spans="1:15" x14ac:dyDescent="0.25">
      <c r="A4739" s="64" t="s">
        <v>208</v>
      </c>
      <c r="B4739" s="79" t="str">
        <f>IF(Nineteenth!B242="", "",Nineteenth!B242)</f>
        <v/>
      </c>
      <c r="C4739" s="66" t="str">
        <f>IF(Nineteenth!C242="", "",Nineteenth!C242)</f>
        <v/>
      </c>
      <c r="D4739" s="66" t="str">
        <f>IF(Nineteenth!D242="", "",Nineteenth!D242)</f>
        <v/>
      </c>
      <c r="E4739" s="66" t="str">
        <f>IF(Nineteenth!E242="", "",Nineteenth!E242)</f>
        <v/>
      </c>
      <c r="F4739" s="66" t="str">
        <f>IF(Nineteenth!F242="", "",Nineteenth!F242)</f>
        <v/>
      </c>
      <c r="G4739" s="66" t="str">
        <f>IF(Nineteenth!G242="", "",Nineteenth!G242)</f>
        <v/>
      </c>
      <c r="H4739" s="66" t="str">
        <f>IF(Nineteenth!H242="", "",Nineteenth!H242)</f>
        <v/>
      </c>
      <c r="I4739" s="66" t="str">
        <f>IF(Nineteenth!I242="", "",Nineteenth!I242)</f>
        <v/>
      </c>
      <c r="J4739" s="66" t="str">
        <f>IF(Nineteenth!J242="", "",Nineteenth!J242)</f>
        <v/>
      </c>
      <c r="K4739" s="86" t="str">
        <f>IF(Nineteenth!K242="", "",Nineteenth!K242)</f>
        <v/>
      </c>
      <c r="M4739" s="67" t="str">
        <f t="shared" si="224"/>
        <v/>
      </c>
      <c r="N4739" s="76" t="str">
        <f t="shared" si="225"/>
        <v/>
      </c>
      <c r="O4739" s="33">
        <f t="shared" si="226"/>
        <v>0</v>
      </c>
    </row>
    <row r="4740" spans="1:15" x14ac:dyDescent="0.25">
      <c r="A4740" s="64" t="s">
        <v>208</v>
      </c>
      <c r="B4740" s="79" t="str">
        <f>IF(Nineteenth!B243="", "",Nineteenth!B243)</f>
        <v/>
      </c>
      <c r="C4740" s="66" t="str">
        <f>IF(Nineteenth!C243="", "",Nineteenth!C243)</f>
        <v/>
      </c>
      <c r="D4740" s="66" t="str">
        <f>IF(Nineteenth!D243="", "",Nineteenth!D243)</f>
        <v/>
      </c>
      <c r="E4740" s="66" t="str">
        <f>IF(Nineteenth!E243="", "",Nineteenth!E243)</f>
        <v/>
      </c>
      <c r="F4740" s="66" t="str">
        <f>IF(Nineteenth!F243="", "",Nineteenth!F243)</f>
        <v/>
      </c>
      <c r="G4740" s="66" t="str">
        <f>IF(Nineteenth!G243="", "",Nineteenth!G243)</f>
        <v/>
      </c>
      <c r="H4740" s="66" t="str">
        <f>IF(Nineteenth!H243="", "",Nineteenth!H243)</f>
        <v/>
      </c>
      <c r="I4740" s="66" t="str">
        <f>IF(Nineteenth!I243="", "",Nineteenth!I243)</f>
        <v/>
      </c>
      <c r="J4740" s="66" t="str">
        <f>IF(Nineteenth!J243="", "",Nineteenth!J243)</f>
        <v/>
      </c>
      <c r="K4740" s="86" t="str">
        <f>IF(Nineteenth!K243="", "",Nineteenth!K243)</f>
        <v/>
      </c>
      <c r="M4740" s="67" t="str">
        <f t="shared" si="224"/>
        <v/>
      </c>
      <c r="N4740" s="76" t="str">
        <f t="shared" si="225"/>
        <v/>
      </c>
      <c r="O4740" s="33">
        <f t="shared" si="226"/>
        <v>0</v>
      </c>
    </row>
    <row r="4741" spans="1:15" x14ac:dyDescent="0.25">
      <c r="A4741" s="64" t="s">
        <v>208</v>
      </c>
      <c r="B4741" s="79" t="str">
        <f>IF(Nineteenth!B244="", "",Nineteenth!B244)</f>
        <v/>
      </c>
      <c r="C4741" s="66" t="str">
        <f>IF(Nineteenth!C244="", "",Nineteenth!C244)</f>
        <v/>
      </c>
      <c r="D4741" s="66" t="str">
        <f>IF(Nineteenth!D244="", "",Nineteenth!D244)</f>
        <v/>
      </c>
      <c r="E4741" s="66" t="str">
        <f>IF(Nineteenth!E244="", "",Nineteenth!E244)</f>
        <v/>
      </c>
      <c r="F4741" s="66" t="str">
        <f>IF(Nineteenth!F244="", "",Nineteenth!F244)</f>
        <v/>
      </c>
      <c r="G4741" s="66" t="str">
        <f>IF(Nineteenth!G244="", "",Nineteenth!G244)</f>
        <v/>
      </c>
      <c r="H4741" s="66" t="str">
        <f>IF(Nineteenth!H244="", "",Nineteenth!H244)</f>
        <v/>
      </c>
      <c r="I4741" s="66" t="str">
        <f>IF(Nineteenth!I244="", "",Nineteenth!I244)</f>
        <v/>
      </c>
      <c r="J4741" s="66" t="str">
        <f>IF(Nineteenth!J244="", "",Nineteenth!J244)</f>
        <v/>
      </c>
      <c r="K4741" s="86" t="str">
        <f>IF(Nineteenth!K244="", "",Nineteenth!K244)</f>
        <v/>
      </c>
      <c r="M4741" s="67" t="str">
        <f t="shared" si="224"/>
        <v/>
      </c>
      <c r="N4741" s="76" t="str">
        <f t="shared" si="225"/>
        <v/>
      </c>
      <c r="O4741" s="33">
        <f t="shared" si="226"/>
        <v>0</v>
      </c>
    </row>
    <row r="4742" spans="1:15" x14ac:dyDescent="0.25">
      <c r="A4742" s="64" t="s">
        <v>208</v>
      </c>
      <c r="B4742" s="79" t="str">
        <f>IF(Nineteenth!B245="", "",Nineteenth!B245)</f>
        <v/>
      </c>
      <c r="C4742" s="66" t="str">
        <f>IF(Nineteenth!C245="", "",Nineteenth!C245)</f>
        <v/>
      </c>
      <c r="D4742" s="66" t="str">
        <f>IF(Nineteenth!D245="", "",Nineteenth!D245)</f>
        <v/>
      </c>
      <c r="E4742" s="66" t="str">
        <f>IF(Nineteenth!E245="", "",Nineteenth!E245)</f>
        <v/>
      </c>
      <c r="F4742" s="66" t="str">
        <f>IF(Nineteenth!F245="", "",Nineteenth!F245)</f>
        <v/>
      </c>
      <c r="G4742" s="66" t="str">
        <f>IF(Nineteenth!G245="", "",Nineteenth!G245)</f>
        <v/>
      </c>
      <c r="H4742" s="66" t="str">
        <f>IF(Nineteenth!H245="", "",Nineteenth!H245)</f>
        <v/>
      </c>
      <c r="I4742" s="66" t="str">
        <f>IF(Nineteenth!I245="", "",Nineteenth!I245)</f>
        <v/>
      </c>
      <c r="J4742" s="66" t="str">
        <f>IF(Nineteenth!J245="", "",Nineteenth!J245)</f>
        <v/>
      </c>
      <c r="K4742" s="86" t="str">
        <f>IF(Nineteenth!K245="", "",Nineteenth!K245)</f>
        <v/>
      </c>
      <c r="M4742" s="67" t="str">
        <f t="shared" si="224"/>
        <v/>
      </c>
      <c r="N4742" s="76" t="str">
        <f t="shared" si="225"/>
        <v/>
      </c>
      <c r="O4742" s="33">
        <f t="shared" si="226"/>
        <v>0</v>
      </c>
    </row>
    <row r="4743" spans="1:15" x14ac:dyDescent="0.25">
      <c r="A4743" s="64" t="s">
        <v>208</v>
      </c>
      <c r="B4743" s="79" t="str">
        <f>IF(Nineteenth!B246="", "",Nineteenth!B246)</f>
        <v/>
      </c>
      <c r="C4743" s="66" t="str">
        <f>IF(Nineteenth!C246="", "",Nineteenth!C246)</f>
        <v/>
      </c>
      <c r="D4743" s="66" t="str">
        <f>IF(Nineteenth!D246="", "",Nineteenth!D246)</f>
        <v/>
      </c>
      <c r="E4743" s="66" t="str">
        <f>IF(Nineteenth!E246="", "",Nineteenth!E246)</f>
        <v/>
      </c>
      <c r="F4743" s="66" t="str">
        <f>IF(Nineteenth!F246="", "",Nineteenth!F246)</f>
        <v/>
      </c>
      <c r="G4743" s="66" t="str">
        <f>IF(Nineteenth!G246="", "",Nineteenth!G246)</f>
        <v/>
      </c>
      <c r="H4743" s="66" t="str">
        <f>IF(Nineteenth!H246="", "",Nineteenth!H246)</f>
        <v/>
      </c>
      <c r="I4743" s="66" t="str">
        <f>IF(Nineteenth!I246="", "",Nineteenth!I246)</f>
        <v/>
      </c>
      <c r="J4743" s="66" t="str">
        <f>IF(Nineteenth!J246="", "",Nineteenth!J246)</f>
        <v/>
      </c>
      <c r="K4743" s="86" t="str">
        <f>IF(Nineteenth!K246="", "",Nineteenth!K246)</f>
        <v/>
      </c>
      <c r="M4743" s="67" t="str">
        <f t="shared" si="224"/>
        <v/>
      </c>
      <c r="N4743" s="76" t="str">
        <f t="shared" si="225"/>
        <v/>
      </c>
      <c r="O4743" s="33">
        <f t="shared" si="226"/>
        <v>0</v>
      </c>
    </row>
    <row r="4744" spans="1:15" x14ac:dyDescent="0.25">
      <c r="A4744" s="64" t="s">
        <v>208</v>
      </c>
      <c r="B4744" s="79" t="str">
        <f>IF(Nineteenth!B247="", "",Nineteenth!B247)</f>
        <v/>
      </c>
      <c r="C4744" s="66" t="str">
        <f>IF(Nineteenth!C247="", "",Nineteenth!C247)</f>
        <v/>
      </c>
      <c r="D4744" s="66" t="str">
        <f>IF(Nineteenth!D247="", "",Nineteenth!D247)</f>
        <v/>
      </c>
      <c r="E4744" s="66" t="str">
        <f>IF(Nineteenth!E247="", "",Nineteenth!E247)</f>
        <v/>
      </c>
      <c r="F4744" s="66" t="str">
        <f>IF(Nineteenth!F247="", "",Nineteenth!F247)</f>
        <v/>
      </c>
      <c r="G4744" s="66" t="str">
        <f>IF(Nineteenth!G247="", "",Nineteenth!G247)</f>
        <v/>
      </c>
      <c r="H4744" s="66" t="str">
        <f>IF(Nineteenth!H247="", "",Nineteenth!H247)</f>
        <v/>
      </c>
      <c r="I4744" s="66" t="str">
        <f>IF(Nineteenth!I247="", "",Nineteenth!I247)</f>
        <v/>
      </c>
      <c r="J4744" s="66" t="str">
        <f>IF(Nineteenth!J247="", "",Nineteenth!J247)</f>
        <v/>
      </c>
      <c r="K4744" s="86" t="str">
        <f>IF(Nineteenth!K247="", "",Nineteenth!K247)</f>
        <v/>
      </c>
      <c r="M4744" s="67" t="str">
        <f t="shared" si="224"/>
        <v/>
      </c>
      <c r="N4744" s="76" t="str">
        <f t="shared" si="225"/>
        <v/>
      </c>
      <c r="O4744" s="33">
        <f t="shared" si="226"/>
        <v>0</v>
      </c>
    </row>
    <row r="4745" spans="1:15" x14ac:dyDescent="0.25">
      <c r="A4745" s="64" t="s">
        <v>208</v>
      </c>
      <c r="B4745" s="79" t="str">
        <f>IF(Nineteenth!B248="", "",Nineteenth!B248)</f>
        <v/>
      </c>
      <c r="C4745" s="66" t="str">
        <f>IF(Nineteenth!C248="", "",Nineteenth!C248)</f>
        <v/>
      </c>
      <c r="D4745" s="66" t="str">
        <f>IF(Nineteenth!D248="", "",Nineteenth!D248)</f>
        <v/>
      </c>
      <c r="E4745" s="66" t="str">
        <f>IF(Nineteenth!E248="", "",Nineteenth!E248)</f>
        <v/>
      </c>
      <c r="F4745" s="66" t="str">
        <f>IF(Nineteenth!F248="", "",Nineteenth!F248)</f>
        <v/>
      </c>
      <c r="G4745" s="66" t="str">
        <f>IF(Nineteenth!G248="", "",Nineteenth!G248)</f>
        <v/>
      </c>
      <c r="H4745" s="66" t="str">
        <f>IF(Nineteenth!H248="", "",Nineteenth!H248)</f>
        <v/>
      </c>
      <c r="I4745" s="66" t="str">
        <f>IF(Nineteenth!I248="", "",Nineteenth!I248)</f>
        <v/>
      </c>
      <c r="J4745" s="66" t="str">
        <f>IF(Nineteenth!J248="", "",Nineteenth!J248)</f>
        <v/>
      </c>
      <c r="K4745" s="86" t="str">
        <f>IF(Nineteenth!K248="", "",Nineteenth!K248)</f>
        <v/>
      </c>
      <c r="M4745" s="67" t="str">
        <f t="shared" si="224"/>
        <v/>
      </c>
      <c r="N4745" s="76" t="str">
        <f t="shared" si="225"/>
        <v/>
      </c>
      <c r="O4745" s="33">
        <f t="shared" si="226"/>
        <v>0</v>
      </c>
    </row>
    <row r="4746" spans="1:15" x14ac:dyDescent="0.25">
      <c r="A4746" s="64" t="s">
        <v>208</v>
      </c>
      <c r="B4746" s="79" t="str">
        <f>IF(Nineteenth!B249="", "",Nineteenth!B249)</f>
        <v/>
      </c>
      <c r="C4746" s="66" t="str">
        <f>IF(Nineteenth!C249="", "",Nineteenth!C249)</f>
        <v/>
      </c>
      <c r="D4746" s="66" t="str">
        <f>IF(Nineteenth!D249="", "",Nineteenth!D249)</f>
        <v/>
      </c>
      <c r="E4746" s="66" t="str">
        <f>IF(Nineteenth!E249="", "",Nineteenth!E249)</f>
        <v/>
      </c>
      <c r="F4746" s="66" t="str">
        <f>IF(Nineteenth!F249="", "",Nineteenth!F249)</f>
        <v/>
      </c>
      <c r="G4746" s="66" t="str">
        <f>IF(Nineteenth!G249="", "",Nineteenth!G249)</f>
        <v/>
      </c>
      <c r="H4746" s="66" t="str">
        <f>IF(Nineteenth!H249="", "",Nineteenth!H249)</f>
        <v/>
      </c>
      <c r="I4746" s="66" t="str">
        <f>IF(Nineteenth!I249="", "",Nineteenth!I249)</f>
        <v/>
      </c>
      <c r="J4746" s="66" t="str">
        <f>IF(Nineteenth!J249="", "",Nineteenth!J249)</f>
        <v/>
      </c>
      <c r="K4746" s="86" t="str">
        <f>IF(Nineteenth!K249="", "",Nineteenth!K249)</f>
        <v/>
      </c>
      <c r="M4746" s="67" t="str">
        <f t="shared" si="224"/>
        <v/>
      </c>
      <c r="N4746" s="76" t="str">
        <f t="shared" si="225"/>
        <v/>
      </c>
      <c r="O4746" s="33">
        <f t="shared" si="226"/>
        <v>0</v>
      </c>
    </row>
    <row r="4747" spans="1:15" x14ac:dyDescent="0.25">
      <c r="A4747" s="64" t="s">
        <v>208</v>
      </c>
      <c r="B4747" s="79" t="str">
        <f>IF(Nineteenth!B250="", "",Nineteenth!B250)</f>
        <v/>
      </c>
      <c r="C4747" s="66" t="str">
        <f>IF(Nineteenth!C250="", "",Nineteenth!C250)</f>
        <v/>
      </c>
      <c r="D4747" s="66" t="str">
        <f>IF(Nineteenth!D250="", "",Nineteenth!D250)</f>
        <v/>
      </c>
      <c r="E4747" s="66" t="str">
        <f>IF(Nineteenth!E250="", "",Nineteenth!E250)</f>
        <v/>
      </c>
      <c r="F4747" s="66" t="str">
        <f>IF(Nineteenth!F250="", "",Nineteenth!F250)</f>
        <v/>
      </c>
      <c r="G4747" s="66" t="str">
        <f>IF(Nineteenth!G250="", "",Nineteenth!G250)</f>
        <v/>
      </c>
      <c r="H4747" s="66" t="str">
        <f>IF(Nineteenth!H250="", "",Nineteenth!H250)</f>
        <v/>
      </c>
      <c r="I4747" s="66" t="str">
        <f>IF(Nineteenth!I250="", "",Nineteenth!I250)</f>
        <v/>
      </c>
      <c r="J4747" s="66" t="str">
        <f>IF(Nineteenth!J250="", "",Nineteenth!J250)</f>
        <v/>
      </c>
      <c r="K4747" s="86" t="str">
        <f>IF(Nineteenth!K250="", "",Nineteenth!K250)</f>
        <v/>
      </c>
      <c r="M4747" s="67" t="str">
        <f t="shared" si="224"/>
        <v/>
      </c>
      <c r="N4747" s="76" t="str">
        <f t="shared" si="225"/>
        <v/>
      </c>
      <c r="O4747" s="33">
        <f t="shared" si="226"/>
        <v>0</v>
      </c>
    </row>
    <row r="4748" spans="1:15" x14ac:dyDescent="0.25">
      <c r="A4748" s="64" t="s">
        <v>208</v>
      </c>
      <c r="B4748" s="79" t="str">
        <f>IF(Nineteenth!B251="", "",Nineteenth!B251)</f>
        <v/>
      </c>
      <c r="C4748" s="66" t="str">
        <f>IF(Nineteenth!C251="", "",Nineteenth!C251)</f>
        <v/>
      </c>
      <c r="D4748" s="66" t="str">
        <f>IF(Nineteenth!D251="", "",Nineteenth!D251)</f>
        <v/>
      </c>
      <c r="E4748" s="66" t="str">
        <f>IF(Nineteenth!E251="", "",Nineteenth!E251)</f>
        <v/>
      </c>
      <c r="F4748" s="66" t="str">
        <f>IF(Nineteenth!F251="", "",Nineteenth!F251)</f>
        <v/>
      </c>
      <c r="G4748" s="66" t="str">
        <f>IF(Nineteenth!G251="", "",Nineteenth!G251)</f>
        <v/>
      </c>
      <c r="H4748" s="66" t="str">
        <f>IF(Nineteenth!H251="", "",Nineteenth!H251)</f>
        <v/>
      </c>
      <c r="I4748" s="66" t="str">
        <f>IF(Nineteenth!I251="", "",Nineteenth!I251)</f>
        <v/>
      </c>
      <c r="J4748" s="66" t="str">
        <f>IF(Nineteenth!J251="", "",Nineteenth!J251)</f>
        <v/>
      </c>
      <c r="K4748" s="86" t="str">
        <f>IF(Nineteenth!K251="", "",Nineteenth!K251)</f>
        <v/>
      </c>
      <c r="M4748" s="67" t="str">
        <f t="shared" si="224"/>
        <v/>
      </c>
      <c r="N4748" s="76" t="str">
        <f t="shared" si="225"/>
        <v/>
      </c>
      <c r="O4748" s="33">
        <f t="shared" si="226"/>
        <v>0</v>
      </c>
    </row>
    <row r="4749" spans="1:15" x14ac:dyDescent="0.25">
      <c r="A4749" s="64" t="s">
        <v>208</v>
      </c>
      <c r="B4749" s="79" t="str">
        <f>IF(Nineteenth!B252="", "",Nineteenth!B252)</f>
        <v/>
      </c>
      <c r="C4749" s="66" t="str">
        <f>IF(Nineteenth!C252="", "",Nineteenth!C252)</f>
        <v/>
      </c>
      <c r="D4749" s="66" t="str">
        <f>IF(Nineteenth!D252="", "",Nineteenth!D252)</f>
        <v/>
      </c>
      <c r="E4749" s="66" t="str">
        <f>IF(Nineteenth!E252="", "",Nineteenth!E252)</f>
        <v/>
      </c>
      <c r="F4749" s="66" t="str">
        <f>IF(Nineteenth!F252="", "",Nineteenth!F252)</f>
        <v/>
      </c>
      <c r="G4749" s="66" t="str">
        <f>IF(Nineteenth!G252="", "",Nineteenth!G252)</f>
        <v/>
      </c>
      <c r="H4749" s="66" t="str">
        <f>IF(Nineteenth!H252="", "",Nineteenth!H252)</f>
        <v/>
      </c>
      <c r="I4749" s="66" t="str">
        <f>IF(Nineteenth!I252="", "",Nineteenth!I252)</f>
        <v/>
      </c>
      <c r="J4749" s="66" t="str">
        <f>IF(Nineteenth!J252="", "",Nineteenth!J252)</f>
        <v/>
      </c>
      <c r="K4749" s="86" t="str">
        <f>IF(Nineteenth!K252="", "",Nineteenth!K252)</f>
        <v/>
      </c>
      <c r="M4749" s="67" t="str">
        <f t="shared" si="224"/>
        <v/>
      </c>
      <c r="N4749" s="76" t="str">
        <f t="shared" si="225"/>
        <v/>
      </c>
      <c r="O4749" s="33">
        <f t="shared" si="226"/>
        <v>0</v>
      </c>
    </row>
    <row r="4750" spans="1:15" x14ac:dyDescent="0.25">
      <c r="A4750" s="64" t="s">
        <v>208</v>
      </c>
      <c r="B4750" s="79" t="str">
        <f>IF(Nineteenth!B253="", "",Nineteenth!B253)</f>
        <v/>
      </c>
      <c r="C4750" s="66" t="str">
        <f>IF(Nineteenth!C253="", "",Nineteenth!C253)</f>
        <v/>
      </c>
      <c r="D4750" s="66" t="str">
        <f>IF(Nineteenth!D253="", "",Nineteenth!D253)</f>
        <v/>
      </c>
      <c r="E4750" s="66" t="str">
        <f>IF(Nineteenth!E253="", "",Nineteenth!E253)</f>
        <v/>
      </c>
      <c r="F4750" s="66" t="str">
        <f>IF(Nineteenth!F253="", "",Nineteenth!F253)</f>
        <v/>
      </c>
      <c r="G4750" s="66" t="str">
        <f>IF(Nineteenth!G253="", "",Nineteenth!G253)</f>
        <v/>
      </c>
      <c r="H4750" s="66" t="str">
        <f>IF(Nineteenth!H253="", "",Nineteenth!H253)</f>
        <v/>
      </c>
      <c r="I4750" s="66" t="str">
        <f>IF(Nineteenth!I253="", "",Nineteenth!I253)</f>
        <v/>
      </c>
      <c r="J4750" s="66" t="str">
        <f>IF(Nineteenth!J253="", "",Nineteenth!J253)</f>
        <v/>
      </c>
      <c r="K4750" s="86" t="str">
        <f>IF(Nineteenth!K253="", "",Nineteenth!K253)</f>
        <v/>
      </c>
      <c r="M4750" s="67" t="str">
        <f t="shared" si="224"/>
        <v/>
      </c>
      <c r="N4750" s="76" t="str">
        <f t="shared" si="225"/>
        <v/>
      </c>
      <c r="O4750" s="33">
        <f t="shared" si="226"/>
        <v>0</v>
      </c>
    </row>
    <row r="4751" spans="1:15" ht="15.75" thickBot="1" x14ac:dyDescent="0.3">
      <c r="A4751" s="68" t="s">
        <v>208</v>
      </c>
      <c r="B4751" s="80" t="str">
        <f>IF(Nineteenth!B254="", "",Nineteenth!B254)</f>
        <v/>
      </c>
      <c r="C4751" s="70" t="str">
        <f>IF(Nineteenth!C254="", "",Nineteenth!C254)</f>
        <v/>
      </c>
      <c r="D4751" s="70" t="str">
        <f>IF(Nineteenth!D254="", "",Nineteenth!D254)</f>
        <v/>
      </c>
      <c r="E4751" s="70" t="str">
        <f>IF(Nineteenth!E254="", "",Nineteenth!E254)</f>
        <v/>
      </c>
      <c r="F4751" s="70" t="str">
        <f>IF(Nineteenth!F254="", "",Nineteenth!F254)</f>
        <v/>
      </c>
      <c r="G4751" s="70" t="str">
        <f>IF(Nineteenth!G254="", "",Nineteenth!G254)</f>
        <v/>
      </c>
      <c r="H4751" s="70" t="str">
        <f>IF(Nineteenth!H254="", "",Nineteenth!H254)</f>
        <v/>
      </c>
      <c r="I4751" s="70" t="str">
        <f>IF(Nineteenth!I254="", "",Nineteenth!I254)</f>
        <v/>
      </c>
      <c r="J4751" s="70" t="str">
        <f>IF(Nineteenth!J254="", "",Nineteenth!J254)</f>
        <v/>
      </c>
      <c r="K4751" s="90" t="str">
        <f>IF(Nineteenth!K254="", "",Nineteenth!K254)</f>
        <v/>
      </c>
      <c r="L4751" s="91"/>
      <c r="M4751" s="71" t="str">
        <f t="shared" si="224"/>
        <v/>
      </c>
      <c r="N4751" s="77" t="str">
        <f t="shared" si="225"/>
        <v/>
      </c>
      <c r="O4751" s="33">
        <f t="shared" si="226"/>
        <v>0</v>
      </c>
    </row>
    <row r="4752" spans="1:15" x14ac:dyDescent="0.25">
      <c r="A4752" s="64" t="s">
        <v>209</v>
      </c>
      <c r="B4752" s="79" t="str">
        <f>IF(Twentieth!B5="", "",Twentieth!B5)</f>
        <v>CSS</v>
      </c>
      <c r="C4752" s="66" t="str">
        <f>IF(Twentieth!C5="", "",Twentieth!C5)</f>
        <v>PwC</v>
      </c>
      <c r="D4752" s="66" t="str">
        <f>IF(Twentieth!D5="", "",Twentieth!D5)</f>
        <v>Returning</v>
      </c>
      <c r="E4752" s="66" t="str">
        <f>IF(Twentieth!E5="", "",Twentieth!E5)</f>
        <v>Female</v>
      </c>
      <c r="F4752" s="66" t="str">
        <f>IF(Twentieth!F5="", "",Twentieth!F5)</f>
        <v>Breast</v>
      </c>
      <c r="G4752" s="66" t="str">
        <f>IF(Twentieth!G5="", "",Twentieth!G5)</f>
        <v>Curative Intent</v>
      </c>
      <c r="H4752" s="66" t="str">
        <f>IF(Twentieth!H5="", "",Twentieth!H5)</f>
        <v>Booked</v>
      </c>
      <c r="I4752" s="66" t="str">
        <f>IF(Twentieth!I5="", "",Twentieth!I5)</f>
        <v>Psych Support - Couple</v>
      </c>
      <c r="J4752" s="66" t="str">
        <f>IF(Twentieth!J5="", "",Twentieth!J5)</f>
        <v/>
      </c>
      <c r="K4752" s="86" t="str">
        <f>IF(Twentieth!K5="", "",Twentieth!K5)</f>
        <v/>
      </c>
      <c r="M4752" s="67">
        <f t="shared" si="224"/>
        <v>7</v>
      </c>
      <c r="N4752" s="76" t="str">
        <f t="shared" si="225"/>
        <v/>
      </c>
      <c r="O4752" s="33">
        <f t="shared" si="226"/>
        <v>7</v>
      </c>
    </row>
    <row r="4753" spans="1:15" x14ac:dyDescent="0.25">
      <c r="A4753" s="64" t="s">
        <v>209</v>
      </c>
      <c r="B4753" s="79" t="str">
        <f>IF(Twentieth!B6="", "",Twentieth!B6)</f>
        <v>CSS</v>
      </c>
      <c r="C4753" s="66" t="str">
        <f>IF(Twentieth!C6="", "",Twentieth!C6)</f>
        <v>Carer</v>
      </c>
      <c r="D4753" s="66" t="str">
        <f>IF(Twentieth!D6="", "",Twentieth!D6)</f>
        <v>Returning</v>
      </c>
      <c r="E4753" s="66" t="str">
        <f>IF(Twentieth!E6="", "",Twentieth!E6)</f>
        <v>Male</v>
      </c>
      <c r="F4753" s="66" t="str">
        <f>IF(Twentieth!F6="", "",Twentieth!F6)</f>
        <v>Breast</v>
      </c>
      <c r="G4753" s="66" t="str">
        <f>IF(Twentieth!G6="", "",Twentieth!G6)</f>
        <v>Curative Intent</v>
      </c>
      <c r="H4753" s="66" t="str">
        <f>IF(Twentieth!H6="", "",Twentieth!H6)</f>
        <v>Booked</v>
      </c>
      <c r="I4753" s="66" t="str">
        <f>IF(Twentieth!I6="", "",Twentieth!I6)</f>
        <v>Psych Support - Couple</v>
      </c>
      <c r="J4753" s="66" t="str">
        <f>IF(Twentieth!J6="", "",Twentieth!J6)</f>
        <v/>
      </c>
      <c r="K4753" s="86" t="str">
        <f>IF(Twentieth!K6="", "",Twentieth!K6)</f>
        <v/>
      </c>
      <c r="M4753" s="67" t="str">
        <f t="shared" si="224"/>
        <v/>
      </c>
      <c r="N4753" s="76">
        <f t="shared" si="225"/>
        <v>7</v>
      </c>
      <c r="O4753" s="33">
        <f t="shared" si="226"/>
        <v>7</v>
      </c>
    </row>
    <row r="4754" spans="1:15" x14ac:dyDescent="0.25">
      <c r="A4754" s="64" t="s">
        <v>209</v>
      </c>
      <c r="B4754" s="79" t="str">
        <f>IF(Twentieth!B7="", "",Twentieth!B7)</f>
        <v>CSS</v>
      </c>
      <c r="C4754" s="66" t="str">
        <f>IF(Twentieth!C7="", "",Twentieth!C7)</f>
        <v>Carer</v>
      </c>
      <c r="D4754" s="66" t="str">
        <f>IF(Twentieth!D7="", "",Twentieth!D7)</f>
        <v>New</v>
      </c>
      <c r="E4754" s="66" t="str">
        <f>IF(Twentieth!E7="", "",Twentieth!E7)</f>
        <v>Female</v>
      </c>
      <c r="F4754" s="66" t="str">
        <f>IF(Twentieth!F7="", "",Twentieth!F7)</f>
        <v>Haemat</v>
      </c>
      <c r="G4754" s="66" t="str">
        <f>IF(Twentieth!G7="", "",Twentieth!G7)</f>
        <v>Curative Intent</v>
      </c>
      <c r="H4754" s="66" t="str">
        <f>IF(Twentieth!H7="", "",Twentieth!H7)</f>
        <v>Drop-In</v>
      </c>
      <c r="I4754" s="66" t="str">
        <f>IF(Twentieth!I7="", "",Twentieth!I7)</f>
        <v/>
      </c>
      <c r="J4754" s="66" t="str">
        <f>IF(Twentieth!J7="", "",Twentieth!J7)</f>
        <v/>
      </c>
      <c r="K4754" s="86" t="str">
        <f>IF(Twentieth!K7="", "",Twentieth!K7)</f>
        <v/>
      </c>
      <c r="M4754" s="67" t="str">
        <f t="shared" si="224"/>
        <v/>
      </c>
      <c r="N4754" s="76">
        <f t="shared" si="225"/>
        <v>7</v>
      </c>
      <c r="O4754" s="33">
        <f t="shared" si="226"/>
        <v>7</v>
      </c>
    </row>
    <row r="4755" spans="1:15" x14ac:dyDescent="0.25">
      <c r="A4755" s="64" t="s">
        <v>209</v>
      </c>
      <c r="B4755" s="79" t="str">
        <f>IF(Twentieth!B8="", "",Twentieth!B8)</f>
        <v>CSS</v>
      </c>
      <c r="C4755" s="66" t="str">
        <f>IF(Twentieth!C8="", "",Twentieth!C8)</f>
        <v>PwC</v>
      </c>
      <c r="D4755" s="66" t="str">
        <f>IF(Twentieth!D8="", "",Twentieth!D8)</f>
        <v>Returning</v>
      </c>
      <c r="E4755" s="66" t="str">
        <f>IF(Twentieth!E8="", "",Twentieth!E8)</f>
        <v>Female</v>
      </c>
      <c r="F4755" s="66" t="str">
        <f>IF(Twentieth!F8="", "",Twentieth!F8)</f>
        <v>Breast</v>
      </c>
      <c r="G4755" s="66" t="str">
        <f>IF(Twentieth!G8="", "",Twentieth!G8)</f>
        <v>Curative Intent</v>
      </c>
      <c r="H4755" s="66" t="str">
        <f>IF(Twentieth!H8="", "",Twentieth!H8)</f>
        <v>Drop-In</v>
      </c>
      <c r="I4755" s="66" t="str">
        <f>IF(Twentieth!I8="", "",Twentieth!I8)</f>
        <v/>
      </c>
      <c r="J4755" s="66" t="str">
        <f>IF(Twentieth!J8="", "",Twentieth!J8)</f>
        <v/>
      </c>
      <c r="K4755" s="86" t="str">
        <f>IF(Twentieth!K8="", "",Twentieth!K8)</f>
        <v/>
      </c>
      <c r="M4755" s="67">
        <f t="shared" si="224"/>
        <v>7</v>
      </c>
      <c r="N4755" s="76" t="str">
        <f t="shared" si="225"/>
        <v/>
      </c>
      <c r="O4755" s="33">
        <f t="shared" si="226"/>
        <v>7</v>
      </c>
    </row>
    <row r="4756" spans="1:15" x14ac:dyDescent="0.25">
      <c r="A4756" s="64" t="s">
        <v>209</v>
      </c>
      <c r="B4756" s="79" t="str">
        <f>IF(Twentieth!B9="", "",Twentieth!B9)</f>
        <v>CSS</v>
      </c>
      <c r="C4756" s="66" t="str">
        <f>IF(Twentieth!C9="", "",Twentieth!C9)</f>
        <v>PwC</v>
      </c>
      <c r="D4756" s="66" t="str">
        <f>IF(Twentieth!D9="", "",Twentieth!D9)</f>
        <v>New</v>
      </c>
      <c r="E4756" s="66" t="str">
        <f>IF(Twentieth!E9="", "",Twentieth!E9)</f>
        <v>Female</v>
      </c>
      <c r="F4756" s="66" t="str">
        <f>IF(Twentieth!F9="", "",Twentieth!F9)</f>
        <v>Breast</v>
      </c>
      <c r="G4756" s="66" t="str">
        <f>IF(Twentieth!G9="", "",Twentieth!G9)</f>
        <v>Curative Intent</v>
      </c>
      <c r="H4756" s="66" t="str">
        <f>IF(Twentieth!H9="", "",Twentieth!H9)</f>
        <v>Drop-In</v>
      </c>
      <c r="I4756" s="66" t="str">
        <f>IF(Twentieth!I9="", "",Twentieth!I9)</f>
        <v/>
      </c>
      <c r="J4756" s="66" t="str">
        <f>IF(Twentieth!J9="", "",Twentieth!J9)</f>
        <v/>
      </c>
      <c r="K4756" s="86" t="str">
        <f>IF(Twentieth!K9="", "",Twentieth!K9)</f>
        <v/>
      </c>
      <c r="M4756" s="67">
        <f t="shared" si="224"/>
        <v>7</v>
      </c>
      <c r="N4756" s="76" t="str">
        <f t="shared" si="225"/>
        <v/>
      </c>
      <c r="O4756" s="33">
        <f t="shared" si="226"/>
        <v>7</v>
      </c>
    </row>
    <row r="4757" spans="1:15" x14ac:dyDescent="0.25">
      <c r="A4757" s="64" t="s">
        <v>209</v>
      </c>
      <c r="B4757" s="79" t="str">
        <f>IF(Twentieth!B10="", "",Twentieth!B10)</f>
        <v>Sessional Staff</v>
      </c>
      <c r="C4757" s="66" t="str">
        <f>IF(Twentieth!C10="", "",Twentieth!C10)</f>
        <v>PwC</v>
      </c>
      <c r="D4757" s="66" t="str">
        <f>IF(Twentieth!D10="", "",Twentieth!D10)</f>
        <v>Returning</v>
      </c>
      <c r="E4757" s="66" t="str">
        <f>IF(Twentieth!E10="", "",Twentieth!E10)</f>
        <v>Female</v>
      </c>
      <c r="F4757" s="66" t="str">
        <f>IF(Twentieth!F10="", "",Twentieth!F10)</f>
        <v>Lower GI</v>
      </c>
      <c r="G4757" s="66" t="str">
        <f>IF(Twentieth!G10="", "",Twentieth!G10)</f>
        <v>Non-Curative Intent</v>
      </c>
      <c r="H4757" s="66" t="str">
        <f>IF(Twentieth!H10="", "",Twentieth!H10)</f>
        <v>Programme</v>
      </c>
      <c r="I4757" s="66" t="str">
        <f>IF(Twentieth!I10="", "",Twentieth!I10)</f>
        <v>Nutrition</v>
      </c>
      <c r="J4757" s="66" t="str">
        <f>IF(Twentieth!J10="", "",Twentieth!J10)</f>
        <v>Psych Support - Couple</v>
      </c>
      <c r="K4757" s="86" t="str">
        <f>IF(Twentieth!K10="", "",Twentieth!K10)</f>
        <v>Expressive art</v>
      </c>
      <c r="M4757" s="67">
        <f t="shared" si="224"/>
        <v>7</v>
      </c>
      <c r="N4757" s="76" t="str">
        <f t="shared" si="225"/>
        <v/>
      </c>
      <c r="O4757" s="33">
        <f t="shared" si="226"/>
        <v>7</v>
      </c>
    </row>
    <row r="4758" spans="1:15" x14ac:dyDescent="0.25">
      <c r="A4758" s="64" t="s">
        <v>209</v>
      </c>
      <c r="B4758" s="79" t="str">
        <f>IF(Twentieth!B11="", "",Twentieth!B11)</f>
        <v>Sessional Staff</v>
      </c>
      <c r="C4758" s="66" t="str">
        <f>IF(Twentieth!C11="", "",Twentieth!C11)</f>
        <v>Carer</v>
      </c>
      <c r="D4758" s="66" t="str">
        <f>IF(Twentieth!D11="", "",Twentieth!D11)</f>
        <v>New</v>
      </c>
      <c r="E4758" s="66" t="str">
        <f>IF(Twentieth!E11="", "",Twentieth!E11)</f>
        <v>Male</v>
      </c>
      <c r="F4758" s="66" t="str">
        <f>IF(Twentieth!F11="", "",Twentieth!F11)</f>
        <v>Lower GI</v>
      </c>
      <c r="G4758" s="66" t="str">
        <f>IF(Twentieth!G11="", "",Twentieth!G11)</f>
        <v>Non-Curative Intent</v>
      </c>
      <c r="H4758" s="66" t="str">
        <f>IF(Twentieth!H11="", "",Twentieth!H11)</f>
        <v>Programme</v>
      </c>
      <c r="I4758" s="66" t="str">
        <f>IF(Twentieth!I11="", "",Twentieth!I11)</f>
        <v>Nutrition</v>
      </c>
      <c r="J4758" s="66" t="str">
        <f>IF(Twentieth!J11="", "",Twentieth!J11)</f>
        <v>Psych Support - Couple</v>
      </c>
      <c r="K4758" s="86" t="str">
        <f>IF(Twentieth!K11="", "",Twentieth!K11)</f>
        <v>Expressive art</v>
      </c>
      <c r="M4758" s="67" t="str">
        <f t="shared" si="224"/>
        <v/>
      </c>
      <c r="N4758" s="76">
        <f t="shared" si="225"/>
        <v>7</v>
      </c>
      <c r="O4758" s="33">
        <f t="shared" si="226"/>
        <v>7</v>
      </c>
    </row>
    <row r="4759" spans="1:15" x14ac:dyDescent="0.25">
      <c r="A4759" s="64" t="s">
        <v>209</v>
      </c>
      <c r="B4759" s="79" t="str">
        <f>IF(Twentieth!B12="", "",Twentieth!B12)</f>
        <v>Psychologist</v>
      </c>
      <c r="C4759" s="66" t="str">
        <f>IF(Twentieth!C12="", "",Twentieth!C12)</f>
        <v>PwC</v>
      </c>
      <c r="D4759" s="66" t="str">
        <f>IF(Twentieth!D12="", "",Twentieth!D12)</f>
        <v>Returning</v>
      </c>
      <c r="E4759" s="66" t="str">
        <f>IF(Twentieth!E12="", "",Twentieth!E12)</f>
        <v>Female</v>
      </c>
      <c r="F4759" s="66" t="str">
        <f>IF(Twentieth!F12="", "",Twentieth!F12)</f>
        <v>Breast</v>
      </c>
      <c r="G4759" s="66" t="str">
        <f>IF(Twentieth!G12="", "",Twentieth!G12)</f>
        <v>Post Treatment - Curative Intent</v>
      </c>
      <c r="H4759" s="66" t="str">
        <f>IF(Twentieth!H12="", "",Twentieth!H12)</f>
        <v>Programme</v>
      </c>
      <c r="I4759" s="66" t="str">
        <f>IF(Twentieth!I12="", "",Twentieth!I12)</f>
        <v>Where Now?</v>
      </c>
      <c r="J4759" s="66" t="str">
        <f>IF(Twentieth!J12="", "",Twentieth!J12)</f>
        <v>Psych Support - Couple</v>
      </c>
      <c r="K4759" s="86" t="str">
        <f>IF(Twentieth!K12="", "",Twentieth!K12)</f>
        <v>Expressive art</v>
      </c>
      <c r="M4759" s="67">
        <f t="shared" si="224"/>
        <v>7</v>
      </c>
      <c r="N4759" s="76" t="str">
        <f t="shared" si="225"/>
        <v/>
      </c>
      <c r="O4759" s="33">
        <f t="shared" si="226"/>
        <v>7</v>
      </c>
    </row>
    <row r="4760" spans="1:15" x14ac:dyDescent="0.25">
      <c r="A4760" s="64" t="s">
        <v>209</v>
      </c>
      <c r="B4760" s="79" t="str">
        <f>IF(Twentieth!B13="", "",Twentieth!B13)</f>
        <v>Psychologist</v>
      </c>
      <c r="C4760" s="66" t="str">
        <f>IF(Twentieth!C13="", "",Twentieth!C13)</f>
        <v>PwC</v>
      </c>
      <c r="D4760" s="66" t="str">
        <f>IF(Twentieth!D13="", "",Twentieth!D13)</f>
        <v>Returning</v>
      </c>
      <c r="E4760" s="66" t="str">
        <f>IF(Twentieth!E13="", "",Twentieth!E13)</f>
        <v>Female</v>
      </c>
      <c r="F4760" s="66" t="str">
        <f>IF(Twentieth!F13="", "",Twentieth!F13)</f>
        <v>Breast</v>
      </c>
      <c r="G4760" s="66" t="str">
        <f>IF(Twentieth!G13="", "",Twentieth!G13)</f>
        <v>Post Treatment - Curative Intent</v>
      </c>
      <c r="H4760" s="66" t="str">
        <f>IF(Twentieth!H13="", "",Twentieth!H13)</f>
        <v>Programme</v>
      </c>
      <c r="I4760" s="66" t="str">
        <f>IF(Twentieth!I13="", "",Twentieth!I13)</f>
        <v>Where Now?</v>
      </c>
      <c r="J4760" s="66" t="str">
        <f>IF(Twentieth!J13="", "",Twentieth!J13)</f>
        <v>Psych Support - Couple</v>
      </c>
      <c r="K4760" s="86" t="str">
        <f>IF(Twentieth!K13="", "",Twentieth!K13)</f>
        <v>Expressive art</v>
      </c>
      <c r="M4760" s="67">
        <f t="shared" si="224"/>
        <v>7</v>
      </c>
      <c r="N4760" s="76" t="str">
        <f t="shared" si="225"/>
        <v/>
      </c>
      <c r="O4760" s="33">
        <f t="shared" si="226"/>
        <v>7</v>
      </c>
    </row>
    <row r="4761" spans="1:15" x14ac:dyDescent="0.25">
      <c r="A4761" s="64" t="s">
        <v>209</v>
      </c>
      <c r="B4761" s="79" t="str">
        <f>IF(Twentieth!B14="", "",Twentieth!B14)</f>
        <v>Psychologist</v>
      </c>
      <c r="C4761" s="66" t="str">
        <f>IF(Twentieth!C14="", "",Twentieth!C14)</f>
        <v>PwC</v>
      </c>
      <c r="D4761" s="66" t="str">
        <f>IF(Twentieth!D14="", "",Twentieth!D14)</f>
        <v>Returning</v>
      </c>
      <c r="E4761" s="66" t="str">
        <f>IF(Twentieth!E14="", "",Twentieth!E14)</f>
        <v>Female</v>
      </c>
      <c r="F4761" s="66" t="str">
        <f>IF(Twentieth!F14="", "",Twentieth!F14)</f>
        <v>Breast</v>
      </c>
      <c r="G4761" s="66" t="str">
        <f>IF(Twentieth!G14="", "",Twentieth!G14)</f>
        <v>Post Treatment - Curative Intent</v>
      </c>
      <c r="H4761" s="66" t="str">
        <f>IF(Twentieth!H14="", "",Twentieth!H14)</f>
        <v>Programme</v>
      </c>
      <c r="I4761" s="66" t="str">
        <f>IF(Twentieth!I14="", "",Twentieth!I14)</f>
        <v>Where Now?</v>
      </c>
      <c r="J4761" s="66" t="str">
        <f>IF(Twentieth!J14="", "",Twentieth!J14)</f>
        <v>Psych Support - Couple</v>
      </c>
      <c r="K4761" s="86" t="str">
        <f>IF(Twentieth!K14="", "",Twentieth!K14)</f>
        <v>Expressive art</v>
      </c>
      <c r="M4761" s="67">
        <f t="shared" si="224"/>
        <v>7</v>
      </c>
      <c r="N4761" s="76" t="str">
        <f t="shared" si="225"/>
        <v/>
      </c>
      <c r="O4761" s="33">
        <f t="shared" si="226"/>
        <v>7</v>
      </c>
    </row>
    <row r="4762" spans="1:15" x14ac:dyDescent="0.25">
      <c r="A4762" s="64" t="s">
        <v>209</v>
      </c>
      <c r="B4762" s="79" t="str">
        <f>IF(Twentieth!B15="", "",Twentieth!B15)</f>
        <v>Psychologist</v>
      </c>
      <c r="C4762" s="66" t="str">
        <f>IF(Twentieth!C15="", "",Twentieth!C15)</f>
        <v>PwC</v>
      </c>
      <c r="D4762" s="66" t="str">
        <f>IF(Twentieth!D15="", "",Twentieth!D15)</f>
        <v>Returning</v>
      </c>
      <c r="E4762" s="66" t="str">
        <f>IF(Twentieth!E15="", "",Twentieth!E15)</f>
        <v>Female</v>
      </c>
      <c r="F4762" s="66" t="str">
        <f>IF(Twentieth!F15="", "",Twentieth!F15)</f>
        <v>Breast</v>
      </c>
      <c r="G4762" s="66" t="str">
        <f>IF(Twentieth!G15="", "",Twentieth!G15)</f>
        <v>Post Treatment - Curative Intent</v>
      </c>
      <c r="H4762" s="66" t="str">
        <f>IF(Twentieth!H15="", "",Twentieth!H15)</f>
        <v>Programme</v>
      </c>
      <c r="I4762" s="66" t="str">
        <f>IF(Twentieth!I15="", "",Twentieth!I15)</f>
        <v>Where Now?</v>
      </c>
      <c r="J4762" s="66" t="str">
        <f>IF(Twentieth!J15="", "",Twentieth!J15)</f>
        <v>Psych Support - Couple</v>
      </c>
      <c r="K4762" s="86" t="str">
        <f>IF(Twentieth!K15="", "",Twentieth!K15)</f>
        <v>Expressive art</v>
      </c>
      <c r="M4762" s="67">
        <f t="shared" si="224"/>
        <v>7</v>
      </c>
      <c r="N4762" s="76" t="str">
        <f t="shared" si="225"/>
        <v/>
      </c>
      <c r="O4762" s="33">
        <f t="shared" si="226"/>
        <v>7</v>
      </c>
    </row>
    <row r="4763" spans="1:15" x14ac:dyDescent="0.25">
      <c r="A4763" s="64" t="s">
        <v>209</v>
      </c>
      <c r="B4763" s="79" t="str">
        <f>IF(Twentieth!B16="", "",Twentieth!B16)</f>
        <v>Psychologist</v>
      </c>
      <c r="C4763" s="66" t="str">
        <f>IF(Twentieth!C16="", "",Twentieth!C16)</f>
        <v>PwC</v>
      </c>
      <c r="D4763" s="66" t="str">
        <f>IF(Twentieth!D16="", "",Twentieth!D16)</f>
        <v>Returning</v>
      </c>
      <c r="E4763" s="66" t="str">
        <f>IF(Twentieth!E16="", "",Twentieth!E16)</f>
        <v>Female</v>
      </c>
      <c r="F4763" s="66" t="str">
        <f>IF(Twentieth!F16="", "",Twentieth!F16)</f>
        <v>Breast</v>
      </c>
      <c r="G4763" s="66" t="str">
        <f>IF(Twentieth!G16="", "",Twentieth!G16)</f>
        <v>Post Treatment - Curative Intent</v>
      </c>
      <c r="H4763" s="66" t="str">
        <f>IF(Twentieth!H16="", "",Twentieth!H16)</f>
        <v>Programme</v>
      </c>
      <c r="I4763" s="66" t="str">
        <f>IF(Twentieth!I16="", "",Twentieth!I16)</f>
        <v>Where Now?</v>
      </c>
      <c r="J4763" s="66" t="str">
        <f>IF(Twentieth!J16="", "",Twentieth!J16)</f>
        <v>Psych Support - Couple</v>
      </c>
      <c r="K4763" s="86" t="str">
        <f>IF(Twentieth!K16="", "",Twentieth!K16)</f>
        <v>Expressive art</v>
      </c>
      <c r="M4763" s="67">
        <f t="shared" si="224"/>
        <v>7</v>
      </c>
      <c r="N4763" s="76" t="str">
        <f t="shared" si="225"/>
        <v/>
      </c>
      <c r="O4763" s="33">
        <f t="shared" si="226"/>
        <v>7</v>
      </c>
    </row>
    <row r="4764" spans="1:15" x14ac:dyDescent="0.25">
      <c r="A4764" s="64" t="s">
        <v>209</v>
      </c>
      <c r="B4764" s="79" t="str">
        <f>IF(Twentieth!B17="", "",Twentieth!B17)</f>
        <v>Psychologist</v>
      </c>
      <c r="C4764" s="66" t="str">
        <f>IF(Twentieth!C17="", "",Twentieth!C17)</f>
        <v>PwC</v>
      </c>
      <c r="D4764" s="66" t="str">
        <f>IF(Twentieth!D17="", "",Twentieth!D17)</f>
        <v>Returning</v>
      </c>
      <c r="E4764" s="66" t="str">
        <f>IF(Twentieth!E17="", "",Twentieth!E17)</f>
        <v>Female</v>
      </c>
      <c r="F4764" s="66" t="str">
        <f>IF(Twentieth!F17="", "",Twentieth!F17)</f>
        <v>Breast</v>
      </c>
      <c r="G4764" s="66" t="str">
        <f>IF(Twentieth!G17="", "",Twentieth!G17)</f>
        <v>Post Treatment - Curative Intent</v>
      </c>
      <c r="H4764" s="66" t="str">
        <f>IF(Twentieth!H17="", "",Twentieth!H17)</f>
        <v>Programme</v>
      </c>
      <c r="I4764" s="66" t="str">
        <f>IF(Twentieth!I17="", "",Twentieth!I17)</f>
        <v>Where Now?</v>
      </c>
      <c r="J4764" s="66" t="str">
        <f>IF(Twentieth!J17="", "",Twentieth!J17)</f>
        <v>Psych Support - Couple</v>
      </c>
      <c r="K4764" s="86" t="str">
        <f>IF(Twentieth!K17="", "",Twentieth!K17)</f>
        <v>Expressive art</v>
      </c>
      <c r="M4764" s="67">
        <f t="shared" si="224"/>
        <v>7</v>
      </c>
      <c r="N4764" s="76" t="str">
        <f t="shared" si="225"/>
        <v/>
      </c>
      <c r="O4764" s="33">
        <f t="shared" si="226"/>
        <v>7</v>
      </c>
    </row>
    <row r="4765" spans="1:15" x14ac:dyDescent="0.25">
      <c r="A4765" s="64" t="s">
        <v>209</v>
      </c>
      <c r="B4765" s="79" t="str">
        <f>IF(Twentieth!B18="", "",Twentieth!B18)</f>
        <v>Psychologist</v>
      </c>
      <c r="C4765" s="66" t="str">
        <f>IF(Twentieth!C18="", "",Twentieth!C18)</f>
        <v>PwC</v>
      </c>
      <c r="D4765" s="66" t="str">
        <f>IF(Twentieth!D18="", "",Twentieth!D18)</f>
        <v>Returning</v>
      </c>
      <c r="E4765" s="66" t="str">
        <f>IF(Twentieth!E18="", "",Twentieth!E18)</f>
        <v>Female</v>
      </c>
      <c r="F4765" s="66" t="str">
        <f>IF(Twentieth!F18="", "",Twentieth!F18)</f>
        <v>Breast</v>
      </c>
      <c r="G4765" s="66" t="str">
        <f>IF(Twentieth!G18="", "",Twentieth!G18)</f>
        <v>Post Treatment - Curative Intent</v>
      </c>
      <c r="H4765" s="66" t="str">
        <f>IF(Twentieth!H18="", "",Twentieth!H18)</f>
        <v>Programme</v>
      </c>
      <c r="I4765" s="66" t="str">
        <f>IF(Twentieth!I18="", "",Twentieth!I18)</f>
        <v>Where Now?</v>
      </c>
      <c r="J4765" s="66" t="str">
        <f>IF(Twentieth!J18="", "",Twentieth!J18)</f>
        <v>Psych Support - Couple</v>
      </c>
      <c r="K4765" s="86" t="str">
        <f>IF(Twentieth!K18="", "",Twentieth!K18)</f>
        <v>Expressive art</v>
      </c>
      <c r="M4765" s="67">
        <f t="shared" si="224"/>
        <v>7</v>
      </c>
      <c r="N4765" s="76" t="str">
        <f t="shared" si="225"/>
        <v/>
      </c>
      <c r="O4765" s="33">
        <f t="shared" si="226"/>
        <v>7</v>
      </c>
    </row>
    <row r="4766" spans="1:15" x14ac:dyDescent="0.25">
      <c r="A4766" s="64" t="s">
        <v>209</v>
      </c>
      <c r="B4766" s="79" t="str">
        <f>IF(Twentieth!B19="", "",Twentieth!B19)</f>
        <v>CSS</v>
      </c>
      <c r="C4766" s="66" t="str">
        <f>IF(Twentieth!C19="", "",Twentieth!C19)</f>
        <v>Carer</v>
      </c>
      <c r="D4766" s="66" t="str">
        <f>IF(Twentieth!D19="", "",Twentieth!D19)</f>
        <v>Returning</v>
      </c>
      <c r="E4766" s="66" t="str">
        <f>IF(Twentieth!E19="", "",Twentieth!E19)</f>
        <v>Female</v>
      </c>
      <c r="F4766" s="66" t="str">
        <f>IF(Twentieth!F19="", "",Twentieth!F19)</f>
        <v>Breast</v>
      </c>
      <c r="G4766" s="66" t="str">
        <f>IF(Twentieth!G19="", "",Twentieth!G19)</f>
        <v>Bereaved</v>
      </c>
      <c r="H4766" s="66" t="str">
        <f>IF(Twentieth!H19="", "",Twentieth!H19)</f>
        <v>Booked</v>
      </c>
      <c r="I4766" s="66" t="str">
        <f>IF(Twentieth!I19="", "",Twentieth!I19)</f>
        <v>Psych Support - Individual</v>
      </c>
      <c r="J4766" s="66" t="str">
        <f>IF(Twentieth!J19="", "",Twentieth!J19)</f>
        <v>Psych Support - Couple</v>
      </c>
      <c r="K4766" s="86" t="str">
        <f>IF(Twentieth!K19="", "",Twentieth!K19)</f>
        <v>Expressive art</v>
      </c>
      <c r="M4766" s="67" t="str">
        <f t="shared" si="224"/>
        <v/>
      </c>
      <c r="N4766" s="76">
        <f t="shared" si="225"/>
        <v>7</v>
      </c>
      <c r="O4766" s="33">
        <f t="shared" si="226"/>
        <v>7</v>
      </c>
    </row>
    <row r="4767" spans="1:15" x14ac:dyDescent="0.25">
      <c r="A4767" s="64" t="s">
        <v>209</v>
      </c>
      <c r="B4767" s="79" t="str">
        <f>IF(Twentieth!B20="", "",Twentieth!B20)</f>
        <v>Psychologist</v>
      </c>
      <c r="C4767" s="66" t="str">
        <f>IF(Twentieth!C20="", "",Twentieth!C20)</f>
        <v>PwC</v>
      </c>
      <c r="D4767" s="66" t="str">
        <f>IF(Twentieth!D20="", "",Twentieth!D20)</f>
        <v>Returning</v>
      </c>
      <c r="E4767" s="66" t="str">
        <f>IF(Twentieth!E20="", "",Twentieth!E20)</f>
        <v>Male</v>
      </c>
      <c r="F4767" s="66" t="str">
        <f>IF(Twentieth!F20="", "",Twentieth!F20)</f>
        <v>Brain/CNS</v>
      </c>
      <c r="G4767" s="66" t="str">
        <f>IF(Twentieth!G20="", "",Twentieth!G20)</f>
        <v>Non-Curative Intent</v>
      </c>
      <c r="H4767" s="66" t="str">
        <f>IF(Twentieth!H20="", "",Twentieth!H20)</f>
        <v>Booked</v>
      </c>
      <c r="I4767" s="66" t="str">
        <f>IF(Twentieth!I20="", "",Twentieth!I20)</f>
        <v>Psych Support - Individual</v>
      </c>
      <c r="J4767" s="66" t="str">
        <f>IF(Twentieth!J20="", "",Twentieth!J20)</f>
        <v>Psych Support - Couple</v>
      </c>
      <c r="K4767" s="86" t="str">
        <f>IF(Twentieth!K20="", "",Twentieth!K20)</f>
        <v>Expressive art</v>
      </c>
      <c r="M4767" s="67">
        <f t="shared" si="224"/>
        <v>7</v>
      </c>
      <c r="N4767" s="76" t="str">
        <f t="shared" si="225"/>
        <v/>
      </c>
      <c r="O4767" s="33">
        <f t="shared" si="226"/>
        <v>7</v>
      </c>
    </row>
    <row r="4768" spans="1:15" x14ac:dyDescent="0.25">
      <c r="A4768" s="64" t="s">
        <v>209</v>
      </c>
      <c r="B4768" s="79" t="str">
        <f>IF(Twentieth!B21="", "",Twentieth!B21)</f>
        <v>Psychologist</v>
      </c>
      <c r="C4768" s="66" t="str">
        <f>IF(Twentieth!C21="", "",Twentieth!C21)</f>
        <v>Carer</v>
      </c>
      <c r="D4768" s="66" t="str">
        <f>IF(Twentieth!D21="", "",Twentieth!D21)</f>
        <v>Returning</v>
      </c>
      <c r="E4768" s="66" t="str">
        <f>IF(Twentieth!E21="", "",Twentieth!E21)</f>
        <v>Female</v>
      </c>
      <c r="F4768" s="66" t="str">
        <f>IF(Twentieth!F21="", "",Twentieth!F21)</f>
        <v>Brain/CNS</v>
      </c>
      <c r="G4768" s="66" t="str">
        <f>IF(Twentieth!G21="", "",Twentieth!G21)</f>
        <v>Non-Curative Intent</v>
      </c>
      <c r="H4768" s="66" t="str">
        <f>IF(Twentieth!H21="", "",Twentieth!H21)</f>
        <v>Programme</v>
      </c>
      <c r="I4768" s="66" t="str">
        <f>IF(Twentieth!I21="", "",Twentieth!I21)</f>
        <v>Psych Support - Individual</v>
      </c>
      <c r="J4768" s="66" t="str">
        <f>IF(Twentieth!J21="", "",Twentieth!J21)</f>
        <v>Psych Support - Couple</v>
      </c>
      <c r="K4768" s="86" t="str">
        <f>IF(Twentieth!K21="", "",Twentieth!K21)</f>
        <v>Expressive art</v>
      </c>
      <c r="M4768" s="67" t="str">
        <f t="shared" si="224"/>
        <v/>
      </c>
      <c r="N4768" s="76">
        <f t="shared" si="225"/>
        <v>7</v>
      </c>
      <c r="O4768" s="33">
        <f t="shared" si="226"/>
        <v>7</v>
      </c>
    </row>
    <row r="4769" spans="1:15" x14ac:dyDescent="0.25">
      <c r="A4769" s="64" t="s">
        <v>209</v>
      </c>
      <c r="B4769" s="79" t="str">
        <f>IF(Twentieth!B22="", "",Twentieth!B22)</f>
        <v>Psychologist</v>
      </c>
      <c r="C4769" s="66" t="str">
        <f>IF(Twentieth!C22="", "",Twentieth!C22)</f>
        <v>PwC</v>
      </c>
      <c r="D4769" s="66" t="str">
        <f>IF(Twentieth!D22="", "",Twentieth!D22)</f>
        <v>Returning</v>
      </c>
      <c r="E4769" s="66" t="str">
        <f>IF(Twentieth!E22="", "",Twentieth!E22)</f>
        <v>Male</v>
      </c>
      <c r="F4769" s="66" t="str">
        <f>IF(Twentieth!F22="", "",Twentieth!F22)</f>
        <v>Brain/CNS</v>
      </c>
      <c r="G4769" s="66" t="str">
        <f>IF(Twentieth!G22="", "",Twentieth!G22)</f>
        <v>Non-Curative Intent</v>
      </c>
      <c r="H4769" s="66" t="str">
        <f>IF(Twentieth!H22="", "",Twentieth!H22)</f>
        <v>Booked</v>
      </c>
      <c r="I4769" s="66" t="str">
        <f>IF(Twentieth!I22="", "",Twentieth!I22)</f>
        <v>Psych Support - Individual</v>
      </c>
      <c r="J4769" s="66" t="str">
        <f>IF(Twentieth!J22="", "",Twentieth!J22)</f>
        <v>Psych Support - Couple</v>
      </c>
      <c r="K4769" s="86" t="str">
        <f>IF(Twentieth!K22="", "",Twentieth!K22)</f>
        <v>Expressive art</v>
      </c>
      <c r="M4769" s="67">
        <f t="shared" si="224"/>
        <v>7</v>
      </c>
      <c r="N4769" s="76" t="str">
        <f t="shared" si="225"/>
        <v/>
      </c>
      <c r="O4769" s="33">
        <f t="shared" si="226"/>
        <v>7</v>
      </c>
    </row>
    <row r="4770" spans="1:15" x14ac:dyDescent="0.25">
      <c r="A4770" s="64" t="s">
        <v>209</v>
      </c>
      <c r="B4770" s="79" t="str">
        <f>IF(Twentieth!B23="", "",Twentieth!B23)</f>
        <v>Psychologist</v>
      </c>
      <c r="C4770" s="66" t="str">
        <f>IF(Twentieth!C23="", "",Twentieth!C23)</f>
        <v>Carer</v>
      </c>
      <c r="D4770" s="66" t="str">
        <f>IF(Twentieth!D23="", "",Twentieth!D23)</f>
        <v>Returning</v>
      </c>
      <c r="E4770" s="66" t="str">
        <f>IF(Twentieth!E23="", "",Twentieth!E23)</f>
        <v>Female</v>
      </c>
      <c r="F4770" s="66" t="str">
        <f>IF(Twentieth!F23="", "",Twentieth!F23)</f>
        <v>Pancreatic</v>
      </c>
      <c r="G4770" s="66" t="str">
        <f>IF(Twentieth!G23="", "",Twentieth!G23)</f>
        <v>Bereaved</v>
      </c>
      <c r="H4770" s="66" t="str">
        <f>IF(Twentieth!H23="", "",Twentieth!H23)</f>
        <v>Booked</v>
      </c>
      <c r="I4770" s="66" t="str">
        <f>IF(Twentieth!I23="", "",Twentieth!I23)</f>
        <v>Psych Support - Individual</v>
      </c>
      <c r="J4770" s="66" t="str">
        <f>IF(Twentieth!J23="", "",Twentieth!J23)</f>
        <v>Psych Support - Couple</v>
      </c>
      <c r="K4770" s="86" t="str">
        <f>IF(Twentieth!K23="", "",Twentieth!K23)</f>
        <v>Expressive art</v>
      </c>
      <c r="M4770" s="67" t="str">
        <f t="shared" si="224"/>
        <v/>
      </c>
      <c r="N4770" s="76">
        <f t="shared" si="225"/>
        <v>7</v>
      </c>
      <c r="O4770" s="33">
        <f t="shared" si="226"/>
        <v>7</v>
      </c>
    </row>
    <row r="4771" spans="1:15" x14ac:dyDescent="0.25">
      <c r="A4771" s="64" t="s">
        <v>209</v>
      </c>
      <c r="B4771" s="79" t="str">
        <f>IF(Twentieth!B24="", "",Twentieth!B24)</f>
        <v>Psychologist</v>
      </c>
      <c r="C4771" s="66" t="str">
        <f>IF(Twentieth!C24="", "",Twentieth!C24)</f>
        <v>PwC</v>
      </c>
      <c r="D4771" s="66" t="str">
        <f>IF(Twentieth!D24="", "",Twentieth!D24)</f>
        <v>Returning</v>
      </c>
      <c r="E4771" s="66" t="str">
        <f>IF(Twentieth!E24="", "",Twentieth!E24)</f>
        <v>Male</v>
      </c>
      <c r="F4771" s="66" t="str">
        <f>IF(Twentieth!F24="", "",Twentieth!F24)</f>
        <v>Lung</v>
      </c>
      <c r="G4771" s="66" t="str">
        <f>IF(Twentieth!G24="", "",Twentieth!G24)</f>
        <v>Curative Intent</v>
      </c>
      <c r="H4771" s="66" t="str">
        <f>IF(Twentieth!H24="", "",Twentieth!H24)</f>
        <v>Booked</v>
      </c>
      <c r="I4771" s="66" t="str">
        <f>IF(Twentieth!I24="", "",Twentieth!I24)</f>
        <v>Psych Support - Individual</v>
      </c>
      <c r="J4771" s="66" t="str">
        <f>IF(Twentieth!J24="", "",Twentieth!J24)</f>
        <v>Psych Support - Couple</v>
      </c>
      <c r="K4771" s="86" t="str">
        <f>IF(Twentieth!K24="", "",Twentieth!K24)</f>
        <v>Expressive art</v>
      </c>
      <c r="M4771" s="67">
        <f t="shared" si="224"/>
        <v>7</v>
      </c>
      <c r="N4771" s="76" t="str">
        <f t="shared" si="225"/>
        <v/>
      </c>
      <c r="O4771" s="33">
        <f t="shared" si="226"/>
        <v>7</v>
      </c>
    </row>
    <row r="4772" spans="1:15" x14ac:dyDescent="0.25">
      <c r="A4772" s="64" t="s">
        <v>209</v>
      </c>
      <c r="B4772" s="79" t="str">
        <f>IF(Twentieth!B25="", "",Twentieth!B25)</f>
        <v>Centre Head</v>
      </c>
      <c r="C4772" s="66" t="str">
        <f>IF(Twentieth!C25="", "",Twentieth!C25)</f>
        <v>PwC</v>
      </c>
      <c r="D4772" s="66" t="str">
        <f>IF(Twentieth!D25="", "",Twentieth!D25)</f>
        <v>Returning</v>
      </c>
      <c r="E4772" s="66" t="str">
        <f>IF(Twentieth!E25="", "",Twentieth!E25)</f>
        <v>Male</v>
      </c>
      <c r="F4772" s="66" t="str">
        <f>IF(Twentieth!F25="", "",Twentieth!F25)</f>
        <v>Haemat</v>
      </c>
      <c r="G4772" s="66" t="str">
        <f>IF(Twentieth!G25="", "",Twentieth!G25)</f>
        <v>Curative Intent</v>
      </c>
      <c r="H4772" s="66" t="str">
        <f>IF(Twentieth!H25="", "",Twentieth!H25)</f>
        <v>Drop-In</v>
      </c>
      <c r="I4772" s="66" t="str">
        <f>IF(Twentieth!I25="", "",Twentieth!I25)</f>
        <v/>
      </c>
      <c r="J4772" s="66" t="str">
        <f>IF(Twentieth!J25="", "",Twentieth!J25)</f>
        <v/>
      </c>
      <c r="K4772" s="86" t="str">
        <f>IF(Twentieth!K25="", "",Twentieth!K25)</f>
        <v/>
      </c>
      <c r="M4772" s="67">
        <f t="shared" si="224"/>
        <v>7</v>
      </c>
      <c r="N4772" s="76" t="str">
        <f t="shared" si="225"/>
        <v/>
      </c>
      <c r="O4772" s="33">
        <f t="shared" si="226"/>
        <v>7</v>
      </c>
    </row>
    <row r="4773" spans="1:15" x14ac:dyDescent="0.25">
      <c r="A4773" s="64" t="s">
        <v>209</v>
      </c>
      <c r="B4773" s="79" t="str">
        <f>IF(Twentieth!B26="", "",Twentieth!B26)</f>
        <v>Centre Head</v>
      </c>
      <c r="C4773" s="66" t="str">
        <f>IF(Twentieth!C26="", "",Twentieth!C26)</f>
        <v>Carer</v>
      </c>
      <c r="D4773" s="66" t="str">
        <f>IF(Twentieth!D26="", "",Twentieth!D26)</f>
        <v>Returning</v>
      </c>
      <c r="E4773" s="66" t="str">
        <f>IF(Twentieth!E26="", "",Twentieth!E26)</f>
        <v>Female</v>
      </c>
      <c r="F4773" s="66" t="str">
        <f>IF(Twentieth!F26="", "",Twentieth!F26)</f>
        <v>Haemat</v>
      </c>
      <c r="G4773" s="66" t="str">
        <f>IF(Twentieth!G26="", "",Twentieth!G26)</f>
        <v>Curative Intent</v>
      </c>
      <c r="H4773" s="66" t="str">
        <f>IF(Twentieth!H26="", "",Twentieth!H26)</f>
        <v>Drop-In</v>
      </c>
      <c r="I4773" s="66" t="str">
        <f>IF(Twentieth!I26="", "",Twentieth!I26)</f>
        <v/>
      </c>
      <c r="J4773" s="66" t="str">
        <f>IF(Twentieth!J26="", "",Twentieth!J26)</f>
        <v/>
      </c>
      <c r="K4773" s="86" t="str">
        <f>IF(Twentieth!K26="", "",Twentieth!K26)</f>
        <v/>
      </c>
      <c r="M4773" s="67" t="str">
        <f t="shared" si="224"/>
        <v/>
      </c>
      <c r="N4773" s="76">
        <f t="shared" si="225"/>
        <v>7</v>
      </c>
      <c r="O4773" s="33">
        <f t="shared" si="226"/>
        <v>7</v>
      </c>
    </row>
    <row r="4774" spans="1:15" x14ac:dyDescent="0.25">
      <c r="A4774" s="64" t="s">
        <v>209</v>
      </c>
      <c r="B4774" s="79" t="str">
        <f>IF(Twentieth!B27="", "",Twentieth!B27)</f>
        <v>Centre Head</v>
      </c>
      <c r="C4774" s="66" t="str">
        <f>IF(Twentieth!C27="", "",Twentieth!C27)</f>
        <v>Carer</v>
      </c>
      <c r="D4774" s="66" t="str">
        <f>IF(Twentieth!D27="", "",Twentieth!D27)</f>
        <v>Returning</v>
      </c>
      <c r="E4774" s="66" t="str">
        <f>IF(Twentieth!E27="", "",Twentieth!E27)</f>
        <v>Female</v>
      </c>
      <c r="F4774" s="66" t="str">
        <f>IF(Twentieth!F27="", "",Twentieth!F27)</f>
        <v>Haemat</v>
      </c>
      <c r="G4774" s="66" t="str">
        <f>IF(Twentieth!G27="", "",Twentieth!G27)</f>
        <v>Curative Intent</v>
      </c>
      <c r="H4774" s="66" t="str">
        <f>IF(Twentieth!H27="", "",Twentieth!H27)</f>
        <v>Drop-In</v>
      </c>
      <c r="I4774" s="66" t="str">
        <f>IF(Twentieth!I27="", "",Twentieth!I27)</f>
        <v/>
      </c>
      <c r="J4774" s="66" t="str">
        <f>IF(Twentieth!J27="", "",Twentieth!J27)</f>
        <v/>
      </c>
      <c r="K4774" s="86" t="str">
        <f>IF(Twentieth!K27="", "",Twentieth!K27)</f>
        <v/>
      </c>
      <c r="M4774" s="67" t="str">
        <f t="shared" si="224"/>
        <v/>
      </c>
      <c r="N4774" s="76">
        <f t="shared" si="225"/>
        <v>7</v>
      </c>
      <c r="O4774" s="33">
        <f t="shared" si="226"/>
        <v>7</v>
      </c>
    </row>
    <row r="4775" spans="1:15" x14ac:dyDescent="0.25">
      <c r="A4775" s="64" t="s">
        <v>209</v>
      </c>
      <c r="B4775" s="79" t="str">
        <f>IF(Twentieth!B28="", "",Twentieth!B28)</f>
        <v>Centre Head</v>
      </c>
      <c r="C4775" s="66" t="str">
        <f>IF(Twentieth!C28="", "",Twentieth!C28)</f>
        <v>PwC</v>
      </c>
      <c r="D4775" s="66" t="str">
        <f>IF(Twentieth!D28="", "",Twentieth!D28)</f>
        <v>New</v>
      </c>
      <c r="E4775" s="66" t="str">
        <f>IF(Twentieth!E28="", "",Twentieth!E28)</f>
        <v>Male</v>
      </c>
      <c r="F4775" s="66" t="str">
        <f>IF(Twentieth!F28="", "",Twentieth!F28)</f>
        <v>Lower GI</v>
      </c>
      <c r="G4775" s="66" t="str">
        <f>IF(Twentieth!G28="", "",Twentieth!G28)</f>
        <v>Post Treatment - Curative Intent</v>
      </c>
      <c r="H4775" s="66" t="str">
        <f>IF(Twentieth!H28="", "",Twentieth!H28)</f>
        <v>Drop-In</v>
      </c>
      <c r="I4775" s="66" t="str">
        <f>IF(Twentieth!I28="", "",Twentieth!I28)</f>
        <v/>
      </c>
      <c r="J4775" s="66" t="str">
        <f>IF(Twentieth!J28="", "",Twentieth!J28)</f>
        <v/>
      </c>
      <c r="K4775" s="86" t="str">
        <f>IF(Twentieth!K28="", "",Twentieth!K28)</f>
        <v/>
      </c>
      <c r="M4775" s="67">
        <f t="shared" si="224"/>
        <v>7</v>
      </c>
      <c r="N4775" s="76" t="str">
        <f t="shared" si="225"/>
        <v/>
      </c>
      <c r="O4775" s="33">
        <f t="shared" si="226"/>
        <v>7</v>
      </c>
    </row>
    <row r="4776" spans="1:15" x14ac:dyDescent="0.25">
      <c r="A4776" s="64" t="s">
        <v>209</v>
      </c>
      <c r="B4776" s="79" t="str">
        <f>IF(Twentieth!B29="", "",Twentieth!B29)</f>
        <v>Centre Head</v>
      </c>
      <c r="C4776" s="66" t="str">
        <f>IF(Twentieth!C29="", "",Twentieth!C29)</f>
        <v>PwC</v>
      </c>
      <c r="D4776" s="66" t="str">
        <f>IF(Twentieth!D29="", "",Twentieth!D29)</f>
        <v>New</v>
      </c>
      <c r="E4776" s="66" t="str">
        <f>IF(Twentieth!E29="", "",Twentieth!E29)</f>
        <v>Male</v>
      </c>
      <c r="F4776" s="66" t="str">
        <f>IF(Twentieth!F29="", "",Twentieth!F29)</f>
        <v>Rare</v>
      </c>
      <c r="G4776" s="66" t="str">
        <f>IF(Twentieth!G29="", "",Twentieth!G29)</f>
        <v>Non-Curative Intent</v>
      </c>
      <c r="H4776" s="66" t="str">
        <f>IF(Twentieth!H29="", "",Twentieth!H29)</f>
        <v>Drop-In</v>
      </c>
      <c r="I4776" s="66" t="str">
        <f>IF(Twentieth!I29="", "",Twentieth!I29)</f>
        <v/>
      </c>
      <c r="J4776" s="66" t="str">
        <f>IF(Twentieth!J29="", "",Twentieth!J29)</f>
        <v/>
      </c>
      <c r="K4776" s="86" t="str">
        <f>IF(Twentieth!K29="", "",Twentieth!K29)</f>
        <v/>
      </c>
      <c r="M4776" s="67">
        <f t="shared" si="224"/>
        <v>7</v>
      </c>
      <c r="N4776" s="76" t="str">
        <f t="shared" si="225"/>
        <v/>
      </c>
      <c r="O4776" s="33">
        <f t="shared" si="226"/>
        <v>7</v>
      </c>
    </row>
    <row r="4777" spans="1:15" x14ac:dyDescent="0.25">
      <c r="A4777" s="64" t="s">
        <v>209</v>
      </c>
      <c r="B4777" s="79" t="str">
        <f>IF(Twentieth!B30="", "",Twentieth!B30)</f>
        <v>Centre Head</v>
      </c>
      <c r="C4777" s="66" t="str">
        <f>IF(Twentieth!C30="", "",Twentieth!C30)</f>
        <v>Carer</v>
      </c>
      <c r="D4777" s="66" t="str">
        <f>IF(Twentieth!D30="", "",Twentieth!D30)</f>
        <v>New</v>
      </c>
      <c r="E4777" s="66" t="str">
        <f>IF(Twentieth!E30="", "",Twentieth!E30)</f>
        <v>Female</v>
      </c>
      <c r="F4777" s="66" t="str">
        <f>IF(Twentieth!F30="", "",Twentieth!F30)</f>
        <v>rare</v>
      </c>
      <c r="G4777" s="66" t="str">
        <f>IF(Twentieth!G30="", "",Twentieth!G30)</f>
        <v>Non-Curative Intent</v>
      </c>
      <c r="H4777" s="66" t="str">
        <f>IF(Twentieth!H30="", "",Twentieth!H30)</f>
        <v>Drop-In</v>
      </c>
      <c r="I4777" s="66" t="str">
        <f>IF(Twentieth!I30="", "",Twentieth!I30)</f>
        <v/>
      </c>
      <c r="J4777" s="66" t="str">
        <f>IF(Twentieth!J30="", "",Twentieth!J30)</f>
        <v/>
      </c>
      <c r="K4777" s="86" t="str">
        <f>IF(Twentieth!K30="", "",Twentieth!K30)</f>
        <v/>
      </c>
      <c r="M4777" s="67" t="str">
        <f t="shared" si="224"/>
        <v/>
      </c>
      <c r="N4777" s="76">
        <f t="shared" si="225"/>
        <v>7</v>
      </c>
      <c r="O4777" s="33">
        <f t="shared" si="226"/>
        <v>7</v>
      </c>
    </row>
    <row r="4778" spans="1:15" x14ac:dyDescent="0.25">
      <c r="A4778" s="64" t="s">
        <v>209</v>
      </c>
      <c r="B4778" s="79" t="str">
        <f>IF(Twentieth!B31="", "",Twentieth!B31)</f>
        <v>Centre Head</v>
      </c>
      <c r="C4778" s="66" t="str">
        <f>IF(Twentieth!C31="", "",Twentieth!C31)</f>
        <v>PwC</v>
      </c>
      <c r="D4778" s="66" t="str">
        <f>IF(Twentieth!D31="", "",Twentieth!D31)</f>
        <v>Returning</v>
      </c>
      <c r="E4778" s="66" t="str">
        <f>IF(Twentieth!E31="", "",Twentieth!E31)</f>
        <v>Female</v>
      </c>
      <c r="F4778" s="66" t="str">
        <f>IF(Twentieth!F31="", "",Twentieth!F31)</f>
        <v>Head/Neck</v>
      </c>
      <c r="G4778" s="66" t="str">
        <f>IF(Twentieth!G31="", "",Twentieth!G31)</f>
        <v>Non-Curative Intent</v>
      </c>
      <c r="H4778" s="66" t="str">
        <f>IF(Twentieth!H31="", "",Twentieth!H31)</f>
        <v>Drop-In</v>
      </c>
      <c r="I4778" s="66" t="str">
        <f>IF(Twentieth!I31="", "",Twentieth!I31)</f>
        <v/>
      </c>
      <c r="J4778" s="66" t="str">
        <f>IF(Twentieth!J31="", "",Twentieth!J31)</f>
        <v/>
      </c>
      <c r="K4778" s="86" t="str">
        <f>IF(Twentieth!K31="", "",Twentieth!K31)</f>
        <v/>
      </c>
      <c r="M4778" s="67">
        <f t="shared" si="224"/>
        <v>7</v>
      </c>
      <c r="N4778" s="76" t="str">
        <f t="shared" si="225"/>
        <v/>
      </c>
      <c r="O4778" s="33">
        <f t="shared" si="226"/>
        <v>7</v>
      </c>
    </row>
    <row r="4779" spans="1:15" x14ac:dyDescent="0.25">
      <c r="A4779" s="64" t="s">
        <v>209</v>
      </c>
      <c r="B4779" s="79" t="str">
        <f>IF(Twentieth!B32="", "",Twentieth!B32)</f>
        <v>Centre Head</v>
      </c>
      <c r="C4779" s="66" t="str">
        <f>IF(Twentieth!C32="", "",Twentieth!C32)</f>
        <v>Carer</v>
      </c>
      <c r="D4779" s="66" t="str">
        <f>IF(Twentieth!D32="", "",Twentieth!D32)</f>
        <v>Returning</v>
      </c>
      <c r="E4779" s="66" t="str">
        <f>IF(Twentieth!E32="", "",Twentieth!E32)</f>
        <v>Male</v>
      </c>
      <c r="F4779" s="66" t="str">
        <f>IF(Twentieth!F32="", "",Twentieth!F32)</f>
        <v>Head/Neck</v>
      </c>
      <c r="G4779" s="66" t="str">
        <f>IF(Twentieth!G32="", "",Twentieth!G32)</f>
        <v>Non-Curative Intent</v>
      </c>
      <c r="H4779" s="66" t="str">
        <f>IF(Twentieth!H32="", "",Twentieth!H32)</f>
        <v>Drop-In</v>
      </c>
      <c r="I4779" s="66" t="str">
        <f>IF(Twentieth!I32="", "",Twentieth!I32)</f>
        <v/>
      </c>
      <c r="J4779" s="66" t="str">
        <f>IF(Twentieth!J32="", "",Twentieth!J32)</f>
        <v/>
      </c>
      <c r="K4779" s="86" t="str">
        <f>IF(Twentieth!K32="", "",Twentieth!K32)</f>
        <v/>
      </c>
      <c r="M4779" s="67" t="str">
        <f t="shared" si="224"/>
        <v/>
      </c>
      <c r="N4779" s="76">
        <f t="shared" si="225"/>
        <v>7</v>
      </c>
      <c r="O4779" s="33">
        <f t="shared" si="226"/>
        <v>7</v>
      </c>
    </row>
    <row r="4780" spans="1:15" x14ac:dyDescent="0.25">
      <c r="A4780" s="64" t="s">
        <v>209</v>
      </c>
      <c r="B4780" s="79" t="str">
        <f>IF(Twentieth!B33="", "",Twentieth!B33)</f>
        <v>Centre Head</v>
      </c>
      <c r="C4780" s="66" t="str">
        <f>IF(Twentieth!C33="", "",Twentieth!C33)</f>
        <v>Carer</v>
      </c>
      <c r="D4780" s="66" t="str">
        <f>IF(Twentieth!D33="", "",Twentieth!D33)</f>
        <v>Returning</v>
      </c>
      <c r="E4780" s="66" t="str">
        <f>IF(Twentieth!E33="", "",Twentieth!E33)</f>
        <v>Female</v>
      </c>
      <c r="F4780" s="66" t="str">
        <f>IF(Twentieth!F33="", "",Twentieth!F33)</f>
        <v>Head/Neck</v>
      </c>
      <c r="G4780" s="66" t="str">
        <f>IF(Twentieth!G33="", "",Twentieth!G33)</f>
        <v>Non-Curative Intent</v>
      </c>
      <c r="H4780" s="66" t="str">
        <f>IF(Twentieth!H33="", "",Twentieth!H33)</f>
        <v>Drop-In</v>
      </c>
      <c r="I4780" s="66" t="str">
        <f>IF(Twentieth!I33="", "",Twentieth!I33)</f>
        <v/>
      </c>
      <c r="J4780" s="66" t="str">
        <f>IF(Twentieth!J33="", "",Twentieth!J33)</f>
        <v/>
      </c>
      <c r="K4780" s="86" t="str">
        <f>IF(Twentieth!K33="", "",Twentieth!K33)</f>
        <v/>
      </c>
      <c r="M4780" s="67" t="str">
        <f t="shared" ref="M4780:M4843" si="227">IF(C4780="PwC",(7-COUNTIF(B4780:H4780,"")),"")</f>
        <v/>
      </c>
      <c r="N4780" s="76">
        <f t="shared" ref="N4780:N4843" si="228">IF(C4780="Carer",(7-COUNTIF(B4780:H4780,"")),"")</f>
        <v>7</v>
      </c>
      <c r="O4780" s="33">
        <f t="shared" ref="O4780:O4843" si="229">SUM(M4780:N4780)</f>
        <v>7</v>
      </c>
    </row>
    <row r="4781" spans="1:15" x14ac:dyDescent="0.25">
      <c r="A4781" s="64" t="s">
        <v>209</v>
      </c>
      <c r="B4781" s="79" t="str">
        <f>IF(Twentieth!B34="", "",Twentieth!B34)</f>
        <v>Psychologist</v>
      </c>
      <c r="C4781" s="66" t="str">
        <f>IF(Twentieth!C34="", "",Twentieth!C34)</f>
        <v>PwC</v>
      </c>
      <c r="D4781" s="66" t="str">
        <f>IF(Twentieth!D34="", "",Twentieth!D34)</f>
        <v>Returning</v>
      </c>
      <c r="E4781" s="66" t="str">
        <f>IF(Twentieth!E34="", "",Twentieth!E34)</f>
        <v>Female</v>
      </c>
      <c r="F4781" s="66" t="str">
        <f>IF(Twentieth!F34="", "",Twentieth!F34)</f>
        <v>Breast</v>
      </c>
      <c r="G4781" s="66" t="str">
        <f>IF(Twentieth!G34="", "",Twentieth!G34)</f>
        <v>Post Treatment - Curative Intent</v>
      </c>
      <c r="H4781" s="66" t="str">
        <f>IF(Twentieth!H34="", "",Twentieth!H34)</f>
        <v>Booked</v>
      </c>
      <c r="I4781" s="66" t="str">
        <f>IF(Twentieth!I34="", "",Twentieth!I34)</f>
        <v>Psych Support - Individual</v>
      </c>
      <c r="J4781" s="66" t="str">
        <f>IF(Twentieth!J34="", "",Twentieth!J34)</f>
        <v>NG Head/Neck</v>
      </c>
      <c r="K4781" s="86" t="str">
        <f>IF(Twentieth!K34="", "",Twentieth!K34)</f>
        <v/>
      </c>
      <c r="M4781" s="67">
        <f t="shared" si="227"/>
        <v>7</v>
      </c>
      <c r="N4781" s="76" t="str">
        <f t="shared" si="228"/>
        <v/>
      </c>
      <c r="O4781" s="33">
        <f t="shared" si="229"/>
        <v>7</v>
      </c>
    </row>
    <row r="4782" spans="1:15" x14ac:dyDescent="0.25">
      <c r="A4782" s="64" t="s">
        <v>209</v>
      </c>
      <c r="B4782" s="79" t="str">
        <f>IF(Twentieth!B35="", "",Twentieth!B35)</f>
        <v>Psychologist</v>
      </c>
      <c r="C4782" s="66" t="str">
        <f>IF(Twentieth!C35="", "",Twentieth!C35)</f>
        <v>PwC</v>
      </c>
      <c r="D4782" s="66" t="str">
        <f>IF(Twentieth!D35="", "",Twentieth!D35)</f>
        <v>Returning</v>
      </c>
      <c r="E4782" s="66" t="str">
        <f>IF(Twentieth!E35="", "",Twentieth!E35)</f>
        <v>Female</v>
      </c>
      <c r="F4782" s="66" t="str">
        <f>IF(Twentieth!F35="", "",Twentieth!F35)</f>
        <v>Breast</v>
      </c>
      <c r="G4782" s="66" t="str">
        <f>IF(Twentieth!G35="", "",Twentieth!G35)</f>
        <v>Post Treatment - Curative Intent</v>
      </c>
      <c r="H4782" s="66" t="str">
        <f>IF(Twentieth!H35="", "",Twentieth!H35)</f>
        <v>Programme</v>
      </c>
      <c r="I4782" s="66" t="str">
        <f>IF(Twentieth!I35="", "",Twentieth!I35)</f>
        <v>Managing Stress</v>
      </c>
      <c r="J4782" s="66" t="str">
        <f>IF(Twentieth!J35="", "",Twentieth!J35)</f>
        <v>NG Head/Neck</v>
      </c>
      <c r="K4782" s="86" t="str">
        <f>IF(Twentieth!K35="", "",Twentieth!K35)</f>
        <v/>
      </c>
      <c r="M4782" s="67">
        <f t="shared" si="227"/>
        <v>7</v>
      </c>
      <c r="N4782" s="76" t="str">
        <f t="shared" si="228"/>
        <v/>
      </c>
      <c r="O4782" s="33">
        <f t="shared" si="229"/>
        <v>7</v>
      </c>
    </row>
    <row r="4783" spans="1:15" x14ac:dyDescent="0.25">
      <c r="A4783" s="64" t="s">
        <v>209</v>
      </c>
      <c r="B4783" s="79" t="str">
        <f>IF(Twentieth!B36="", "",Twentieth!B36)</f>
        <v>Psychologist</v>
      </c>
      <c r="C4783" s="66" t="str">
        <f>IF(Twentieth!C36="", "",Twentieth!C36)</f>
        <v>PwC</v>
      </c>
      <c r="D4783" s="66" t="str">
        <f>IF(Twentieth!D36="", "",Twentieth!D36)</f>
        <v>Returning</v>
      </c>
      <c r="E4783" s="66" t="str">
        <f>IF(Twentieth!E36="", "",Twentieth!E36)</f>
        <v>Female</v>
      </c>
      <c r="F4783" s="66" t="str">
        <f>IF(Twentieth!F36="", "",Twentieth!F36)</f>
        <v>Breast</v>
      </c>
      <c r="G4783" s="66" t="str">
        <f>IF(Twentieth!G36="", "",Twentieth!G36)</f>
        <v>Post Treatment - Curative Intent</v>
      </c>
      <c r="H4783" s="66" t="str">
        <f>IF(Twentieth!H36="", "",Twentieth!H36)</f>
        <v>Programme</v>
      </c>
      <c r="I4783" s="66" t="str">
        <f>IF(Twentieth!I36="", "",Twentieth!I36)</f>
        <v>Managing Stress</v>
      </c>
      <c r="J4783" s="66" t="str">
        <f>IF(Twentieth!J36="", "",Twentieth!J36)</f>
        <v>NG Head/Neck</v>
      </c>
      <c r="K4783" s="86" t="str">
        <f>IF(Twentieth!K36="", "",Twentieth!K36)</f>
        <v/>
      </c>
      <c r="M4783" s="67">
        <f t="shared" si="227"/>
        <v>7</v>
      </c>
      <c r="N4783" s="76" t="str">
        <f t="shared" si="228"/>
        <v/>
      </c>
      <c r="O4783" s="33">
        <f t="shared" si="229"/>
        <v>7</v>
      </c>
    </row>
    <row r="4784" spans="1:15" x14ac:dyDescent="0.25">
      <c r="A4784" s="64" t="s">
        <v>209</v>
      </c>
      <c r="B4784" s="79" t="str">
        <f>IF(Twentieth!B37="", "",Twentieth!B37)</f>
        <v>Psychologist</v>
      </c>
      <c r="C4784" s="66" t="str">
        <f>IF(Twentieth!C37="", "",Twentieth!C37)</f>
        <v>Carer</v>
      </c>
      <c r="D4784" s="66" t="str">
        <f>IF(Twentieth!D37="", "",Twentieth!D37)</f>
        <v>Returning</v>
      </c>
      <c r="E4784" s="66" t="str">
        <f>IF(Twentieth!E37="", "",Twentieth!E37)</f>
        <v>Female</v>
      </c>
      <c r="F4784" s="66" t="str">
        <f>IF(Twentieth!F37="", "",Twentieth!F37)</f>
        <v>Lower GI</v>
      </c>
      <c r="G4784" s="66" t="str">
        <f>IF(Twentieth!G37="", "",Twentieth!G37)</f>
        <v>Curative Intent</v>
      </c>
      <c r="H4784" s="66" t="str">
        <f>IF(Twentieth!H37="", "",Twentieth!H37)</f>
        <v>Programme</v>
      </c>
      <c r="I4784" s="66" t="str">
        <f>IF(Twentieth!I37="", "",Twentieth!I37)</f>
        <v>Managing Stress</v>
      </c>
      <c r="J4784" s="66" t="str">
        <f>IF(Twentieth!J37="", "",Twentieth!J37)</f>
        <v>NG Head/Neck</v>
      </c>
      <c r="K4784" s="86" t="str">
        <f>IF(Twentieth!K37="", "",Twentieth!K37)</f>
        <v/>
      </c>
      <c r="M4784" s="67" t="str">
        <f t="shared" si="227"/>
        <v/>
      </c>
      <c r="N4784" s="76">
        <f t="shared" si="228"/>
        <v>7</v>
      </c>
      <c r="O4784" s="33">
        <f t="shared" si="229"/>
        <v>7</v>
      </c>
    </row>
    <row r="4785" spans="1:15" x14ac:dyDescent="0.25">
      <c r="A4785" s="64" t="s">
        <v>209</v>
      </c>
      <c r="B4785" s="79" t="str">
        <f>IF(Twentieth!B38="", "",Twentieth!B38)</f>
        <v>Psychologist</v>
      </c>
      <c r="C4785" s="66" t="str">
        <f>IF(Twentieth!C38="", "",Twentieth!C38)</f>
        <v>PwC</v>
      </c>
      <c r="D4785" s="66" t="str">
        <f>IF(Twentieth!D38="", "",Twentieth!D38)</f>
        <v>Returning</v>
      </c>
      <c r="E4785" s="66" t="str">
        <f>IF(Twentieth!E38="", "",Twentieth!E38)</f>
        <v>Female</v>
      </c>
      <c r="F4785" s="66" t="str">
        <f>IF(Twentieth!F38="", "",Twentieth!F38)</f>
        <v>Breast</v>
      </c>
      <c r="G4785" s="66" t="str">
        <f>IF(Twentieth!G38="", "",Twentieth!G38)</f>
        <v>Post Treatment - Curative Intent</v>
      </c>
      <c r="H4785" s="66" t="str">
        <f>IF(Twentieth!H38="", "",Twentieth!H38)</f>
        <v>Programme</v>
      </c>
      <c r="I4785" s="66" t="str">
        <f>IF(Twentieth!I38="", "",Twentieth!I38)</f>
        <v>Managing Stress</v>
      </c>
      <c r="J4785" s="66" t="str">
        <f>IF(Twentieth!J38="", "",Twentieth!J38)</f>
        <v>NG Head/Neck</v>
      </c>
      <c r="K4785" s="86" t="str">
        <f>IF(Twentieth!K38="", "",Twentieth!K38)</f>
        <v/>
      </c>
      <c r="M4785" s="67">
        <f t="shared" si="227"/>
        <v>7</v>
      </c>
      <c r="N4785" s="76" t="str">
        <f t="shared" si="228"/>
        <v/>
      </c>
      <c r="O4785" s="33">
        <f t="shared" si="229"/>
        <v>7</v>
      </c>
    </row>
    <row r="4786" spans="1:15" x14ac:dyDescent="0.25">
      <c r="A4786" s="64" t="s">
        <v>209</v>
      </c>
      <c r="B4786" s="79" t="str">
        <f>IF(Twentieth!B39="", "",Twentieth!B39)</f>
        <v>Centre Head</v>
      </c>
      <c r="C4786" s="66" t="str">
        <f>IF(Twentieth!C39="", "",Twentieth!C39)</f>
        <v>PwC</v>
      </c>
      <c r="D4786" s="66" t="str">
        <f>IF(Twentieth!D39="", "",Twentieth!D39)</f>
        <v>New</v>
      </c>
      <c r="E4786" s="66" t="str">
        <f>IF(Twentieth!E39="", "",Twentieth!E39)</f>
        <v>Male</v>
      </c>
      <c r="F4786" s="66" t="str">
        <f>IF(Twentieth!F39="", "",Twentieth!F39)</f>
        <v>Lung</v>
      </c>
      <c r="G4786" s="66" t="str">
        <f>IF(Twentieth!G39="", "",Twentieth!G39)</f>
        <v>Non-Curative Intent</v>
      </c>
      <c r="H4786" s="66" t="str">
        <f>IF(Twentieth!H39="", "",Twentieth!H39)</f>
        <v>Drop-In</v>
      </c>
      <c r="I4786" s="66" t="str">
        <f>IF(Twentieth!I39="", "",Twentieth!I39)</f>
        <v/>
      </c>
      <c r="J4786" s="66" t="str">
        <f>IF(Twentieth!J39="", "",Twentieth!J39)</f>
        <v/>
      </c>
      <c r="K4786" s="86" t="str">
        <f>IF(Twentieth!K39="", "",Twentieth!K39)</f>
        <v/>
      </c>
      <c r="M4786" s="67">
        <f t="shared" si="227"/>
        <v>7</v>
      </c>
      <c r="N4786" s="76" t="str">
        <f t="shared" si="228"/>
        <v/>
      </c>
      <c r="O4786" s="33">
        <f t="shared" si="229"/>
        <v>7</v>
      </c>
    </row>
    <row r="4787" spans="1:15" x14ac:dyDescent="0.25">
      <c r="A4787" s="64" t="s">
        <v>209</v>
      </c>
      <c r="B4787" s="79" t="str">
        <f>IF(Twentieth!B40="", "",Twentieth!B40)</f>
        <v>Centre Head</v>
      </c>
      <c r="C4787" s="66" t="str">
        <f>IF(Twentieth!C40="", "",Twentieth!C40)</f>
        <v>Carer</v>
      </c>
      <c r="D4787" s="66" t="str">
        <f>IF(Twentieth!D40="", "",Twentieth!D40)</f>
        <v>New</v>
      </c>
      <c r="E4787" s="66" t="str">
        <f>IF(Twentieth!E40="", "",Twentieth!E40)</f>
        <v>Female</v>
      </c>
      <c r="F4787" s="66" t="str">
        <f>IF(Twentieth!F40="", "",Twentieth!F40)</f>
        <v>Lung</v>
      </c>
      <c r="G4787" s="66" t="str">
        <f>IF(Twentieth!G40="", "",Twentieth!G40)</f>
        <v>Non-Curative Intent</v>
      </c>
      <c r="H4787" s="66" t="str">
        <f>IF(Twentieth!H40="", "",Twentieth!H40)</f>
        <v>Drop-In</v>
      </c>
      <c r="I4787" s="66" t="str">
        <f>IF(Twentieth!I40="", "",Twentieth!I40)</f>
        <v/>
      </c>
      <c r="J4787" s="66" t="str">
        <f>IF(Twentieth!J40="", "",Twentieth!J40)</f>
        <v/>
      </c>
      <c r="K4787" s="86" t="str">
        <f>IF(Twentieth!K40="", "",Twentieth!K40)</f>
        <v/>
      </c>
      <c r="M4787" s="67" t="str">
        <f t="shared" si="227"/>
        <v/>
      </c>
      <c r="N4787" s="76">
        <f t="shared" si="228"/>
        <v>7</v>
      </c>
      <c r="O4787" s="33">
        <f t="shared" si="229"/>
        <v>7</v>
      </c>
    </row>
    <row r="4788" spans="1:15" x14ac:dyDescent="0.25">
      <c r="A4788" s="64" t="s">
        <v>209</v>
      </c>
      <c r="B4788" s="79" t="str">
        <f>IF(Twentieth!B41="", "",Twentieth!B41)</f>
        <v>Centre Head</v>
      </c>
      <c r="C4788" s="66" t="str">
        <f>IF(Twentieth!C41="", "",Twentieth!C41)</f>
        <v>PwC</v>
      </c>
      <c r="D4788" s="66" t="str">
        <f>IF(Twentieth!D41="", "",Twentieth!D41)</f>
        <v>Returning</v>
      </c>
      <c r="E4788" s="66" t="str">
        <f>IF(Twentieth!E41="", "",Twentieth!E41)</f>
        <v>Female</v>
      </c>
      <c r="F4788" s="66" t="str">
        <f>IF(Twentieth!F41="", "",Twentieth!F41)</f>
        <v>Breast</v>
      </c>
      <c r="G4788" s="66" t="str">
        <f>IF(Twentieth!G41="", "",Twentieth!G41)</f>
        <v>Curative Intent</v>
      </c>
      <c r="H4788" s="66" t="str">
        <f>IF(Twentieth!H41="", "",Twentieth!H41)</f>
        <v>Drop-In</v>
      </c>
      <c r="I4788" s="66" t="str">
        <f>IF(Twentieth!I41="", "",Twentieth!I41)</f>
        <v/>
      </c>
      <c r="J4788" s="66" t="str">
        <f>IF(Twentieth!J41="", "",Twentieth!J41)</f>
        <v/>
      </c>
      <c r="K4788" s="86" t="str">
        <f>IF(Twentieth!K41="", "",Twentieth!K41)</f>
        <v/>
      </c>
      <c r="M4788" s="67">
        <f t="shared" si="227"/>
        <v>7</v>
      </c>
      <c r="N4788" s="76" t="str">
        <f t="shared" si="228"/>
        <v/>
      </c>
      <c r="O4788" s="33">
        <f t="shared" si="229"/>
        <v>7</v>
      </c>
    </row>
    <row r="4789" spans="1:15" x14ac:dyDescent="0.25">
      <c r="A4789" s="64" t="s">
        <v>209</v>
      </c>
      <c r="B4789" s="79" t="str">
        <f>IF(Twentieth!B42="", "",Twentieth!B42)</f>
        <v>Centre Head</v>
      </c>
      <c r="C4789" s="66" t="str">
        <f>IF(Twentieth!C42="", "",Twentieth!C42)</f>
        <v>Carer</v>
      </c>
      <c r="D4789" s="66" t="str">
        <f>IF(Twentieth!D42="", "",Twentieth!D42)</f>
        <v>Returning</v>
      </c>
      <c r="E4789" s="66" t="str">
        <f>IF(Twentieth!E42="", "",Twentieth!E42)</f>
        <v>Female</v>
      </c>
      <c r="F4789" s="66" t="str">
        <f>IF(Twentieth!F42="", "",Twentieth!F42)</f>
        <v>Breast</v>
      </c>
      <c r="G4789" s="66" t="str">
        <f>IF(Twentieth!G42="", "",Twentieth!G42)</f>
        <v>Curative Intent</v>
      </c>
      <c r="H4789" s="66" t="str">
        <f>IF(Twentieth!H42="", "",Twentieth!H42)</f>
        <v>Drop-In</v>
      </c>
      <c r="I4789" s="66" t="str">
        <f>IF(Twentieth!I42="", "",Twentieth!I42)</f>
        <v/>
      </c>
      <c r="J4789" s="66" t="str">
        <f>IF(Twentieth!J42="", "",Twentieth!J42)</f>
        <v/>
      </c>
      <c r="K4789" s="86" t="str">
        <f>IF(Twentieth!K42="", "",Twentieth!K42)</f>
        <v/>
      </c>
      <c r="M4789" s="67" t="str">
        <f t="shared" si="227"/>
        <v/>
      </c>
      <c r="N4789" s="76">
        <f t="shared" si="228"/>
        <v>7</v>
      </c>
      <c r="O4789" s="33">
        <f t="shared" si="229"/>
        <v>7</v>
      </c>
    </row>
    <row r="4790" spans="1:15" x14ac:dyDescent="0.25">
      <c r="A4790" s="64" t="s">
        <v>209</v>
      </c>
      <c r="B4790" s="79" t="str">
        <f>IF(Twentieth!B43="", "",Twentieth!B43)</f>
        <v>Centre Head</v>
      </c>
      <c r="C4790" s="66" t="str">
        <f>IF(Twentieth!C43="", "",Twentieth!C43)</f>
        <v>Carer</v>
      </c>
      <c r="D4790" s="66" t="str">
        <f>IF(Twentieth!D43="", "",Twentieth!D43)</f>
        <v>Returning</v>
      </c>
      <c r="E4790" s="66" t="str">
        <f>IF(Twentieth!E43="", "",Twentieth!E43)</f>
        <v>Male</v>
      </c>
      <c r="F4790" s="66" t="str">
        <f>IF(Twentieth!F43="", "",Twentieth!F43)</f>
        <v>Breast</v>
      </c>
      <c r="G4790" s="66" t="str">
        <f>IF(Twentieth!G43="", "",Twentieth!G43)</f>
        <v>Curative Intent</v>
      </c>
      <c r="H4790" s="66" t="str">
        <f>IF(Twentieth!H43="", "",Twentieth!H43)</f>
        <v>Drop-In</v>
      </c>
      <c r="I4790" s="66" t="str">
        <f>IF(Twentieth!I43="", "",Twentieth!I43)</f>
        <v/>
      </c>
      <c r="J4790" s="66" t="str">
        <f>IF(Twentieth!J43="", "",Twentieth!J43)</f>
        <v/>
      </c>
      <c r="K4790" s="86" t="str">
        <f>IF(Twentieth!K43="", "",Twentieth!K43)</f>
        <v/>
      </c>
      <c r="M4790" s="67" t="str">
        <f t="shared" si="227"/>
        <v/>
      </c>
      <c r="N4790" s="76">
        <f t="shared" si="228"/>
        <v>7</v>
      </c>
      <c r="O4790" s="33">
        <f t="shared" si="229"/>
        <v>7</v>
      </c>
    </row>
    <row r="4791" spans="1:15" x14ac:dyDescent="0.25">
      <c r="A4791" s="64" t="s">
        <v>209</v>
      </c>
      <c r="B4791" s="79" t="str">
        <f>IF(Twentieth!B44="", "",Twentieth!B44)</f>
        <v>Centre Head</v>
      </c>
      <c r="C4791" s="66" t="str">
        <f>IF(Twentieth!C44="", "",Twentieth!C44)</f>
        <v>PwC</v>
      </c>
      <c r="D4791" s="66" t="str">
        <f>IF(Twentieth!D44="", "",Twentieth!D44)</f>
        <v>Returning</v>
      </c>
      <c r="E4791" s="66" t="str">
        <f>IF(Twentieth!E44="", "",Twentieth!E44)</f>
        <v>Male</v>
      </c>
      <c r="F4791" s="66" t="str">
        <f>IF(Twentieth!F44="", "",Twentieth!F44)</f>
        <v>rare</v>
      </c>
      <c r="G4791" s="66" t="str">
        <f>IF(Twentieth!G44="", "",Twentieth!G44)</f>
        <v>Non-Curative Intent</v>
      </c>
      <c r="H4791" s="66" t="str">
        <f>IF(Twentieth!H44="", "",Twentieth!H44)</f>
        <v>Booked</v>
      </c>
      <c r="I4791" s="66" t="str">
        <f>IF(Twentieth!I44="", "",Twentieth!I44)</f>
        <v>Psych Support - Individual</v>
      </c>
      <c r="J4791" s="66" t="str">
        <f>IF(Twentieth!J44="", "",Twentieth!J44)</f>
        <v/>
      </c>
      <c r="K4791" s="86" t="str">
        <f>IF(Twentieth!K44="", "",Twentieth!K44)</f>
        <v/>
      </c>
      <c r="M4791" s="67">
        <f t="shared" si="227"/>
        <v>7</v>
      </c>
      <c r="N4791" s="76" t="str">
        <f t="shared" si="228"/>
        <v/>
      </c>
      <c r="O4791" s="33">
        <f t="shared" si="229"/>
        <v>7</v>
      </c>
    </row>
    <row r="4792" spans="1:15" x14ac:dyDescent="0.25">
      <c r="A4792" s="64" t="s">
        <v>209</v>
      </c>
      <c r="B4792" s="79" t="str">
        <f>IF(Twentieth!B45="", "",Twentieth!B45)</f>
        <v>Centre Head</v>
      </c>
      <c r="C4792" s="66" t="str">
        <f>IF(Twentieth!C45="", "",Twentieth!C45)</f>
        <v>Carer</v>
      </c>
      <c r="D4792" s="66" t="str">
        <f>IF(Twentieth!D45="", "",Twentieth!D45)</f>
        <v>Returning</v>
      </c>
      <c r="E4792" s="66" t="str">
        <f>IF(Twentieth!E45="", "",Twentieth!E45)</f>
        <v>Male</v>
      </c>
      <c r="F4792" s="66" t="str">
        <f>IF(Twentieth!F45="", "",Twentieth!F45)</f>
        <v>Haemat</v>
      </c>
      <c r="G4792" s="66" t="str">
        <f>IF(Twentieth!G45="", "",Twentieth!G45)</f>
        <v>Non-Curative Intent</v>
      </c>
      <c r="H4792" s="66" t="str">
        <f>IF(Twentieth!H45="", "",Twentieth!H45)</f>
        <v>Drop-In</v>
      </c>
      <c r="I4792" s="66" t="str">
        <f>IF(Twentieth!I45="", "",Twentieth!I45)</f>
        <v/>
      </c>
      <c r="J4792" s="66" t="str">
        <f>IF(Twentieth!J45="", "",Twentieth!J45)</f>
        <v/>
      </c>
      <c r="K4792" s="86" t="str">
        <f>IF(Twentieth!K45="", "",Twentieth!K45)</f>
        <v/>
      </c>
      <c r="M4792" s="67" t="str">
        <f t="shared" si="227"/>
        <v/>
      </c>
      <c r="N4792" s="76">
        <f t="shared" si="228"/>
        <v>7</v>
      </c>
      <c r="O4792" s="33">
        <f t="shared" si="229"/>
        <v>7</v>
      </c>
    </row>
    <row r="4793" spans="1:15" x14ac:dyDescent="0.25">
      <c r="A4793" s="64" t="s">
        <v>209</v>
      </c>
      <c r="B4793" s="79" t="str">
        <f>IF(Twentieth!B46="", "",Twentieth!B46)</f>
        <v>Centre Head</v>
      </c>
      <c r="C4793" s="66" t="str">
        <f>IF(Twentieth!C46="", "",Twentieth!C46)</f>
        <v>PwC</v>
      </c>
      <c r="D4793" s="66" t="str">
        <f>IF(Twentieth!D46="", "",Twentieth!D46)</f>
        <v>Returning</v>
      </c>
      <c r="E4793" s="66" t="str">
        <f>IF(Twentieth!E46="", "",Twentieth!E46)</f>
        <v>Male</v>
      </c>
      <c r="F4793" s="66" t="str">
        <f>IF(Twentieth!F46="", "",Twentieth!F46)</f>
        <v>Brain/CNS</v>
      </c>
      <c r="G4793" s="66" t="str">
        <f>IF(Twentieth!G46="", "",Twentieth!G46)</f>
        <v>Non-Curative Intent</v>
      </c>
      <c r="H4793" s="66" t="str">
        <f>IF(Twentieth!H46="", "",Twentieth!H46)</f>
        <v>Booked</v>
      </c>
      <c r="I4793" s="66" t="str">
        <f>IF(Twentieth!I46="", "",Twentieth!I46)</f>
        <v>Psych Support - Individual</v>
      </c>
      <c r="J4793" s="66" t="str">
        <f>IF(Twentieth!J46="", "",Twentieth!J46)</f>
        <v/>
      </c>
      <c r="K4793" s="86" t="str">
        <f>IF(Twentieth!K46="", "",Twentieth!K46)</f>
        <v/>
      </c>
      <c r="M4793" s="67">
        <f t="shared" si="227"/>
        <v>7</v>
      </c>
      <c r="N4793" s="76" t="str">
        <f t="shared" si="228"/>
        <v/>
      </c>
      <c r="O4793" s="33">
        <f t="shared" si="229"/>
        <v>7</v>
      </c>
    </row>
    <row r="4794" spans="1:15" x14ac:dyDescent="0.25">
      <c r="A4794" s="64" t="s">
        <v>209</v>
      </c>
      <c r="B4794" s="79" t="str">
        <f>IF(Twentieth!B47="", "",Twentieth!B47)</f>
        <v>Centre Head</v>
      </c>
      <c r="C4794" s="66" t="str">
        <f>IF(Twentieth!C47="", "",Twentieth!C47)</f>
        <v>Carer</v>
      </c>
      <c r="D4794" s="66" t="str">
        <f>IF(Twentieth!D47="", "",Twentieth!D47)</f>
        <v>Returning</v>
      </c>
      <c r="E4794" s="66" t="str">
        <f>IF(Twentieth!E47="", "",Twentieth!E47)</f>
        <v>Female</v>
      </c>
      <c r="F4794" s="66" t="str">
        <f>IF(Twentieth!F47="", "",Twentieth!F47)</f>
        <v>Brain/CNS</v>
      </c>
      <c r="G4794" s="66" t="str">
        <f>IF(Twentieth!G47="", "",Twentieth!G47)</f>
        <v>Non-Curative Intent</v>
      </c>
      <c r="H4794" s="66" t="str">
        <f>IF(Twentieth!H47="", "",Twentieth!H47)</f>
        <v>Booked</v>
      </c>
      <c r="I4794" s="66" t="str">
        <f>IF(Twentieth!I47="", "",Twentieth!I47)</f>
        <v>Psych Support - Individual</v>
      </c>
      <c r="J4794" s="66" t="str">
        <f>IF(Twentieth!J47="", "",Twentieth!J47)</f>
        <v/>
      </c>
      <c r="K4794" s="86" t="str">
        <f>IF(Twentieth!K47="", "",Twentieth!K47)</f>
        <v/>
      </c>
      <c r="M4794" s="67" t="str">
        <f t="shared" si="227"/>
        <v/>
      </c>
      <c r="N4794" s="76">
        <f t="shared" si="228"/>
        <v>7</v>
      </c>
      <c r="O4794" s="33">
        <f t="shared" si="229"/>
        <v>7</v>
      </c>
    </row>
    <row r="4795" spans="1:15" x14ac:dyDescent="0.25">
      <c r="A4795" s="64" t="s">
        <v>209</v>
      </c>
      <c r="B4795" s="79" t="str">
        <f>IF(Twentieth!B48="", "",Twentieth!B48)</f>
        <v>Centre Head</v>
      </c>
      <c r="C4795" s="66" t="str">
        <f>IF(Twentieth!C48="", "",Twentieth!C48)</f>
        <v>PwC</v>
      </c>
      <c r="D4795" s="66" t="str">
        <f>IF(Twentieth!D48="", "",Twentieth!D48)</f>
        <v>New</v>
      </c>
      <c r="E4795" s="66" t="str">
        <f>IF(Twentieth!E48="", "",Twentieth!E48)</f>
        <v>Female</v>
      </c>
      <c r="F4795" s="66" t="str">
        <f>IF(Twentieth!F48="", "",Twentieth!F48)</f>
        <v>Breast</v>
      </c>
      <c r="G4795" s="66" t="str">
        <f>IF(Twentieth!G48="", "",Twentieth!G48)</f>
        <v>Curative Intent</v>
      </c>
      <c r="H4795" s="66" t="str">
        <f>IF(Twentieth!H48="", "",Twentieth!H48)</f>
        <v>Drop-In</v>
      </c>
      <c r="I4795" s="66" t="str">
        <f>IF(Twentieth!I48="", "",Twentieth!I48)</f>
        <v/>
      </c>
      <c r="J4795" s="66" t="str">
        <f>IF(Twentieth!J48="", "",Twentieth!J48)</f>
        <v/>
      </c>
      <c r="K4795" s="86" t="str">
        <f>IF(Twentieth!K48="", "",Twentieth!K48)</f>
        <v/>
      </c>
      <c r="M4795" s="67">
        <f t="shared" si="227"/>
        <v>7</v>
      </c>
      <c r="N4795" s="76" t="str">
        <f t="shared" si="228"/>
        <v/>
      </c>
      <c r="O4795" s="33">
        <f t="shared" si="229"/>
        <v>7</v>
      </c>
    </row>
    <row r="4796" spans="1:15" x14ac:dyDescent="0.25">
      <c r="A4796" s="64" t="s">
        <v>209</v>
      </c>
      <c r="B4796" s="79" t="str">
        <f>IF(Twentieth!B49="", "",Twentieth!B49)</f>
        <v>Centre Head</v>
      </c>
      <c r="C4796" s="66" t="str">
        <f>IF(Twentieth!C49="", "",Twentieth!C49)</f>
        <v>Carer</v>
      </c>
      <c r="D4796" s="66" t="str">
        <f>IF(Twentieth!D49="", "",Twentieth!D49)</f>
        <v>New</v>
      </c>
      <c r="E4796" s="66" t="str">
        <f>IF(Twentieth!E49="", "",Twentieth!E49)</f>
        <v>Female</v>
      </c>
      <c r="F4796" s="66" t="str">
        <f>IF(Twentieth!F49="", "",Twentieth!F49)</f>
        <v>Breast</v>
      </c>
      <c r="G4796" s="66" t="str">
        <f>IF(Twentieth!G49="", "",Twentieth!G49)</f>
        <v>Curative Intent</v>
      </c>
      <c r="H4796" s="66" t="str">
        <f>IF(Twentieth!H49="", "",Twentieth!H49)</f>
        <v>Drop-In</v>
      </c>
      <c r="I4796" s="66" t="str">
        <f>IF(Twentieth!I49="", "",Twentieth!I49)</f>
        <v/>
      </c>
      <c r="J4796" s="66" t="str">
        <f>IF(Twentieth!J49="", "",Twentieth!J49)</f>
        <v/>
      </c>
      <c r="K4796" s="86" t="str">
        <f>IF(Twentieth!K49="", "",Twentieth!K49)</f>
        <v/>
      </c>
      <c r="M4796" s="67" t="str">
        <f t="shared" si="227"/>
        <v/>
      </c>
      <c r="N4796" s="76">
        <f t="shared" si="228"/>
        <v>7</v>
      </c>
      <c r="O4796" s="33">
        <f t="shared" si="229"/>
        <v>7</v>
      </c>
    </row>
    <row r="4797" spans="1:15" x14ac:dyDescent="0.25">
      <c r="A4797" s="64" t="s">
        <v>209</v>
      </c>
      <c r="B4797" s="79" t="str">
        <f>IF(Twentieth!B50="", "",Twentieth!B50)</f>
        <v>Centre Head</v>
      </c>
      <c r="C4797" s="66" t="str">
        <f>IF(Twentieth!C50="", "",Twentieth!C50)</f>
        <v>Carer</v>
      </c>
      <c r="D4797" s="66" t="str">
        <f>IF(Twentieth!D50="", "",Twentieth!D50)</f>
        <v>New</v>
      </c>
      <c r="E4797" s="66" t="str">
        <f>IF(Twentieth!E50="", "",Twentieth!E50)</f>
        <v>Female</v>
      </c>
      <c r="F4797" s="66" t="str">
        <f>IF(Twentieth!F50="", "",Twentieth!F50)</f>
        <v>Breast</v>
      </c>
      <c r="G4797" s="66" t="str">
        <f>IF(Twentieth!G50="", "",Twentieth!G50)</f>
        <v>Curative Intent</v>
      </c>
      <c r="H4797" s="66" t="str">
        <f>IF(Twentieth!H50="", "",Twentieth!H50)</f>
        <v>Drop-In</v>
      </c>
      <c r="I4797" s="66" t="str">
        <f>IF(Twentieth!I50="", "",Twentieth!I50)</f>
        <v/>
      </c>
      <c r="J4797" s="66" t="str">
        <f>IF(Twentieth!J50="", "",Twentieth!J50)</f>
        <v/>
      </c>
      <c r="K4797" s="86" t="str">
        <f>IF(Twentieth!K50="", "",Twentieth!K50)</f>
        <v/>
      </c>
      <c r="M4797" s="67" t="str">
        <f t="shared" si="227"/>
        <v/>
      </c>
      <c r="N4797" s="76">
        <f t="shared" si="228"/>
        <v>7</v>
      </c>
      <c r="O4797" s="33">
        <f t="shared" si="229"/>
        <v>7</v>
      </c>
    </row>
    <row r="4798" spans="1:15" x14ac:dyDescent="0.25">
      <c r="A4798" s="64" t="s">
        <v>209</v>
      </c>
      <c r="B4798" s="79" t="str">
        <f>IF(Twentieth!B51="", "",Twentieth!B51)</f>
        <v>CSS</v>
      </c>
      <c r="C4798" s="66" t="str">
        <f>IF(Twentieth!C51="", "",Twentieth!C51)</f>
        <v>Carer</v>
      </c>
      <c r="D4798" s="66" t="str">
        <f>IF(Twentieth!D51="", "",Twentieth!D51)</f>
        <v>New</v>
      </c>
      <c r="E4798" s="66" t="str">
        <f>IF(Twentieth!E51="", "",Twentieth!E51)</f>
        <v>Female</v>
      </c>
      <c r="F4798" s="66" t="str">
        <f>IF(Twentieth!F51="", "",Twentieth!F51)</f>
        <v>Breast</v>
      </c>
      <c r="G4798" s="66" t="str">
        <f>IF(Twentieth!G51="", "",Twentieth!G51)</f>
        <v>Bereaved</v>
      </c>
      <c r="H4798" s="66" t="str">
        <f>IF(Twentieth!H51="", "",Twentieth!H51)</f>
        <v>Drop-In</v>
      </c>
      <c r="I4798" s="66" t="str">
        <f>IF(Twentieth!I51="", "",Twentieth!I51)</f>
        <v/>
      </c>
      <c r="J4798" s="66" t="str">
        <f>IF(Twentieth!J51="", "",Twentieth!J51)</f>
        <v/>
      </c>
      <c r="K4798" s="86" t="str">
        <f>IF(Twentieth!K51="", "",Twentieth!K51)</f>
        <v/>
      </c>
      <c r="M4798" s="67" t="str">
        <f t="shared" si="227"/>
        <v/>
      </c>
      <c r="N4798" s="76">
        <f t="shared" si="228"/>
        <v>7</v>
      </c>
      <c r="O4798" s="33">
        <f t="shared" si="229"/>
        <v>7</v>
      </c>
    </row>
    <row r="4799" spans="1:15" x14ac:dyDescent="0.25">
      <c r="A4799" s="64" t="s">
        <v>209</v>
      </c>
      <c r="B4799" s="79" t="str">
        <f>IF(Twentieth!B52="", "",Twentieth!B52)</f>
        <v>CSS</v>
      </c>
      <c r="C4799" s="66" t="str">
        <f>IF(Twentieth!C52="", "",Twentieth!C52)</f>
        <v>Carer</v>
      </c>
      <c r="D4799" s="66" t="str">
        <f>IF(Twentieth!D52="", "",Twentieth!D52)</f>
        <v>New</v>
      </c>
      <c r="E4799" s="66" t="str">
        <f>IF(Twentieth!E52="", "",Twentieth!E52)</f>
        <v>Female</v>
      </c>
      <c r="F4799" s="66" t="str">
        <f>IF(Twentieth!F52="", "",Twentieth!F52)</f>
        <v>Haemat</v>
      </c>
      <c r="G4799" s="66" t="str">
        <f>IF(Twentieth!G52="", "",Twentieth!G52)</f>
        <v>Curative Intent</v>
      </c>
      <c r="H4799" s="66" t="str">
        <f>IF(Twentieth!H52="", "",Twentieth!H52)</f>
        <v>Drop-In</v>
      </c>
      <c r="I4799" s="66" t="str">
        <f>IF(Twentieth!I52="", "",Twentieth!I52)</f>
        <v/>
      </c>
      <c r="J4799" s="66" t="str">
        <f>IF(Twentieth!J52="", "",Twentieth!J52)</f>
        <v/>
      </c>
      <c r="K4799" s="86" t="str">
        <f>IF(Twentieth!K52="", "",Twentieth!K52)</f>
        <v/>
      </c>
      <c r="M4799" s="67" t="str">
        <f t="shared" si="227"/>
        <v/>
      </c>
      <c r="N4799" s="76">
        <f t="shared" si="228"/>
        <v>7</v>
      </c>
      <c r="O4799" s="33">
        <f t="shared" si="229"/>
        <v>7</v>
      </c>
    </row>
    <row r="4800" spans="1:15" x14ac:dyDescent="0.25">
      <c r="A4800" s="64" t="s">
        <v>209</v>
      </c>
      <c r="B4800" s="79" t="str">
        <f>IF(Twentieth!B53="", "",Twentieth!B53)</f>
        <v>CSS</v>
      </c>
      <c r="C4800" s="66" t="str">
        <f>IF(Twentieth!C53="", "",Twentieth!C53)</f>
        <v>Carer</v>
      </c>
      <c r="D4800" s="66" t="str">
        <f>IF(Twentieth!D53="", "",Twentieth!D53)</f>
        <v>New</v>
      </c>
      <c r="E4800" s="66" t="str">
        <f>IF(Twentieth!E53="", "",Twentieth!E53)</f>
        <v>Female</v>
      </c>
      <c r="F4800" s="66" t="str">
        <f>IF(Twentieth!F53="", "",Twentieth!F53)</f>
        <v>Urolog</v>
      </c>
      <c r="G4800" s="66" t="str">
        <f>IF(Twentieth!G53="", "",Twentieth!G53)</f>
        <v>Curative Intent</v>
      </c>
      <c r="H4800" s="66" t="str">
        <f>IF(Twentieth!H53="", "",Twentieth!H53)</f>
        <v>Drop-In</v>
      </c>
      <c r="I4800" s="66" t="str">
        <f>IF(Twentieth!I53="", "",Twentieth!I53)</f>
        <v/>
      </c>
      <c r="J4800" s="66" t="str">
        <f>IF(Twentieth!J53="", "",Twentieth!J53)</f>
        <v/>
      </c>
      <c r="K4800" s="86" t="str">
        <f>IF(Twentieth!K53="", "",Twentieth!K53)</f>
        <v/>
      </c>
      <c r="M4800" s="67" t="str">
        <f t="shared" si="227"/>
        <v/>
      </c>
      <c r="N4800" s="76">
        <f t="shared" si="228"/>
        <v>7</v>
      </c>
      <c r="O4800" s="33">
        <f t="shared" si="229"/>
        <v>7</v>
      </c>
    </row>
    <row r="4801" spans="1:15" x14ac:dyDescent="0.25">
      <c r="A4801" s="64" t="s">
        <v>209</v>
      </c>
      <c r="B4801" s="79" t="str">
        <f>IF(Twentieth!B54="", "",Twentieth!B54)</f>
        <v>CSS</v>
      </c>
      <c r="C4801" s="66" t="str">
        <f>IF(Twentieth!C54="", "",Twentieth!C54)</f>
        <v>PwC</v>
      </c>
      <c r="D4801" s="66" t="str">
        <f>IF(Twentieth!D54="", "",Twentieth!D54)</f>
        <v>Returning</v>
      </c>
      <c r="E4801" s="66" t="str">
        <f>IF(Twentieth!E54="", "",Twentieth!E54)</f>
        <v>Female</v>
      </c>
      <c r="F4801" s="66" t="str">
        <f>IF(Twentieth!F54="", "",Twentieth!F54)</f>
        <v>Breast</v>
      </c>
      <c r="G4801" s="66" t="str">
        <f>IF(Twentieth!G54="", "",Twentieth!G54)</f>
        <v>Post Treatment - Curative Intent</v>
      </c>
      <c r="H4801" s="66" t="str">
        <f>IF(Twentieth!H54="", "",Twentieth!H54)</f>
        <v>Booked</v>
      </c>
      <c r="I4801" s="66" t="str">
        <f>IF(Twentieth!I54="", "",Twentieth!I54)</f>
        <v>Psych Support - Individual</v>
      </c>
      <c r="J4801" s="66" t="str">
        <f>IF(Twentieth!J54="", "",Twentieth!J54)</f>
        <v/>
      </c>
      <c r="K4801" s="86" t="str">
        <f>IF(Twentieth!K54="", "",Twentieth!K54)</f>
        <v/>
      </c>
      <c r="M4801" s="67">
        <f t="shared" si="227"/>
        <v>7</v>
      </c>
      <c r="N4801" s="76" t="str">
        <f t="shared" si="228"/>
        <v/>
      </c>
      <c r="O4801" s="33">
        <f t="shared" si="229"/>
        <v>7</v>
      </c>
    </row>
    <row r="4802" spans="1:15" x14ac:dyDescent="0.25">
      <c r="A4802" s="64" t="s">
        <v>209</v>
      </c>
      <c r="B4802" s="79" t="str">
        <f>IF(Twentieth!B55="", "",Twentieth!B55)</f>
        <v>CSS</v>
      </c>
      <c r="C4802" s="66" t="str">
        <f>IF(Twentieth!C55="", "",Twentieth!C55)</f>
        <v>Carer</v>
      </c>
      <c r="D4802" s="66" t="str">
        <f>IF(Twentieth!D55="", "",Twentieth!D55)</f>
        <v>Returning</v>
      </c>
      <c r="E4802" s="66" t="str">
        <f>IF(Twentieth!E55="", "",Twentieth!E55)</f>
        <v>Female</v>
      </c>
      <c r="F4802" s="66" t="str">
        <f>IF(Twentieth!F55="", "",Twentieth!F55)</f>
        <v>Lower GI</v>
      </c>
      <c r="G4802" s="66" t="str">
        <f>IF(Twentieth!G55="", "",Twentieth!G55)</f>
        <v>Non-Curative Intent</v>
      </c>
      <c r="H4802" s="66" t="str">
        <f>IF(Twentieth!H55="", "",Twentieth!H55)</f>
        <v>Booked</v>
      </c>
      <c r="I4802" s="66" t="str">
        <f>IF(Twentieth!I55="", "",Twentieth!I55)</f>
        <v>Psych Support - Individual</v>
      </c>
      <c r="J4802" s="66" t="str">
        <f>IF(Twentieth!J55="", "",Twentieth!J55)</f>
        <v/>
      </c>
      <c r="K4802" s="86" t="str">
        <f>IF(Twentieth!K55="", "",Twentieth!K55)</f>
        <v/>
      </c>
      <c r="M4802" s="67" t="str">
        <f t="shared" si="227"/>
        <v/>
      </c>
      <c r="N4802" s="76">
        <f t="shared" si="228"/>
        <v>7</v>
      </c>
      <c r="O4802" s="33">
        <f t="shared" si="229"/>
        <v>7</v>
      </c>
    </row>
    <row r="4803" spans="1:15" x14ac:dyDescent="0.25">
      <c r="A4803" s="64" t="s">
        <v>209</v>
      </c>
      <c r="B4803" s="79" t="str">
        <f>IF(Twentieth!B56="", "",Twentieth!B56)</f>
        <v>CSS</v>
      </c>
      <c r="C4803" s="66" t="str">
        <f>IF(Twentieth!C56="", "",Twentieth!C56)</f>
        <v>Carer</v>
      </c>
      <c r="D4803" s="66" t="str">
        <f>IF(Twentieth!D56="", "",Twentieth!D56)</f>
        <v>Returning</v>
      </c>
      <c r="E4803" s="66" t="str">
        <f>IF(Twentieth!E56="", "",Twentieth!E56)</f>
        <v>Female</v>
      </c>
      <c r="F4803" s="66" t="str">
        <f>IF(Twentieth!F56="", "",Twentieth!F56)</f>
        <v>Lung</v>
      </c>
      <c r="G4803" s="66" t="str">
        <f>IF(Twentieth!G56="", "",Twentieth!G56)</f>
        <v>Non-Curative Intent</v>
      </c>
      <c r="H4803" s="66" t="str">
        <f>IF(Twentieth!H56="", "",Twentieth!H56)</f>
        <v>Booked</v>
      </c>
      <c r="I4803" s="66" t="str">
        <f>IF(Twentieth!I56="", "",Twentieth!I56)</f>
        <v>Psych Support - Individual</v>
      </c>
      <c r="J4803" s="66" t="str">
        <f>IF(Twentieth!J56="", "",Twentieth!J56)</f>
        <v/>
      </c>
      <c r="K4803" s="86" t="str">
        <f>IF(Twentieth!K56="", "",Twentieth!K56)</f>
        <v/>
      </c>
      <c r="M4803" s="67" t="str">
        <f t="shared" si="227"/>
        <v/>
      </c>
      <c r="N4803" s="76">
        <f t="shared" si="228"/>
        <v>7</v>
      </c>
      <c r="O4803" s="33">
        <f t="shared" si="229"/>
        <v>7</v>
      </c>
    </row>
    <row r="4804" spans="1:15" x14ac:dyDescent="0.25">
      <c r="A4804" s="64" t="s">
        <v>209</v>
      </c>
      <c r="B4804" s="79" t="str">
        <f>IF(Twentieth!B57="", "",Twentieth!B57)</f>
        <v>CSS</v>
      </c>
      <c r="C4804" s="66" t="str">
        <f>IF(Twentieth!C57="", "",Twentieth!C57)</f>
        <v>Carer</v>
      </c>
      <c r="D4804" s="66" t="str">
        <f>IF(Twentieth!D57="", "",Twentieth!D57)</f>
        <v>New</v>
      </c>
      <c r="E4804" s="66" t="str">
        <f>IF(Twentieth!E57="", "",Twentieth!E57)</f>
        <v>Female</v>
      </c>
      <c r="F4804" s="66" t="str">
        <f>IF(Twentieth!F57="", "",Twentieth!F57)</f>
        <v>Lung</v>
      </c>
      <c r="G4804" s="66" t="str">
        <f>IF(Twentieth!G57="", "",Twentieth!G57)</f>
        <v>Non-Curative Intent</v>
      </c>
      <c r="H4804" s="66" t="str">
        <f>IF(Twentieth!H57="", "",Twentieth!H57)</f>
        <v>Drop-In</v>
      </c>
      <c r="I4804" s="66" t="str">
        <f>IF(Twentieth!I57="", "",Twentieth!I57)</f>
        <v/>
      </c>
      <c r="J4804" s="66" t="str">
        <f>IF(Twentieth!J57="", "",Twentieth!J57)</f>
        <v/>
      </c>
      <c r="K4804" s="86" t="str">
        <f>IF(Twentieth!K57="", "",Twentieth!K57)</f>
        <v/>
      </c>
      <c r="M4804" s="67" t="str">
        <f t="shared" si="227"/>
        <v/>
      </c>
      <c r="N4804" s="76">
        <f t="shared" si="228"/>
        <v>7</v>
      </c>
      <c r="O4804" s="33">
        <f t="shared" si="229"/>
        <v>7</v>
      </c>
    </row>
    <row r="4805" spans="1:15" x14ac:dyDescent="0.25">
      <c r="A4805" s="64" t="s">
        <v>209</v>
      </c>
      <c r="B4805" s="79" t="str">
        <f>IF(Twentieth!B58="", "",Twentieth!B58)</f>
        <v>CSS</v>
      </c>
      <c r="C4805" s="66" t="str">
        <f>IF(Twentieth!C58="", "",Twentieth!C58)</f>
        <v>PwC</v>
      </c>
      <c r="D4805" s="66" t="str">
        <f>IF(Twentieth!D58="", "",Twentieth!D58)</f>
        <v>Returning</v>
      </c>
      <c r="E4805" s="66" t="str">
        <f>IF(Twentieth!E58="", "",Twentieth!E58)</f>
        <v>Female</v>
      </c>
      <c r="F4805" s="66" t="str">
        <f>IF(Twentieth!F58="", "",Twentieth!F58)</f>
        <v>Gynae</v>
      </c>
      <c r="G4805" s="66" t="str">
        <f>IF(Twentieth!G58="", "",Twentieth!G58)</f>
        <v>Non-Curative Intent</v>
      </c>
      <c r="H4805" s="66" t="str">
        <f>IF(Twentieth!H58="", "",Twentieth!H58)</f>
        <v>Drop-In</v>
      </c>
      <c r="I4805" s="66" t="str">
        <f>IF(Twentieth!I58="", "",Twentieth!I58)</f>
        <v/>
      </c>
      <c r="J4805" s="66" t="str">
        <f>IF(Twentieth!J58="", "",Twentieth!J58)</f>
        <v/>
      </c>
      <c r="K4805" s="86" t="str">
        <f>IF(Twentieth!K58="", "",Twentieth!K58)</f>
        <v/>
      </c>
      <c r="M4805" s="67">
        <f t="shared" si="227"/>
        <v>7</v>
      </c>
      <c r="N4805" s="76" t="str">
        <f t="shared" si="228"/>
        <v/>
      </c>
      <c r="O4805" s="33">
        <f t="shared" si="229"/>
        <v>7</v>
      </c>
    </row>
    <row r="4806" spans="1:15" x14ac:dyDescent="0.25">
      <c r="A4806" s="64" t="s">
        <v>209</v>
      </c>
      <c r="B4806" s="79" t="str">
        <f>IF(Twentieth!B59="", "",Twentieth!B59)</f>
        <v>CSS</v>
      </c>
      <c r="C4806" s="66" t="str">
        <f>IF(Twentieth!C59="", "",Twentieth!C59)</f>
        <v>PwC</v>
      </c>
      <c r="D4806" s="66" t="str">
        <f>IF(Twentieth!D59="", "",Twentieth!D59)</f>
        <v>Returning</v>
      </c>
      <c r="E4806" s="66" t="str">
        <f>IF(Twentieth!E59="", "",Twentieth!E59)</f>
        <v>Female</v>
      </c>
      <c r="F4806" s="66" t="str">
        <f>IF(Twentieth!F59="", "",Twentieth!F59)</f>
        <v>Gynae</v>
      </c>
      <c r="G4806" s="66" t="str">
        <f>IF(Twentieth!G59="", "",Twentieth!G59)</f>
        <v>Non-Curative Intent</v>
      </c>
      <c r="H4806" s="66" t="str">
        <f>IF(Twentieth!H59="", "",Twentieth!H59)</f>
        <v>Drop-In</v>
      </c>
      <c r="I4806" s="66" t="str">
        <f>IF(Twentieth!I59="", "",Twentieth!I59)</f>
        <v/>
      </c>
      <c r="J4806" s="66" t="str">
        <f>IF(Twentieth!J59="", "",Twentieth!J59)</f>
        <v/>
      </c>
      <c r="K4806" s="86" t="str">
        <f>IF(Twentieth!K59="", "",Twentieth!K59)</f>
        <v/>
      </c>
      <c r="M4806" s="67">
        <f t="shared" si="227"/>
        <v>7</v>
      </c>
      <c r="N4806" s="76" t="str">
        <f t="shared" si="228"/>
        <v/>
      </c>
      <c r="O4806" s="33">
        <f t="shared" si="229"/>
        <v>7</v>
      </c>
    </row>
    <row r="4807" spans="1:15" x14ac:dyDescent="0.25">
      <c r="A4807" s="64" t="s">
        <v>209</v>
      </c>
      <c r="B4807" s="79" t="str">
        <f>IF(Twentieth!B60="", "",Twentieth!B60)</f>
        <v>CSS</v>
      </c>
      <c r="C4807" s="66" t="str">
        <f>IF(Twentieth!C60="", "",Twentieth!C60)</f>
        <v>Carer</v>
      </c>
      <c r="D4807" s="66" t="str">
        <f>IF(Twentieth!D60="", "",Twentieth!D60)</f>
        <v>Returning</v>
      </c>
      <c r="E4807" s="66" t="str">
        <f>IF(Twentieth!E60="", "",Twentieth!E60)</f>
        <v>Male</v>
      </c>
      <c r="F4807" s="66" t="str">
        <f>IF(Twentieth!F60="", "",Twentieth!F60)</f>
        <v>Haemat</v>
      </c>
      <c r="G4807" s="66" t="str">
        <f>IF(Twentieth!G60="", "",Twentieth!G60)</f>
        <v>Bereaved</v>
      </c>
      <c r="H4807" s="66" t="str">
        <f>IF(Twentieth!H60="", "",Twentieth!H60)</f>
        <v>Drop-In</v>
      </c>
      <c r="I4807" s="66" t="str">
        <f>IF(Twentieth!I60="", "",Twentieth!I60)</f>
        <v/>
      </c>
      <c r="J4807" s="66" t="str">
        <f>IF(Twentieth!J60="", "",Twentieth!J60)</f>
        <v/>
      </c>
      <c r="K4807" s="86" t="str">
        <f>IF(Twentieth!K60="", "",Twentieth!K60)</f>
        <v/>
      </c>
      <c r="M4807" s="67" t="str">
        <f t="shared" si="227"/>
        <v/>
      </c>
      <c r="N4807" s="76">
        <f t="shared" si="228"/>
        <v>7</v>
      </c>
      <c r="O4807" s="33">
        <f t="shared" si="229"/>
        <v>7</v>
      </c>
    </row>
    <row r="4808" spans="1:15" x14ac:dyDescent="0.25">
      <c r="A4808" s="64" t="s">
        <v>209</v>
      </c>
      <c r="B4808" s="79" t="str">
        <f>IF(Twentieth!B61="", "",Twentieth!B61)</f>
        <v>CSS</v>
      </c>
      <c r="C4808" s="66" t="str">
        <f>IF(Twentieth!C61="", "",Twentieth!C61)</f>
        <v>Carer</v>
      </c>
      <c r="D4808" s="66" t="str">
        <f>IF(Twentieth!D61="", "",Twentieth!D61)</f>
        <v>Returning</v>
      </c>
      <c r="E4808" s="66" t="str">
        <f>IF(Twentieth!E61="", "",Twentieth!E61)</f>
        <v>Male</v>
      </c>
      <c r="F4808" s="66" t="str">
        <f>IF(Twentieth!F61="", "",Twentieth!F61)</f>
        <v>Haemat</v>
      </c>
      <c r="G4808" s="66" t="str">
        <f>IF(Twentieth!G61="", "",Twentieth!G61)</f>
        <v>Bereaved</v>
      </c>
      <c r="H4808" s="66" t="str">
        <f>IF(Twentieth!H61="", "",Twentieth!H61)</f>
        <v>Drop-In</v>
      </c>
      <c r="I4808" s="66" t="str">
        <f>IF(Twentieth!I61="", "",Twentieth!I61)</f>
        <v/>
      </c>
      <c r="J4808" s="66" t="str">
        <f>IF(Twentieth!J61="", "",Twentieth!J61)</f>
        <v/>
      </c>
      <c r="K4808" s="86" t="str">
        <f>IF(Twentieth!K61="", "",Twentieth!K61)</f>
        <v/>
      </c>
      <c r="M4808" s="67" t="str">
        <f t="shared" si="227"/>
        <v/>
      </c>
      <c r="N4808" s="76">
        <f t="shared" si="228"/>
        <v>7</v>
      </c>
      <c r="O4808" s="33">
        <f t="shared" si="229"/>
        <v>7</v>
      </c>
    </row>
    <row r="4809" spans="1:15" x14ac:dyDescent="0.25">
      <c r="A4809" s="64" t="s">
        <v>209</v>
      </c>
      <c r="B4809" s="79" t="str">
        <f>IF(Twentieth!B62="", "",Twentieth!B62)</f>
        <v>Sessional Staff</v>
      </c>
      <c r="C4809" s="66" t="str">
        <f>IF(Twentieth!C62="", "",Twentieth!C62)</f>
        <v>PwC</v>
      </c>
      <c r="D4809" s="66" t="str">
        <f>IF(Twentieth!D62="", "",Twentieth!D62)</f>
        <v>New</v>
      </c>
      <c r="E4809" s="66" t="str">
        <f>IF(Twentieth!E62="", "",Twentieth!E62)</f>
        <v>Female</v>
      </c>
      <c r="F4809" s="66" t="str">
        <f>IF(Twentieth!F62="", "",Twentieth!F62)</f>
        <v>Breast</v>
      </c>
      <c r="G4809" s="66" t="str">
        <f>IF(Twentieth!G62="", "",Twentieth!G62)</f>
        <v>Post Treatment - Curative Intent</v>
      </c>
      <c r="H4809" s="66" t="str">
        <f>IF(Twentieth!H62="", "",Twentieth!H62)</f>
        <v>Programme</v>
      </c>
      <c r="I4809" s="66" t="str">
        <f>IF(Twentieth!I62="", "",Twentieth!I62)</f>
        <v>Nutrition</v>
      </c>
      <c r="J4809" s="66" t="str">
        <f>IF(Twentieth!J62="", "",Twentieth!J62)</f>
        <v>Tai Chi/Qi Gong</v>
      </c>
      <c r="K4809" s="86" t="str">
        <f>IF(Twentieth!K62="", "",Twentieth!K62)</f>
        <v>Gentle Exercise</v>
      </c>
      <c r="M4809" s="67">
        <f t="shared" si="227"/>
        <v>7</v>
      </c>
      <c r="N4809" s="76" t="str">
        <f t="shared" si="228"/>
        <v/>
      </c>
      <c r="O4809" s="33">
        <f t="shared" si="229"/>
        <v>7</v>
      </c>
    </row>
    <row r="4810" spans="1:15" x14ac:dyDescent="0.25">
      <c r="A4810" s="64" t="s">
        <v>209</v>
      </c>
      <c r="B4810" s="79" t="str">
        <f>IF(Twentieth!B63="", "",Twentieth!B63)</f>
        <v>Sessional Staff</v>
      </c>
      <c r="C4810" s="66" t="str">
        <f>IF(Twentieth!C63="", "",Twentieth!C63)</f>
        <v>PwC</v>
      </c>
      <c r="D4810" s="66" t="str">
        <f>IF(Twentieth!D63="", "",Twentieth!D63)</f>
        <v>New</v>
      </c>
      <c r="E4810" s="66" t="str">
        <f>IF(Twentieth!E63="", "",Twentieth!E63)</f>
        <v>Female</v>
      </c>
      <c r="F4810" s="66" t="str">
        <f>IF(Twentieth!F63="", "",Twentieth!F63)</f>
        <v>Breast</v>
      </c>
      <c r="G4810" s="66" t="str">
        <f>IF(Twentieth!G63="", "",Twentieth!G63)</f>
        <v>Post Treatment - Curative Intent</v>
      </c>
      <c r="H4810" s="66" t="str">
        <f>IF(Twentieth!H63="", "",Twentieth!H63)</f>
        <v>Programme</v>
      </c>
      <c r="I4810" s="66" t="str">
        <f>IF(Twentieth!I63="", "",Twentieth!I63)</f>
        <v>Nutrition</v>
      </c>
      <c r="J4810" s="66" t="str">
        <f>IF(Twentieth!J63="", "",Twentieth!J63)</f>
        <v>Tai Chi/Qi Gong</v>
      </c>
      <c r="K4810" s="86" t="str">
        <f>IF(Twentieth!K63="", "",Twentieth!K63)</f>
        <v>Gentle Exercise</v>
      </c>
      <c r="M4810" s="67">
        <f t="shared" si="227"/>
        <v>7</v>
      </c>
      <c r="N4810" s="76" t="str">
        <f t="shared" si="228"/>
        <v/>
      </c>
      <c r="O4810" s="33">
        <f t="shared" si="229"/>
        <v>7</v>
      </c>
    </row>
    <row r="4811" spans="1:15" x14ac:dyDescent="0.25">
      <c r="A4811" s="64" t="s">
        <v>209</v>
      </c>
      <c r="B4811" s="79" t="str">
        <f>IF(Twentieth!B64="", "",Twentieth!B64)</f>
        <v>Sessional Staff</v>
      </c>
      <c r="C4811" s="66" t="str">
        <f>IF(Twentieth!C64="", "",Twentieth!C64)</f>
        <v>PwC</v>
      </c>
      <c r="D4811" s="66" t="str">
        <f>IF(Twentieth!D64="", "",Twentieth!D64)</f>
        <v>New</v>
      </c>
      <c r="E4811" s="66" t="str">
        <f>IF(Twentieth!E64="", "",Twentieth!E64)</f>
        <v>Female</v>
      </c>
      <c r="F4811" s="66" t="str">
        <f>IF(Twentieth!F64="", "",Twentieth!F64)</f>
        <v>Breast</v>
      </c>
      <c r="G4811" s="66" t="str">
        <f>IF(Twentieth!G64="", "",Twentieth!G64)</f>
        <v>Post Treatment - Curative Intent</v>
      </c>
      <c r="H4811" s="66" t="str">
        <f>IF(Twentieth!H64="", "",Twentieth!H64)</f>
        <v>Programme</v>
      </c>
      <c r="I4811" s="66" t="str">
        <f>IF(Twentieth!I64="", "",Twentieth!I64)</f>
        <v>Nutrition</v>
      </c>
      <c r="J4811" s="66" t="str">
        <f>IF(Twentieth!J64="", "",Twentieth!J64)</f>
        <v>Tai Chi/Qi Gong</v>
      </c>
      <c r="K4811" s="86" t="str">
        <f>IF(Twentieth!K64="", "",Twentieth!K64)</f>
        <v>Gentle Exercise</v>
      </c>
      <c r="M4811" s="67">
        <f t="shared" si="227"/>
        <v>7</v>
      </c>
      <c r="N4811" s="76" t="str">
        <f t="shared" si="228"/>
        <v/>
      </c>
      <c r="O4811" s="33">
        <f t="shared" si="229"/>
        <v>7</v>
      </c>
    </row>
    <row r="4812" spans="1:15" x14ac:dyDescent="0.25">
      <c r="A4812" s="64" t="s">
        <v>209</v>
      </c>
      <c r="B4812" s="79" t="str">
        <f>IF(Twentieth!B65="", "",Twentieth!B65)</f>
        <v>Sessional Staff</v>
      </c>
      <c r="C4812" s="66" t="str">
        <f>IF(Twentieth!C65="", "",Twentieth!C65)</f>
        <v>PwC</v>
      </c>
      <c r="D4812" s="66" t="str">
        <f>IF(Twentieth!D65="", "",Twentieth!D65)</f>
        <v>New</v>
      </c>
      <c r="E4812" s="66" t="str">
        <f>IF(Twentieth!E65="", "",Twentieth!E65)</f>
        <v>Female</v>
      </c>
      <c r="F4812" s="66" t="str">
        <f>IF(Twentieth!F65="", "",Twentieth!F65)</f>
        <v>Breast</v>
      </c>
      <c r="G4812" s="66" t="str">
        <f>IF(Twentieth!G65="", "",Twentieth!G65)</f>
        <v>Post Treatment - Curative Intent</v>
      </c>
      <c r="H4812" s="66" t="str">
        <f>IF(Twentieth!H65="", "",Twentieth!H65)</f>
        <v>Programme</v>
      </c>
      <c r="I4812" s="66" t="str">
        <f>IF(Twentieth!I65="", "",Twentieth!I65)</f>
        <v>Nutrition</v>
      </c>
      <c r="J4812" s="66" t="str">
        <f>IF(Twentieth!J65="", "",Twentieth!J65)</f>
        <v>Tai Chi/Qi Gong</v>
      </c>
      <c r="K4812" s="86" t="str">
        <f>IF(Twentieth!K65="", "",Twentieth!K65)</f>
        <v>Gentle Exercise</v>
      </c>
      <c r="M4812" s="67">
        <f t="shared" si="227"/>
        <v>7</v>
      </c>
      <c r="N4812" s="76" t="str">
        <f t="shared" si="228"/>
        <v/>
      </c>
      <c r="O4812" s="33">
        <f t="shared" si="229"/>
        <v>7</v>
      </c>
    </row>
    <row r="4813" spans="1:15" x14ac:dyDescent="0.25">
      <c r="A4813" s="64" t="s">
        <v>209</v>
      </c>
      <c r="B4813" s="79" t="str">
        <f>IF(Twentieth!B66="", "",Twentieth!B66)</f>
        <v>Sessional Staff</v>
      </c>
      <c r="C4813" s="66" t="str">
        <f>IF(Twentieth!C66="", "",Twentieth!C66)</f>
        <v>PwC</v>
      </c>
      <c r="D4813" s="66" t="str">
        <f>IF(Twentieth!D66="", "",Twentieth!D66)</f>
        <v>New</v>
      </c>
      <c r="E4813" s="66" t="str">
        <f>IF(Twentieth!E66="", "",Twentieth!E66)</f>
        <v>Female</v>
      </c>
      <c r="F4813" s="66" t="str">
        <f>IF(Twentieth!F66="", "",Twentieth!F66)</f>
        <v>Breast</v>
      </c>
      <c r="G4813" s="66" t="str">
        <f>IF(Twentieth!G66="", "",Twentieth!G66)</f>
        <v>Post Treatment - Curative Intent</v>
      </c>
      <c r="H4813" s="66" t="str">
        <f>IF(Twentieth!H66="", "",Twentieth!H66)</f>
        <v>Programme</v>
      </c>
      <c r="I4813" s="66" t="str">
        <f>IF(Twentieth!I66="", "",Twentieth!I66)</f>
        <v>Nutrition</v>
      </c>
      <c r="J4813" s="66" t="str">
        <f>IF(Twentieth!J66="", "",Twentieth!J66)</f>
        <v>Tai Chi/Qi Gong</v>
      </c>
      <c r="K4813" s="86" t="str">
        <f>IF(Twentieth!K66="", "",Twentieth!K66)</f>
        <v>Gentle Exercise</v>
      </c>
      <c r="M4813" s="67">
        <f t="shared" si="227"/>
        <v>7</v>
      </c>
      <c r="N4813" s="76" t="str">
        <f t="shared" si="228"/>
        <v/>
      </c>
      <c r="O4813" s="33">
        <f t="shared" si="229"/>
        <v>7</v>
      </c>
    </row>
    <row r="4814" spans="1:15" x14ac:dyDescent="0.25">
      <c r="A4814" s="64" t="s">
        <v>209</v>
      </c>
      <c r="B4814" s="79" t="str">
        <f>IF(Twentieth!B67="", "",Twentieth!B67)</f>
        <v>Sessional Staff</v>
      </c>
      <c r="C4814" s="66" t="str">
        <f>IF(Twentieth!C67="", "",Twentieth!C67)</f>
        <v>PwC</v>
      </c>
      <c r="D4814" s="66" t="str">
        <f>IF(Twentieth!D67="", "",Twentieth!D67)</f>
        <v>New</v>
      </c>
      <c r="E4814" s="66" t="str">
        <f>IF(Twentieth!E67="", "",Twentieth!E67)</f>
        <v>Female</v>
      </c>
      <c r="F4814" s="66" t="str">
        <f>IF(Twentieth!F67="", "",Twentieth!F67)</f>
        <v>Breast</v>
      </c>
      <c r="G4814" s="66" t="str">
        <f>IF(Twentieth!G67="", "",Twentieth!G67)</f>
        <v>Post Treatment - Curative Intent</v>
      </c>
      <c r="H4814" s="66" t="str">
        <f>IF(Twentieth!H67="", "",Twentieth!H67)</f>
        <v>Programme</v>
      </c>
      <c r="I4814" s="66" t="str">
        <f>IF(Twentieth!I67="", "",Twentieth!I67)</f>
        <v>Nutrition</v>
      </c>
      <c r="J4814" s="66" t="str">
        <f>IF(Twentieth!J67="", "",Twentieth!J67)</f>
        <v>Tai Chi/Qi Gong</v>
      </c>
      <c r="K4814" s="86" t="str">
        <f>IF(Twentieth!K67="", "",Twentieth!K67)</f>
        <v>Gentle Exercise</v>
      </c>
      <c r="M4814" s="67">
        <f t="shared" si="227"/>
        <v>7</v>
      </c>
      <c r="N4814" s="76" t="str">
        <f t="shared" si="228"/>
        <v/>
      </c>
      <c r="O4814" s="33">
        <f t="shared" si="229"/>
        <v>7</v>
      </c>
    </row>
    <row r="4815" spans="1:15" x14ac:dyDescent="0.25">
      <c r="A4815" s="64" t="s">
        <v>209</v>
      </c>
      <c r="B4815" s="79" t="str">
        <f>IF(Twentieth!B68="", "",Twentieth!B68)</f>
        <v>Sessional Staff</v>
      </c>
      <c r="C4815" s="66" t="str">
        <f>IF(Twentieth!C68="", "",Twentieth!C68)</f>
        <v>PwC</v>
      </c>
      <c r="D4815" s="66" t="str">
        <f>IF(Twentieth!D68="", "",Twentieth!D68)</f>
        <v>New</v>
      </c>
      <c r="E4815" s="66" t="str">
        <f>IF(Twentieth!E68="", "",Twentieth!E68)</f>
        <v>Female</v>
      </c>
      <c r="F4815" s="66" t="str">
        <f>IF(Twentieth!F68="", "",Twentieth!F68)</f>
        <v>Breast</v>
      </c>
      <c r="G4815" s="66" t="str">
        <f>IF(Twentieth!G68="", "",Twentieth!G68)</f>
        <v>Post Treatment - Curative Intent</v>
      </c>
      <c r="H4815" s="66" t="str">
        <f>IF(Twentieth!H68="", "",Twentieth!H68)</f>
        <v>Programme</v>
      </c>
      <c r="I4815" s="66" t="str">
        <f>IF(Twentieth!I68="", "",Twentieth!I68)</f>
        <v>Nutrition</v>
      </c>
      <c r="J4815" s="66" t="str">
        <f>IF(Twentieth!J68="", "",Twentieth!J68)</f>
        <v>Tai Chi/Qi Gong</v>
      </c>
      <c r="K4815" s="86" t="str">
        <f>IF(Twentieth!K68="", "",Twentieth!K68)</f>
        <v>Gentle Exercise</v>
      </c>
      <c r="M4815" s="67">
        <f t="shared" si="227"/>
        <v>7</v>
      </c>
      <c r="N4815" s="76" t="str">
        <f t="shared" si="228"/>
        <v/>
      </c>
      <c r="O4815" s="33">
        <f t="shared" si="229"/>
        <v>7</v>
      </c>
    </row>
    <row r="4816" spans="1:15" x14ac:dyDescent="0.25">
      <c r="A4816" s="64" t="s">
        <v>209</v>
      </c>
      <c r="B4816" s="79" t="str">
        <f>IF(Twentieth!B69="", "",Twentieth!B69)</f>
        <v>Sessional Staff</v>
      </c>
      <c r="C4816" s="66" t="str">
        <f>IF(Twentieth!C69="", "",Twentieth!C69)</f>
        <v>PwC</v>
      </c>
      <c r="D4816" s="66" t="str">
        <f>IF(Twentieth!D69="", "",Twentieth!D69)</f>
        <v>New</v>
      </c>
      <c r="E4816" s="66" t="str">
        <f>IF(Twentieth!E69="", "",Twentieth!E69)</f>
        <v>Female</v>
      </c>
      <c r="F4816" s="66" t="str">
        <f>IF(Twentieth!F69="", "",Twentieth!F69)</f>
        <v>Breast</v>
      </c>
      <c r="G4816" s="66" t="str">
        <f>IF(Twentieth!G69="", "",Twentieth!G69)</f>
        <v>Post Treatment - Curative Intent</v>
      </c>
      <c r="H4816" s="66" t="str">
        <f>IF(Twentieth!H69="", "",Twentieth!H69)</f>
        <v>Programme</v>
      </c>
      <c r="I4816" s="66" t="str">
        <f>IF(Twentieth!I69="", "",Twentieth!I69)</f>
        <v>Nutrition</v>
      </c>
      <c r="J4816" s="66" t="str">
        <f>IF(Twentieth!J69="", "",Twentieth!J69)</f>
        <v>Tai Chi/Qi Gong</v>
      </c>
      <c r="K4816" s="86" t="str">
        <f>IF(Twentieth!K69="", "",Twentieth!K69)</f>
        <v>Gentle Exercise</v>
      </c>
      <c r="M4816" s="67">
        <f t="shared" si="227"/>
        <v>7</v>
      </c>
      <c r="N4816" s="76" t="str">
        <f t="shared" si="228"/>
        <v/>
      </c>
      <c r="O4816" s="33">
        <f t="shared" si="229"/>
        <v>7</v>
      </c>
    </row>
    <row r="4817" spans="1:15" x14ac:dyDescent="0.25">
      <c r="A4817" s="64" t="s">
        <v>209</v>
      </c>
      <c r="B4817" s="79" t="str">
        <f>IF(Twentieth!B70="", "",Twentieth!B70)</f>
        <v>Sessional Staff</v>
      </c>
      <c r="C4817" s="66" t="str">
        <f>IF(Twentieth!C70="", "",Twentieth!C70)</f>
        <v>PwC</v>
      </c>
      <c r="D4817" s="66" t="str">
        <f>IF(Twentieth!D70="", "",Twentieth!D70)</f>
        <v>New</v>
      </c>
      <c r="E4817" s="66" t="str">
        <f>IF(Twentieth!E70="", "",Twentieth!E70)</f>
        <v>Female</v>
      </c>
      <c r="F4817" s="66" t="str">
        <f>IF(Twentieth!F70="", "",Twentieth!F70)</f>
        <v>Breast</v>
      </c>
      <c r="G4817" s="66" t="str">
        <f>IF(Twentieth!G70="", "",Twentieth!G70)</f>
        <v>Post Treatment - Curative Intent</v>
      </c>
      <c r="H4817" s="66" t="str">
        <f>IF(Twentieth!H70="", "",Twentieth!H70)</f>
        <v>Programme</v>
      </c>
      <c r="I4817" s="66" t="str">
        <f>IF(Twentieth!I70="", "",Twentieth!I70)</f>
        <v>Nutrition</v>
      </c>
      <c r="J4817" s="66" t="str">
        <f>IF(Twentieth!J70="", "",Twentieth!J70)</f>
        <v>Tai Chi/Qi Gong</v>
      </c>
      <c r="K4817" s="86" t="str">
        <f>IF(Twentieth!K70="", "",Twentieth!K70)</f>
        <v>Gentle Exercise</v>
      </c>
      <c r="M4817" s="67">
        <f t="shared" si="227"/>
        <v>7</v>
      </c>
      <c r="N4817" s="76" t="str">
        <f t="shared" si="228"/>
        <v/>
      </c>
      <c r="O4817" s="33">
        <f t="shared" si="229"/>
        <v>7</v>
      </c>
    </row>
    <row r="4818" spans="1:15" x14ac:dyDescent="0.25">
      <c r="A4818" s="64" t="s">
        <v>209</v>
      </c>
      <c r="B4818" s="79" t="str">
        <f>IF(Twentieth!B71="", "",Twentieth!B71)</f>
        <v>Sessional Staff</v>
      </c>
      <c r="C4818" s="66" t="str">
        <f>IF(Twentieth!C71="", "",Twentieth!C71)</f>
        <v>PwC</v>
      </c>
      <c r="D4818" s="66" t="str">
        <f>IF(Twentieth!D71="", "",Twentieth!D71)</f>
        <v>New</v>
      </c>
      <c r="E4818" s="66" t="str">
        <f>IF(Twentieth!E71="", "",Twentieth!E71)</f>
        <v>Female</v>
      </c>
      <c r="F4818" s="66" t="str">
        <f>IF(Twentieth!F71="", "",Twentieth!F71)</f>
        <v>Breast</v>
      </c>
      <c r="G4818" s="66" t="str">
        <f>IF(Twentieth!G71="", "",Twentieth!G71)</f>
        <v>Post Treatment - Curative Intent</v>
      </c>
      <c r="H4818" s="66" t="str">
        <f>IF(Twentieth!H71="", "",Twentieth!H71)</f>
        <v>Programme</v>
      </c>
      <c r="I4818" s="66" t="str">
        <f>IF(Twentieth!I71="", "",Twentieth!I71)</f>
        <v>Nutrition</v>
      </c>
      <c r="J4818" s="66" t="str">
        <f>IF(Twentieth!J71="", "",Twentieth!J71)</f>
        <v>Tai Chi/Qi Gong</v>
      </c>
      <c r="K4818" s="86" t="str">
        <f>IF(Twentieth!K71="", "",Twentieth!K71)</f>
        <v>Gentle Exercise</v>
      </c>
      <c r="M4818" s="67">
        <f t="shared" si="227"/>
        <v>7</v>
      </c>
      <c r="N4818" s="76" t="str">
        <f t="shared" si="228"/>
        <v/>
      </c>
      <c r="O4818" s="33">
        <f t="shared" si="229"/>
        <v>7</v>
      </c>
    </row>
    <row r="4819" spans="1:15" x14ac:dyDescent="0.25">
      <c r="A4819" s="64" t="s">
        <v>209</v>
      </c>
      <c r="B4819" s="79" t="str">
        <f>IF(Twentieth!B72="", "",Twentieth!B72)</f>
        <v>Sessional Staff</v>
      </c>
      <c r="C4819" s="66" t="str">
        <f>IF(Twentieth!C72="", "",Twentieth!C72)</f>
        <v>PwC</v>
      </c>
      <c r="D4819" s="66" t="str">
        <f>IF(Twentieth!D72="", "",Twentieth!D72)</f>
        <v>New</v>
      </c>
      <c r="E4819" s="66" t="str">
        <f>IF(Twentieth!E72="", "",Twentieth!E72)</f>
        <v>Female</v>
      </c>
      <c r="F4819" s="66" t="str">
        <f>IF(Twentieth!F72="", "",Twentieth!F72)</f>
        <v>Breast</v>
      </c>
      <c r="G4819" s="66" t="str">
        <f>IF(Twentieth!G72="", "",Twentieth!G72)</f>
        <v>Post Treatment - Curative Intent</v>
      </c>
      <c r="H4819" s="66" t="str">
        <f>IF(Twentieth!H72="", "",Twentieth!H72)</f>
        <v>Programme</v>
      </c>
      <c r="I4819" s="66" t="str">
        <f>IF(Twentieth!I72="", "",Twentieth!I72)</f>
        <v>Nutrition</v>
      </c>
      <c r="J4819" s="66" t="str">
        <f>IF(Twentieth!J72="", "",Twentieth!J72)</f>
        <v>Tai Chi/Qi Gong</v>
      </c>
      <c r="K4819" s="86" t="str">
        <f>IF(Twentieth!K72="", "",Twentieth!K72)</f>
        <v>Gentle Exercise</v>
      </c>
      <c r="M4819" s="67">
        <f t="shared" si="227"/>
        <v>7</v>
      </c>
      <c r="N4819" s="76" t="str">
        <f t="shared" si="228"/>
        <v/>
      </c>
      <c r="O4819" s="33">
        <f t="shared" si="229"/>
        <v>7</v>
      </c>
    </row>
    <row r="4820" spans="1:15" x14ac:dyDescent="0.25">
      <c r="A4820" s="64" t="s">
        <v>209</v>
      </c>
      <c r="B4820" s="79" t="str">
        <f>IF(Twentieth!B73="", "",Twentieth!B73)</f>
        <v>Sessional Staff</v>
      </c>
      <c r="C4820" s="66" t="str">
        <f>IF(Twentieth!C73="", "",Twentieth!C73)</f>
        <v>PwC</v>
      </c>
      <c r="D4820" s="66" t="str">
        <f>IF(Twentieth!D73="", "",Twentieth!D73)</f>
        <v>New</v>
      </c>
      <c r="E4820" s="66" t="str">
        <f>IF(Twentieth!E73="", "",Twentieth!E73)</f>
        <v>Female</v>
      </c>
      <c r="F4820" s="66" t="str">
        <f>IF(Twentieth!F73="", "",Twentieth!F73)</f>
        <v>Breast</v>
      </c>
      <c r="G4820" s="66" t="str">
        <f>IF(Twentieth!G73="", "",Twentieth!G73)</f>
        <v>Post Treatment - Curative Intent</v>
      </c>
      <c r="H4820" s="66" t="str">
        <f>IF(Twentieth!H73="", "",Twentieth!H73)</f>
        <v>Programme</v>
      </c>
      <c r="I4820" s="66" t="str">
        <f>IF(Twentieth!I73="", "",Twentieth!I73)</f>
        <v>Nutrition</v>
      </c>
      <c r="J4820" s="66" t="str">
        <f>IF(Twentieth!J73="", "",Twentieth!J73)</f>
        <v>Tai Chi/Qi Gong</v>
      </c>
      <c r="K4820" s="86" t="str">
        <f>IF(Twentieth!K73="", "",Twentieth!K73)</f>
        <v>Gentle Exercise</v>
      </c>
      <c r="M4820" s="67">
        <f t="shared" si="227"/>
        <v>7</v>
      </c>
      <c r="N4820" s="76" t="str">
        <f t="shared" si="228"/>
        <v/>
      </c>
      <c r="O4820" s="33">
        <f t="shared" si="229"/>
        <v>7</v>
      </c>
    </row>
    <row r="4821" spans="1:15" x14ac:dyDescent="0.25">
      <c r="A4821" s="64" t="s">
        <v>209</v>
      </c>
      <c r="B4821" s="79" t="str">
        <f>IF(Twentieth!B74="", "",Twentieth!B74)</f>
        <v>Sessional Staff</v>
      </c>
      <c r="C4821" s="66" t="str">
        <f>IF(Twentieth!C74="", "",Twentieth!C74)</f>
        <v>PwC</v>
      </c>
      <c r="D4821" s="66" t="str">
        <f>IF(Twentieth!D74="", "",Twentieth!D74)</f>
        <v>New</v>
      </c>
      <c r="E4821" s="66" t="str">
        <f>IF(Twentieth!E74="", "",Twentieth!E74)</f>
        <v>Female</v>
      </c>
      <c r="F4821" s="66" t="str">
        <f>IF(Twentieth!F74="", "",Twentieth!F74)</f>
        <v>Breast</v>
      </c>
      <c r="G4821" s="66" t="str">
        <f>IF(Twentieth!G74="", "",Twentieth!G74)</f>
        <v>Post Treatment - Curative Intent</v>
      </c>
      <c r="H4821" s="66" t="str">
        <f>IF(Twentieth!H74="", "",Twentieth!H74)</f>
        <v>Programme</v>
      </c>
      <c r="I4821" s="66" t="str">
        <f>IF(Twentieth!I74="", "",Twentieth!I74)</f>
        <v>Nutrition</v>
      </c>
      <c r="J4821" s="66" t="str">
        <f>IF(Twentieth!J74="", "",Twentieth!J74)</f>
        <v>Tai Chi/Qi Gong</v>
      </c>
      <c r="K4821" s="86" t="str">
        <f>IF(Twentieth!K74="", "",Twentieth!K74)</f>
        <v>Gentle Exercise</v>
      </c>
      <c r="M4821" s="67">
        <f t="shared" si="227"/>
        <v>7</v>
      </c>
      <c r="N4821" s="76" t="str">
        <f t="shared" si="228"/>
        <v/>
      </c>
      <c r="O4821" s="33">
        <f t="shared" si="229"/>
        <v>7</v>
      </c>
    </row>
    <row r="4822" spans="1:15" x14ac:dyDescent="0.25">
      <c r="A4822" s="64" t="s">
        <v>209</v>
      </c>
      <c r="B4822" s="79" t="str">
        <f>IF(Twentieth!B75="", "",Twentieth!B75)</f>
        <v>Sessional Staff</v>
      </c>
      <c r="C4822" s="66" t="str">
        <f>IF(Twentieth!C75="", "",Twentieth!C75)</f>
        <v>PwC</v>
      </c>
      <c r="D4822" s="66" t="str">
        <f>IF(Twentieth!D75="", "",Twentieth!D75)</f>
        <v>New</v>
      </c>
      <c r="E4822" s="66" t="str">
        <f>IF(Twentieth!E75="", "",Twentieth!E75)</f>
        <v>Female</v>
      </c>
      <c r="F4822" s="66" t="str">
        <f>IF(Twentieth!F75="", "",Twentieth!F75)</f>
        <v>Breast</v>
      </c>
      <c r="G4822" s="66" t="str">
        <f>IF(Twentieth!G75="", "",Twentieth!G75)</f>
        <v>Post Treatment - Curative Intent</v>
      </c>
      <c r="H4822" s="66" t="str">
        <f>IF(Twentieth!H75="", "",Twentieth!H75)</f>
        <v>Programme</v>
      </c>
      <c r="I4822" s="66" t="str">
        <f>IF(Twentieth!I75="", "",Twentieth!I75)</f>
        <v>Nutrition</v>
      </c>
      <c r="J4822" s="66" t="str">
        <f>IF(Twentieth!J75="", "",Twentieth!J75)</f>
        <v>Tai Chi/Qi Gong</v>
      </c>
      <c r="K4822" s="86" t="str">
        <f>IF(Twentieth!K75="", "",Twentieth!K75)</f>
        <v>Gentle Exercise</v>
      </c>
      <c r="M4822" s="67">
        <f t="shared" si="227"/>
        <v>7</v>
      </c>
      <c r="N4822" s="76" t="str">
        <f t="shared" si="228"/>
        <v/>
      </c>
      <c r="O4822" s="33">
        <f t="shared" si="229"/>
        <v>7</v>
      </c>
    </row>
    <row r="4823" spans="1:15" x14ac:dyDescent="0.25">
      <c r="A4823" s="64" t="s">
        <v>209</v>
      </c>
      <c r="B4823" s="79" t="str">
        <f>IF(Twentieth!B76="", "",Twentieth!B76)</f>
        <v>Sessional Staff</v>
      </c>
      <c r="C4823" s="66" t="str">
        <f>IF(Twentieth!C76="", "",Twentieth!C76)</f>
        <v>PwC</v>
      </c>
      <c r="D4823" s="66" t="str">
        <f>IF(Twentieth!D76="", "",Twentieth!D76)</f>
        <v>New</v>
      </c>
      <c r="E4823" s="66" t="str">
        <f>IF(Twentieth!E76="", "",Twentieth!E76)</f>
        <v>Female</v>
      </c>
      <c r="F4823" s="66" t="str">
        <f>IF(Twentieth!F76="", "",Twentieth!F76)</f>
        <v>Breast</v>
      </c>
      <c r="G4823" s="66" t="str">
        <f>IF(Twentieth!G76="", "",Twentieth!G76)</f>
        <v>Post Treatment - Curative Intent</v>
      </c>
      <c r="H4823" s="66" t="str">
        <f>IF(Twentieth!H76="", "",Twentieth!H76)</f>
        <v>Programme</v>
      </c>
      <c r="I4823" s="66" t="str">
        <f>IF(Twentieth!I76="", "",Twentieth!I76)</f>
        <v>Nutrition</v>
      </c>
      <c r="J4823" s="66" t="str">
        <f>IF(Twentieth!J76="", "",Twentieth!J76)</f>
        <v>Tai Chi/Qi Gong</v>
      </c>
      <c r="K4823" s="86" t="str">
        <f>IF(Twentieth!K76="", "",Twentieth!K76)</f>
        <v>Gentle Exercise</v>
      </c>
      <c r="M4823" s="67">
        <f t="shared" si="227"/>
        <v>7</v>
      </c>
      <c r="N4823" s="76" t="str">
        <f t="shared" si="228"/>
        <v/>
      </c>
      <c r="O4823" s="33">
        <f t="shared" si="229"/>
        <v>7</v>
      </c>
    </row>
    <row r="4824" spans="1:15" x14ac:dyDescent="0.25">
      <c r="A4824" s="64" t="s">
        <v>209</v>
      </c>
      <c r="B4824" s="79" t="str">
        <f>IF(Twentieth!B77="", "",Twentieth!B77)</f>
        <v>Sessional Staff</v>
      </c>
      <c r="C4824" s="66" t="str">
        <f>IF(Twentieth!C77="", "",Twentieth!C77)</f>
        <v>PwC</v>
      </c>
      <c r="D4824" s="66" t="str">
        <f>IF(Twentieth!D77="", "",Twentieth!D77)</f>
        <v>New</v>
      </c>
      <c r="E4824" s="66" t="str">
        <f>IF(Twentieth!E77="", "",Twentieth!E77)</f>
        <v>Female</v>
      </c>
      <c r="F4824" s="66" t="str">
        <f>IF(Twentieth!F77="", "",Twentieth!F77)</f>
        <v>Breast</v>
      </c>
      <c r="G4824" s="66" t="str">
        <f>IF(Twentieth!G77="", "",Twentieth!G77)</f>
        <v>Post Treatment - Curative Intent</v>
      </c>
      <c r="H4824" s="66" t="str">
        <f>IF(Twentieth!H77="", "",Twentieth!H77)</f>
        <v>Programme</v>
      </c>
      <c r="I4824" s="66" t="str">
        <f>IF(Twentieth!I77="", "",Twentieth!I77)</f>
        <v>Nutrition</v>
      </c>
      <c r="J4824" s="66" t="str">
        <f>IF(Twentieth!J77="", "",Twentieth!J77)</f>
        <v>Tai Chi/Qi Gong</v>
      </c>
      <c r="K4824" s="86" t="str">
        <f>IF(Twentieth!K77="", "",Twentieth!K77)</f>
        <v>Gentle Exercise</v>
      </c>
      <c r="M4824" s="67">
        <f t="shared" si="227"/>
        <v>7</v>
      </c>
      <c r="N4824" s="76" t="str">
        <f t="shared" si="228"/>
        <v/>
      </c>
      <c r="O4824" s="33">
        <f t="shared" si="229"/>
        <v>7</v>
      </c>
    </row>
    <row r="4825" spans="1:15" x14ac:dyDescent="0.25">
      <c r="A4825" s="64" t="s">
        <v>209</v>
      </c>
      <c r="B4825" s="79" t="str">
        <f>IF(Twentieth!B78="", "",Twentieth!B78)</f>
        <v>Sessional Staff</v>
      </c>
      <c r="C4825" s="66" t="str">
        <f>IF(Twentieth!C78="", "",Twentieth!C78)</f>
        <v>PwC</v>
      </c>
      <c r="D4825" s="66" t="str">
        <f>IF(Twentieth!D78="", "",Twentieth!D78)</f>
        <v>New</v>
      </c>
      <c r="E4825" s="66" t="str">
        <f>IF(Twentieth!E78="", "",Twentieth!E78)</f>
        <v>Female</v>
      </c>
      <c r="F4825" s="66" t="str">
        <f>IF(Twentieth!F78="", "",Twentieth!F78)</f>
        <v>Breast</v>
      </c>
      <c r="G4825" s="66" t="str">
        <f>IF(Twentieth!G78="", "",Twentieth!G78)</f>
        <v>Post Treatment - Curative Intent</v>
      </c>
      <c r="H4825" s="66" t="str">
        <f>IF(Twentieth!H78="", "",Twentieth!H78)</f>
        <v>Programme</v>
      </c>
      <c r="I4825" s="66" t="str">
        <f>IF(Twentieth!I78="", "",Twentieth!I78)</f>
        <v>Nutrition</v>
      </c>
      <c r="J4825" s="66" t="str">
        <f>IF(Twentieth!J78="", "",Twentieth!J78)</f>
        <v>Tai Chi/Qi Gong</v>
      </c>
      <c r="K4825" s="86" t="str">
        <f>IF(Twentieth!K78="", "",Twentieth!K78)</f>
        <v>Gentle Exercise</v>
      </c>
      <c r="M4825" s="67">
        <f t="shared" si="227"/>
        <v>7</v>
      </c>
      <c r="N4825" s="76" t="str">
        <f t="shared" si="228"/>
        <v/>
      </c>
      <c r="O4825" s="33">
        <f t="shared" si="229"/>
        <v>7</v>
      </c>
    </row>
    <row r="4826" spans="1:15" x14ac:dyDescent="0.25">
      <c r="A4826" s="64" t="s">
        <v>209</v>
      </c>
      <c r="B4826" s="79" t="str">
        <f>IF(Twentieth!B79="", "",Twentieth!B79)</f>
        <v>Sessional Staff</v>
      </c>
      <c r="C4826" s="66" t="str">
        <f>IF(Twentieth!C79="", "",Twentieth!C79)</f>
        <v>PwC</v>
      </c>
      <c r="D4826" s="66" t="str">
        <f>IF(Twentieth!D79="", "",Twentieth!D79)</f>
        <v>New</v>
      </c>
      <c r="E4826" s="66" t="str">
        <f>IF(Twentieth!E79="", "",Twentieth!E79)</f>
        <v>Female</v>
      </c>
      <c r="F4826" s="66" t="str">
        <f>IF(Twentieth!F79="", "",Twentieth!F79)</f>
        <v>Breast</v>
      </c>
      <c r="G4826" s="66" t="str">
        <f>IF(Twentieth!G79="", "",Twentieth!G79)</f>
        <v>Post Treatment - Curative Intent</v>
      </c>
      <c r="H4826" s="66" t="str">
        <f>IF(Twentieth!H79="", "",Twentieth!H79)</f>
        <v>Programme</v>
      </c>
      <c r="I4826" s="66" t="str">
        <f>IF(Twentieth!I79="", "",Twentieth!I79)</f>
        <v>Nutrition</v>
      </c>
      <c r="J4826" s="66" t="str">
        <f>IF(Twentieth!J79="", "",Twentieth!J79)</f>
        <v>Tai Chi/Qi Gong</v>
      </c>
      <c r="K4826" s="86" t="str">
        <f>IF(Twentieth!K79="", "",Twentieth!K79)</f>
        <v>Gentle Exercise</v>
      </c>
      <c r="M4826" s="67">
        <f t="shared" si="227"/>
        <v>7</v>
      </c>
      <c r="N4826" s="76" t="str">
        <f t="shared" si="228"/>
        <v/>
      </c>
      <c r="O4826" s="33">
        <f t="shared" si="229"/>
        <v>7</v>
      </c>
    </row>
    <row r="4827" spans="1:15" x14ac:dyDescent="0.25">
      <c r="A4827" s="64" t="s">
        <v>209</v>
      </c>
      <c r="B4827" s="79" t="str">
        <f>IF(Twentieth!B80="", "",Twentieth!B80)</f>
        <v>Sessional Staff</v>
      </c>
      <c r="C4827" s="66" t="str">
        <f>IF(Twentieth!C80="", "",Twentieth!C80)</f>
        <v>PwC</v>
      </c>
      <c r="D4827" s="66" t="str">
        <f>IF(Twentieth!D80="", "",Twentieth!D80)</f>
        <v>New</v>
      </c>
      <c r="E4827" s="66" t="str">
        <f>IF(Twentieth!E80="", "",Twentieth!E80)</f>
        <v>Female</v>
      </c>
      <c r="F4827" s="66" t="str">
        <f>IF(Twentieth!F80="", "",Twentieth!F80)</f>
        <v>Breast</v>
      </c>
      <c r="G4827" s="66" t="str">
        <f>IF(Twentieth!G80="", "",Twentieth!G80)</f>
        <v>Post Treatment - Curative Intent</v>
      </c>
      <c r="H4827" s="66" t="str">
        <f>IF(Twentieth!H80="", "",Twentieth!H80)</f>
        <v>Programme</v>
      </c>
      <c r="I4827" s="66" t="str">
        <f>IF(Twentieth!I80="", "",Twentieth!I80)</f>
        <v>Nutrition</v>
      </c>
      <c r="J4827" s="66" t="str">
        <f>IF(Twentieth!J80="", "",Twentieth!J80)</f>
        <v>Tai Chi/Qi Gong</v>
      </c>
      <c r="K4827" s="86" t="str">
        <f>IF(Twentieth!K80="", "",Twentieth!K80)</f>
        <v>Gentle Exercise</v>
      </c>
      <c r="M4827" s="67">
        <f t="shared" si="227"/>
        <v>7</v>
      </c>
      <c r="N4827" s="76" t="str">
        <f t="shared" si="228"/>
        <v/>
      </c>
      <c r="O4827" s="33">
        <f t="shared" si="229"/>
        <v>7</v>
      </c>
    </row>
    <row r="4828" spans="1:15" x14ac:dyDescent="0.25">
      <c r="A4828" s="64" t="s">
        <v>209</v>
      </c>
      <c r="B4828" s="79" t="str">
        <f>IF(Twentieth!B81="", "",Twentieth!B81)</f>
        <v>Sessional Staff</v>
      </c>
      <c r="C4828" s="66" t="str">
        <f>IF(Twentieth!C81="", "",Twentieth!C81)</f>
        <v>PwC</v>
      </c>
      <c r="D4828" s="66" t="str">
        <f>IF(Twentieth!D81="", "",Twentieth!D81)</f>
        <v>New</v>
      </c>
      <c r="E4828" s="66" t="str">
        <f>IF(Twentieth!E81="", "",Twentieth!E81)</f>
        <v>Female</v>
      </c>
      <c r="F4828" s="66" t="str">
        <f>IF(Twentieth!F81="", "",Twentieth!F81)</f>
        <v>Breast</v>
      </c>
      <c r="G4828" s="66" t="str">
        <f>IF(Twentieth!G81="", "",Twentieth!G81)</f>
        <v>Post Treatment - Curative Intent</v>
      </c>
      <c r="H4828" s="66" t="str">
        <f>IF(Twentieth!H81="", "",Twentieth!H81)</f>
        <v>Programme</v>
      </c>
      <c r="I4828" s="66" t="str">
        <f>IF(Twentieth!I81="", "",Twentieth!I81)</f>
        <v>Nutrition</v>
      </c>
      <c r="J4828" s="66" t="str">
        <f>IF(Twentieth!J81="", "",Twentieth!J81)</f>
        <v>Tai Chi/Qi Gong</v>
      </c>
      <c r="K4828" s="86" t="str">
        <f>IF(Twentieth!K81="", "",Twentieth!K81)</f>
        <v>Gentle Exercise</v>
      </c>
      <c r="M4828" s="67">
        <f t="shared" si="227"/>
        <v>7</v>
      </c>
      <c r="N4828" s="76" t="str">
        <f t="shared" si="228"/>
        <v/>
      </c>
      <c r="O4828" s="33">
        <f t="shared" si="229"/>
        <v>7</v>
      </c>
    </row>
    <row r="4829" spans="1:15" x14ac:dyDescent="0.25">
      <c r="A4829" s="64" t="s">
        <v>209</v>
      </c>
      <c r="B4829" s="79" t="str">
        <f>IF(Twentieth!B82="", "",Twentieth!B82)</f>
        <v/>
      </c>
      <c r="C4829" s="66" t="str">
        <f>IF(Twentieth!C82="", "",Twentieth!C82)</f>
        <v/>
      </c>
      <c r="D4829" s="66" t="str">
        <f>IF(Twentieth!D82="", "",Twentieth!D82)</f>
        <v/>
      </c>
      <c r="E4829" s="66" t="str">
        <f>IF(Twentieth!E82="", "",Twentieth!E82)</f>
        <v/>
      </c>
      <c r="F4829" s="66" t="str">
        <f>IF(Twentieth!F82="", "",Twentieth!F82)</f>
        <v/>
      </c>
      <c r="G4829" s="66" t="str">
        <f>IF(Twentieth!G82="", "",Twentieth!G82)</f>
        <v/>
      </c>
      <c r="H4829" s="66" t="str">
        <f>IF(Twentieth!H82="", "",Twentieth!H82)</f>
        <v/>
      </c>
      <c r="I4829" s="66" t="str">
        <f>IF(Twentieth!I82="", "",Twentieth!I82)</f>
        <v/>
      </c>
      <c r="J4829" s="66" t="str">
        <f>IF(Twentieth!J82="", "",Twentieth!J82)</f>
        <v/>
      </c>
      <c r="K4829" s="86" t="str">
        <f>IF(Twentieth!K82="", "",Twentieth!K82)</f>
        <v/>
      </c>
      <c r="M4829" s="67" t="str">
        <f t="shared" si="227"/>
        <v/>
      </c>
      <c r="N4829" s="76" t="str">
        <f t="shared" si="228"/>
        <v/>
      </c>
      <c r="O4829" s="33">
        <f t="shared" si="229"/>
        <v>0</v>
      </c>
    </row>
    <row r="4830" spans="1:15" x14ac:dyDescent="0.25">
      <c r="A4830" s="64" t="s">
        <v>209</v>
      </c>
      <c r="B4830" s="79" t="str">
        <f>IF(Twentieth!B83="", "",Twentieth!B83)</f>
        <v/>
      </c>
      <c r="C4830" s="66" t="str">
        <f>IF(Twentieth!C83="", "",Twentieth!C83)</f>
        <v/>
      </c>
      <c r="D4830" s="66" t="str">
        <f>IF(Twentieth!D83="", "",Twentieth!D83)</f>
        <v/>
      </c>
      <c r="E4830" s="66" t="str">
        <f>IF(Twentieth!E83="", "",Twentieth!E83)</f>
        <v/>
      </c>
      <c r="F4830" s="66" t="str">
        <f>IF(Twentieth!F83="", "",Twentieth!F83)</f>
        <v/>
      </c>
      <c r="G4830" s="66" t="str">
        <f>IF(Twentieth!G83="", "",Twentieth!G83)</f>
        <v/>
      </c>
      <c r="H4830" s="66" t="str">
        <f>IF(Twentieth!H83="", "",Twentieth!H83)</f>
        <v/>
      </c>
      <c r="I4830" s="66" t="str">
        <f>IF(Twentieth!I83="", "",Twentieth!I83)</f>
        <v/>
      </c>
      <c r="J4830" s="66" t="str">
        <f>IF(Twentieth!J83="", "",Twentieth!J83)</f>
        <v/>
      </c>
      <c r="K4830" s="86" t="str">
        <f>IF(Twentieth!K83="", "",Twentieth!K83)</f>
        <v/>
      </c>
      <c r="M4830" s="67" t="str">
        <f t="shared" si="227"/>
        <v/>
      </c>
      <c r="N4830" s="76" t="str">
        <f t="shared" si="228"/>
        <v/>
      </c>
      <c r="O4830" s="33">
        <f t="shared" si="229"/>
        <v>0</v>
      </c>
    </row>
    <row r="4831" spans="1:15" x14ac:dyDescent="0.25">
      <c r="A4831" s="64" t="s">
        <v>209</v>
      </c>
      <c r="B4831" s="79" t="str">
        <f>IF(Twentieth!B84="", "",Twentieth!B84)</f>
        <v/>
      </c>
      <c r="C4831" s="66" t="str">
        <f>IF(Twentieth!C84="", "",Twentieth!C84)</f>
        <v/>
      </c>
      <c r="D4831" s="66" t="str">
        <f>IF(Twentieth!D84="", "",Twentieth!D84)</f>
        <v/>
      </c>
      <c r="E4831" s="66" t="str">
        <f>IF(Twentieth!E84="", "",Twentieth!E84)</f>
        <v/>
      </c>
      <c r="F4831" s="66" t="str">
        <f>IF(Twentieth!F84="", "",Twentieth!F84)</f>
        <v/>
      </c>
      <c r="G4831" s="66" t="str">
        <f>IF(Twentieth!G84="", "",Twentieth!G84)</f>
        <v/>
      </c>
      <c r="H4831" s="66" t="str">
        <f>IF(Twentieth!H84="", "",Twentieth!H84)</f>
        <v/>
      </c>
      <c r="I4831" s="66" t="str">
        <f>IF(Twentieth!I84="", "",Twentieth!I84)</f>
        <v/>
      </c>
      <c r="J4831" s="66" t="str">
        <f>IF(Twentieth!J84="", "",Twentieth!J84)</f>
        <v/>
      </c>
      <c r="K4831" s="86" t="str">
        <f>IF(Twentieth!K84="", "",Twentieth!K84)</f>
        <v/>
      </c>
      <c r="M4831" s="67" t="str">
        <f t="shared" si="227"/>
        <v/>
      </c>
      <c r="N4831" s="76" t="str">
        <f t="shared" si="228"/>
        <v/>
      </c>
      <c r="O4831" s="33">
        <f t="shared" si="229"/>
        <v>0</v>
      </c>
    </row>
    <row r="4832" spans="1:15" x14ac:dyDescent="0.25">
      <c r="A4832" s="64" t="s">
        <v>209</v>
      </c>
      <c r="B4832" s="79" t="str">
        <f>IF(Twentieth!B85="", "",Twentieth!B85)</f>
        <v/>
      </c>
      <c r="C4832" s="66" t="str">
        <f>IF(Twentieth!C85="", "",Twentieth!C85)</f>
        <v/>
      </c>
      <c r="D4832" s="66" t="str">
        <f>IF(Twentieth!D85="", "",Twentieth!D85)</f>
        <v/>
      </c>
      <c r="E4832" s="66" t="str">
        <f>IF(Twentieth!E85="", "",Twentieth!E85)</f>
        <v/>
      </c>
      <c r="F4832" s="66" t="str">
        <f>IF(Twentieth!F85="", "",Twentieth!F85)</f>
        <v/>
      </c>
      <c r="G4832" s="66" t="str">
        <f>IF(Twentieth!G85="", "",Twentieth!G85)</f>
        <v/>
      </c>
      <c r="H4832" s="66" t="str">
        <f>IF(Twentieth!H85="", "",Twentieth!H85)</f>
        <v/>
      </c>
      <c r="I4832" s="66" t="str">
        <f>IF(Twentieth!I85="", "",Twentieth!I85)</f>
        <v/>
      </c>
      <c r="J4832" s="66" t="str">
        <f>IF(Twentieth!J85="", "",Twentieth!J85)</f>
        <v/>
      </c>
      <c r="K4832" s="86" t="str">
        <f>IF(Twentieth!K85="", "",Twentieth!K85)</f>
        <v/>
      </c>
      <c r="M4832" s="67" t="str">
        <f t="shared" si="227"/>
        <v/>
      </c>
      <c r="N4832" s="76" t="str">
        <f t="shared" si="228"/>
        <v/>
      </c>
      <c r="O4832" s="33">
        <f t="shared" si="229"/>
        <v>0</v>
      </c>
    </row>
    <row r="4833" spans="1:15" x14ac:dyDescent="0.25">
      <c r="A4833" s="64" t="s">
        <v>209</v>
      </c>
      <c r="B4833" s="79" t="str">
        <f>IF(Twentieth!B86="", "",Twentieth!B86)</f>
        <v/>
      </c>
      <c r="C4833" s="66" t="str">
        <f>IF(Twentieth!C86="", "",Twentieth!C86)</f>
        <v/>
      </c>
      <c r="D4833" s="66" t="str">
        <f>IF(Twentieth!D86="", "",Twentieth!D86)</f>
        <v/>
      </c>
      <c r="E4833" s="66" t="str">
        <f>IF(Twentieth!E86="", "",Twentieth!E86)</f>
        <v/>
      </c>
      <c r="F4833" s="66" t="str">
        <f>IF(Twentieth!F86="", "",Twentieth!F86)</f>
        <v/>
      </c>
      <c r="G4833" s="66" t="str">
        <f>IF(Twentieth!G86="", "",Twentieth!G86)</f>
        <v/>
      </c>
      <c r="H4833" s="66" t="str">
        <f>IF(Twentieth!H86="", "",Twentieth!H86)</f>
        <v/>
      </c>
      <c r="I4833" s="66" t="str">
        <f>IF(Twentieth!I86="", "",Twentieth!I86)</f>
        <v/>
      </c>
      <c r="J4833" s="66" t="str">
        <f>IF(Twentieth!J86="", "",Twentieth!J86)</f>
        <v/>
      </c>
      <c r="K4833" s="86" t="str">
        <f>IF(Twentieth!K86="", "",Twentieth!K86)</f>
        <v/>
      </c>
      <c r="M4833" s="67" t="str">
        <f t="shared" si="227"/>
        <v/>
      </c>
      <c r="N4833" s="76" t="str">
        <f t="shared" si="228"/>
        <v/>
      </c>
      <c r="O4833" s="33">
        <f t="shared" si="229"/>
        <v>0</v>
      </c>
    </row>
    <row r="4834" spans="1:15" x14ac:dyDescent="0.25">
      <c r="A4834" s="64" t="s">
        <v>209</v>
      </c>
      <c r="B4834" s="79" t="str">
        <f>IF(Twentieth!B87="", "",Twentieth!B87)</f>
        <v/>
      </c>
      <c r="C4834" s="66" t="str">
        <f>IF(Twentieth!C87="", "",Twentieth!C87)</f>
        <v/>
      </c>
      <c r="D4834" s="66" t="str">
        <f>IF(Twentieth!D87="", "",Twentieth!D87)</f>
        <v/>
      </c>
      <c r="E4834" s="66" t="str">
        <f>IF(Twentieth!E87="", "",Twentieth!E87)</f>
        <v/>
      </c>
      <c r="F4834" s="66" t="str">
        <f>IF(Twentieth!F87="", "",Twentieth!F87)</f>
        <v/>
      </c>
      <c r="G4834" s="66" t="str">
        <f>IF(Twentieth!G87="", "",Twentieth!G87)</f>
        <v/>
      </c>
      <c r="H4834" s="66" t="str">
        <f>IF(Twentieth!H87="", "",Twentieth!H87)</f>
        <v/>
      </c>
      <c r="I4834" s="66" t="str">
        <f>IF(Twentieth!I87="", "",Twentieth!I87)</f>
        <v/>
      </c>
      <c r="J4834" s="66" t="str">
        <f>IF(Twentieth!J87="", "",Twentieth!J87)</f>
        <v/>
      </c>
      <c r="K4834" s="86" t="str">
        <f>IF(Twentieth!K87="", "",Twentieth!K87)</f>
        <v/>
      </c>
      <c r="M4834" s="67" t="str">
        <f t="shared" si="227"/>
        <v/>
      </c>
      <c r="N4834" s="76" t="str">
        <f t="shared" si="228"/>
        <v/>
      </c>
      <c r="O4834" s="33">
        <f t="shared" si="229"/>
        <v>0</v>
      </c>
    </row>
    <row r="4835" spans="1:15" x14ac:dyDescent="0.25">
      <c r="A4835" s="64" t="s">
        <v>209</v>
      </c>
      <c r="B4835" s="79" t="str">
        <f>IF(Twentieth!B88="", "",Twentieth!B88)</f>
        <v/>
      </c>
      <c r="C4835" s="66" t="str">
        <f>IF(Twentieth!C88="", "",Twentieth!C88)</f>
        <v/>
      </c>
      <c r="D4835" s="66" t="str">
        <f>IF(Twentieth!D88="", "",Twentieth!D88)</f>
        <v/>
      </c>
      <c r="E4835" s="66" t="str">
        <f>IF(Twentieth!E88="", "",Twentieth!E88)</f>
        <v/>
      </c>
      <c r="F4835" s="66" t="str">
        <f>IF(Twentieth!F88="", "",Twentieth!F88)</f>
        <v/>
      </c>
      <c r="G4835" s="66" t="str">
        <f>IF(Twentieth!G88="", "",Twentieth!G88)</f>
        <v/>
      </c>
      <c r="H4835" s="66" t="str">
        <f>IF(Twentieth!H88="", "",Twentieth!H88)</f>
        <v/>
      </c>
      <c r="I4835" s="66" t="str">
        <f>IF(Twentieth!I88="", "",Twentieth!I88)</f>
        <v/>
      </c>
      <c r="J4835" s="66" t="str">
        <f>IF(Twentieth!J88="", "",Twentieth!J88)</f>
        <v/>
      </c>
      <c r="K4835" s="86" t="str">
        <f>IF(Twentieth!K88="", "",Twentieth!K88)</f>
        <v/>
      </c>
      <c r="M4835" s="67" t="str">
        <f t="shared" si="227"/>
        <v/>
      </c>
      <c r="N4835" s="76" t="str">
        <f t="shared" si="228"/>
        <v/>
      </c>
      <c r="O4835" s="33">
        <f t="shared" si="229"/>
        <v>0</v>
      </c>
    </row>
    <row r="4836" spans="1:15" x14ac:dyDescent="0.25">
      <c r="A4836" s="64" t="s">
        <v>209</v>
      </c>
      <c r="B4836" s="79" t="str">
        <f>IF(Twentieth!B89="", "",Twentieth!B89)</f>
        <v/>
      </c>
      <c r="C4836" s="66" t="str">
        <f>IF(Twentieth!C89="", "",Twentieth!C89)</f>
        <v/>
      </c>
      <c r="D4836" s="66" t="str">
        <f>IF(Twentieth!D89="", "",Twentieth!D89)</f>
        <v/>
      </c>
      <c r="E4836" s="66" t="str">
        <f>IF(Twentieth!E89="", "",Twentieth!E89)</f>
        <v/>
      </c>
      <c r="F4836" s="66" t="str">
        <f>IF(Twentieth!F89="", "",Twentieth!F89)</f>
        <v/>
      </c>
      <c r="G4836" s="66" t="str">
        <f>IF(Twentieth!G89="", "",Twentieth!G89)</f>
        <v/>
      </c>
      <c r="H4836" s="66" t="str">
        <f>IF(Twentieth!H89="", "",Twentieth!H89)</f>
        <v/>
      </c>
      <c r="I4836" s="66" t="str">
        <f>IF(Twentieth!I89="", "",Twentieth!I89)</f>
        <v/>
      </c>
      <c r="J4836" s="66" t="str">
        <f>IF(Twentieth!J89="", "",Twentieth!J89)</f>
        <v/>
      </c>
      <c r="K4836" s="86" t="str">
        <f>IF(Twentieth!K89="", "",Twentieth!K89)</f>
        <v/>
      </c>
      <c r="M4836" s="67" t="str">
        <f t="shared" si="227"/>
        <v/>
      </c>
      <c r="N4836" s="76" t="str">
        <f t="shared" si="228"/>
        <v/>
      </c>
      <c r="O4836" s="33">
        <f t="shared" si="229"/>
        <v>0</v>
      </c>
    </row>
    <row r="4837" spans="1:15" x14ac:dyDescent="0.25">
      <c r="A4837" s="64" t="s">
        <v>209</v>
      </c>
      <c r="B4837" s="79" t="str">
        <f>IF(Twentieth!B90="", "",Twentieth!B90)</f>
        <v/>
      </c>
      <c r="C4837" s="66" t="str">
        <f>IF(Twentieth!C90="", "",Twentieth!C90)</f>
        <v/>
      </c>
      <c r="D4837" s="66" t="str">
        <f>IF(Twentieth!D90="", "",Twentieth!D90)</f>
        <v/>
      </c>
      <c r="E4837" s="66" t="str">
        <f>IF(Twentieth!E90="", "",Twentieth!E90)</f>
        <v/>
      </c>
      <c r="F4837" s="66" t="str">
        <f>IF(Twentieth!F90="", "",Twentieth!F90)</f>
        <v/>
      </c>
      <c r="G4837" s="66" t="str">
        <f>IF(Twentieth!G90="", "",Twentieth!G90)</f>
        <v/>
      </c>
      <c r="H4837" s="66" t="str">
        <f>IF(Twentieth!H90="", "",Twentieth!H90)</f>
        <v/>
      </c>
      <c r="I4837" s="66" t="str">
        <f>IF(Twentieth!I90="", "",Twentieth!I90)</f>
        <v/>
      </c>
      <c r="J4837" s="66" t="str">
        <f>IF(Twentieth!J90="", "",Twentieth!J90)</f>
        <v/>
      </c>
      <c r="K4837" s="86" t="str">
        <f>IF(Twentieth!K90="", "",Twentieth!K90)</f>
        <v/>
      </c>
      <c r="M4837" s="67" t="str">
        <f t="shared" si="227"/>
        <v/>
      </c>
      <c r="N4837" s="76" t="str">
        <f t="shared" si="228"/>
        <v/>
      </c>
      <c r="O4837" s="33">
        <f t="shared" si="229"/>
        <v>0</v>
      </c>
    </row>
    <row r="4838" spans="1:15" x14ac:dyDescent="0.25">
      <c r="A4838" s="64" t="s">
        <v>209</v>
      </c>
      <c r="B4838" s="79" t="str">
        <f>IF(Twentieth!B91="", "",Twentieth!B91)</f>
        <v/>
      </c>
      <c r="C4838" s="66" t="str">
        <f>IF(Twentieth!C91="", "",Twentieth!C91)</f>
        <v/>
      </c>
      <c r="D4838" s="66" t="str">
        <f>IF(Twentieth!D91="", "",Twentieth!D91)</f>
        <v/>
      </c>
      <c r="E4838" s="66" t="str">
        <f>IF(Twentieth!E91="", "",Twentieth!E91)</f>
        <v/>
      </c>
      <c r="F4838" s="66" t="str">
        <f>IF(Twentieth!F91="", "",Twentieth!F91)</f>
        <v/>
      </c>
      <c r="G4838" s="66" t="str">
        <f>IF(Twentieth!G91="", "",Twentieth!G91)</f>
        <v/>
      </c>
      <c r="H4838" s="66" t="str">
        <f>IF(Twentieth!H91="", "",Twentieth!H91)</f>
        <v/>
      </c>
      <c r="I4838" s="66" t="str">
        <f>IF(Twentieth!I91="", "",Twentieth!I91)</f>
        <v/>
      </c>
      <c r="J4838" s="66" t="str">
        <f>IF(Twentieth!J91="", "",Twentieth!J91)</f>
        <v/>
      </c>
      <c r="K4838" s="86" t="str">
        <f>IF(Twentieth!K91="", "",Twentieth!K91)</f>
        <v/>
      </c>
      <c r="M4838" s="67" t="str">
        <f t="shared" si="227"/>
        <v/>
      </c>
      <c r="N4838" s="76" t="str">
        <f t="shared" si="228"/>
        <v/>
      </c>
      <c r="O4838" s="33">
        <f t="shared" si="229"/>
        <v>0</v>
      </c>
    </row>
    <row r="4839" spans="1:15" x14ac:dyDescent="0.25">
      <c r="A4839" s="64" t="s">
        <v>209</v>
      </c>
      <c r="B4839" s="79" t="str">
        <f>IF(Twentieth!B92="", "",Twentieth!B92)</f>
        <v/>
      </c>
      <c r="C4839" s="66" t="str">
        <f>IF(Twentieth!C92="", "",Twentieth!C92)</f>
        <v/>
      </c>
      <c r="D4839" s="66" t="str">
        <f>IF(Twentieth!D92="", "",Twentieth!D92)</f>
        <v/>
      </c>
      <c r="E4839" s="66" t="str">
        <f>IF(Twentieth!E92="", "",Twentieth!E92)</f>
        <v/>
      </c>
      <c r="F4839" s="66" t="str">
        <f>IF(Twentieth!F92="", "",Twentieth!F92)</f>
        <v/>
      </c>
      <c r="G4839" s="66" t="str">
        <f>IF(Twentieth!G92="", "",Twentieth!G92)</f>
        <v/>
      </c>
      <c r="H4839" s="66" t="str">
        <f>IF(Twentieth!H92="", "",Twentieth!H92)</f>
        <v/>
      </c>
      <c r="I4839" s="66" t="str">
        <f>IF(Twentieth!I92="", "",Twentieth!I92)</f>
        <v/>
      </c>
      <c r="J4839" s="66" t="str">
        <f>IF(Twentieth!J92="", "",Twentieth!J92)</f>
        <v/>
      </c>
      <c r="K4839" s="86" t="str">
        <f>IF(Twentieth!K92="", "",Twentieth!K92)</f>
        <v/>
      </c>
      <c r="M4839" s="67" t="str">
        <f t="shared" si="227"/>
        <v/>
      </c>
      <c r="N4839" s="76" t="str">
        <f t="shared" si="228"/>
        <v/>
      </c>
      <c r="O4839" s="33">
        <f t="shared" si="229"/>
        <v>0</v>
      </c>
    </row>
    <row r="4840" spans="1:15" x14ac:dyDescent="0.25">
      <c r="A4840" s="64" t="s">
        <v>209</v>
      </c>
      <c r="B4840" s="79" t="str">
        <f>IF(Twentieth!B93="", "",Twentieth!B93)</f>
        <v/>
      </c>
      <c r="C4840" s="66" t="str">
        <f>IF(Twentieth!C93="", "",Twentieth!C93)</f>
        <v/>
      </c>
      <c r="D4840" s="66" t="str">
        <f>IF(Twentieth!D93="", "",Twentieth!D93)</f>
        <v/>
      </c>
      <c r="E4840" s="66" t="str">
        <f>IF(Twentieth!E93="", "",Twentieth!E93)</f>
        <v/>
      </c>
      <c r="F4840" s="66" t="str">
        <f>IF(Twentieth!F93="", "",Twentieth!F93)</f>
        <v/>
      </c>
      <c r="G4840" s="66" t="str">
        <f>IF(Twentieth!G93="", "",Twentieth!G93)</f>
        <v/>
      </c>
      <c r="H4840" s="66" t="str">
        <f>IF(Twentieth!H93="", "",Twentieth!H93)</f>
        <v/>
      </c>
      <c r="I4840" s="66" t="str">
        <f>IF(Twentieth!I93="", "",Twentieth!I93)</f>
        <v/>
      </c>
      <c r="J4840" s="66" t="str">
        <f>IF(Twentieth!J93="", "",Twentieth!J93)</f>
        <v/>
      </c>
      <c r="K4840" s="86" t="str">
        <f>IF(Twentieth!K93="", "",Twentieth!K93)</f>
        <v/>
      </c>
      <c r="M4840" s="67" t="str">
        <f t="shared" si="227"/>
        <v/>
      </c>
      <c r="N4840" s="76" t="str">
        <f t="shared" si="228"/>
        <v/>
      </c>
      <c r="O4840" s="33">
        <f t="shared" si="229"/>
        <v>0</v>
      </c>
    </row>
    <row r="4841" spans="1:15" x14ac:dyDescent="0.25">
      <c r="A4841" s="64" t="s">
        <v>209</v>
      </c>
      <c r="B4841" s="79" t="str">
        <f>IF(Twentieth!B94="", "",Twentieth!B94)</f>
        <v/>
      </c>
      <c r="C4841" s="66" t="str">
        <f>IF(Twentieth!C94="", "",Twentieth!C94)</f>
        <v/>
      </c>
      <c r="D4841" s="66" t="str">
        <f>IF(Twentieth!D94="", "",Twentieth!D94)</f>
        <v/>
      </c>
      <c r="E4841" s="66" t="str">
        <f>IF(Twentieth!E94="", "",Twentieth!E94)</f>
        <v/>
      </c>
      <c r="F4841" s="66" t="str">
        <f>IF(Twentieth!F94="", "",Twentieth!F94)</f>
        <v/>
      </c>
      <c r="G4841" s="66" t="str">
        <f>IF(Twentieth!G94="", "",Twentieth!G94)</f>
        <v/>
      </c>
      <c r="H4841" s="66" t="str">
        <f>IF(Twentieth!H94="", "",Twentieth!H94)</f>
        <v/>
      </c>
      <c r="I4841" s="66" t="str">
        <f>IF(Twentieth!I94="", "",Twentieth!I94)</f>
        <v/>
      </c>
      <c r="J4841" s="66" t="str">
        <f>IF(Twentieth!J94="", "",Twentieth!J94)</f>
        <v/>
      </c>
      <c r="K4841" s="86" t="str">
        <f>IF(Twentieth!K94="", "",Twentieth!K94)</f>
        <v/>
      </c>
      <c r="M4841" s="67" t="str">
        <f t="shared" si="227"/>
        <v/>
      </c>
      <c r="N4841" s="76" t="str">
        <f t="shared" si="228"/>
        <v/>
      </c>
      <c r="O4841" s="33">
        <f t="shared" si="229"/>
        <v>0</v>
      </c>
    </row>
    <row r="4842" spans="1:15" x14ac:dyDescent="0.25">
      <c r="A4842" s="64" t="s">
        <v>209</v>
      </c>
      <c r="B4842" s="79" t="str">
        <f>IF(Twentieth!B95="", "",Twentieth!B95)</f>
        <v/>
      </c>
      <c r="C4842" s="66" t="str">
        <f>IF(Twentieth!C95="", "",Twentieth!C95)</f>
        <v/>
      </c>
      <c r="D4842" s="66" t="str">
        <f>IF(Twentieth!D95="", "",Twentieth!D95)</f>
        <v/>
      </c>
      <c r="E4842" s="66" t="str">
        <f>IF(Twentieth!E95="", "",Twentieth!E95)</f>
        <v/>
      </c>
      <c r="F4842" s="66" t="str">
        <f>IF(Twentieth!F95="", "",Twentieth!F95)</f>
        <v/>
      </c>
      <c r="G4842" s="66" t="str">
        <f>IF(Twentieth!G95="", "",Twentieth!G95)</f>
        <v/>
      </c>
      <c r="H4842" s="66" t="str">
        <f>IF(Twentieth!H95="", "",Twentieth!H95)</f>
        <v/>
      </c>
      <c r="I4842" s="66" t="str">
        <f>IF(Twentieth!I95="", "",Twentieth!I95)</f>
        <v/>
      </c>
      <c r="J4842" s="66" t="str">
        <f>IF(Twentieth!J95="", "",Twentieth!J95)</f>
        <v/>
      </c>
      <c r="K4842" s="86" t="str">
        <f>IF(Twentieth!K95="", "",Twentieth!K95)</f>
        <v/>
      </c>
      <c r="M4842" s="67" t="str">
        <f t="shared" si="227"/>
        <v/>
      </c>
      <c r="N4842" s="76" t="str">
        <f t="shared" si="228"/>
        <v/>
      </c>
      <c r="O4842" s="33">
        <f t="shared" si="229"/>
        <v>0</v>
      </c>
    </row>
    <row r="4843" spans="1:15" x14ac:dyDescent="0.25">
      <c r="A4843" s="64" t="s">
        <v>209</v>
      </c>
      <c r="B4843" s="79" t="str">
        <f>IF(Twentieth!B96="", "",Twentieth!B96)</f>
        <v/>
      </c>
      <c r="C4843" s="66" t="str">
        <f>IF(Twentieth!C96="", "",Twentieth!C96)</f>
        <v/>
      </c>
      <c r="D4843" s="66" t="str">
        <f>IF(Twentieth!D96="", "",Twentieth!D96)</f>
        <v/>
      </c>
      <c r="E4843" s="66" t="str">
        <f>IF(Twentieth!E96="", "",Twentieth!E96)</f>
        <v/>
      </c>
      <c r="F4843" s="66" t="str">
        <f>IF(Twentieth!F96="", "",Twentieth!F96)</f>
        <v/>
      </c>
      <c r="G4843" s="66" t="str">
        <f>IF(Twentieth!G96="", "",Twentieth!G96)</f>
        <v/>
      </c>
      <c r="H4843" s="66" t="str">
        <f>IF(Twentieth!H96="", "",Twentieth!H96)</f>
        <v/>
      </c>
      <c r="I4843" s="66" t="str">
        <f>IF(Twentieth!I96="", "",Twentieth!I96)</f>
        <v/>
      </c>
      <c r="J4843" s="66" t="str">
        <f>IF(Twentieth!J96="", "",Twentieth!J96)</f>
        <v/>
      </c>
      <c r="K4843" s="86" t="str">
        <f>IF(Twentieth!K96="", "",Twentieth!K96)</f>
        <v/>
      </c>
      <c r="M4843" s="67" t="str">
        <f t="shared" si="227"/>
        <v/>
      </c>
      <c r="N4843" s="76" t="str">
        <f t="shared" si="228"/>
        <v/>
      </c>
      <c r="O4843" s="33">
        <f t="shared" si="229"/>
        <v>0</v>
      </c>
    </row>
    <row r="4844" spans="1:15" x14ac:dyDescent="0.25">
      <c r="A4844" s="64" t="s">
        <v>209</v>
      </c>
      <c r="B4844" s="79" t="str">
        <f>IF(Twentieth!B97="", "",Twentieth!B97)</f>
        <v/>
      </c>
      <c r="C4844" s="66" t="str">
        <f>IF(Twentieth!C97="", "",Twentieth!C97)</f>
        <v/>
      </c>
      <c r="D4844" s="66" t="str">
        <f>IF(Twentieth!D97="", "",Twentieth!D97)</f>
        <v/>
      </c>
      <c r="E4844" s="66" t="str">
        <f>IF(Twentieth!E97="", "",Twentieth!E97)</f>
        <v/>
      </c>
      <c r="F4844" s="66" t="str">
        <f>IF(Twentieth!F97="", "",Twentieth!F97)</f>
        <v/>
      </c>
      <c r="G4844" s="66" t="str">
        <f>IF(Twentieth!G97="", "",Twentieth!G97)</f>
        <v/>
      </c>
      <c r="H4844" s="66" t="str">
        <f>IF(Twentieth!H97="", "",Twentieth!H97)</f>
        <v/>
      </c>
      <c r="I4844" s="66" t="str">
        <f>IF(Twentieth!I97="", "",Twentieth!I97)</f>
        <v/>
      </c>
      <c r="J4844" s="66" t="str">
        <f>IF(Twentieth!J97="", "",Twentieth!J97)</f>
        <v/>
      </c>
      <c r="K4844" s="86" t="str">
        <f>IF(Twentieth!K97="", "",Twentieth!K97)</f>
        <v/>
      </c>
      <c r="M4844" s="67" t="str">
        <f t="shared" ref="M4844:M4907" si="230">IF(C4844="PwC",(7-COUNTIF(B4844:H4844,"")),"")</f>
        <v/>
      </c>
      <c r="N4844" s="76" t="str">
        <f t="shared" ref="N4844:N4907" si="231">IF(C4844="Carer",(7-COUNTIF(B4844:H4844,"")),"")</f>
        <v/>
      </c>
      <c r="O4844" s="33">
        <f t="shared" ref="O4844:O4907" si="232">SUM(M4844:N4844)</f>
        <v>0</v>
      </c>
    </row>
    <row r="4845" spans="1:15" x14ac:dyDescent="0.25">
      <c r="A4845" s="64" t="s">
        <v>209</v>
      </c>
      <c r="B4845" s="79" t="str">
        <f>IF(Twentieth!B98="", "",Twentieth!B98)</f>
        <v/>
      </c>
      <c r="C4845" s="66" t="str">
        <f>IF(Twentieth!C98="", "",Twentieth!C98)</f>
        <v/>
      </c>
      <c r="D4845" s="66" t="str">
        <f>IF(Twentieth!D98="", "",Twentieth!D98)</f>
        <v/>
      </c>
      <c r="E4845" s="66" t="str">
        <f>IF(Twentieth!E98="", "",Twentieth!E98)</f>
        <v/>
      </c>
      <c r="F4845" s="66" t="str">
        <f>IF(Twentieth!F98="", "",Twentieth!F98)</f>
        <v/>
      </c>
      <c r="G4845" s="66" t="str">
        <f>IF(Twentieth!G98="", "",Twentieth!G98)</f>
        <v/>
      </c>
      <c r="H4845" s="66" t="str">
        <f>IF(Twentieth!H98="", "",Twentieth!H98)</f>
        <v/>
      </c>
      <c r="I4845" s="66" t="str">
        <f>IF(Twentieth!I98="", "",Twentieth!I98)</f>
        <v/>
      </c>
      <c r="J4845" s="66" t="str">
        <f>IF(Twentieth!J98="", "",Twentieth!J98)</f>
        <v/>
      </c>
      <c r="K4845" s="86" t="str">
        <f>IF(Twentieth!K98="", "",Twentieth!K98)</f>
        <v/>
      </c>
      <c r="M4845" s="67" t="str">
        <f t="shared" si="230"/>
        <v/>
      </c>
      <c r="N4845" s="76" t="str">
        <f t="shared" si="231"/>
        <v/>
      </c>
      <c r="O4845" s="33">
        <f t="shared" si="232"/>
        <v>0</v>
      </c>
    </row>
    <row r="4846" spans="1:15" x14ac:dyDescent="0.25">
      <c r="A4846" s="64" t="s">
        <v>209</v>
      </c>
      <c r="B4846" s="79" t="str">
        <f>IF(Twentieth!B99="", "",Twentieth!B99)</f>
        <v/>
      </c>
      <c r="C4846" s="66" t="str">
        <f>IF(Twentieth!C99="", "",Twentieth!C99)</f>
        <v/>
      </c>
      <c r="D4846" s="66" t="str">
        <f>IF(Twentieth!D99="", "",Twentieth!D99)</f>
        <v/>
      </c>
      <c r="E4846" s="66" t="str">
        <f>IF(Twentieth!E99="", "",Twentieth!E99)</f>
        <v/>
      </c>
      <c r="F4846" s="66" t="str">
        <f>IF(Twentieth!F99="", "",Twentieth!F99)</f>
        <v/>
      </c>
      <c r="G4846" s="66" t="str">
        <f>IF(Twentieth!G99="", "",Twentieth!G99)</f>
        <v/>
      </c>
      <c r="H4846" s="66" t="str">
        <f>IF(Twentieth!H99="", "",Twentieth!H99)</f>
        <v/>
      </c>
      <c r="I4846" s="66" t="str">
        <f>IF(Twentieth!I99="", "",Twentieth!I99)</f>
        <v/>
      </c>
      <c r="J4846" s="66" t="str">
        <f>IF(Twentieth!J99="", "",Twentieth!J99)</f>
        <v/>
      </c>
      <c r="K4846" s="86" t="str">
        <f>IF(Twentieth!K99="", "",Twentieth!K99)</f>
        <v/>
      </c>
      <c r="M4846" s="67" t="str">
        <f t="shared" si="230"/>
        <v/>
      </c>
      <c r="N4846" s="76" t="str">
        <f t="shared" si="231"/>
        <v/>
      </c>
      <c r="O4846" s="33">
        <f t="shared" si="232"/>
        <v>0</v>
      </c>
    </row>
    <row r="4847" spans="1:15" x14ac:dyDescent="0.25">
      <c r="A4847" s="64" t="s">
        <v>209</v>
      </c>
      <c r="B4847" s="79" t="str">
        <f>IF(Twentieth!B100="", "",Twentieth!B100)</f>
        <v/>
      </c>
      <c r="C4847" s="66" t="str">
        <f>IF(Twentieth!C100="", "",Twentieth!C100)</f>
        <v/>
      </c>
      <c r="D4847" s="66" t="str">
        <f>IF(Twentieth!D100="", "",Twentieth!D100)</f>
        <v/>
      </c>
      <c r="E4847" s="66" t="str">
        <f>IF(Twentieth!E100="", "",Twentieth!E100)</f>
        <v/>
      </c>
      <c r="F4847" s="66" t="str">
        <f>IF(Twentieth!F100="", "",Twentieth!F100)</f>
        <v/>
      </c>
      <c r="G4847" s="66" t="str">
        <f>IF(Twentieth!G100="", "",Twentieth!G100)</f>
        <v/>
      </c>
      <c r="H4847" s="66" t="str">
        <f>IF(Twentieth!H100="", "",Twentieth!H100)</f>
        <v/>
      </c>
      <c r="I4847" s="66" t="str">
        <f>IF(Twentieth!I100="", "",Twentieth!I100)</f>
        <v/>
      </c>
      <c r="J4847" s="66" t="str">
        <f>IF(Twentieth!J100="", "",Twentieth!J100)</f>
        <v/>
      </c>
      <c r="K4847" s="86" t="str">
        <f>IF(Twentieth!K100="", "",Twentieth!K100)</f>
        <v/>
      </c>
      <c r="M4847" s="67" t="str">
        <f t="shared" si="230"/>
        <v/>
      </c>
      <c r="N4847" s="76" t="str">
        <f t="shared" si="231"/>
        <v/>
      </c>
      <c r="O4847" s="33">
        <f t="shared" si="232"/>
        <v>0</v>
      </c>
    </row>
    <row r="4848" spans="1:15" x14ac:dyDescent="0.25">
      <c r="A4848" s="64" t="s">
        <v>209</v>
      </c>
      <c r="B4848" s="79" t="str">
        <f>IF(Twentieth!B101="", "",Twentieth!B101)</f>
        <v/>
      </c>
      <c r="C4848" s="66" t="str">
        <f>IF(Twentieth!C101="", "",Twentieth!C101)</f>
        <v/>
      </c>
      <c r="D4848" s="66" t="str">
        <f>IF(Twentieth!D101="", "",Twentieth!D101)</f>
        <v/>
      </c>
      <c r="E4848" s="66" t="str">
        <f>IF(Twentieth!E101="", "",Twentieth!E101)</f>
        <v/>
      </c>
      <c r="F4848" s="66" t="str">
        <f>IF(Twentieth!F101="", "",Twentieth!F101)</f>
        <v/>
      </c>
      <c r="G4848" s="66" t="str">
        <f>IF(Twentieth!G101="", "",Twentieth!G101)</f>
        <v/>
      </c>
      <c r="H4848" s="66" t="str">
        <f>IF(Twentieth!H101="", "",Twentieth!H101)</f>
        <v/>
      </c>
      <c r="I4848" s="66" t="str">
        <f>IF(Twentieth!I101="", "",Twentieth!I101)</f>
        <v/>
      </c>
      <c r="J4848" s="66" t="str">
        <f>IF(Twentieth!J101="", "",Twentieth!J101)</f>
        <v/>
      </c>
      <c r="K4848" s="86" t="str">
        <f>IF(Twentieth!K101="", "",Twentieth!K101)</f>
        <v/>
      </c>
      <c r="M4848" s="67" t="str">
        <f t="shared" si="230"/>
        <v/>
      </c>
      <c r="N4848" s="76" t="str">
        <f t="shared" si="231"/>
        <v/>
      </c>
      <c r="O4848" s="33">
        <f t="shared" si="232"/>
        <v>0</v>
      </c>
    </row>
    <row r="4849" spans="1:15" x14ac:dyDescent="0.25">
      <c r="A4849" s="64" t="s">
        <v>209</v>
      </c>
      <c r="B4849" s="79" t="str">
        <f>IF(Twentieth!B102="", "",Twentieth!B102)</f>
        <v/>
      </c>
      <c r="C4849" s="66" t="str">
        <f>IF(Twentieth!C102="", "",Twentieth!C102)</f>
        <v/>
      </c>
      <c r="D4849" s="66" t="str">
        <f>IF(Twentieth!D102="", "",Twentieth!D102)</f>
        <v/>
      </c>
      <c r="E4849" s="66" t="str">
        <f>IF(Twentieth!E102="", "",Twentieth!E102)</f>
        <v/>
      </c>
      <c r="F4849" s="66" t="str">
        <f>IF(Twentieth!F102="", "",Twentieth!F102)</f>
        <v/>
      </c>
      <c r="G4849" s="66" t="str">
        <f>IF(Twentieth!G102="", "",Twentieth!G102)</f>
        <v/>
      </c>
      <c r="H4849" s="66" t="str">
        <f>IF(Twentieth!H102="", "",Twentieth!H102)</f>
        <v/>
      </c>
      <c r="I4849" s="66" t="str">
        <f>IF(Twentieth!I102="", "",Twentieth!I102)</f>
        <v/>
      </c>
      <c r="J4849" s="66" t="str">
        <f>IF(Twentieth!J102="", "",Twentieth!J102)</f>
        <v/>
      </c>
      <c r="K4849" s="86" t="str">
        <f>IF(Twentieth!K102="", "",Twentieth!K102)</f>
        <v/>
      </c>
      <c r="M4849" s="67" t="str">
        <f t="shared" si="230"/>
        <v/>
      </c>
      <c r="N4849" s="76" t="str">
        <f t="shared" si="231"/>
        <v/>
      </c>
      <c r="O4849" s="33">
        <f t="shared" si="232"/>
        <v>0</v>
      </c>
    </row>
    <row r="4850" spans="1:15" x14ac:dyDescent="0.25">
      <c r="A4850" s="64" t="s">
        <v>209</v>
      </c>
      <c r="B4850" s="79" t="str">
        <f>IF(Twentieth!B103="", "",Twentieth!B103)</f>
        <v/>
      </c>
      <c r="C4850" s="66" t="str">
        <f>IF(Twentieth!C103="", "",Twentieth!C103)</f>
        <v/>
      </c>
      <c r="D4850" s="66" t="str">
        <f>IF(Twentieth!D103="", "",Twentieth!D103)</f>
        <v/>
      </c>
      <c r="E4850" s="66" t="str">
        <f>IF(Twentieth!E103="", "",Twentieth!E103)</f>
        <v/>
      </c>
      <c r="F4850" s="66" t="str">
        <f>IF(Twentieth!F103="", "",Twentieth!F103)</f>
        <v/>
      </c>
      <c r="G4850" s="66" t="str">
        <f>IF(Twentieth!G103="", "",Twentieth!G103)</f>
        <v/>
      </c>
      <c r="H4850" s="66" t="str">
        <f>IF(Twentieth!H103="", "",Twentieth!H103)</f>
        <v/>
      </c>
      <c r="I4850" s="66" t="str">
        <f>IF(Twentieth!I103="", "",Twentieth!I103)</f>
        <v/>
      </c>
      <c r="J4850" s="66" t="str">
        <f>IF(Twentieth!J103="", "",Twentieth!J103)</f>
        <v/>
      </c>
      <c r="K4850" s="86" t="str">
        <f>IF(Twentieth!K103="", "",Twentieth!K103)</f>
        <v/>
      </c>
      <c r="M4850" s="67" t="str">
        <f t="shared" si="230"/>
        <v/>
      </c>
      <c r="N4850" s="76" t="str">
        <f t="shared" si="231"/>
        <v/>
      </c>
      <c r="O4850" s="33">
        <f t="shared" si="232"/>
        <v>0</v>
      </c>
    </row>
    <row r="4851" spans="1:15" x14ac:dyDescent="0.25">
      <c r="A4851" s="64" t="s">
        <v>209</v>
      </c>
      <c r="B4851" s="79" t="str">
        <f>IF(Twentieth!B104="", "",Twentieth!B104)</f>
        <v/>
      </c>
      <c r="C4851" s="66" t="str">
        <f>IF(Twentieth!C104="", "",Twentieth!C104)</f>
        <v/>
      </c>
      <c r="D4851" s="66" t="str">
        <f>IF(Twentieth!D104="", "",Twentieth!D104)</f>
        <v/>
      </c>
      <c r="E4851" s="66" t="str">
        <f>IF(Twentieth!E104="", "",Twentieth!E104)</f>
        <v/>
      </c>
      <c r="F4851" s="66" t="str">
        <f>IF(Twentieth!F104="", "",Twentieth!F104)</f>
        <v/>
      </c>
      <c r="G4851" s="66" t="str">
        <f>IF(Twentieth!G104="", "",Twentieth!G104)</f>
        <v/>
      </c>
      <c r="H4851" s="66" t="str">
        <f>IF(Twentieth!H104="", "",Twentieth!H104)</f>
        <v/>
      </c>
      <c r="I4851" s="66" t="str">
        <f>IF(Twentieth!I104="", "",Twentieth!I104)</f>
        <v/>
      </c>
      <c r="J4851" s="66" t="str">
        <f>IF(Twentieth!J104="", "",Twentieth!J104)</f>
        <v/>
      </c>
      <c r="K4851" s="86" t="str">
        <f>IF(Twentieth!K104="", "",Twentieth!K104)</f>
        <v/>
      </c>
      <c r="M4851" s="67" t="str">
        <f t="shared" si="230"/>
        <v/>
      </c>
      <c r="N4851" s="76" t="str">
        <f t="shared" si="231"/>
        <v/>
      </c>
      <c r="O4851" s="33">
        <f t="shared" si="232"/>
        <v>0</v>
      </c>
    </row>
    <row r="4852" spans="1:15" x14ac:dyDescent="0.25">
      <c r="A4852" s="64" t="s">
        <v>209</v>
      </c>
      <c r="B4852" s="79" t="str">
        <f>IF(Twentieth!B105="", "",Twentieth!B105)</f>
        <v/>
      </c>
      <c r="C4852" s="66" t="str">
        <f>IF(Twentieth!C105="", "",Twentieth!C105)</f>
        <v/>
      </c>
      <c r="D4852" s="66" t="str">
        <f>IF(Twentieth!D105="", "",Twentieth!D105)</f>
        <v/>
      </c>
      <c r="E4852" s="66" t="str">
        <f>IF(Twentieth!E105="", "",Twentieth!E105)</f>
        <v/>
      </c>
      <c r="F4852" s="66" t="str">
        <f>IF(Twentieth!F105="", "",Twentieth!F105)</f>
        <v/>
      </c>
      <c r="G4852" s="66" t="str">
        <f>IF(Twentieth!G105="", "",Twentieth!G105)</f>
        <v/>
      </c>
      <c r="H4852" s="66" t="str">
        <f>IF(Twentieth!H105="", "",Twentieth!H105)</f>
        <v/>
      </c>
      <c r="I4852" s="66" t="str">
        <f>IF(Twentieth!I105="", "",Twentieth!I105)</f>
        <v/>
      </c>
      <c r="J4852" s="66" t="str">
        <f>IF(Twentieth!J105="", "",Twentieth!J105)</f>
        <v/>
      </c>
      <c r="K4852" s="86" t="str">
        <f>IF(Twentieth!K105="", "",Twentieth!K105)</f>
        <v/>
      </c>
      <c r="M4852" s="67" t="str">
        <f t="shared" si="230"/>
        <v/>
      </c>
      <c r="N4852" s="76" t="str">
        <f t="shared" si="231"/>
        <v/>
      </c>
      <c r="O4852" s="33">
        <f t="shared" si="232"/>
        <v>0</v>
      </c>
    </row>
    <row r="4853" spans="1:15" x14ac:dyDescent="0.25">
      <c r="A4853" s="64" t="s">
        <v>209</v>
      </c>
      <c r="B4853" s="79" t="str">
        <f>IF(Twentieth!B106="", "",Twentieth!B106)</f>
        <v/>
      </c>
      <c r="C4853" s="66" t="str">
        <f>IF(Twentieth!C106="", "",Twentieth!C106)</f>
        <v/>
      </c>
      <c r="D4853" s="66" t="str">
        <f>IF(Twentieth!D106="", "",Twentieth!D106)</f>
        <v/>
      </c>
      <c r="E4853" s="66" t="str">
        <f>IF(Twentieth!E106="", "",Twentieth!E106)</f>
        <v/>
      </c>
      <c r="F4853" s="66" t="str">
        <f>IF(Twentieth!F106="", "",Twentieth!F106)</f>
        <v/>
      </c>
      <c r="G4853" s="66" t="str">
        <f>IF(Twentieth!G106="", "",Twentieth!G106)</f>
        <v/>
      </c>
      <c r="H4853" s="66" t="str">
        <f>IF(Twentieth!H106="", "",Twentieth!H106)</f>
        <v/>
      </c>
      <c r="I4853" s="66" t="str">
        <f>IF(Twentieth!I106="", "",Twentieth!I106)</f>
        <v/>
      </c>
      <c r="J4853" s="66" t="str">
        <f>IF(Twentieth!J106="", "",Twentieth!J106)</f>
        <v/>
      </c>
      <c r="K4853" s="86" t="str">
        <f>IF(Twentieth!K106="", "",Twentieth!K106)</f>
        <v/>
      </c>
      <c r="M4853" s="67" t="str">
        <f t="shared" si="230"/>
        <v/>
      </c>
      <c r="N4853" s="76" t="str">
        <f t="shared" si="231"/>
        <v/>
      </c>
      <c r="O4853" s="33">
        <f t="shared" si="232"/>
        <v>0</v>
      </c>
    </row>
    <row r="4854" spans="1:15" x14ac:dyDescent="0.25">
      <c r="A4854" s="64" t="s">
        <v>209</v>
      </c>
      <c r="B4854" s="79" t="str">
        <f>IF(Twentieth!B107="", "",Twentieth!B107)</f>
        <v/>
      </c>
      <c r="C4854" s="66" t="str">
        <f>IF(Twentieth!C107="", "",Twentieth!C107)</f>
        <v/>
      </c>
      <c r="D4854" s="66" t="str">
        <f>IF(Twentieth!D107="", "",Twentieth!D107)</f>
        <v/>
      </c>
      <c r="E4854" s="66" t="str">
        <f>IF(Twentieth!E107="", "",Twentieth!E107)</f>
        <v/>
      </c>
      <c r="F4854" s="66" t="str">
        <f>IF(Twentieth!F107="", "",Twentieth!F107)</f>
        <v/>
      </c>
      <c r="G4854" s="66" t="str">
        <f>IF(Twentieth!G107="", "",Twentieth!G107)</f>
        <v/>
      </c>
      <c r="H4854" s="66" t="str">
        <f>IF(Twentieth!H107="", "",Twentieth!H107)</f>
        <v/>
      </c>
      <c r="I4854" s="66" t="str">
        <f>IF(Twentieth!I107="", "",Twentieth!I107)</f>
        <v/>
      </c>
      <c r="J4854" s="66" t="str">
        <f>IF(Twentieth!J107="", "",Twentieth!J107)</f>
        <v/>
      </c>
      <c r="K4854" s="86" t="str">
        <f>IF(Twentieth!K107="", "",Twentieth!K107)</f>
        <v/>
      </c>
      <c r="M4854" s="67" t="str">
        <f t="shared" si="230"/>
        <v/>
      </c>
      <c r="N4854" s="76" t="str">
        <f t="shared" si="231"/>
        <v/>
      </c>
      <c r="O4854" s="33">
        <f t="shared" si="232"/>
        <v>0</v>
      </c>
    </row>
    <row r="4855" spans="1:15" x14ac:dyDescent="0.25">
      <c r="A4855" s="64" t="s">
        <v>209</v>
      </c>
      <c r="B4855" s="79" t="str">
        <f>IF(Twentieth!B108="", "",Twentieth!B108)</f>
        <v/>
      </c>
      <c r="C4855" s="66" t="str">
        <f>IF(Twentieth!C108="", "",Twentieth!C108)</f>
        <v/>
      </c>
      <c r="D4855" s="66" t="str">
        <f>IF(Twentieth!D108="", "",Twentieth!D108)</f>
        <v/>
      </c>
      <c r="E4855" s="66" t="str">
        <f>IF(Twentieth!E108="", "",Twentieth!E108)</f>
        <v/>
      </c>
      <c r="F4855" s="66" t="str">
        <f>IF(Twentieth!F108="", "",Twentieth!F108)</f>
        <v/>
      </c>
      <c r="G4855" s="66" t="str">
        <f>IF(Twentieth!G108="", "",Twentieth!G108)</f>
        <v/>
      </c>
      <c r="H4855" s="66" t="str">
        <f>IF(Twentieth!H108="", "",Twentieth!H108)</f>
        <v/>
      </c>
      <c r="I4855" s="66" t="str">
        <f>IF(Twentieth!I108="", "",Twentieth!I108)</f>
        <v/>
      </c>
      <c r="J4855" s="66" t="str">
        <f>IF(Twentieth!J108="", "",Twentieth!J108)</f>
        <v/>
      </c>
      <c r="K4855" s="86" t="str">
        <f>IF(Twentieth!K108="", "",Twentieth!K108)</f>
        <v/>
      </c>
      <c r="M4855" s="67" t="str">
        <f t="shared" si="230"/>
        <v/>
      </c>
      <c r="N4855" s="76" t="str">
        <f t="shared" si="231"/>
        <v/>
      </c>
      <c r="O4855" s="33">
        <f t="shared" si="232"/>
        <v>0</v>
      </c>
    </row>
    <row r="4856" spans="1:15" x14ac:dyDescent="0.25">
      <c r="A4856" s="64" t="s">
        <v>209</v>
      </c>
      <c r="B4856" s="79" t="str">
        <f>IF(Twentieth!B109="", "",Twentieth!B109)</f>
        <v/>
      </c>
      <c r="C4856" s="66" t="str">
        <f>IF(Twentieth!C109="", "",Twentieth!C109)</f>
        <v/>
      </c>
      <c r="D4856" s="66" t="str">
        <f>IF(Twentieth!D109="", "",Twentieth!D109)</f>
        <v/>
      </c>
      <c r="E4856" s="66" t="str">
        <f>IF(Twentieth!E109="", "",Twentieth!E109)</f>
        <v/>
      </c>
      <c r="F4856" s="66" t="str">
        <f>IF(Twentieth!F109="", "",Twentieth!F109)</f>
        <v/>
      </c>
      <c r="G4856" s="66" t="str">
        <f>IF(Twentieth!G109="", "",Twentieth!G109)</f>
        <v/>
      </c>
      <c r="H4856" s="66" t="str">
        <f>IF(Twentieth!H109="", "",Twentieth!H109)</f>
        <v/>
      </c>
      <c r="I4856" s="66" t="str">
        <f>IF(Twentieth!I109="", "",Twentieth!I109)</f>
        <v/>
      </c>
      <c r="J4856" s="66" t="str">
        <f>IF(Twentieth!J109="", "",Twentieth!J109)</f>
        <v/>
      </c>
      <c r="K4856" s="86" t="str">
        <f>IF(Twentieth!K109="", "",Twentieth!K109)</f>
        <v/>
      </c>
      <c r="M4856" s="67" t="str">
        <f t="shared" si="230"/>
        <v/>
      </c>
      <c r="N4856" s="76" t="str">
        <f t="shared" si="231"/>
        <v/>
      </c>
      <c r="O4856" s="33">
        <f t="shared" si="232"/>
        <v>0</v>
      </c>
    </row>
    <row r="4857" spans="1:15" x14ac:dyDescent="0.25">
      <c r="A4857" s="64" t="s">
        <v>209</v>
      </c>
      <c r="B4857" s="79" t="str">
        <f>IF(Twentieth!B110="", "",Twentieth!B110)</f>
        <v/>
      </c>
      <c r="C4857" s="66" t="str">
        <f>IF(Twentieth!C110="", "",Twentieth!C110)</f>
        <v/>
      </c>
      <c r="D4857" s="66" t="str">
        <f>IF(Twentieth!D110="", "",Twentieth!D110)</f>
        <v/>
      </c>
      <c r="E4857" s="66" t="str">
        <f>IF(Twentieth!E110="", "",Twentieth!E110)</f>
        <v/>
      </c>
      <c r="F4857" s="66" t="str">
        <f>IF(Twentieth!F110="", "",Twentieth!F110)</f>
        <v/>
      </c>
      <c r="G4857" s="66" t="str">
        <f>IF(Twentieth!G110="", "",Twentieth!G110)</f>
        <v/>
      </c>
      <c r="H4857" s="66" t="str">
        <f>IF(Twentieth!H110="", "",Twentieth!H110)</f>
        <v/>
      </c>
      <c r="I4857" s="66" t="str">
        <f>IF(Twentieth!I110="", "",Twentieth!I110)</f>
        <v/>
      </c>
      <c r="J4857" s="66" t="str">
        <f>IF(Twentieth!J110="", "",Twentieth!J110)</f>
        <v/>
      </c>
      <c r="K4857" s="86" t="str">
        <f>IF(Twentieth!K110="", "",Twentieth!K110)</f>
        <v/>
      </c>
      <c r="M4857" s="67" t="str">
        <f t="shared" si="230"/>
        <v/>
      </c>
      <c r="N4857" s="76" t="str">
        <f t="shared" si="231"/>
        <v/>
      </c>
      <c r="O4857" s="33">
        <f t="shared" si="232"/>
        <v>0</v>
      </c>
    </row>
    <row r="4858" spans="1:15" x14ac:dyDescent="0.25">
      <c r="A4858" s="64" t="s">
        <v>209</v>
      </c>
      <c r="B4858" s="79" t="str">
        <f>IF(Twentieth!B111="", "",Twentieth!B111)</f>
        <v/>
      </c>
      <c r="C4858" s="66" t="str">
        <f>IF(Twentieth!C111="", "",Twentieth!C111)</f>
        <v/>
      </c>
      <c r="D4858" s="66" t="str">
        <f>IF(Twentieth!D111="", "",Twentieth!D111)</f>
        <v/>
      </c>
      <c r="E4858" s="66" t="str">
        <f>IF(Twentieth!E111="", "",Twentieth!E111)</f>
        <v/>
      </c>
      <c r="F4858" s="66" t="str">
        <f>IF(Twentieth!F111="", "",Twentieth!F111)</f>
        <v/>
      </c>
      <c r="G4858" s="66" t="str">
        <f>IF(Twentieth!G111="", "",Twentieth!G111)</f>
        <v/>
      </c>
      <c r="H4858" s="66" t="str">
        <f>IF(Twentieth!H111="", "",Twentieth!H111)</f>
        <v/>
      </c>
      <c r="I4858" s="66" t="str">
        <f>IF(Twentieth!I111="", "",Twentieth!I111)</f>
        <v/>
      </c>
      <c r="J4858" s="66" t="str">
        <f>IF(Twentieth!J111="", "",Twentieth!J111)</f>
        <v/>
      </c>
      <c r="K4858" s="86" t="str">
        <f>IF(Twentieth!K111="", "",Twentieth!K111)</f>
        <v/>
      </c>
      <c r="M4858" s="67" t="str">
        <f t="shared" si="230"/>
        <v/>
      </c>
      <c r="N4858" s="76" t="str">
        <f t="shared" si="231"/>
        <v/>
      </c>
      <c r="O4858" s="33">
        <f t="shared" si="232"/>
        <v>0</v>
      </c>
    </row>
    <row r="4859" spans="1:15" x14ac:dyDescent="0.25">
      <c r="A4859" s="64" t="s">
        <v>209</v>
      </c>
      <c r="B4859" s="79" t="str">
        <f>IF(Twentieth!B112="", "",Twentieth!B112)</f>
        <v/>
      </c>
      <c r="C4859" s="66" t="str">
        <f>IF(Twentieth!C112="", "",Twentieth!C112)</f>
        <v/>
      </c>
      <c r="D4859" s="66" t="str">
        <f>IF(Twentieth!D112="", "",Twentieth!D112)</f>
        <v/>
      </c>
      <c r="E4859" s="66" t="str">
        <f>IF(Twentieth!E112="", "",Twentieth!E112)</f>
        <v/>
      </c>
      <c r="F4859" s="66" t="str">
        <f>IF(Twentieth!F112="", "",Twentieth!F112)</f>
        <v/>
      </c>
      <c r="G4859" s="66" t="str">
        <f>IF(Twentieth!G112="", "",Twentieth!G112)</f>
        <v/>
      </c>
      <c r="H4859" s="66" t="str">
        <f>IF(Twentieth!H112="", "",Twentieth!H112)</f>
        <v/>
      </c>
      <c r="I4859" s="66" t="str">
        <f>IF(Twentieth!I112="", "",Twentieth!I112)</f>
        <v/>
      </c>
      <c r="J4859" s="66" t="str">
        <f>IF(Twentieth!J112="", "",Twentieth!J112)</f>
        <v/>
      </c>
      <c r="K4859" s="86" t="str">
        <f>IF(Twentieth!K112="", "",Twentieth!K112)</f>
        <v/>
      </c>
      <c r="M4859" s="67" t="str">
        <f t="shared" si="230"/>
        <v/>
      </c>
      <c r="N4859" s="76" t="str">
        <f t="shared" si="231"/>
        <v/>
      </c>
      <c r="O4859" s="33">
        <f t="shared" si="232"/>
        <v>0</v>
      </c>
    </row>
    <row r="4860" spans="1:15" x14ac:dyDescent="0.25">
      <c r="A4860" s="64" t="s">
        <v>209</v>
      </c>
      <c r="B4860" s="79" t="str">
        <f>IF(Twentieth!B113="", "",Twentieth!B113)</f>
        <v/>
      </c>
      <c r="C4860" s="66" t="str">
        <f>IF(Twentieth!C113="", "",Twentieth!C113)</f>
        <v/>
      </c>
      <c r="D4860" s="66" t="str">
        <f>IF(Twentieth!D113="", "",Twentieth!D113)</f>
        <v/>
      </c>
      <c r="E4860" s="66" t="str">
        <f>IF(Twentieth!E113="", "",Twentieth!E113)</f>
        <v/>
      </c>
      <c r="F4860" s="66" t="str">
        <f>IF(Twentieth!F113="", "",Twentieth!F113)</f>
        <v/>
      </c>
      <c r="G4860" s="66" t="str">
        <f>IF(Twentieth!G113="", "",Twentieth!G113)</f>
        <v/>
      </c>
      <c r="H4860" s="66" t="str">
        <f>IF(Twentieth!H113="", "",Twentieth!H113)</f>
        <v/>
      </c>
      <c r="I4860" s="66" t="str">
        <f>IF(Twentieth!I113="", "",Twentieth!I113)</f>
        <v/>
      </c>
      <c r="J4860" s="66" t="str">
        <f>IF(Twentieth!J113="", "",Twentieth!J113)</f>
        <v/>
      </c>
      <c r="K4860" s="86" t="str">
        <f>IF(Twentieth!K113="", "",Twentieth!K113)</f>
        <v/>
      </c>
      <c r="M4860" s="67" t="str">
        <f t="shared" si="230"/>
        <v/>
      </c>
      <c r="N4860" s="76" t="str">
        <f t="shared" si="231"/>
        <v/>
      </c>
      <c r="O4860" s="33">
        <f t="shared" si="232"/>
        <v>0</v>
      </c>
    </row>
    <row r="4861" spans="1:15" x14ac:dyDescent="0.25">
      <c r="A4861" s="64" t="s">
        <v>209</v>
      </c>
      <c r="B4861" s="79" t="str">
        <f>IF(Twentieth!B114="", "",Twentieth!B114)</f>
        <v/>
      </c>
      <c r="C4861" s="66" t="str">
        <f>IF(Twentieth!C114="", "",Twentieth!C114)</f>
        <v/>
      </c>
      <c r="D4861" s="66" t="str">
        <f>IF(Twentieth!D114="", "",Twentieth!D114)</f>
        <v/>
      </c>
      <c r="E4861" s="66" t="str">
        <f>IF(Twentieth!E114="", "",Twentieth!E114)</f>
        <v/>
      </c>
      <c r="F4861" s="66" t="str">
        <f>IF(Twentieth!F114="", "",Twentieth!F114)</f>
        <v/>
      </c>
      <c r="G4861" s="66" t="str">
        <f>IF(Twentieth!G114="", "",Twentieth!G114)</f>
        <v/>
      </c>
      <c r="H4861" s="66" t="str">
        <f>IF(Twentieth!H114="", "",Twentieth!H114)</f>
        <v/>
      </c>
      <c r="I4861" s="66" t="str">
        <f>IF(Twentieth!I114="", "",Twentieth!I114)</f>
        <v/>
      </c>
      <c r="J4861" s="66" t="str">
        <f>IF(Twentieth!J114="", "",Twentieth!J114)</f>
        <v/>
      </c>
      <c r="K4861" s="86" t="str">
        <f>IF(Twentieth!K114="", "",Twentieth!K114)</f>
        <v/>
      </c>
      <c r="M4861" s="67" t="str">
        <f t="shared" si="230"/>
        <v/>
      </c>
      <c r="N4861" s="76" t="str">
        <f t="shared" si="231"/>
        <v/>
      </c>
      <c r="O4861" s="33">
        <f t="shared" si="232"/>
        <v>0</v>
      </c>
    </row>
    <row r="4862" spans="1:15" x14ac:dyDescent="0.25">
      <c r="A4862" s="64" t="s">
        <v>209</v>
      </c>
      <c r="B4862" s="79" t="str">
        <f>IF(Twentieth!B115="", "",Twentieth!B115)</f>
        <v/>
      </c>
      <c r="C4862" s="66" t="str">
        <f>IF(Twentieth!C115="", "",Twentieth!C115)</f>
        <v/>
      </c>
      <c r="D4862" s="66" t="str">
        <f>IF(Twentieth!D115="", "",Twentieth!D115)</f>
        <v/>
      </c>
      <c r="E4862" s="66" t="str">
        <f>IF(Twentieth!E115="", "",Twentieth!E115)</f>
        <v/>
      </c>
      <c r="F4862" s="66" t="str">
        <f>IF(Twentieth!F115="", "",Twentieth!F115)</f>
        <v/>
      </c>
      <c r="G4862" s="66" t="str">
        <f>IF(Twentieth!G115="", "",Twentieth!G115)</f>
        <v/>
      </c>
      <c r="H4862" s="66" t="str">
        <f>IF(Twentieth!H115="", "",Twentieth!H115)</f>
        <v/>
      </c>
      <c r="I4862" s="66" t="str">
        <f>IF(Twentieth!I115="", "",Twentieth!I115)</f>
        <v/>
      </c>
      <c r="J4862" s="66" t="str">
        <f>IF(Twentieth!J115="", "",Twentieth!J115)</f>
        <v/>
      </c>
      <c r="K4862" s="86" t="str">
        <f>IF(Twentieth!K115="", "",Twentieth!K115)</f>
        <v/>
      </c>
      <c r="M4862" s="67" t="str">
        <f t="shared" si="230"/>
        <v/>
      </c>
      <c r="N4862" s="76" t="str">
        <f t="shared" si="231"/>
        <v/>
      </c>
      <c r="O4862" s="33">
        <f t="shared" si="232"/>
        <v>0</v>
      </c>
    </row>
    <row r="4863" spans="1:15" x14ac:dyDescent="0.25">
      <c r="A4863" s="64" t="s">
        <v>209</v>
      </c>
      <c r="B4863" s="79" t="str">
        <f>IF(Twentieth!B116="", "",Twentieth!B116)</f>
        <v/>
      </c>
      <c r="C4863" s="66" t="str">
        <f>IF(Twentieth!C116="", "",Twentieth!C116)</f>
        <v/>
      </c>
      <c r="D4863" s="66" t="str">
        <f>IF(Twentieth!D116="", "",Twentieth!D116)</f>
        <v/>
      </c>
      <c r="E4863" s="66" t="str">
        <f>IF(Twentieth!E116="", "",Twentieth!E116)</f>
        <v/>
      </c>
      <c r="F4863" s="66" t="str">
        <f>IF(Twentieth!F116="", "",Twentieth!F116)</f>
        <v/>
      </c>
      <c r="G4863" s="66" t="str">
        <f>IF(Twentieth!G116="", "",Twentieth!G116)</f>
        <v/>
      </c>
      <c r="H4863" s="66" t="str">
        <f>IF(Twentieth!H116="", "",Twentieth!H116)</f>
        <v/>
      </c>
      <c r="I4863" s="66" t="str">
        <f>IF(Twentieth!I116="", "",Twentieth!I116)</f>
        <v/>
      </c>
      <c r="J4863" s="66" t="str">
        <f>IF(Twentieth!J116="", "",Twentieth!J116)</f>
        <v/>
      </c>
      <c r="K4863" s="86" t="str">
        <f>IF(Twentieth!K116="", "",Twentieth!K116)</f>
        <v/>
      </c>
      <c r="M4863" s="67" t="str">
        <f t="shared" si="230"/>
        <v/>
      </c>
      <c r="N4863" s="76" t="str">
        <f t="shared" si="231"/>
        <v/>
      </c>
      <c r="O4863" s="33">
        <f t="shared" si="232"/>
        <v>0</v>
      </c>
    </row>
    <row r="4864" spans="1:15" x14ac:dyDescent="0.25">
      <c r="A4864" s="64" t="s">
        <v>209</v>
      </c>
      <c r="B4864" s="79" t="str">
        <f>IF(Twentieth!B117="", "",Twentieth!B117)</f>
        <v/>
      </c>
      <c r="C4864" s="66" t="str">
        <f>IF(Twentieth!C117="", "",Twentieth!C117)</f>
        <v/>
      </c>
      <c r="D4864" s="66" t="str">
        <f>IF(Twentieth!D117="", "",Twentieth!D117)</f>
        <v/>
      </c>
      <c r="E4864" s="66" t="str">
        <f>IF(Twentieth!E117="", "",Twentieth!E117)</f>
        <v/>
      </c>
      <c r="F4864" s="66" t="str">
        <f>IF(Twentieth!F117="", "",Twentieth!F117)</f>
        <v/>
      </c>
      <c r="G4864" s="66" t="str">
        <f>IF(Twentieth!G117="", "",Twentieth!G117)</f>
        <v/>
      </c>
      <c r="H4864" s="66" t="str">
        <f>IF(Twentieth!H117="", "",Twentieth!H117)</f>
        <v/>
      </c>
      <c r="I4864" s="66" t="str">
        <f>IF(Twentieth!I117="", "",Twentieth!I117)</f>
        <v/>
      </c>
      <c r="J4864" s="66" t="str">
        <f>IF(Twentieth!J117="", "",Twentieth!J117)</f>
        <v/>
      </c>
      <c r="K4864" s="86" t="str">
        <f>IF(Twentieth!K117="", "",Twentieth!K117)</f>
        <v/>
      </c>
      <c r="M4864" s="67" t="str">
        <f t="shared" si="230"/>
        <v/>
      </c>
      <c r="N4864" s="76" t="str">
        <f t="shared" si="231"/>
        <v/>
      </c>
      <c r="O4864" s="33">
        <f t="shared" si="232"/>
        <v>0</v>
      </c>
    </row>
    <row r="4865" spans="1:15" x14ac:dyDescent="0.25">
      <c r="A4865" s="64" t="s">
        <v>209</v>
      </c>
      <c r="B4865" s="79" t="str">
        <f>IF(Twentieth!B118="", "",Twentieth!B118)</f>
        <v/>
      </c>
      <c r="C4865" s="66" t="str">
        <f>IF(Twentieth!C118="", "",Twentieth!C118)</f>
        <v/>
      </c>
      <c r="D4865" s="66" t="str">
        <f>IF(Twentieth!D118="", "",Twentieth!D118)</f>
        <v/>
      </c>
      <c r="E4865" s="66" t="str">
        <f>IF(Twentieth!E118="", "",Twentieth!E118)</f>
        <v/>
      </c>
      <c r="F4865" s="66" t="str">
        <f>IF(Twentieth!F118="", "",Twentieth!F118)</f>
        <v/>
      </c>
      <c r="G4865" s="66" t="str">
        <f>IF(Twentieth!G118="", "",Twentieth!G118)</f>
        <v/>
      </c>
      <c r="H4865" s="66" t="str">
        <f>IF(Twentieth!H118="", "",Twentieth!H118)</f>
        <v/>
      </c>
      <c r="I4865" s="66" t="str">
        <f>IF(Twentieth!I118="", "",Twentieth!I118)</f>
        <v/>
      </c>
      <c r="J4865" s="66" t="str">
        <f>IF(Twentieth!J118="", "",Twentieth!J118)</f>
        <v/>
      </c>
      <c r="K4865" s="86" t="str">
        <f>IF(Twentieth!K118="", "",Twentieth!K118)</f>
        <v/>
      </c>
      <c r="M4865" s="67" t="str">
        <f t="shared" si="230"/>
        <v/>
      </c>
      <c r="N4865" s="76" t="str">
        <f t="shared" si="231"/>
        <v/>
      </c>
      <c r="O4865" s="33">
        <f t="shared" si="232"/>
        <v>0</v>
      </c>
    </row>
    <row r="4866" spans="1:15" x14ac:dyDescent="0.25">
      <c r="A4866" s="64" t="s">
        <v>209</v>
      </c>
      <c r="B4866" s="79" t="str">
        <f>IF(Twentieth!B119="", "",Twentieth!B119)</f>
        <v/>
      </c>
      <c r="C4866" s="66" t="str">
        <f>IF(Twentieth!C119="", "",Twentieth!C119)</f>
        <v/>
      </c>
      <c r="D4866" s="66" t="str">
        <f>IF(Twentieth!D119="", "",Twentieth!D119)</f>
        <v/>
      </c>
      <c r="E4866" s="66" t="str">
        <f>IF(Twentieth!E119="", "",Twentieth!E119)</f>
        <v/>
      </c>
      <c r="F4866" s="66" t="str">
        <f>IF(Twentieth!F119="", "",Twentieth!F119)</f>
        <v/>
      </c>
      <c r="G4866" s="66" t="str">
        <f>IF(Twentieth!G119="", "",Twentieth!G119)</f>
        <v/>
      </c>
      <c r="H4866" s="66" t="str">
        <f>IF(Twentieth!H119="", "",Twentieth!H119)</f>
        <v/>
      </c>
      <c r="I4866" s="66" t="str">
        <f>IF(Twentieth!I119="", "",Twentieth!I119)</f>
        <v/>
      </c>
      <c r="J4866" s="66" t="str">
        <f>IF(Twentieth!J119="", "",Twentieth!J119)</f>
        <v/>
      </c>
      <c r="K4866" s="86" t="str">
        <f>IF(Twentieth!K119="", "",Twentieth!K119)</f>
        <v/>
      </c>
      <c r="M4866" s="67" t="str">
        <f t="shared" si="230"/>
        <v/>
      </c>
      <c r="N4866" s="76" t="str">
        <f t="shared" si="231"/>
        <v/>
      </c>
      <c r="O4866" s="33">
        <f t="shared" si="232"/>
        <v>0</v>
      </c>
    </row>
    <row r="4867" spans="1:15" x14ac:dyDescent="0.25">
      <c r="A4867" s="64" t="s">
        <v>209</v>
      </c>
      <c r="B4867" s="79" t="str">
        <f>IF(Twentieth!B120="", "",Twentieth!B120)</f>
        <v/>
      </c>
      <c r="C4867" s="66" t="str">
        <f>IF(Twentieth!C120="", "",Twentieth!C120)</f>
        <v/>
      </c>
      <c r="D4867" s="66" t="str">
        <f>IF(Twentieth!D120="", "",Twentieth!D120)</f>
        <v/>
      </c>
      <c r="E4867" s="66" t="str">
        <f>IF(Twentieth!E120="", "",Twentieth!E120)</f>
        <v/>
      </c>
      <c r="F4867" s="66" t="str">
        <f>IF(Twentieth!F120="", "",Twentieth!F120)</f>
        <v/>
      </c>
      <c r="G4867" s="66" t="str">
        <f>IF(Twentieth!G120="", "",Twentieth!G120)</f>
        <v/>
      </c>
      <c r="H4867" s="66" t="str">
        <f>IF(Twentieth!H120="", "",Twentieth!H120)</f>
        <v/>
      </c>
      <c r="I4867" s="66" t="str">
        <f>IF(Twentieth!I120="", "",Twentieth!I120)</f>
        <v/>
      </c>
      <c r="J4867" s="66" t="str">
        <f>IF(Twentieth!J120="", "",Twentieth!J120)</f>
        <v/>
      </c>
      <c r="K4867" s="86" t="str">
        <f>IF(Twentieth!K120="", "",Twentieth!K120)</f>
        <v/>
      </c>
      <c r="M4867" s="67" t="str">
        <f t="shared" si="230"/>
        <v/>
      </c>
      <c r="N4867" s="76" t="str">
        <f t="shared" si="231"/>
        <v/>
      </c>
      <c r="O4867" s="33">
        <f t="shared" si="232"/>
        <v>0</v>
      </c>
    </row>
    <row r="4868" spans="1:15" x14ac:dyDescent="0.25">
      <c r="A4868" s="64" t="s">
        <v>209</v>
      </c>
      <c r="B4868" s="79" t="str">
        <f>IF(Twentieth!B121="", "",Twentieth!B121)</f>
        <v/>
      </c>
      <c r="C4868" s="66" t="str">
        <f>IF(Twentieth!C121="", "",Twentieth!C121)</f>
        <v/>
      </c>
      <c r="D4868" s="66" t="str">
        <f>IF(Twentieth!D121="", "",Twentieth!D121)</f>
        <v/>
      </c>
      <c r="E4868" s="66" t="str">
        <f>IF(Twentieth!E121="", "",Twentieth!E121)</f>
        <v/>
      </c>
      <c r="F4868" s="66" t="str">
        <f>IF(Twentieth!F121="", "",Twentieth!F121)</f>
        <v/>
      </c>
      <c r="G4868" s="66" t="str">
        <f>IF(Twentieth!G121="", "",Twentieth!G121)</f>
        <v/>
      </c>
      <c r="H4868" s="66" t="str">
        <f>IF(Twentieth!H121="", "",Twentieth!H121)</f>
        <v/>
      </c>
      <c r="I4868" s="66" t="str">
        <f>IF(Twentieth!I121="", "",Twentieth!I121)</f>
        <v/>
      </c>
      <c r="J4868" s="66" t="str">
        <f>IF(Twentieth!J121="", "",Twentieth!J121)</f>
        <v/>
      </c>
      <c r="K4868" s="86" t="str">
        <f>IF(Twentieth!K121="", "",Twentieth!K121)</f>
        <v/>
      </c>
      <c r="M4868" s="67" t="str">
        <f t="shared" si="230"/>
        <v/>
      </c>
      <c r="N4868" s="76" t="str">
        <f t="shared" si="231"/>
        <v/>
      </c>
      <c r="O4868" s="33">
        <f t="shared" si="232"/>
        <v>0</v>
      </c>
    </row>
    <row r="4869" spans="1:15" x14ac:dyDescent="0.25">
      <c r="A4869" s="64" t="s">
        <v>209</v>
      </c>
      <c r="B4869" s="79" t="str">
        <f>IF(Twentieth!B122="", "",Twentieth!B122)</f>
        <v/>
      </c>
      <c r="C4869" s="66" t="str">
        <f>IF(Twentieth!C122="", "",Twentieth!C122)</f>
        <v/>
      </c>
      <c r="D4869" s="66" t="str">
        <f>IF(Twentieth!D122="", "",Twentieth!D122)</f>
        <v/>
      </c>
      <c r="E4869" s="66" t="str">
        <f>IF(Twentieth!E122="", "",Twentieth!E122)</f>
        <v/>
      </c>
      <c r="F4869" s="66" t="str">
        <f>IF(Twentieth!F122="", "",Twentieth!F122)</f>
        <v/>
      </c>
      <c r="G4869" s="66" t="str">
        <f>IF(Twentieth!G122="", "",Twentieth!G122)</f>
        <v/>
      </c>
      <c r="H4869" s="66" t="str">
        <f>IF(Twentieth!H122="", "",Twentieth!H122)</f>
        <v/>
      </c>
      <c r="I4869" s="66" t="str">
        <f>IF(Twentieth!I122="", "",Twentieth!I122)</f>
        <v/>
      </c>
      <c r="J4869" s="66" t="str">
        <f>IF(Twentieth!J122="", "",Twentieth!J122)</f>
        <v/>
      </c>
      <c r="K4869" s="86" t="str">
        <f>IF(Twentieth!K122="", "",Twentieth!K122)</f>
        <v/>
      </c>
      <c r="M4869" s="67" t="str">
        <f t="shared" si="230"/>
        <v/>
      </c>
      <c r="N4869" s="76" t="str">
        <f t="shared" si="231"/>
        <v/>
      </c>
      <c r="O4869" s="33">
        <f t="shared" si="232"/>
        <v>0</v>
      </c>
    </row>
    <row r="4870" spans="1:15" x14ac:dyDescent="0.25">
      <c r="A4870" s="64" t="s">
        <v>209</v>
      </c>
      <c r="B4870" s="79" t="str">
        <f>IF(Twentieth!B123="", "",Twentieth!B123)</f>
        <v/>
      </c>
      <c r="C4870" s="66" t="str">
        <f>IF(Twentieth!C123="", "",Twentieth!C123)</f>
        <v/>
      </c>
      <c r="D4870" s="66" t="str">
        <f>IF(Twentieth!D123="", "",Twentieth!D123)</f>
        <v/>
      </c>
      <c r="E4870" s="66" t="str">
        <f>IF(Twentieth!E123="", "",Twentieth!E123)</f>
        <v/>
      </c>
      <c r="F4870" s="66" t="str">
        <f>IF(Twentieth!F123="", "",Twentieth!F123)</f>
        <v/>
      </c>
      <c r="G4870" s="66" t="str">
        <f>IF(Twentieth!G123="", "",Twentieth!G123)</f>
        <v/>
      </c>
      <c r="H4870" s="66" t="str">
        <f>IF(Twentieth!H123="", "",Twentieth!H123)</f>
        <v/>
      </c>
      <c r="I4870" s="66" t="str">
        <f>IF(Twentieth!I123="", "",Twentieth!I123)</f>
        <v/>
      </c>
      <c r="J4870" s="66" t="str">
        <f>IF(Twentieth!J123="", "",Twentieth!J123)</f>
        <v/>
      </c>
      <c r="K4870" s="86" t="str">
        <f>IF(Twentieth!K123="", "",Twentieth!K123)</f>
        <v/>
      </c>
      <c r="M4870" s="67" t="str">
        <f t="shared" si="230"/>
        <v/>
      </c>
      <c r="N4870" s="76" t="str">
        <f t="shared" si="231"/>
        <v/>
      </c>
      <c r="O4870" s="33">
        <f t="shared" si="232"/>
        <v>0</v>
      </c>
    </row>
    <row r="4871" spans="1:15" x14ac:dyDescent="0.25">
      <c r="A4871" s="64" t="s">
        <v>209</v>
      </c>
      <c r="B4871" s="79" t="str">
        <f>IF(Twentieth!B124="", "",Twentieth!B124)</f>
        <v/>
      </c>
      <c r="C4871" s="66" t="str">
        <f>IF(Twentieth!C124="", "",Twentieth!C124)</f>
        <v/>
      </c>
      <c r="D4871" s="66" t="str">
        <f>IF(Twentieth!D124="", "",Twentieth!D124)</f>
        <v/>
      </c>
      <c r="E4871" s="66" t="str">
        <f>IF(Twentieth!E124="", "",Twentieth!E124)</f>
        <v/>
      </c>
      <c r="F4871" s="66" t="str">
        <f>IF(Twentieth!F124="", "",Twentieth!F124)</f>
        <v/>
      </c>
      <c r="G4871" s="66" t="str">
        <f>IF(Twentieth!G124="", "",Twentieth!G124)</f>
        <v/>
      </c>
      <c r="H4871" s="66" t="str">
        <f>IF(Twentieth!H124="", "",Twentieth!H124)</f>
        <v/>
      </c>
      <c r="I4871" s="66" t="str">
        <f>IF(Twentieth!I124="", "",Twentieth!I124)</f>
        <v/>
      </c>
      <c r="J4871" s="66" t="str">
        <f>IF(Twentieth!J124="", "",Twentieth!J124)</f>
        <v/>
      </c>
      <c r="K4871" s="86" t="str">
        <f>IF(Twentieth!K124="", "",Twentieth!K124)</f>
        <v/>
      </c>
      <c r="M4871" s="67" t="str">
        <f t="shared" si="230"/>
        <v/>
      </c>
      <c r="N4871" s="76" t="str">
        <f t="shared" si="231"/>
        <v/>
      </c>
      <c r="O4871" s="33">
        <f t="shared" si="232"/>
        <v>0</v>
      </c>
    </row>
    <row r="4872" spans="1:15" x14ac:dyDescent="0.25">
      <c r="A4872" s="64" t="s">
        <v>209</v>
      </c>
      <c r="B4872" s="79" t="str">
        <f>IF(Twentieth!B125="", "",Twentieth!B125)</f>
        <v/>
      </c>
      <c r="C4872" s="66" t="str">
        <f>IF(Twentieth!C125="", "",Twentieth!C125)</f>
        <v/>
      </c>
      <c r="D4872" s="66" t="str">
        <f>IF(Twentieth!D125="", "",Twentieth!D125)</f>
        <v/>
      </c>
      <c r="E4872" s="66" t="str">
        <f>IF(Twentieth!E125="", "",Twentieth!E125)</f>
        <v/>
      </c>
      <c r="F4872" s="66" t="str">
        <f>IF(Twentieth!F125="", "",Twentieth!F125)</f>
        <v/>
      </c>
      <c r="G4872" s="66" t="str">
        <f>IF(Twentieth!G125="", "",Twentieth!G125)</f>
        <v/>
      </c>
      <c r="H4872" s="66" t="str">
        <f>IF(Twentieth!H125="", "",Twentieth!H125)</f>
        <v/>
      </c>
      <c r="I4872" s="66" t="str">
        <f>IF(Twentieth!I125="", "",Twentieth!I125)</f>
        <v/>
      </c>
      <c r="J4872" s="66" t="str">
        <f>IF(Twentieth!J125="", "",Twentieth!J125)</f>
        <v/>
      </c>
      <c r="K4872" s="86" t="str">
        <f>IF(Twentieth!K125="", "",Twentieth!K125)</f>
        <v/>
      </c>
      <c r="M4872" s="67" t="str">
        <f t="shared" si="230"/>
        <v/>
      </c>
      <c r="N4872" s="76" t="str">
        <f t="shared" si="231"/>
        <v/>
      </c>
      <c r="O4872" s="33">
        <f t="shared" si="232"/>
        <v>0</v>
      </c>
    </row>
    <row r="4873" spans="1:15" x14ac:dyDescent="0.25">
      <c r="A4873" s="64" t="s">
        <v>209</v>
      </c>
      <c r="B4873" s="79" t="str">
        <f>IF(Twentieth!B126="", "",Twentieth!B126)</f>
        <v/>
      </c>
      <c r="C4873" s="66" t="str">
        <f>IF(Twentieth!C126="", "",Twentieth!C126)</f>
        <v/>
      </c>
      <c r="D4873" s="66" t="str">
        <f>IF(Twentieth!D126="", "",Twentieth!D126)</f>
        <v/>
      </c>
      <c r="E4873" s="66" t="str">
        <f>IF(Twentieth!E126="", "",Twentieth!E126)</f>
        <v/>
      </c>
      <c r="F4873" s="66" t="str">
        <f>IF(Twentieth!F126="", "",Twentieth!F126)</f>
        <v/>
      </c>
      <c r="G4873" s="66" t="str">
        <f>IF(Twentieth!G126="", "",Twentieth!G126)</f>
        <v/>
      </c>
      <c r="H4873" s="66" t="str">
        <f>IF(Twentieth!H126="", "",Twentieth!H126)</f>
        <v/>
      </c>
      <c r="I4873" s="66" t="str">
        <f>IF(Twentieth!I126="", "",Twentieth!I126)</f>
        <v/>
      </c>
      <c r="J4873" s="66" t="str">
        <f>IF(Twentieth!J126="", "",Twentieth!J126)</f>
        <v/>
      </c>
      <c r="K4873" s="86" t="str">
        <f>IF(Twentieth!K126="", "",Twentieth!K126)</f>
        <v/>
      </c>
      <c r="M4873" s="67" t="str">
        <f t="shared" si="230"/>
        <v/>
      </c>
      <c r="N4873" s="76" t="str">
        <f t="shared" si="231"/>
        <v/>
      </c>
      <c r="O4873" s="33">
        <f t="shared" si="232"/>
        <v>0</v>
      </c>
    </row>
    <row r="4874" spans="1:15" x14ac:dyDescent="0.25">
      <c r="A4874" s="64" t="s">
        <v>209</v>
      </c>
      <c r="B4874" s="79" t="str">
        <f>IF(Twentieth!B127="", "",Twentieth!B127)</f>
        <v/>
      </c>
      <c r="C4874" s="66" t="str">
        <f>IF(Twentieth!C127="", "",Twentieth!C127)</f>
        <v/>
      </c>
      <c r="D4874" s="66" t="str">
        <f>IF(Twentieth!D127="", "",Twentieth!D127)</f>
        <v/>
      </c>
      <c r="E4874" s="66" t="str">
        <f>IF(Twentieth!E127="", "",Twentieth!E127)</f>
        <v/>
      </c>
      <c r="F4874" s="66" t="str">
        <f>IF(Twentieth!F127="", "",Twentieth!F127)</f>
        <v/>
      </c>
      <c r="G4874" s="66" t="str">
        <f>IF(Twentieth!G127="", "",Twentieth!G127)</f>
        <v/>
      </c>
      <c r="H4874" s="66" t="str">
        <f>IF(Twentieth!H127="", "",Twentieth!H127)</f>
        <v/>
      </c>
      <c r="I4874" s="66" t="str">
        <f>IF(Twentieth!I127="", "",Twentieth!I127)</f>
        <v/>
      </c>
      <c r="J4874" s="66" t="str">
        <f>IF(Twentieth!J127="", "",Twentieth!J127)</f>
        <v/>
      </c>
      <c r="K4874" s="86" t="str">
        <f>IF(Twentieth!K127="", "",Twentieth!K127)</f>
        <v/>
      </c>
      <c r="M4874" s="67" t="str">
        <f t="shared" si="230"/>
        <v/>
      </c>
      <c r="N4874" s="76" t="str">
        <f t="shared" si="231"/>
        <v/>
      </c>
      <c r="O4874" s="33">
        <f t="shared" si="232"/>
        <v>0</v>
      </c>
    </row>
    <row r="4875" spans="1:15" x14ac:dyDescent="0.25">
      <c r="A4875" s="64" t="s">
        <v>209</v>
      </c>
      <c r="B4875" s="79" t="str">
        <f>IF(Twentieth!B128="", "",Twentieth!B128)</f>
        <v/>
      </c>
      <c r="C4875" s="66" t="str">
        <f>IF(Twentieth!C128="", "",Twentieth!C128)</f>
        <v/>
      </c>
      <c r="D4875" s="66" t="str">
        <f>IF(Twentieth!D128="", "",Twentieth!D128)</f>
        <v/>
      </c>
      <c r="E4875" s="66" t="str">
        <f>IF(Twentieth!E128="", "",Twentieth!E128)</f>
        <v/>
      </c>
      <c r="F4875" s="66" t="str">
        <f>IF(Twentieth!F128="", "",Twentieth!F128)</f>
        <v/>
      </c>
      <c r="G4875" s="66" t="str">
        <f>IF(Twentieth!G128="", "",Twentieth!G128)</f>
        <v/>
      </c>
      <c r="H4875" s="66" t="str">
        <f>IF(Twentieth!H128="", "",Twentieth!H128)</f>
        <v/>
      </c>
      <c r="I4875" s="66" t="str">
        <f>IF(Twentieth!I128="", "",Twentieth!I128)</f>
        <v/>
      </c>
      <c r="J4875" s="66" t="str">
        <f>IF(Twentieth!J128="", "",Twentieth!J128)</f>
        <v/>
      </c>
      <c r="K4875" s="86" t="str">
        <f>IF(Twentieth!K128="", "",Twentieth!K128)</f>
        <v/>
      </c>
      <c r="M4875" s="67" t="str">
        <f t="shared" si="230"/>
        <v/>
      </c>
      <c r="N4875" s="76" t="str">
        <f t="shared" si="231"/>
        <v/>
      </c>
      <c r="O4875" s="33">
        <f t="shared" si="232"/>
        <v>0</v>
      </c>
    </row>
    <row r="4876" spans="1:15" x14ac:dyDescent="0.25">
      <c r="A4876" s="64" t="s">
        <v>209</v>
      </c>
      <c r="B4876" s="79" t="str">
        <f>IF(Twentieth!B129="", "",Twentieth!B129)</f>
        <v/>
      </c>
      <c r="C4876" s="66" t="str">
        <f>IF(Twentieth!C129="", "",Twentieth!C129)</f>
        <v/>
      </c>
      <c r="D4876" s="66" t="str">
        <f>IF(Twentieth!D129="", "",Twentieth!D129)</f>
        <v/>
      </c>
      <c r="E4876" s="66" t="str">
        <f>IF(Twentieth!E129="", "",Twentieth!E129)</f>
        <v/>
      </c>
      <c r="F4876" s="66" t="str">
        <f>IF(Twentieth!F129="", "",Twentieth!F129)</f>
        <v/>
      </c>
      <c r="G4876" s="66" t="str">
        <f>IF(Twentieth!G129="", "",Twentieth!G129)</f>
        <v/>
      </c>
      <c r="H4876" s="66" t="str">
        <f>IF(Twentieth!H129="", "",Twentieth!H129)</f>
        <v/>
      </c>
      <c r="I4876" s="66" t="str">
        <f>IF(Twentieth!I129="", "",Twentieth!I129)</f>
        <v/>
      </c>
      <c r="J4876" s="66" t="str">
        <f>IF(Twentieth!J129="", "",Twentieth!J129)</f>
        <v/>
      </c>
      <c r="K4876" s="86" t="str">
        <f>IF(Twentieth!K129="", "",Twentieth!K129)</f>
        <v/>
      </c>
      <c r="M4876" s="67" t="str">
        <f t="shared" si="230"/>
        <v/>
      </c>
      <c r="N4876" s="76" t="str">
        <f t="shared" si="231"/>
        <v/>
      </c>
      <c r="O4876" s="33">
        <f t="shared" si="232"/>
        <v>0</v>
      </c>
    </row>
    <row r="4877" spans="1:15" x14ac:dyDescent="0.25">
      <c r="A4877" s="64" t="s">
        <v>209</v>
      </c>
      <c r="B4877" s="79" t="str">
        <f>IF(Twentieth!B130="", "",Twentieth!B130)</f>
        <v/>
      </c>
      <c r="C4877" s="66" t="str">
        <f>IF(Twentieth!C130="", "",Twentieth!C130)</f>
        <v/>
      </c>
      <c r="D4877" s="66" t="str">
        <f>IF(Twentieth!D130="", "",Twentieth!D130)</f>
        <v/>
      </c>
      <c r="E4877" s="66" t="str">
        <f>IF(Twentieth!E130="", "",Twentieth!E130)</f>
        <v/>
      </c>
      <c r="F4877" s="66" t="str">
        <f>IF(Twentieth!F130="", "",Twentieth!F130)</f>
        <v/>
      </c>
      <c r="G4877" s="66" t="str">
        <f>IF(Twentieth!G130="", "",Twentieth!G130)</f>
        <v/>
      </c>
      <c r="H4877" s="66" t="str">
        <f>IF(Twentieth!H130="", "",Twentieth!H130)</f>
        <v/>
      </c>
      <c r="I4877" s="66" t="str">
        <f>IF(Twentieth!I130="", "",Twentieth!I130)</f>
        <v/>
      </c>
      <c r="J4877" s="66" t="str">
        <f>IF(Twentieth!J130="", "",Twentieth!J130)</f>
        <v/>
      </c>
      <c r="K4877" s="86" t="str">
        <f>IF(Twentieth!K130="", "",Twentieth!K130)</f>
        <v/>
      </c>
      <c r="M4877" s="67" t="str">
        <f t="shared" si="230"/>
        <v/>
      </c>
      <c r="N4877" s="76" t="str">
        <f t="shared" si="231"/>
        <v/>
      </c>
      <c r="O4877" s="33">
        <f t="shared" si="232"/>
        <v>0</v>
      </c>
    </row>
    <row r="4878" spans="1:15" x14ac:dyDescent="0.25">
      <c r="A4878" s="64" t="s">
        <v>209</v>
      </c>
      <c r="B4878" s="79" t="str">
        <f>IF(Twentieth!B131="", "",Twentieth!B131)</f>
        <v/>
      </c>
      <c r="C4878" s="66" t="str">
        <f>IF(Twentieth!C131="", "",Twentieth!C131)</f>
        <v/>
      </c>
      <c r="D4878" s="66" t="str">
        <f>IF(Twentieth!D131="", "",Twentieth!D131)</f>
        <v/>
      </c>
      <c r="E4878" s="66" t="str">
        <f>IF(Twentieth!E131="", "",Twentieth!E131)</f>
        <v/>
      </c>
      <c r="F4878" s="66" t="str">
        <f>IF(Twentieth!F131="", "",Twentieth!F131)</f>
        <v/>
      </c>
      <c r="G4878" s="66" t="str">
        <f>IF(Twentieth!G131="", "",Twentieth!G131)</f>
        <v/>
      </c>
      <c r="H4878" s="66" t="str">
        <f>IF(Twentieth!H131="", "",Twentieth!H131)</f>
        <v/>
      </c>
      <c r="I4878" s="66" t="str">
        <f>IF(Twentieth!I131="", "",Twentieth!I131)</f>
        <v/>
      </c>
      <c r="J4878" s="66" t="str">
        <f>IF(Twentieth!J131="", "",Twentieth!J131)</f>
        <v/>
      </c>
      <c r="K4878" s="86" t="str">
        <f>IF(Twentieth!K131="", "",Twentieth!K131)</f>
        <v/>
      </c>
      <c r="M4878" s="67" t="str">
        <f t="shared" si="230"/>
        <v/>
      </c>
      <c r="N4878" s="76" t="str">
        <f t="shared" si="231"/>
        <v/>
      </c>
      <c r="O4878" s="33">
        <f t="shared" si="232"/>
        <v>0</v>
      </c>
    </row>
    <row r="4879" spans="1:15" x14ac:dyDescent="0.25">
      <c r="A4879" s="64" t="s">
        <v>209</v>
      </c>
      <c r="B4879" s="79" t="str">
        <f>IF(Twentieth!B132="", "",Twentieth!B132)</f>
        <v/>
      </c>
      <c r="C4879" s="66" t="str">
        <f>IF(Twentieth!C132="", "",Twentieth!C132)</f>
        <v/>
      </c>
      <c r="D4879" s="66" t="str">
        <f>IF(Twentieth!D132="", "",Twentieth!D132)</f>
        <v/>
      </c>
      <c r="E4879" s="66" t="str">
        <f>IF(Twentieth!E132="", "",Twentieth!E132)</f>
        <v/>
      </c>
      <c r="F4879" s="66" t="str">
        <f>IF(Twentieth!F132="", "",Twentieth!F132)</f>
        <v/>
      </c>
      <c r="G4879" s="66" t="str">
        <f>IF(Twentieth!G132="", "",Twentieth!G132)</f>
        <v/>
      </c>
      <c r="H4879" s="66" t="str">
        <f>IF(Twentieth!H132="", "",Twentieth!H132)</f>
        <v/>
      </c>
      <c r="I4879" s="66" t="str">
        <f>IF(Twentieth!I132="", "",Twentieth!I132)</f>
        <v/>
      </c>
      <c r="J4879" s="66" t="str">
        <f>IF(Twentieth!J132="", "",Twentieth!J132)</f>
        <v/>
      </c>
      <c r="K4879" s="86" t="str">
        <f>IF(Twentieth!K132="", "",Twentieth!K132)</f>
        <v/>
      </c>
      <c r="M4879" s="67" t="str">
        <f t="shared" si="230"/>
        <v/>
      </c>
      <c r="N4879" s="76" t="str">
        <f t="shared" si="231"/>
        <v/>
      </c>
      <c r="O4879" s="33">
        <f t="shared" si="232"/>
        <v>0</v>
      </c>
    </row>
    <row r="4880" spans="1:15" x14ac:dyDescent="0.25">
      <c r="A4880" s="64" t="s">
        <v>209</v>
      </c>
      <c r="B4880" s="79" t="str">
        <f>IF(Twentieth!B133="", "",Twentieth!B133)</f>
        <v/>
      </c>
      <c r="C4880" s="66" t="str">
        <f>IF(Twentieth!C133="", "",Twentieth!C133)</f>
        <v/>
      </c>
      <c r="D4880" s="66" t="str">
        <f>IF(Twentieth!D133="", "",Twentieth!D133)</f>
        <v/>
      </c>
      <c r="E4880" s="66" t="str">
        <f>IF(Twentieth!E133="", "",Twentieth!E133)</f>
        <v/>
      </c>
      <c r="F4880" s="66" t="str">
        <f>IF(Twentieth!F133="", "",Twentieth!F133)</f>
        <v/>
      </c>
      <c r="G4880" s="66" t="str">
        <f>IF(Twentieth!G133="", "",Twentieth!G133)</f>
        <v/>
      </c>
      <c r="H4880" s="66" t="str">
        <f>IF(Twentieth!H133="", "",Twentieth!H133)</f>
        <v/>
      </c>
      <c r="I4880" s="66" t="str">
        <f>IF(Twentieth!I133="", "",Twentieth!I133)</f>
        <v/>
      </c>
      <c r="J4880" s="66" t="str">
        <f>IF(Twentieth!J133="", "",Twentieth!J133)</f>
        <v/>
      </c>
      <c r="K4880" s="86" t="str">
        <f>IF(Twentieth!K133="", "",Twentieth!K133)</f>
        <v/>
      </c>
      <c r="M4880" s="67" t="str">
        <f t="shared" si="230"/>
        <v/>
      </c>
      <c r="N4880" s="76" t="str">
        <f t="shared" si="231"/>
        <v/>
      </c>
      <c r="O4880" s="33">
        <f t="shared" si="232"/>
        <v>0</v>
      </c>
    </row>
    <row r="4881" spans="1:15" x14ac:dyDescent="0.25">
      <c r="A4881" s="64" t="s">
        <v>209</v>
      </c>
      <c r="B4881" s="79" t="str">
        <f>IF(Twentieth!B134="", "",Twentieth!B134)</f>
        <v/>
      </c>
      <c r="C4881" s="66" t="str">
        <f>IF(Twentieth!C134="", "",Twentieth!C134)</f>
        <v/>
      </c>
      <c r="D4881" s="66" t="str">
        <f>IF(Twentieth!D134="", "",Twentieth!D134)</f>
        <v/>
      </c>
      <c r="E4881" s="66" t="str">
        <f>IF(Twentieth!E134="", "",Twentieth!E134)</f>
        <v/>
      </c>
      <c r="F4881" s="66" t="str">
        <f>IF(Twentieth!F134="", "",Twentieth!F134)</f>
        <v/>
      </c>
      <c r="G4881" s="66" t="str">
        <f>IF(Twentieth!G134="", "",Twentieth!G134)</f>
        <v/>
      </c>
      <c r="H4881" s="66" t="str">
        <f>IF(Twentieth!H134="", "",Twentieth!H134)</f>
        <v/>
      </c>
      <c r="I4881" s="66" t="str">
        <f>IF(Twentieth!I134="", "",Twentieth!I134)</f>
        <v/>
      </c>
      <c r="J4881" s="66" t="str">
        <f>IF(Twentieth!J134="", "",Twentieth!J134)</f>
        <v/>
      </c>
      <c r="K4881" s="86" t="str">
        <f>IF(Twentieth!K134="", "",Twentieth!K134)</f>
        <v/>
      </c>
      <c r="M4881" s="67" t="str">
        <f t="shared" si="230"/>
        <v/>
      </c>
      <c r="N4881" s="76" t="str">
        <f t="shared" si="231"/>
        <v/>
      </c>
      <c r="O4881" s="33">
        <f t="shared" si="232"/>
        <v>0</v>
      </c>
    </row>
    <row r="4882" spans="1:15" x14ac:dyDescent="0.25">
      <c r="A4882" s="64" t="s">
        <v>209</v>
      </c>
      <c r="B4882" s="79" t="str">
        <f>IF(Twentieth!B135="", "",Twentieth!B135)</f>
        <v/>
      </c>
      <c r="C4882" s="66" t="str">
        <f>IF(Twentieth!C135="", "",Twentieth!C135)</f>
        <v/>
      </c>
      <c r="D4882" s="66" t="str">
        <f>IF(Twentieth!D135="", "",Twentieth!D135)</f>
        <v/>
      </c>
      <c r="E4882" s="66" t="str">
        <f>IF(Twentieth!E135="", "",Twentieth!E135)</f>
        <v/>
      </c>
      <c r="F4882" s="66" t="str">
        <f>IF(Twentieth!F135="", "",Twentieth!F135)</f>
        <v/>
      </c>
      <c r="G4882" s="66" t="str">
        <f>IF(Twentieth!G135="", "",Twentieth!G135)</f>
        <v/>
      </c>
      <c r="H4882" s="66" t="str">
        <f>IF(Twentieth!H135="", "",Twentieth!H135)</f>
        <v/>
      </c>
      <c r="I4882" s="66" t="str">
        <f>IF(Twentieth!I135="", "",Twentieth!I135)</f>
        <v/>
      </c>
      <c r="J4882" s="66" t="str">
        <f>IF(Twentieth!J135="", "",Twentieth!J135)</f>
        <v/>
      </c>
      <c r="K4882" s="86" t="str">
        <f>IF(Twentieth!K135="", "",Twentieth!K135)</f>
        <v/>
      </c>
      <c r="M4882" s="67" t="str">
        <f t="shared" si="230"/>
        <v/>
      </c>
      <c r="N4882" s="76" t="str">
        <f t="shared" si="231"/>
        <v/>
      </c>
      <c r="O4882" s="33">
        <f t="shared" si="232"/>
        <v>0</v>
      </c>
    </row>
    <row r="4883" spans="1:15" x14ac:dyDescent="0.25">
      <c r="A4883" s="64" t="s">
        <v>209</v>
      </c>
      <c r="B4883" s="79" t="str">
        <f>IF(Twentieth!B136="", "",Twentieth!B136)</f>
        <v/>
      </c>
      <c r="C4883" s="66" t="str">
        <f>IF(Twentieth!C136="", "",Twentieth!C136)</f>
        <v/>
      </c>
      <c r="D4883" s="66" t="str">
        <f>IF(Twentieth!D136="", "",Twentieth!D136)</f>
        <v/>
      </c>
      <c r="E4883" s="66" t="str">
        <f>IF(Twentieth!E136="", "",Twentieth!E136)</f>
        <v/>
      </c>
      <c r="F4883" s="66" t="str">
        <f>IF(Twentieth!F136="", "",Twentieth!F136)</f>
        <v/>
      </c>
      <c r="G4883" s="66" t="str">
        <f>IF(Twentieth!G136="", "",Twentieth!G136)</f>
        <v/>
      </c>
      <c r="H4883" s="66" t="str">
        <f>IF(Twentieth!H136="", "",Twentieth!H136)</f>
        <v/>
      </c>
      <c r="I4883" s="66" t="str">
        <f>IF(Twentieth!I136="", "",Twentieth!I136)</f>
        <v/>
      </c>
      <c r="J4883" s="66" t="str">
        <f>IF(Twentieth!J136="", "",Twentieth!J136)</f>
        <v/>
      </c>
      <c r="K4883" s="86" t="str">
        <f>IF(Twentieth!K136="", "",Twentieth!K136)</f>
        <v/>
      </c>
      <c r="M4883" s="67" t="str">
        <f t="shared" si="230"/>
        <v/>
      </c>
      <c r="N4883" s="76" t="str">
        <f t="shared" si="231"/>
        <v/>
      </c>
      <c r="O4883" s="33">
        <f t="shared" si="232"/>
        <v>0</v>
      </c>
    </row>
    <row r="4884" spans="1:15" x14ac:dyDescent="0.25">
      <c r="A4884" s="64" t="s">
        <v>209</v>
      </c>
      <c r="B4884" s="79" t="str">
        <f>IF(Twentieth!B137="", "",Twentieth!B137)</f>
        <v/>
      </c>
      <c r="C4884" s="66" t="str">
        <f>IF(Twentieth!C137="", "",Twentieth!C137)</f>
        <v/>
      </c>
      <c r="D4884" s="66" t="str">
        <f>IF(Twentieth!D137="", "",Twentieth!D137)</f>
        <v/>
      </c>
      <c r="E4884" s="66" t="str">
        <f>IF(Twentieth!E137="", "",Twentieth!E137)</f>
        <v/>
      </c>
      <c r="F4884" s="66" t="str">
        <f>IF(Twentieth!F137="", "",Twentieth!F137)</f>
        <v/>
      </c>
      <c r="G4884" s="66" t="str">
        <f>IF(Twentieth!G137="", "",Twentieth!G137)</f>
        <v/>
      </c>
      <c r="H4884" s="66" t="str">
        <f>IF(Twentieth!H137="", "",Twentieth!H137)</f>
        <v/>
      </c>
      <c r="I4884" s="66" t="str">
        <f>IF(Twentieth!I137="", "",Twentieth!I137)</f>
        <v/>
      </c>
      <c r="J4884" s="66" t="str">
        <f>IF(Twentieth!J137="", "",Twentieth!J137)</f>
        <v/>
      </c>
      <c r="K4884" s="86" t="str">
        <f>IF(Twentieth!K137="", "",Twentieth!K137)</f>
        <v/>
      </c>
      <c r="M4884" s="67" t="str">
        <f t="shared" si="230"/>
        <v/>
      </c>
      <c r="N4884" s="76" t="str">
        <f t="shared" si="231"/>
        <v/>
      </c>
      <c r="O4884" s="33">
        <f t="shared" si="232"/>
        <v>0</v>
      </c>
    </row>
    <row r="4885" spans="1:15" x14ac:dyDescent="0.25">
      <c r="A4885" s="64" t="s">
        <v>209</v>
      </c>
      <c r="B4885" s="79" t="str">
        <f>IF(Twentieth!B138="", "",Twentieth!B138)</f>
        <v/>
      </c>
      <c r="C4885" s="66" t="str">
        <f>IF(Twentieth!C138="", "",Twentieth!C138)</f>
        <v/>
      </c>
      <c r="D4885" s="66" t="str">
        <f>IF(Twentieth!D138="", "",Twentieth!D138)</f>
        <v/>
      </c>
      <c r="E4885" s="66" t="str">
        <f>IF(Twentieth!E138="", "",Twentieth!E138)</f>
        <v/>
      </c>
      <c r="F4885" s="66" t="str">
        <f>IF(Twentieth!F138="", "",Twentieth!F138)</f>
        <v/>
      </c>
      <c r="G4885" s="66" t="str">
        <f>IF(Twentieth!G138="", "",Twentieth!G138)</f>
        <v/>
      </c>
      <c r="H4885" s="66" t="str">
        <f>IF(Twentieth!H138="", "",Twentieth!H138)</f>
        <v/>
      </c>
      <c r="I4885" s="66" t="str">
        <f>IF(Twentieth!I138="", "",Twentieth!I138)</f>
        <v/>
      </c>
      <c r="J4885" s="66" t="str">
        <f>IF(Twentieth!J138="", "",Twentieth!J138)</f>
        <v/>
      </c>
      <c r="K4885" s="86" t="str">
        <f>IF(Twentieth!K138="", "",Twentieth!K138)</f>
        <v/>
      </c>
      <c r="M4885" s="67" t="str">
        <f t="shared" si="230"/>
        <v/>
      </c>
      <c r="N4885" s="76" t="str">
        <f t="shared" si="231"/>
        <v/>
      </c>
      <c r="O4885" s="33">
        <f t="shared" si="232"/>
        <v>0</v>
      </c>
    </row>
    <row r="4886" spans="1:15" x14ac:dyDescent="0.25">
      <c r="A4886" s="64" t="s">
        <v>209</v>
      </c>
      <c r="B4886" s="79" t="str">
        <f>IF(Twentieth!B139="", "",Twentieth!B139)</f>
        <v/>
      </c>
      <c r="C4886" s="66" t="str">
        <f>IF(Twentieth!C139="", "",Twentieth!C139)</f>
        <v/>
      </c>
      <c r="D4886" s="66" t="str">
        <f>IF(Twentieth!D139="", "",Twentieth!D139)</f>
        <v/>
      </c>
      <c r="E4886" s="66" t="str">
        <f>IF(Twentieth!E139="", "",Twentieth!E139)</f>
        <v/>
      </c>
      <c r="F4886" s="66" t="str">
        <f>IF(Twentieth!F139="", "",Twentieth!F139)</f>
        <v/>
      </c>
      <c r="G4886" s="66" t="str">
        <f>IF(Twentieth!G139="", "",Twentieth!G139)</f>
        <v/>
      </c>
      <c r="H4886" s="66" t="str">
        <f>IF(Twentieth!H139="", "",Twentieth!H139)</f>
        <v/>
      </c>
      <c r="I4886" s="66" t="str">
        <f>IF(Twentieth!I139="", "",Twentieth!I139)</f>
        <v/>
      </c>
      <c r="J4886" s="66" t="str">
        <f>IF(Twentieth!J139="", "",Twentieth!J139)</f>
        <v/>
      </c>
      <c r="K4886" s="86" t="str">
        <f>IF(Twentieth!K139="", "",Twentieth!K139)</f>
        <v/>
      </c>
      <c r="M4886" s="67" t="str">
        <f t="shared" si="230"/>
        <v/>
      </c>
      <c r="N4886" s="76" t="str">
        <f t="shared" si="231"/>
        <v/>
      </c>
      <c r="O4886" s="33">
        <f t="shared" si="232"/>
        <v>0</v>
      </c>
    </row>
    <row r="4887" spans="1:15" x14ac:dyDescent="0.25">
      <c r="A4887" s="64" t="s">
        <v>209</v>
      </c>
      <c r="B4887" s="79" t="str">
        <f>IF(Twentieth!B140="", "",Twentieth!B140)</f>
        <v/>
      </c>
      <c r="C4887" s="66" t="str">
        <f>IF(Twentieth!C140="", "",Twentieth!C140)</f>
        <v/>
      </c>
      <c r="D4887" s="66" t="str">
        <f>IF(Twentieth!D140="", "",Twentieth!D140)</f>
        <v/>
      </c>
      <c r="E4887" s="66" t="str">
        <f>IF(Twentieth!E140="", "",Twentieth!E140)</f>
        <v/>
      </c>
      <c r="F4887" s="66" t="str">
        <f>IF(Twentieth!F140="", "",Twentieth!F140)</f>
        <v/>
      </c>
      <c r="G4887" s="66" t="str">
        <f>IF(Twentieth!G140="", "",Twentieth!G140)</f>
        <v/>
      </c>
      <c r="H4887" s="66" t="str">
        <f>IF(Twentieth!H140="", "",Twentieth!H140)</f>
        <v/>
      </c>
      <c r="I4887" s="66" t="str">
        <f>IF(Twentieth!I140="", "",Twentieth!I140)</f>
        <v/>
      </c>
      <c r="J4887" s="66" t="str">
        <f>IF(Twentieth!J140="", "",Twentieth!J140)</f>
        <v/>
      </c>
      <c r="K4887" s="86" t="str">
        <f>IF(Twentieth!K140="", "",Twentieth!K140)</f>
        <v/>
      </c>
      <c r="M4887" s="67" t="str">
        <f t="shared" si="230"/>
        <v/>
      </c>
      <c r="N4887" s="76" t="str">
        <f t="shared" si="231"/>
        <v/>
      </c>
      <c r="O4887" s="33">
        <f t="shared" si="232"/>
        <v>0</v>
      </c>
    </row>
    <row r="4888" spans="1:15" x14ac:dyDescent="0.25">
      <c r="A4888" s="64" t="s">
        <v>209</v>
      </c>
      <c r="B4888" s="79" t="str">
        <f>IF(Twentieth!B141="", "",Twentieth!B141)</f>
        <v/>
      </c>
      <c r="C4888" s="66" t="str">
        <f>IF(Twentieth!C141="", "",Twentieth!C141)</f>
        <v/>
      </c>
      <c r="D4888" s="66" t="str">
        <f>IF(Twentieth!D141="", "",Twentieth!D141)</f>
        <v/>
      </c>
      <c r="E4888" s="66" t="str">
        <f>IF(Twentieth!E141="", "",Twentieth!E141)</f>
        <v/>
      </c>
      <c r="F4888" s="66" t="str">
        <f>IF(Twentieth!F141="", "",Twentieth!F141)</f>
        <v/>
      </c>
      <c r="G4888" s="66" t="str">
        <f>IF(Twentieth!G141="", "",Twentieth!G141)</f>
        <v/>
      </c>
      <c r="H4888" s="66" t="str">
        <f>IF(Twentieth!H141="", "",Twentieth!H141)</f>
        <v/>
      </c>
      <c r="I4888" s="66" t="str">
        <f>IF(Twentieth!I141="", "",Twentieth!I141)</f>
        <v/>
      </c>
      <c r="J4888" s="66" t="str">
        <f>IF(Twentieth!J141="", "",Twentieth!J141)</f>
        <v/>
      </c>
      <c r="K4888" s="86" t="str">
        <f>IF(Twentieth!K141="", "",Twentieth!K141)</f>
        <v/>
      </c>
      <c r="M4888" s="67" t="str">
        <f t="shared" si="230"/>
        <v/>
      </c>
      <c r="N4888" s="76" t="str">
        <f t="shared" si="231"/>
        <v/>
      </c>
      <c r="O4888" s="33">
        <f t="shared" si="232"/>
        <v>0</v>
      </c>
    </row>
    <row r="4889" spans="1:15" x14ac:dyDescent="0.25">
      <c r="A4889" s="64" t="s">
        <v>209</v>
      </c>
      <c r="B4889" s="79" t="str">
        <f>IF(Twentieth!B142="", "",Twentieth!B142)</f>
        <v/>
      </c>
      <c r="C4889" s="66" t="str">
        <f>IF(Twentieth!C142="", "",Twentieth!C142)</f>
        <v/>
      </c>
      <c r="D4889" s="66" t="str">
        <f>IF(Twentieth!D142="", "",Twentieth!D142)</f>
        <v/>
      </c>
      <c r="E4889" s="66" t="str">
        <f>IF(Twentieth!E142="", "",Twentieth!E142)</f>
        <v/>
      </c>
      <c r="F4889" s="66" t="str">
        <f>IF(Twentieth!F142="", "",Twentieth!F142)</f>
        <v/>
      </c>
      <c r="G4889" s="66" t="str">
        <f>IF(Twentieth!G142="", "",Twentieth!G142)</f>
        <v/>
      </c>
      <c r="H4889" s="66" t="str">
        <f>IF(Twentieth!H142="", "",Twentieth!H142)</f>
        <v/>
      </c>
      <c r="I4889" s="66" t="str">
        <f>IF(Twentieth!I142="", "",Twentieth!I142)</f>
        <v/>
      </c>
      <c r="J4889" s="66" t="str">
        <f>IF(Twentieth!J142="", "",Twentieth!J142)</f>
        <v/>
      </c>
      <c r="K4889" s="86" t="str">
        <f>IF(Twentieth!K142="", "",Twentieth!K142)</f>
        <v/>
      </c>
      <c r="M4889" s="67" t="str">
        <f t="shared" si="230"/>
        <v/>
      </c>
      <c r="N4889" s="76" t="str">
        <f t="shared" si="231"/>
        <v/>
      </c>
      <c r="O4889" s="33">
        <f t="shared" si="232"/>
        <v>0</v>
      </c>
    </row>
    <row r="4890" spans="1:15" x14ac:dyDescent="0.25">
      <c r="A4890" s="64" t="s">
        <v>209</v>
      </c>
      <c r="B4890" s="79" t="str">
        <f>IF(Twentieth!B143="", "",Twentieth!B143)</f>
        <v/>
      </c>
      <c r="C4890" s="66" t="str">
        <f>IF(Twentieth!C143="", "",Twentieth!C143)</f>
        <v/>
      </c>
      <c r="D4890" s="66" t="str">
        <f>IF(Twentieth!D143="", "",Twentieth!D143)</f>
        <v/>
      </c>
      <c r="E4890" s="66" t="str">
        <f>IF(Twentieth!E143="", "",Twentieth!E143)</f>
        <v/>
      </c>
      <c r="F4890" s="66" t="str">
        <f>IF(Twentieth!F143="", "",Twentieth!F143)</f>
        <v/>
      </c>
      <c r="G4890" s="66" t="str">
        <f>IF(Twentieth!G143="", "",Twentieth!G143)</f>
        <v/>
      </c>
      <c r="H4890" s="66" t="str">
        <f>IF(Twentieth!H143="", "",Twentieth!H143)</f>
        <v/>
      </c>
      <c r="I4890" s="66" t="str">
        <f>IF(Twentieth!I143="", "",Twentieth!I143)</f>
        <v/>
      </c>
      <c r="J4890" s="66" t="str">
        <f>IF(Twentieth!J143="", "",Twentieth!J143)</f>
        <v/>
      </c>
      <c r="K4890" s="86" t="str">
        <f>IF(Twentieth!K143="", "",Twentieth!K143)</f>
        <v/>
      </c>
      <c r="M4890" s="67" t="str">
        <f t="shared" si="230"/>
        <v/>
      </c>
      <c r="N4890" s="76" t="str">
        <f t="shared" si="231"/>
        <v/>
      </c>
      <c r="O4890" s="33">
        <f t="shared" si="232"/>
        <v>0</v>
      </c>
    </row>
    <row r="4891" spans="1:15" x14ac:dyDescent="0.25">
      <c r="A4891" s="64" t="s">
        <v>209</v>
      </c>
      <c r="B4891" s="79" t="str">
        <f>IF(Twentieth!B144="", "",Twentieth!B144)</f>
        <v/>
      </c>
      <c r="C4891" s="66" t="str">
        <f>IF(Twentieth!C144="", "",Twentieth!C144)</f>
        <v/>
      </c>
      <c r="D4891" s="66" t="str">
        <f>IF(Twentieth!D144="", "",Twentieth!D144)</f>
        <v/>
      </c>
      <c r="E4891" s="66" t="str">
        <f>IF(Twentieth!E144="", "",Twentieth!E144)</f>
        <v/>
      </c>
      <c r="F4891" s="66" t="str">
        <f>IF(Twentieth!F144="", "",Twentieth!F144)</f>
        <v/>
      </c>
      <c r="G4891" s="66" t="str">
        <f>IF(Twentieth!G144="", "",Twentieth!G144)</f>
        <v/>
      </c>
      <c r="H4891" s="66" t="str">
        <f>IF(Twentieth!H144="", "",Twentieth!H144)</f>
        <v/>
      </c>
      <c r="I4891" s="66" t="str">
        <f>IF(Twentieth!I144="", "",Twentieth!I144)</f>
        <v/>
      </c>
      <c r="J4891" s="66" t="str">
        <f>IF(Twentieth!J144="", "",Twentieth!J144)</f>
        <v/>
      </c>
      <c r="K4891" s="86" t="str">
        <f>IF(Twentieth!K144="", "",Twentieth!K144)</f>
        <v/>
      </c>
      <c r="M4891" s="67" t="str">
        <f t="shared" si="230"/>
        <v/>
      </c>
      <c r="N4891" s="76" t="str">
        <f t="shared" si="231"/>
        <v/>
      </c>
      <c r="O4891" s="33">
        <f t="shared" si="232"/>
        <v>0</v>
      </c>
    </row>
    <row r="4892" spans="1:15" x14ac:dyDescent="0.25">
      <c r="A4892" s="64" t="s">
        <v>209</v>
      </c>
      <c r="B4892" s="79" t="str">
        <f>IF(Twentieth!B145="", "",Twentieth!B145)</f>
        <v/>
      </c>
      <c r="C4892" s="66" t="str">
        <f>IF(Twentieth!C145="", "",Twentieth!C145)</f>
        <v/>
      </c>
      <c r="D4892" s="66" t="str">
        <f>IF(Twentieth!D145="", "",Twentieth!D145)</f>
        <v/>
      </c>
      <c r="E4892" s="66" t="str">
        <f>IF(Twentieth!E145="", "",Twentieth!E145)</f>
        <v/>
      </c>
      <c r="F4892" s="66" t="str">
        <f>IF(Twentieth!F145="", "",Twentieth!F145)</f>
        <v/>
      </c>
      <c r="G4892" s="66" t="str">
        <f>IF(Twentieth!G145="", "",Twentieth!G145)</f>
        <v/>
      </c>
      <c r="H4892" s="66" t="str">
        <f>IF(Twentieth!H145="", "",Twentieth!H145)</f>
        <v/>
      </c>
      <c r="I4892" s="66" t="str">
        <f>IF(Twentieth!I145="", "",Twentieth!I145)</f>
        <v/>
      </c>
      <c r="J4892" s="66" t="str">
        <f>IF(Twentieth!J145="", "",Twentieth!J145)</f>
        <v/>
      </c>
      <c r="K4892" s="86" t="str">
        <f>IF(Twentieth!K145="", "",Twentieth!K145)</f>
        <v/>
      </c>
      <c r="M4892" s="67" t="str">
        <f t="shared" si="230"/>
        <v/>
      </c>
      <c r="N4892" s="76" t="str">
        <f t="shared" si="231"/>
        <v/>
      </c>
      <c r="O4892" s="33">
        <f t="shared" si="232"/>
        <v>0</v>
      </c>
    </row>
    <row r="4893" spans="1:15" x14ac:dyDescent="0.25">
      <c r="A4893" s="64" t="s">
        <v>209</v>
      </c>
      <c r="B4893" s="79" t="str">
        <f>IF(Twentieth!B146="", "",Twentieth!B146)</f>
        <v/>
      </c>
      <c r="C4893" s="66" t="str">
        <f>IF(Twentieth!C146="", "",Twentieth!C146)</f>
        <v/>
      </c>
      <c r="D4893" s="66" t="str">
        <f>IF(Twentieth!D146="", "",Twentieth!D146)</f>
        <v/>
      </c>
      <c r="E4893" s="66" t="str">
        <f>IF(Twentieth!E146="", "",Twentieth!E146)</f>
        <v/>
      </c>
      <c r="F4893" s="66" t="str">
        <f>IF(Twentieth!F146="", "",Twentieth!F146)</f>
        <v/>
      </c>
      <c r="G4893" s="66" t="str">
        <f>IF(Twentieth!G146="", "",Twentieth!G146)</f>
        <v/>
      </c>
      <c r="H4893" s="66" t="str">
        <f>IF(Twentieth!H146="", "",Twentieth!H146)</f>
        <v/>
      </c>
      <c r="I4893" s="66" t="str">
        <f>IF(Twentieth!I146="", "",Twentieth!I146)</f>
        <v/>
      </c>
      <c r="J4893" s="66" t="str">
        <f>IF(Twentieth!J146="", "",Twentieth!J146)</f>
        <v/>
      </c>
      <c r="K4893" s="86" t="str">
        <f>IF(Twentieth!K146="", "",Twentieth!K146)</f>
        <v/>
      </c>
      <c r="M4893" s="67" t="str">
        <f t="shared" si="230"/>
        <v/>
      </c>
      <c r="N4893" s="76" t="str">
        <f t="shared" si="231"/>
        <v/>
      </c>
      <c r="O4893" s="33">
        <f t="shared" si="232"/>
        <v>0</v>
      </c>
    </row>
    <row r="4894" spans="1:15" x14ac:dyDescent="0.25">
      <c r="A4894" s="64" t="s">
        <v>209</v>
      </c>
      <c r="B4894" s="79" t="str">
        <f>IF(Twentieth!B147="", "",Twentieth!B147)</f>
        <v/>
      </c>
      <c r="C4894" s="66" t="str">
        <f>IF(Twentieth!C147="", "",Twentieth!C147)</f>
        <v/>
      </c>
      <c r="D4894" s="66" t="str">
        <f>IF(Twentieth!D147="", "",Twentieth!D147)</f>
        <v/>
      </c>
      <c r="E4894" s="66" t="str">
        <f>IF(Twentieth!E147="", "",Twentieth!E147)</f>
        <v/>
      </c>
      <c r="F4894" s="66" t="str">
        <f>IF(Twentieth!F147="", "",Twentieth!F147)</f>
        <v/>
      </c>
      <c r="G4894" s="66" t="str">
        <f>IF(Twentieth!G147="", "",Twentieth!G147)</f>
        <v/>
      </c>
      <c r="H4894" s="66" t="str">
        <f>IF(Twentieth!H147="", "",Twentieth!H147)</f>
        <v/>
      </c>
      <c r="I4894" s="66" t="str">
        <f>IF(Twentieth!I147="", "",Twentieth!I147)</f>
        <v/>
      </c>
      <c r="J4894" s="66" t="str">
        <f>IF(Twentieth!J147="", "",Twentieth!J147)</f>
        <v/>
      </c>
      <c r="K4894" s="86" t="str">
        <f>IF(Twentieth!K147="", "",Twentieth!K147)</f>
        <v/>
      </c>
      <c r="M4894" s="67" t="str">
        <f t="shared" si="230"/>
        <v/>
      </c>
      <c r="N4894" s="76" t="str">
        <f t="shared" si="231"/>
        <v/>
      </c>
      <c r="O4894" s="33">
        <f t="shared" si="232"/>
        <v>0</v>
      </c>
    </row>
    <row r="4895" spans="1:15" x14ac:dyDescent="0.25">
      <c r="A4895" s="64" t="s">
        <v>209</v>
      </c>
      <c r="B4895" s="79" t="str">
        <f>IF(Twentieth!B148="", "",Twentieth!B148)</f>
        <v/>
      </c>
      <c r="C4895" s="66" t="str">
        <f>IF(Twentieth!C148="", "",Twentieth!C148)</f>
        <v/>
      </c>
      <c r="D4895" s="66" t="str">
        <f>IF(Twentieth!D148="", "",Twentieth!D148)</f>
        <v/>
      </c>
      <c r="E4895" s="66" t="str">
        <f>IF(Twentieth!E148="", "",Twentieth!E148)</f>
        <v/>
      </c>
      <c r="F4895" s="66" t="str">
        <f>IF(Twentieth!F148="", "",Twentieth!F148)</f>
        <v/>
      </c>
      <c r="G4895" s="66" t="str">
        <f>IF(Twentieth!G148="", "",Twentieth!G148)</f>
        <v/>
      </c>
      <c r="H4895" s="66" t="str">
        <f>IF(Twentieth!H148="", "",Twentieth!H148)</f>
        <v/>
      </c>
      <c r="I4895" s="66" t="str">
        <f>IF(Twentieth!I148="", "",Twentieth!I148)</f>
        <v/>
      </c>
      <c r="J4895" s="66" t="str">
        <f>IF(Twentieth!J148="", "",Twentieth!J148)</f>
        <v/>
      </c>
      <c r="K4895" s="86" t="str">
        <f>IF(Twentieth!K148="", "",Twentieth!K148)</f>
        <v/>
      </c>
      <c r="M4895" s="67" t="str">
        <f t="shared" si="230"/>
        <v/>
      </c>
      <c r="N4895" s="76" t="str">
        <f t="shared" si="231"/>
        <v/>
      </c>
      <c r="O4895" s="33">
        <f t="shared" si="232"/>
        <v>0</v>
      </c>
    </row>
    <row r="4896" spans="1:15" x14ac:dyDescent="0.25">
      <c r="A4896" s="64" t="s">
        <v>209</v>
      </c>
      <c r="B4896" s="79" t="str">
        <f>IF(Twentieth!B149="", "",Twentieth!B149)</f>
        <v/>
      </c>
      <c r="C4896" s="66" t="str">
        <f>IF(Twentieth!C149="", "",Twentieth!C149)</f>
        <v/>
      </c>
      <c r="D4896" s="66" t="str">
        <f>IF(Twentieth!D149="", "",Twentieth!D149)</f>
        <v/>
      </c>
      <c r="E4896" s="66" t="str">
        <f>IF(Twentieth!E149="", "",Twentieth!E149)</f>
        <v/>
      </c>
      <c r="F4896" s="66" t="str">
        <f>IF(Twentieth!F149="", "",Twentieth!F149)</f>
        <v/>
      </c>
      <c r="G4896" s="66" t="str">
        <f>IF(Twentieth!G149="", "",Twentieth!G149)</f>
        <v/>
      </c>
      <c r="H4896" s="66" t="str">
        <f>IF(Twentieth!H149="", "",Twentieth!H149)</f>
        <v/>
      </c>
      <c r="I4896" s="66" t="str">
        <f>IF(Twentieth!I149="", "",Twentieth!I149)</f>
        <v/>
      </c>
      <c r="J4896" s="66" t="str">
        <f>IF(Twentieth!J149="", "",Twentieth!J149)</f>
        <v/>
      </c>
      <c r="K4896" s="86" t="str">
        <f>IF(Twentieth!K149="", "",Twentieth!K149)</f>
        <v/>
      </c>
      <c r="M4896" s="67" t="str">
        <f t="shared" si="230"/>
        <v/>
      </c>
      <c r="N4896" s="76" t="str">
        <f t="shared" si="231"/>
        <v/>
      </c>
      <c r="O4896" s="33">
        <f t="shared" si="232"/>
        <v>0</v>
      </c>
    </row>
    <row r="4897" spans="1:15" x14ac:dyDescent="0.25">
      <c r="A4897" s="64" t="s">
        <v>209</v>
      </c>
      <c r="B4897" s="79" t="str">
        <f>IF(Twentieth!B150="", "",Twentieth!B150)</f>
        <v/>
      </c>
      <c r="C4897" s="66" t="str">
        <f>IF(Twentieth!C150="", "",Twentieth!C150)</f>
        <v/>
      </c>
      <c r="D4897" s="66" t="str">
        <f>IF(Twentieth!D150="", "",Twentieth!D150)</f>
        <v/>
      </c>
      <c r="E4897" s="66" t="str">
        <f>IF(Twentieth!E150="", "",Twentieth!E150)</f>
        <v/>
      </c>
      <c r="F4897" s="66" t="str">
        <f>IF(Twentieth!F150="", "",Twentieth!F150)</f>
        <v/>
      </c>
      <c r="G4897" s="66" t="str">
        <f>IF(Twentieth!G150="", "",Twentieth!G150)</f>
        <v/>
      </c>
      <c r="H4897" s="66" t="str">
        <f>IF(Twentieth!H150="", "",Twentieth!H150)</f>
        <v/>
      </c>
      <c r="I4897" s="66" t="str">
        <f>IF(Twentieth!I150="", "",Twentieth!I150)</f>
        <v/>
      </c>
      <c r="J4897" s="66" t="str">
        <f>IF(Twentieth!J150="", "",Twentieth!J150)</f>
        <v/>
      </c>
      <c r="K4897" s="86" t="str">
        <f>IF(Twentieth!K150="", "",Twentieth!K150)</f>
        <v/>
      </c>
      <c r="M4897" s="67" t="str">
        <f t="shared" si="230"/>
        <v/>
      </c>
      <c r="N4897" s="76" t="str">
        <f t="shared" si="231"/>
        <v/>
      </c>
      <c r="O4897" s="33">
        <f t="shared" si="232"/>
        <v>0</v>
      </c>
    </row>
    <row r="4898" spans="1:15" x14ac:dyDescent="0.25">
      <c r="A4898" s="64" t="s">
        <v>209</v>
      </c>
      <c r="B4898" s="79" t="str">
        <f>IF(Twentieth!B151="", "",Twentieth!B151)</f>
        <v/>
      </c>
      <c r="C4898" s="66" t="str">
        <f>IF(Twentieth!C151="", "",Twentieth!C151)</f>
        <v/>
      </c>
      <c r="D4898" s="66" t="str">
        <f>IF(Twentieth!D151="", "",Twentieth!D151)</f>
        <v/>
      </c>
      <c r="E4898" s="66" t="str">
        <f>IF(Twentieth!E151="", "",Twentieth!E151)</f>
        <v/>
      </c>
      <c r="F4898" s="66" t="str">
        <f>IF(Twentieth!F151="", "",Twentieth!F151)</f>
        <v/>
      </c>
      <c r="G4898" s="66" t="str">
        <f>IF(Twentieth!G151="", "",Twentieth!G151)</f>
        <v/>
      </c>
      <c r="H4898" s="66" t="str">
        <f>IF(Twentieth!H151="", "",Twentieth!H151)</f>
        <v/>
      </c>
      <c r="I4898" s="66" t="str">
        <f>IF(Twentieth!I151="", "",Twentieth!I151)</f>
        <v/>
      </c>
      <c r="J4898" s="66" t="str">
        <f>IF(Twentieth!J151="", "",Twentieth!J151)</f>
        <v/>
      </c>
      <c r="K4898" s="86" t="str">
        <f>IF(Twentieth!K151="", "",Twentieth!K151)</f>
        <v/>
      </c>
      <c r="M4898" s="67" t="str">
        <f t="shared" si="230"/>
        <v/>
      </c>
      <c r="N4898" s="76" t="str">
        <f t="shared" si="231"/>
        <v/>
      </c>
      <c r="O4898" s="33">
        <f t="shared" si="232"/>
        <v>0</v>
      </c>
    </row>
    <row r="4899" spans="1:15" x14ac:dyDescent="0.25">
      <c r="A4899" s="64" t="s">
        <v>209</v>
      </c>
      <c r="B4899" s="79" t="str">
        <f>IF(Twentieth!B152="", "",Twentieth!B152)</f>
        <v/>
      </c>
      <c r="C4899" s="66" t="str">
        <f>IF(Twentieth!C152="", "",Twentieth!C152)</f>
        <v/>
      </c>
      <c r="D4899" s="66" t="str">
        <f>IF(Twentieth!D152="", "",Twentieth!D152)</f>
        <v/>
      </c>
      <c r="E4899" s="66" t="str">
        <f>IF(Twentieth!E152="", "",Twentieth!E152)</f>
        <v/>
      </c>
      <c r="F4899" s="66" t="str">
        <f>IF(Twentieth!F152="", "",Twentieth!F152)</f>
        <v/>
      </c>
      <c r="G4899" s="66" t="str">
        <f>IF(Twentieth!G152="", "",Twentieth!G152)</f>
        <v/>
      </c>
      <c r="H4899" s="66" t="str">
        <f>IF(Twentieth!H152="", "",Twentieth!H152)</f>
        <v/>
      </c>
      <c r="I4899" s="66" t="str">
        <f>IF(Twentieth!I152="", "",Twentieth!I152)</f>
        <v/>
      </c>
      <c r="J4899" s="66" t="str">
        <f>IF(Twentieth!J152="", "",Twentieth!J152)</f>
        <v/>
      </c>
      <c r="K4899" s="86" t="str">
        <f>IF(Twentieth!K152="", "",Twentieth!K152)</f>
        <v/>
      </c>
      <c r="M4899" s="67" t="str">
        <f t="shared" si="230"/>
        <v/>
      </c>
      <c r="N4899" s="76" t="str">
        <f t="shared" si="231"/>
        <v/>
      </c>
      <c r="O4899" s="33">
        <f t="shared" si="232"/>
        <v>0</v>
      </c>
    </row>
    <row r="4900" spans="1:15" x14ac:dyDescent="0.25">
      <c r="A4900" s="64" t="s">
        <v>209</v>
      </c>
      <c r="B4900" s="79" t="str">
        <f>IF(Twentieth!B153="", "",Twentieth!B153)</f>
        <v/>
      </c>
      <c r="C4900" s="66" t="str">
        <f>IF(Twentieth!C153="", "",Twentieth!C153)</f>
        <v/>
      </c>
      <c r="D4900" s="66" t="str">
        <f>IF(Twentieth!D153="", "",Twentieth!D153)</f>
        <v/>
      </c>
      <c r="E4900" s="66" t="str">
        <f>IF(Twentieth!E153="", "",Twentieth!E153)</f>
        <v/>
      </c>
      <c r="F4900" s="66" t="str">
        <f>IF(Twentieth!F153="", "",Twentieth!F153)</f>
        <v/>
      </c>
      <c r="G4900" s="66" t="str">
        <f>IF(Twentieth!G153="", "",Twentieth!G153)</f>
        <v/>
      </c>
      <c r="H4900" s="66" t="str">
        <f>IF(Twentieth!H153="", "",Twentieth!H153)</f>
        <v/>
      </c>
      <c r="I4900" s="66" t="str">
        <f>IF(Twentieth!I153="", "",Twentieth!I153)</f>
        <v/>
      </c>
      <c r="J4900" s="66" t="str">
        <f>IF(Twentieth!J153="", "",Twentieth!J153)</f>
        <v/>
      </c>
      <c r="K4900" s="86" t="str">
        <f>IF(Twentieth!K153="", "",Twentieth!K153)</f>
        <v/>
      </c>
      <c r="M4900" s="67" t="str">
        <f t="shared" si="230"/>
        <v/>
      </c>
      <c r="N4900" s="76" t="str">
        <f t="shared" si="231"/>
        <v/>
      </c>
      <c r="O4900" s="33">
        <f t="shared" si="232"/>
        <v>0</v>
      </c>
    </row>
    <row r="4901" spans="1:15" x14ac:dyDescent="0.25">
      <c r="A4901" s="64" t="s">
        <v>209</v>
      </c>
      <c r="B4901" s="79" t="str">
        <f>IF(Twentieth!B154="", "",Twentieth!B154)</f>
        <v/>
      </c>
      <c r="C4901" s="66" t="str">
        <f>IF(Twentieth!C154="", "",Twentieth!C154)</f>
        <v/>
      </c>
      <c r="D4901" s="66" t="str">
        <f>IF(Twentieth!D154="", "",Twentieth!D154)</f>
        <v/>
      </c>
      <c r="E4901" s="66" t="str">
        <f>IF(Twentieth!E154="", "",Twentieth!E154)</f>
        <v/>
      </c>
      <c r="F4901" s="66" t="str">
        <f>IF(Twentieth!F154="", "",Twentieth!F154)</f>
        <v/>
      </c>
      <c r="G4901" s="66" t="str">
        <f>IF(Twentieth!G154="", "",Twentieth!G154)</f>
        <v/>
      </c>
      <c r="H4901" s="66" t="str">
        <f>IF(Twentieth!H154="", "",Twentieth!H154)</f>
        <v/>
      </c>
      <c r="I4901" s="66" t="str">
        <f>IF(Twentieth!I154="", "",Twentieth!I154)</f>
        <v/>
      </c>
      <c r="J4901" s="66" t="str">
        <f>IF(Twentieth!J154="", "",Twentieth!J154)</f>
        <v/>
      </c>
      <c r="K4901" s="86" t="str">
        <f>IF(Twentieth!K154="", "",Twentieth!K154)</f>
        <v/>
      </c>
      <c r="M4901" s="67" t="str">
        <f t="shared" si="230"/>
        <v/>
      </c>
      <c r="N4901" s="76" t="str">
        <f t="shared" si="231"/>
        <v/>
      </c>
      <c r="O4901" s="33">
        <f t="shared" si="232"/>
        <v>0</v>
      </c>
    </row>
    <row r="4902" spans="1:15" x14ac:dyDescent="0.25">
      <c r="A4902" s="64" t="s">
        <v>209</v>
      </c>
      <c r="B4902" s="79" t="str">
        <f>IF(Twentieth!B155="", "",Twentieth!B155)</f>
        <v/>
      </c>
      <c r="C4902" s="66" t="str">
        <f>IF(Twentieth!C155="", "",Twentieth!C155)</f>
        <v/>
      </c>
      <c r="D4902" s="66" t="str">
        <f>IF(Twentieth!D155="", "",Twentieth!D155)</f>
        <v/>
      </c>
      <c r="E4902" s="66" t="str">
        <f>IF(Twentieth!E155="", "",Twentieth!E155)</f>
        <v/>
      </c>
      <c r="F4902" s="66" t="str">
        <f>IF(Twentieth!F155="", "",Twentieth!F155)</f>
        <v/>
      </c>
      <c r="G4902" s="66" t="str">
        <f>IF(Twentieth!G155="", "",Twentieth!G155)</f>
        <v/>
      </c>
      <c r="H4902" s="66" t="str">
        <f>IF(Twentieth!H155="", "",Twentieth!H155)</f>
        <v/>
      </c>
      <c r="I4902" s="66" t="str">
        <f>IF(Twentieth!I155="", "",Twentieth!I155)</f>
        <v/>
      </c>
      <c r="J4902" s="66" t="str">
        <f>IF(Twentieth!J155="", "",Twentieth!J155)</f>
        <v/>
      </c>
      <c r="K4902" s="86" t="str">
        <f>IF(Twentieth!K155="", "",Twentieth!K155)</f>
        <v/>
      </c>
      <c r="M4902" s="67" t="str">
        <f t="shared" si="230"/>
        <v/>
      </c>
      <c r="N4902" s="76" t="str">
        <f t="shared" si="231"/>
        <v/>
      </c>
      <c r="O4902" s="33">
        <f t="shared" si="232"/>
        <v>0</v>
      </c>
    </row>
    <row r="4903" spans="1:15" x14ac:dyDescent="0.25">
      <c r="A4903" s="64" t="s">
        <v>209</v>
      </c>
      <c r="B4903" s="79" t="str">
        <f>IF(Twentieth!B156="", "",Twentieth!B156)</f>
        <v/>
      </c>
      <c r="C4903" s="66" t="str">
        <f>IF(Twentieth!C156="", "",Twentieth!C156)</f>
        <v/>
      </c>
      <c r="D4903" s="66" t="str">
        <f>IF(Twentieth!D156="", "",Twentieth!D156)</f>
        <v/>
      </c>
      <c r="E4903" s="66" t="str">
        <f>IF(Twentieth!E156="", "",Twentieth!E156)</f>
        <v/>
      </c>
      <c r="F4903" s="66" t="str">
        <f>IF(Twentieth!F156="", "",Twentieth!F156)</f>
        <v/>
      </c>
      <c r="G4903" s="66" t="str">
        <f>IF(Twentieth!G156="", "",Twentieth!G156)</f>
        <v/>
      </c>
      <c r="H4903" s="66" t="str">
        <f>IF(Twentieth!H156="", "",Twentieth!H156)</f>
        <v/>
      </c>
      <c r="I4903" s="66" t="str">
        <f>IF(Twentieth!I156="", "",Twentieth!I156)</f>
        <v/>
      </c>
      <c r="J4903" s="66" t="str">
        <f>IF(Twentieth!J156="", "",Twentieth!J156)</f>
        <v/>
      </c>
      <c r="K4903" s="86" t="str">
        <f>IF(Twentieth!K156="", "",Twentieth!K156)</f>
        <v/>
      </c>
      <c r="M4903" s="67" t="str">
        <f t="shared" si="230"/>
        <v/>
      </c>
      <c r="N4903" s="76" t="str">
        <f t="shared" si="231"/>
        <v/>
      </c>
      <c r="O4903" s="33">
        <f t="shared" si="232"/>
        <v>0</v>
      </c>
    </row>
    <row r="4904" spans="1:15" x14ac:dyDescent="0.25">
      <c r="A4904" s="64" t="s">
        <v>209</v>
      </c>
      <c r="B4904" s="79" t="str">
        <f>IF(Twentieth!B157="", "",Twentieth!B157)</f>
        <v/>
      </c>
      <c r="C4904" s="66" t="str">
        <f>IF(Twentieth!C157="", "",Twentieth!C157)</f>
        <v/>
      </c>
      <c r="D4904" s="66" t="str">
        <f>IF(Twentieth!D157="", "",Twentieth!D157)</f>
        <v/>
      </c>
      <c r="E4904" s="66" t="str">
        <f>IF(Twentieth!E157="", "",Twentieth!E157)</f>
        <v/>
      </c>
      <c r="F4904" s="66" t="str">
        <f>IF(Twentieth!F157="", "",Twentieth!F157)</f>
        <v/>
      </c>
      <c r="G4904" s="66" t="str">
        <f>IF(Twentieth!G157="", "",Twentieth!G157)</f>
        <v/>
      </c>
      <c r="H4904" s="66" t="str">
        <f>IF(Twentieth!H157="", "",Twentieth!H157)</f>
        <v/>
      </c>
      <c r="I4904" s="66" t="str">
        <f>IF(Twentieth!I157="", "",Twentieth!I157)</f>
        <v/>
      </c>
      <c r="J4904" s="66" t="str">
        <f>IF(Twentieth!J157="", "",Twentieth!J157)</f>
        <v/>
      </c>
      <c r="K4904" s="86" t="str">
        <f>IF(Twentieth!K157="", "",Twentieth!K157)</f>
        <v/>
      </c>
      <c r="M4904" s="67" t="str">
        <f t="shared" si="230"/>
        <v/>
      </c>
      <c r="N4904" s="76" t="str">
        <f t="shared" si="231"/>
        <v/>
      </c>
      <c r="O4904" s="33">
        <f t="shared" si="232"/>
        <v>0</v>
      </c>
    </row>
    <row r="4905" spans="1:15" x14ac:dyDescent="0.25">
      <c r="A4905" s="64" t="s">
        <v>209</v>
      </c>
      <c r="B4905" s="79" t="str">
        <f>IF(Twentieth!B158="", "",Twentieth!B158)</f>
        <v/>
      </c>
      <c r="C4905" s="66" t="str">
        <f>IF(Twentieth!C158="", "",Twentieth!C158)</f>
        <v/>
      </c>
      <c r="D4905" s="66" t="str">
        <f>IF(Twentieth!D158="", "",Twentieth!D158)</f>
        <v/>
      </c>
      <c r="E4905" s="66" t="str">
        <f>IF(Twentieth!E158="", "",Twentieth!E158)</f>
        <v/>
      </c>
      <c r="F4905" s="66" t="str">
        <f>IF(Twentieth!F158="", "",Twentieth!F158)</f>
        <v/>
      </c>
      <c r="G4905" s="66" t="str">
        <f>IF(Twentieth!G158="", "",Twentieth!G158)</f>
        <v/>
      </c>
      <c r="H4905" s="66" t="str">
        <f>IF(Twentieth!H158="", "",Twentieth!H158)</f>
        <v/>
      </c>
      <c r="I4905" s="66" t="str">
        <f>IF(Twentieth!I158="", "",Twentieth!I158)</f>
        <v/>
      </c>
      <c r="J4905" s="66" t="str">
        <f>IF(Twentieth!J158="", "",Twentieth!J158)</f>
        <v/>
      </c>
      <c r="K4905" s="86" t="str">
        <f>IF(Twentieth!K158="", "",Twentieth!K158)</f>
        <v/>
      </c>
      <c r="M4905" s="67" t="str">
        <f t="shared" si="230"/>
        <v/>
      </c>
      <c r="N4905" s="76" t="str">
        <f t="shared" si="231"/>
        <v/>
      </c>
      <c r="O4905" s="33">
        <f t="shared" si="232"/>
        <v>0</v>
      </c>
    </row>
    <row r="4906" spans="1:15" x14ac:dyDescent="0.25">
      <c r="A4906" s="64" t="s">
        <v>209</v>
      </c>
      <c r="B4906" s="79" t="str">
        <f>IF(Twentieth!B159="", "",Twentieth!B159)</f>
        <v/>
      </c>
      <c r="C4906" s="66" t="str">
        <f>IF(Twentieth!C159="", "",Twentieth!C159)</f>
        <v/>
      </c>
      <c r="D4906" s="66" t="str">
        <f>IF(Twentieth!D159="", "",Twentieth!D159)</f>
        <v/>
      </c>
      <c r="E4906" s="66" t="str">
        <f>IF(Twentieth!E159="", "",Twentieth!E159)</f>
        <v/>
      </c>
      <c r="F4906" s="66" t="str">
        <f>IF(Twentieth!F159="", "",Twentieth!F159)</f>
        <v/>
      </c>
      <c r="G4906" s="66" t="str">
        <f>IF(Twentieth!G159="", "",Twentieth!G159)</f>
        <v/>
      </c>
      <c r="H4906" s="66" t="str">
        <f>IF(Twentieth!H159="", "",Twentieth!H159)</f>
        <v/>
      </c>
      <c r="I4906" s="66" t="str">
        <f>IF(Twentieth!I159="", "",Twentieth!I159)</f>
        <v/>
      </c>
      <c r="J4906" s="66" t="str">
        <f>IF(Twentieth!J159="", "",Twentieth!J159)</f>
        <v/>
      </c>
      <c r="K4906" s="86" t="str">
        <f>IF(Twentieth!K159="", "",Twentieth!K159)</f>
        <v/>
      </c>
      <c r="M4906" s="67" t="str">
        <f t="shared" si="230"/>
        <v/>
      </c>
      <c r="N4906" s="76" t="str">
        <f t="shared" si="231"/>
        <v/>
      </c>
      <c r="O4906" s="33">
        <f t="shared" si="232"/>
        <v>0</v>
      </c>
    </row>
    <row r="4907" spans="1:15" x14ac:dyDescent="0.25">
      <c r="A4907" s="64" t="s">
        <v>209</v>
      </c>
      <c r="B4907" s="79" t="str">
        <f>IF(Twentieth!B160="", "",Twentieth!B160)</f>
        <v/>
      </c>
      <c r="C4907" s="66" t="str">
        <f>IF(Twentieth!C160="", "",Twentieth!C160)</f>
        <v/>
      </c>
      <c r="D4907" s="66" t="str">
        <f>IF(Twentieth!D160="", "",Twentieth!D160)</f>
        <v/>
      </c>
      <c r="E4907" s="66" t="str">
        <f>IF(Twentieth!E160="", "",Twentieth!E160)</f>
        <v/>
      </c>
      <c r="F4907" s="66" t="str">
        <f>IF(Twentieth!F160="", "",Twentieth!F160)</f>
        <v/>
      </c>
      <c r="G4907" s="66" t="str">
        <f>IF(Twentieth!G160="", "",Twentieth!G160)</f>
        <v/>
      </c>
      <c r="H4907" s="66" t="str">
        <f>IF(Twentieth!H160="", "",Twentieth!H160)</f>
        <v/>
      </c>
      <c r="I4907" s="66" t="str">
        <f>IF(Twentieth!I160="", "",Twentieth!I160)</f>
        <v/>
      </c>
      <c r="J4907" s="66" t="str">
        <f>IF(Twentieth!J160="", "",Twentieth!J160)</f>
        <v/>
      </c>
      <c r="K4907" s="86" t="str">
        <f>IF(Twentieth!K160="", "",Twentieth!K160)</f>
        <v/>
      </c>
      <c r="M4907" s="67" t="str">
        <f t="shared" si="230"/>
        <v/>
      </c>
      <c r="N4907" s="76" t="str">
        <f t="shared" si="231"/>
        <v/>
      </c>
      <c r="O4907" s="33">
        <f t="shared" si="232"/>
        <v>0</v>
      </c>
    </row>
    <row r="4908" spans="1:15" x14ac:dyDescent="0.25">
      <c r="A4908" s="64" t="s">
        <v>209</v>
      </c>
      <c r="B4908" s="79" t="str">
        <f>IF(Twentieth!B161="", "",Twentieth!B161)</f>
        <v/>
      </c>
      <c r="C4908" s="66" t="str">
        <f>IF(Twentieth!C161="", "",Twentieth!C161)</f>
        <v/>
      </c>
      <c r="D4908" s="66" t="str">
        <f>IF(Twentieth!D161="", "",Twentieth!D161)</f>
        <v/>
      </c>
      <c r="E4908" s="66" t="str">
        <f>IF(Twentieth!E161="", "",Twentieth!E161)</f>
        <v/>
      </c>
      <c r="F4908" s="66" t="str">
        <f>IF(Twentieth!F161="", "",Twentieth!F161)</f>
        <v/>
      </c>
      <c r="G4908" s="66" t="str">
        <f>IF(Twentieth!G161="", "",Twentieth!G161)</f>
        <v/>
      </c>
      <c r="H4908" s="66" t="str">
        <f>IF(Twentieth!H161="", "",Twentieth!H161)</f>
        <v/>
      </c>
      <c r="I4908" s="66" t="str">
        <f>IF(Twentieth!I161="", "",Twentieth!I161)</f>
        <v/>
      </c>
      <c r="J4908" s="66" t="str">
        <f>IF(Twentieth!J161="", "",Twentieth!J161)</f>
        <v/>
      </c>
      <c r="K4908" s="86" t="str">
        <f>IF(Twentieth!K161="", "",Twentieth!K161)</f>
        <v/>
      </c>
      <c r="M4908" s="67" t="str">
        <f t="shared" ref="M4908:M4971" si="233">IF(C4908="PwC",(7-COUNTIF(B4908:H4908,"")),"")</f>
        <v/>
      </c>
      <c r="N4908" s="76" t="str">
        <f t="shared" ref="N4908:N4971" si="234">IF(C4908="Carer",(7-COUNTIF(B4908:H4908,"")),"")</f>
        <v/>
      </c>
      <c r="O4908" s="33">
        <f t="shared" ref="O4908:O4971" si="235">SUM(M4908:N4908)</f>
        <v>0</v>
      </c>
    </row>
    <row r="4909" spans="1:15" x14ac:dyDescent="0.25">
      <c r="A4909" s="64" t="s">
        <v>209</v>
      </c>
      <c r="B4909" s="79" t="str">
        <f>IF(Twentieth!B162="", "",Twentieth!B162)</f>
        <v/>
      </c>
      <c r="C4909" s="66" t="str">
        <f>IF(Twentieth!C162="", "",Twentieth!C162)</f>
        <v/>
      </c>
      <c r="D4909" s="66" t="str">
        <f>IF(Twentieth!D162="", "",Twentieth!D162)</f>
        <v/>
      </c>
      <c r="E4909" s="66" t="str">
        <f>IF(Twentieth!E162="", "",Twentieth!E162)</f>
        <v/>
      </c>
      <c r="F4909" s="66" t="str">
        <f>IF(Twentieth!F162="", "",Twentieth!F162)</f>
        <v/>
      </c>
      <c r="G4909" s="66" t="str">
        <f>IF(Twentieth!G162="", "",Twentieth!G162)</f>
        <v/>
      </c>
      <c r="H4909" s="66" t="str">
        <f>IF(Twentieth!H162="", "",Twentieth!H162)</f>
        <v/>
      </c>
      <c r="I4909" s="66" t="str">
        <f>IF(Twentieth!I162="", "",Twentieth!I162)</f>
        <v/>
      </c>
      <c r="J4909" s="66" t="str">
        <f>IF(Twentieth!J162="", "",Twentieth!J162)</f>
        <v/>
      </c>
      <c r="K4909" s="86" t="str">
        <f>IF(Twentieth!K162="", "",Twentieth!K162)</f>
        <v/>
      </c>
      <c r="M4909" s="67" t="str">
        <f t="shared" si="233"/>
        <v/>
      </c>
      <c r="N4909" s="76" t="str">
        <f t="shared" si="234"/>
        <v/>
      </c>
      <c r="O4909" s="33">
        <f t="shared" si="235"/>
        <v>0</v>
      </c>
    </row>
    <row r="4910" spans="1:15" x14ac:dyDescent="0.25">
      <c r="A4910" s="64" t="s">
        <v>209</v>
      </c>
      <c r="B4910" s="79" t="str">
        <f>IF(Twentieth!B163="", "",Twentieth!B163)</f>
        <v/>
      </c>
      <c r="C4910" s="66" t="str">
        <f>IF(Twentieth!C163="", "",Twentieth!C163)</f>
        <v/>
      </c>
      <c r="D4910" s="66" t="str">
        <f>IF(Twentieth!D163="", "",Twentieth!D163)</f>
        <v/>
      </c>
      <c r="E4910" s="66" t="str">
        <f>IF(Twentieth!E163="", "",Twentieth!E163)</f>
        <v/>
      </c>
      <c r="F4910" s="66" t="str">
        <f>IF(Twentieth!F163="", "",Twentieth!F163)</f>
        <v/>
      </c>
      <c r="G4910" s="66" t="str">
        <f>IF(Twentieth!G163="", "",Twentieth!G163)</f>
        <v/>
      </c>
      <c r="H4910" s="66" t="str">
        <f>IF(Twentieth!H163="", "",Twentieth!H163)</f>
        <v/>
      </c>
      <c r="I4910" s="66" t="str">
        <f>IF(Twentieth!I163="", "",Twentieth!I163)</f>
        <v/>
      </c>
      <c r="J4910" s="66" t="str">
        <f>IF(Twentieth!J163="", "",Twentieth!J163)</f>
        <v/>
      </c>
      <c r="K4910" s="86" t="str">
        <f>IF(Twentieth!K163="", "",Twentieth!K163)</f>
        <v/>
      </c>
      <c r="M4910" s="67" t="str">
        <f t="shared" si="233"/>
        <v/>
      </c>
      <c r="N4910" s="76" t="str">
        <f t="shared" si="234"/>
        <v/>
      </c>
      <c r="O4910" s="33">
        <f t="shared" si="235"/>
        <v>0</v>
      </c>
    </row>
    <row r="4911" spans="1:15" x14ac:dyDescent="0.25">
      <c r="A4911" s="64" t="s">
        <v>209</v>
      </c>
      <c r="B4911" s="79" t="str">
        <f>IF(Twentieth!B164="", "",Twentieth!B164)</f>
        <v/>
      </c>
      <c r="C4911" s="66" t="str">
        <f>IF(Twentieth!C164="", "",Twentieth!C164)</f>
        <v/>
      </c>
      <c r="D4911" s="66" t="str">
        <f>IF(Twentieth!D164="", "",Twentieth!D164)</f>
        <v/>
      </c>
      <c r="E4911" s="66" t="str">
        <f>IF(Twentieth!E164="", "",Twentieth!E164)</f>
        <v/>
      </c>
      <c r="F4911" s="66" t="str">
        <f>IF(Twentieth!F164="", "",Twentieth!F164)</f>
        <v/>
      </c>
      <c r="G4911" s="66" t="str">
        <f>IF(Twentieth!G164="", "",Twentieth!G164)</f>
        <v/>
      </c>
      <c r="H4911" s="66" t="str">
        <f>IF(Twentieth!H164="", "",Twentieth!H164)</f>
        <v/>
      </c>
      <c r="I4911" s="66" t="str">
        <f>IF(Twentieth!I164="", "",Twentieth!I164)</f>
        <v/>
      </c>
      <c r="J4911" s="66" t="str">
        <f>IF(Twentieth!J164="", "",Twentieth!J164)</f>
        <v/>
      </c>
      <c r="K4911" s="86" t="str">
        <f>IF(Twentieth!K164="", "",Twentieth!K164)</f>
        <v/>
      </c>
      <c r="M4911" s="67" t="str">
        <f t="shared" si="233"/>
        <v/>
      </c>
      <c r="N4911" s="76" t="str">
        <f t="shared" si="234"/>
        <v/>
      </c>
      <c r="O4911" s="33">
        <f t="shared" si="235"/>
        <v>0</v>
      </c>
    </row>
    <row r="4912" spans="1:15" x14ac:dyDescent="0.25">
      <c r="A4912" s="64" t="s">
        <v>209</v>
      </c>
      <c r="B4912" s="79" t="str">
        <f>IF(Twentieth!B165="", "",Twentieth!B165)</f>
        <v/>
      </c>
      <c r="C4912" s="66" t="str">
        <f>IF(Twentieth!C165="", "",Twentieth!C165)</f>
        <v/>
      </c>
      <c r="D4912" s="66" t="str">
        <f>IF(Twentieth!D165="", "",Twentieth!D165)</f>
        <v/>
      </c>
      <c r="E4912" s="66" t="str">
        <f>IF(Twentieth!E165="", "",Twentieth!E165)</f>
        <v/>
      </c>
      <c r="F4912" s="66" t="str">
        <f>IF(Twentieth!F165="", "",Twentieth!F165)</f>
        <v/>
      </c>
      <c r="G4912" s="66" t="str">
        <f>IF(Twentieth!G165="", "",Twentieth!G165)</f>
        <v/>
      </c>
      <c r="H4912" s="66" t="str">
        <f>IF(Twentieth!H165="", "",Twentieth!H165)</f>
        <v/>
      </c>
      <c r="I4912" s="66" t="str">
        <f>IF(Twentieth!I165="", "",Twentieth!I165)</f>
        <v/>
      </c>
      <c r="J4912" s="66" t="str">
        <f>IF(Twentieth!J165="", "",Twentieth!J165)</f>
        <v/>
      </c>
      <c r="K4912" s="86" t="str">
        <f>IF(Twentieth!K165="", "",Twentieth!K165)</f>
        <v/>
      </c>
      <c r="M4912" s="67" t="str">
        <f t="shared" si="233"/>
        <v/>
      </c>
      <c r="N4912" s="76" t="str">
        <f t="shared" si="234"/>
        <v/>
      </c>
      <c r="O4912" s="33">
        <f t="shared" si="235"/>
        <v>0</v>
      </c>
    </row>
    <row r="4913" spans="1:15" x14ac:dyDescent="0.25">
      <c r="A4913" s="64" t="s">
        <v>209</v>
      </c>
      <c r="B4913" s="79" t="str">
        <f>IF(Twentieth!B166="", "",Twentieth!B166)</f>
        <v/>
      </c>
      <c r="C4913" s="66" t="str">
        <f>IF(Twentieth!C166="", "",Twentieth!C166)</f>
        <v/>
      </c>
      <c r="D4913" s="66" t="str">
        <f>IF(Twentieth!D166="", "",Twentieth!D166)</f>
        <v/>
      </c>
      <c r="E4913" s="66" t="str">
        <f>IF(Twentieth!E166="", "",Twentieth!E166)</f>
        <v/>
      </c>
      <c r="F4913" s="66" t="str">
        <f>IF(Twentieth!F166="", "",Twentieth!F166)</f>
        <v/>
      </c>
      <c r="G4913" s="66" t="str">
        <f>IF(Twentieth!G166="", "",Twentieth!G166)</f>
        <v/>
      </c>
      <c r="H4913" s="66" t="str">
        <f>IF(Twentieth!H166="", "",Twentieth!H166)</f>
        <v/>
      </c>
      <c r="I4913" s="66" t="str">
        <f>IF(Twentieth!I166="", "",Twentieth!I166)</f>
        <v/>
      </c>
      <c r="J4913" s="66" t="str">
        <f>IF(Twentieth!J166="", "",Twentieth!J166)</f>
        <v/>
      </c>
      <c r="K4913" s="86" t="str">
        <f>IF(Twentieth!K166="", "",Twentieth!K166)</f>
        <v/>
      </c>
      <c r="M4913" s="67" t="str">
        <f t="shared" si="233"/>
        <v/>
      </c>
      <c r="N4913" s="76" t="str">
        <f t="shared" si="234"/>
        <v/>
      </c>
      <c r="O4913" s="33">
        <f t="shared" si="235"/>
        <v>0</v>
      </c>
    </row>
    <row r="4914" spans="1:15" x14ac:dyDescent="0.25">
      <c r="A4914" s="64" t="s">
        <v>209</v>
      </c>
      <c r="B4914" s="79" t="str">
        <f>IF(Twentieth!B167="", "",Twentieth!B167)</f>
        <v/>
      </c>
      <c r="C4914" s="66" t="str">
        <f>IF(Twentieth!C167="", "",Twentieth!C167)</f>
        <v/>
      </c>
      <c r="D4914" s="66" t="str">
        <f>IF(Twentieth!D167="", "",Twentieth!D167)</f>
        <v/>
      </c>
      <c r="E4914" s="66" t="str">
        <f>IF(Twentieth!E167="", "",Twentieth!E167)</f>
        <v/>
      </c>
      <c r="F4914" s="66" t="str">
        <f>IF(Twentieth!F167="", "",Twentieth!F167)</f>
        <v/>
      </c>
      <c r="G4914" s="66" t="str">
        <f>IF(Twentieth!G167="", "",Twentieth!G167)</f>
        <v/>
      </c>
      <c r="H4914" s="66" t="str">
        <f>IF(Twentieth!H167="", "",Twentieth!H167)</f>
        <v/>
      </c>
      <c r="I4914" s="66" t="str">
        <f>IF(Twentieth!I167="", "",Twentieth!I167)</f>
        <v/>
      </c>
      <c r="J4914" s="66" t="str">
        <f>IF(Twentieth!J167="", "",Twentieth!J167)</f>
        <v/>
      </c>
      <c r="K4914" s="86" t="str">
        <f>IF(Twentieth!K167="", "",Twentieth!K167)</f>
        <v/>
      </c>
      <c r="M4914" s="67" t="str">
        <f t="shared" si="233"/>
        <v/>
      </c>
      <c r="N4914" s="76" t="str">
        <f t="shared" si="234"/>
        <v/>
      </c>
      <c r="O4914" s="33">
        <f t="shared" si="235"/>
        <v>0</v>
      </c>
    </row>
    <row r="4915" spans="1:15" x14ac:dyDescent="0.25">
      <c r="A4915" s="64" t="s">
        <v>209</v>
      </c>
      <c r="B4915" s="79" t="str">
        <f>IF(Twentieth!B168="", "",Twentieth!B168)</f>
        <v/>
      </c>
      <c r="C4915" s="66" t="str">
        <f>IF(Twentieth!C168="", "",Twentieth!C168)</f>
        <v/>
      </c>
      <c r="D4915" s="66" t="str">
        <f>IF(Twentieth!D168="", "",Twentieth!D168)</f>
        <v/>
      </c>
      <c r="E4915" s="66" t="str">
        <f>IF(Twentieth!E168="", "",Twentieth!E168)</f>
        <v/>
      </c>
      <c r="F4915" s="66" t="str">
        <f>IF(Twentieth!F168="", "",Twentieth!F168)</f>
        <v/>
      </c>
      <c r="G4915" s="66" t="str">
        <f>IF(Twentieth!G168="", "",Twentieth!G168)</f>
        <v/>
      </c>
      <c r="H4915" s="66" t="str">
        <f>IF(Twentieth!H168="", "",Twentieth!H168)</f>
        <v/>
      </c>
      <c r="I4915" s="66" t="str">
        <f>IF(Twentieth!I168="", "",Twentieth!I168)</f>
        <v/>
      </c>
      <c r="J4915" s="66" t="str">
        <f>IF(Twentieth!J168="", "",Twentieth!J168)</f>
        <v/>
      </c>
      <c r="K4915" s="86" t="str">
        <f>IF(Twentieth!K168="", "",Twentieth!K168)</f>
        <v/>
      </c>
      <c r="M4915" s="67" t="str">
        <f t="shared" si="233"/>
        <v/>
      </c>
      <c r="N4915" s="76" t="str">
        <f t="shared" si="234"/>
        <v/>
      </c>
      <c r="O4915" s="33">
        <f t="shared" si="235"/>
        <v>0</v>
      </c>
    </row>
    <row r="4916" spans="1:15" x14ac:dyDescent="0.25">
      <c r="A4916" s="64" t="s">
        <v>209</v>
      </c>
      <c r="B4916" s="79" t="str">
        <f>IF(Twentieth!B169="", "",Twentieth!B169)</f>
        <v/>
      </c>
      <c r="C4916" s="66" t="str">
        <f>IF(Twentieth!C169="", "",Twentieth!C169)</f>
        <v/>
      </c>
      <c r="D4916" s="66" t="str">
        <f>IF(Twentieth!D169="", "",Twentieth!D169)</f>
        <v/>
      </c>
      <c r="E4916" s="66" t="str">
        <f>IF(Twentieth!E169="", "",Twentieth!E169)</f>
        <v/>
      </c>
      <c r="F4916" s="66" t="str">
        <f>IF(Twentieth!F169="", "",Twentieth!F169)</f>
        <v/>
      </c>
      <c r="G4916" s="66" t="str">
        <f>IF(Twentieth!G169="", "",Twentieth!G169)</f>
        <v/>
      </c>
      <c r="H4916" s="66" t="str">
        <f>IF(Twentieth!H169="", "",Twentieth!H169)</f>
        <v/>
      </c>
      <c r="I4916" s="66" t="str">
        <f>IF(Twentieth!I169="", "",Twentieth!I169)</f>
        <v/>
      </c>
      <c r="J4916" s="66" t="str">
        <f>IF(Twentieth!J169="", "",Twentieth!J169)</f>
        <v/>
      </c>
      <c r="K4916" s="86" t="str">
        <f>IF(Twentieth!K169="", "",Twentieth!K169)</f>
        <v/>
      </c>
      <c r="M4916" s="67" t="str">
        <f t="shared" si="233"/>
        <v/>
      </c>
      <c r="N4916" s="76" t="str">
        <f t="shared" si="234"/>
        <v/>
      </c>
      <c r="O4916" s="33">
        <f t="shared" si="235"/>
        <v>0</v>
      </c>
    </row>
    <row r="4917" spans="1:15" x14ac:dyDescent="0.25">
      <c r="A4917" s="64" t="s">
        <v>209</v>
      </c>
      <c r="B4917" s="79" t="str">
        <f>IF(Twentieth!B170="", "",Twentieth!B170)</f>
        <v/>
      </c>
      <c r="C4917" s="66" t="str">
        <f>IF(Twentieth!C170="", "",Twentieth!C170)</f>
        <v/>
      </c>
      <c r="D4917" s="66" t="str">
        <f>IF(Twentieth!D170="", "",Twentieth!D170)</f>
        <v/>
      </c>
      <c r="E4917" s="66" t="str">
        <f>IF(Twentieth!E170="", "",Twentieth!E170)</f>
        <v/>
      </c>
      <c r="F4917" s="66" t="str">
        <f>IF(Twentieth!F170="", "",Twentieth!F170)</f>
        <v/>
      </c>
      <c r="G4917" s="66" t="str">
        <f>IF(Twentieth!G170="", "",Twentieth!G170)</f>
        <v/>
      </c>
      <c r="H4917" s="66" t="str">
        <f>IF(Twentieth!H170="", "",Twentieth!H170)</f>
        <v/>
      </c>
      <c r="I4917" s="66" t="str">
        <f>IF(Twentieth!I170="", "",Twentieth!I170)</f>
        <v/>
      </c>
      <c r="J4917" s="66" t="str">
        <f>IF(Twentieth!J170="", "",Twentieth!J170)</f>
        <v/>
      </c>
      <c r="K4917" s="86" t="str">
        <f>IF(Twentieth!K170="", "",Twentieth!K170)</f>
        <v/>
      </c>
      <c r="M4917" s="67" t="str">
        <f t="shared" si="233"/>
        <v/>
      </c>
      <c r="N4917" s="76" t="str">
        <f t="shared" si="234"/>
        <v/>
      </c>
      <c r="O4917" s="33">
        <f t="shared" si="235"/>
        <v>0</v>
      </c>
    </row>
    <row r="4918" spans="1:15" x14ac:dyDescent="0.25">
      <c r="A4918" s="64" t="s">
        <v>209</v>
      </c>
      <c r="B4918" s="79" t="str">
        <f>IF(Twentieth!B171="", "",Twentieth!B171)</f>
        <v/>
      </c>
      <c r="C4918" s="66" t="str">
        <f>IF(Twentieth!C171="", "",Twentieth!C171)</f>
        <v/>
      </c>
      <c r="D4918" s="66" t="str">
        <f>IF(Twentieth!D171="", "",Twentieth!D171)</f>
        <v/>
      </c>
      <c r="E4918" s="66" t="str">
        <f>IF(Twentieth!E171="", "",Twentieth!E171)</f>
        <v/>
      </c>
      <c r="F4918" s="66" t="str">
        <f>IF(Twentieth!F171="", "",Twentieth!F171)</f>
        <v/>
      </c>
      <c r="G4918" s="66" t="str">
        <f>IF(Twentieth!G171="", "",Twentieth!G171)</f>
        <v/>
      </c>
      <c r="H4918" s="66" t="str">
        <f>IF(Twentieth!H171="", "",Twentieth!H171)</f>
        <v/>
      </c>
      <c r="I4918" s="66" t="str">
        <f>IF(Twentieth!I171="", "",Twentieth!I171)</f>
        <v/>
      </c>
      <c r="J4918" s="66" t="str">
        <f>IF(Twentieth!J171="", "",Twentieth!J171)</f>
        <v/>
      </c>
      <c r="K4918" s="86" t="str">
        <f>IF(Twentieth!K171="", "",Twentieth!K171)</f>
        <v/>
      </c>
      <c r="M4918" s="67" t="str">
        <f t="shared" si="233"/>
        <v/>
      </c>
      <c r="N4918" s="76" t="str">
        <f t="shared" si="234"/>
        <v/>
      </c>
      <c r="O4918" s="33">
        <f t="shared" si="235"/>
        <v>0</v>
      </c>
    </row>
    <row r="4919" spans="1:15" x14ac:dyDescent="0.25">
      <c r="A4919" s="64" t="s">
        <v>209</v>
      </c>
      <c r="B4919" s="79" t="str">
        <f>IF(Twentieth!B172="", "",Twentieth!B172)</f>
        <v/>
      </c>
      <c r="C4919" s="66" t="str">
        <f>IF(Twentieth!C172="", "",Twentieth!C172)</f>
        <v/>
      </c>
      <c r="D4919" s="66" t="str">
        <f>IF(Twentieth!D172="", "",Twentieth!D172)</f>
        <v/>
      </c>
      <c r="E4919" s="66" t="str">
        <f>IF(Twentieth!E172="", "",Twentieth!E172)</f>
        <v/>
      </c>
      <c r="F4919" s="66" t="str">
        <f>IF(Twentieth!F172="", "",Twentieth!F172)</f>
        <v/>
      </c>
      <c r="G4919" s="66" t="str">
        <f>IF(Twentieth!G172="", "",Twentieth!G172)</f>
        <v/>
      </c>
      <c r="H4919" s="66" t="str">
        <f>IF(Twentieth!H172="", "",Twentieth!H172)</f>
        <v/>
      </c>
      <c r="I4919" s="66" t="str">
        <f>IF(Twentieth!I172="", "",Twentieth!I172)</f>
        <v/>
      </c>
      <c r="J4919" s="66" t="str">
        <f>IF(Twentieth!J172="", "",Twentieth!J172)</f>
        <v/>
      </c>
      <c r="K4919" s="86" t="str">
        <f>IF(Twentieth!K172="", "",Twentieth!K172)</f>
        <v/>
      </c>
      <c r="M4919" s="67" t="str">
        <f t="shared" si="233"/>
        <v/>
      </c>
      <c r="N4919" s="76" t="str">
        <f t="shared" si="234"/>
        <v/>
      </c>
      <c r="O4919" s="33">
        <f t="shared" si="235"/>
        <v>0</v>
      </c>
    </row>
    <row r="4920" spans="1:15" x14ac:dyDescent="0.25">
      <c r="A4920" s="64" t="s">
        <v>209</v>
      </c>
      <c r="B4920" s="79" t="str">
        <f>IF(Twentieth!B173="", "",Twentieth!B173)</f>
        <v/>
      </c>
      <c r="C4920" s="66" t="str">
        <f>IF(Twentieth!C173="", "",Twentieth!C173)</f>
        <v/>
      </c>
      <c r="D4920" s="66" t="str">
        <f>IF(Twentieth!D173="", "",Twentieth!D173)</f>
        <v/>
      </c>
      <c r="E4920" s="66" t="str">
        <f>IF(Twentieth!E173="", "",Twentieth!E173)</f>
        <v/>
      </c>
      <c r="F4920" s="66" t="str">
        <f>IF(Twentieth!F173="", "",Twentieth!F173)</f>
        <v/>
      </c>
      <c r="G4920" s="66" t="str">
        <f>IF(Twentieth!G173="", "",Twentieth!G173)</f>
        <v/>
      </c>
      <c r="H4920" s="66" t="str">
        <f>IF(Twentieth!H173="", "",Twentieth!H173)</f>
        <v/>
      </c>
      <c r="I4920" s="66" t="str">
        <f>IF(Twentieth!I173="", "",Twentieth!I173)</f>
        <v/>
      </c>
      <c r="J4920" s="66" t="str">
        <f>IF(Twentieth!J173="", "",Twentieth!J173)</f>
        <v/>
      </c>
      <c r="K4920" s="86" t="str">
        <f>IF(Twentieth!K173="", "",Twentieth!K173)</f>
        <v/>
      </c>
      <c r="M4920" s="67" t="str">
        <f t="shared" si="233"/>
        <v/>
      </c>
      <c r="N4920" s="76" t="str">
        <f t="shared" si="234"/>
        <v/>
      </c>
      <c r="O4920" s="33">
        <f t="shared" si="235"/>
        <v>0</v>
      </c>
    </row>
    <row r="4921" spans="1:15" x14ac:dyDescent="0.25">
      <c r="A4921" s="64" t="s">
        <v>209</v>
      </c>
      <c r="B4921" s="79" t="str">
        <f>IF(Twentieth!B174="", "",Twentieth!B174)</f>
        <v/>
      </c>
      <c r="C4921" s="66" t="str">
        <f>IF(Twentieth!C174="", "",Twentieth!C174)</f>
        <v/>
      </c>
      <c r="D4921" s="66" t="str">
        <f>IF(Twentieth!D174="", "",Twentieth!D174)</f>
        <v/>
      </c>
      <c r="E4921" s="66" t="str">
        <f>IF(Twentieth!E174="", "",Twentieth!E174)</f>
        <v/>
      </c>
      <c r="F4921" s="66" t="str">
        <f>IF(Twentieth!F174="", "",Twentieth!F174)</f>
        <v/>
      </c>
      <c r="G4921" s="66" t="str">
        <f>IF(Twentieth!G174="", "",Twentieth!G174)</f>
        <v/>
      </c>
      <c r="H4921" s="66" t="str">
        <f>IF(Twentieth!H174="", "",Twentieth!H174)</f>
        <v/>
      </c>
      <c r="I4921" s="66" t="str">
        <f>IF(Twentieth!I174="", "",Twentieth!I174)</f>
        <v/>
      </c>
      <c r="J4921" s="66" t="str">
        <f>IF(Twentieth!J174="", "",Twentieth!J174)</f>
        <v/>
      </c>
      <c r="K4921" s="86" t="str">
        <f>IF(Twentieth!K174="", "",Twentieth!K174)</f>
        <v/>
      </c>
      <c r="M4921" s="67" t="str">
        <f t="shared" si="233"/>
        <v/>
      </c>
      <c r="N4921" s="76" t="str">
        <f t="shared" si="234"/>
        <v/>
      </c>
      <c r="O4921" s="33">
        <f t="shared" si="235"/>
        <v>0</v>
      </c>
    </row>
    <row r="4922" spans="1:15" x14ac:dyDescent="0.25">
      <c r="A4922" s="64" t="s">
        <v>209</v>
      </c>
      <c r="B4922" s="79" t="str">
        <f>IF(Twentieth!B175="", "",Twentieth!B175)</f>
        <v/>
      </c>
      <c r="C4922" s="66" t="str">
        <f>IF(Twentieth!C175="", "",Twentieth!C175)</f>
        <v/>
      </c>
      <c r="D4922" s="66" t="str">
        <f>IF(Twentieth!D175="", "",Twentieth!D175)</f>
        <v/>
      </c>
      <c r="E4922" s="66" t="str">
        <f>IF(Twentieth!E175="", "",Twentieth!E175)</f>
        <v/>
      </c>
      <c r="F4922" s="66" t="str">
        <f>IF(Twentieth!F175="", "",Twentieth!F175)</f>
        <v/>
      </c>
      <c r="G4922" s="66" t="str">
        <f>IF(Twentieth!G175="", "",Twentieth!G175)</f>
        <v/>
      </c>
      <c r="H4922" s="66" t="str">
        <f>IF(Twentieth!H175="", "",Twentieth!H175)</f>
        <v/>
      </c>
      <c r="I4922" s="66" t="str">
        <f>IF(Twentieth!I175="", "",Twentieth!I175)</f>
        <v/>
      </c>
      <c r="J4922" s="66" t="str">
        <f>IF(Twentieth!J175="", "",Twentieth!J175)</f>
        <v/>
      </c>
      <c r="K4922" s="86" t="str">
        <f>IF(Twentieth!K175="", "",Twentieth!K175)</f>
        <v/>
      </c>
      <c r="M4922" s="67" t="str">
        <f t="shared" si="233"/>
        <v/>
      </c>
      <c r="N4922" s="76" t="str">
        <f t="shared" si="234"/>
        <v/>
      </c>
      <c r="O4922" s="33">
        <f t="shared" si="235"/>
        <v>0</v>
      </c>
    </row>
    <row r="4923" spans="1:15" x14ac:dyDescent="0.25">
      <c r="A4923" s="64" t="s">
        <v>209</v>
      </c>
      <c r="B4923" s="79" t="str">
        <f>IF(Twentieth!B176="", "",Twentieth!B176)</f>
        <v/>
      </c>
      <c r="C4923" s="66" t="str">
        <f>IF(Twentieth!C176="", "",Twentieth!C176)</f>
        <v/>
      </c>
      <c r="D4923" s="66" t="str">
        <f>IF(Twentieth!D176="", "",Twentieth!D176)</f>
        <v/>
      </c>
      <c r="E4923" s="66" t="str">
        <f>IF(Twentieth!E176="", "",Twentieth!E176)</f>
        <v/>
      </c>
      <c r="F4923" s="66" t="str">
        <f>IF(Twentieth!F176="", "",Twentieth!F176)</f>
        <v/>
      </c>
      <c r="G4923" s="66" t="str">
        <f>IF(Twentieth!G176="", "",Twentieth!G176)</f>
        <v/>
      </c>
      <c r="H4923" s="66" t="str">
        <f>IF(Twentieth!H176="", "",Twentieth!H176)</f>
        <v/>
      </c>
      <c r="I4923" s="66" t="str">
        <f>IF(Twentieth!I176="", "",Twentieth!I176)</f>
        <v/>
      </c>
      <c r="J4923" s="66" t="str">
        <f>IF(Twentieth!J176="", "",Twentieth!J176)</f>
        <v/>
      </c>
      <c r="K4923" s="86" t="str">
        <f>IF(Twentieth!K176="", "",Twentieth!K176)</f>
        <v/>
      </c>
      <c r="M4923" s="67" t="str">
        <f t="shared" si="233"/>
        <v/>
      </c>
      <c r="N4923" s="76" t="str">
        <f t="shared" si="234"/>
        <v/>
      </c>
      <c r="O4923" s="33">
        <f t="shared" si="235"/>
        <v>0</v>
      </c>
    </row>
    <row r="4924" spans="1:15" x14ac:dyDescent="0.25">
      <c r="A4924" s="64" t="s">
        <v>209</v>
      </c>
      <c r="B4924" s="79" t="str">
        <f>IF(Twentieth!B177="", "",Twentieth!B177)</f>
        <v/>
      </c>
      <c r="C4924" s="66" t="str">
        <f>IF(Twentieth!C177="", "",Twentieth!C177)</f>
        <v/>
      </c>
      <c r="D4924" s="66" t="str">
        <f>IF(Twentieth!D177="", "",Twentieth!D177)</f>
        <v/>
      </c>
      <c r="E4924" s="66" t="str">
        <f>IF(Twentieth!E177="", "",Twentieth!E177)</f>
        <v/>
      </c>
      <c r="F4924" s="66" t="str">
        <f>IF(Twentieth!F177="", "",Twentieth!F177)</f>
        <v/>
      </c>
      <c r="G4924" s="66" t="str">
        <f>IF(Twentieth!G177="", "",Twentieth!G177)</f>
        <v/>
      </c>
      <c r="H4924" s="66" t="str">
        <f>IF(Twentieth!H177="", "",Twentieth!H177)</f>
        <v/>
      </c>
      <c r="I4924" s="66" t="str">
        <f>IF(Twentieth!I177="", "",Twentieth!I177)</f>
        <v/>
      </c>
      <c r="J4924" s="66" t="str">
        <f>IF(Twentieth!J177="", "",Twentieth!J177)</f>
        <v/>
      </c>
      <c r="K4924" s="86" t="str">
        <f>IF(Twentieth!K177="", "",Twentieth!K177)</f>
        <v/>
      </c>
      <c r="M4924" s="67" t="str">
        <f t="shared" si="233"/>
        <v/>
      </c>
      <c r="N4924" s="76" t="str">
        <f t="shared" si="234"/>
        <v/>
      </c>
      <c r="O4924" s="33">
        <f t="shared" si="235"/>
        <v>0</v>
      </c>
    </row>
    <row r="4925" spans="1:15" x14ac:dyDescent="0.25">
      <c r="A4925" s="64" t="s">
        <v>209</v>
      </c>
      <c r="B4925" s="79" t="str">
        <f>IF(Twentieth!B178="", "",Twentieth!B178)</f>
        <v/>
      </c>
      <c r="C4925" s="66" t="str">
        <f>IF(Twentieth!C178="", "",Twentieth!C178)</f>
        <v/>
      </c>
      <c r="D4925" s="66" t="str">
        <f>IF(Twentieth!D178="", "",Twentieth!D178)</f>
        <v/>
      </c>
      <c r="E4925" s="66" t="str">
        <f>IF(Twentieth!E178="", "",Twentieth!E178)</f>
        <v/>
      </c>
      <c r="F4925" s="66" t="str">
        <f>IF(Twentieth!F178="", "",Twentieth!F178)</f>
        <v/>
      </c>
      <c r="G4925" s="66" t="str">
        <f>IF(Twentieth!G178="", "",Twentieth!G178)</f>
        <v/>
      </c>
      <c r="H4925" s="66" t="str">
        <f>IF(Twentieth!H178="", "",Twentieth!H178)</f>
        <v/>
      </c>
      <c r="I4925" s="66" t="str">
        <f>IF(Twentieth!I178="", "",Twentieth!I178)</f>
        <v/>
      </c>
      <c r="J4925" s="66" t="str">
        <f>IF(Twentieth!J178="", "",Twentieth!J178)</f>
        <v/>
      </c>
      <c r="K4925" s="86" t="str">
        <f>IF(Twentieth!K178="", "",Twentieth!K178)</f>
        <v/>
      </c>
      <c r="M4925" s="67" t="str">
        <f t="shared" si="233"/>
        <v/>
      </c>
      <c r="N4925" s="76" t="str">
        <f t="shared" si="234"/>
        <v/>
      </c>
      <c r="O4925" s="33">
        <f t="shared" si="235"/>
        <v>0</v>
      </c>
    </row>
    <row r="4926" spans="1:15" x14ac:dyDescent="0.25">
      <c r="A4926" s="64" t="s">
        <v>209</v>
      </c>
      <c r="B4926" s="79" t="str">
        <f>IF(Twentieth!B179="", "",Twentieth!B179)</f>
        <v/>
      </c>
      <c r="C4926" s="66" t="str">
        <f>IF(Twentieth!C179="", "",Twentieth!C179)</f>
        <v/>
      </c>
      <c r="D4926" s="66" t="str">
        <f>IF(Twentieth!D179="", "",Twentieth!D179)</f>
        <v/>
      </c>
      <c r="E4926" s="66" t="str">
        <f>IF(Twentieth!E179="", "",Twentieth!E179)</f>
        <v/>
      </c>
      <c r="F4926" s="66" t="str">
        <f>IF(Twentieth!F179="", "",Twentieth!F179)</f>
        <v/>
      </c>
      <c r="G4926" s="66" t="str">
        <f>IF(Twentieth!G179="", "",Twentieth!G179)</f>
        <v/>
      </c>
      <c r="H4926" s="66" t="str">
        <f>IF(Twentieth!H179="", "",Twentieth!H179)</f>
        <v/>
      </c>
      <c r="I4926" s="66" t="str">
        <f>IF(Twentieth!I179="", "",Twentieth!I179)</f>
        <v/>
      </c>
      <c r="J4926" s="66" t="str">
        <f>IF(Twentieth!J179="", "",Twentieth!J179)</f>
        <v/>
      </c>
      <c r="K4926" s="86" t="str">
        <f>IF(Twentieth!K179="", "",Twentieth!K179)</f>
        <v/>
      </c>
      <c r="M4926" s="67" t="str">
        <f t="shared" si="233"/>
        <v/>
      </c>
      <c r="N4926" s="76" t="str">
        <f t="shared" si="234"/>
        <v/>
      </c>
      <c r="O4926" s="33">
        <f t="shared" si="235"/>
        <v>0</v>
      </c>
    </row>
    <row r="4927" spans="1:15" x14ac:dyDescent="0.25">
      <c r="A4927" s="64" t="s">
        <v>209</v>
      </c>
      <c r="B4927" s="79" t="str">
        <f>IF(Twentieth!B180="", "",Twentieth!B180)</f>
        <v/>
      </c>
      <c r="C4927" s="66" t="str">
        <f>IF(Twentieth!C180="", "",Twentieth!C180)</f>
        <v/>
      </c>
      <c r="D4927" s="66" t="str">
        <f>IF(Twentieth!D180="", "",Twentieth!D180)</f>
        <v/>
      </c>
      <c r="E4927" s="66" t="str">
        <f>IF(Twentieth!E180="", "",Twentieth!E180)</f>
        <v/>
      </c>
      <c r="F4927" s="66" t="str">
        <f>IF(Twentieth!F180="", "",Twentieth!F180)</f>
        <v/>
      </c>
      <c r="G4927" s="66" t="str">
        <f>IF(Twentieth!G180="", "",Twentieth!G180)</f>
        <v/>
      </c>
      <c r="H4927" s="66" t="str">
        <f>IF(Twentieth!H180="", "",Twentieth!H180)</f>
        <v/>
      </c>
      <c r="I4927" s="66" t="str">
        <f>IF(Twentieth!I180="", "",Twentieth!I180)</f>
        <v/>
      </c>
      <c r="J4927" s="66" t="str">
        <f>IF(Twentieth!J180="", "",Twentieth!J180)</f>
        <v/>
      </c>
      <c r="K4927" s="86" t="str">
        <f>IF(Twentieth!K180="", "",Twentieth!K180)</f>
        <v/>
      </c>
      <c r="M4927" s="67" t="str">
        <f t="shared" si="233"/>
        <v/>
      </c>
      <c r="N4927" s="76" t="str">
        <f t="shared" si="234"/>
        <v/>
      </c>
      <c r="O4927" s="33">
        <f t="shared" si="235"/>
        <v>0</v>
      </c>
    </row>
    <row r="4928" spans="1:15" x14ac:dyDescent="0.25">
      <c r="A4928" s="64" t="s">
        <v>209</v>
      </c>
      <c r="B4928" s="79" t="str">
        <f>IF(Twentieth!B181="", "",Twentieth!B181)</f>
        <v/>
      </c>
      <c r="C4928" s="66" t="str">
        <f>IF(Twentieth!C181="", "",Twentieth!C181)</f>
        <v/>
      </c>
      <c r="D4928" s="66" t="str">
        <f>IF(Twentieth!D181="", "",Twentieth!D181)</f>
        <v/>
      </c>
      <c r="E4928" s="66" t="str">
        <f>IF(Twentieth!E181="", "",Twentieth!E181)</f>
        <v/>
      </c>
      <c r="F4928" s="66" t="str">
        <f>IF(Twentieth!F181="", "",Twentieth!F181)</f>
        <v/>
      </c>
      <c r="G4928" s="66" t="str">
        <f>IF(Twentieth!G181="", "",Twentieth!G181)</f>
        <v/>
      </c>
      <c r="H4928" s="66" t="str">
        <f>IF(Twentieth!H181="", "",Twentieth!H181)</f>
        <v/>
      </c>
      <c r="I4928" s="66" t="str">
        <f>IF(Twentieth!I181="", "",Twentieth!I181)</f>
        <v/>
      </c>
      <c r="J4928" s="66" t="str">
        <f>IF(Twentieth!J181="", "",Twentieth!J181)</f>
        <v/>
      </c>
      <c r="K4928" s="86" t="str">
        <f>IF(Twentieth!K181="", "",Twentieth!K181)</f>
        <v/>
      </c>
      <c r="M4928" s="67" t="str">
        <f t="shared" si="233"/>
        <v/>
      </c>
      <c r="N4928" s="76" t="str">
        <f t="shared" si="234"/>
        <v/>
      </c>
      <c r="O4928" s="33">
        <f t="shared" si="235"/>
        <v>0</v>
      </c>
    </row>
    <row r="4929" spans="1:15" x14ac:dyDescent="0.25">
      <c r="A4929" s="64" t="s">
        <v>209</v>
      </c>
      <c r="B4929" s="79" t="str">
        <f>IF(Twentieth!B182="", "",Twentieth!B182)</f>
        <v/>
      </c>
      <c r="C4929" s="66" t="str">
        <f>IF(Twentieth!C182="", "",Twentieth!C182)</f>
        <v/>
      </c>
      <c r="D4929" s="66" t="str">
        <f>IF(Twentieth!D182="", "",Twentieth!D182)</f>
        <v/>
      </c>
      <c r="E4929" s="66" t="str">
        <f>IF(Twentieth!E182="", "",Twentieth!E182)</f>
        <v/>
      </c>
      <c r="F4929" s="66" t="str">
        <f>IF(Twentieth!F182="", "",Twentieth!F182)</f>
        <v/>
      </c>
      <c r="G4929" s="66" t="str">
        <f>IF(Twentieth!G182="", "",Twentieth!G182)</f>
        <v/>
      </c>
      <c r="H4929" s="66" t="str">
        <f>IF(Twentieth!H182="", "",Twentieth!H182)</f>
        <v/>
      </c>
      <c r="I4929" s="66" t="str">
        <f>IF(Twentieth!I182="", "",Twentieth!I182)</f>
        <v/>
      </c>
      <c r="J4929" s="66" t="str">
        <f>IF(Twentieth!J182="", "",Twentieth!J182)</f>
        <v/>
      </c>
      <c r="K4929" s="86" t="str">
        <f>IF(Twentieth!K182="", "",Twentieth!K182)</f>
        <v/>
      </c>
      <c r="M4929" s="67" t="str">
        <f t="shared" si="233"/>
        <v/>
      </c>
      <c r="N4929" s="76" t="str">
        <f t="shared" si="234"/>
        <v/>
      </c>
      <c r="O4929" s="33">
        <f t="shared" si="235"/>
        <v>0</v>
      </c>
    </row>
    <row r="4930" spans="1:15" x14ac:dyDescent="0.25">
      <c r="A4930" s="64" t="s">
        <v>209</v>
      </c>
      <c r="B4930" s="79" t="str">
        <f>IF(Twentieth!B183="", "",Twentieth!B183)</f>
        <v/>
      </c>
      <c r="C4930" s="66" t="str">
        <f>IF(Twentieth!C183="", "",Twentieth!C183)</f>
        <v/>
      </c>
      <c r="D4930" s="66" t="str">
        <f>IF(Twentieth!D183="", "",Twentieth!D183)</f>
        <v/>
      </c>
      <c r="E4930" s="66" t="str">
        <f>IF(Twentieth!E183="", "",Twentieth!E183)</f>
        <v/>
      </c>
      <c r="F4930" s="66" t="str">
        <f>IF(Twentieth!F183="", "",Twentieth!F183)</f>
        <v/>
      </c>
      <c r="G4930" s="66" t="str">
        <f>IF(Twentieth!G183="", "",Twentieth!G183)</f>
        <v/>
      </c>
      <c r="H4930" s="66" t="str">
        <f>IF(Twentieth!H183="", "",Twentieth!H183)</f>
        <v/>
      </c>
      <c r="I4930" s="66" t="str">
        <f>IF(Twentieth!I183="", "",Twentieth!I183)</f>
        <v/>
      </c>
      <c r="J4930" s="66" t="str">
        <f>IF(Twentieth!J183="", "",Twentieth!J183)</f>
        <v/>
      </c>
      <c r="K4930" s="86" t="str">
        <f>IF(Twentieth!K183="", "",Twentieth!K183)</f>
        <v/>
      </c>
      <c r="M4930" s="67" t="str">
        <f t="shared" si="233"/>
        <v/>
      </c>
      <c r="N4930" s="76" t="str">
        <f t="shared" si="234"/>
        <v/>
      </c>
      <c r="O4930" s="33">
        <f t="shared" si="235"/>
        <v>0</v>
      </c>
    </row>
    <row r="4931" spans="1:15" x14ac:dyDescent="0.25">
      <c r="A4931" s="64" t="s">
        <v>209</v>
      </c>
      <c r="B4931" s="79" t="str">
        <f>IF(Twentieth!B184="", "",Twentieth!B184)</f>
        <v/>
      </c>
      <c r="C4931" s="66" t="str">
        <f>IF(Twentieth!C184="", "",Twentieth!C184)</f>
        <v/>
      </c>
      <c r="D4931" s="66" t="str">
        <f>IF(Twentieth!D184="", "",Twentieth!D184)</f>
        <v/>
      </c>
      <c r="E4931" s="66" t="str">
        <f>IF(Twentieth!E184="", "",Twentieth!E184)</f>
        <v/>
      </c>
      <c r="F4931" s="66" t="str">
        <f>IF(Twentieth!F184="", "",Twentieth!F184)</f>
        <v/>
      </c>
      <c r="G4931" s="66" t="str">
        <f>IF(Twentieth!G184="", "",Twentieth!G184)</f>
        <v/>
      </c>
      <c r="H4931" s="66" t="str">
        <f>IF(Twentieth!H184="", "",Twentieth!H184)</f>
        <v/>
      </c>
      <c r="I4931" s="66" t="str">
        <f>IF(Twentieth!I184="", "",Twentieth!I184)</f>
        <v/>
      </c>
      <c r="J4931" s="66" t="str">
        <f>IF(Twentieth!J184="", "",Twentieth!J184)</f>
        <v/>
      </c>
      <c r="K4931" s="86" t="str">
        <f>IF(Twentieth!K184="", "",Twentieth!K184)</f>
        <v/>
      </c>
      <c r="M4931" s="67" t="str">
        <f t="shared" si="233"/>
        <v/>
      </c>
      <c r="N4931" s="76" t="str">
        <f t="shared" si="234"/>
        <v/>
      </c>
      <c r="O4931" s="33">
        <f t="shared" si="235"/>
        <v>0</v>
      </c>
    </row>
    <row r="4932" spans="1:15" x14ac:dyDescent="0.25">
      <c r="A4932" s="64" t="s">
        <v>209</v>
      </c>
      <c r="B4932" s="79" t="str">
        <f>IF(Twentieth!B185="", "",Twentieth!B185)</f>
        <v/>
      </c>
      <c r="C4932" s="66" t="str">
        <f>IF(Twentieth!C185="", "",Twentieth!C185)</f>
        <v/>
      </c>
      <c r="D4932" s="66" t="str">
        <f>IF(Twentieth!D185="", "",Twentieth!D185)</f>
        <v/>
      </c>
      <c r="E4932" s="66" t="str">
        <f>IF(Twentieth!E185="", "",Twentieth!E185)</f>
        <v/>
      </c>
      <c r="F4932" s="66" t="str">
        <f>IF(Twentieth!F185="", "",Twentieth!F185)</f>
        <v/>
      </c>
      <c r="G4932" s="66" t="str">
        <f>IF(Twentieth!G185="", "",Twentieth!G185)</f>
        <v/>
      </c>
      <c r="H4932" s="66" t="str">
        <f>IF(Twentieth!H185="", "",Twentieth!H185)</f>
        <v/>
      </c>
      <c r="I4932" s="66" t="str">
        <f>IF(Twentieth!I185="", "",Twentieth!I185)</f>
        <v/>
      </c>
      <c r="J4932" s="66" t="str">
        <f>IF(Twentieth!J185="", "",Twentieth!J185)</f>
        <v/>
      </c>
      <c r="K4932" s="86" t="str">
        <f>IF(Twentieth!K185="", "",Twentieth!K185)</f>
        <v/>
      </c>
      <c r="M4932" s="67" t="str">
        <f t="shared" si="233"/>
        <v/>
      </c>
      <c r="N4932" s="76" t="str">
        <f t="shared" si="234"/>
        <v/>
      </c>
      <c r="O4932" s="33">
        <f t="shared" si="235"/>
        <v>0</v>
      </c>
    </row>
    <row r="4933" spans="1:15" x14ac:dyDescent="0.25">
      <c r="A4933" s="64" t="s">
        <v>209</v>
      </c>
      <c r="B4933" s="79" t="str">
        <f>IF(Twentieth!B186="", "",Twentieth!B186)</f>
        <v/>
      </c>
      <c r="C4933" s="66" t="str">
        <f>IF(Twentieth!C186="", "",Twentieth!C186)</f>
        <v/>
      </c>
      <c r="D4933" s="66" t="str">
        <f>IF(Twentieth!D186="", "",Twentieth!D186)</f>
        <v/>
      </c>
      <c r="E4933" s="66" t="str">
        <f>IF(Twentieth!E186="", "",Twentieth!E186)</f>
        <v/>
      </c>
      <c r="F4933" s="66" t="str">
        <f>IF(Twentieth!F186="", "",Twentieth!F186)</f>
        <v/>
      </c>
      <c r="G4933" s="66" t="str">
        <f>IF(Twentieth!G186="", "",Twentieth!G186)</f>
        <v/>
      </c>
      <c r="H4933" s="66" t="str">
        <f>IF(Twentieth!H186="", "",Twentieth!H186)</f>
        <v/>
      </c>
      <c r="I4933" s="66" t="str">
        <f>IF(Twentieth!I186="", "",Twentieth!I186)</f>
        <v/>
      </c>
      <c r="J4933" s="66" t="str">
        <f>IF(Twentieth!J186="", "",Twentieth!J186)</f>
        <v/>
      </c>
      <c r="K4933" s="86" t="str">
        <f>IF(Twentieth!K186="", "",Twentieth!K186)</f>
        <v/>
      </c>
      <c r="M4933" s="67" t="str">
        <f t="shared" si="233"/>
        <v/>
      </c>
      <c r="N4933" s="76" t="str">
        <f t="shared" si="234"/>
        <v/>
      </c>
      <c r="O4933" s="33">
        <f t="shared" si="235"/>
        <v>0</v>
      </c>
    </row>
    <row r="4934" spans="1:15" x14ac:dyDescent="0.25">
      <c r="A4934" s="64" t="s">
        <v>209</v>
      </c>
      <c r="B4934" s="79" t="str">
        <f>IF(Twentieth!B187="", "",Twentieth!B187)</f>
        <v/>
      </c>
      <c r="C4934" s="66" t="str">
        <f>IF(Twentieth!C187="", "",Twentieth!C187)</f>
        <v/>
      </c>
      <c r="D4934" s="66" t="str">
        <f>IF(Twentieth!D187="", "",Twentieth!D187)</f>
        <v/>
      </c>
      <c r="E4934" s="66" t="str">
        <f>IF(Twentieth!E187="", "",Twentieth!E187)</f>
        <v/>
      </c>
      <c r="F4934" s="66" t="str">
        <f>IF(Twentieth!F187="", "",Twentieth!F187)</f>
        <v/>
      </c>
      <c r="G4934" s="66" t="str">
        <f>IF(Twentieth!G187="", "",Twentieth!G187)</f>
        <v/>
      </c>
      <c r="H4934" s="66" t="str">
        <f>IF(Twentieth!H187="", "",Twentieth!H187)</f>
        <v/>
      </c>
      <c r="I4934" s="66" t="str">
        <f>IF(Twentieth!I187="", "",Twentieth!I187)</f>
        <v/>
      </c>
      <c r="J4934" s="66" t="str">
        <f>IF(Twentieth!J187="", "",Twentieth!J187)</f>
        <v/>
      </c>
      <c r="K4934" s="86" t="str">
        <f>IF(Twentieth!K187="", "",Twentieth!K187)</f>
        <v/>
      </c>
      <c r="M4934" s="67" t="str">
        <f t="shared" si="233"/>
        <v/>
      </c>
      <c r="N4934" s="76" t="str">
        <f t="shared" si="234"/>
        <v/>
      </c>
      <c r="O4934" s="33">
        <f t="shared" si="235"/>
        <v>0</v>
      </c>
    </row>
    <row r="4935" spans="1:15" x14ac:dyDescent="0.25">
      <c r="A4935" s="64" t="s">
        <v>209</v>
      </c>
      <c r="B4935" s="79" t="str">
        <f>IF(Twentieth!B188="", "",Twentieth!B188)</f>
        <v/>
      </c>
      <c r="C4935" s="66" t="str">
        <f>IF(Twentieth!C188="", "",Twentieth!C188)</f>
        <v/>
      </c>
      <c r="D4935" s="66" t="str">
        <f>IF(Twentieth!D188="", "",Twentieth!D188)</f>
        <v/>
      </c>
      <c r="E4935" s="66" t="str">
        <f>IF(Twentieth!E188="", "",Twentieth!E188)</f>
        <v/>
      </c>
      <c r="F4935" s="66" t="str">
        <f>IF(Twentieth!F188="", "",Twentieth!F188)</f>
        <v/>
      </c>
      <c r="G4935" s="66" t="str">
        <f>IF(Twentieth!G188="", "",Twentieth!G188)</f>
        <v/>
      </c>
      <c r="H4935" s="66" t="str">
        <f>IF(Twentieth!H188="", "",Twentieth!H188)</f>
        <v/>
      </c>
      <c r="I4935" s="66" t="str">
        <f>IF(Twentieth!I188="", "",Twentieth!I188)</f>
        <v/>
      </c>
      <c r="J4935" s="66" t="str">
        <f>IF(Twentieth!J188="", "",Twentieth!J188)</f>
        <v/>
      </c>
      <c r="K4935" s="86" t="str">
        <f>IF(Twentieth!K188="", "",Twentieth!K188)</f>
        <v/>
      </c>
      <c r="M4935" s="67" t="str">
        <f t="shared" si="233"/>
        <v/>
      </c>
      <c r="N4935" s="76" t="str">
        <f t="shared" si="234"/>
        <v/>
      </c>
      <c r="O4935" s="33">
        <f t="shared" si="235"/>
        <v>0</v>
      </c>
    </row>
    <row r="4936" spans="1:15" x14ac:dyDescent="0.25">
      <c r="A4936" s="64" t="s">
        <v>209</v>
      </c>
      <c r="B4936" s="79" t="str">
        <f>IF(Twentieth!B189="", "",Twentieth!B189)</f>
        <v/>
      </c>
      <c r="C4936" s="66" t="str">
        <f>IF(Twentieth!C189="", "",Twentieth!C189)</f>
        <v/>
      </c>
      <c r="D4936" s="66" t="str">
        <f>IF(Twentieth!D189="", "",Twentieth!D189)</f>
        <v/>
      </c>
      <c r="E4936" s="66" t="str">
        <f>IF(Twentieth!E189="", "",Twentieth!E189)</f>
        <v/>
      </c>
      <c r="F4936" s="66" t="str">
        <f>IF(Twentieth!F189="", "",Twentieth!F189)</f>
        <v/>
      </c>
      <c r="G4936" s="66" t="str">
        <f>IF(Twentieth!G189="", "",Twentieth!G189)</f>
        <v/>
      </c>
      <c r="H4936" s="66" t="str">
        <f>IF(Twentieth!H189="", "",Twentieth!H189)</f>
        <v/>
      </c>
      <c r="I4936" s="66" t="str">
        <f>IF(Twentieth!I189="", "",Twentieth!I189)</f>
        <v/>
      </c>
      <c r="J4936" s="66" t="str">
        <f>IF(Twentieth!J189="", "",Twentieth!J189)</f>
        <v/>
      </c>
      <c r="K4936" s="86" t="str">
        <f>IF(Twentieth!K189="", "",Twentieth!K189)</f>
        <v/>
      </c>
      <c r="M4936" s="67" t="str">
        <f t="shared" si="233"/>
        <v/>
      </c>
      <c r="N4936" s="76" t="str">
        <f t="shared" si="234"/>
        <v/>
      </c>
      <c r="O4936" s="33">
        <f t="shared" si="235"/>
        <v>0</v>
      </c>
    </row>
    <row r="4937" spans="1:15" x14ac:dyDescent="0.25">
      <c r="A4937" s="64" t="s">
        <v>209</v>
      </c>
      <c r="B4937" s="79" t="str">
        <f>IF(Twentieth!B190="", "",Twentieth!B190)</f>
        <v/>
      </c>
      <c r="C4937" s="66" t="str">
        <f>IF(Twentieth!C190="", "",Twentieth!C190)</f>
        <v/>
      </c>
      <c r="D4937" s="66" t="str">
        <f>IF(Twentieth!D190="", "",Twentieth!D190)</f>
        <v/>
      </c>
      <c r="E4937" s="66" t="str">
        <f>IF(Twentieth!E190="", "",Twentieth!E190)</f>
        <v/>
      </c>
      <c r="F4937" s="66" t="str">
        <f>IF(Twentieth!F190="", "",Twentieth!F190)</f>
        <v/>
      </c>
      <c r="G4937" s="66" t="str">
        <f>IF(Twentieth!G190="", "",Twentieth!G190)</f>
        <v/>
      </c>
      <c r="H4937" s="66" t="str">
        <f>IF(Twentieth!H190="", "",Twentieth!H190)</f>
        <v/>
      </c>
      <c r="I4937" s="66" t="str">
        <f>IF(Twentieth!I190="", "",Twentieth!I190)</f>
        <v/>
      </c>
      <c r="J4937" s="66" t="str">
        <f>IF(Twentieth!J190="", "",Twentieth!J190)</f>
        <v/>
      </c>
      <c r="K4937" s="86" t="str">
        <f>IF(Twentieth!K190="", "",Twentieth!K190)</f>
        <v/>
      </c>
      <c r="M4937" s="67" t="str">
        <f t="shared" si="233"/>
        <v/>
      </c>
      <c r="N4937" s="76" t="str">
        <f t="shared" si="234"/>
        <v/>
      </c>
      <c r="O4937" s="33">
        <f t="shared" si="235"/>
        <v>0</v>
      </c>
    </row>
    <row r="4938" spans="1:15" x14ac:dyDescent="0.25">
      <c r="A4938" s="64" t="s">
        <v>209</v>
      </c>
      <c r="B4938" s="79" t="str">
        <f>IF(Twentieth!B191="", "",Twentieth!B191)</f>
        <v/>
      </c>
      <c r="C4938" s="66" t="str">
        <f>IF(Twentieth!C191="", "",Twentieth!C191)</f>
        <v/>
      </c>
      <c r="D4938" s="66" t="str">
        <f>IF(Twentieth!D191="", "",Twentieth!D191)</f>
        <v/>
      </c>
      <c r="E4938" s="66" t="str">
        <f>IF(Twentieth!E191="", "",Twentieth!E191)</f>
        <v/>
      </c>
      <c r="F4938" s="66" t="str">
        <f>IF(Twentieth!F191="", "",Twentieth!F191)</f>
        <v/>
      </c>
      <c r="G4938" s="66" t="str">
        <f>IF(Twentieth!G191="", "",Twentieth!G191)</f>
        <v/>
      </c>
      <c r="H4938" s="66" t="str">
        <f>IF(Twentieth!H191="", "",Twentieth!H191)</f>
        <v/>
      </c>
      <c r="I4938" s="66" t="str">
        <f>IF(Twentieth!I191="", "",Twentieth!I191)</f>
        <v/>
      </c>
      <c r="J4938" s="66" t="str">
        <f>IF(Twentieth!J191="", "",Twentieth!J191)</f>
        <v/>
      </c>
      <c r="K4938" s="86" t="str">
        <f>IF(Twentieth!K191="", "",Twentieth!K191)</f>
        <v/>
      </c>
      <c r="M4938" s="67" t="str">
        <f t="shared" si="233"/>
        <v/>
      </c>
      <c r="N4938" s="76" t="str">
        <f t="shared" si="234"/>
        <v/>
      </c>
      <c r="O4938" s="33">
        <f t="shared" si="235"/>
        <v>0</v>
      </c>
    </row>
    <row r="4939" spans="1:15" x14ac:dyDescent="0.25">
      <c r="A4939" s="64" t="s">
        <v>209</v>
      </c>
      <c r="B4939" s="79" t="str">
        <f>IF(Twentieth!B192="", "",Twentieth!B192)</f>
        <v/>
      </c>
      <c r="C4939" s="66" t="str">
        <f>IF(Twentieth!C192="", "",Twentieth!C192)</f>
        <v/>
      </c>
      <c r="D4939" s="66" t="str">
        <f>IF(Twentieth!D192="", "",Twentieth!D192)</f>
        <v/>
      </c>
      <c r="E4939" s="66" t="str">
        <f>IF(Twentieth!E192="", "",Twentieth!E192)</f>
        <v/>
      </c>
      <c r="F4939" s="66" t="str">
        <f>IF(Twentieth!F192="", "",Twentieth!F192)</f>
        <v/>
      </c>
      <c r="G4939" s="66" t="str">
        <f>IF(Twentieth!G192="", "",Twentieth!G192)</f>
        <v/>
      </c>
      <c r="H4939" s="66" t="str">
        <f>IF(Twentieth!H192="", "",Twentieth!H192)</f>
        <v/>
      </c>
      <c r="I4939" s="66" t="str">
        <f>IF(Twentieth!I192="", "",Twentieth!I192)</f>
        <v/>
      </c>
      <c r="J4939" s="66" t="str">
        <f>IF(Twentieth!J192="", "",Twentieth!J192)</f>
        <v/>
      </c>
      <c r="K4939" s="86" t="str">
        <f>IF(Twentieth!K192="", "",Twentieth!K192)</f>
        <v/>
      </c>
      <c r="M4939" s="67" t="str">
        <f t="shared" si="233"/>
        <v/>
      </c>
      <c r="N4939" s="76" t="str">
        <f t="shared" si="234"/>
        <v/>
      </c>
      <c r="O4939" s="33">
        <f t="shared" si="235"/>
        <v>0</v>
      </c>
    </row>
    <row r="4940" spans="1:15" x14ac:dyDescent="0.25">
      <c r="A4940" s="64" t="s">
        <v>209</v>
      </c>
      <c r="B4940" s="79" t="str">
        <f>IF(Twentieth!B193="", "",Twentieth!B193)</f>
        <v/>
      </c>
      <c r="C4940" s="66" t="str">
        <f>IF(Twentieth!C193="", "",Twentieth!C193)</f>
        <v/>
      </c>
      <c r="D4940" s="66" t="str">
        <f>IF(Twentieth!D193="", "",Twentieth!D193)</f>
        <v/>
      </c>
      <c r="E4940" s="66" t="str">
        <f>IF(Twentieth!E193="", "",Twentieth!E193)</f>
        <v/>
      </c>
      <c r="F4940" s="66" t="str">
        <f>IF(Twentieth!F193="", "",Twentieth!F193)</f>
        <v/>
      </c>
      <c r="G4940" s="66" t="str">
        <f>IF(Twentieth!G193="", "",Twentieth!G193)</f>
        <v/>
      </c>
      <c r="H4940" s="66" t="str">
        <f>IF(Twentieth!H193="", "",Twentieth!H193)</f>
        <v/>
      </c>
      <c r="I4940" s="66" t="str">
        <f>IF(Twentieth!I193="", "",Twentieth!I193)</f>
        <v/>
      </c>
      <c r="J4940" s="66" t="str">
        <f>IF(Twentieth!J193="", "",Twentieth!J193)</f>
        <v/>
      </c>
      <c r="K4940" s="86" t="str">
        <f>IF(Twentieth!K193="", "",Twentieth!K193)</f>
        <v/>
      </c>
      <c r="M4940" s="67" t="str">
        <f t="shared" si="233"/>
        <v/>
      </c>
      <c r="N4940" s="76" t="str">
        <f t="shared" si="234"/>
        <v/>
      </c>
      <c r="O4940" s="33">
        <f t="shared" si="235"/>
        <v>0</v>
      </c>
    </row>
    <row r="4941" spans="1:15" x14ac:dyDescent="0.25">
      <c r="A4941" s="64" t="s">
        <v>209</v>
      </c>
      <c r="B4941" s="79" t="str">
        <f>IF(Twentieth!B194="", "",Twentieth!B194)</f>
        <v/>
      </c>
      <c r="C4941" s="66" t="str">
        <f>IF(Twentieth!C194="", "",Twentieth!C194)</f>
        <v/>
      </c>
      <c r="D4941" s="66" t="str">
        <f>IF(Twentieth!D194="", "",Twentieth!D194)</f>
        <v/>
      </c>
      <c r="E4941" s="66" t="str">
        <f>IF(Twentieth!E194="", "",Twentieth!E194)</f>
        <v/>
      </c>
      <c r="F4941" s="66" t="str">
        <f>IF(Twentieth!F194="", "",Twentieth!F194)</f>
        <v/>
      </c>
      <c r="G4941" s="66" t="str">
        <f>IF(Twentieth!G194="", "",Twentieth!G194)</f>
        <v/>
      </c>
      <c r="H4941" s="66" t="str">
        <f>IF(Twentieth!H194="", "",Twentieth!H194)</f>
        <v/>
      </c>
      <c r="I4941" s="66" t="str">
        <f>IF(Twentieth!I194="", "",Twentieth!I194)</f>
        <v/>
      </c>
      <c r="J4941" s="66" t="str">
        <f>IF(Twentieth!J194="", "",Twentieth!J194)</f>
        <v/>
      </c>
      <c r="K4941" s="86" t="str">
        <f>IF(Twentieth!K194="", "",Twentieth!K194)</f>
        <v/>
      </c>
      <c r="M4941" s="67" t="str">
        <f t="shared" si="233"/>
        <v/>
      </c>
      <c r="N4941" s="76" t="str">
        <f t="shared" si="234"/>
        <v/>
      </c>
      <c r="O4941" s="33">
        <f t="shared" si="235"/>
        <v>0</v>
      </c>
    </row>
    <row r="4942" spans="1:15" x14ac:dyDescent="0.25">
      <c r="A4942" s="64" t="s">
        <v>209</v>
      </c>
      <c r="B4942" s="79" t="str">
        <f>IF(Twentieth!B195="", "",Twentieth!B195)</f>
        <v/>
      </c>
      <c r="C4942" s="66" t="str">
        <f>IF(Twentieth!C195="", "",Twentieth!C195)</f>
        <v/>
      </c>
      <c r="D4942" s="66" t="str">
        <f>IF(Twentieth!D195="", "",Twentieth!D195)</f>
        <v/>
      </c>
      <c r="E4942" s="66" t="str">
        <f>IF(Twentieth!E195="", "",Twentieth!E195)</f>
        <v/>
      </c>
      <c r="F4942" s="66" t="str">
        <f>IF(Twentieth!F195="", "",Twentieth!F195)</f>
        <v/>
      </c>
      <c r="G4942" s="66" t="str">
        <f>IF(Twentieth!G195="", "",Twentieth!G195)</f>
        <v/>
      </c>
      <c r="H4942" s="66" t="str">
        <f>IF(Twentieth!H195="", "",Twentieth!H195)</f>
        <v/>
      </c>
      <c r="I4942" s="66" t="str">
        <f>IF(Twentieth!I195="", "",Twentieth!I195)</f>
        <v/>
      </c>
      <c r="J4942" s="66" t="str">
        <f>IF(Twentieth!J195="", "",Twentieth!J195)</f>
        <v/>
      </c>
      <c r="K4942" s="86" t="str">
        <f>IF(Twentieth!K195="", "",Twentieth!K195)</f>
        <v/>
      </c>
      <c r="M4942" s="67" t="str">
        <f t="shared" si="233"/>
        <v/>
      </c>
      <c r="N4942" s="76" t="str">
        <f t="shared" si="234"/>
        <v/>
      </c>
      <c r="O4942" s="33">
        <f t="shared" si="235"/>
        <v>0</v>
      </c>
    </row>
    <row r="4943" spans="1:15" x14ac:dyDescent="0.25">
      <c r="A4943" s="64" t="s">
        <v>209</v>
      </c>
      <c r="B4943" s="79" t="str">
        <f>IF(Twentieth!B196="", "",Twentieth!B196)</f>
        <v/>
      </c>
      <c r="C4943" s="66" t="str">
        <f>IF(Twentieth!C196="", "",Twentieth!C196)</f>
        <v/>
      </c>
      <c r="D4943" s="66" t="str">
        <f>IF(Twentieth!D196="", "",Twentieth!D196)</f>
        <v/>
      </c>
      <c r="E4943" s="66" t="str">
        <f>IF(Twentieth!E196="", "",Twentieth!E196)</f>
        <v/>
      </c>
      <c r="F4943" s="66" t="str">
        <f>IF(Twentieth!F196="", "",Twentieth!F196)</f>
        <v/>
      </c>
      <c r="G4943" s="66" t="str">
        <f>IF(Twentieth!G196="", "",Twentieth!G196)</f>
        <v/>
      </c>
      <c r="H4943" s="66" t="str">
        <f>IF(Twentieth!H196="", "",Twentieth!H196)</f>
        <v/>
      </c>
      <c r="I4943" s="66" t="str">
        <f>IF(Twentieth!I196="", "",Twentieth!I196)</f>
        <v/>
      </c>
      <c r="J4943" s="66" t="str">
        <f>IF(Twentieth!J196="", "",Twentieth!J196)</f>
        <v/>
      </c>
      <c r="K4943" s="86" t="str">
        <f>IF(Twentieth!K196="", "",Twentieth!K196)</f>
        <v/>
      </c>
      <c r="M4943" s="67" t="str">
        <f t="shared" si="233"/>
        <v/>
      </c>
      <c r="N4943" s="76" t="str">
        <f t="shared" si="234"/>
        <v/>
      </c>
      <c r="O4943" s="33">
        <f t="shared" si="235"/>
        <v>0</v>
      </c>
    </row>
    <row r="4944" spans="1:15" x14ac:dyDescent="0.25">
      <c r="A4944" s="64" t="s">
        <v>209</v>
      </c>
      <c r="B4944" s="79" t="str">
        <f>IF(Twentieth!B197="", "",Twentieth!B197)</f>
        <v/>
      </c>
      <c r="C4944" s="66" t="str">
        <f>IF(Twentieth!C197="", "",Twentieth!C197)</f>
        <v/>
      </c>
      <c r="D4944" s="66" t="str">
        <f>IF(Twentieth!D197="", "",Twentieth!D197)</f>
        <v/>
      </c>
      <c r="E4944" s="66" t="str">
        <f>IF(Twentieth!E197="", "",Twentieth!E197)</f>
        <v/>
      </c>
      <c r="F4944" s="66" t="str">
        <f>IF(Twentieth!F197="", "",Twentieth!F197)</f>
        <v/>
      </c>
      <c r="G4944" s="66" t="str">
        <f>IF(Twentieth!G197="", "",Twentieth!G197)</f>
        <v/>
      </c>
      <c r="H4944" s="66" t="str">
        <f>IF(Twentieth!H197="", "",Twentieth!H197)</f>
        <v/>
      </c>
      <c r="I4944" s="66" t="str">
        <f>IF(Twentieth!I197="", "",Twentieth!I197)</f>
        <v/>
      </c>
      <c r="J4944" s="66" t="str">
        <f>IF(Twentieth!J197="", "",Twentieth!J197)</f>
        <v/>
      </c>
      <c r="K4944" s="86" t="str">
        <f>IF(Twentieth!K197="", "",Twentieth!K197)</f>
        <v/>
      </c>
      <c r="M4944" s="67" t="str">
        <f t="shared" si="233"/>
        <v/>
      </c>
      <c r="N4944" s="76" t="str">
        <f t="shared" si="234"/>
        <v/>
      </c>
      <c r="O4944" s="33">
        <f t="shared" si="235"/>
        <v>0</v>
      </c>
    </row>
    <row r="4945" spans="1:15" x14ac:dyDescent="0.25">
      <c r="A4945" s="64" t="s">
        <v>209</v>
      </c>
      <c r="B4945" s="79" t="str">
        <f>IF(Twentieth!B198="", "",Twentieth!B198)</f>
        <v/>
      </c>
      <c r="C4945" s="66" t="str">
        <f>IF(Twentieth!C198="", "",Twentieth!C198)</f>
        <v/>
      </c>
      <c r="D4945" s="66" t="str">
        <f>IF(Twentieth!D198="", "",Twentieth!D198)</f>
        <v/>
      </c>
      <c r="E4945" s="66" t="str">
        <f>IF(Twentieth!E198="", "",Twentieth!E198)</f>
        <v/>
      </c>
      <c r="F4945" s="66" t="str">
        <f>IF(Twentieth!F198="", "",Twentieth!F198)</f>
        <v/>
      </c>
      <c r="G4945" s="66" t="str">
        <f>IF(Twentieth!G198="", "",Twentieth!G198)</f>
        <v/>
      </c>
      <c r="H4945" s="66" t="str">
        <f>IF(Twentieth!H198="", "",Twentieth!H198)</f>
        <v/>
      </c>
      <c r="I4945" s="66" t="str">
        <f>IF(Twentieth!I198="", "",Twentieth!I198)</f>
        <v/>
      </c>
      <c r="J4945" s="66" t="str">
        <f>IF(Twentieth!J198="", "",Twentieth!J198)</f>
        <v/>
      </c>
      <c r="K4945" s="86" t="str">
        <f>IF(Twentieth!K198="", "",Twentieth!K198)</f>
        <v/>
      </c>
      <c r="M4945" s="67" t="str">
        <f t="shared" si="233"/>
        <v/>
      </c>
      <c r="N4945" s="76" t="str">
        <f t="shared" si="234"/>
        <v/>
      </c>
      <c r="O4945" s="33">
        <f t="shared" si="235"/>
        <v>0</v>
      </c>
    </row>
    <row r="4946" spans="1:15" x14ac:dyDescent="0.25">
      <c r="A4946" s="64" t="s">
        <v>209</v>
      </c>
      <c r="B4946" s="79" t="str">
        <f>IF(Twentieth!B199="", "",Twentieth!B199)</f>
        <v/>
      </c>
      <c r="C4946" s="66" t="str">
        <f>IF(Twentieth!C199="", "",Twentieth!C199)</f>
        <v/>
      </c>
      <c r="D4946" s="66" t="str">
        <f>IF(Twentieth!D199="", "",Twentieth!D199)</f>
        <v/>
      </c>
      <c r="E4946" s="66" t="str">
        <f>IF(Twentieth!E199="", "",Twentieth!E199)</f>
        <v/>
      </c>
      <c r="F4946" s="66" t="str">
        <f>IF(Twentieth!F199="", "",Twentieth!F199)</f>
        <v/>
      </c>
      <c r="G4946" s="66" t="str">
        <f>IF(Twentieth!G199="", "",Twentieth!G199)</f>
        <v/>
      </c>
      <c r="H4946" s="66" t="str">
        <f>IF(Twentieth!H199="", "",Twentieth!H199)</f>
        <v/>
      </c>
      <c r="I4946" s="66" t="str">
        <f>IF(Twentieth!I199="", "",Twentieth!I199)</f>
        <v/>
      </c>
      <c r="J4946" s="66" t="str">
        <f>IF(Twentieth!J199="", "",Twentieth!J199)</f>
        <v/>
      </c>
      <c r="K4946" s="86" t="str">
        <f>IF(Twentieth!K199="", "",Twentieth!K199)</f>
        <v/>
      </c>
      <c r="M4946" s="67" t="str">
        <f t="shared" si="233"/>
        <v/>
      </c>
      <c r="N4946" s="76" t="str">
        <f t="shared" si="234"/>
        <v/>
      </c>
      <c r="O4946" s="33">
        <f t="shared" si="235"/>
        <v>0</v>
      </c>
    </row>
    <row r="4947" spans="1:15" x14ac:dyDescent="0.25">
      <c r="A4947" s="64" t="s">
        <v>209</v>
      </c>
      <c r="B4947" s="79" t="str">
        <f>IF(Twentieth!B200="", "",Twentieth!B200)</f>
        <v/>
      </c>
      <c r="C4947" s="66" t="str">
        <f>IF(Twentieth!C200="", "",Twentieth!C200)</f>
        <v/>
      </c>
      <c r="D4947" s="66" t="str">
        <f>IF(Twentieth!D200="", "",Twentieth!D200)</f>
        <v/>
      </c>
      <c r="E4947" s="66" t="str">
        <f>IF(Twentieth!E200="", "",Twentieth!E200)</f>
        <v/>
      </c>
      <c r="F4947" s="66" t="str">
        <f>IF(Twentieth!F200="", "",Twentieth!F200)</f>
        <v/>
      </c>
      <c r="G4947" s="66" t="str">
        <f>IF(Twentieth!G200="", "",Twentieth!G200)</f>
        <v/>
      </c>
      <c r="H4947" s="66" t="str">
        <f>IF(Twentieth!H200="", "",Twentieth!H200)</f>
        <v/>
      </c>
      <c r="I4947" s="66" t="str">
        <f>IF(Twentieth!I200="", "",Twentieth!I200)</f>
        <v/>
      </c>
      <c r="J4947" s="66" t="str">
        <f>IF(Twentieth!J200="", "",Twentieth!J200)</f>
        <v/>
      </c>
      <c r="K4947" s="86" t="str">
        <f>IF(Twentieth!K200="", "",Twentieth!K200)</f>
        <v/>
      </c>
      <c r="M4947" s="67" t="str">
        <f t="shared" si="233"/>
        <v/>
      </c>
      <c r="N4947" s="76" t="str">
        <f t="shared" si="234"/>
        <v/>
      </c>
      <c r="O4947" s="33">
        <f t="shared" si="235"/>
        <v>0</v>
      </c>
    </row>
    <row r="4948" spans="1:15" x14ac:dyDescent="0.25">
      <c r="A4948" s="64" t="s">
        <v>209</v>
      </c>
      <c r="B4948" s="79" t="str">
        <f>IF(Twentieth!B201="", "",Twentieth!B201)</f>
        <v/>
      </c>
      <c r="C4948" s="66" t="str">
        <f>IF(Twentieth!C201="", "",Twentieth!C201)</f>
        <v/>
      </c>
      <c r="D4948" s="66" t="str">
        <f>IF(Twentieth!D201="", "",Twentieth!D201)</f>
        <v/>
      </c>
      <c r="E4948" s="66" t="str">
        <f>IF(Twentieth!E201="", "",Twentieth!E201)</f>
        <v/>
      </c>
      <c r="F4948" s="66" t="str">
        <f>IF(Twentieth!F201="", "",Twentieth!F201)</f>
        <v/>
      </c>
      <c r="G4948" s="66" t="str">
        <f>IF(Twentieth!G201="", "",Twentieth!G201)</f>
        <v/>
      </c>
      <c r="H4948" s="66" t="str">
        <f>IF(Twentieth!H201="", "",Twentieth!H201)</f>
        <v/>
      </c>
      <c r="I4948" s="66" t="str">
        <f>IF(Twentieth!I201="", "",Twentieth!I201)</f>
        <v/>
      </c>
      <c r="J4948" s="66" t="str">
        <f>IF(Twentieth!J201="", "",Twentieth!J201)</f>
        <v/>
      </c>
      <c r="K4948" s="86" t="str">
        <f>IF(Twentieth!K201="", "",Twentieth!K201)</f>
        <v/>
      </c>
      <c r="M4948" s="67" t="str">
        <f t="shared" si="233"/>
        <v/>
      </c>
      <c r="N4948" s="76" t="str">
        <f t="shared" si="234"/>
        <v/>
      </c>
      <c r="O4948" s="33">
        <f t="shared" si="235"/>
        <v>0</v>
      </c>
    </row>
    <row r="4949" spans="1:15" x14ac:dyDescent="0.25">
      <c r="A4949" s="64" t="s">
        <v>209</v>
      </c>
      <c r="B4949" s="79" t="str">
        <f>IF(Twentieth!B202="", "",Twentieth!B202)</f>
        <v/>
      </c>
      <c r="C4949" s="66" t="str">
        <f>IF(Twentieth!C202="", "",Twentieth!C202)</f>
        <v/>
      </c>
      <c r="D4949" s="66" t="str">
        <f>IF(Twentieth!D202="", "",Twentieth!D202)</f>
        <v/>
      </c>
      <c r="E4949" s="66" t="str">
        <f>IF(Twentieth!E202="", "",Twentieth!E202)</f>
        <v/>
      </c>
      <c r="F4949" s="66" t="str">
        <f>IF(Twentieth!F202="", "",Twentieth!F202)</f>
        <v/>
      </c>
      <c r="G4949" s="66" t="str">
        <f>IF(Twentieth!G202="", "",Twentieth!G202)</f>
        <v/>
      </c>
      <c r="H4949" s="66" t="str">
        <f>IF(Twentieth!H202="", "",Twentieth!H202)</f>
        <v/>
      </c>
      <c r="I4949" s="66" t="str">
        <f>IF(Twentieth!I202="", "",Twentieth!I202)</f>
        <v/>
      </c>
      <c r="J4949" s="66" t="str">
        <f>IF(Twentieth!J202="", "",Twentieth!J202)</f>
        <v/>
      </c>
      <c r="K4949" s="86" t="str">
        <f>IF(Twentieth!K202="", "",Twentieth!K202)</f>
        <v/>
      </c>
      <c r="M4949" s="67" t="str">
        <f t="shared" si="233"/>
        <v/>
      </c>
      <c r="N4949" s="76" t="str">
        <f t="shared" si="234"/>
        <v/>
      </c>
      <c r="O4949" s="33">
        <f t="shared" si="235"/>
        <v>0</v>
      </c>
    </row>
    <row r="4950" spans="1:15" x14ac:dyDescent="0.25">
      <c r="A4950" s="64" t="s">
        <v>209</v>
      </c>
      <c r="B4950" s="79" t="str">
        <f>IF(Twentieth!B203="", "",Twentieth!B203)</f>
        <v/>
      </c>
      <c r="C4950" s="66" t="str">
        <f>IF(Twentieth!C203="", "",Twentieth!C203)</f>
        <v/>
      </c>
      <c r="D4950" s="66" t="str">
        <f>IF(Twentieth!D203="", "",Twentieth!D203)</f>
        <v/>
      </c>
      <c r="E4950" s="66" t="str">
        <f>IF(Twentieth!E203="", "",Twentieth!E203)</f>
        <v/>
      </c>
      <c r="F4950" s="66" t="str">
        <f>IF(Twentieth!F203="", "",Twentieth!F203)</f>
        <v/>
      </c>
      <c r="G4950" s="66" t="str">
        <f>IF(Twentieth!G203="", "",Twentieth!G203)</f>
        <v/>
      </c>
      <c r="H4950" s="66" t="str">
        <f>IF(Twentieth!H203="", "",Twentieth!H203)</f>
        <v/>
      </c>
      <c r="I4950" s="66" t="str">
        <f>IF(Twentieth!I203="", "",Twentieth!I203)</f>
        <v/>
      </c>
      <c r="J4950" s="66" t="str">
        <f>IF(Twentieth!J203="", "",Twentieth!J203)</f>
        <v/>
      </c>
      <c r="K4950" s="86" t="str">
        <f>IF(Twentieth!K203="", "",Twentieth!K203)</f>
        <v/>
      </c>
      <c r="M4950" s="67" t="str">
        <f t="shared" si="233"/>
        <v/>
      </c>
      <c r="N4950" s="76" t="str">
        <f t="shared" si="234"/>
        <v/>
      </c>
      <c r="O4950" s="33">
        <f t="shared" si="235"/>
        <v>0</v>
      </c>
    </row>
    <row r="4951" spans="1:15" x14ac:dyDescent="0.25">
      <c r="A4951" s="64" t="s">
        <v>209</v>
      </c>
      <c r="B4951" s="79" t="str">
        <f>IF(Twentieth!B204="", "",Twentieth!B204)</f>
        <v/>
      </c>
      <c r="C4951" s="66" t="str">
        <f>IF(Twentieth!C204="", "",Twentieth!C204)</f>
        <v/>
      </c>
      <c r="D4951" s="66" t="str">
        <f>IF(Twentieth!D204="", "",Twentieth!D204)</f>
        <v/>
      </c>
      <c r="E4951" s="66" t="str">
        <f>IF(Twentieth!E204="", "",Twentieth!E204)</f>
        <v/>
      </c>
      <c r="F4951" s="66" t="str">
        <f>IF(Twentieth!F204="", "",Twentieth!F204)</f>
        <v/>
      </c>
      <c r="G4951" s="66" t="str">
        <f>IF(Twentieth!G204="", "",Twentieth!G204)</f>
        <v/>
      </c>
      <c r="H4951" s="66" t="str">
        <f>IF(Twentieth!H204="", "",Twentieth!H204)</f>
        <v/>
      </c>
      <c r="I4951" s="66" t="str">
        <f>IF(Twentieth!I204="", "",Twentieth!I204)</f>
        <v/>
      </c>
      <c r="J4951" s="66" t="str">
        <f>IF(Twentieth!J204="", "",Twentieth!J204)</f>
        <v/>
      </c>
      <c r="K4951" s="86" t="str">
        <f>IF(Twentieth!K204="", "",Twentieth!K204)</f>
        <v/>
      </c>
      <c r="M4951" s="67" t="str">
        <f t="shared" si="233"/>
        <v/>
      </c>
      <c r="N4951" s="76" t="str">
        <f t="shared" si="234"/>
        <v/>
      </c>
      <c r="O4951" s="33">
        <f t="shared" si="235"/>
        <v>0</v>
      </c>
    </row>
    <row r="4952" spans="1:15" x14ac:dyDescent="0.25">
      <c r="A4952" s="64" t="s">
        <v>209</v>
      </c>
      <c r="B4952" s="79" t="str">
        <f>IF(Twentieth!B205="", "",Twentieth!B205)</f>
        <v/>
      </c>
      <c r="C4952" s="66" t="str">
        <f>IF(Twentieth!C205="", "",Twentieth!C205)</f>
        <v/>
      </c>
      <c r="D4952" s="66" t="str">
        <f>IF(Twentieth!D205="", "",Twentieth!D205)</f>
        <v/>
      </c>
      <c r="E4952" s="66" t="str">
        <f>IF(Twentieth!E205="", "",Twentieth!E205)</f>
        <v/>
      </c>
      <c r="F4952" s="66" t="str">
        <f>IF(Twentieth!F205="", "",Twentieth!F205)</f>
        <v/>
      </c>
      <c r="G4952" s="66" t="str">
        <f>IF(Twentieth!G205="", "",Twentieth!G205)</f>
        <v/>
      </c>
      <c r="H4952" s="66" t="str">
        <f>IF(Twentieth!H205="", "",Twentieth!H205)</f>
        <v/>
      </c>
      <c r="I4952" s="66" t="str">
        <f>IF(Twentieth!I205="", "",Twentieth!I205)</f>
        <v/>
      </c>
      <c r="J4952" s="66" t="str">
        <f>IF(Twentieth!J205="", "",Twentieth!J205)</f>
        <v/>
      </c>
      <c r="K4952" s="86" t="str">
        <f>IF(Twentieth!K205="", "",Twentieth!K205)</f>
        <v/>
      </c>
      <c r="M4952" s="67" t="str">
        <f t="shared" si="233"/>
        <v/>
      </c>
      <c r="N4952" s="76" t="str">
        <f t="shared" si="234"/>
        <v/>
      </c>
      <c r="O4952" s="33">
        <f t="shared" si="235"/>
        <v>0</v>
      </c>
    </row>
    <row r="4953" spans="1:15" x14ac:dyDescent="0.25">
      <c r="A4953" s="64" t="s">
        <v>209</v>
      </c>
      <c r="B4953" s="79" t="str">
        <f>IF(Twentieth!B206="", "",Twentieth!B206)</f>
        <v/>
      </c>
      <c r="C4953" s="66" t="str">
        <f>IF(Twentieth!C206="", "",Twentieth!C206)</f>
        <v/>
      </c>
      <c r="D4953" s="66" t="str">
        <f>IF(Twentieth!D206="", "",Twentieth!D206)</f>
        <v/>
      </c>
      <c r="E4953" s="66" t="str">
        <f>IF(Twentieth!E206="", "",Twentieth!E206)</f>
        <v/>
      </c>
      <c r="F4953" s="66" t="str">
        <f>IF(Twentieth!F206="", "",Twentieth!F206)</f>
        <v/>
      </c>
      <c r="G4953" s="66" t="str">
        <f>IF(Twentieth!G206="", "",Twentieth!G206)</f>
        <v/>
      </c>
      <c r="H4953" s="66" t="str">
        <f>IF(Twentieth!H206="", "",Twentieth!H206)</f>
        <v/>
      </c>
      <c r="I4953" s="66" t="str">
        <f>IF(Twentieth!I206="", "",Twentieth!I206)</f>
        <v/>
      </c>
      <c r="J4953" s="66" t="str">
        <f>IF(Twentieth!J206="", "",Twentieth!J206)</f>
        <v/>
      </c>
      <c r="K4953" s="86" t="str">
        <f>IF(Twentieth!K206="", "",Twentieth!K206)</f>
        <v/>
      </c>
      <c r="M4953" s="67" t="str">
        <f t="shared" si="233"/>
        <v/>
      </c>
      <c r="N4953" s="76" t="str">
        <f t="shared" si="234"/>
        <v/>
      </c>
      <c r="O4953" s="33">
        <f t="shared" si="235"/>
        <v>0</v>
      </c>
    </row>
    <row r="4954" spans="1:15" x14ac:dyDescent="0.25">
      <c r="A4954" s="64" t="s">
        <v>209</v>
      </c>
      <c r="B4954" s="79" t="str">
        <f>IF(Twentieth!B207="", "",Twentieth!B207)</f>
        <v/>
      </c>
      <c r="C4954" s="66" t="str">
        <f>IF(Twentieth!C207="", "",Twentieth!C207)</f>
        <v/>
      </c>
      <c r="D4954" s="66" t="str">
        <f>IF(Twentieth!D207="", "",Twentieth!D207)</f>
        <v/>
      </c>
      <c r="E4954" s="66" t="str">
        <f>IF(Twentieth!E207="", "",Twentieth!E207)</f>
        <v/>
      </c>
      <c r="F4954" s="66" t="str">
        <f>IF(Twentieth!F207="", "",Twentieth!F207)</f>
        <v/>
      </c>
      <c r="G4954" s="66" t="str">
        <f>IF(Twentieth!G207="", "",Twentieth!G207)</f>
        <v/>
      </c>
      <c r="H4954" s="66" t="str">
        <f>IF(Twentieth!H207="", "",Twentieth!H207)</f>
        <v/>
      </c>
      <c r="I4954" s="66" t="str">
        <f>IF(Twentieth!I207="", "",Twentieth!I207)</f>
        <v/>
      </c>
      <c r="J4954" s="66" t="str">
        <f>IF(Twentieth!J207="", "",Twentieth!J207)</f>
        <v/>
      </c>
      <c r="K4954" s="86" t="str">
        <f>IF(Twentieth!K207="", "",Twentieth!K207)</f>
        <v/>
      </c>
      <c r="M4954" s="67" t="str">
        <f t="shared" si="233"/>
        <v/>
      </c>
      <c r="N4954" s="76" t="str">
        <f t="shared" si="234"/>
        <v/>
      </c>
      <c r="O4954" s="33">
        <f t="shared" si="235"/>
        <v>0</v>
      </c>
    </row>
    <row r="4955" spans="1:15" x14ac:dyDescent="0.25">
      <c r="A4955" s="64" t="s">
        <v>209</v>
      </c>
      <c r="B4955" s="79" t="str">
        <f>IF(Twentieth!B208="", "",Twentieth!B208)</f>
        <v/>
      </c>
      <c r="C4955" s="66" t="str">
        <f>IF(Twentieth!C208="", "",Twentieth!C208)</f>
        <v/>
      </c>
      <c r="D4955" s="66" t="str">
        <f>IF(Twentieth!D208="", "",Twentieth!D208)</f>
        <v/>
      </c>
      <c r="E4955" s="66" t="str">
        <f>IF(Twentieth!E208="", "",Twentieth!E208)</f>
        <v/>
      </c>
      <c r="F4955" s="66" t="str">
        <f>IF(Twentieth!F208="", "",Twentieth!F208)</f>
        <v/>
      </c>
      <c r="G4955" s="66" t="str">
        <f>IF(Twentieth!G208="", "",Twentieth!G208)</f>
        <v/>
      </c>
      <c r="H4955" s="66" t="str">
        <f>IF(Twentieth!H208="", "",Twentieth!H208)</f>
        <v/>
      </c>
      <c r="I4955" s="66" t="str">
        <f>IF(Twentieth!I208="", "",Twentieth!I208)</f>
        <v/>
      </c>
      <c r="J4955" s="66" t="str">
        <f>IF(Twentieth!J208="", "",Twentieth!J208)</f>
        <v/>
      </c>
      <c r="K4955" s="86" t="str">
        <f>IF(Twentieth!K208="", "",Twentieth!K208)</f>
        <v/>
      </c>
      <c r="M4955" s="67" t="str">
        <f t="shared" si="233"/>
        <v/>
      </c>
      <c r="N4955" s="76" t="str">
        <f t="shared" si="234"/>
        <v/>
      </c>
      <c r="O4955" s="33">
        <f t="shared" si="235"/>
        <v>0</v>
      </c>
    </row>
    <row r="4956" spans="1:15" x14ac:dyDescent="0.25">
      <c r="A4956" s="64" t="s">
        <v>209</v>
      </c>
      <c r="B4956" s="79" t="str">
        <f>IF(Twentieth!B209="", "",Twentieth!B209)</f>
        <v/>
      </c>
      <c r="C4956" s="66" t="str">
        <f>IF(Twentieth!C209="", "",Twentieth!C209)</f>
        <v/>
      </c>
      <c r="D4956" s="66" t="str">
        <f>IF(Twentieth!D209="", "",Twentieth!D209)</f>
        <v/>
      </c>
      <c r="E4956" s="66" t="str">
        <f>IF(Twentieth!E209="", "",Twentieth!E209)</f>
        <v/>
      </c>
      <c r="F4956" s="66" t="str">
        <f>IF(Twentieth!F209="", "",Twentieth!F209)</f>
        <v/>
      </c>
      <c r="G4956" s="66" t="str">
        <f>IF(Twentieth!G209="", "",Twentieth!G209)</f>
        <v/>
      </c>
      <c r="H4956" s="66" t="str">
        <f>IF(Twentieth!H209="", "",Twentieth!H209)</f>
        <v/>
      </c>
      <c r="I4956" s="66" t="str">
        <f>IF(Twentieth!I209="", "",Twentieth!I209)</f>
        <v/>
      </c>
      <c r="J4956" s="66" t="str">
        <f>IF(Twentieth!J209="", "",Twentieth!J209)</f>
        <v/>
      </c>
      <c r="K4956" s="86" t="str">
        <f>IF(Twentieth!K209="", "",Twentieth!K209)</f>
        <v/>
      </c>
      <c r="M4956" s="67" t="str">
        <f t="shared" si="233"/>
        <v/>
      </c>
      <c r="N4956" s="76" t="str">
        <f t="shared" si="234"/>
        <v/>
      </c>
      <c r="O4956" s="33">
        <f t="shared" si="235"/>
        <v>0</v>
      </c>
    </row>
    <row r="4957" spans="1:15" x14ac:dyDescent="0.25">
      <c r="A4957" s="64" t="s">
        <v>209</v>
      </c>
      <c r="B4957" s="79" t="str">
        <f>IF(Twentieth!B210="", "",Twentieth!B210)</f>
        <v/>
      </c>
      <c r="C4957" s="66" t="str">
        <f>IF(Twentieth!C210="", "",Twentieth!C210)</f>
        <v/>
      </c>
      <c r="D4957" s="66" t="str">
        <f>IF(Twentieth!D210="", "",Twentieth!D210)</f>
        <v/>
      </c>
      <c r="E4957" s="66" t="str">
        <f>IF(Twentieth!E210="", "",Twentieth!E210)</f>
        <v/>
      </c>
      <c r="F4957" s="66" t="str">
        <f>IF(Twentieth!F210="", "",Twentieth!F210)</f>
        <v/>
      </c>
      <c r="G4957" s="66" t="str">
        <f>IF(Twentieth!G210="", "",Twentieth!G210)</f>
        <v/>
      </c>
      <c r="H4957" s="66" t="str">
        <f>IF(Twentieth!H210="", "",Twentieth!H210)</f>
        <v/>
      </c>
      <c r="I4957" s="66" t="str">
        <f>IF(Twentieth!I210="", "",Twentieth!I210)</f>
        <v/>
      </c>
      <c r="J4957" s="66" t="str">
        <f>IF(Twentieth!J210="", "",Twentieth!J210)</f>
        <v/>
      </c>
      <c r="K4957" s="86" t="str">
        <f>IF(Twentieth!K210="", "",Twentieth!K210)</f>
        <v/>
      </c>
      <c r="M4957" s="67" t="str">
        <f t="shared" si="233"/>
        <v/>
      </c>
      <c r="N4957" s="76" t="str">
        <f t="shared" si="234"/>
        <v/>
      </c>
      <c r="O4957" s="33">
        <f t="shared" si="235"/>
        <v>0</v>
      </c>
    </row>
    <row r="4958" spans="1:15" x14ac:dyDescent="0.25">
      <c r="A4958" s="64" t="s">
        <v>209</v>
      </c>
      <c r="B4958" s="79" t="str">
        <f>IF(Twentieth!B211="", "",Twentieth!B211)</f>
        <v/>
      </c>
      <c r="C4958" s="66" t="str">
        <f>IF(Twentieth!C211="", "",Twentieth!C211)</f>
        <v/>
      </c>
      <c r="D4958" s="66" t="str">
        <f>IF(Twentieth!D211="", "",Twentieth!D211)</f>
        <v/>
      </c>
      <c r="E4958" s="66" t="str">
        <f>IF(Twentieth!E211="", "",Twentieth!E211)</f>
        <v/>
      </c>
      <c r="F4958" s="66" t="str">
        <f>IF(Twentieth!F211="", "",Twentieth!F211)</f>
        <v/>
      </c>
      <c r="G4958" s="66" t="str">
        <f>IF(Twentieth!G211="", "",Twentieth!G211)</f>
        <v/>
      </c>
      <c r="H4958" s="66" t="str">
        <f>IF(Twentieth!H211="", "",Twentieth!H211)</f>
        <v/>
      </c>
      <c r="I4958" s="66" t="str">
        <f>IF(Twentieth!I211="", "",Twentieth!I211)</f>
        <v/>
      </c>
      <c r="J4958" s="66" t="str">
        <f>IF(Twentieth!J211="", "",Twentieth!J211)</f>
        <v/>
      </c>
      <c r="K4958" s="86" t="str">
        <f>IF(Twentieth!K211="", "",Twentieth!K211)</f>
        <v/>
      </c>
      <c r="M4958" s="67" t="str">
        <f t="shared" si="233"/>
        <v/>
      </c>
      <c r="N4958" s="76" t="str">
        <f t="shared" si="234"/>
        <v/>
      </c>
      <c r="O4958" s="33">
        <f t="shared" si="235"/>
        <v>0</v>
      </c>
    </row>
    <row r="4959" spans="1:15" x14ac:dyDescent="0.25">
      <c r="A4959" s="64" t="s">
        <v>209</v>
      </c>
      <c r="B4959" s="79" t="str">
        <f>IF(Twentieth!B212="", "",Twentieth!B212)</f>
        <v/>
      </c>
      <c r="C4959" s="66" t="str">
        <f>IF(Twentieth!C212="", "",Twentieth!C212)</f>
        <v/>
      </c>
      <c r="D4959" s="66" t="str">
        <f>IF(Twentieth!D212="", "",Twentieth!D212)</f>
        <v/>
      </c>
      <c r="E4959" s="66" t="str">
        <f>IF(Twentieth!E212="", "",Twentieth!E212)</f>
        <v/>
      </c>
      <c r="F4959" s="66" t="str">
        <f>IF(Twentieth!F212="", "",Twentieth!F212)</f>
        <v/>
      </c>
      <c r="G4959" s="66" t="str">
        <f>IF(Twentieth!G212="", "",Twentieth!G212)</f>
        <v/>
      </c>
      <c r="H4959" s="66" t="str">
        <f>IF(Twentieth!H212="", "",Twentieth!H212)</f>
        <v/>
      </c>
      <c r="I4959" s="66" t="str">
        <f>IF(Twentieth!I212="", "",Twentieth!I212)</f>
        <v/>
      </c>
      <c r="J4959" s="66" t="str">
        <f>IF(Twentieth!J212="", "",Twentieth!J212)</f>
        <v/>
      </c>
      <c r="K4959" s="86" t="str">
        <f>IF(Twentieth!K212="", "",Twentieth!K212)</f>
        <v/>
      </c>
      <c r="M4959" s="67" t="str">
        <f t="shared" si="233"/>
        <v/>
      </c>
      <c r="N4959" s="76" t="str">
        <f t="shared" si="234"/>
        <v/>
      </c>
      <c r="O4959" s="33">
        <f t="shared" si="235"/>
        <v>0</v>
      </c>
    </row>
    <row r="4960" spans="1:15" x14ac:dyDescent="0.25">
      <c r="A4960" s="64" t="s">
        <v>209</v>
      </c>
      <c r="B4960" s="79" t="str">
        <f>IF(Twentieth!B213="", "",Twentieth!B213)</f>
        <v/>
      </c>
      <c r="C4960" s="66" t="str">
        <f>IF(Twentieth!C213="", "",Twentieth!C213)</f>
        <v/>
      </c>
      <c r="D4960" s="66" t="str">
        <f>IF(Twentieth!D213="", "",Twentieth!D213)</f>
        <v/>
      </c>
      <c r="E4960" s="66" t="str">
        <f>IF(Twentieth!E213="", "",Twentieth!E213)</f>
        <v/>
      </c>
      <c r="F4960" s="66" t="str">
        <f>IF(Twentieth!F213="", "",Twentieth!F213)</f>
        <v/>
      </c>
      <c r="G4960" s="66" t="str">
        <f>IF(Twentieth!G213="", "",Twentieth!G213)</f>
        <v/>
      </c>
      <c r="H4960" s="66" t="str">
        <f>IF(Twentieth!H213="", "",Twentieth!H213)</f>
        <v/>
      </c>
      <c r="I4960" s="66" t="str">
        <f>IF(Twentieth!I213="", "",Twentieth!I213)</f>
        <v/>
      </c>
      <c r="J4960" s="66" t="str">
        <f>IF(Twentieth!J213="", "",Twentieth!J213)</f>
        <v/>
      </c>
      <c r="K4960" s="86" t="str">
        <f>IF(Twentieth!K213="", "",Twentieth!K213)</f>
        <v/>
      </c>
      <c r="M4960" s="67" t="str">
        <f t="shared" si="233"/>
        <v/>
      </c>
      <c r="N4960" s="76" t="str">
        <f t="shared" si="234"/>
        <v/>
      </c>
      <c r="O4960" s="33">
        <f t="shared" si="235"/>
        <v>0</v>
      </c>
    </row>
    <row r="4961" spans="1:15" x14ac:dyDescent="0.25">
      <c r="A4961" s="64" t="s">
        <v>209</v>
      </c>
      <c r="B4961" s="79" t="str">
        <f>IF(Twentieth!B214="", "",Twentieth!B214)</f>
        <v/>
      </c>
      <c r="C4961" s="66" t="str">
        <f>IF(Twentieth!C214="", "",Twentieth!C214)</f>
        <v/>
      </c>
      <c r="D4961" s="66" t="str">
        <f>IF(Twentieth!D214="", "",Twentieth!D214)</f>
        <v/>
      </c>
      <c r="E4961" s="66" t="str">
        <f>IF(Twentieth!E214="", "",Twentieth!E214)</f>
        <v/>
      </c>
      <c r="F4961" s="66" t="str">
        <f>IF(Twentieth!F214="", "",Twentieth!F214)</f>
        <v/>
      </c>
      <c r="G4961" s="66" t="str">
        <f>IF(Twentieth!G214="", "",Twentieth!G214)</f>
        <v/>
      </c>
      <c r="H4961" s="66" t="str">
        <f>IF(Twentieth!H214="", "",Twentieth!H214)</f>
        <v/>
      </c>
      <c r="I4961" s="66" t="str">
        <f>IF(Twentieth!I214="", "",Twentieth!I214)</f>
        <v/>
      </c>
      <c r="J4961" s="66" t="str">
        <f>IF(Twentieth!J214="", "",Twentieth!J214)</f>
        <v/>
      </c>
      <c r="K4961" s="86" t="str">
        <f>IF(Twentieth!K214="", "",Twentieth!K214)</f>
        <v/>
      </c>
      <c r="M4961" s="67" t="str">
        <f t="shared" si="233"/>
        <v/>
      </c>
      <c r="N4961" s="76" t="str">
        <f t="shared" si="234"/>
        <v/>
      </c>
      <c r="O4961" s="33">
        <f t="shared" si="235"/>
        <v>0</v>
      </c>
    </row>
    <row r="4962" spans="1:15" x14ac:dyDescent="0.25">
      <c r="A4962" s="64" t="s">
        <v>209</v>
      </c>
      <c r="B4962" s="79" t="str">
        <f>IF(Twentieth!B215="", "",Twentieth!B215)</f>
        <v/>
      </c>
      <c r="C4962" s="66" t="str">
        <f>IF(Twentieth!C215="", "",Twentieth!C215)</f>
        <v/>
      </c>
      <c r="D4962" s="66" t="str">
        <f>IF(Twentieth!D215="", "",Twentieth!D215)</f>
        <v/>
      </c>
      <c r="E4962" s="66" t="str">
        <f>IF(Twentieth!E215="", "",Twentieth!E215)</f>
        <v/>
      </c>
      <c r="F4962" s="66" t="str">
        <f>IF(Twentieth!F215="", "",Twentieth!F215)</f>
        <v/>
      </c>
      <c r="G4962" s="66" t="str">
        <f>IF(Twentieth!G215="", "",Twentieth!G215)</f>
        <v/>
      </c>
      <c r="H4962" s="66" t="str">
        <f>IF(Twentieth!H215="", "",Twentieth!H215)</f>
        <v/>
      </c>
      <c r="I4962" s="66" t="str">
        <f>IF(Twentieth!I215="", "",Twentieth!I215)</f>
        <v/>
      </c>
      <c r="J4962" s="66" t="str">
        <f>IF(Twentieth!J215="", "",Twentieth!J215)</f>
        <v/>
      </c>
      <c r="K4962" s="86" t="str">
        <f>IF(Twentieth!K215="", "",Twentieth!K215)</f>
        <v/>
      </c>
      <c r="M4962" s="67" t="str">
        <f t="shared" si="233"/>
        <v/>
      </c>
      <c r="N4962" s="76" t="str">
        <f t="shared" si="234"/>
        <v/>
      </c>
      <c r="O4962" s="33">
        <f t="shared" si="235"/>
        <v>0</v>
      </c>
    </row>
    <row r="4963" spans="1:15" x14ac:dyDescent="0.25">
      <c r="A4963" s="64" t="s">
        <v>209</v>
      </c>
      <c r="B4963" s="79" t="str">
        <f>IF(Twentieth!B216="", "",Twentieth!B216)</f>
        <v/>
      </c>
      <c r="C4963" s="66" t="str">
        <f>IF(Twentieth!C216="", "",Twentieth!C216)</f>
        <v/>
      </c>
      <c r="D4963" s="66" t="str">
        <f>IF(Twentieth!D216="", "",Twentieth!D216)</f>
        <v/>
      </c>
      <c r="E4963" s="66" t="str">
        <f>IF(Twentieth!E216="", "",Twentieth!E216)</f>
        <v/>
      </c>
      <c r="F4963" s="66" t="str">
        <f>IF(Twentieth!F216="", "",Twentieth!F216)</f>
        <v/>
      </c>
      <c r="G4963" s="66" t="str">
        <f>IF(Twentieth!G216="", "",Twentieth!G216)</f>
        <v/>
      </c>
      <c r="H4963" s="66" t="str">
        <f>IF(Twentieth!H216="", "",Twentieth!H216)</f>
        <v/>
      </c>
      <c r="I4963" s="66" t="str">
        <f>IF(Twentieth!I216="", "",Twentieth!I216)</f>
        <v/>
      </c>
      <c r="J4963" s="66" t="str">
        <f>IF(Twentieth!J216="", "",Twentieth!J216)</f>
        <v/>
      </c>
      <c r="K4963" s="86" t="str">
        <f>IF(Twentieth!K216="", "",Twentieth!K216)</f>
        <v/>
      </c>
      <c r="M4963" s="67" t="str">
        <f t="shared" si="233"/>
        <v/>
      </c>
      <c r="N4963" s="76" t="str">
        <f t="shared" si="234"/>
        <v/>
      </c>
      <c r="O4963" s="33">
        <f t="shared" si="235"/>
        <v>0</v>
      </c>
    </row>
    <row r="4964" spans="1:15" x14ac:dyDescent="0.25">
      <c r="A4964" s="64" t="s">
        <v>209</v>
      </c>
      <c r="B4964" s="79" t="str">
        <f>IF(Twentieth!B217="", "",Twentieth!B217)</f>
        <v/>
      </c>
      <c r="C4964" s="66" t="str">
        <f>IF(Twentieth!C217="", "",Twentieth!C217)</f>
        <v/>
      </c>
      <c r="D4964" s="66" t="str">
        <f>IF(Twentieth!D217="", "",Twentieth!D217)</f>
        <v/>
      </c>
      <c r="E4964" s="66" t="str">
        <f>IF(Twentieth!E217="", "",Twentieth!E217)</f>
        <v/>
      </c>
      <c r="F4964" s="66" t="str">
        <f>IF(Twentieth!F217="", "",Twentieth!F217)</f>
        <v/>
      </c>
      <c r="G4964" s="66" t="str">
        <f>IF(Twentieth!G217="", "",Twentieth!G217)</f>
        <v/>
      </c>
      <c r="H4964" s="66" t="str">
        <f>IF(Twentieth!H217="", "",Twentieth!H217)</f>
        <v/>
      </c>
      <c r="I4964" s="66" t="str">
        <f>IF(Twentieth!I217="", "",Twentieth!I217)</f>
        <v/>
      </c>
      <c r="J4964" s="66" t="str">
        <f>IF(Twentieth!J217="", "",Twentieth!J217)</f>
        <v/>
      </c>
      <c r="K4964" s="86" t="str">
        <f>IF(Twentieth!K217="", "",Twentieth!K217)</f>
        <v/>
      </c>
      <c r="M4964" s="67" t="str">
        <f t="shared" si="233"/>
        <v/>
      </c>
      <c r="N4964" s="76" t="str">
        <f t="shared" si="234"/>
        <v/>
      </c>
      <c r="O4964" s="33">
        <f t="shared" si="235"/>
        <v>0</v>
      </c>
    </row>
    <row r="4965" spans="1:15" x14ac:dyDescent="0.25">
      <c r="A4965" s="64" t="s">
        <v>209</v>
      </c>
      <c r="B4965" s="79" t="str">
        <f>IF(Twentieth!B218="", "",Twentieth!B218)</f>
        <v/>
      </c>
      <c r="C4965" s="66" t="str">
        <f>IF(Twentieth!C218="", "",Twentieth!C218)</f>
        <v/>
      </c>
      <c r="D4965" s="66" t="str">
        <f>IF(Twentieth!D218="", "",Twentieth!D218)</f>
        <v/>
      </c>
      <c r="E4965" s="66" t="str">
        <f>IF(Twentieth!E218="", "",Twentieth!E218)</f>
        <v/>
      </c>
      <c r="F4965" s="66" t="str">
        <f>IF(Twentieth!F218="", "",Twentieth!F218)</f>
        <v/>
      </c>
      <c r="G4965" s="66" t="str">
        <f>IF(Twentieth!G218="", "",Twentieth!G218)</f>
        <v/>
      </c>
      <c r="H4965" s="66" t="str">
        <f>IF(Twentieth!H218="", "",Twentieth!H218)</f>
        <v/>
      </c>
      <c r="I4965" s="66" t="str">
        <f>IF(Twentieth!I218="", "",Twentieth!I218)</f>
        <v/>
      </c>
      <c r="J4965" s="66" t="str">
        <f>IF(Twentieth!J218="", "",Twentieth!J218)</f>
        <v/>
      </c>
      <c r="K4965" s="86" t="str">
        <f>IF(Twentieth!K218="", "",Twentieth!K218)</f>
        <v/>
      </c>
      <c r="M4965" s="67" t="str">
        <f t="shared" si="233"/>
        <v/>
      </c>
      <c r="N4965" s="76" t="str">
        <f t="shared" si="234"/>
        <v/>
      </c>
      <c r="O4965" s="33">
        <f t="shared" si="235"/>
        <v>0</v>
      </c>
    </row>
    <row r="4966" spans="1:15" x14ac:dyDescent="0.25">
      <c r="A4966" s="64" t="s">
        <v>209</v>
      </c>
      <c r="B4966" s="79" t="str">
        <f>IF(Twentieth!B219="", "",Twentieth!B219)</f>
        <v/>
      </c>
      <c r="C4966" s="66" t="str">
        <f>IF(Twentieth!C219="", "",Twentieth!C219)</f>
        <v/>
      </c>
      <c r="D4966" s="66" t="str">
        <f>IF(Twentieth!D219="", "",Twentieth!D219)</f>
        <v/>
      </c>
      <c r="E4966" s="66" t="str">
        <f>IF(Twentieth!E219="", "",Twentieth!E219)</f>
        <v/>
      </c>
      <c r="F4966" s="66" t="str">
        <f>IF(Twentieth!F219="", "",Twentieth!F219)</f>
        <v/>
      </c>
      <c r="G4966" s="66" t="str">
        <f>IF(Twentieth!G219="", "",Twentieth!G219)</f>
        <v/>
      </c>
      <c r="H4966" s="66" t="str">
        <f>IF(Twentieth!H219="", "",Twentieth!H219)</f>
        <v/>
      </c>
      <c r="I4966" s="66" t="str">
        <f>IF(Twentieth!I219="", "",Twentieth!I219)</f>
        <v/>
      </c>
      <c r="J4966" s="66" t="str">
        <f>IF(Twentieth!J219="", "",Twentieth!J219)</f>
        <v/>
      </c>
      <c r="K4966" s="86" t="str">
        <f>IF(Twentieth!K219="", "",Twentieth!K219)</f>
        <v/>
      </c>
      <c r="M4966" s="67" t="str">
        <f t="shared" si="233"/>
        <v/>
      </c>
      <c r="N4966" s="76" t="str">
        <f t="shared" si="234"/>
        <v/>
      </c>
      <c r="O4966" s="33">
        <f t="shared" si="235"/>
        <v>0</v>
      </c>
    </row>
    <row r="4967" spans="1:15" x14ac:dyDescent="0.25">
      <c r="A4967" s="64" t="s">
        <v>209</v>
      </c>
      <c r="B4967" s="79" t="str">
        <f>IF(Twentieth!B220="", "",Twentieth!B220)</f>
        <v/>
      </c>
      <c r="C4967" s="66" t="str">
        <f>IF(Twentieth!C220="", "",Twentieth!C220)</f>
        <v/>
      </c>
      <c r="D4967" s="66" t="str">
        <f>IF(Twentieth!D220="", "",Twentieth!D220)</f>
        <v/>
      </c>
      <c r="E4967" s="66" t="str">
        <f>IF(Twentieth!E220="", "",Twentieth!E220)</f>
        <v/>
      </c>
      <c r="F4967" s="66" t="str">
        <f>IF(Twentieth!F220="", "",Twentieth!F220)</f>
        <v/>
      </c>
      <c r="G4967" s="66" t="str">
        <f>IF(Twentieth!G220="", "",Twentieth!G220)</f>
        <v/>
      </c>
      <c r="H4967" s="66" t="str">
        <f>IF(Twentieth!H220="", "",Twentieth!H220)</f>
        <v/>
      </c>
      <c r="I4967" s="66" t="str">
        <f>IF(Twentieth!I220="", "",Twentieth!I220)</f>
        <v/>
      </c>
      <c r="J4967" s="66" t="str">
        <f>IF(Twentieth!J220="", "",Twentieth!J220)</f>
        <v/>
      </c>
      <c r="K4967" s="86" t="str">
        <f>IF(Twentieth!K220="", "",Twentieth!K220)</f>
        <v/>
      </c>
      <c r="M4967" s="67" t="str">
        <f t="shared" si="233"/>
        <v/>
      </c>
      <c r="N4967" s="76" t="str">
        <f t="shared" si="234"/>
        <v/>
      </c>
      <c r="O4967" s="33">
        <f t="shared" si="235"/>
        <v>0</v>
      </c>
    </row>
    <row r="4968" spans="1:15" x14ac:dyDescent="0.25">
      <c r="A4968" s="64" t="s">
        <v>209</v>
      </c>
      <c r="B4968" s="79" t="str">
        <f>IF(Twentieth!B221="", "",Twentieth!B221)</f>
        <v/>
      </c>
      <c r="C4968" s="66" t="str">
        <f>IF(Twentieth!C221="", "",Twentieth!C221)</f>
        <v/>
      </c>
      <c r="D4968" s="66" t="str">
        <f>IF(Twentieth!D221="", "",Twentieth!D221)</f>
        <v/>
      </c>
      <c r="E4968" s="66" t="str">
        <f>IF(Twentieth!E221="", "",Twentieth!E221)</f>
        <v/>
      </c>
      <c r="F4968" s="66" t="str">
        <f>IF(Twentieth!F221="", "",Twentieth!F221)</f>
        <v/>
      </c>
      <c r="G4968" s="66" t="str">
        <f>IF(Twentieth!G221="", "",Twentieth!G221)</f>
        <v/>
      </c>
      <c r="H4968" s="66" t="str">
        <f>IF(Twentieth!H221="", "",Twentieth!H221)</f>
        <v/>
      </c>
      <c r="I4968" s="66" t="str">
        <f>IF(Twentieth!I221="", "",Twentieth!I221)</f>
        <v/>
      </c>
      <c r="J4968" s="66" t="str">
        <f>IF(Twentieth!J221="", "",Twentieth!J221)</f>
        <v/>
      </c>
      <c r="K4968" s="86" t="str">
        <f>IF(Twentieth!K221="", "",Twentieth!K221)</f>
        <v/>
      </c>
      <c r="M4968" s="67" t="str">
        <f t="shared" si="233"/>
        <v/>
      </c>
      <c r="N4968" s="76" t="str">
        <f t="shared" si="234"/>
        <v/>
      </c>
      <c r="O4968" s="33">
        <f t="shared" si="235"/>
        <v>0</v>
      </c>
    </row>
    <row r="4969" spans="1:15" x14ac:dyDescent="0.25">
      <c r="A4969" s="64" t="s">
        <v>209</v>
      </c>
      <c r="B4969" s="79" t="str">
        <f>IF(Twentieth!B222="", "",Twentieth!B222)</f>
        <v/>
      </c>
      <c r="C4969" s="66" t="str">
        <f>IF(Twentieth!C222="", "",Twentieth!C222)</f>
        <v/>
      </c>
      <c r="D4969" s="66" t="str">
        <f>IF(Twentieth!D222="", "",Twentieth!D222)</f>
        <v/>
      </c>
      <c r="E4969" s="66" t="str">
        <f>IF(Twentieth!E222="", "",Twentieth!E222)</f>
        <v/>
      </c>
      <c r="F4969" s="66" t="str">
        <f>IF(Twentieth!F222="", "",Twentieth!F222)</f>
        <v/>
      </c>
      <c r="G4969" s="66" t="str">
        <f>IF(Twentieth!G222="", "",Twentieth!G222)</f>
        <v/>
      </c>
      <c r="H4969" s="66" t="str">
        <f>IF(Twentieth!H222="", "",Twentieth!H222)</f>
        <v/>
      </c>
      <c r="I4969" s="66" t="str">
        <f>IF(Twentieth!I222="", "",Twentieth!I222)</f>
        <v/>
      </c>
      <c r="J4969" s="66" t="str">
        <f>IF(Twentieth!J222="", "",Twentieth!J222)</f>
        <v/>
      </c>
      <c r="K4969" s="86" t="str">
        <f>IF(Twentieth!K222="", "",Twentieth!K222)</f>
        <v/>
      </c>
      <c r="M4969" s="67" t="str">
        <f t="shared" si="233"/>
        <v/>
      </c>
      <c r="N4969" s="76" t="str">
        <f t="shared" si="234"/>
        <v/>
      </c>
      <c r="O4969" s="33">
        <f t="shared" si="235"/>
        <v>0</v>
      </c>
    </row>
    <row r="4970" spans="1:15" x14ac:dyDescent="0.25">
      <c r="A4970" s="64" t="s">
        <v>209</v>
      </c>
      <c r="B4970" s="79" t="str">
        <f>IF(Twentieth!B223="", "",Twentieth!B223)</f>
        <v/>
      </c>
      <c r="C4970" s="66" t="str">
        <f>IF(Twentieth!C223="", "",Twentieth!C223)</f>
        <v/>
      </c>
      <c r="D4970" s="66" t="str">
        <f>IF(Twentieth!D223="", "",Twentieth!D223)</f>
        <v/>
      </c>
      <c r="E4970" s="66" t="str">
        <f>IF(Twentieth!E223="", "",Twentieth!E223)</f>
        <v/>
      </c>
      <c r="F4970" s="66" t="str">
        <f>IF(Twentieth!F223="", "",Twentieth!F223)</f>
        <v/>
      </c>
      <c r="G4970" s="66" t="str">
        <f>IF(Twentieth!G223="", "",Twentieth!G223)</f>
        <v/>
      </c>
      <c r="H4970" s="66" t="str">
        <f>IF(Twentieth!H223="", "",Twentieth!H223)</f>
        <v/>
      </c>
      <c r="I4970" s="66" t="str">
        <f>IF(Twentieth!I223="", "",Twentieth!I223)</f>
        <v/>
      </c>
      <c r="J4970" s="66" t="str">
        <f>IF(Twentieth!J223="", "",Twentieth!J223)</f>
        <v/>
      </c>
      <c r="K4970" s="86" t="str">
        <f>IF(Twentieth!K223="", "",Twentieth!K223)</f>
        <v/>
      </c>
      <c r="M4970" s="67" t="str">
        <f t="shared" si="233"/>
        <v/>
      </c>
      <c r="N4970" s="76" t="str">
        <f t="shared" si="234"/>
        <v/>
      </c>
      <c r="O4970" s="33">
        <f t="shared" si="235"/>
        <v>0</v>
      </c>
    </row>
    <row r="4971" spans="1:15" x14ac:dyDescent="0.25">
      <c r="A4971" s="64" t="s">
        <v>209</v>
      </c>
      <c r="B4971" s="79" t="str">
        <f>IF(Twentieth!B224="", "",Twentieth!B224)</f>
        <v/>
      </c>
      <c r="C4971" s="66" t="str">
        <f>IF(Twentieth!C224="", "",Twentieth!C224)</f>
        <v/>
      </c>
      <c r="D4971" s="66" t="str">
        <f>IF(Twentieth!D224="", "",Twentieth!D224)</f>
        <v/>
      </c>
      <c r="E4971" s="66" t="str">
        <f>IF(Twentieth!E224="", "",Twentieth!E224)</f>
        <v/>
      </c>
      <c r="F4971" s="66" t="str">
        <f>IF(Twentieth!F224="", "",Twentieth!F224)</f>
        <v/>
      </c>
      <c r="G4971" s="66" t="str">
        <f>IF(Twentieth!G224="", "",Twentieth!G224)</f>
        <v/>
      </c>
      <c r="H4971" s="66" t="str">
        <f>IF(Twentieth!H224="", "",Twentieth!H224)</f>
        <v/>
      </c>
      <c r="I4971" s="66" t="str">
        <f>IF(Twentieth!I224="", "",Twentieth!I224)</f>
        <v/>
      </c>
      <c r="J4971" s="66" t="str">
        <f>IF(Twentieth!J224="", "",Twentieth!J224)</f>
        <v/>
      </c>
      <c r="K4971" s="86" t="str">
        <f>IF(Twentieth!K224="", "",Twentieth!K224)</f>
        <v/>
      </c>
      <c r="M4971" s="67" t="str">
        <f t="shared" si="233"/>
        <v/>
      </c>
      <c r="N4971" s="76" t="str">
        <f t="shared" si="234"/>
        <v/>
      </c>
      <c r="O4971" s="33">
        <f t="shared" si="235"/>
        <v>0</v>
      </c>
    </row>
    <row r="4972" spans="1:15" x14ac:dyDescent="0.25">
      <c r="A4972" s="64" t="s">
        <v>209</v>
      </c>
      <c r="B4972" s="79" t="str">
        <f>IF(Twentieth!B225="", "",Twentieth!B225)</f>
        <v/>
      </c>
      <c r="C4972" s="66" t="str">
        <f>IF(Twentieth!C225="", "",Twentieth!C225)</f>
        <v/>
      </c>
      <c r="D4972" s="66" t="str">
        <f>IF(Twentieth!D225="", "",Twentieth!D225)</f>
        <v/>
      </c>
      <c r="E4972" s="66" t="str">
        <f>IF(Twentieth!E225="", "",Twentieth!E225)</f>
        <v/>
      </c>
      <c r="F4972" s="66" t="str">
        <f>IF(Twentieth!F225="", "",Twentieth!F225)</f>
        <v/>
      </c>
      <c r="G4972" s="66" t="str">
        <f>IF(Twentieth!G225="", "",Twentieth!G225)</f>
        <v/>
      </c>
      <c r="H4972" s="66" t="str">
        <f>IF(Twentieth!H225="", "",Twentieth!H225)</f>
        <v/>
      </c>
      <c r="I4972" s="66" t="str">
        <f>IF(Twentieth!I225="", "",Twentieth!I225)</f>
        <v/>
      </c>
      <c r="J4972" s="66" t="str">
        <f>IF(Twentieth!J225="", "",Twentieth!J225)</f>
        <v/>
      </c>
      <c r="K4972" s="86" t="str">
        <f>IF(Twentieth!K225="", "",Twentieth!K225)</f>
        <v/>
      </c>
      <c r="M4972" s="67" t="str">
        <f t="shared" ref="M4972:M5001" si="236">IF(C4972="PwC",(7-COUNTIF(B4972:H4972,"")),"")</f>
        <v/>
      </c>
      <c r="N4972" s="76" t="str">
        <f t="shared" ref="N4972:N5001" si="237">IF(C4972="Carer",(7-COUNTIF(B4972:H4972,"")),"")</f>
        <v/>
      </c>
      <c r="O4972" s="33">
        <f t="shared" ref="O4972:O5001" si="238">SUM(M4972:N4972)</f>
        <v>0</v>
      </c>
    </row>
    <row r="4973" spans="1:15" x14ac:dyDescent="0.25">
      <c r="A4973" s="64" t="s">
        <v>209</v>
      </c>
      <c r="B4973" s="79" t="str">
        <f>IF(Twentieth!B226="", "",Twentieth!B226)</f>
        <v/>
      </c>
      <c r="C4973" s="66" t="str">
        <f>IF(Twentieth!C226="", "",Twentieth!C226)</f>
        <v/>
      </c>
      <c r="D4973" s="66" t="str">
        <f>IF(Twentieth!D226="", "",Twentieth!D226)</f>
        <v/>
      </c>
      <c r="E4973" s="66" t="str">
        <f>IF(Twentieth!E226="", "",Twentieth!E226)</f>
        <v/>
      </c>
      <c r="F4973" s="66" t="str">
        <f>IF(Twentieth!F226="", "",Twentieth!F226)</f>
        <v/>
      </c>
      <c r="G4973" s="66" t="str">
        <f>IF(Twentieth!G226="", "",Twentieth!G226)</f>
        <v/>
      </c>
      <c r="H4973" s="66" t="str">
        <f>IF(Twentieth!H226="", "",Twentieth!H226)</f>
        <v/>
      </c>
      <c r="I4973" s="66" t="str">
        <f>IF(Twentieth!I226="", "",Twentieth!I226)</f>
        <v/>
      </c>
      <c r="J4973" s="66" t="str">
        <f>IF(Twentieth!J226="", "",Twentieth!J226)</f>
        <v/>
      </c>
      <c r="K4973" s="86" t="str">
        <f>IF(Twentieth!K226="", "",Twentieth!K226)</f>
        <v/>
      </c>
      <c r="M4973" s="67" t="str">
        <f t="shared" si="236"/>
        <v/>
      </c>
      <c r="N4973" s="76" t="str">
        <f t="shared" si="237"/>
        <v/>
      </c>
      <c r="O4973" s="33">
        <f t="shared" si="238"/>
        <v>0</v>
      </c>
    </row>
    <row r="4974" spans="1:15" x14ac:dyDescent="0.25">
      <c r="A4974" s="64" t="s">
        <v>209</v>
      </c>
      <c r="B4974" s="79" t="str">
        <f>IF(Twentieth!B227="", "",Twentieth!B227)</f>
        <v/>
      </c>
      <c r="C4974" s="66" t="str">
        <f>IF(Twentieth!C227="", "",Twentieth!C227)</f>
        <v/>
      </c>
      <c r="D4974" s="66" t="str">
        <f>IF(Twentieth!D227="", "",Twentieth!D227)</f>
        <v/>
      </c>
      <c r="E4974" s="66" t="str">
        <f>IF(Twentieth!E227="", "",Twentieth!E227)</f>
        <v/>
      </c>
      <c r="F4974" s="66" t="str">
        <f>IF(Twentieth!F227="", "",Twentieth!F227)</f>
        <v/>
      </c>
      <c r="G4974" s="66" t="str">
        <f>IF(Twentieth!G227="", "",Twentieth!G227)</f>
        <v/>
      </c>
      <c r="H4974" s="66" t="str">
        <f>IF(Twentieth!H227="", "",Twentieth!H227)</f>
        <v/>
      </c>
      <c r="I4974" s="66" t="str">
        <f>IF(Twentieth!I227="", "",Twentieth!I227)</f>
        <v/>
      </c>
      <c r="J4974" s="66" t="str">
        <f>IF(Twentieth!J227="", "",Twentieth!J227)</f>
        <v/>
      </c>
      <c r="K4974" s="86" t="str">
        <f>IF(Twentieth!K227="", "",Twentieth!K227)</f>
        <v/>
      </c>
      <c r="M4974" s="67" t="str">
        <f t="shared" si="236"/>
        <v/>
      </c>
      <c r="N4974" s="76" t="str">
        <f t="shared" si="237"/>
        <v/>
      </c>
      <c r="O4974" s="33">
        <f t="shared" si="238"/>
        <v>0</v>
      </c>
    </row>
    <row r="4975" spans="1:15" x14ac:dyDescent="0.25">
      <c r="A4975" s="64" t="s">
        <v>209</v>
      </c>
      <c r="B4975" s="79" t="str">
        <f>IF(Twentieth!B228="", "",Twentieth!B228)</f>
        <v/>
      </c>
      <c r="C4975" s="66" t="str">
        <f>IF(Twentieth!C228="", "",Twentieth!C228)</f>
        <v/>
      </c>
      <c r="D4975" s="66" t="str">
        <f>IF(Twentieth!D228="", "",Twentieth!D228)</f>
        <v/>
      </c>
      <c r="E4975" s="66" t="str">
        <f>IF(Twentieth!E228="", "",Twentieth!E228)</f>
        <v/>
      </c>
      <c r="F4975" s="66" t="str">
        <f>IF(Twentieth!F228="", "",Twentieth!F228)</f>
        <v/>
      </c>
      <c r="G4975" s="66" t="str">
        <f>IF(Twentieth!G228="", "",Twentieth!G228)</f>
        <v/>
      </c>
      <c r="H4975" s="66" t="str">
        <f>IF(Twentieth!H228="", "",Twentieth!H228)</f>
        <v/>
      </c>
      <c r="I4975" s="66" t="str">
        <f>IF(Twentieth!I228="", "",Twentieth!I228)</f>
        <v/>
      </c>
      <c r="J4975" s="66" t="str">
        <f>IF(Twentieth!J228="", "",Twentieth!J228)</f>
        <v/>
      </c>
      <c r="K4975" s="86" t="str">
        <f>IF(Twentieth!K228="", "",Twentieth!K228)</f>
        <v/>
      </c>
      <c r="M4975" s="67" t="str">
        <f t="shared" si="236"/>
        <v/>
      </c>
      <c r="N4975" s="76" t="str">
        <f t="shared" si="237"/>
        <v/>
      </c>
      <c r="O4975" s="33">
        <f t="shared" si="238"/>
        <v>0</v>
      </c>
    </row>
    <row r="4976" spans="1:15" x14ac:dyDescent="0.25">
      <c r="A4976" s="64" t="s">
        <v>209</v>
      </c>
      <c r="B4976" s="79" t="str">
        <f>IF(Twentieth!B229="", "",Twentieth!B229)</f>
        <v/>
      </c>
      <c r="C4976" s="66" t="str">
        <f>IF(Twentieth!C229="", "",Twentieth!C229)</f>
        <v/>
      </c>
      <c r="D4976" s="66" t="str">
        <f>IF(Twentieth!D229="", "",Twentieth!D229)</f>
        <v/>
      </c>
      <c r="E4976" s="66" t="str">
        <f>IF(Twentieth!E229="", "",Twentieth!E229)</f>
        <v/>
      </c>
      <c r="F4976" s="66" t="str">
        <f>IF(Twentieth!F229="", "",Twentieth!F229)</f>
        <v/>
      </c>
      <c r="G4976" s="66" t="str">
        <f>IF(Twentieth!G229="", "",Twentieth!G229)</f>
        <v/>
      </c>
      <c r="H4976" s="66" t="str">
        <f>IF(Twentieth!H229="", "",Twentieth!H229)</f>
        <v/>
      </c>
      <c r="I4976" s="66" t="str">
        <f>IF(Twentieth!I229="", "",Twentieth!I229)</f>
        <v/>
      </c>
      <c r="J4976" s="66" t="str">
        <f>IF(Twentieth!J229="", "",Twentieth!J229)</f>
        <v/>
      </c>
      <c r="K4976" s="86" t="str">
        <f>IF(Twentieth!K229="", "",Twentieth!K229)</f>
        <v/>
      </c>
      <c r="M4976" s="67" t="str">
        <f t="shared" si="236"/>
        <v/>
      </c>
      <c r="N4976" s="76" t="str">
        <f t="shared" si="237"/>
        <v/>
      </c>
      <c r="O4976" s="33">
        <f t="shared" si="238"/>
        <v>0</v>
      </c>
    </row>
    <row r="4977" spans="1:15" x14ac:dyDescent="0.25">
      <c r="A4977" s="64" t="s">
        <v>209</v>
      </c>
      <c r="B4977" s="79" t="str">
        <f>IF(Twentieth!B230="", "",Twentieth!B230)</f>
        <v/>
      </c>
      <c r="C4977" s="66" t="str">
        <f>IF(Twentieth!C230="", "",Twentieth!C230)</f>
        <v/>
      </c>
      <c r="D4977" s="66" t="str">
        <f>IF(Twentieth!D230="", "",Twentieth!D230)</f>
        <v/>
      </c>
      <c r="E4977" s="66" t="str">
        <f>IF(Twentieth!E230="", "",Twentieth!E230)</f>
        <v/>
      </c>
      <c r="F4977" s="66" t="str">
        <f>IF(Twentieth!F230="", "",Twentieth!F230)</f>
        <v/>
      </c>
      <c r="G4977" s="66" t="str">
        <f>IF(Twentieth!G230="", "",Twentieth!G230)</f>
        <v/>
      </c>
      <c r="H4977" s="66" t="str">
        <f>IF(Twentieth!H230="", "",Twentieth!H230)</f>
        <v/>
      </c>
      <c r="I4977" s="66" t="str">
        <f>IF(Twentieth!I230="", "",Twentieth!I230)</f>
        <v/>
      </c>
      <c r="J4977" s="66" t="str">
        <f>IF(Twentieth!J230="", "",Twentieth!J230)</f>
        <v/>
      </c>
      <c r="K4977" s="86" t="str">
        <f>IF(Twentieth!K230="", "",Twentieth!K230)</f>
        <v/>
      </c>
      <c r="M4977" s="67" t="str">
        <f t="shared" si="236"/>
        <v/>
      </c>
      <c r="N4977" s="76" t="str">
        <f t="shared" si="237"/>
        <v/>
      </c>
      <c r="O4977" s="33">
        <f t="shared" si="238"/>
        <v>0</v>
      </c>
    </row>
    <row r="4978" spans="1:15" x14ac:dyDescent="0.25">
      <c r="A4978" s="64" t="s">
        <v>209</v>
      </c>
      <c r="B4978" s="79" t="str">
        <f>IF(Twentieth!B231="", "",Twentieth!B231)</f>
        <v/>
      </c>
      <c r="C4978" s="66" t="str">
        <f>IF(Twentieth!C231="", "",Twentieth!C231)</f>
        <v/>
      </c>
      <c r="D4978" s="66" t="str">
        <f>IF(Twentieth!D231="", "",Twentieth!D231)</f>
        <v/>
      </c>
      <c r="E4978" s="66" t="str">
        <f>IF(Twentieth!E231="", "",Twentieth!E231)</f>
        <v/>
      </c>
      <c r="F4978" s="66" t="str">
        <f>IF(Twentieth!F231="", "",Twentieth!F231)</f>
        <v/>
      </c>
      <c r="G4978" s="66" t="str">
        <f>IF(Twentieth!G231="", "",Twentieth!G231)</f>
        <v/>
      </c>
      <c r="H4978" s="66" t="str">
        <f>IF(Twentieth!H231="", "",Twentieth!H231)</f>
        <v/>
      </c>
      <c r="I4978" s="66" t="str">
        <f>IF(Twentieth!I231="", "",Twentieth!I231)</f>
        <v/>
      </c>
      <c r="J4978" s="66" t="str">
        <f>IF(Twentieth!J231="", "",Twentieth!J231)</f>
        <v/>
      </c>
      <c r="K4978" s="86" t="str">
        <f>IF(Twentieth!K231="", "",Twentieth!K231)</f>
        <v/>
      </c>
      <c r="M4978" s="67" t="str">
        <f t="shared" si="236"/>
        <v/>
      </c>
      <c r="N4978" s="76" t="str">
        <f t="shared" si="237"/>
        <v/>
      </c>
      <c r="O4978" s="33">
        <f t="shared" si="238"/>
        <v>0</v>
      </c>
    </row>
    <row r="4979" spans="1:15" x14ac:dyDescent="0.25">
      <c r="A4979" s="64" t="s">
        <v>209</v>
      </c>
      <c r="B4979" s="79" t="str">
        <f>IF(Twentieth!B232="", "",Twentieth!B232)</f>
        <v/>
      </c>
      <c r="C4979" s="66" t="str">
        <f>IF(Twentieth!C232="", "",Twentieth!C232)</f>
        <v/>
      </c>
      <c r="D4979" s="66" t="str">
        <f>IF(Twentieth!D232="", "",Twentieth!D232)</f>
        <v/>
      </c>
      <c r="E4979" s="66" t="str">
        <f>IF(Twentieth!E232="", "",Twentieth!E232)</f>
        <v/>
      </c>
      <c r="F4979" s="66" t="str">
        <f>IF(Twentieth!F232="", "",Twentieth!F232)</f>
        <v/>
      </c>
      <c r="G4979" s="66" t="str">
        <f>IF(Twentieth!G232="", "",Twentieth!G232)</f>
        <v/>
      </c>
      <c r="H4979" s="66" t="str">
        <f>IF(Twentieth!H232="", "",Twentieth!H232)</f>
        <v/>
      </c>
      <c r="I4979" s="66" t="str">
        <f>IF(Twentieth!I232="", "",Twentieth!I232)</f>
        <v/>
      </c>
      <c r="J4979" s="66" t="str">
        <f>IF(Twentieth!J232="", "",Twentieth!J232)</f>
        <v/>
      </c>
      <c r="K4979" s="86" t="str">
        <f>IF(Twentieth!K232="", "",Twentieth!K232)</f>
        <v/>
      </c>
      <c r="M4979" s="67" t="str">
        <f t="shared" si="236"/>
        <v/>
      </c>
      <c r="N4979" s="76" t="str">
        <f t="shared" si="237"/>
        <v/>
      </c>
      <c r="O4979" s="33">
        <f t="shared" si="238"/>
        <v>0</v>
      </c>
    </row>
    <row r="4980" spans="1:15" x14ac:dyDescent="0.25">
      <c r="A4980" s="64" t="s">
        <v>209</v>
      </c>
      <c r="B4980" s="79" t="str">
        <f>IF(Twentieth!B233="", "",Twentieth!B233)</f>
        <v/>
      </c>
      <c r="C4980" s="66" t="str">
        <f>IF(Twentieth!C233="", "",Twentieth!C233)</f>
        <v/>
      </c>
      <c r="D4980" s="66" t="str">
        <f>IF(Twentieth!D233="", "",Twentieth!D233)</f>
        <v/>
      </c>
      <c r="E4980" s="66" t="str">
        <f>IF(Twentieth!E233="", "",Twentieth!E233)</f>
        <v/>
      </c>
      <c r="F4980" s="66" t="str">
        <f>IF(Twentieth!F233="", "",Twentieth!F233)</f>
        <v/>
      </c>
      <c r="G4980" s="66" t="str">
        <f>IF(Twentieth!G233="", "",Twentieth!G233)</f>
        <v/>
      </c>
      <c r="H4980" s="66" t="str">
        <f>IF(Twentieth!H233="", "",Twentieth!H233)</f>
        <v/>
      </c>
      <c r="I4980" s="66" t="str">
        <f>IF(Twentieth!I233="", "",Twentieth!I233)</f>
        <v/>
      </c>
      <c r="J4980" s="66" t="str">
        <f>IF(Twentieth!J233="", "",Twentieth!J233)</f>
        <v/>
      </c>
      <c r="K4980" s="86" t="str">
        <f>IF(Twentieth!K233="", "",Twentieth!K233)</f>
        <v/>
      </c>
      <c r="M4980" s="67" t="str">
        <f t="shared" si="236"/>
        <v/>
      </c>
      <c r="N4980" s="76" t="str">
        <f t="shared" si="237"/>
        <v/>
      </c>
      <c r="O4980" s="33">
        <f t="shared" si="238"/>
        <v>0</v>
      </c>
    </row>
    <row r="4981" spans="1:15" x14ac:dyDescent="0.25">
      <c r="A4981" s="64" t="s">
        <v>209</v>
      </c>
      <c r="B4981" s="79" t="str">
        <f>IF(Twentieth!B234="", "",Twentieth!B234)</f>
        <v/>
      </c>
      <c r="C4981" s="66" t="str">
        <f>IF(Twentieth!C234="", "",Twentieth!C234)</f>
        <v/>
      </c>
      <c r="D4981" s="66" t="str">
        <f>IF(Twentieth!D234="", "",Twentieth!D234)</f>
        <v/>
      </c>
      <c r="E4981" s="66" t="str">
        <f>IF(Twentieth!E234="", "",Twentieth!E234)</f>
        <v/>
      </c>
      <c r="F4981" s="66" t="str">
        <f>IF(Twentieth!F234="", "",Twentieth!F234)</f>
        <v/>
      </c>
      <c r="G4981" s="66" t="str">
        <f>IF(Twentieth!G234="", "",Twentieth!G234)</f>
        <v/>
      </c>
      <c r="H4981" s="66" t="str">
        <f>IF(Twentieth!H234="", "",Twentieth!H234)</f>
        <v/>
      </c>
      <c r="I4981" s="66" t="str">
        <f>IF(Twentieth!I234="", "",Twentieth!I234)</f>
        <v/>
      </c>
      <c r="J4981" s="66" t="str">
        <f>IF(Twentieth!J234="", "",Twentieth!J234)</f>
        <v/>
      </c>
      <c r="K4981" s="86" t="str">
        <f>IF(Twentieth!K234="", "",Twentieth!K234)</f>
        <v/>
      </c>
      <c r="M4981" s="67" t="str">
        <f t="shared" si="236"/>
        <v/>
      </c>
      <c r="N4981" s="76" t="str">
        <f t="shared" si="237"/>
        <v/>
      </c>
      <c r="O4981" s="33">
        <f t="shared" si="238"/>
        <v>0</v>
      </c>
    </row>
    <row r="4982" spans="1:15" x14ac:dyDescent="0.25">
      <c r="A4982" s="64" t="s">
        <v>209</v>
      </c>
      <c r="B4982" s="79" t="str">
        <f>IF(Twentieth!B235="", "",Twentieth!B235)</f>
        <v/>
      </c>
      <c r="C4982" s="66" t="str">
        <f>IF(Twentieth!C235="", "",Twentieth!C235)</f>
        <v/>
      </c>
      <c r="D4982" s="66" t="str">
        <f>IF(Twentieth!D235="", "",Twentieth!D235)</f>
        <v/>
      </c>
      <c r="E4982" s="66" t="str">
        <f>IF(Twentieth!E235="", "",Twentieth!E235)</f>
        <v/>
      </c>
      <c r="F4982" s="66" t="str">
        <f>IF(Twentieth!F235="", "",Twentieth!F235)</f>
        <v/>
      </c>
      <c r="G4982" s="66" t="str">
        <f>IF(Twentieth!G235="", "",Twentieth!G235)</f>
        <v/>
      </c>
      <c r="H4982" s="66" t="str">
        <f>IF(Twentieth!H235="", "",Twentieth!H235)</f>
        <v/>
      </c>
      <c r="I4982" s="66" t="str">
        <f>IF(Twentieth!I235="", "",Twentieth!I235)</f>
        <v/>
      </c>
      <c r="J4982" s="66" t="str">
        <f>IF(Twentieth!J235="", "",Twentieth!J235)</f>
        <v/>
      </c>
      <c r="K4982" s="86" t="str">
        <f>IF(Twentieth!K235="", "",Twentieth!K235)</f>
        <v/>
      </c>
      <c r="M4982" s="67" t="str">
        <f t="shared" si="236"/>
        <v/>
      </c>
      <c r="N4982" s="76" t="str">
        <f t="shared" si="237"/>
        <v/>
      </c>
      <c r="O4982" s="33">
        <f t="shared" si="238"/>
        <v>0</v>
      </c>
    </row>
    <row r="4983" spans="1:15" x14ac:dyDescent="0.25">
      <c r="A4983" s="64" t="s">
        <v>209</v>
      </c>
      <c r="B4983" s="79" t="str">
        <f>IF(Twentieth!B236="", "",Twentieth!B236)</f>
        <v/>
      </c>
      <c r="C4983" s="66" t="str">
        <f>IF(Twentieth!C236="", "",Twentieth!C236)</f>
        <v/>
      </c>
      <c r="D4983" s="66" t="str">
        <f>IF(Twentieth!D236="", "",Twentieth!D236)</f>
        <v/>
      </c>
      <c r="E4983" s="66" t="str">
        <f>IF(Twentieth!E236="", "",Twentieth!E236)</f>
        <v/>
      </c>
      <c r="F4983" s="66" t="str">
        <f>IF(Twentieth!F236="", "",Twentieth!F236)</f>
        <v/>
      </c>
      <c r="G4983" s="66" t="str">
        <f>IF(Twentieth!G236="", "",Twentieth!G236)</f>
        <v/>
      </c>
      <c r="H4983" s="66" t="str">
        <f>IF(Twentieth!H236="", "",Twentieth!H236)</f>
        <v/>
      </c>
      <c r="I4983" s="66" t="str">
        <f>IF(Twentieth!I236="", "",Twentieth!I236)</f>
        <v/>
      </c>
      <c r="J4983" s="66" t="str">
        <f>IF(Twentieth!J236="", "",Twentieth!J236)</f>
        <v/>
      </c>
      <c r="K4983" s="86" t="str">
        <f>IF(Twentieth!K236="", "",Twentieth!K236)</f>
        <v/>
      </c>
      <c r="M4983" s="67" t="str">
        <f t="shared" si="236"/>
        <v/>
      </c>
      <c r="N4983" s="76" t="str">
        <f t="shared" si="237"/>
        <v/>
      </c>
      <c r="O4983" s="33">
        <f t="shared" si="238"/>
        <v>0</v>
      </c>
    </row>
    <row r="4984" spans="1:15" x14ac:dyDescent="0.25">
      <c r="A4984" s="64" t="s">
        <v>209</v>
      </c>
      <c r="B4984" s="79" t="str">
        <f>IF(Twentieth!B237="", "",Twentieth!B237)</f>
        <v/>
      </c>
      <c r="C4984" s="66" t="str">
        <f>IF(Twentieth!C237="", "",Twentieth!C237)</f>
        <v/>
      </c>
      <c r="D4984" s="66" t="str">
        <f>IF(Twentieth!D237="", "",Twentieth!D237)</f>
        <v/>
      </c>
      <c r="E4984" s="66" t="str">
        <f>IF(Twentieth!E237="", "",Twentieth!E237)</f>
        <v/>
      </c>
      <c r="F4984" s="66" t="str">
        <f>IF(Twentieth!F237="", "",Twentieth!F237)</f>
        <v/>
      </c>
      <c r="G4984" s="66" t="str">
        <f>IF(Twentieth!G237="", "",Twentieth!G237)</f>
        <v/>
      </c>
      <c r="H4984" s="66" t="str">
        <f>IF(Twentieth!H237="", "",Twentieth!H237)</f>
        <v/>
      </c>
      <c r="I4984" s="66" t="str">
        <f>IF(Twentieth!I237="", "",Twentieth!I237)</f>
        <v/>
      </c>
      <c r="J4984" s="66" t="str">
        <f>IF(Twentieth!J237="", "",Twentieth!J237)</f>
        <v/>
      </c>
      <c r="K4984" s="86" t="str">
        <f>IF(Twentieth!K237="", "",Twentieth!K237)</f>
        <v/>
      </c>
      <c r="M4984" s="67" t="str">
        <f t="shared" si="236"/>
        <v/>
      </c>
      <c r="N4984" s="76" t="str">
        <f t="shared" si="237"/>
        <v/>
      </c>
      <c r="O4984" s="33">
        <f t="shared" si="238"/>
        <v>0</v>
      </c>
    </row>
    <row r="4985" spans="1:15" x14ac:dyDescent="0.25">
      <c r="A4985" s="64" t="s">
        <v>209</v>
      </c>
      <c r="B4985" s="79" t="str">
        <f>IF(Twentieth!B238="", "",Twentieth!B238)</f>
        <v/>
      </c>
      <c r="C4985" s="66" t="str">
        <f>IF(Twentieth!C238="", "",Twentieth!C238)</f>
        <v/>
      </c>
      <c r="D4985" s="66" t="str">
        <f>IF(Twentieth!D238="", "",Twentieth!D238)</f>
        <v/>
      </c>
      <c r="E4985" s="66" t="str">
        <f>IF(Twentieth!E238="", "",Twentieth!E238)</f>
        <v/>
      </c>
      <c r="F4985" s="66" t="str">
        <f>IF(Twentieth!F238="", "",Twentieth!F238)</f>
        <v/>
      </c>
      <c r="G4985" s="66" t="str">
        <f>IF(Twentieth!G238="", "",Twentieth!G238)</f>
        <v/>
      </c>
      <c r="H4985" s="66" t="str">
        <f>IF(Twentieth!H238="", "",Twentieth!H238)</f>
        <v/>
      </c>
      <c r="I4985" s="66" t="str">
        <f>IF(Twentieth!I238="", "",Twentieth!I238)</f>
        <v/>
      </c>
      <c r="J4985" s="66" t="str">
        <f>IF(Twentieth!J238="", "",Twentieth!J238)</f>
        <v/>
      </c>
      <c r="K4985" s="86" t="str">
        <f>IF(Twentieth!K238="", "",Twentieth!K238)</f>
        <v/>
      </c>
      <c r="M4985" s="67" t="str">
        <f t="shared" si="236"/>
        <v/>
      </c>
      <c r="N4985" s="76" t="str">
        <f t="shared" si="237"/>
        <v/>
      </c>
      <c r="O4985" s="33">
        <f t="shared" si="238"/>
        <v>0</v>
      </c>
    </row>
    <row r="4986" spans="1:15" x14ac:dyDescent="0.25">
      <c r="A4986" s="64" t="s">
        <v>209</v>
      </c>
      <c r="B4986" s="79" t="str">
        <f>IF(Twentieth!B239="", "",Twentieth!B239)</f>
        <v/>
      </c>
      <c r="C4986" s="66" t="str">
        <f>IF(Twentieth!C239="", "",Twentieth!C239)</f>
        <v/>
      </c>
      <c r="D4986" s="66" t="str">
        <f>IF(Twentieth!D239="", "",Twentieth!D239)</f>
        <v/>
      </c>
      <c r="E4986" s="66" t="str">
        <f>IF(Twentieth!E239="", "",Twentieth!E239)</f>
        <v/>
      </c>
      <c r="F4986" s="66" t="str">
        <f>IF(Twentieth!F239="", "",Twentieth!F239)</f>
        <v/>
      </c>
      <c r="G4986" s="66" t="str">
        <f>IF(Twentieth!G239="", "",Twentieth!G239)</f>
        <v/>
      </c>
      <c r="H4986" s="66" t="str">
        <f>IF(Twentieth!H239="", "",Twentieth!H239)</f>
        <v/>
      </c>
      <c r="I4986" s="66" t="str">
        <f>IF(Twentieth!I239="", "",Twentieth!I239)</f>
        <v/>
      </c>
      <c r="J4986" s="66" t="str">
        <f>IF(Twentieth!J239="", "",Twentieth!J239)</f>
        <v/>
      </c>
      <c r="K4986" s="86" t="str">
        <f>IF(Twentieth!K239="", "",Twentieth!K239)</f>
        <v/>
      </c>
      <c r="M4986" s="67" t="str">
        <f t="shared" si="236"/>
        <v/>
      </c>
      <c r="N4986" s="76" t="str">
        <f t="shared" si="237"/>
        <v/>
      </c>
      <c r="O4986" s="33">
        <f t="shared" si="238"/>
        <v>0</v>
      </c>
    </row>
    <row r="4987" spans="1:15" x14ac:dyDescent="0.25">
      <c r="A4987" s="64" t="s">
        <v>209</v>
      </c>
      <c r="B4987" s="79" t="str">
        <f>IF(Twentieth!B240="", "",Twentieth!B240)</f>
        <v/>
      </c>
      <c r="C4987" s="66" t="str">
        <f>IF(Twentieth!C240="", "",Twentieth!C240)</f>
        <v/>
      </c>
      <c r="D4987" s="66" t="str">
        <f>IF(Twentieth!D240="", "",Twentieth!D240)</f>
        <v/>
      </c>
      <c r="E4987" s="66" t="str">
        <f>IF(Twentieth!E240="", "",Twentieth!E240)</f>
        <v/>
      </c>
      <c r="F4987" s="66" t="str">
        <f>IF(Twentieth!F240="", "",Twentieth!F240)</f>
        <v/>
      </c>
      <c r="G4987" s="66" t="str">
        <f>IF(Twentieth!G240="", "",Twentieth!G240)</f>
        <v/>
      </c>
      <c r="H4987" s="66" t="str">
        <f>IF(Twentieth!H240="", "",Twentieth!H240)</f>
        <v/>
      </c>
      <c r="I4987" s="66" t="str">
        <f>IF(Twentieth!I240="", "",Twentieth!I240)</f>
        <v/>
      </c>
      <c r="J4987" s="66" t="str">
        <f>IF(Twentieth!J240="", "",Twentieth!J240)</f>
        <v/>
      </c>
      <c r="K4987" s="86" t="str">
        <f>IF(Twentieth!K240="", "",Twentieth!K240)</f>
        <v/>
      </c>
      <c r="M4987" s="67" t="str">
        <f t="shared" si="236"/>
        <v/>
      </c>
      <c r="N4987" s="76" t="str">
        <f t="shared" si="237"/>
        <v/>
      </c>
      <c r="O4987" s="33">
        <f t="shared" si="238"/>
        <v>0</v>
      </c>
    </row>
    <row r="4988" spans="1:15" x14ac:dyDescent="0.25">
      <c r="A4988" s="64" t="s">
        <v>209</v>
      </c>
      <c r="B4988" s="79" t="str">
        <f>IF(Twentieth!B241="", "",Twentieth!B241)</f>
        <v/>
      </c>
      <c r="C4988" s="66" t="str">
        <f>IF(Twentieth!C241="", "",Twentieth!C241)</f>
        <v/>
      </c>
      <c r="D4988" s="66" t="str">
        <f>IF(Twentieth!D241="", "",Twentieth!D241)</f>
        <v/>
      </c>
      <c r="E4988" s="66" t="str">
        <f>IF(Twentieth!E241="", "",Twentieth!E241)</f>
        <v/>
      </c>
      <c r="F4988" s="66" t="str">
        <f>IF(Twentieth!F241="", "",Twentieth!F241)</f>
        <v/>
      </c>
      <c r="G4988" s="66" t="str">
        <f>IF(Twentieth!G241="", "",Twentieth!G241)</f>
        <v/>
      </c>
      <c r="H4988" s="66" t="str">
        <f>IF(Twentieth!H241="", "",Twentieth!H241)</f>
        <v/>
      </c>
      <c r="I4988" s="66" t="str">
        <f>IF(Twentieth!I241="", "",Twentieth!I241)</f>
        <v/>
      </c>
      <c r="J4988" s="66" t="str">
        <f>IF(Twentieth!J241="", "",Twentieth!J241)</f>
        <v/>
      </c>
      <c r="K4988" s="86" t="str">
        <f>IF(Twentieth!K241="", "",Twentieth!K241)</f>
        <v/>
      </c>
      <c r="M4988" s="67" t="str">
        <f t="shared" si="236"/>
        <v/>
      </c>
      <c r="N4988" s="76" t="str">
        <f t="shared" si="237"/>
        <v/>
      </c>
      <c r="O4988" s="33">
        <f t="shared" si="238"/>
        <v>0</v>
      </c>
    </row>
    <row r="4989" spans="1:15" x14ac:dyDescent="0.25">
      <c r="A4989" s="64" t="s">
        <v>209</v>
      </c>
      <c r="B4989" s="79" t="str">
        <f>IF(Twentieth!B242="", "",Twentieth!B242)</f>
        <v/>
      </c>
      <c r="C4989" s="66" t="str">
        <f>IF(Twentieth!C242="", "",Twentieth!C242)</f>
        <v/>
      </c>
      <c r="D4989" s="66" t="str">
        <f>IF(Twentieth!D242="", "",Twentieth!D242)</f>
        <v/>
      </c>
      <c r="E4989" s="66" t="str">
        <f>IF(Twentieth!E242="", "",Twentieth!E242)</f>
        <v/>
      </c>
      <c r="F4989" s="66" t="str">
        <f>IF(Twentieth!F242="", "",Twentieth!F242)</f>
        <v/>
      </c>
      <c r="G4989" s="66" t="str">
        <f>IF(Twentieth!G242="", "",Twentieth!G242)</f>
        <v/>
      </c>
      <c r="H4989" s="66" t="str">
        <f>IF(Twentieth!H242="", "",Twentieth!H242)</f>
        <v/>
      </c>
      <c r="I4989" s="66" t="str">
        <f>IF(Twentieth!I242="", "",Twentieth!I242)</f>
        <v/>
      </c>
      <c r="J4989" s="66" t="str">
        <f>IF(Twentieth!J242="", "",Twentieth!J242)</f>
        <v/>
      </c>
      <c r="K4989" s="86" t="str">
        <f>IF(Twentieth!K242="", "",Twentieth!K242)</f>
        <v/>
      </c>
      <c r="M4989" s="67" t="str">
        <f t="shared" si="236"/>
        <v/>
      </c>
      <c r="N4989" s="76" t="str">
        <f t="shared" si="237"/>
        <v/>
      </c>
      <c r="O4989" s="33">
        <f t="shared" si="238"/>
        <v>0</v>
      </c>
    </row>
    <row r="4990" spans="1:15" x14ac:dyDescent="0.25">
      <c r="A4990" s="64" t="s">
        <v>209</v>
      </c>
      <c r="B4990" s="79" t="str">
        <f>IF(Twentieth!B243="", "",Twentieth!B243)</f>
        <v/>
      </c>
      <c r="C4990" s="66" t="str">
        <f>IF(Twentieth!C243="", "",Twentieth!C243)</f>
        <v/>
      </c>
      <c r="D4990" s="66" t="str">
        <f>IF(Twentieth!D243="", "",Twentieth!D243)</f>
        <v/>
      </c>
      <c r="E4990" s="66" t="str">
        <f>IF(Twentieth!E243="", "",Twentieth!E243)</f>
        <v/>
      </c>
      <c r="F4990" s="66" t="str">
        <f>IF(Twentieth!F243="", "",Twentieth!F243)</f>
        <v/>
      </c>
      <c r="G4990" s="66" t="str">
        <f>IF(Twentieth!G243="", "",Twentieth!G243)</f>
        <v/>
      </c>
      <c r="H4990" s="66" t="str">
        <f>IF(Twentieth!H243="", "",Twentieth!H243)</f>
        <v/>
      </c>
      <c r="I4990" s="66" t="str">
        <f>IF(Twentieth!I243="", "",Twentieth!I243)</f>
        <v/>
      </c>
      <c r="J4990" s="66" t="str">
        <f>IF(Twentieth!J243="", "",Twentieth!J243)</f>
        <v/>
      </c>
      <c r="K4990" s="86" t="str">
        <f>IF(Twentieth!K243="", "",Twentieth!K243)</f>
        <v/>
      </c>
      <c r="M4990" s="67" t="str">
        <f t="shared" si="236"/>
        <v/>
      </c>
      <c r="N4990" s="76" t="str">
        <f t="shared" si="237"/>
        <v/>
      </c>
      <c r="O4990" s="33">
        <f t="shared" si="238"/>
        <v>0</v>
      </c>
    </row>
    <row r="4991" spans="1:15" x14ac:dyDescent="0.25">
      <c r="A4991" s="64" t="s">
        <v>209</v>
      </c>
      <c r="B4991" s="79" t="str">
        <f>IF(Twentieth!B244="", "",Twentieth!B244)</f>
        <v/>
      </c>
      <c r="C4991" s="66" t="str">
        <f>IF(Twentieth!C244="", "",Twentieth!C244)</f>
        <v/>
      </c>
      <c r="D4991" s="66" t="str">
        <f>IF(Twentieth!D244="", "",Twentieth!D244)</f>
        <v/>
      </c>
      <c r="E4991" s="66" t="str">
        <f>IF(Twentieth!E244="", "",Twentieth!E244)</f>
        <v/>
      </c>
      <c r="F4991" s="66" t="str">
        <f>IF(Twentieth!F244="", "",Twentieth!F244)</f>
        <v/>
      </c>
      <c r="G4991" s="66" t="str">
        <f>IF(Twentieth!G244="", "",Twentieth!G244)</f>
        <v/>
      </c>
      <c r="H4991" s="66" t="str">
        <f>IF(Twentieth!H244="", "",Twentieth!H244)</f>
        <v/>
      </c>
      <c r="I4991" s="66" t="str">
        <f>IF(Twentieth!I244="", "",Twentieth!I244)</f>
        <v/>
      </c>
      <c r="J4991" s="66" t="str">
        <f>IF(Twentieth!J244="", "",Twentieth!J244)</f>
        <v/>
      </c>
      <c r="K4991" s="86" t="str">
        <f>IF(Twentieth!K244="", "",Twentieth!K244)</f>
        <v/>
      </c>
      <c r="M4991" s="67" t="str">
        <f t="shared" si="236"/>
        <v/>
      </c>
      <c r="N4991" s="76" t="str">
        <f t="shared" si="237"/>
        <v/>
      </c>
      <c r="O4991" s="33">
        <f t="shared" si="238"/>
        <v>0</v>
      </c>
    </row>
    <row r="4992" spans="1:15" x14ac:dyDescent="0.25">
      <c r="A4992" s="64" t="s">
        <v>209</v>
      </c>
      <c r="B4992" s="79" t="str">
        <f>IF(Twentieth!B245="", "",Twentieth!B245)</f>
        <v/>
      </c>
      <c r="C4992" s="66" t="str">
        <f>IF(Twentieth!C245="", "",Twentieth!C245)</f>
        <v/>
      </c>
      <c r="D4992" s="66" t="str">
        <f>IF(Twentieth!D245="", "",Twentieth!D245)</f>
        <v/>
      </c>
      <c r="E4992" s="66" t="str">
        <f>IF(Twentieth!E245="", "",Twentieth!E245)</f>
        <v/>
      </c>
      <c r="F4992" s="66" t="str">
        <f>IF(Twentieth!F245="", "",Twentieth!F245)</f>
        <v/>
      </c>
      <c r="G4992" s="66" t="str">
        <f>IF(Twentieth!G245="", "",Twentieth!G245)</f>
        <v/>
      </c>
      <c r="H4992" s="66" t="str">
        <f>IF(Twentieth!H245="", "",Twentieth!H245)</f>
        <v/>
      </c>
      <c r="I4992" s="66" t="str">
        <f>IF(Twentieth!I245="", "",Twentieth!I245)</f>
        <v/>
      </c>
      <c r="J4992" s="66" t="str">
        <f>IF(Twentieth!J245="", "",Twentieth!J245)</f>
        <v/>
      </c>
      <c r="K4992" s="86" t="str">
        <f>IF(Twentieth!K245="", "",Twentieth!K245)</f>
        <v/>
      </c>
      <c r="M4992" s="67" t="str">
        <f t="shared" si="236"/>
        <v/>
      </c>
      <c r="N4992" s="76" t="str">
        <f t="shared" si="237"/>
        <v/>
      </c>
      <c r="O4992" s="33">
        <f t="shared" si="238"/>
        <v>0</v>
      </c>
    </row>
    <row r="4993" spans="1:15" x14ac:dyDescent="0.25">
      <c r="A4993" s="64" t="s">
        <v>209</v>
      </c>
      <c r="B4993" s="79" t="str">
        <f>IF(Twentieth!B246="", "",Twentieth!B246)</f>
        <v/>
      </c>
      <c r="C4993" s="66" t="str">
        <f>IF(Twentieth!C246="", "",Twentieth!C246)</f>
        <v/>
      </c>
      <c r="D4993" s="66" t="str">
        <f>IF(Twentieth!D246="", "",Twentieth!D246)</f>
        <v/>
      </c>
      <c r="E4993" s="66" t="str">
        <f>IF(Twentieth!E246="", "",Twentieth!E246)</f>
        <v/>
      </c>
      <c r="F4993" s="66" t="str">
        <f>IF(Twentieth!F246="", "",Twentieth!F246)</f>
        <v/>
      </c>
      <c r="G4993" s="66" t="str">
        <f>IF(Twentieth!G246="", "",Twentieth!G246)</f>
        <v/>
      </c>
      <c r="H4993" s="66" t="str">
        <f>IF(Twentieth!H246="", "",Twentieth!H246)</f>
        <v/>
      </c>
      <c r="I4993" s="66" t="str">
        <f>IF(Twentieth!I246="", "",Twentieth!I246)</f>
        <v/>
      </c>
      <c r="J4993" s="66" t="str">
        <f>IF(Twentieth!J246="", "",Twentieth!J246)</f>
        <v/>
      </c>
      <c r="K4993" s="86" t="str">
        <f>IF(Twentieth!K246="", "",Twentieth!K246)</f>
        <v/>
      </c>
      <c r="M4993" s="67" t="str">
        <f t="shared" si="236"/>
        <v/>
      </c>
      <c r="N4993" s="76" t="str">
        <f t="shared" si="237"/>
        <v/>
      </c>
      <c r="O4993" s="33">
        <f t="shared" si="238"/>
        <v>0</v>
      </c>
    </row>
    <row r="4994" spans="1:15" x14ac:dyDescent="0.25">
      <c r="A4994" s="64" t="s">
        <v>209</v>
      </c>
      <c r="B4994" s="79" t="str">
        <f>IF(Twentieth!B247="", "",Twentieth!B247)</f>
        <v/>
      </c>
      <c r="C4994" s="66" t="str">
        <f>IF(Twentieth!C247="", "",Twentieth!C247)</f>
        <v/>
      </c>
      <c r="D4994" s="66" t="str">
        <f>IF(Twentieth!D247="", "",Twentieth!D247)</f>
        <v/>
      </c>
      <c r="E4994" s="66" t="str">
        <f>IF(Twentieth!E247="", "",Twentieth!E247)</f>
        <v/>
      </c>
      <c r="F4994" s="66" t="str">
        <f>IF(Twentieth!F247="", "",Twentieth!F247)</f>
        <v/>
      </c>
      <c r="G4994" s="66" t="str">
        <f>IF(Twentieth!G247="", "",Twentieth!G247)</f>
        <v/>
      </c>
      <c r="H4994" s="66" t="str">
        <f>IF(Twentieth!H247="", "",Twentieth!H247)</f>
        <v/>
      </c>
      <c r="I4994" s="66" t="str">
        <f>IF(Twentieth!I247="", "",Twentieth!I247)</f>
        <v/>
      </c>
      <c r="J4994" s="66" t="str">
        <f>IF(Twentieth!J247="", "",Twentieth!J247)</f>
        <v/>
      </c>
      <c r="K4994" s="86" t="str">
        <f>IF(Twentieth!K247="", "",Twentieth!K247)</f>
        <v/>
      </c>
      <c r="M4994" s="67" t="str">
        <f t="shared" si="236"/>
        <v/>
      </c>
      <c r="N4994" s="76" t="str">
        <f t="shared" si="237"/>
        <v/>
      </c>
      <c r="O4994" s="33">
        <f t="shared" si="238"/>
        <v>0</v>
      </c>
    </row>
    <row r="4995" spans="1:15" x14ac:dyDescent="0.25">
      <c r="A4995" s="64" t="s">
        <v>209</v>
      </c>
      <c r="B4995" s="79" t="str">
        <f>IF(Twentieth!B248="", "",Twentieth!B248)</f>
        <v/>
      </c>
      <c r="C4995" s="66" t="str">
        <f>IF(Twentieth!C248="", "",Twentieth!C248)</f>
        <v/>
      </c>
      <c r="D4995" s="66" t="str">
        <f>IF(Twentieth!D248="", "",Twentieth!D248)</f>
        <v/>
      </c>
      <c r="E4995" s="66" t="str">
        <f>IF(Twentieth!E248="", "",Twentieth!E248)</f>
        <v/>
      </c>
      <c r="F4995" s="66" t="str">
        <f>IF(Twentieth!F248="", "",Twentieth!F248)</f>
        <v/>
      </c>
      <c r="G4995" s="66" t="str">
        <f>IF(Twentieth!G248="", "",Twentieth!G248)</f>
        <v/>
      </c>
      <c r="H4995" s="66" t="str">
        <f>IF(Twentieth!H248="", "",Twentieth!H248)</f>
        <v/>
      </c>
      <c r="I4995" s="66" t="str">
        <f>IF(Twentieth!I248="", "",Twentieth!I248)</f>
        <v/>
      </c>
      <c r="J4995" s="66" t="str">
        <f>IF(Twentieth!J248="", "",Twentieth!J248)</f>
        <v/>
      </c>
      <c r="K4995" s="86" t="str">
        <f>IF(Twentieth!K248="", "",Twentieth!K248)</f>
        <v/>
      </c>
      <c r="M4995" s="67" t="str">
        <f t="shared" si="236"/>
        <v/>
      </c>
      <c r="N4995" s="76" t="str">
        <f t="shared" si="237"/>
        <v/>
      </c>
      <c r="O4995" s="33">
        <f t="shared" si="238"/>
        <v>0</v>
      </c>
    </row>
    <row r="4996" spans="1:15" x14ac:dyDescent="0.25">
      <c r="A4996" s="64" t="s">
        <v>209</v>
      </c>
      <c r="B4996" s="79" t="str">
        <f>IF(Twentieth!B249="", "",Twentieth!B249)</f>
        <v/>
      </c>
      <c r="C4996" s="66" t="str">
        <f>IF(Twentieth!C249="", "",Twentieth!C249)</f>
        <v/>
      </c>
      <c r="D4996" s="66" t="str">
        <f>IF(Twentieth!D249="", "",Twentieth!D249)</f>
        <v/>
      </c>
      <c r="E4996" s="66" t="str">
        <f>IF(Twentieth!E249="", "",Twentieth!E249)</f>
        <v/>
      </c>
      <c r="F4996" s="66" t="str">
        <f>IF(Twentieth!F249="", "",Twentieth!F249)</f>
        <v/>
      </c>
      <c r="G4996" s="66" t="str">
        <f>IF(Twentieth!G249="", "",Twentieth!G249)</f>
        <v/>
      </c>
      <c r="H4996" s="66" t="str">
        <f>IF(Twentieth!H249="", "",Twentieth!H249)</f>
        <v/>
      </c>
      <c r="I4996" s="66" t="str">
        <f>IF(Twentieth!I249="", "",Twentieth!I249)</f>
        <v/>
      </c>
      <c r="J4996" s="66" t="str">
        <f>IF(Twentieth!J249="", "",Twentieth!J249)</f>
        <v/>
      </c>
      <c r="K4996" s="86" t="str">
        <f>IF(Twentieth!K249="", "",Twentieth!K249)</f>
        <v/>
      </c>
      <c r="M4996" s="67" t="str">
        <f t="shared" si="236"/>
        <v/>
      </c>
      <c r="N4996" s="76" t="str">
        <f t="shared" si="237"/>
        <v/>
      </c>
      <c r="O4996" s="33">
        <f t="shared" si="238"/>
        <v>0</v>
      </c>
    </row>
    <row r="4997" spans="1:15" x14ac:dyDescent="0.25">
      <c r="A4997" s="64" t="s">
        <v>209</v>
      </c>
      <c r="B4997" s="79" t="str">
        <f>IF(Twentieth!B250="", "",Twentieth!B250)</f>
        <v/>
      </c>
      <c r="C4997" s="66" t="str">
        <f>IF(Twentieth!C250="", "",Twentieth!C250)</f>
        <v/>
      </c>
      <c r="D4997" s="66" t="str">
        <f>IF(Twentieth!D250="", "",Twentieth!D250)</f>
        <v/>
      </c>
      <c r="E4997" s="66" t="str">
        <f>IF(Twentieth!E250="", "",Twentieth!E250)</f>
        <v/>
      </c>
      <c r="F4997" s="66" t="str">
        <f>IF(Twentieth!F250="", "",Twentieth!F250)</f>
        <v/>
      </c>
      <c r="G4997" s="66" t="str">
        <f>IF(Twentieth!G250="", "",Twentieth!G250)</f>
        <v/>
      </c>
      <c r="H4997" s="66" t="str">
        <f>IF(Twentieth!H250="", "",Twentieth!H250)</f>
        <v/>
      </c>
      <c r="I4997" s="66" t="str">
        <f>IF(Twentieth!I250="", "",Twentieth!I250)</f>
        <v/>
      </c>
      <c r="J4997" s="66" t="str">
        <f>IF(Twentieth!J250="", "",Twentieth!J250)</f>
        <v/>
      </c>
      <c r="K4997" s="86" t="str">
        <f>IF(Twentieth!K250="", "",Twentieth!K250)</f>
        <v/>
      </c>
      <c r="M4997" s="67" t="str">
        <f t="shared" si="236"/>
        <v/>
      </c>
      <c r="N4997" s="76" t="str">
        <f t="shared" si="237"/>
        <v/>
      </c>
      <c r="O4997" s="33">
        <f t="shared" si="238"/>
        <v>0</v>
      </c>
    </row>
    <row r="4998" spans="1:15" x14ac:dyDescent="0.25">
      <c r="A4998" s="64" t="s">
        <v>209</v>
      </c>
      <c r="B4998" s="79" t="str">
        <f>IF(Twentieth!B251="", "",Twentieth!B251)</f>
        <v/>
      </c>
      <c r="C4998" s="66" t="str">
        <f>IF(Twentieth!C251="", "",Twentieth!C251)</f>
        <v/>
      </c>
      <c r="D4998" s="66" t="str">
        <f>IF(Twentieth!D251="", "",Twentieth!D251)</f>
        <v/>
      </c>
      <c r="E4998" s="66" t="str">
        <f>IF(Twentieth!E251="", "",Twentieth!E251)</f>
        <v/>
      </c>
      <c r="F4998" s="66" t="str">
        <f>IF(Twentieth!F251="", "",Twentieth!F251)</f>
        <v/>
      </c>
      <c r="G4998" s="66" t="str">
        <f>IF(Twentieth!G251="", "",Twentieth!G251)</f>
        <v/>
      </c>
      <c r="H4998" s="66" t="str">
        <f>IF(Twentieth!H251="", "",Twentieth!H251)</f>
        <v/>
      </c>
      <c r="I4998" s="66" t="str">
        <f>IF(Twentieth!I251="", "",Twentieth!I251)</f>
        <v/>
      </c>
      <c r="J4998" s="66" t="str">
        <f>IF(Twentieth!J251="", "",Twentieth!J251)</f>
        <v/>
      </c>
      <c r="K4998" s="86" t="str">
        <f>IF(Twentieth!K251="", "",Twentieth!K251)</f>
        <v/>
      </c>
      <c r="M4998" s="67" t="str">
        <f t="shared" si="236"/>
        <v/>
      </c>
      <c r="N4998" s="76" t="str">
        <f t="shared" si="237"/>
        <v/>
      </c>
      <c r="O4998" s="33">
        <f t="shared" si="238"/>
        <v>0</v>
      </c>
    </row>
    <row r="4999" spans="1:15" x14ac:dyDescent="0.25">
      <c r="A4999" s="64" t="s">
        <v>209</v>
      </c>
      <c r="B4999" s="79" t="str">
        <f>IF(Twentieth!B252="", "",Twentieth!B252)</f>
        <v/>
      </c>
      <c r="C4999" s="66" t="str">
        <f>IF(Twentieth!C252="", "",Twentieth!C252)</f>
        <v/>
      </c>
      <c r="D4999" s="66" t="str">
        <f>IF(Twentieth!D252="", "",Twentieth!D252)</f>
        <v/>
      </c>
      <c r="E4999" s="66" t="str">
        <f>IF(Twentieth!E252="", "",Twentieth!E252)</f>
        <v/>
      </c>
      <c r="F4999" s="66" t="str">
        <f>IF(Twentieth!F252="", "",Twentieth!F252)</f>
        <v/>
      </c>
      <c r="G4999" s="66" t="str">
        <f>IF(Twentieth!G252="", "",Twentieth!G252)</f>
        <v/>
      </c>
      <c r="H4999" s="66" t="str">
        <f>IF(Twentieth!H252="", "",Twentieth!H252)</f>
        <v/>
      </c>
      <c r="I4999" s="66" t="str">
        <f>IF(Twentieth!I252="", "",Twentieth!I252)</f>
        <v/>
      </c>
      <c r="J4999" s="66" t="str">
        <f>IF(Twentieth!J252="", "",Twentieth!J252)</f>
        <v/>
      </c>
      <c r="K4999" s="86" t="str">
        <f>IF(Twentieth!K252="", "",Twentieth!K252)</f>
        <v/>
      </c>
      <c r="M4999" s="67" t="str">
        <f t="shared" si="236"/>
        <v/>
      </c>
      <c r="N4999" s="76" t="str">
        <f t="shared" si="237"/>
        <v/>
      </c>
      <c r="O4999" s="33">
        <f t="shared" si="238"/>
        <v>0</v>
      </c>
    </row>
    <row r="5000" spans="1:15" x14ac:dyDescent="0.25">
      <c r="A5000" s="64" t="s">
        <v>209</v>
      </c>
      <c r="B5000" s="79" t="str">
        <f>IF(Twentieth!B253="", "",Twentieth!B253)</f>
        <v/>
      </c>
      <c r="C5000" s="66" t="str">
        <f>IF(Twentieth!C253="", "",Twentieth!C253)</f>
        <v/>
      </c>
      <c r="D5000" s="66" t="str">
        <f>IF(Twentieth!D253="", "",Twentieth!D253)</f>
        <v/>
      </c>
      <c r="E5000" s="66" t="str">
        <f>IF(Twentieth!E253="", "",Twentieth!E253)</f>
        <v/>
      </c>
      <c r="F5000" s="66" t="str">
        <f>IF(Twentieth!F253="", "",Twentieth!F253)</f>
        <v/>
      </c>
      <c r="G5000" s="66" t="str">
        <f>IF(Twentieth!G253="", "",Twentieth!G253)</f>
        <v/>
      </c>
      <c r="H5000" s="66" t="str">
        <f>IF(Twentieth!H253="", "",Twentieth!H253)</f>
        <v/>
      </c>
      <c r="I5000" s="66" t="str">
        <f>IF(Twentieth!I253="", "",Twentieth!I253)</f>
        <v/>
      </c>
      <c r="J5000" s="66" t="str">
        <f>IF(Twentieth!J253="", "",Twentieth!J253)</f>
        <v/>
      </c>
      <c r="K5000" s="86" t="str">
        <f>IF(Twentieth!K253="", "",Twentieth!K253)</f>
        <v/>
      </c>
      <c r="M5000" s="67" t="str">
        <f t="shared" si="236"/>
        <v/>
      </c>
      <c r="N5000" s="76" t="str">
        <f t="shared" si="237"/>
        <v/>
      </c>
      <c r="O5000" s="33">
        <f t="shared" si="238"/>
        <v>0</v>
      </c>
    </row>
    <row r="5001" spans="1:15" ht="15.75" thickBot="1" x14ac:dyDescent="0.3">
      <c r="A5001" s="68" t="s">
        <v>209</v>
      </c>
      <c r="B5001" s="80" t="str">
        <f>IF(Twentieth!B254="", "",Twentieth!B254)</f>
        <v/>
      </c>
      <c r="C5001" s="70" t="str">
        <f>IF(Twentieth!C254="", "",Twentieth!C254)</f>
        <v/>
      </c>
      <c r="D5001" s="70" t="str">
        <f>IF(Twentieth!D254="", "",Twentieth!D254)</f>
        <v/>
      </c>
      <c r="E5001" s="70" t="str">
        <f>IF(Twentieth!E254="", "",Twentieth!E254)</f>
        <v/>
      </c>
      <c r="F5001" s="70" t="str">
        <f>IF(Twentieth!F254="", "",Twentieth!F254)</f>
        <v/>
      </c>
      <c r="G5001" s="70" t="str">
        <f>IF(Twentieth!G254="", "",Twentieth!G254)</f>
        <v/>
      </c>
      <c r="H5001" s="70" t="str">
        <f>IF(Twentieth!H254="", "",Twentieth!H254)</f>
        <v/>
      </c>
      <c r="I5001" s="70" t="str">
        <f>IF(Twentieth!I254="", "",Twentieth!I254)</f>
        <v/>
      </c>
      <c r="J5001" s="70" t="str">
        <f>IF(Twentieth!J254="", "",Twentieth!J254)</f>
        <v/>
      </c>
      <c r="K5001" s="90" t="str">
        <f>IF(Twentieth!K254="", "",Twentieth!K254)</f>
        <v/>
      </c>
      <c r="L5001" s="91"/>
      <c r="M5001" s="71" t="str">
        <f t="shared" si="236"/>
        <v/>
      </c>
      <c r="N5001" s="77" t="str">
        <f t="shared" si="237"/>
        <v/>
      </c>
      <c r="O5001" s="33">
        <f t="shared" si="238"/>
        <v>0</v>
      </c>
    </row>
    <row r="5002" spans="1:15" x14ac:dyDescent="0.25">
      <c r="A5002" s="64" t="s">
        <v>190</v>
      </c>
      <c r="B5002" s="82" t="str">
        <f>IF('Twenty-First'!B5="", "",'Twenty-First'!B5)</f>
        <v>Centre Head</v>
      </c>
      <c r="C5002" s="1" t="str">
        <f>IF('Twenty-First'!C5="", "",'Twenty-First'!C5)</f>
        <v>Carer</v>
      </c>
      <c r="D5002" s="1" t="str">
        <f>IF('Twenty-First'!D5="", "",'Twenty-First'!D5)</f>
        <v>Returning</v>
      </c>
      <c r="E5002" s="1" t="str">
        <f>IF('Twenty-First'!E5="", "",'Twenty-First'!E5)</f>
        <v>Male</v>
      </c>
      <c r="F5002" s="1" t="str">
        <f>IF('Twenty-First'!F5="", "",'Twenty-First'!F5)</f>
        <v>Breast</v>
      </c>
      <c r="G5002" s="1" t="str">
        <f>IF('Twenty-First'!G5="", "",'Twenty-First'!G5)</f>
        <v>Bereaved</v>
      </c>
      <c r="H5002" s="1" t="str">
        <f>IF('Twenty-First'!H5="", "",'Twenty-First'!H5)</f>
        <v>Drop-In</v>
      </c>
      <c r="I5002" s="1" t="str">
        <f>IF('Twenty-First'!I5="", "",'Twenty-First'!I5)</f>
        <v/>
      </c>
      <c r="J5002" s="1" t="str">
        <f>IF('Twenty-First'!J5="", "",'Twenty-First'!J5)</f>
        <v/>
      </c>
      <c r="K5002" s="83" t="str">
        <f>IF('Twenty-First'!K5="", "",'Twenty-First'!K5)</f>
        <v/>
      </c>
      <c r="M5002" s="67" t="str">
        <f>IF(C5002="PwC",(7-COUNTIF(B5002:H5002,"")),"")</f>
        <v/>
      </c>
      <c r="N5002" s="76">
        <f>IF(C5002="Carer",(7-COUNTIF(B5002:H5002,"")),"")</f>
        <v>7</v>
      </c>
      <c r="O5002" s="33">
        <f t="shared" ref="O5002:O5065" si="239">SUM(M5002:N5002)</f>
        <v>7</v>
      </c>
    </row>
    <row r="5003" spans="1:15" x14ac:dyDescent="0.25">
      <c r="A5003" s="64" t="s">
        <v>190</v>
      </c>
      <c r="B5003" s="82" t="str">
        <f>IF('Twenty-First'!B6="", "",'Twenty-First'!B6)</f>
        <v>Centre Head</v>
      </c>
      <c r="C5003" s="1" t="str">
        <f>IF('Twenty-First'!C6="", "",'Twenty-First'!C6)</f>
        <v>PwC</v>
      </c>
      <c r="D5003" s="1" t="str">
        <f>IF('Twenty-First'!D6="", "",'Twenty-First'!D6)</f>
        <v>Returning</v>
      </c>
      <c r="E5003" s="1" t="str">
        <f>IF('Twenty-First'!E6="", "",'Twenty-First'!E6)</f>
        <v>Male</v>
      </c>
      <c r="F5003" s="1" t="str">
        <f>IF('Twenty-First'!F6="", "",'Twenty-First'!F6)</f>
        <v>Haemat</v>
      </c>
      <c r="G5003" s="1" t="str">
        <f>IF('Twenty-First'!G6="", "",'Twenty-First'!G6)</f>
        <v>Non-Curative Intent</v>
      </c>
      <c r="H5003" s="1" t="str">
        <f>IF('Twenty-First'!H6="", "",'Twenty-First'!H6)</f>
        <v>Booked</v>
      </c>
      <c r="I5003" s="1" t="str">
        <f>IF('Twenty-First'!I6="", "",'Twenty-First'!I6)</f>
        <v>Psych Support - Individual</v>
      </c>
      <c r="J5003" s="1" t="str">
        <f>IF('Twenty-First'!J6="", "",'Twenty-First'!J6)</f>
        <v/>
      </c>
      <c r="K5003" s="83" t="str">
        <f>IF('Twenty-First'!K6="", "",'Twenty-First'!K6)</f>
        <v/>
      </c>
      <c r="M5003" s="67">
        <f t="shared" ref="M5003:M5066" si="240">IF(C5003="PwC",(7-COUNTIF(B5003:H5003,"")),"")</f>
        <v>7</v>
      </c>
      <c r="N5003" s="76" t="str">
        <f t="shared" ref="N5003:N5066" si="241">IF(C5003="Carer",(7-COUNTIF(B5003:H5003,"")),"")</f>
        <v/>
      </c>
      <c r="O5003" s="33">
        <f t="shared" si="239"/>
        <v>7</v>
      </c>
    </row>
    <row r="5004" spans="1:15" x14ac:dyDescent="0.25">
      <c r="A5004" s="64" t="s">
        <v>190</v>
      </c>
      <c r="B5004" s="82" t="str">
        <f>IF('Twenty-First'!B7="", "",'Twenty-First'!B7)</f>
        <v>Centre Head</v>
      </c>
      <c r="C5004" s="1" t="str">
        <f>IF('Twenty-First'!C7="", "",'Twenty-First'!C7)</f>
        <v>PwC</v>
      </c>
      <c r="D5004" s="1" t="str">
        <f>IF('Twenty-First'!D7="", "",'Twenty-First'!D7)</f>
        <v>Returning</v>
      </c>
      <c r="E5004" s="1" t="str">
        <f>IF('Twenty-First'!E7="", "",'Twenty-First'!E7)</f>
        <v>Male</v>
      </c>
      <c r="F5004" s="1" t="str">
        <f>IF('Twenty-First'!F7="", "",'Twenty-First'!F7)</f>
        <v>Prostate</v>
      </c>
      <c r="G5004" s="1" t="str">
        <f>IF('Twenty-First'!G7="", "",'Twenty-First'!G7)</f>
        <v>Non-Curative Intent</v>
      </c>
      <c r="H5004" s="1" t="str">
        <f>IF('Twenty-First'!H7="", "",'Twenty-First'!H7)</f>
        <v>Programme</v>
      </c>
      <c r="I5004" s="1" t="str">
        <f>IF('Twenty-First'!I7="", "",'Twenty-First'!I7)</f>
        <v>FSG General</v>
      </c>
      <c r="J5004" s="1" t="str">
        <f>IF('Twenty-First'!J7="", "",'Twenty-First'!J7)</f>
        <v/>
      </c>
      <c r="K5004" s="83" t="str">
        <f>IF('Twenty-First'!K7="", "",'Twenty-First'!K7)</f>
        <v/>
      </c>
      <c r="M5004" s="67">
        <f t="shared" si="240"/>
        <v>7</v>
      </c>
      <c r="N5004" s="76" t="str">
        <f t="shared" si="241"/>
        <v/>
      </c>
      <c r="O5004" s="33">
        <f t="shared" si="239"/>
        <v>7</v>
      </c>
    </row>
    <row r="5005" spans="1:15" x14ac:dyDescent="0.25">
      <c r="A5005" s="64" t="s">
        <v>190</v>
      </c>
      <c r="B5005" s="82" t="str">
        <f>IF('Twenty-First'!B8="", "",'Twenty-First'!B8)</f>
        <v>Centre Head</v>
      </c>
      <c r="C5005" s="1" t="str">
        <f>IF('Twenty-First'!C8="", "",'Twenty-First'!C8)</f>
        <v>PwC</v>
      </c>
      <c r="D5005" s="1" t="str">
        <f>IF('Twenty-First'!D8="", "",'Twenty-First'!D8)</f>
        <v>Returning</v>
      </c>
      <c r="E5005" s="1" t="str">
        <f>IF('Twenty-First'!E8="", "",'Twenty-First'!E8)</f>
        <v>Female</v>
      </c>
      <c r="F5005" s="1" t="str">
        <f>IF('Twenty-First'!F8="", "",'Twenty-First'!F8)</f>
        <v>Head/Neck</v>
      </c>
      <c r="G5005" s="1" t="str">
        <f>IF('Twenty-First'!G8="", "",'Twenty-First'!G8)</f>
        <v>Non-Curative Intent</v>
      </c>
      <c r="H5005" s="1" t="str">
        <f>IF('Twenty-First'!H8="", "",'Twenty-First'!H8)</f>
        <v>Programme</v>
      </c>
      <c r="I5005" s="1" t="str">
        <f>IF('Twenty-First'!I8="", "",'Twenty-First'!I8)</f>
        <v>FSG General</v>
      </c>
      <c r="J5005" s="1" t="str">
        <f>IF('Twenty-First'!J8="", "",'Twenty-First'!J8)</f>
        <v/>
      </c>
      <c r="K5005" s="83" t="str">
        <f>IF('Twenty-First'!K8="", "",'Twenty-First'!K8)</f>
        <v/>
      </c>
      <c r="M5005" s="67">
        <f t="shared" si="240"/>
        <v>7</v>
      </c>
      <c r="N5005" s="76" t="str">
        <f t="shared" si="241"/>
        <v/>
      </c>
      <c r="O5005" s="33">
        <f t="shared" si="239"/>
        <v>7</v>
      </c>
    </row>
    <row r="5006" spans="1:15" x14ac:dyDescent="0.25">
      <c r="A5006" s="64" t="s">
        <v>190</v>
      </c>
      <c r="B5006" s="82" t="str">
        <f>IF('Twenty-First'!B9="", "",'Twenty-First'!B9)</f>
        <v>Centre Head</v>
      </c>
      <c r="C5006" s="1" t="str">
        <f>IF('Twenty-First'!C9="", "",'Twenty-First'!C9)</f>
        <v>PwC</v>
      </c>
      <c r="D5006" s="1" t="str">
        <f>IF('Twenty-First'!D9="", "",'Twenty-First'!D9)</f>
        <v>Returning</v>
      </c>
      <c r="E5006" s="1" t="str">
        <f>IF('Twenty-First'!E9="", "",'Twenty-First'!E9)</f>
        <v>Female</v>
      </c>
      <c r="F5006" s="1" t="str">
        <f>IF('Twenty-First'!F9="", "",'Twenty-First'!F9)</f>
        <v>Lower GI</v>
      </c>
      <c r="G5006" s="1" t="str">
        <f>IF('Twenty-First'!G9="", "",'Twenty-First'!G9)</f>
        <v>Non-Curative Intent</v>
      </c>
      <c r="H5006" s="1" t="str">
        <f>IF('Twenty-First'!H9="", "",'Twenty-First'!H9)</f>
        <v>Programme</v>
      </c>
      <c r="I5006" s="1" t="str">
        <f>IF('Twenty-First'!I9="", "",'Twenty-First'!I9)</f>
        <v>FSG General</v>
      </c>
      <c r="J5006" s="1" t="str">
        <f>IF('Twenty-First'!J9="", "",'Twenty-First'!J9)</f>
        <v/>
      </c>
      <c r="K5006" s="83" t="str">
        <f>IF('Twenty-First'!K9="", "",'Twenty-First'!K9)</f>
        <v/>
      </c>
      <c r="M5006" s="67">
        <f t="shared" si="240"/>
        <v>7</v>
      </c>
      <c r="N5006" s="76" t="str">
        <f t="shared" si="241"/>
        <v/>
      </c>
      <c r="O5006" s="33">
        <f t="shared" si="239"/>
        <v>7</v>
      </c>
    </row>
    <row r="5007" spans="1:15" x14ac:dyDescent="0.25">
      <c r="A5007" s="64" t="s">
        <v>190</v>
      </c>
      <c r="B5007" s="82" t="str">
        <f>IF('Twenty-First'!B10="", "",'Twenty-First'!B10)</f>
        <v>Centre Head</v>
      </c>
      <c r="C5007" s="1" t="str">
        <f>IF('Twenty-First'!C10="", "",'Twenty-First'!C10)</f>
        <v>PwC</v>
      </c>
      <c r="D5007" s="1" t="str">
        <f>IF('Twenty-First'!D10="", "",'Twenty-First'!D10)</f>
        <v>Returning</v>
      </c>
      <c r="E5007" s="1" t="str">
        <f>IF('Twenty-First'!E10="", "",'Twenty-First'!E10)</f>
        <v>Female</v>
      </c>
      <c r="F5007" s="1" t="str">
        <f>IF('Twenty-First'!F10="", "",'Twenty-First'!F10)</f>
        <v>Lower GI</v>
      </c>
      <c r="G5007" s="1" t="str">
        <f>IF('Twenty-First'!G10="", "",'Twenty-First'!G10)</f>
        <v>Non-Curative Intent</v>
      </c>
      <c r="H5007" s="1" t="str">
        <f>IF('Twenty-First'!H10="", "",'Twenty-First'!H10)</f>
        <v>Programme</v>
      </c>
      <c r="I5007" s="1" t="str">
        <f>IF('Twenty-First'!I10="", "",'Twenty-First'!I10)</f>
        <v>FSG General</v>
      </c>
      <c r="J5007" s="1" t="str">
        <f>IF('Twenty-First'!J10="", "",'Twenty-First'!J10)</f>
        <v/>
      </c>
      <c r="K5007" s="83" t="str">
        <f>IF('Twenty-First'!K10="", "",'Twenty-First'!K10)</f>
        <v/>
      </c>
      <c r="M5007" s="67">
        <f t="shared" si="240"/>
        <v>7</v>
      </c>
      <c r="N5007" s="76" t="str">
        <f t="shared" si="241"/>
        <v/>
      </c>
      <c r="O5007" s="33">
        <f t="shared" si="239"/>
        <v>7</v>
      </c>
    </row>
    <row r="5008" spans="1:15" x14ac:dyDescent="0.25">
      <c r="A5008" s="64" t="s">
        <v>190</v>
      </c>
      <c r="B5008" s="82" t="str">
        <f>IF('Twenty-First'!B11="", "",'Twenty-First'!B11)</f>
        <v>Centre Head</v>
      </c>
      <c r="C5008" s="1" t="str">
        <f>IF('Twenty-First'!C11="", "",'Twenty-First'!C11)</f>
        <v>PwC</v>
      </c>
      <c r="D5008" s="1" t="str">
        <f>IF('Twenty-First'!D11="", "",'Twenty-First'!D11)</f>
        <v>Returning</v>
      </c>
      <c r="E5008" s="1" t="str">
        <f>IF('Twenty-First'!E11="", "",'Twenty-First'!E11)</f>
        <v>Female</v>
      </c>
      <c r="F5008" s="1" t="str">
        <f>IF('Twenty-First'!F11="", "",'Twenty-First'!F11)</f>
        <v>Lower GI</v>
      </c>
      <c r="G5008" s="1" t="str">
        <f>IF('Twenty-First'!G11="", "",'Twenty-First'!G11)</f>
        <v>Non-Curative Intent</v>
      </c>
      <c r="H5008" s="1" t="str">
        <f>IF('Twenty-First'!H11="", "",'Twenty-First'!H11)</f>
        <v>Programme</v>
      </c>
      <c r="I5008" s="1" t="str">
        <f>IF('Twenty-First'!I11="", "",'Twenty-First'!I11)</f>
        <v>FSG General</v>
      </c>
      <c r="J5008" s="1" t="str">
        <f>IF('Twenty-First'!J11="", "",'Twenty-First'!J11)</f>
        <v/>
      </c>
      <c r="K5008" s="83" t="str">
        <f>IF('Twenty-First'!K11="", "",'Twenty-First'!K11)</f>
        <v/>
      </c>
      <c r="M5008" s="67">
        <f t="shared" si="240"/>
        <v>7</v>
      </c>
      <c r="N5008" s="76" t="str">
        <f t="shared" si="241"/>
        <v/>
      </c>
      <c r="O5008" s="33">
        <f t="shared" si="239"/>
        <v>7</v>
      </c>
    </row>
    <row r="5009" spans="1:15" x14ac:dyDescent="0.25">
      <c r="A5009" s="64" t="s">
        <v>190</v>
      </c>
      <c r="B5009" s="82" t="str">
        <f>IF('Twenty-First'!B12="", "",'Twenty-First'!B12)</f>
        <v>Centre Head</v>
      </c>
      <c r="C5009" s="1" t="str">
        <f>IF('Twenty-First'!C12="", "",'Twenty-First'!C12)</f>
        <v>PwC</v>
      </c>
      <c r="D5009" s="1" t="str">
        <f>IF('Twenty-First'!D12="", "",'Twenty-First'!D12)</f>
        <v>Returning</v>
      </c>
      <c r="E5009" s="1" t="str">
        <f>IF('Twenty-First'!E12="", "",'Twenty-First'!E12)</f>
        <v>Female</v>
      </c>
      <c r="F5009" s="1" t="str">
        <f>IF('Twenty-First'!F12="", "",'Twenty-First'!F12)</f>
        <v>Lower GI</v>
      </c>
      <c r="G5009" s="1" t="str">
        <f>IF('Twenty-First'!G12="", "",'Twenty-First'!G12)</f>
        <v>Non-Curative Intent</v>
      </c>
      <c r="H5009" s="1" t="str">
        <f>IF('Twenty-First'!H12="", "",'Twenty-First'!H12)</f>
        <v>Programme</v>
      </c>
      <c r="I5009" s="1" t="str">
        <f>IF('Twenty-First'!I12="", "",'Twenty-First'!I12)</f>
        <v>FSG General</v>
      </c>
      <c r="J5009" s="1" t="str">
        <f>IF('Twenty-First'!J12="", "",'Twenty-First'!J12)</f>
        <v/>
      </c>
      <c r="K5009" s="83" t="str">
        <f>IF('Twenty-First'!K12="", "",'Twenty-First'!K12)</f>
        <v/>
      </c>
      <c r="M5009" s="67">
        <f t="shared" si="240"/>
        <v>7</v>
      </c>
      <c r="N5009" s="76" t="str">
        <f t="shared" si="241"/>
        <v/>
      </c>
      <c r="O5009" s="33">
        <f t="shared" si="239"/>
        <v>7</v>
      </c>
    </row>
    <row r="5010" spans="1:15" x14ac:dyDescent="0.25">
      <c r="A5010" s="64" t="s">
        <v>190</v>
      </c>
      <c r="B5010" s="82" t="str">
        <f>IF('Twenty-First'!B13="", "",'Twenty-First'!B13)</f>
        <v>Centre Head</v>
      </c>
      <c r="C5010" s="1" t="str">
        <f>IF('Twenty-First'!C13="", "",'Twenty-First'!C13)</f>
        <v>PwC</v>
      </c>
      <c r="D5010" s="1" t="str">
        <f>IF('Twenty-First'!D13="", "",'Twenty-First'!D13)</f>
        <v>Returning</v>
      </c>
      <c r="E5010" s="1" t="str">
        <f>IF('Twenty-First'!E13="", "",'Twenty-First'!E13)</f>
        <v>Female</v>
      </c>
      <c r="F5010" s="1" t="str">
        <f>IF('Twenty-First'!F13="", "",'Twenty-First'!F13)</f>
        <v>Lung</v>
      </c>
      <c r="G5010" s="1" t="str">
        <f>IF('Twenty-First'!G13="", "",'Twenty-First'!G13)</f>
        <v>Non-Curative Intent</v>
      </c>
      <c r="H5010" s="1" t="str">
        <f>IF('Twenty-First'!H13="", "",'Twenty-First'!H13)</f>
        <v>Programme</v>
      </c>
      <c r="I5010" s="1" t="str">
        <f>IF('Twenty-First'!I13="", "",'Twenty-First'!I13)</f>
        <v>FSG General</v>
      </c>
      <c r="J5010" s="1" t="str">
        <f>IF('Twenty-First'!J13="", "",'Twenty-First'!J13)</f>
        <v/>
      </c>
      <c r="K5010" s="83" t="str">
        <f>IF('Twenty-First'!K13="", "",'Twenty-First'!K13)</f>
        <v/>
      </c>
      <c r="M5010" s="67">
        <f t="shared" si="240"/>
        <v>7</v>
      </c>
      <c r="N5010" s="76" t="str">
        <f t="shared" si="241"/>
        <v/>
      </c>
      <c r="O5010" s="33">
        <f t="shared" si="239"/>
        <v>7</v>
      </c>
    </row>
    <row r="5011" spans="1:15" x14ac:dyDescent="0.25">
      <c r="A5011" s="64" t="s">
        <v>190</v>
      </c>
      <c r="B5011" s="82" t="str">
        <f>IF('Twenty-First'!B14="", "",'Twenty-First'!B14)</f>
        <v>Centre Head</v>
      </c>
      <c r="C5011" s="1" t="str">
        <f>IF('Twenty-First'!C14="", "",'Twenty-First'!C14)</f>
        <v>PwC</v>
      </c>
      <c r="D5011" s="1" t="str">
        <f>IF('Twenty-First'!D14="", "",'Twenty-First'!D14)</f>
        <v>Returning</v>
      </c>
      <c r="E5011" s="1" t="str">
        <f>IF('Twenty-First'!E14="", "",'Twenty-First'!E14)</f>
        <v>Female</v>
      </c>
      <c r="F5011" s="1" t="str">
        <f>IF('Twenty-First'!F14="", "",'Twenty-First'!F14)</f>
        <v>Sarcoma</v>
      </c>
      <c r="G5011" s="1" t="str">
        <f>IF('Twenty-First'!G14="", "",'Twenty-First'!G14)</f>
        <v>Non-Curative Intent</v>
      </c>
      <c r="H5011" s="1" t="str">
        <f>IF('Twenty-First'!H14="", "",'Twenty-First'!H14)</f>
        <v>Programme</v>
      </c>
      <c r="I5011" s="1" t="str">
        <f>IF('Twenty-First'!I14="", "",'Twenty-First'!I14)</f>
        <v>FSG General</v>
      </c>
      <c r="J5011" s="1" t="str">
        <f>IF('Twenty-First'!J14="", "",'Twenty-First'!J14)</f>
        <v/>
      </c>
      <c r="K5011" s="83" t="str">
        <f>IF('Twenty-First'!K14="", "",'Twenty-First'!K14)</f>
        <v/>
      </c>
      <c r="M5011" s="67">
        <f t="shared" si="240"/>
        <v>7</v>
      </c>
      <c r="N5011" s="76" t="str">
        <f t="shared" si="241"/>
        <v/>
      </c>
      <c r="O5011" s="33">
        <f t="shared" si="239"/>
        <v>7</v>
      </c>
    </row>
    <row r="5012" spans="1:15" x14ac:dyDescent="0.25">
      <c r="A5012" s="64" t="s">
        <v>190</v>
      </c>
      <c r="B5012" s="82" t="str">
        <f>IF('Twenty-First'!B15="", "",'Twenty-First'!B15)</f>
        <v>Centre Head</v>
      </c>
      <c r="C5012" s="1" t="str">
        <f>IF('Twenty-First'!C15="", "",'Twenty-First'!C15)</f>
        <v>PwC</v>
      </c>
      <c r="D5012" s="1" t="str">
        <f>IF('Twenty-First'!D15="", "",'Twenty-First'!D15)</f>
        <v>Returning</v>
      </c>
      <c r="E5012" s="1" t="str">
        <f>IF('Twenty-First'!E15="", "",'Twenty-First'!E15)</f>
        <v>Female</v>
      </c>
      <c r="F5012" s="1" t="str">
        <f>IF('Twenty-First'!F15="", "",'Twenty-First'!F15)</f>
        <v>Lower GI</v>
      </c>
      <c r="G5012" s="1" t="str">
        <f>IF('Twenty-First'!G15="", "",'Twenty-First'!G15)</f>
        <v>Non-Curative Intent</v>
      </c>
      <c r="H5012" s="1" t="str">
        <f>IF('Twenty-First'!H15="", "",'Twenty-First'!H15)</f>
        <v>Programme</v>
      </c>
      <c r="I5012" s="1" t="str">
        <f>IF('Twenty-First'!I15="", "",'Twenty-First'!I15)</f>
        <v>FSG General</v>
      </c>
      <c r="J5012" s="1" t="str">
        <f>IF('Twenty-First'!J15="", "",'Twenty-First'!J15)</f>
        <v/>
      </c>
      <c r="K5012" s="83" t="str">
        <f>IF('Twenty-First'!K15="", "",'Twenty-First'!K15)</f>
        <v/>
      </c>
      <c r="M5012" s="67">
        <f t="shared" si="240"/>
        <v>7</v>
      </c>
      <c r="N5012" s="76" t="str">
        <f t="shared" si="241"/>
        <v/>
      </c>
      <c r="O5012" s="33">
        <f t="shared" si="239"/>
        <v>7</v>
      </c>
    </row>
    <row r="5013" spans="1:15" x14ac:dyDescent="0.25">
      <c r="A5013" s="64" t="s">
        <v>190</v>
      </c>
      <c r="B5013" s="82" t="str">
        <f>IF('Twenty-First'!B16="", "",'Twenty-First'!B16)</f>
        <v>Centre Head</v>
      </c>
      <c r="C5013" s="1" t="str">
        <f>IF('Twenty-First'!C16="", "",'Twenty-First'!C16)</f>
        <v>PwC</v>
      </c>
      <c r="D5013" s="1" t="str">
        <f>IF('Twenty-First'!D16="", "",'Twenty-First'!D16)</f>
        <v>Returning</v>
      </c>
      <c r="E5013" s="1" t="str">
        <f>IF('Twenty-First'!E16="", "",'Twenty-First'!E16)</f>
        <v>Female</v>
      </c>
      <c r="F5013" s="1" t="str">
        <f>IF('Twenty-First'!F16="", "",'Twenty-First'!F16)</f>
        <v>Breast</v>
      </c>
      <c r="G5013" s="1" t="str">
        <f>IF('Twenty-First'!G16="", "",'Twenty-First'!G16)</f>
        <v>Non-Curative Intent</v>
      </c>
      <c r="H5013" s="1" t="str">
        <f>IF('Twenty-First'!H16="", "",'Twenty-First'!H16)</f>
        <v>Programme</v>
      </c>
      <c r="I5013" s="1" t="str">
        <f>IF('Twenty-First'!I16="", "",'Twenty-First'!I16)</f>
        <v>FSG General</v>
      </c>
      <c r="J5013" s="1" t="str">
        <f>IF('Twenty-First'!J16="", "",'Twenty-First'!J16)</f>
        <v/>
      </c>
      <c r="K5013" s="83" t="str">
        <f>IF('Twenty-First'!K16="", "",'Twenty-First'!K16)</f>
        <v/>
      </c>
      <c r="M5013" s="67">
        <f t="shared" si="240"/>
        <v>7</v>
      </c>
      <c r="N5013" s="76" t="str">
        <f t="shared" si="241"/>
        <v/>
      </c>
      <c r="O5013" s="33">
        <f t="shared" si="239"/>
        <v>7</v>
      </c>
    </row>
    <row r="5014" spans="1:15" x14ac:dyDescent="0.25">
      <c r="A5014" s="64" t="s">
        <v>190</v>
      </c>
      <c r="B5014" s="82" t="str">
        <f>IF('Twenty-First'!B17="", "",'Twenty-First'!B17)</f>
        <v>Centre Head</v>
      </c>
      <c r="C5014" s="1" t="str">
        <f>IF('Twenty-First'!C17="", "",'Twenty-First'!C17)</f>
        <v>Carer</v>
      </c>
      <c r="D5014" s="1" t="str">
        <f>IF('Twenty-First'!D17="", "",'Twenty-First'!D17)</f>
        <v>Returning</v>
      </c>
      <c r="E5014" s="1" t="str">
        <f>IF('Twenty-First'!E17="", "",'Twenty-First'!E17)</f>
        <v>Female</v>
      </c>
      <c r="F5014" s="1" t="str">
        <f>IF('Twenty-First'!F17="", "",'Twenty-First'!F17)</f>
        <v>Haemat</v>
      </c>
      <c r="G5014" s="1" t="str">
        <f>IF('Twenty-First'!G17="", "",'Twenty-First'!G17)</f>
        <v>Bereaved</v>
      </c>
      <c r="H5014" s="1" t="str">
        <f>IF('Twenty-First'!H17="", "",'Twenty-First'!H17)</f>
        <v>Booked</v>
      </c>
      <c r="I5014" s="1" t="str">
        <f>IF('Twenty-First'!I17="", "",'Twenty-First'!I17)</f>
        <v>Psych Support - Individual</v>
      </c>
      <c r="J5014" s="1" t="str">
        <f>IF('Twenty-First'!J17="", "",'Twenty-First'!J17)</f>
        <v/>
      </c>
      <c r="K5014" s="83" t="str">
        <f>IF('Twenty-First'!K17="", "",'Twenty-First'!K17)</f>
        <v/>
      </c>
      <c r="M5014" s="67" t="str">
        <f t="shared" si="240"/>
        <v/>
      </c>
      <c r="N5014" s="76">
        <f t="shared" si="241"/>
        <v>7</v>
      </c>
      <c r="O5014" s="33">
        <f t="shared" si="239"/>
        <v>7</v>
      </c>
    </row>
    <row r="5015" spans="1:15" x14ac:dyDescent="0.25">
      <c r="A5015" s="64" t="s">
        <v>190</v>
      </c>
      <c r="B5015" s="82" t="str">
        <f>IF('Twenty-First'!B18="", "",'Twenty-First'!B18)</f>
        <v>Centre Head</v>
      </c>
      <c r="C5015" s="1" t="str">
        <f>IF('Twenty-First'!C18="", "",'Twenty-First'!C18)</f>
        <v>Carer</v>
      </c>
      <c r="D5015" s="1" t="str">
        <f>IF('Twenty-First'!D18="", "",'Twenty-First'!D18)</f>
        <v>Returning</v>
      </c>
      <c r="E5015" s="1" t="str">
        <f>IF('Twenty-First'!E18="", "",'Twenty-First'!E18)</f>
        <v>Female</v>
      </c>
      <c r="F5015" s="1" t="str">
        <f>IF('Twenty-First'!F18="", "",'Twenty-First'!F18)</f>
        <v>Gynae</v>
      </c>
      <c r="G5015" s="1" t="str">
        <f>IF('Twenty-First'!G18="", "",'Twenty-First'!G18)</f>
        <v>Bereaved</v>
      </c>
      <c r="H5015" s="1" t="str">
        <f>IF('Twenty-First'!H18="", "",'Twenty-First'!H18)</f>
        <v>Booked</v>
      </c>
      <c r="I5015" s="1" t="str">
        <f>IF('Twenty-First'!I18="", "",'Twenty-First'!I18)</f>
        <v>Psych Support - Individual</v>
      </c>
      <c r="J5015" s="1" t="str">
        <f>IF('Twenty-First'!J18="", "",'Twenty-First'!J18)</f>
        <v/>
      </c>
      <c r="K5015" s="83" t="str">
        <f>IF('Twenty-First'!K18="", "",'Twenty-First'!K18)</f>
        <v/>
      </c>
      <c r="M5015" s="67" t="str">
        <f t="shared" si="240"/>
        <v/>
      </c>
      <c r="N5015" s="76">
        <f t="shared" si="241"/>
        <v>7</v>
      </c>
      <c r="O5015" s="33">
        <f t="shared" si="239"/>
        <v>7</v>
      </c>
    </row>
    <row r="5016" spans="1:15" x14ac:dyDescent="0.25">
      <c r="A5016" s="64" t="s">
        <v>190</v>
      </c>
      <c r="B5016" s="82" t="str">
        <f>IF('Twenty-First'!B19="", "",'Twenty-First'!B19)</f>
        <v>CSS</v>
      </c>
      <c r="C5016" s="1" t="str">
        <f>IF('Twenty-First'!C19="", "",'Twenty-First'!C19)</f>
        <v>PwC</v>
      </c>
      <c r="D5016" s="1" t="str">
        <f>IF('Twenty-First'!D19="", "",'Twenty-First'!D19)</f>
        <v>Returning</v>
      </c>
      <c r="E5016" s="1" t="str">
        <f>IF('Twenty-First'!E19="", "",'Twenty-First'!E19)</f>
        <v>Female</v>
      </c>
      <c r="F5016" s="1" t="str">
        <f>IF('Twenty-First'!F19="", "",'Twenty-First'!F19)</f>
        <v>Breast</v>
      </c>
      <c r="G5016" s="1" t="str">
        <f>IF('Twenty-First'!G19="", "",'Twenty-First'!G19)</f>
        <v>Post Treatment - Curative Intent</v>
      </c>
      <c r="H5016" s="1" t="str">
        <f>IF('Twenty-First'!H19="", "",'Twenty-First'!H19)</f>
        <v>Drop-In</v>
      </c>
      <c r="I5016" s="1" t="str">
        <f>IF('Twenty-First'!I19="", "",'Twenty-First'!I19)</f>
        <v/>
      </c>
      <c r="J5016" s="1" t="str">
        <f>IF('Twenty-First'!J19="", "",'Twenty-First'!J19)</f>
        <v/>
      </c>
      <c r="K5016" s="83" t="str">
        <f>IF('Twenty-First'!K19="", "",'Twenty-First'!K19)</f>
        <v/>
      </c>
      <c r="M5016" s="67">
        <f t="shared" si="240"/>
        <v>7</v>
      </c>
      <c r="N5016" s="76" t="str">
        <f t="shared" si="241"/>
        <v/>
      </c>
      <c r="O5016" s="33">
        <f t="shared" si="239"/>
        <v>7</v>
      </c>
    </row>
    <row r="5017" spans="1:15" x14ac:dyDescent="0.25">
      <c r="A5017" s="64" t="s">
        <v>190</v>
      </c>
      <c r="B5017" s="82" t="str">
        <f>IF('Twenty-First'!B20="", "",'Twenty-First'!B20)</f>
        <v>CSS</v>
      </c>
      <c r="C5017" s="1" t="str">
        <f>IF('Twenty-First'!C20="", "",'Twenty-First'!C20)</f>
        <v>PwC</v>
      </c>
      <c r="D5017" s="1" t="str">
        <f>IF('Twenty-First'!D20="", "",'Twenty-First'!D20)</f>
        <v>New</v>
      </c>
      <c r="E5017" s="1" t="str">
        <f>IF('Twenty-First'!E20="", "",'Twenty-First'!E20)</f>
        <v>Female</v>
      </c>
      <c r="F5017" s="1" t="str">
        <f>IF('Twenty-First'!F20="", "",'Twenty-First'!F20)</f>
        <v>Breast</v>
      </c>
      <c r="G5017" s="1" t="str">
        <f>IF('Twenty-First'!G20="", "",'Twenty-First'!G20)</f>
        <v>Curative Intent</v>
      </c>
      <c r="H5017" s="1" t="str">
        <f>IF('Twenty-First'!H20="", "",'Twenty-First'!H20)</f>
        <v>Drop-In</v>
      </c>
      <c r="I5017" s="1" t="str">
        <f>IF('Twenty-First'!I20="", "",'Twenty-First'!I20)</f>
        <v/>
      </c>
      <c r="J5017" s="1" t="str">
        <f>IF('Twenty-First'!J20="", "",'Twenty-First'!J20)</f>
        <v/>
      </c>
      <c r="K5017" s="83" t="str">
        <f>IF('Twenty-First'!K20="", "",'Twenty-First'!K20)</f>
        <v/>
      </c>
      <c r="M5017" s="67">
        <f t="shared" si="240"/>
        <v>7</v>
      </c>
      <c r="N5017" s="76" t="str">
        <f t="shared" si="241"/>
        <v/>
      </c>
      <c r="O5017" s="33">
        <f t="shared" si="239"/>
        <v>7</v>
      </c>
    </row>
    <row r="5018" spans="1:15" x14ac:dyDescent="0.25">
      <c r="A5018" s="64" t="s">
        <v>190</v>
      </c>
      <c r="B5018" s="82" t="str">
        <f>IF('Twenty-First'!B21="", "",'Twenty-First'!B21)</f>
        <v>CSS</v>
      </c>
      <c r="C5018" s="1" t="str">
        <f>IF('Twenty-First'!C21="", "",'Twenty-First'!C21)</f>
        <v>Carer</v>
      </c>
      <c r="D5018" s="1" t="str">
        <f>IF('Twenty-First'!D21="", "",'Twenty-First'!D21)</f>
        <v>New</v>
      </c>
      <c r="E5018" s="1" t="str">
        <f>IF('Twenty-First'!E21="", "",'Twenty-First'!E21)</f>
        <v>Male</v>
      </c>
      <c r="F5018" s="1" t="str">
        <f>IF('Twenty-First'!F21="", "",'Twenty-First'!F21)</f>
        <v>Breast</v>
      </c>
      <c r="G5018" s="1" t="str">
        <f>IF('Twenty-First'!G21="", "",'Twenty-First'!G21)</f>
        <v>Curative Intent</v>
      </c>
      <c r="H5018" s="1" t="str">
        <f>IF('Twenty-First'!H21="", "",'Twenty-First'!H21)</f>
        <v>Drop-In</v>
      </c>
      <c r="I5018" s="1" t="str">
        <f>IF('Twenty-First'!I21="", "",'Twenty-First'!I21)</f>
        <v/>
      </c>
      <c r="J5018" s="1" t="str">
        <f>IF('Twenty-First'!J21="", "",'Twenty-First'!J21)</f>
        <v/>
      </c>
      <c r="K5018" s="83" t="str">
        <f>IF('Twenty-First'!K21="", "",'Twenty-First'!K21)</f>
        <v/>
      </c>
      <c r="M5018" s="67" t="str">
        <f t="shared" si="240"/>
        <v/>
      </c>
      <c r="N5018" s="76">
        <f t="shared" si="241"/>
        <v>7</v>
      </c>
      <c r="O5018" s="33">
        <f t="shared" si="239"/>
        <v>7</v>
      </c>
    </row>
    <row r="5019" spans="1:15" x14ac:dyDescent="0.25">
      <c r="A5019" s="64" t="s">
        <v>190</v>
      </c>
      <c r="B5019" s="82" t="str">
        <f>IF('Twenty-First'!B22="", "",'Twenty-First'!B22)</f>
        <v>CSS</v>
      </c>
      <c r="C5019" s="1" t="str">
        <f>IF('Twenty-First'!C22="", "",'Twenty-First'!C22)</f>
        <v>PwC</v>
      </c>
      <c r="D5019" s="1" t="str">
        <f>IF('Twenty-First'!D22="", "",'Twenty-First'!D22)</f>
        <v>Returning</v>
      </c>
      <c r="E5019" s="1" t="str">
        <f>IF('Twenty-First'!E22="", "",'Twenty-First'!E22)</f>
        <v>Female</v>
      </c>
      <c r="F5019" s="1" t="str">
        <f>IF('Twenty-First'!F22="", "",'Twenty-First'!F22)</f>
        <v>Brain/CNS</v>
      </c>
      <c r="G5019" s="1" t="str">
        <f>IF('Twenty-First'!G22="", "",'Twenty-First'!G22)</f>
        <v>Bereaved</v>
      </c>
      <c r="H5019" s="1" t="str">
        <f>IF('Twenty-First'!H22="", "",'Twenty-First'!H22)</f>
        <v>Booked</v>
      </c>
      <c r="I5019" s="1" t="str">
        <f>IF('Twenty-First'!I22="", "",'Twenty-First'!I22)</f>
        <v>Psych Support - Individual</v>
      </c>
      <c r="J5019" s="1" t="str">
        <f>IF('Twenty-First'!J22="", "",'Twenty-First'!J22)</f>
        <v/>
      </c>
      <c r="K5019" s="83" t="str">
        <f>IF('Twenty-First'!K22="", "",'Twenty-First'!K22)</f>
        <v/>
      </c>
      <c r="M5019" s="67">
        <f t="shared" si="240"/>
        <v>7</v>
      </c>
      <c r="N5019" s="76" t="str">
        <f t="shared" si="241"/>
        <v/>
      </c>
      <c r="O5019" s="33">
        <f t="shared" si="239"/>
        <v>7</v>
      </c>
    </row>
    <row r="5020" spans="1:15" x14ac:dyDescent="0.25">
      <c r="A5020" s="64" t="s">
        <v>190</v>
      </c>
      <c r="B5020" s="82" t="str">
        <f>IF('Twenty-First'!B23="", "",'Twenty-First'!B23)</f>
        <v>CSS</v>
      </c>
      <c r="C5020" s="1" t="str">
        <f>IF('Twenty-First'!C23="", "",'Twenty-First'!C23)</f>
        <v>PwC</v>
      </c>
      <c r="D5020" s="1" t="str">
        <f>IF('Twenty-First'!D23="", "",'Twenty-First'!D23)</f>
        <v>Returning</v>
      </c>
      <c r="E5020" s="1" t="str">
        <f>IF('Twenty-First'!E23="", "",'Twenty-First'!E23)</f>
        <v>Female</v>
      </c>
      <c r="F5020" s="1" t="str">
        <f>IF('Twenty-First'!F23="", "",'Twenty-First'!F23)</f>
        <v>Sarcoma</v>
      </c>
      <c r="G5020" s="1" t="str">
        <f>IF('Twenty-First'!G23="", "",'Twenty-First'!G23)</f>
        <v>Non-Curative Intent</v>
      </c>
      <c r="H5020" s="1" t="str">
        <f>IF('Twenty-First'!H23="", "",'Twenty-First'!H23)</f>
        <v>Drop-In</v>
      </c>
      <c r="I5020" s="1" t="str">
        <f>IF('Twenty-First'!I23="", "",'Twenty-First'!I23)</f>
        <v/>
      </c>
      <c r="J5020" s="1" t="str">
        <f>IF('Twenty-First'!J23="", "",'Twenty-First'!J23)</f>
        <v/>
      </c>
      <c r="K5020" s="83" t="str">
        <f>IF('Twenty-First'!K23="", "",'Twenty-First'!K23)</f>
        <v/>
      </c>
      <c r="M5020" s="67">
        <f t="shared" si="240"/>
        <v>7</v>
      </c>
      <c r="N5020" s="76" t="str">
        <f t="shared" si="241"/>
        <v/>
      </c>
      <c r="O5020" s="33">
        <f t="shared" si="239"/>
        <v>7</v>
      </c>
    </row>
    <row r="5021" spans="1:15" x14ac:dyDescent="0.25">
      <c r="A5021" s="64" t="s">
        <v>190</v>
      </c>
      <c r="B5021" s="82" t="str">
        <f>IF('Twenty-First'!B24="", "",'Twenty-First'!B24)</f>
        <v>CSS</v>
      </c>
      <c r="C5021" s="1" t="str">
        <f>IF('Twenty-First'!C24="", "",'Twenty-First'!C24)</f>
        <v>PwC</v>
      </c>
      <c r="D5021" s="1" t="str">
        <f>IF('Twenty-First'!D24="", "",'Twenty-First'!D24)</f>
        <v>Returning</v>
      </c>
      <c r="E5021" s="1" t="str">
        <f>IF('Twenty-First'!E24="", "",'Twenty-First'!E24)</f>
        <v>Female</v>
      </c>
      <c r="F5021" s="1" t="str">
        <f>IF('Twenty-First'!F24="", "",'Twenty-First'!F24)</f>
        <v>Breast</v>
      </c>
      <c r="G5021" s="1" t="str">
        <f>IF('Twenty-First'!G24="", "",'Twenty-First'!G24)</f>
        <v>Non-Curative Intent</v>
      </c>
      <c r="H5021" s="1" t="str">
        <f>IF('Twenty-First'!H24="", "",'Twenty-First'!H24)</f>
        <v>Drop-In</v>
      </c>
      <c r="I5021" s="1" t="str">
        <f>IF('Twenty-First'!I24="", "",'Twenty-First'!I24)</f>
        <v/>
      </c>
      <c r="J5021" s="1" t="str">
        <f>IF('Twenty-First'!J24="", "",'Twenty-First'!J24)</f>
        <v/>
      </c>
      <c r="K5021" s="83" t="str">
        <f>IF('Twenty-First'!K24="", "",'Twenty-First'!K24)</f>
        <v/>
      </c>
      <c r="M5021" s="67">
        <f t="shared" si="240"/>
        <v>7</v>
      </c>
      <c r="N5021" s="76" t="str">
        <f t="shared" si="241"/>
        <v/>
      </c>
      <c r="O5021" s="33">
        <f t="shared" si="239"/>
        <v>7</v>
      </c>
    </row>
    <row r="5022" spans="1:15" x14ac:dyDescent="0.25">
      <c r="A5022" s="64" t="s">
        <v>190</v>
      </c>
      <c r="B5022" s="82" t="str">
        <f>IF('Twenty-First'!B25="", "",'Twenty-First'!B25)</f>
        <v>CSS</v>
      </c>
      <c r="C5022" s="1" t="str">
        <f>IF('Twenty-First'!C25="", "",'Twenty-First'!C25)</f>
        <v>PwC</v>
      </c>
      <c r="D5022" s="1" t="str">
        <f>IF('Twenty-First'!D25="", "",'Twenty-First'!D25)</f>
        <v>Returning</v>
      </c>
      <c r="E5022" s="1" t="str">
        <f>IF('Twenty-First'!E25="", "",'Twenty-First'!E25)</f>
        <v>Male</v>
      </c>
      <c r="F5022" s="1" t="str">
        <f>IF('Twenty-First'!F25="", "",'Twenty-First'!F25)</f>
        <v>Head/Neck</v>
      </c>
      <c r="G5022" s="1" t="str">
        <f>IF('Twenty-First'!G25="", "",'Twenty-First'!G25)</f>
        <v>Post Treatment - Curative Intent</v>
      </c>
      <c r="H5022" s="1" t="str">
        <f>IF('Twenty-First'!H25="", "",'Twenty-First'!H25)</f>
        <v>Booked</v>
      </c>
      <c r="I5022" s="1" t="str">
        <f>IF('Twenty-First'!I25="", "",'Twenty-First'!I25)</f>
        <v>Psych Support - Individual</v>
      </c>
      <c r="J5022" s="1" t="str">
        <f>IF('Twenty-First'!J25="", "",'Twenty-First'!J25)</f>
        <v/>
      </c>
      <c r="K5022" s="83" t="str">
        <f>IF('Twenty-First'!K25="", "",'Twenty-First'!K25)</f>
        <v/>
      </c>
      <c r="M5022" s="67">
        <f t="shared" si="240"/>
        <v>7</v>
      </c>
      <c r="N5022" s="76" t="str">
        <f t="shared" si="241"/>
        <v/>
      </c>
      <c r="O5022" s="33">
        <f t="shared" si="239"/>
        <v>7</v>
      </c>
    </row>
    <row r="5023" spans="1:15" x14ac:dyDescent="0.25">
      <c r="A5023" s="64" t="s">
        <v>190</v>
      </c>
      <c r="B5023" s="82" t="str">
        <f>IF('Twenty-First'!B26="", "",'Twenty-First'!B26)</f>
        <v>CSS</v>
      </c>
      <c r="C5023" s="1" t="str">
        <f>IF('Twenty-First'!C26="", "",'Twenty-First'!C26)</f>
        <v>PwC</v>
      </c>
      <c r="D5023" s="1" t="str">
        <f>IF('Twenty-First'!D26="", "",'Twenty-First'!D26)</f>
        <v>Returning</v>
      </c>
      <c r="E5023" s="1" t="str">
        <f>IF('Twenty-First'!E26="", "",'Twenty-First'!E26)</f>
        <v>Male</v>
      </c>
      <c r="F5023" s="1" t="str">
        <f>IF('Twenty-First'!F26="", "",'Twenty-First'!F26)</f>
        <v>Haemat</v>
      </c>
      <c r="G5023" s="1" t="str">
        <f>IF('Twenty-First'!G26="", "",'Twenty-First'!G26)</f>
        <v>Post Treatment - Curative Intent</v>
      </c>
      <c r="H5023" s="1" t="str">
        <f>IF('Twenty-First'!H26="", "",'Twenty-First'!H26)</f>
        <v>Programme</v>
      </c>
      <c r="I5023" s="1" t="str">
        <f>IF('Twenty-First'!I26="", "",'Twenty-First'!I26)</f>
        <v>Managing Stress</v>
      </c>
      <c r="J5023" s="1" t="str">
        <f>IF('Twenty-First'!J26="", "",'Twenty-First'!J26)</f>
        <v/>
      </c>
      <c r="K5023" s="83" t="str">
        <f>IF('Twenty-First'!K26="", "",'Twenty-First'!K26)</f>
        <v/>
      </c>
      <c r="M5023" s="67">
        <f t="shared" si="240"/>
        <v>7</v>
      </c>
      <c r="N5023" s="76" t="str">
        <f t="shared" si="241"/>
        <v/>
      </c>
      <c r="O5023" s="33">
        <f t="shared" si="239"/>
        <v>7</v>
      </c>
    </row>
    <row r="5024" spans="1:15" x14ac:dyDescent="0.25">
      <c r="A5024" s="64" t="s">
        <v>190</v>
      </c>
      <c r="B5024" s="82" t="str">
        <f>IF('Twenty-First'!B27="", "",'Twenty-First'!B27)</f>
        <v>CSS</v>
      </c>
      <c r="C5024" s="1" t="str">
        <f>IF('Twenty-First'!C27="", "",'Twenty-First'!C27)</f>
        <v>PwC</v>
      </c>
      <c r="D5024" s="1" t="str">
        <f>IF('Twenty-First'!D27="", "",'Twenty-First'!D27)</f>
        <v>Returning</v>
      </c>
      <c r="E5024" s="1" t="str">
        <f>IF('Twenty-First'!E27="", "",'Twenty-First'!E27)</f>
        <v>Female</v>
      </c>
      <c r="F5024" s="1" t="str">
        <f>IF('Twenty-First'!F27="", "",'Twenty-First'!F27)</f>
        <v>Breast</v>
      </c>
      <c r="G5024" s="1" t="str">
        <f>IF('Twenty-First'!G27="", "",'Twenty-First'!G27)</f>
        <v>Post Treatment - Curative Intent</v>
      </c>
      <c r="H5024" s="1" t="str">
        <f>IF('Twenty-First'!H27="", "",'Twenty-First'!H27)</f>
        <v>Programme</v>
      </c>
      <c r="I5024" s="1" t="str">
        <f>IF('Twenty-First'!I27="", "",'Twenty-First'!I27)</f>
        <v>Managing Stress</v>
      </c>
      <c r="J5024" s="1" t="str">
        <f>IF('Twenty-First'!J27="", "",'Twenty-First'!J27)</f>
        <v/>
      </c>
      <c r="K5024" s="83" t="str">
        <f>IF('Twenty-First'!K27="", "",'Twenty-First'!K27)</f>
        <v/>
      </c>
      <c r="M5024" s="67">
        <f t="shared" si="240"/>
        <v>7</v>
      </c>
      <c r="N5024" s="76" t="str">
        <f t="shared" si="241"/>
        <v/>
      </c>
      <c r="O5024" s="33">
        <f t="shared" si="239"/>
        <v>7</v>
      </c>
    </row>
    <row r="5025" spans="1:15" x14ac:dyDescent="0.25">
      <c r="A5025" s="64" t="s">
        <v>190</v>
      </c>
      <c r="B5025" s="82" t="str">
        <f>IF('Twenty-First'!B28="", "",'Twenty-First'!B28)</f>
        <v>CSS</v>
      </c>
      <c r="C5025" s="1" t="str">
        <f>IF('Twenty-First'!C28="", "",'Twenty-First'!C28)</f>
        <v>PwC</v>
      </c>
      <c r="D5025" s="1" t="str">
        <f>IF('Twenty-First'!D28="", "",'Twenty-First'!D28)</f>
        <v>Returning</v>
      </c>
      <c r="E5025" s="1" t="str">
        <f>IF('Twenty-First'!E28="", "",'Twenty-First'!E28)</f>
        <v>Female</v>
      </c>
      <c r="F5025" s="1" t="str">
        <f>IF('Twenty-First'!F28="", "",'Twenty-First'!F28)</f>
        <v>Breast</v>
      </c>
      <c r="G5025" s="1" t="str">
        <f>IF('Twenty-First'!G28="", "",'Twenty-First'!G28)</f>
        <v>Post Treatment - Curative Intent</v>
      </c>
      <c r="H5025" s="1" t="str">
        <f>IF('Twenty-First'!H28="", "",'Twenty-First'!H28)</f>
        <v>Programme</v>
      </c>
      <c r="I5025" s="1" t="str">
        <f>IF('Twenty-First'!I28="", "",'Twenty-First'!I28)</f>
        <v>Managing Stress</v>
      </c>
      <c r="J5025" s="1" t="str">
        <f>IF('Twenty-First'!J28="", "",'Twenty-First'!J28)</f>
        <v/>
      </c>
      <c r="K5025" s="83" t="str">
        <f>IF('Twenty-First'!K28="", "",'Twenty-First'!K28)</f>
        <v/>
      </c>
      <c r="M5025" s="67">
        <f t="shared" si="240"/>
        <v>7</v>
      </c>
      <c r="N5025" s="76" t="str">
        <f t="shared" si="241"/>
        <v/>
      </c>
      <c r="O5025" s="33">
        <f t="shared" si="239"/>
        <v>7</v>
      </c>
    </row>
    <row r="5026" spans="1:15" x14ac:dyDescent="0.25">
      <c r="A5026" s="64" t="s">
        <v>190</v>
      </c>
      <c r="B5026" s="82" t="str">
        <f>IF('Twenty-First'!B29="", "",'Twenty-First'!B29)</f>
        <v>CSS</v>
      </c>
      <c r="C5026" s="1" t="str">
        <f>IF('Twenty-First'!C29="", "",'Twenty-First'!C29)</f>
        <v>PwC</v>
      </c>
      <c r="D5026" s="1" t="str">
        <f>IF('Twenty-First'!D29="", "",'Twenty-First'!D29)</f>
        <v>Returning</v>
      </c>
      <c r="E5026" s="1" t="str">
        <f>IF('Twenty-First'!E29="", "",'Twenty-First'!E29)</f>
        <v>Female</v>
      </c>
      <c r="F5026" s="1" t="str">
        <f>IF('Twenty-First'!F29="", "",'Twenty-First'!F29)</f>
        <v>Haemat</v>
      </c>
      <c r="G5026" s="1" t="str">
        <f>IF('Twenty-First'!G29="", "",'Twenty-First'!G29)</f>
        <v>Non-Curative Intent</v>
      </c>
      <c r="H5026" s="1" t="str">
        <f>IF('Twenty-First'!H29="", "",'Twenty-First'!H29)</f>
        <v>Programme</v>
      </c>
      <c r="I5026" s="1" t="str">
        <f>IF('Twenty-First'!I29="", "",'Twenty-First'!I29)</f>
        <v>Managing Stress</v>
      </c>
      <c r="J5026" s="1" t="str">
        <f>IF('Twenty-First'!J29="", "",'Twenty-First'!J29)</f>
        <v/>
      </c>
      <c r="K5026" s="83" t="str">
        <f>IF('Twenty-First'!K29="", "",'Twenty-First'!K29)</f>
        <v/>
      </c>
      <c r="M5026" s="67">
        <f t="shared" si="240"/>
        <v>7</v>
      </c>
      <c r="N5026" s="76" t="str">
        <f t="shared" si="241"/>
        <v/>
      </c>
      <c r="O5026" s="33">
        <f t="shared" si="239"/>
        <v>7</v>
      </c>
    </row>
    <row r="5027" spans="1:15" x14ac:dyDescent="0.25">
      <c r="A5027" s="64" t="s">
        <v>190</v>
      </c>
      <c r="B5027" s="82" t="str">
        <f>IF('Twenty-First'!B30="", "",'Twenty-First'!B30)</f>
        <v>CSS</v>
      </c>
      <c r="C5027" s="1" t="str">
        <f>IF('Twenty-First'!C30="", "",'Twenty-First'!C30)</f>
        <v>PwC</v>
      </c>
      <c r="D5027" s="1" t="str">
        <f>IF('Twenty-First'!D30="", "",'Twenty-First'!D30)</f>
        <v>Returning</v>
      </c>
      <c r="E5027" s="1" t="str">
        <f>IF('Twenty-First'!E30="", "",'Twenty-First'!E30)</f>
        <v>Male</v>
      </c>
      <c r="F5027" s="1" t="str">
        <f>IF('Twenty-First'!F30="", "",'Twenty-First'!F30)</f>
        <v>Lower GI</v>
      </c>
      <c r="G5027" s="1" t="str">
        <f>IF('Twenty-First'!G30="", "",'Twenty-First'!G30)</f>
        <v>Curative Intent</v>
      </c>
      <c r="H5027" s="1" t="str">
        <f>IF('Twenty-First'!H30="", "",'Twenty-First'!H30)</f>
        <v>Programme</v>
      </c>
      <c r="I5027" s="1" t="str">
        <f>IF('Twenty-First'!I30="", "",'Twenty-First'!I30)</f>
        <v>Managing Stress</v>
      </c>
      <c r="J5027" s="1" t="str">
        <f>IF('Twenty-First'!J30="", "",'Twenty-First'!J30)</f>
        <v/>
      </c>
      <c r="K5027" s="83" t="str">
        <f>IF('Twenty-First'!K30="", "",'Twenty-First'!K30)</f>
        <v/>
      </c>
      <c r="M5027" s="67">
        <f t="shared" si="240"/>
        <v>7</v>
      </c>
      <c r="N5027" s="76" t="str">
        <f t="shared" si="241"/>
        <v/>
      </c>
      <c r="O5027" s="33">
        <f t="shared" si="239"/>
        <v>7</v>
      </c>
    </row>
    <row r="5028" spans="1:15" x14ac:dyDescent="0.25">
      <c r="A5028" s="64" t="s">
        <v>190</v>
      </c>
      <c r="B5028" s="82" t="str">
        <f>IF('Twenty-First'!B31="", "",'Twenty-First'!B31)</f>
        <v>CSS</v>
      </c>
      <c r="C5028" s="1" t="str">
        <f>IF('Twenty-First'!C31="", "",'Twenty-First'!C31)</f>
        <v>PwC</v>
      </c>
      <c r="D5028" s="1" t="str">
        <f>IF('Twenty-First'!D31="", "",'Twenty-First'!D31)</f>
        <v>Returning</v>
      </c>
      <c r="E5028" s="1" t="str">
        <f>IF('Twenty-First'!E31="", "",'Twenty-First'!E31)</f>
        <v>Male</v>
      </c>
      <c r="F5028" s="1" t="str">
        <f>IF('Twenty-First'!F31="", "",'Twenty-First'!F31)</f>
        <v>Head/Neck</v>
      </c>
      <c r="G5028" s="1" t="str">
        <f>IF('Twenty-First'!G31="", "",'Twenty-First'!G31)</f>
        <v>Post Treatment - Curative Intent</v>
      </c>
      <c r="H5028" s="1" t="str">
        <f>IF('Twenty-First'!H31="", "",'Twenty-First'!H31)</f>
        <v>Programme</v>
      </c>
      <c r="I5028" s="1" t="str">
        <f>IF('Twenty-First'!I31="", "",'Twenty-First'!I31)</f>
        <v>Managing Stress</v>
      </c>
      <c r="J5028" s="1" t="str">
        <f>IF('Twenty-First'!J31="", "",'Twenty-First'!J31)</f>
        <v/>
      </c>
      <c r="K5028" s="83" t="str">
        <f>IF('Twenty-First'!K31="", "",'Twenty-First'!K31)</f>
        <v/>
      </c>
      <c r="M5028" s="67">
        <f t="shared" si="240"/>
        <v>7</v>
      </c>
      <c r="N5028" s="76" t="str">
        <f t="shared" si="241"/>
        <v/>
      </c>
      <c r="O5028" s="33">
        <f t="shared" si="239"/>
        <v>7</v>
      </c>
    </row>
    <row r="5029" spans="1:15" x14ac:dyDescent="0.25">
      <c r="A5029" s="64" t="s">
        <v>190</v>
      </c>
      <c r="B5029" s="82" t="str">
        <f>IF('Twenty-First'!B32="", "",'Twenty-First'!B32)</f>
        <v>CSS</v>
      </c>
      <c r="C5029" s="1" t="str">
        <f>IF('Twenty-First'!C32="", "",'Twenty-First'!C32)</f>
        <v>PwC</v>
      </c>
      <c r="D5029" s="1" t="str">
        <f>IF('Twenty-First'!D32="", "",'Twenty-First'!D32)</f>
        <v>Returning</v>
      </c>
      <c r="E5029" s="1" t="str">
        <f>IF('Twenty-First'!E32="", "",'Twenty-First'!E32)</f>
        <v>Female</v>
      </c>
      <c r="F5029" s="1" t="str">
        <f>IF('Twenty-First'!F32="", "",'Twenty-First'!F32)</f>
        <v>Breast</v>
      </c>
      <c r="G5029" s="1" t="str">
        <f>IF('Twenty-First'!G32="", "",'Twenty-First'!G32)</f>
        <v>Curative Intent</v>
      </c>
      <c r="H5029" s="1" t="str">
        <f>IF('Twenty-First'!H32="", "",'Twenty-First'!H32)</f>
        <v>Programme</v>
      </c>
      <c r="I5029" s="1" t="str">
        <f>IF('Twenty-First'!I32="", "",'Twenty-First'!I32)</f>
        <v>Managing Stress</v>
      </c>
      <c r="J5029" s="1" t="str">
        <f>IF('Twenty-First'!J32="", "",'Twenty-First'!J32)</f>
        <v/>
      </c>
      <c r="K5029" s="83" t="str">
        <f>IF('Twenty-First'!K32="", "",'Twenty-First'!K32)</f>
        <v/>
      </c>
      <c r="M5029" s="67">
        <f t="shared" si="240"/>
        <v>7</v>
      </c>
      <c r="N5029" s="76" t="str">
        <f t="shared" si="241"/>
        <v/>
      </c>
      <c r="O5029" s="33">
        <f t="shared" si="239"/>
        <v>7</v>
      </c>
    </row>
    <row r="5030" spans="1:15" x14ac:dyDescent="0.25">
      <c r="A5030" s="64" t="s">
        <v>190</v>
      </c>
      <c r="B5030" s="82" t="str">
        <f>IF('Twenty-First'!B33="", "",'Twenty-First'!B33)</f>
        <v>CSS</v>
      </c>
      <c r="C5030" s="1" t="str">
        <f>IF('Twenty-First'!C33="", "",'Twenty-First'!C33)</f>
        <v>PwC</v>
      </c>
      <c r="D5030" s="1" t="str">
        <f>IF('Twenty-First'!D33="", "",'Twenty-First'!D33)</f>
        <v>Returning</v>
      </c>
      <c r="E5030" s="1" t="str">
        <f>IF('Twenty-First'!E33="", "",'Twenty-First'!E33)</f>
        <v>Female</v>
      </c>
      <c r="F5030" s="1" t="str">
        <f>IF('Twenty-First'!F33="", "",'Twenty-First'!F33)</f>
        <v>Breast</v>
      </c>
      <c r="G5030" s="1" t="str">
        <f>IF('Twenty-First'!G33="", "",'Twenty-First'!G33)</f>
        <v>Non-Curative Intent</v>
      </c>
      <c r="H5030" s="1" t="str">
        <f>IF('Twenty-First'!H33="", "",'Twenty-First'!H33)</f>
        <v>Programme</v>
      </c>
      <c r="I5030" s="1" t="str">
        <f>IF('Twenty-First'!I33="", "",'Twenty-First'!I33)</f>
        <v>Relaxation</v>
      </c>
      <c r="J5030" s="1" t="str">
        <f>IF('Twenty-First'!J33="", "",'Twenty-First'!J33)</f>
        <v/>
      </c>
      <c r="K5030" s="83" t="str">
        <f>IF('Twenty-First'!K33="", "",'Twenty-First'!K33)</f>
        <v/>
      </c>
      <c r="M5030" s="67">
        <f t="shared" si="240"/>
        <v>7</v>
      </c>
      <c r="N5030" s="76" t="str">
        <f t="shared" si="241"/>
        <v/>
      </c>
      <c r="O5030" s="33">
        <f t="shared" si="239"/>
        <v>7</v>
      </c>
    </row>
    <row r="5031" spans="1:15" x14ac:dyDescent="0.25">
      <c r="A5031" s="64" t="s">
        <v>190</v>
      </c>
      <c r="B5031" s="82" t="str">
        <f>IF('Twenty-First'!B34="", "",'Twenty-First'!B34)</f>
        <v>CSS</v>
      </c>
      <c r="C5031" s="1" t="str">
        <f>IF('Twenty-First'!C34="", "",'Twenty-First'!C34)</f>
        <v>Carer</v>
      </c>
      <c r="D5031" s="1" t="str">
        <f>IF('Twenty-First'!D34="", "",'Twenty-First'!D34)</f>
        <v>Returning</v>
      </c>
      <c r="E5031" s="1" t="str">
        <f>IF('Twenty-First'!E34="", "",'Twenty-First'!E34)</f>
        <v>Male</v>
      </c>
      <c r="F5031" s="1" t="str">
        <f>IF('Twenty-First'!F34="", "",'Twenty-First'!F34)</f>
        <v>Breast</v>
      </c>
      <c r="G5031" s="1" t="str">
        <f>IF('Twenty-First'!G34="", "",'Twenty-First'!G34)</f>
        <v>Non-Curative Intent</v>
      </c>
      <c r="H5031" s="1" t="str">
        <f>IF('Twenty-First'!H34="", "",'Twenty-First'!H34)</f>
        <v>Programme</v>
      </c>
      <c r="I5031" s="1" t="str">
        <f>IF('Twenty-First'!I34="", "",'Twenty-First'!I34)</f>
        <v>Relaxation</v>
      </c>
      <c r="J5031" s="1" t="str">
        <f>IF('Twenty-First'!J34="", "",'Twenty-First'!J34)</f>
        <v/>
      </c>
      <c r="K5031" s="83" t="str">
        <f>IF('Twenty-First'!K34="", "",'Twenty-First'!K34)</f>
        <v/>
      </c>
      <c r="M5031" s="67" t="str">
        <f t="shared" si="240"/>
        <v/>
      </c>
      <c r="N5031" s="76">
        <f t="shared" si="241"/>
        <v>7</v>
      </c>
      <c r="O5031" s="33">
        <f t="shared" si="239"/>
        <v>7</v>
      </c>
    </row>
    <row r="5032" spans="1:15" x14ac:dyDescent="0.25">
      <c r="A5032" s="64" t="s">
        <v>190</v>
      </c>
      <c r="B5032" s="82" t="str">
        <f>IF('Twenty-First'!B35="", "",'Twenty-First'!B35)</f>
        <v>CSS</v>
      </c>
      <c r="C5032" s="1" t="str">
        <f>IF('Twenty-First'!C35="", "",'Twenty-First'!C35)</f>
        <v>PwC</v>
      </c>
      <c r="D5032" s="1" t="str">
        <f>IF('Twenty-First'!D35="", "",'Twenty-First'!D35)</f>
        <v>Returning</v>
      </c>
      <c r="E5032" s="1" t="str">
        <f>IF('Twenty-First'!E35="", "",'Twenty-First'!E35)</f>
        <v>Female</v>
      </c>
      <c r="F5032" s="1" t="str">
        <f>IF('Twenty-First'!F35="", "",'Twenty-First'!F35)</f>
        <v>Breast</v>
      </c>
      <c r="G5032" s="1" t="str">
        <f>IF('Twenty-First'!G35="", "",'Twenty-First'!G35)</f>
        <v>Curative Intent</v>
      </c>
      <c r="H5032" s="1" t="str">
        <f>IF('Twenty-First'!H35="", "",'Twenty-First'!H35)</f>
        <v>Programme</v>
      </c>
      <c r="I5032" s="1" t="str">
        <f>IF('Twenty-First'!I35="", "",'Twenty-First'!I35)</f>
        <v>Relaxation</v>
      </c>
      <c r="J5032" s="1" t="str">
        <f>IF('Twenty-First'!J35="", "",'Twenty-First'!J35)</f>
        <v/>
      </c>
      <c r="K5032" s="83" t="str">
        <f>IF('Twenty-First'!K35="", "",'Twenty-First'!K35)</f>
        <v/>
      </c>
      <c r="M5032" s="67">
        <f t="shared" si="240"/>
        <v>7</v>
      </c>
      <c r="N5032" s="76" t="str">
        <f t="shared" si="241"/>
        <v/>
      </c>
      <c r="O5032" s="33">
        <f t="shared" si="239"/>
        <v>7</v>
      </c>
    </row>
    <row r="5033" spans="1:15" x14ac:dyDescent="0.25">
      <c r="A5033" s="64" t="s">
        <v>190</v>
      </c>
      <c r="B5033" s="82" t="str">
        <f>IF('Twenty-First'!B36="", "",'Twenty-First'!B36)</f>
        <v>CSS</v>
      </c>
      <c r="C5033" s="1" t="str">
        <f>IF('Twenty-First'!C36="", "",'Twenty-First'!C36)</f>
        <v>PwC</v>
      </c>
      <c r="D5033" s="1" t="str">
        <f>IF('Twenty-First'!D36="", "",'Twenty-First'!D36)</f>
        <v>Returning</v>
      </c>
      <c r="E5033" s="1" t="str">
        <f>IF('Twenty-First'!E36="", "",'Twenty-First'!E36)</f>
        <v>Female</v>
      </c>
      <c r="F5033" s="1" t="str">
        <f>IF('Twenty-First'!F36="", "",'Twenty-First'!F36)</f>
        <v>Gynae</v>
      </c>
      <c r="G5033" s="1" t="str">
        <f>IF('Twenty-First'!G36="", "",'Twenty-First'!G36)</f>
        <v>Curative Intent</v>
      </c>
      <c r="H5033" s="1" t="str">
        <f>IF('Twenty-First'!H36="", "",'Twenty-First'!H36)</f>
        <v>Programme</v>
      </c>
      <c r="I5033" s="1" t="str">
        <f>IF('Twenty-First'!I36="", "",'Twenty-First'!I36)</f>
        <v>Relaxation</v>
      </c>
      <c r="J5033" s="1" t="str">
        <f>IF('Twenty-First'!J36="", "",'Twenty-First'!J36)</f>
        <v/>
      </c>
      <c r="K5033" s="83" t="str">
        <f>IF('Twenty-First'!K36="", "",'Twenty-First'!K36)</f>
        <v/>
      </c>
      <c r="M5033" s="67">
        <f t="shared" si="240"/>
        <v>7</v>
      </c>
      <c r="N5033" s="76" t="str">
        <f t="shared" si="241"/>
        <v/>
      </c>
      <c r="O5033" s="33">
        <f t="shared" si="239"/>
        <v>7</v>
      </c>
    </row>
    <row r="5034" spans="1:15" x14ac:dyDescent="0.25">
      <c r="A5034" s="64" t="s">
        <v>190</v>
      </c>
      <c r="B5034" s="82" t="str">
        <f>IF('Twenty-First'!B37="", "",'Twenty-First'!B37)</f>
        <v>CSS</v>
      </c>
      <c r="C5034" s="1" t="str">
        <f>IF('Twenty-First'!C37="", "",'Twenty-First'!C37)</f>
        <v>PwC</v>
      </c>
      <c r="D5034" s="1" t="str">
        <f>IF('Twenty-First'!D37="", "",'Twenty-First'!D37)</f>
        <v>Returning</v>
      </c>
      <c r="E5034" s="1" t="str">
        <f>IF('Twenty-First'!E37="", "",'Twenty-First'!E37)</f>
        <v>Female</v>
      </c>
      <c r="F5034" s="1" t="str">
        <f>IF('Twenty-First'!F37="", "",'Twenty-First'!F37)</f>
        <v>Haemat</v>
      </c>
      <c r="G5034" s="1" t="str">
        <f>IF('Twenty-First'!G37="", "",'Twenty-First'!G37)</f>
        <v>Non-Curative Intent</v>
      </c>
      <c r="H5034" s="1" t="str">
        <f>IF('Twenty-First'!H37="", "",'Twenty-First'!H37)</f>
        <v>Programme</v>
      </c>
      <c r="I5034" s="1" t="str">
        <f>IF('Twenty-First'!I37="", "",'Twenty-First'!I37)</f>
        <v>Relaxation</v>
      </c>
      <c r="J5034" s="1" t="str">
        <f>IF('Twenty-First'!J37="", "",'Twenty-First'!J37)</f>
        <v/>
      </c>
      <c r="K5034" s="83" t="str">
        <f>IF('Twenty-First'!K37="", "",'Twenty-First'!K37)</f>
        <v/>
      </c>
      <c r="M5034" s="67">
        <f t="shared" si="240"/>
        <v>7</v>
      </c>
      <c r="N5034" s="76" t="str">
        <f t="shared" si="241"/>
        <v/>
      </c>
      <c r="O5034" s="33">
        <f t="shared" si="239"/>
        <v>7</v>
      </c>
    </row>
    <row r="5035" spans="1:15" x14ac:dyDescent="0.25">
      <c r="A5035" s="64" t="s">
        <v>190</v>
      </c>
      <c r="B5035" s="82" t="str">
        <f>IF('Twenty-First'!B38="", "",'Twenty-First'!B38)</f>
        <v>CSS</v>
      </c>
      <c r="C5035" s="1" t="str">
        <f>IF('Twenty-First'!C38="", "",'Twenty-First'!C38)</f>
        <v>PwC</v>
      </c>
      <c r="D5035" s="1" t="str">
        <f>IF('Twenty-First'!D38="", "",'Twenty-First'!D38)</f>
        <v>Returning</v>
      </c>
      <c r="E5035" s="1" t="str">
        <f>IF('Twenty-First'!E38="", "",'Twenty-First'!E38)</f>
        <v>Female</v>
      </c>
      <c r="F5035" s="1" t="str">
        <f>IF('Twenty-First'!F38="", "",'Twenty-First'!F38)</f>
        <v>Gynae</v>
      </c>
      <c r="G5035" s="1" t="str">
        <f>IF('Twenty-First'!G38="", "",'Twenty-First'!G38)</f>
        <v>Non-Curative Intent</v>
      </c>
      <c r="H5035" s="1" t="str">
        <f>IF('Twenty-First'!H38="", "",'Twenty-First'!H38)</f>
        <v>Programme</v>
      </c>
      <c r="I5035" s="1" t="str">
        <f>IF('Twenty-First'!I38="", "",'Twenty-First'!I38)</f>
        <v>Relaxation</v>
      </c>
      <c r="J5035" s="1" t="str">
        <f>IF('Twenty-First'!J38="", "",'Twenty-First'!J38)</f>
        <v/>
      </c>
      <c r="K5035" s="83" t="str">
        <f>IF('Twenty-First'!K38="", "",'Twenty-First'!K38)</f>
        <v/>
      </c>
      <c r="M5035" s="67">
        <f t="shared" si="240"/>
        <v>7</v>
      </c>
      <c r="N5035" s="76" t="str">
        <f t="shared" si="241"/>
        <v/>
      </c>
      <c r="O5035" s="33">
        <f t="shared" si="239"/>
        <v>7</v>
      </c>
    </row>
    <row r="5036" spans="1:15" x14ac:dyDescent="0.25">
      <c r="A5036" s="64" t="s">
        <v>190</v>
      </c>
      <c r="B5036" s="82" t="str">
        <f>IF('Twenty-First'!B39="", "",'Twenty-First'!B39)</f>
        <v>CSS</v>
      </c>
      <c r="C5036" s="1" t="str">
        <f>IF('Twenty-First'!C39="", "",'Twenty-First'!C39)</f>
        <v>Carer</v>
      </c>
      <c r="D5036" s="1" t="str">
        <f>IF('Twenty-First'!D39="", "",'Twenty-First'!D39)</f>
        <v>Returning</v>
      </c>
      <c r="E5036" s="1" t="str">
        <f>IF('Twenty-First'!E39="", "",'Twenty-First'!E39)</f>
        <v>Male</v>
      </c>
      <c r="F5036" s="1" t="str">
        <f>IF('Twenty-First'!F39="", "",'Twenty-First'!F39)</f>
        <v>Lung</v>
      </c>
      <c r="G5036" s="1" t="str">
        <f>IF('Twenty-First'!G39="", "",'Twenty-First'!G39)</f>
        <v>Non-Curative Intent</v>
      </c>
      <c r="H5036" s="1" t="str">
        <f>IF('Twenty-First'!H39="", "",'Twenty-First'!H39)</f>
        <v>Programme</v>
      </c>
      <c r="I5036" s="1" t="str">
        <f>IF('Twenty-First'!I39="", "",'Twenty-First'!I39)</f>
        <v>Relaxation</v>
      </c>
      <c r="J5036" s="1" t="str">
        <f>IF('Twenty-First'!J39="", "",'Twenty-First'!J39)</f>
        <v/>
      </c>
      <c r="K5036" s="83" t="str">
        <f>IF('Twenty-First'!K39="", "",'Twenty-First'!K39)</f>
        <v/>
      </c>
      <c r="M5036" s="67" t="str">
        <f t="shared" si="240"/>
        <v/>
      </c>
      <c r="N5036" s="76">
        <f t="shared" si="241"/>
        <v>7</v>
      </c>
      <c r="O5036" s="33">
        <f t="shared" si="239"/>
        <v>7</v>
      </c>
    </row>
    <row r="5037" spans="1:15" x14ac:dyDescent="0.25">
      <c r="A5037" s="64" t="s">
        <v>190</v>
      </c>
      <c r="B5037" s="82" t="str">
        <f>IF('Twenty-First'!B40="", "",'Twenty-First'!B40)</f>
        <v>CSS</v>
      </c>
      <c r="C5037" s="1" t="str">
        <f>IF('Twenty-First'!C40="", "",'Twenty-First'!C40)</f>
        <v>PwC</v>
      </c>
      <c r="D5037" s="1" t="str">
        <f>IF('Twenty-First'!D40="", "",'Twenty-First'!D40)</f>
        <v>Returning</v>
      </c>
      <c r="E5037" s="1" t="str">
        <f>IF('Twenty-First'!E40="", "",'Twenty-First'!E40)</f>
        <v>Female</v>
      </c>
      <c r="F5037" s="1" t="str">
        <f>IF('Twenty-First'!F40="", "",'Twenty-First'!F40)</f>
        <v>Breast</v>
      </c>
      <c r="G5037" s="1" t="str">
        <f>IF('Twenty-First'!G40="", "",'Twenty-First'!G40)</f>
        <v>Curative Intent</v>
      </c>
      <c r="H5037" s="1" t="str">
        <f>IF('Twenty-First'!H40="", "",'Twenty-First'!H40)</f>
        <v>Programme</v>
      </c>
      <c r="I5037" s="1" t="str">
        <f>IF('Twenty-First'!I40="", "",'Twenty-First'!I40)</f>
        <v>Relaxation</v>
      </c>
      <c r="J5037" s="1" t="str">
        <f>IF('Twenty-First'!J40="", "",'Twenty-First'!J40)</f>
        <v/>
      </c>
      <c r="K5037" s="83" t="str">
        <f>IF('Twenty-First'!K40="", "",'Twenty-First'!K40)</f>
        <v/>
      </c>
      <c r="M5037" s="67">
        <f t="shared" si="240"/>
        <v>7</v>
      </c>
      <c r="N5037" s="76" t="str">
        <f t="shared" si="241"/>
        <v/>
      </c>
      <c r="O5037" s="33">
        <f t="shared" si="239"/>
        <v>7</v>
      </c>
    </row>
    <row r="5038" spans="1:15" x14ac:dyDescent="0.25">
      <c r="A5038" s="64" t="s">
        <v>190</v>
      </c>
      <c r="B5038" s="82" t="str">
        <f>IF('Twenty-First'!B41="", "",'Twenty-First'!B41)</f>
        <v>CSS</v>
      </c>
      <c r="C5038" s="1" t="str">
        <f>IF('Twenty-First'!C41="", "",'Twenty-First'!C41)</f>
        <v>PwC</v>
      </c>
      <c r="D5038" s="1" t="str">
        <f>IF('Twenty-First'!D41="", "",'Twenty-First'!D41)</f>
        <v>Returning</v>
      </c>
      <c r="E5038" s="1" t="str">
        <f>IF('Twenty-First'!E41="", "",'Twenty-First'!E41)</f>
        <v>Male</v>
      </c>
      <c r="F5038" s="1" t="str">
        <f>IF('Twenty-First'!F41="", "",'Twenty-First'!F41)</f>
        <v>Brain/CNS</v>
      </c>
      <c r="G5038" s="1" t="str">
        <f>IF('Twenty-First'!G41="", "",'Twenty-First'!G41)</f>
        <v>Curative Intent</v>
      </c>
      <c r="H5038" s="1" t="str">
        <f>IF('Twenty-First'!H41="", "",'Twenty-First'!H41)</f>
        <v>Programme</v>
      </c>
      <c r="I5038" s="1" t="str">
        <f>IF('Twenty-First'!I41="", "",'Twenty-First'!I41)</f>
        <v>Relaxation</v>
      </c>
      <c r="J5038" s="1" t="str">
        <f>IF('Twenty-First'!J41="", "",'Twenty-First'!J41)</f>
        <v/>
      </c>
      <c r="K5038" s="83" t="str">
        <f>IF('Twenty-First'!K41="", "",'Twenty-First'!K41)</f>
        <v/>
      </c>
      <c r="M5038" s="67">
        <f t="shared" si="240"/>
        <v>7</v>
      </c>
      <c r="N5038" s="76" t="str">
        <f t="shared" si="241"/>
        <v/>
      </c>
      <c r="O5038" s="33">
        <f t="shared" si="239"/>
        <v>7</v>
      </c>
    </row>
    <row r="5039" spans="1:15" x14ac:dyDescent="0.25">
      <c r="A5039" s="64" t="s">
        <v>190</v>
      </c>
      <c r="B5039" s="82" t="str">
        <f>IF('Twenty-First'!B42="", "",'Twenty-First'!B42)</f>
        <v>CSS</v>
      </c>
      <c r="C5039" s="1" t="str">
        <f>IF('Twenty-First'!C42="", "",'Twenty-First'!C42)</f>
        <v>PwC</v>
      </c>
      <c r="D5039" s="1" t="str">
        <f>IF('Twenty-First'!D42="", "",'Twenty-First'!D42)</f>
        <v>New</v>
      </c>
      <c r="E5039" s="1" t="str">
        <f>IF('Twenty-First'!E42="", "",'Twenty-First'!E42)</f>
        <v>Male</v>
      </c>
      <c r="F5039" s="1" t="str">
        <f>IF('Twenty-First'!F42="", "",'Twenty-First'!F42)</f>
        <v>Testicular</v>
      </c>
      <c r="G5039" s="1" t="str">
        <f>IF('Twenty-First'!G42="", "",'Twenty-First'!G42)</f>
        <v>Curative Intent</v>
      </c>
      <c r="H5039" s="1" t="str">
        <f>IF('Twenty-First'!H42="", "",'Twenty-First'!H42)</f>
        <v>Booked</v>
      </c>
      <c r="I5039" s="1" t="str">
        <f>IF('Twenty-First'!I42="", "",'Twenty-First'!I42)</f>
        <v>Psych Support - Family</v>
      </c>
      <c r="J5039" s="1" t="str">
        <f>IF('Twenty-First'!J42="", "",'Twenty-First'!J42)</f>
        <v/>
      </c>
      <c r="K5039" s="83" t="str">
        <f>IF('Twenty-First'!K42="", "",'Twenty-First'!K42)</f>
        <v/>
      </c>
      <c r="M5039" s="67">
        <f t="shared" si="240"/>
        <v>7</v>
      </c>
      <c r="N5039" s="76" t="str">
        <f t="shared" si="241"/>
        <v/>
      </c>
      <c r="O5039" s="33">
        <f t="shared" si="239"/>
        <v>7</v>
      </c>
    </row>
    <row r="5040" spans="1:15" x14ac:dyDescent="0.25">
      <c r="A5040" s="64" t="s">
        <v>190</v>
      </c>
      <c r="B5040" s="82" t="str">
        <f>IF('Twenty-First'!B43="", "",'Twenty-First'!B43)</f>
        <v>CSS</v>
      </c>
      <c r="C5040" s="1" t="str">
        <f>IF('Twenty-First'!C43="", "",'Twenty-First'!C43)</f>
        <v>Carer</v>
      </c>
      <c r="D5040" s="1" t="str">
        <f>IF('Twenty-First'!D43="", "",'Twenty-First'!D43)</f>
        <v>New</v>
      </c>
      <c r="E5040" s="1" t="str">
        <f>IF('Twenty-First'!E43="", "",'Twenty-First'!E43)</f>
        <v>Male</v>
      </c>
      <c r="F5040" s="1" t="str">
        <f>IF('Twenty-First'!F43="", "",'Twenty-First'!F43)</f>
        <v>Testicular</v>
      </c>
      <c r="G5040" s="1" t="str">
        <f>IF('Twenty-First'!G43="", "",'Twenty-First'!G43)</f>
        <v>Curative Intent</v>
      </c>
      <c r="H5040" s="1" t="str">
        <f>IF('Twenty-First'!H43="", "",'Twenty-First'!H43)</f>
        <v>Booked</v>
      </c>
      <c r="I5040" s="1" t="str">
        <f>IF('Twenty-First'!I43="", "",'Twenty-First'!I43)</f>
        <v>Psych Support - Family</v>
      </c>
      <c r="J5040" s="1" t="str">
        <f>IF('Twenty-First'!J43="", "",'Twenty-First'!J43)</f>
        <v/>
      </c>
      <c r="K5040" s="83" t="str">
        <f>IF('Twenty-First'!K43="", "",'Twenty-First'!K43)</f>
        <v/>
      </c>
      <c r="M5040" s="67" t="str">
        <f t="shared" si="240"/>
        <v/>
      </c>
      <c r="N5040" s="76">
        <f t="shared" si="241"/>
        <v>7</v>
      </c>
      <c r="O5040" s="33">
        <f t="shared" si="239"/>
        <v>7</v>
      </c>
    </row>
    <row r="5041" spans="1:15" x14ac:dyDescent="0.25">
      <c r="A5041" s="64" t="s">
        <v>190</v>
      </c>
      <c r="B5041" s="82" t="str">
        <f>IF('Twenty-First'!B44="", "",'Twenty-First'!B44)</f>
        <v>CSS</v>
      </c>
      <c r="C5041" s="1" t="str">
        <f>IF('Twenty-First'!C44="", "",'Twenty-First'!C44)</f>
        <v>Carer</v>
      </c>
      <c r="D5041" s="1" t="str">
        <f>IF('Twenty-First'!D44="", "",'Twenty-First'!D44)</f>
        <v>New</v>
      </c>
      <c r="E5041" s="1" t="str">
        <f>IF('Twenty-First'!E44="", "",'Twenty-First'!E44)</f>
        <v>Female</v>
      </c>
      <c r="F5041" s="1" t="str">
        <f>IF('Twenty-First'!F44="", "",'Twenty-First'!F44)</f>
        <v>Testicular</v>
      </c>
      <c r="G5041" s="1" t="str">
        <f>IF('Twenty-First'!G44="", "",'Twenty-First'!G44)</f>
        <v>Curative Intent</v>
      </c>
      <c r="H5041" s="1" t="str">
        <f>IF('Twenty-First'!H44="", "",'Twenty-First'!H44)</f>
        <v>Booked</v>
      </c>
      <c r="I5041" s="1" t="str">
        <f>IF('Twenty-First'!I44="", "",'Twenty-First'!I44)</f>
        <v>Psych Support - Family</v>
      </c>
      <c r="J5041" s="1" t="str">
        <f>IF('Twenty-First'!J44="", "",'Twenty-First'!J44)</f>
        <v/>
      </c>
      <c r="K5041" s="83" t="str">
        <f>IF('Twenty-First'!K44="", "",'Twenty-First'!K44)</f>
        <v/>
      </c>
      <c r="M5041" s="67" t="str">
        <f t="shared" si="240"/>
        <v/>
      </c>
      <c r="N5041" s="76">
        <f t="shared" si="241"/>
        <v>7</v>
      </c>
      <c r="O5041" s="33">
        <f t="shared" si="239"/>
        <v>7</v>
      </c>
    </row>
    <row r="5042" spans="1:15" x14ac:dyDescent="0.25">
      <c r="A5042" s="64" t="s">
        <v>190</v>
      </c>
      <c r="B5042" s="82" t="str">
        <f>IF('Twenty-First'!B45="", "",'Twenty-First'!B45)</f>
        <v>CSS</v>
      </c>
      <c r="C5042" s="1" t="str">
        <f>IF('Twenty-First'!C45="", "",'Twenty-First'!C45)</f>
        <v>Carer</v>
      </c>
      <c r="D5042" s="1" t="str">
        <f>IF('Twenty-First'!D45="", "",'Twenty-First'!D45)</f>
        <v>New</v>
      </c>
      <c r="E5042" s="1" t="str">
        <f>IF('Twenty-First'!E45="", "",'Twenty-First'!E45)</f>
        <v>Female</v>
      </c>
      <c r="F5042" s="1" t="str">
        <f>IF('Twenty-First'!F45="", "",'Twenty-First'!F45)</f>
        <v>Not Stated</v>
      </c>
      <c r="G5042" s="1" t="str">
        <f>IF('Twenty-First'!G45="", "",'Twenty-First'!G45)</f>
        <v>Non-Curative Intent</v>
      </c>
      <c r="H5042" s="1" t="str">
        <f>IF('Twenty-First'!H45="", "",'Twenty-First'!H45)</f>
        <v>Booked</v>
      </c>
      <c r="I5042" s="1" t="str">
        <f>IF('Twenty-First'!I45="", "",'Twenty-First'!I45)</f>
        <v>Psych Support - Individual</v>
      </c>
      <c r="J5042" s="1" t="str">
        <f>IF('Twenty-First'!J45="", "",'Twenty-First'!J45)</f>
        <v/>
      </c>
      <c r="K5042" s="83" t="str">
        <f>IF('Twenty-First'!K45="", "",'Twenty-First'!K45)</f>
        <v/>
      </c>
      <c r="M5042" s="67" t="str">
        <f t="shared" si="240"/>
        <v/>
      </c>
      <c r="N5042" s="76">
        <f t="shared" si="241"/>
        <v>7</v>
      </c>
      <c r="O5042" s="33">
        <f t="shared" si="239"/>
        <v>7</v>
      </c>
    </row>
    <row r="5043" spans="1:15" x14ac:dyDescent="0.25">
      <c r="A5043" s="64" t="s">
        <v>190</v>
      </c>
      <c r="B5043" s="82" t="str">
        <f>IF('Twenty-First'!B46="", "",'Twenty-First'!B46)</f>
        <v>CSS</v>
      </c>
      <c r="C5043" s="1" t="str">
        <f>IF('Twenty-First'!C46="", "",'Twenty-First'!C46)</f>
        <v>Carer</v>
      </c>
      <c r="D5043" s="1" t="str">
        <f>IF('Twenty-First'!D46="", "",'Twenty-First'!D46)</f>
        <v>Returning</v>
      </c>
      <c r="E5043" s="1" t="str">
        <f>IF('Twenty-First'!E46="", "",'Twenty-First'!E46)</f>
        <v>Female</v>
      </c>
      <c r="F5043" s="1" t="str">
        <f>IF('Twenty-First'!F46="", "",'Twenty-First'!F46)</f>
        <v>Breast</v>
      </c>
      <c r="G5043" s="1" t="str">
        <f>IF('Twenty-First'!G46="", "",'Twenty-First'!G46)</f>
        <v>Non-Curative Intent</v>
      </c>
      <c r="H5043" s="1" t="str">
        <f>IF('Twenty-First'!H46="", "",'Twenty-First'!H46)</f>
        <v>Booked</v>
      </c>
      <c r="I5043" s="1" t="str">
        <f>IF('Twenty-First'!I46="", "",'Twenty-First'!I46)</f>
        <v>Psych Support - Individual</v>
      </c>
      <c r="J5043" s="1" t="str">
        <f>IF('Twenty-First'!J46="", "",'Twenty-First'!J46)</f>
        <v/>
      </c>
      <c r="K5043" s="83" t="str">
        <f>IF('Twenty-First'!K46="", "",'Twenty-First'!K46)</f>
        <v/>
      </c>
      <c r="M5043" s="67" t="str">
        <f t="shared" si="240"/>
        <v/>
      </c>
      <c r="N5043" s="76">
        <f t="shared" si="241"/>
        <v>7</v>
      </c>
      <c r="O5043" s="33">
        <f t="shared" si="239"/>
        <v>7</v>
      </c>
    </row>
    <row r="5044" spans="1:15" x14ac:dyDescent="0.25">
      <c r="A5044" s="64" t="s">
        <v>190</v>
      </c>
      <c r="B5044" s="82" t="str">
        <f>IF('Twenty-First'!B47="", "",'Twenty-First'!B47)</f>
        <v>CSS</v>
      </c>
      <c r="C5044" s="1" t="str">
        <f>IF('Twenty-First'!C47="", "",'Twenty-First'!C47)</f>
        <v>PwC</v>
      </c>
      <c r="D5044" s="1" t="str">
        <f>IF('Twenty-First'!D47="", "",'Twenty-First'!D47)</f>
        <v>Returning</v>
      </c>
      <c r="E5044" s="1" t="str">
        <f>IF('Twenty-First'!E47="", "",'Twenty-First'!E47)</f>
        <v>Female</v>
      </c>
      <c r="F5044" s="1" t="str">
        <f>IF('Twenty-First'!F47="", "",'Twenty-First'!F47)</f>
        <v>Lower GI</v>
      </c>
      <c r="G5044" s="1" t="str">
        <f>IF('Twenty-First'!G47="", "",'Twenty-First'!G47)</f>
        <v>Non-Curative Intent</v>
      </c>
      <c r="H5044" s="1" t="str">
        <f>IF('Twenty-First'!H47="", "",'Twenty-First'!H47)</f>
        <v>Booked</v>
      </c>
      <c r="I5044" s="1" t="str">
        <f>IF('Twenty-First'!I47="", "",'Twenty-First'!I47)</f>
        <v>Psych Support - Individual</v>
      </c>
      <c r="J5044" s="1" t="str">
        <f>IF('Twenty-First'!J47="", "",'Twenty-First'!J47)</f>
        <v/>
      </c>
      <c r="K5044" s="83" t="str">
        <f>IF('Twenty-First'!K47="", "",'Twenty-First'!K47)</f>
        <v/>
      </c>
      <c r="M5044" s="67">
        <f t="shared" si="240"/>
        <v>7</v>
      </c>
      <c r="N5044" s="76" t="str">
        <f t="shared" si="241"/>
        <v/>
      </c>
      <c r="O5044" s="33">
        <f t="shared" si="239"/>
        <v>7</v>
      </c>
    </row>
    <row r="5045" spans="1:15" x14ac:dyDescent="0.25">
      <c r="A5045" s="64" t="s">
        <v>190</v>
      </c>
      <c r="B5045" s="82" t="str">
        <f>IF('Twenty-First'!B48="", "",'Twenty-First'!B48)</f>
        <v>CSS</v>
      </c>
      <c r="C5045" s="1" t="str">
        <f>IF('Twenty-First'!C48="", "",'Twenty-First'!C48)</f>
        <v>Carer</v>
      </c>
      <c r="D5045" s="1" t="str">
        <f>IF('Twenty-First'!D48="", "",'Twenty-First'!D48)</f>
        <v>Returning</v>
      </c>
      <c r="E5045" s="1" t="str">
        <f>IF('Twenty-First'!E48="", "",'Twenty-First'!E48)</f>
        <v>Female</v>
      </c>
      <c r="F5045" s="1" t="str">
        <f>IF('Twenty-First'!F48="", "",'Twenty-First'!F48)</f>
        <v>Lower GI</v>
      </c>
      <c r="G5045" s="1" t="str">
        <f>IF('Twenty-First'!G48="", "",'Twenty-First'!G48)</f>
        <v>Non-Curative Intent</v>
      </c>
      <c r="H5045" s="1" t="str">
        <f>IF('Twenty-First'!H48="", "",'Twenty-First'!H48)</f>
        <v>Drop-In</v>
      </c>
      <c r="I5045" s="1" t="str">
        <f>IF('Twenty-First'!I48="", "",'Twenty-First'!I48)</f>
        <v/>
      </c>
      <c r="J5045" s="1" t="str">
        <f>IF('Twenty-First'!J48="", "",'Twenty-First'!J48)</f>
        <v/>
      </c>
      <c r="K5045" s="83" t="str">
        <f>IF('Twenty-First'!K48="", "",'Twenty-First'!K48)</f>
        <v/>
      </c>
      <c r="M5045" s="67" t="str">
        <f t="shared" si="240"/>
        <v/>
      </c>
      <c r="N5045" s="76">
        <f t="shared" si="241"/>
        <v>7</v>
      </c>
      <c r="O5045" s="33">
        <f t="shared" si="239"/>
        <v>7</v>
      </c>
    </row>
    <row r="5046" spans="1:15" x14ac:dyDescent="0.25">
      <c r="A5046" s="64" t="s">
        <v>190</v>
      </c>
      <c r="B5046" s="82" t="str">
        <f>IF('Twenty-First'!B49="", "",'Twenty-First'!B49)</f>
        <v>Centre Head</v>
      </c>
      <c r="C5046" s="1" t="str">
        <f>IF('Twenty-First'!C49="", "",'Twenty-First'!C49)</f>
        <v>PwC</v>
      </c>
      <c r="D5046" s="1" t="str">
        <f>IF('Twenty-First'!D49="", "",'Twenty-First'!D49)</f>
        <v>Returning</v>
      </c>
      <c r="E5046" s="1" t="str">
        <f>IF('Twenty-First'!E49="", "",'Twenty-First'!E49)</f>
        <v>Male</v>
      </c>
      <c r="F5046" s="1" t="str">
        <f>IF('Twenty-First'!F49="", "",'Twenty-First'!F49)</f>
        <v>Testicular</v>
      </c>
      <c r="G5046" s="1" t="str">
        <f>IF('Twenty-First'!G49="", "",'Twenty-First'!G49)</f>
        <v>Post Treatment - Curative Intent</v>
      </c>
      <c r="H5046" s="1" t="str">
        <f>IF('Twenty-First'!H49="", "",'Twenty-First'!H49)</f>
        <v>Booked</v>
      </c>
      <c r="I5046" s="1" t="str">
        <f>IF('Twenty-First'!I49="", "",'Twenty-First'!I49)</f>
        <v>Psych Support - Individual</v>
      </c>
      <c r="J5046" s="1" t="str">
        <f>IF('Twenty-First'!J49="", "",'Twenty-First'!J49)</f>
        <v/>
      </c>
      <c r="K5046" s="83" t="str">
        <f>IF('Twenty-First'!K49="", "",'Twenty-First'!K49)</f>
        <v/>
      </c>
      <c r="M5046" s="67">
        <f t="shared" si="240"/>
        <v>7</v>
      </c>
      <c r="N5046" s="76" t="str">
        <f t="shared" si="241"/>
        <v/>
      </c>
      <c r="O5046" s="33">
        <f t="shared" si="239"/>
        <v>7</v>
      </c>
    </row>
    <row r="5047" spans="1:15" x14ac:dyDescent="0.25">
      <c r="A5047" s="64" t="s">
        <v>190</v>
      </c>
      <c r="B5047" s="82" t="str">
        <f>IF('Twenty-First'!B50="", "",'Twenty-First'!B50)</f>
        <v>Centre Head</v>
      </c>
      <c r="C5047" s="1" t="str">
        <f>IF('Twenty-First'!C50="", "",'Twenty-First'!C50)</f>
        <v>PwC</v>
      </c>
      <c r="D5047" s="1" t="str">
        <f>IF('Twenty-First'!D50="", "",'Twenty-First'!D50)</f>
        <v>New</v>
      </c>
      <c r="E5047" s="1" t="str">
        <f>IF('Twenty-First'!E50="", "",'Twenty-First'!E50)</f>
        <v>Male</v>
      </c>
      <c r="F5047" s="1" t="str">
        <f>IF('Twenty-First'!F50="", "",'Twenty-First'!F50)</f>
        <v>Lower GI</v>
      </c>
      <c r="G5047" s="1" t="str">
        <f>IF('Twenty-First'!G50="", "",'Twenty-First'!G50)</f>
        <v>Non-Curative Intent</v>
      </c>
      <c r="H5047" s="1" t="str">
        <f>IF('Twenty-First'!H50="", "",'Twenty-First'!H50)</f>
        <v>Drop-In</v>
      </c>
      <c r="I5047" s="1" t="str">
        <f>IF('Twenty-First'!I50="", "",'Twenty-First'!I50)</f>
        <v/>
      </c>
      <c r="J5047" s="1" t="str">
        <f>IF('Twenty-First'!J50="", "",'Twenty-First'!J50)</f>
        <v/>
      </c>
      <c r="K5047" s="83" t="str">
        <f>IF('Twenty-First'!K50="", "",'Twenty-First'!K50)</f>
        <v/>
      </c>
      <c r="M5047" s="67">
        <f t="shared" si="240"/>
        <v>7</v>
      </c>
      <c r="N5047" s="76" t="str">
        <f t="shared" si="241"/>
        <v/>
      </c>
      <c r="O5047" s="33">
        <f t="shared" si="239"/>
        <v>7</v>
      </c>
    </row>
    <row r="5048" spans="1:15" x14ac:dyDescent="0.25">
      <c r="A5048" s="64" t="s">
        <v>190</v>
      </c>
      <c r="B5048" s="82" t="str">
        <f>IF('Twenty-First'!B51="", "",'Twenty-First'!B51)</f>
        <v>Centre Head</v>
      </c>
      <c r="C5048" s="1" t="str">
        <f>IF('Twenty-First'!C51="", "",'Twenty-First'!C51)</f>
        <v>Carer</v>
      </c>
      <c r="D5048" s="1" t="str">
        <f>IF('Twenty-First'!D51="", "",'Twenty-First'!D51)</f>
        <v>New</v>
      </c>
      <c r="E5048" s="1" t="str">
        <f>IF('Twenty-First'!E51="", "",'Twenty-First'!E51)</f>
        <v>Male</v>
      </c>
      <c r="F5048" s="1" t="str">
        <f>IF('Twenty-First'!F51="", "",'Twenty-First'!F51)</f>
        <v>Lower GI</v>
      </c>
      <c r="G5048" s="1" t="str">
        <f>IF('Twenty-First'!G51="", "",'Twenty-First'!G51)</f>
        <v>Non-Curative Intent</v>
      </c>
      <c r="H5048" s="1" t="str">
        <f>IF('Twenty-First'!H51="", "",'Twenty-First'!H51)</f>
        <v>Drop-In</v>
      </c>
      <c r="I5048" s="1" t="str">
        <f>IF('Twenty-First'!I51="", "",'Twenty-First'!I51)</f>
        <v/>
      </c>
      <c r="J5048" s="1" t="str">
        <f>IF('Twenty-First'!J51="", "",'Twenty-First'!J51)</f>
        <v/>
      </c>
      <c r="K5048" s="83" t="str">
        <f>IF('Twenty-First'!K51="", "",'Twenty-First'!K51)</f>
        <v/>
      </c>
      <c r="M5048" s="67" t="str">
        <f t="shared" si="240"/>
        <v/>
      </c>
      <c r="N5048" s="76">
        <f t="shared" si="241"/>
        <v>7</v>
      </c>
      <c r="O5048" s="33">
        <f t="shared" si="239"/>
        <v>7</v>
      </c>
    </row>
    <row r="5049" spans="1:15" x14ac:dyDescent="0.25">
      <c r="A5049" s="64" t="s">
        <v>190</v>
      </c>
      <c r="B5049" s="82" t="str">
        <f>IF('Twenty-First'!B52="", "",'Twenty-First'!B52)</f>
        <v>Centre Head</v>
      </c>
      <c r="C5049" s="1" t="str">
        <f>IF('Twenty-First'!C52="", "",'Twenty-First'!C52)</f>
        <v>PwC</v>
      </c>
      <c r="D5049" s="1" t="str">
        <f>IF('Twenty-First'!D52="", "",'Twenty-First'!D52)</f>
        <v>Returning</v>
      </c>
      <c r="E5049" s="1" t="str">
        <f>IF('Twenty-First'!E52="", "",'Twenty-First'!E52)</f>
        <v>Male</v>
      </c>
      <c r="F5049" s="1" t="str">
        <f>IF('Twenty-First'!F52="", "",'Twenty-First'!F52)</f>
        <v>Haemat</v>
      </c>
      <c r="G5049" s="1" t="str">
        <f>IF('Twenty-First'!G52="", "",'Twenty-First'!G52)</f>
        <v>Curative Intent</v>
      </c>
      <c r="H5049" s="1" t="str">
        <f>IF('Twenty-First'!H52="", "",'Twenty-First'!H52)</f>
        <v>Drop-In</v>
      </c>
      <c r="I5049" s="1" t="str">
        <f>IF('Twenty-First'!I52="", "",'Twenty-First'!I52)</f>
        <v/>
      </c>
      <c r="J5049" s="1" t="str">
        <f>IF('Twenty-First'!J52="", "",'Twenty-First'!J52)</f>
        <v/>
      </c>
      <c r="K5049" s="83" t="str">
        <f>IF('Twenty-First'!K52="", "",'Twenty-First'!K52)</f>
        <v/>
      </c>
      <c r="M5049" s="67">
        <f t="shared" si="240"/>
        <v>7</v>
      </c>
      <c r="N5049" s="76" t="str">
        <f t="shared" si="241"/>
        <v/>
      </c>
      <c r="O5049" s="33">
        <f t="shared" si="239"/>
        <v>7</v>
      </c>
    </row>
    <row r="5050" spans="1:15" x14ac:dyDescent="0.25">
      <c r="A5050" s="64" t="s">
        <v>190</v>
      </c>
      <c r="B5050" s="82" t="str">
        <f>IF('Twenty-First'!B53="", "",'Twenty-First'!B53)</f>
        <v>Centre Head</v>
      </c>
      <c r="C5050" s="1" t="str">
        <f>IF('Twenty-First'!C53="", "",'Twenty-First'!C53)</f>
        <v>Carer</v>
      </c>
      <c r="D5050" s="1" t="str">
        <f>IF('Twenty-First'!D53="", "",'Twenty-First'!D53)</f>
        <v>Returning</v>
      </c>
      <c r="E5050" s="1" t="str">
        <f>IF('Twenty-First'!E53="", "",'Twenty-First'!E53)</f>
        <v>Female</v>
      </c>
      <c r="F5050" s="1" t="str">
        <f>IF('Twenty-First'!F53="", "",'Twenty-First'!F53)</f>
        <v>Haemat</v>
      </c>
      <c r="G5050" s="1" t="str">
        <f>IF('Twenty-First'!G53="", "",'Twenty-First'!G53)</f>
        <v>Curative Intent</v>
      </c>
      <c r="H5050" s="1" t="str">
        <f>IF('Twenty-First'!H53="", "",'Twenty-First'!H53)</f>
        <v>Drop-In</v>
      </c>
      <c r="I5050" s="1" t="str">
        <f>IF('Twenty-First'!I53="", "",'Twenty-First'!I53)</f>
        <v/>
      </c>
      <c r="J5050" s="1" t="str">
        <f>IF('Twenty-First'!J53="", "",'Twenty-First'!J53)</f>
        <v/>
      </c>
      <c r="K5050" s="83" t="str">
        <f>IF('Twenty-First'!K53="", "",'Twenty-First'!K53)</f>
        <v/>
      </c>
      <c r="M5050" s="67" t="str">
        <f t="shared" si="240"/>
        <v/>
      </c>
      <c r="N5050" s="76">
        <f t="shared" si="241"/>
        <v>7</v>
      </c>
      <c r="O5050" s="33">
        <f t="shared" si="239"/>
        <v>7</v>
      </c>
    </row>
    <row r="5051" spans="1:15" x14ac:dyDescent="0.25">
      <c r="A5051" s="64" t="s">
        <v>190</v>
      </c>
      <c r="B5051" s="82" t="str">
        <f>IF('Twenty-First'!B54="", "",'Twenty-First'!B54)</f>
        <v>Centre Head</v>
      </c>
      <c r="C5051" s="1" t="str">
        <f>IF('Twenty-First'!C54="", "",'Twenty-First'!C54)</f>
        <v>Carer</v>
      </c>
      <c r="D5051" s="1" t="str">
        <f>IF('Twenty-First'!D54="", "",'Twenty-First'!D54)</f>
        <v>Returning</v>
      </c>
      <c r="E5051" s="1" t="str">
        <f>IF('Twenty-First'!E54="", "",'Twenty-First'!E54)</f>
        <v>Female</v>
      </c>
      <c r="F5051" s="1" t="str">
        <f>IF('Twenty-First'!F54="", "",'Twenty-First'!F54)</f>
        <v>Haemat</v>
      </c>
      <c r="G5051" s="1" t="str">
        <f>IF('Twenty-First'!G54="", "",'Twenty-First'!G54)</f>
        <v>Curative Intent</v>
      </c>
      <c r="H5051" s="1" t="str">
        <f>IF('Twenty-First'!H54="", "",'Twenty-First'!H54)</f>
        <v>Drop-In</v>
      </c>
      <c r="I5051" s="1" t="str">
        <f>IF('Twenty-First'!I54="", "",'Twenty-First'!I54)</f>
        <v/>
      </c>
      <c r="J5051" s="1" t="str">
        <f>IF('Twenty-First'!J54="", "",'Twenty-First'!J54)</f>
        <v/>
      </c>
      <c r="K5051" s="83" t="str">
        <f>IF('Twenty-First'!K54="", "",'Twenty-First'!K54)</f>
        <v/>
      </c>
      <c r="M5051" s="67" t="str">
        <f t="shared" si="240"/>
        <v/>
      </c>
      <c r="N5051" s="76">
        <f t="shared" si="241"/>
        <v>7</v>
      </c>
      <c r="O5051" s="33">
        <f t="shared" si="239"/>
        <v>7</v>
      </c>
    </row>
    <row r="5052" spans="1:15" x14ac:dyDescent="0.25">
      <c r="A5052" s="64" t="s">
        <v>190</v>
      </c>
      <c r="B5052" s="82" t="str">
        <f>IF('Twenty-First'!B55="", "",'Twenty-First'!B55)</f>
        <v>Centre Head</v>
      </c>
      <c r="C5052" s="1" t="str">
        <f>IF('Twenty-First'!C55="", "",'Twenty-First'!C55)</f>
        <v>PwC</v>
      </c>
      <c r="D5052" s="1" t="str">
        <f>IF('Twenty-First'!D55="", "",'Twenty-First'!D55)</f>
        <v>Returning</v>
      </c>
      <c r="E5052" s="1" t="str">
        <f>IF('Twenty-First'!E55="", "",'Twenty-First'!E55)</f>
        <v>Female</v>
      </c>
      <c r="F5052" s="1" t="str">
        <f>IF('Twenty-First'!F55="", "",'Twenty-First'!F55)</f>
        <v>Sarcoma</v>
      </c>
      <c r="G5052" s="1" t="str">
        <f>IF('Twenty-First'!G55="", "",'Twenty-First'!G55)</f>
        <v>Post Treatment - Curative Intent</v>
      </c>
      <c r="H5052" s="1" t="str">
        <f>IF('Twenty-First'!H55="", "",'Twenty-First'!H55)</f>
        <v>Booked</v>
      </c>
      <c r="I5052" s="1" t="str">
        <f>IF('Twenty-First'!I55="", "",'Twenty-First'!I55)</f>
        <v>Psych Support - Individual</v>
      </c>
      <c r="J5052" s="1" t="str">
        <f>IF('Twenty-First'!J55="", "",'Twenty-First'!J55)</f>
        <v/>
      </c>
      <c r="K5052" s="83" t="str">
        <f>IF('Twenty-First'!K55="", "",'Twenty-First'!K55)</f>
        <v/>
      </c>
      <c r="M5052" s="67">
        <f t="shared" si="240"/>
        <v>7</v>
      </c>
      <c r="N5052" s="76" t="str">
        <f t="shared" si="241"/>
        <v/>
      </c>
      <c r="O5052" s="33">
        <f t="shared" si="239"/>
        <v>7</v>
      </c>
    </row>
    <row r="5053" spans="1:15" x14ac:dyDescent="0.25">
      <c r="A5053" s="64" t="s">
        <v>190</v>
      </c>
      <c r="B5053" s="82" t="str">
        <f>IF('Twenty-First'!B56="", "",'Twenty-First'!B56)</f>
        <v>Centre Head</v>
      </c>
      <c r="C5053" s="1" t="str">
        <f>IF('Twenty-First'!C56="", "",'Twenty-First'!C56)</f>
        <v>PwC</v>
      </c>
      <c r="D5053" s="1" t="str">
        <f>IF('Twenty-First'!D56="", "",'Twenty-First'!D56)</f>
        <v>Returning</v>
      </c>
      <c r="E5053" s="1" t="str">
        <f>IF('Twenty-First'!E56="", "",'Twenty-First'!E56)</f>
        <v>Female</v>
      </c>
      <c r="F5053" s="1" t="str">
        <f>IF('Twenty-First'!F56="", "",'Twenty-First'!F56)</f>
        <v>Breast</v>
      </c>
      <c r="G5053" s="1" t="str">
        <f>IF('Twenty-First'!G56="", "",'Twenty-First'!G56)</f>
        <v>Post Treatment - Curative Intent</v>
      </c>
      <c r="H5053" s="1" t="str">
        <f>IF('Twenty-First'!H56="", "",'Twenty-First'!H56)</f>
        <v>Drop-In</v>
      </c>
      <c r="I5053" s="1" t="str">
        <f>IF('Twenty-First'!I56="", "",'Twenty-First'!I56)</f>
        <v/>
      </c>
      <c r="J5053" s="1" t="str">
        <f>IF('Twenty-First'!J56="", "",'Twenty-First'!J56)</f>
        <v/>
      </c>
      <c r="K5053" s="83" t="str">
        <f>IF('Twenty-First'!K56="", "",'Twenty-First'!K56)</f>
        <v/>
      </c>
      <c r="M5053" s="67">
        <f t="shared" si="240"/>
        <v>7</v>
      </c>
      <c r="N5053" s="76" t="str">
        <f t="shared" si="241"/>
        <v/>
      </c>
      <c r="O5053" s="33">
        <f t="shared" si="239"/>
        <v>7</v>
      </c>
    </row>
    <row r="5054" spans="1:15" x14ac:dyDescent="0.25">
      <c r="A5054" s="64" t="s">
        <v>190</v>
      </c>
      <c r="B5054" s="82" t="str">
        <f>IF('Twenty-First'!B57="", "",'Twenty-First'!B57)</f>
        <v>Centre Head</v>
      </c>
      <c r="C5054" s="1" t="str">
        <f>IF('Twenty-First'!C57="", "",'Twenty-First'!C57)</f>
        <v>PwC</v>
      </c>
      <c r="D5054" s="1" t="str">
        <f>IF('Twenty-First'!D57="", "",'Twenty-First'!D57)</f>
        <v>Returning</v>
      </c>
      <c r="E5054" s="1" t="str">
        <f>IF('Twenty-First'!E57="", "",'Twenty-First'!E57)</f>
        <v>Female</v>
      </c>
      <c r="F5054" s="1" t="str">
        <f>IF('Twenty-First'!F57="", "",'Twenty-First'!F57)</f>
        <v>Lower GI</v>
      </c>
      <c r="G5054" s="1" t="str">
        <f>IF('Twenty-First'!G57="", "",'Twenty-First'!G57)</f>
        <v>Non-Curative Intent</v>
      </c>
      <c r="H5054" s="1" t="str">
        <f>IF('Twenty-First'!H57="", "",'Twenty-First'!H57)</f>
        <v>Drop-In</v>
      </c>
      <c r="I5054" s="1" t="str">
        <f>IF('Twenty-First'!I57="", "",'Twenty-First'!I57)</f>
        <v/>
      </c>
      <c r="J5054" s="1" t="str">
        <f>IF('Twenty-First'!J57="", "",'Twenty-First'!J57)</f>
        <v/>
      </c>
      <c r="K5054" s="83" t="str">
        <f>IF('Twenty-First'!K57="", "",'Twenty-First'!K57)</f>
        <v/>
      </c>
      <c r="M5054" s="67">
        <f t="shared" si="240"/>
        <v>7</v>
      </c>
      <c r="N5054" s="76" t="str">
        <f t="shared" si="241"/>
        <v/>
      </c>
      <c r="O5054" s="33">
        <f t="shared" si="239"/>
        <v>7</v>
      </c>
    </row>
    <row r="5055" spans="1:15" x14ac:dyDescent="0.25">
      <c r="A5055" s="64" t="s">
        <v>190</v>
      </c>
      <c r="B5055" s="82" t="str">
        <f>IF('Twenty-First'!B58="", "",'Twenty-First'!B58)</f>
        <v>Centre Head</v>
      </c>
      <c r="C5055" s="1" t="str">
        <f>IF('Twenty-First'!C58="", "",'Twenty-First'!C58)</f>
        <v>Carer</v>
      </c>
      <c r="D5055" s="1" t="str">
        <f>IF('Twenty-First'!D58="", "",'Twenty-First'!D58)</f>
        <v>Returning</v>
      </c>
      <c r="E5055" s="1" t="str">
        <f>IF('Twenty-First'!E58="", "",'Twenty-First'!E58)</f>
        <v>Male</v>
      </c>
      <c r="F5055" s="1" t="str">
        <f>IF('Twenty-First'!F58="", "",'Twenty-First'!F58)</f>
        <v>Lower GI</v>
      </c>
      <c r="G5055" s="1" t="str">
        <f>IF('Twenty-First'!G58="", "",'Twenty-First'!G58)</f>
        <v>Non-Curative Intent</v>
      </c>
      <c r="H5055" s="1" t="str">
        <f>IF('Twenty-First'!H58="", "",'Twenty-First'!H58)</f>
        <v>Drop-In</v>
      </c>
      <c r="I5055" s="1" t="str">
        <f>IF('Twenty-First'!I58="", "",'Twenty-First'!I58)</f>
        <v/>
      </c>
      <c r="J5055" s="1" t="str">
        <f>IF('Twenty-First'!J58="", "",'Twenty-First'!J58)</f>
        <v/>
      </c>
      <c r="K5055" s="83" t="str">
        <f>IF('Twenty-First'!K58="", "",'Twenty-First'!K58)</f>
        <v/>
      </c>
      <c r="M5055" s="67" t="str">
        <f t="shared" si="240"/>
        <v/>
      </c>
      <c r="N5055" s="76">
        <f t="shared" si="241"/>
        <v>7</v>
      </c>
      <c r="O5055" s="33">
        <f t="shared" si="239"/>
        <v>7</v>
      </c>
    </row>
    <row r="5056" spans="1:15" x14ac:dyDescent="0.25">
      <c r="A5056" s="64" t="s">
        <v>190</v>
      </c>
      <c r="B5056" s="82" t="str">
        <f>IF('Twenty-First'!B59="", "",'Twenty-First'!B59)</f>
        <v>Centre Head</v>
      </c>
      <c r="C5056" s="1" t="str">
        <f>IF('Twenty-First'!C59="", "",'Twenty-First'!C59)</f>
        <v>Carer</v>
      </c>
      <c r="D5056" s="1" t="str">
        <f>IF('Twenty-First'!D59="", "",'Twenty-First'!D59)</f>
        <v>Returning</v>
      </c>
      <c r="E5056" s="1" t="str">
        <f>IF('Twenty-First'!E59="", "",'Twenty-First'!E59)</f>
        <v>Male</v>
      </c>
      <c r="F5056" s="1" t="str">
        <f>IF('Twenty-First'!F59="", "",'Twenty-First'!F59)</f>
        <v>Lower GI</v>
      </c>
      <c r="G5056" s="1" t="str">
        <f>IF('Twenty-First'!G59="", "",'Twenty-First'!G59)</f>
        <v>Non-Curative Intent</v>
      </c>
      <c r="H5056" s="1" t="str">
        <f>IF('Twenty-First'!H59="", "",'Twenty-First'!H59)</f>
        <v>Drop-In</v>
      </c>
      <c r="I5056" s="1" t="str">
        <f>IF('Twenty-First'!I59="", "",'Twenty-First'!I59)</f>
        <v/>
      </c>
      <c r="J5056" s="1" t="str">
        <f>IF('Twenty-First'!J59="", "",'Twenty-First'!J59)</f>
        <v/>
      </c>
      <c r="K5056" s="83" t="str">
        <f>IF('Twenty-First'!K59="", "",'Twenty-First'!K59)</f>
        <v/>
      </c>
      <c r="M5056" s="67" t="str">
        <f t="shared" si="240"/>
        <v/>
      </c>
      <c r="N5056" s="76">
        <f t="shared" si="241"/>
        <v>7</v>
      </c>
      <c r="O5056" s="33">
        <f t="shared" si="239"/>
        <v>7</v>
      </c>
    </row>
    <row r="5057" spans="1:15" x14ac:dyDescent="0.25">
      <c r="A5057" s="64" t="s">
        <v>190</v>
      </c>
      <c r="B5057" s="82" t="str">
        <f>IF('Twenty-First'!B60="", "",'Twenty-First'!B60)</f>
        <v>CSS</v>
      </c>
      <c r="C5057" s="1" t="str">
        <f>IF('Twenty-First'!C60="", "",'Twenty-First'!C60)</f>
        <v>Carer</v>
      </c>
      <c r="D5057" s="1" t="str">
        <f>IF('Twenty-First'!D60="", "",'Twenty-First'!D60)</f>
        <v>Returning</v>
      </c>
      <c r="E5057" s="1" t="str">
        <f>IF('Twenty-First'!E60="", "",'Twenty-First'!E60)</f>
        <v>Female</v>
      </c>
      <c r="F5057" s="1" t="str">
        <f>IF('Twenty-First'!F60="", "",'Twenty-First'!F60)</f>
        <v>Skin/Mel</v>
      </c>
      <c r="G5057" s="1" t="str">
        <f>IF('Twenty-First'!G60="", "",'Twenty-First'!G60)</f>
        <v>Non-Curative Intent</v>
      </c>
      <c r="H5057" s="1" t="str">
        <f>IF('Twenty-First'!H60="", "",'Twenty-First'!H60)</f>
        <v>Telephone Support</v>
      </c>
      <c r="I5057" s="1" t="str">
        <f>IF('Twenty-First'!I60="", "",'Twenty-First'!I60)</f>
        <v/>
      </c>
      <c r="J5057" s="1" t="str">
        <f>IF('Twenty-First'!J60="", "",'Twenty-First'!J60)</f>
        <v/>
      </c>
      <c r="K5057" s="83" t="str">
        <f>IF('Twenty-First'!K60="", "",'Twenty-First'!K60)</f>
        <v/>
      </c>
      <c r="M5057" s="67" t="str">
        <f t="shared" si="240"/>
        <v/>
      </c>
      <c r="N5057" s="76">
        <f t="shared" si="241"/>
        <v>7</v>
      </c>
      <c r="O5057" s="33">
        <f t="shared" si="239"/>
        <v>7</v>
      </c>
    </row>
    <row r="5058" spans="1:15" x14ac:dyDescent="0.25">
      <c r="A5058" s="64" t="s">
        <v>190</v>
      </c>
      <c r="B5058" s="82" t="str">
        <f>IF('Twenty-First'!B61="", "",'Twenty-First'!B61)</f>
        <v>Centre Head</v>
      </c>
      <c r="C5058" s="1" t="str">
        <f>IF('Twenty-First'!C61="", "",'Twenty-First'!C61)</f>
        <v>PwC</v>
      </c>
      <c r="D5058" s="1" t="str">
        <f>IF('Twenty-First'!D61="", "",'Twenty-First'!D61)</f>
        <v>Returning</v>
      </c>
      <c r="E5058" s="1" t="str">
        <f>IF('Twenty-First'!E61="", "",'Twenty-First'!E61)</f>
        <v>Male</v>
      </c>
      <c r="F5058" s="1" t="str">
        <f>IF('Twenty-First'!F61="", "",'Twenty-First'!F61)</f>
        <v>Lower GI</v>
      </c>
      <c r="G5058" s="1" t="str">
        <f>IF('Twenty-First'!G61="", "",'Twenty-First'!G61)</f>
        <v>Curative Intent</v>
      </c>
      <c r="H5058" s="1" t="str">
        <f>IF('Twenty-First'!H61="", "",'Twenty-First'!H61)</f>
        <v>Drop-In</v>
      </c>
      <c r="I5058" s="1" t="str">
        <f>IF('Twenty-First'!I61="", "",'Twenty-First'!I61)</f>
        <v/>
      </c>
      <c r="J5058" s="1" t="str">
        <f>IF('Twenty-First'!J61="", "",'Twenty-First'!J61)</f>
        <v/>
      </c>
      <c r="K5058" s="83" t="str">
        <f>IF('Twenty-First'!K61="", "",'Twenty-First'!K61)</f>
        <v/>
      </c>
      <c r="M5058" s="67">
        <f t="shared" si="240"/>
        <v>7</v>
      </c>
      <c r="N5058" s="76" t="str">
        <f t="shared" si="241"/>
        <v/>
      </c>
      <c r="O5058" s="33">
        <f t="shared" si="239"/>
        <v>7</v>
      </c>
    </row>
    <row r="5059" spans="1:15" x14ac:dyDescent="0.25">
      <c r="A5059" s="64" t="s">
        <v>190</v>
      </c>
      <c r="B5059" s="82" t="str">
        <f>IF('Twenty-First'!B62="", "",'Twenty-First'!B62)</f>
        <v>Centre Head</v>
      </c>
      <c r="C5059" s="1" t="str">
        <f>IF('Twenty-First'!C62="", "",'Twenty-First'!C62)</f>
        <v>PwC</v>
      </c>
      <c r="D5059" s="1" t="str">
        <f>IF('Twenty-First'!D62="", "",'Twenty-First'!D62)</f>
        <v>Returning</v>
      </c>
      <c r="E5059" s="1" t="str">
        <f>IF('Twenty-First'!E62="", "",'Twenty-First'!E62)</f>
        <v>Female</v>
      </c>
      <c r="F5059" s="1" t="str">
        <f>IF('Twenty-First'!F62="", "",'Twenty-First'!F62)</f>
        <v>Breast</v>
      </c>
      <c r="G5059" s="1" t="str">
        <f>IF('Twenty-First'!G62="", "",'Twenty-First'!G62)</f>
        <v>Post Treatment - Curative Intent</v>
      </c>
      <c r="H5059" s="1" t="str">
        <f>IF('Twenty-First'!H62="", "",'Twenty-First'!H62)</f>
        <v>Drop-In</v>
      </c>
      <c r="I5059" s="1" t="str">
        <f>IF('Twenty-First'!I62="", "",'Twenty-First'!I62)</f>
        <v/>
      </c>
      <c r="J5059" s="1" t="str">
        <f>IF('Twenty-First'!J62="", "",'Twenty-First'!J62)</f>
        <v/>
      </c>
      <c r="K5059" s="83" t="str">
        <f>IF('Twenty-First'!K62="", "",'Twenty-First'!K62)</f>
        <v/>
      </c>
      <c r="M5059" s="67">
        <f t="shared" si="240"/>
        <v>7</v>
      </c>
      <c r="N5059" s="76" t="str">
        <f t="shared" si="241"/>
        <v/>
      </c>
      <c r="O5059" s="33">
        <f t="shared" si="239"/>
        <v>7</v>
      </c>
    </row>
    <row r="5060" spans="1:15" x14ac:dyDescent="0.25">
      <c r="A5060" s="64" t="s">
        <v>190</v>
      </c>
      <c r="B5060" s="82" t="str">
        <f>IF('Twenty-First'!B63="", "",'Twenty-First'!B63)</f>
        <v>Centre Head</v>
      </c>
      <c r="C5060" s="1" t="str">
        <f>IF('Twenty-First'!C63="", "",'Twenty-First'!C63)</f>
        <v>Carer</v>
      </c>
      <c r="D5060" s="1" t="str">
        <f>IF('Twenty-First'!D63="", "",'Twenty-First'!D63)</f>
        <v>Returning</v>
      </c>
      <c r="E5060" s="1" t="str">
        <f>IF('Twenty-First'!E63="", "",'Twenty-First'!E63)</f>
        <v>Female</v>
      </c>
      <c r="F5060" s="1" t="str">
        <f>IF('Twenty-First'!F63="", "",'Twenty-First'!F63)</f>
        <v>Breast</v>
      </c>
      <c r="G5060" s="1" t="str">
        <f>IF('Twenty-First'!G63="", "",'Twenty-First'!G63)</f>
        <v>Post Treatment - Curative Intent</v>
      </c>
      <c r="H5060" s="1" t="str">
        <f>IF('Twenty-First'!H63="", "",'Twenty-First'!H63)</f>
        <v>Drop-In</v>
      </c>
      <c r="I5060" s="1" t="str">
        <f>IF('Twenty-First'!I63="", "",'Twenty-First'!I63)</f>
        <v/>
      </c>
      <c r="J5060" s="1" t="str">
        <f>IF('Twenty-First'!J63="", "",'Twenty-First'!J63)</f>
        <v/>
      </c>
      <c r="K5060" s="83" t="str">
        <f>IF('Twenty-First'!K63="", "",'Twenty-First'!K63)</f>
        <v/>
      </c>
      <c r="M5060" s="67" t="str">
        <f t="shared" si="240"/>
        <v/>
      </c>
      <c r="N5060" s="76">
        <f t="shared" si="241"/>
        <v>7</v>
      </c>
      <c r="O5060" s="33">
        <f t="shared" si="239"/>
        <v>7</v>
      </c>
    </row>
    <row r="5061" spans="1:15" x14ac:dyDescent="0.25">
      <c r="A5061" s="64" t="s">
        <v>190</v>
      </c>
      <c r="B5061" s="82" t="str">
        <f>IF('Twenty-First'!B64="", "",'Twenty-First'!B64)</f>
        <v>Centre Head</v>
      </c>
      <c r="C5061" s="1" t="str">
        <f>IF('Twenty-First'!C64="", "",'Twenty-First'!C64)</f>
        <v>Carer</v>
      </c>
      <c r="D5061" s="1" t="str">
        <f>IF('Twenty-First'!D64="", "",'Twenty-First'!D64)</f>
        <v>Returning</v>
      </c>
      <c r="E5061" s="1" t="str">
        <f>IF('Twenty-First'!E64="", "",'Twenty-First'!E64)</f>
        <v>Female</v>
      </c>
      <c r="F5061" s="1" t="str">
        <f>IF('Twenty-First'!F64="", "",'Twenty-First'!F64)</f>
        <v>Haemat</v>
      </c>
      <c r="G5061" s="1" t="str">
        <f>IF('Twenty-First'!G64="", "",'Twenty-First'!G64)</f>
        <v>Bereaved</v>
      </c>
      <c r="H5061" s="1" t="str">
        <f>IF('Twenty-First'!H64="", "",'Twenty-First'!H64)</f>
        <v>Booked</v>
      </c>
      <c r="I5061" s="1" t="str">
        <f>IF('Twenty-First'!I64="", "",'Twenty-First'!I64)</f>
        <v>Psych Support - Individual</v>
      </c>
      <c r="J5061" s="1" t="str">
        <f>IF('Twenty-First'!J64="", "",'Twenty-First'!J64)</f>
        <v/>
      </c>
      <c r="K5061" s="83" t="str">
        <f>IF('Twenty-First'!K64="", "",'Twenty-First'!K64)</f>
        <v/>
      </c>
      <c r="M5061" s="67" t="str">
        <f t="shared" si="240"/>
        <v/>
      </c>
      <c r="N5061" s="76">
        <f t="shared" si="241"/>
        <v>7</v>
      </c>
      <c r="O5061" s="33">
        <f t="shared" si="239"/>
        <v>7</v>
      </c>
    </row>
    <row r="5062" spans="1:15" x14ac:dyDescent="0.25">
      <c r="A5062" s="64" t="s">
        <v>190</v>
      </c>
      <c r="B5062" s="82" t="str">
        <f>IF('Twenty-First'!B65="", "",'Twenty-First'!B65)</f>
        <v>Centre Head</v>
      </c>
      <c r="C5062" s="1" t="str">
        <f>IF('Twenty-First'!C65="", "",'Twenty-First'!C65)</f>
        <v>PwC</v>
      </c>
      <c r="D5062" s="1" t="str">
        <f>IF('Twenty-First'!D65="", "",'Twenty-First'!D65)</f>
        <v>Returning</v>
      </c>
      <c r="E5062" s="1" t="str">
        <f>IF('Twenty-First'!E65="", "",'Twenty-First'!E65)</f>
        <v>Female</v>
      </c>
      <c r="F5062" s="1" t="str">
        <f>IF('Twenty-First'!F65="", "",'Twenty-First'!F65)</f>
        <v>Sarcoma</v>
      </c>
      <c r="G5062" s="1" t="str">
        <f>IF('Twenty-First'!G65="", "",'Twenty-First'!G65)</f>
        <v>Post Treatment - Curative Intent</v>
      </c>
      <c r="H5062" s="1" t="str">
        <f>IF('Twenty-First'!H65="", "",'Twenty-First'!H65)</f>
        <v>Booked</v>
      </c>
      <c r="I5062" s="1" t="str">
        <f>IF('Twenty-First'!I65="", "",'Twenty-First'!I65)</f>
        <v>Psych Support - Individual</v>
      </c>
      <c r="J5062" s="1" t="str">
        <f>IF('Twenty-First'!J65="", "",'Twenty-First'!J65)</f>
        <v/>
      </c>
      <c r="K5062" s="83" t="str">
        <f>IF('Twenty-First'!K65="", "",'Twenty-First'!K65)</f>
        <v/>
      </c>
      <c r="M5062" s="67">
        <f t="shared" si="240"/>
        <v>7</v>
      </c>
      <c r="N5062" s="76" t="str">
        <f t="shared" si="241"/>
        <v/>
      </c>
      <c r="O5062" s="33">
        <f t="shared" si="239"/>
        <v>7</v>
      </c>
    </row>
    <row r="5063" spans="1:15" x14ac:dyDescent="0.25">
      <c r="A5063" s="64" t="s">
        <v>190</v>
      </c>
      <c r="B5063" s="82" t="str">
        <f>IF('Twenty-First'!B66="", "",'Twenty-First'!B66)</f>
        <v>Centre Head</v>
      </c>
      <c r="C5063" s="1" t="str">
        <f>IF('Twenty-First'!C66="", "",'Twenty-First'!C66)</f>
        <v>Carer</v>
      </c>
      <c r="D5063" s="1" t="str">
        <f>IF('Twenty-First'!D66="", "",'Twenty-First'!D66)</f>
        <v>Returning</v>
      </c>
      <c r="E5063" s="1" t="str">
        <f>IF('Twenty-First'!E66="", "",'Twenty-First'!E66)</f>
        <v>Male</v>
      </c>
      <c r="F5063" s="1" t="str">
        <f>IF('Twenty-First'!F66="", "",'Twenty-First'!F66)</f>
        <v>Haemat</v>
      </c>
      <c r="G5063" s="1" t="str">
        <f>IF('Twenty-First'!G66="", "",'Twenty-First'!G66)</f>
        <v>Bereaved</v>
      </c>
      <c r="H5063" s="1" t="str">
        <f>IF('Twenty-First'!H66="", "",'Twenty-First'!H66)</f>
        <v>Booked</v>
      </c>
      <c r="I5063" s="1" t="str">
        <f>IF('Twenty-First'!I66="", "",'Twenty-First'!I66)</f>
        <v>Psych Support - Individual</v>
      </c>
      <c r="J5063" s="1" t="str">
        <f>IF('Twenty-First'!J66="", "",'Twenty-First'!J66)</f>
        <v/>
      </c>
      <c r="K5063" s="83" t="str">
        <f>IF('Twenty-First'!K66="", "",'Twenty-First'!K66)</f>
        <v/>
      </c>
      <c r="M5063" s="67" t="str">
        <f t="shared" si="240"/>
        <v/>
      </c>
      <c r="N5063" s="76">
        <f t="shared" si="241"/>
        <v>7</v>
      </c>
      <c r="O5063" s="33">
        <f t="shared" si="239"/>
        <v>7</v>
      </c>
    </row>
    <row r="5064" spans="1:15" x14ac:dyDescent="0.25">
      <c r="A5064" s="64" t="s">
        <v>190</v>
      </c>
      <c r="B5064" s="82" t="str">
        <f>IF('Twenty-First'!B67="", "",'Twenty-First'!B67)</f>
        <v>Centre Head</v>
      </c>
      <c r="C5064" s="1" t="str">
        <f>IF('Twenty-First'!C67="", "",'Twenty-First'!C67)</f>
        <v>Carer</v>
      </c>
      <c r="D5064" s="1" t="str">
        <f>IF('Twenty-First'!D67="", "",'Twenty-First'!D67)</f>
        <v>Returning</v>
      </c>
      <c r="E5064" s="1" t="str">
        <f>IF('Twenty-First'!E67="", "",'Twenty-First'!E67)</f>
        <v>Female</v>
      </c>
      <c r="F5064" s="1" t="str">
        <f>IF('Twenty-First'!F67="", "",'Twenty-First'!F67)</f>
        <v>Haemat</v>
      </c>
      <c r="G5064" s="1" t="str">
        <f>IF('Twenty-First'!G67="", "",'Twenty-First'!G67)</f>
        <v>Bereaved</v>
      </c>
      <c r="H5064" s="1" t="str">
        <f>IF('Twenty-First'!H67="", "",'Twenty-First'!H67)</f>
        <v>Booked</v>
      </c>
      <c r="I5064" s="1" t="str">
        <f>IF('Twenty-First'!I67="", "",'Twenty-First'!I67)</f>
        <v>Psych Support - Individual</v>
      </c>
      <c r="J5064" s="1" t="str">
        <f>IF('Twenty-First'!J67="", "",'Twenty-First'!J67)</f>
        <v/>
      </c>
      <c r="K5064" s="83" t="str">
        <f>IF('Twenty-First'!K67="", "",'Twenty-First'!K67)</f>
        <v/>
      </c>
      <c r="M5064" s="67" t="str">
        <f t="shared" si="240"/>
        <v/>
      </c>
      <c r="N5064" s="76">
        <f t="shared" si="241"/>
        <v>7</v>
      </c>
      <c r="O5064" s="33">
        <f t="shared" si="239"/>
        <v>7</v>
      </c>
    </row>
    <row r="5065" spans="1:15" x14ac:dyDescent="0.25">
      <c r="A5065" s="64" t="s">
        <v>190</v>
      </c>
      <c r="B5065" s="82" t="str">
        <f>IF('Twenty-First'!B68="", "",'Twenty-First'!B68)</f>
        <v>Centre Head</v>
      </c>
      <c r="C5065" s="1" t="str">
        <f>IF('Twenty-First'!C68="", "",'Twenty-First'!C68)</f>
        <v>PwC</v>
      </c>
      <c r="D5065" s="1" t="str">
        <f>IF('Twenty-First'!D68="", "",'Twenty-First'!D68)</f>
        <v>Returning</v>
      </c>
      <c r="E5065" s="1" t="str">
        <f>IF('Twenty-First'!E68="", "",'Twenty-First'!E68)</f>
        <v>Male</v>
      </c>
      <c r="F5065" s="1" t="str">
        <f>IF('Twenty-First'!F68="", "",'Twenty-First'!F68)</f>
        <v>Testicular</v>
      </c>
      <c r="G5065" s="1" t="str">
        <f>IF('Twenty-First'!G68="", "",'Twenty-First'!G68)</f>
        <v>Post Treatment - Curative Intent</v>
      </c>
      <c r="H5065" s="1" t="str">
        <f>IF('Twenty-First'!H68="", "",'Twenty-First'!H68)</f>
        <v>Booked</v>
      </c>
      <c r="I5065" s="1" t="str">
        <f>IF('Twenty-First'!I68="", "",'Twenty-First'!I68)</f>
        <v>Psych Support - Individual</v>
      </c>
      <c r="J5065" s="1" t="str">
        <f>IF('Twenty-First'!J68="", "",'Twenty-First'!J68)</f>
        <v/>
      </c>
      <c r="K5065" s="83" t="str">
        <f>IF('Twenty-First'!K68="", "",'Twenty-First'!K68)</f>
        <v/>
      </c>
      <c r="M5065" s="67">
        <f t="shared" si="240"/>
        <v>7</v>
      </c>
      <c r="N5065" s="76" t="str">
        <f t="shared" si="241"/>
        <v/>
      </c>
      <c r="O5065" s="33">
        <f t="shared" si="239"/>
        <v>7</v>
      </c>
    </row>
    <row r="5066" spans="1:15" x14ac:dyDescent="0.25">
      <c r="A5066" s="64" t="s">
        <v>190</v>
      </c>
      <c r="B5066" s="82" t="str">
        <f>IF('Twenty-First'!B69="", "",'Twenty-First'!B69)</f>
        <v>Centre Head</v>
      </c>
      <c r="C5066" s="1" t="str">
        <f>IF('Twenty-First'!C69="", "",'Twenty-First'!C69)</f>
        <v>PwC</v>
      </c>
      <c r="D5066" s="1" t="str">
        <f>IF('Twenty-First'!D69="", "",'Twenty-First'!D69)</f>
        <v>Returning</v>
      </c>
      <c r="E5066" s="1" t="str">
        <f>IF('Twenty-First'!E69="", "",'Twenty-First'!E69)</f>
        <v>Female</v>
      </c>
      <c r="F5066" s="1" t="str">
        <f>IF('Twenty-First'!F69="", "",'Twenty-First'!F69)</f>
        <v>Breast</v>
      </c>
      <c r="G5066" s="1" t="str">
        <f>IF('Twenty-First'!G69="", "",'Twenty-First'!G69)</f>
        <v>Post Treatment - Curative Intent</v>
      </c>
      <c r="H5066" s="1" t="str">
        <f>IF('Twenty-First'!H69="", "",'Twenty-First'!H69)</f>
        <v>Booked</v>
      </c>
      <c r="I5066" s="1" t="str">
        <f>IF('Twenty-First'!I69="", "",'Twenty-First'!I69)</f>
        <v>Psych Support - Individual</v>
      </c>
      <c r="J5066" s="1" t="str">
        <f>IF('Twenty-First'!J69="", "",'Twenty-First'!J69)</f>
        <v/>
      </c>
      <c r="K5066" s="83" t="str">
        <f>IF('Twenty-First'!K69="", "",'Twenty-First'!K69)</f>
        <v/>
      </c>
      <c r="M5066" s="67">
        <f t="shared" si="240"/>
        <v>7</v>
      </c>
      <c r="N5066" s="76" t="str">
        <f t="shared" si="241"/>
        <v/>
      </c>
      <c r="O5066" s="33">
        <f t="shared" ref="O5066:O5129" si="242">SUM(M5066:N5066)</f>
        <v>7</v>
      </c>
    </row>
    <row r="5067" spans="1:15" x14ac:dyDescent="0.25">
      <c r="A5067" s="64" t="s">
        <v>190</v>
      </c>
      <c r="B5067" s="82" t="str">
        <f>IF('Twenty-First'!B70="", "",'Twenty-First'!B70)</f>
        <v>Sessional Staff</v>
      </c>
      <c r="C5067" s="1" t="str">
        <f>IF('Twenty-First'!C70="", "",'Twenty-First'!C70)</f>
        <v>PwC</v>
      </c>
      <c r="D5067" s="1" t="str">
        <f>IF('Twenty-First'!D70="", "",'Twenty-First'!D70)</f>
        <v>Returning</v>
      </c>
      <c r="E5067" s="1" t="str">
        <f>IF('Twenty-First'!E70="", "",'Twenty-First'!E70)</f>
        <v>Female</v>
      </c>
      <c r="F5067" s="1" t="str">
        <f>IF('Twenty-First'!F70="", "",'Twenty-First'!F70)</f>
        <v>Not Stated</v>
      </c>
      <c r="G5067" s="1" t="str">
        <f>IF('Twenty-First'!G70="", "",'Twenty-First'!G70)</f>
        <v>Not Stated</v>
      </c>
      <c r="H5067" s="1" t="str">
        <f>IF('Twenty-First'!H70="", "",'Twenty-First'!H70)</f>
        <v>Programme</v>
      </c>
      <c r="I5067" s="1" t="str">
        <f>IF('Twenty-First'!I70="", "",'Twenty-First'!I70)</f>
        <v>Gentle Exercise</v>
      </c>
      <c r="J5067" s="1" t="str">
        <f>IF('Twenty-First'!J70="", "",'Twenty-First'!J70)</f>
        <v>Creative Writing</v>
      </c>
      <c r="K5067" s="83" t="str">
        <f>IF('Twenty-First'!K70="", "",'Twenty-First'!K70)</f>
        <v/>
      </c>
      <c r="M5067" s="67">
        <f t="shared" ref="M5067:M5130" si="243">IF(C5067="PwC",(7-COUNTIF(B5067:H5067,"")),"")</f>
        <v>7</v>
      </c>
      <c r="N5067" s="76" t="str">
        <f t="shared" ref="N5067:N5130" si="244">IF(C5067="Carer",(7-COUNTIF(B5067:H5067,"")),"")</f>
        <v/>
      </c>
      <c r="O5067" s="33">
        <f t="shared" si="242"/>
        <v>7</v>
      </c>
    </row>
    <row r="5068" spans="1:15" x14ac:dyDescent="0.25">
      <c r="A5068" s="64" t="s">
        <v>190</v>
      </c>
      <c r="B5068" s="82" t="str">
        <f>IF('Twenty-First'!B71="", "",'Twenty-First'!B71)</f>
        <v>Sessional Staff</v>
      </c>
      <c r="C5068" s="1" t="str">
        <f>IF('Twenty-First'!C71="", "",'Twenty-First'!C71)</f>
        <v>PwC</v>
      </c>
      <c r="D5068" s="1" t="str">
        <f>IF('Twenty-First'!D71="", "",'Twenty-First'!D71)</f>
        <v>Returning</v>
      </c>
      <c r="E5068" s="1" t="str">
        <f>IF('Twenty-First'!E71="", "",'Twenty-First'!E71)</f>
        <v>Female</v>
      </c>
      <c r="F5068" s="1" t="str">
        <f>IF('Twenty-First'!F71="", "",'Twenty-First'!F71)</f>
        <v>Not Stated</v>
      </c>
      <c r="G5068" s="1" t="str">
        <f>IF('Twenty-First'!G71="", "",'Twenty-First'!G71)</f>
        <v>Not Stated</v>
      </c>
      <c r="H5068" s="1" t="str">
        <f>IF('Twenty-First'!H71="", "",'Twenty-First'!H71)</f>
        <v>Programme</v>
      </c>
      <c r="I5068" s="1" t="str">
        <f>IF('Twenty-First'!I71="", "",'Twenty-First'!I71)</f>
        <v>Gentle Exercise</v>
      </c>
      <c r="J5068" s="1" t="str">
        <f>IF('Twenty-First'!J71="", "",'Twenty-First'!J71)</f>
        <v>Creative Writing</v>
      </c>
      <c r="K5068" s="83" t="str">
        <f>IF('Twenty-First'!K71="", "",'Twenty-First'!K71)</f>
        <v/>
      </c>
      <c r="M5068" s="67">
        <f t="shared" si="243"/>
        <v>7</v>
      </c>
      <c r="N5068" s="76" t="str">
        <f t="shared" si="244"/>
        <v/>
      </c>
      <c r="O5068" s="33">
        <f t="shared" si="242"/>
        <v>7</v>
      </c>
    </row>
    <row r="5069" spans="1:15" x14ac:dyDescent="0.25">
      <c r="A5069" s="64" t="s">
        <v>190</v>
      </c>
      <c r="B5069" s="82" t="str">
        <f>IF('Twenty-First'!B72="", "",'Twenty-First'!B72)</f>
        <v>Sessional Staff</v>
      </c>
      <c r="C5069" s="1" t="str">
        <f>IF('Twenty-First'!C72="", "",'Twenty-First'!C72)</f>
        <v>PwC</v>
      </c>
      <c r="D5069" s="1" t="str">
        <f>IF('Twenty-First'!D72="", "",'Twenty-First'!D72)</f>
        <v>Returning</v>
      </c>
      <c r="E5069" s="1" t="str">
        <f>IF('Twenty-First'!E72="", "",'Twenty-First'!E72)</f>
        <v>Female</v>
      </c>
      <c r="F5069" s="1" t="str">
        <f>IF('Twenty-First'!F72="", "",'Twenty-First'!F72)</f>
        <v>Not Stated</v>
      </c>
      <c r="G5069" s="1" t="str">
        <f>IF('Twenty-First'!G72="", "",'Twenty-First'!G72)</f>
        <v>Not Stated</v>
      </c>
      <c r="H5069" s="1" t="str">
        <f>IF('Twenty-First'!H72="", "",'Twenty-First'!H72)</f>
        <v>Programme</v>
      </c>
      <c r="I5069" s="1" t="str">
        <f>IF('Twenty-First'!I72="", "",'Twenty-First'!I72)</f>
        <v>Gentle Exercise</v>
      </c>
      <c r="J5069" s="1" t="str">
        <f>IF('Twenty-First'!J72="", "",'Twenty-First'!J72)</f>
        <v>Creative Writing</v>
      </c>
      <c r="K5069" s="83" t="str">
        <f>IF('Twenty-First'!K72="", "",'Twenty-First'!K72)</f>
        <v/>
      </c>
      <c r="M5069" s="67">
        <f t="shared" si="243"/>
        <v>7</v>
      </c>
      <c r="N5069" s="76" t="str">
        <f t="shared" si="244"/>
        <v/>
      </c>
      <c r="O5069" s="33">
        <f t="shared" si="242"/>
        <v>7</v>
      </c>
    </row>
    <row r="5070" spans="1:15" x14ac:dyDescent="0.25">
      <c r="A5070" s="64" t="s">
        <v>190</v>
      </c>
      <c r="B5070" s="82" t="str">
        <f>IF('Twenty-First'!B73="", "",'Twenty-First'!B73)</f>
        <v>Sessional Staff</v>
      </c>
      <c r="C5070" s="1" t="str">
        <f>IF('Twenty-First'!C73="", "",'Twenty-First'!C73)</f>
        <v>PwC</v>
      </c>
      <c r="D5070" s="1" t="str">
        <f>IF('Twenty-First'!D73="", "",'Twenty-First'!D73)</f>
        <v>Returning</v>
      </c>
      <c r="E5070" s="1" t="str">
        <f>IF('Twenty-First'!E73="", "",'Twenty-First'!E73)</f>
        <v>Female</v>
      </c>
      <c r="F5070" s="1" t="str">
        <f>IF('Twenty-First'!F73="", "",'Twenty-First'!F73)</f>
        <v>Not Stated</v>
      </c>
      <c r="G5070" s="1" t="str">
        <f>IF('Twenty-First'!G73="", "",'Twenty-First'!G73)</f>
        <v>Not Stated</v>
      </c>
      <c r="H5070" s="1" t="str">
        <f>IF('Twenty-First'!H73="", "",'Twenty-First'!H73)</f>
        <v>Programme</v>
      </c>
      <c r="I5070" s="1" t="str">
        <f>IF('Twenty-First'!I73="", "",'Twenty-First'!I73)</f>
        <v>Gentle Exercise</v>
      </c>
      <c r="J5070" s="1" t="str">
        <f>IF('Twenty-First'!J73="", "",'Twenty-First'!J73)</f>
        <v>Creative Writing</v>
      </c>
      <c r="K5070" s="83" t="str">
        <f>IF('Twenty-First'!K73="", "",'Twenty-First'!K73)</f>
        <v/>
      </c>
      <c r="M5070" s="67">
        <f t="shared" si="243"/>
        <v>7</v>
      </c>
      <c r="N5070" s="76" t="str">
        <f t="shared" si="244"/>
        <v/>
      </c>
      <c r="O5070" s="33">
        <f t="shared" si="242"/>
        <v>7</v>
      </c>
    </row>
    <row r="5071" spans="1:15" x14ac:dyDescent="0.25">
      <c r="A5071" s="64" t="s">
        <v>190</v>
      </c>
      <c r="B5071" s="82" t="str">
        <f>IF('Twenty-First'!B74="", "",'Twenty-First'!B74)</f>
        <v>Sessional Staff</v>
      </c>
      <c r="C5071" s="1" t="str">
        <f>IF('Twenty-First'!C74="", "",'Twenty-First'!C74)</f>
        <v>PwC</v>
      </c>
      <c r="D5071" s="1" t="str">
        <f>IF('Twenty-First'!D74="", "",'Twenty-First'!D74)</f>
        <v>Returning</v>
      </c>
      <c r="E5071" s="1" t="str">
        <f>IF('Twenty-First'!E74="", "",'Twenty-First'!E74)</f>
        <v>Female</v>
      </c>
      <c r="F5071" s="1" t="str">
        <f>IF('Twenty-First'!F74="", "",'Twenty-First'!F74)</f>
        <v>Not Stated</v>
      </c>
      <c r="G5071" s="1" t="str">
        <f>IF('Twenty-First'!G74="", "",'Twenty-First'!G74)</f>
        <v>Not Stated</v>
      </c>
      <c r="H5071" s="1" t="str">
        <f>IF('Twenty-First'!H74="", "",'Twenty-First'!H74)</f>
        <v>Programme</v>
      </c>
      <c r="I5071" s="1" t="str">
        <f>IF('Twenty-First'!I74="", "",'Twenty-First'!I74)</f>
        <v>Gentle Exercise</v>
      </c>
      <c r="J5071" s="1" t="str">
        <f>IF('Twenty-First'!J74="", "",'Twenty-First'!J74)</f>
        <v>Creative Writing</v>
      </c>
      <c r="K5071" s="83" t="str">
        <f>IF('Twenty-First'!K74="", "",'Twenty-First'!K74)</f>
        <v/>
      </c>
      <c r="M5071" s="67">
        <f t="shared" si="243"/>
        <v>7</v>
      </c>
      <c r="N5071" s="76" t="str">
        <f t="shared" si="244"/>
        <v/>
      </c>
      <c r="O5071" s="33">
        <f t="shared" si="242"/>
        <v>7</v>
      </c>
    </row>
    <row r="5072" spans="1:15" x14ac:dyDescent="0.25">
      <c r="A5072" s="64" t="s">
        <v>190</v>
      </c>
      <c r="B5072" s="82" t="str">
        <f>IF('Twenty-First'!B75="", "",'Twenty-First'!B75)</f>
        <v>Sessional Staff</v>
      </c>
      <c r="C5072" s="1" t="str">
        <f>IF('Twenty-First'!C75="", "",'Twenty-First'!C75)</f>
        <v>PwC</v>
      </c>
      <c r="D5072" s="1" t="str">
        <f>IF('Twenty-First'!D75="", "",'Twenty-First'!D75)</f>
        <v>Returning</v>
      </c>
      <c r="E5072" s="1" t="str">
        <f>IF('Twenty-First'!E75="", "",'Twenty-First'!E75)</f>
        <v>Female</v>
      </c>
      <c r="F5072" s="1" t="str">
        <f>IF('Twenty-First'!F75="", "",'Twenty-First'!F75)</f>
        <v>Not Stated</v>
      </c>
      <c r="G5072" s="1" t="str">
        <f>IF('Twenty-First'!G75="", "",'Twenty-First'!G75)</f>
        <v>Not Stated</v>
      </c>
      <c r="H5072" s="1" t="str">
        <f>IF('Twenty-First'!H75="", "",'Twenty-First'!H75)</f>
        <v>Programme</v>
      </c>
      <c r="I5072" s="1" t="str">
        <f>IF('Twenty-First'!I75="", "",'Twenty-First'!I75)</f>
        <v>Gentle Exercise</v>
      </c>
      <c r="J5072" s="1" t="str">
        <f>IF('Twenty-First'!J75="", "",'Twenty-First'!J75)</f>
        <v>Creative Writing</v>
      </c>
      <c r="K5072" s="83" t="str">
        <f>IF('Twenty-First'!K75="", "",'Twenty-First'!K75)</f>
        <v>Nutrition</v>
      </c>
      <c r="M5072" s="67">
        <f t="shared" si="243"/>
        <v>7</v>
      </c>
      <c r="N5072" s="76" t="str">
        <f t="shared" si="244"/>
        <v/>
      </c>
      <c r="O5072" s="33">
        <f t="shared" si="242"/>
        <v>7</v>
      </c>
    </row>
    <row r="5073" spans="1:15" x14ac:dyDescent="0.25">
      <c r="A5073" s="64" t="s">
        <v>190</v>
      </c>
      <c r="B5073" s="82" t="str">
        <f>IF('Twenty-First'!B76="", "",'Twenty-First'!B76)</f>
        <v>Sessional Staff</v>
      </c>
      <c r="C5073" s="1" t="str">
        <f>IF('Twenty-First'!C76="", "",'Twenty-First'!C76)</f>
        <v>PwC</v>
      </c>
      <c r="D5073" s="1" t="str">
        <f>IF('Twenty-First'!D76="", "",'Twenty-First'!D76)</f>
        <v>Returning</v>
      </c>
      <c r="E5073" s="1" t="str">
        <f>IF('Twenty-First'!E76="", "",'Twenty-First'!E76)</f>
        <v>Female</v>
      </c>
      <c r="F5073" s="1" t="str">
        <f>IF('Twenty-First'!F76="", "",'Twenty-First'!F76)</f>
        <v>Not Stated</v>
      </c>
      <c r="G5073" s="1" t="str">
        <f>IF('Twenty-First'!G76="", "",'Twenty-First'!G76)</f>
        <v>Not Stated</v>
      </c>
      <c r="H5073" s="1" t="str">
        <f>IF('Twenty-First'!H76="", "",'Twenty-First'!H76)</f>
        <v>Programme</v>
      </c>
      <c r="I5073" s="1" t="str">
        <f>IF('Twenty-First'!I76="", "",'Twenty-First'!I76)</f>
        <v>Gentle Exercise</v>
      </c>
      <c r="J5073" s="1" t="str">
        <f>IF('Twenty-First'!J76="", "",'Twenty-First'!J76)</f>
        <v>Creative Writing</v>
      </c>
      <c r="K5073" s="83" t="str">
        <f>IF('Twenty-First'!K76="", "",'Twenty-First'!K76)</f>
        <v/>
      </c>
      <c r="M5073" s="67">
        <f t="shared" si="243"/>
        <v>7</v>
      </c>
      <c r="N5073" s="76" t="str">
        <f t="shared" si="244"/>
        <v/>
      </c>
      <c r="O5073" s="33">
        <f t="shared" si="242"/>
        <v>7</v>
      </c>
    </row>
    <row r="5074" spans="1:15" x14ac:dyDescent="0.25">
      <c r="A5074" s="64" t="s">
        <v>190</v>
      </c>
      <c r="B5074" s="82" t="str">
        <f>IF('Twenty-First'!B77="", "",'Twenty-First'!B77)</f>
        <v>Sessional Staff</v>
      </c>
      <c r="C5074" s="1" t="str">
        <f>IF('Twenty-First'!C77="", "",'Twenty-First'!C77)</f>
        <v>PwC</v>
      </c>
      <c r="D5074" s="1" t="str">
        <f>IF('Twenty-First'!D77="", "",'Twenty-First'!D77)</f>
        <v>Returning</v>
      </c>
      <c r="E5074" s="1" t="str">
        <f>IF('Twenty-First'!E77="", "",'Twenty-First'!E77)</f>
        <v>Female</v>
      </c>
      <c r="F5074" s="1" t="str">
        <f>IF('Twenty-First'!F77="", "",'Twenty-First'!F77)</f>
        <v>Not Stated</v>
      </c>
      <c r="G5074" s="1" t="str">
        <f>IF('Twenty-First'!G77="", "",'Twenty-First'!G77)</f>
        <v>Not Stated</v>
      </c>
      <c r="H5074" s="1" t="str">
        <f>IF('Twenty-First'!H77="", "",'Twenty-First'!H77)</f>
        <v>Programme</v>
      </c>
      <c r="I5074" s="1" t="str">
        <f>IF('Twenty-First'!I77="", "",'Twenty-First'!I77)</f>
        <v>Gentle Exercise</v>
      </c>
      <c r="J5074" s="1" t="str">
        <f>IF('Twenty-First'!J77="", "",'Twenty-First'!J77)</f>
        <v>Creative Writing</v>
      </c>
      <c r="K5074" s="83" t="str">
        <f>IF('Twenty-First'!K77="", "",'Twenty-First'!K77)</f>
        <v/>
      </c>
      <c r="M5074" s="67">
        <f t="shared" si="243"/>
        <v>7</v>
      </c>
      <c r="N5074" s="76" t="str">
        <f t="shared" si="244"/>
        <v/>
      </c>
      <c r="O5074" s="33">
        <f t="shared" si="242"/>
        <v>7</v>
      </c>
    </row>
    <row r="5075" spans="1:15" x14ac:dyDescent="0.25">
      <c r="A5075" s="64" t="s">
        <v>190</v>
      </c>
      <c r="B5075" s="82" t="str">
        <f>IF('Twenty-First'!B78="", "",'Twenty-First'!B78)</f>
        <v>Sessional Staff</v>
      </c>
      <c r="C5075" s="1" t="str">
        <f>IF('Twenty-First'!C78="", "",'Twenty-First'!C78)</f>
        <v>PwC</v>
      </c>
      <c r="D5075" s="1" t="str">
        <f>IF('Twenty-First'!D78="", "",'Twenty-First'!D78)</f>
        <v>Returning</v>
      </c>
      <c r="E5075" s="1" t="str">
        <f>IF('Twenty-First'!E78="", "",'Twenty-First'!E78)</f>
        <v>Female</v>
      </c>
      <c r="F5075" s="1" t="str">
        <f>IF('Twenty-First'!F78="", "",'Twenty-First'!F78)</f>
        <v>Not Stated</v>
      </c>
      <c r="G5075" s="1" t="str">
        <f>IF('Twenty-First'!G78="", "",'Twenty-First'!G78)</f>
        <v>Not Stated</v>
      </c>
      <c r="H5075" s="1" t="str">
        <f>IF('Twenty-First'!H78="", "",'Twenty-First'!H78)</f>
        <v>Programme</v>
      </c>
      <c r="I5075" s="1" t="str">
        <f>IF('Twenty-First'!I78="", "",'Twenty-First'!I78)</f>
        <v>Gentle Exercise</v>
      </c>
      <c r="J5075" s="1" t="str">
        <f>IF('Twenty-First'!J78="", "",'Twenty-First'!J78)</f>
        <v>Creative Writing</v>
      </c>
      <c r="K5075" s="83" t="str">
        <f>IF('Twenty-First'!K78="", "",'Twenty-First'!K78)</f>
        <v/>
      </c>
      <c r="M5075" s="67">
        <f t="shared" si="243"/>
        <v>7</v>
      </c>
      <c r="N5075" s="76" t="str">
        <f t="shared" si="244"/>
        <v/>
      </c>
      <c r="O5075" s="33">
        <f t="shared" si="242"/>
        <v>7</v>
      </c>
    </row>
    <row r="5076" spans="1:15" x14ac:dyDescent="0.25">
      <c r="A5076" s="64" t="s">
        <v>190</v>
      </c>
      <c r="B5076" s="82" t="str">
        <f>IF('Twenty-First'!B79="", "",'Twenty-First'!B79)</f>
        <v>Sessional Staff</v>
      </c>
      <c r="C5076" s="1" t="str">
        <f>IF('Twenty-First'!C79="", "",'Twenty-First'!C79)</f>
        <v>PwC</v>
      </c>
      <c r="D5076" s="1" t="str">
        <f>IF('Twenty-First'!D79="", "",'Twenty-First'!D79)</f>
        <v>Returning</v>
      </c>
      <c r="E5076" s="1" t="str">
        <f>IF('Twenty-First'!E79="", "",'Twenty-First'!E79)</f>
        <v>Female</v>
      </c>
      <c r="F5076" s="1" t="str">
        <f>IF('Twenty-First'!F79="", "",'Twenty-First'!F79)</f>
        <v>Not Stated</v>
      </c>
      <c r="G5076" s="1" t="str">
        <f>IF('Twenty-First'!G79="", "",'Twenty-First'!G79)</f>
        <v>Not Stated</v>
      </c>
      <c r="H5076" s="1" t="str">
        <f>IF('Twenty-First'!H79="", "",'Twenty-First'!H79)</f>
        <v>Programme</v>
      </c>
      <c r="I5076" s="1" t="str">
        <f>IF('Twenty-First'!I79="", "",'Twenty-First'!I79)</f>
        <v>Gentle Exercise</v>
      </c>
      <c r="J5076" s="1" t="str">
        <f>IF('Twenty-First'!J79="", "",'Twenty-First'!J79)</f>
        <v>Creative Writing</v>
      </c>
      <c r="K5076" s="83" t="str">
        <f>IF('Twenty-First'!K79="", "",'Twenty-First'!K79)</f>
        <v/>
      </c>
      <c r="M5076" s="67">
        <f t="shared" si="243"/>
        <v>7</v>
      </c>
      <c r="N5076" s="76" t="str">
        <f t="shared" si="244"/>
        <v/>
      </c>
      <c r="O5076" s="33">
        <f t="shared" si="242"/>
        <v>7</v>
      </c>
    </row>
    <row r="5077" spans="1:15" x14ac:dyDescent="0.25">
      <c r="A5077" s="64" t="s">
        <v>190</v>
      </c>
      <c r="B5077" s="82" t="str">
        <f>IF('Twenty-First'!B80="", "",'Twenty-First'!B80)</f>
        <v>Sessional Staff</v>
      </c>
      <c r="C5077" s="1" t="str">
        <f>IF('Twenty-First'!C80="", "",'Twenty-First'!C80)</f>
        <v>PwC</v>
      </c>
      <c r="D5077" s="1" t="str">
        <f>IF('Twenty-First'!D80="", "",'Twenty-First'!D80)</f>
        <v>Returning</v>
      </c>
      <c r="E5077" s="1" t="str">
        <f>IF('Twenty-First'!E80="", "",'Twenty-First'!E80)</f>
        <v>Male</v>
      </c>
      <c r="F5077" s="1" t="str">
        <f>IF('Twenty-First'!F80="", "",'Twenty-First'!F80)</f>
        <v>Not Stated</v>
      </c>
      <c r="G5077" s="1" t="str">
        <f>IF('Twenty-First'!G80="", "",'Twenty-First'!G80)</f>
        <v>Not Stated</v>
      </c>
      <c r="H5077" s="1" t="str">
        <f>IF('Twenty-First'!H80="", "",'Twenty-First'!H80)</f>
        <v>Programme</v>
      </c>
      <c r="I5077" s="1" t="str">
        <f>IF('Twenty-First'!I80="", "",'Twenty-First'!I80)</f>
        <v>Gentle Exercise</v>
      </c>
      <c r="J5077" s="1" t="str">
        <f>IF('Twenty-First'!J80="", "",'Twenty-First'!J80)</f>
        <v>Creative Writing</v>
      </c>
      <c r="K5077" s="83" t="str">
        <f>IF('Twenty-First'!K80="", "",'Twenty-First'!K80)</f>
        <v/>
      </c>
      <c r="M5077" s="67">
        <f t="shared" si="243"/>
        <v>7</v>
      </c>
      <c r="N5077" s="76" t="str">
        <f t="shared" si="244"/>
        <v/>
      </c>
      <c r="O5077" s="33">
        <f t="shared" si="242"/>
        <v>7</v>
      </c>
    </row>
    <row r="5078" spans="1:15" x14ac:dyDescent="0.25">
      <c r="A5078" s="64" t="s">
        <v>190</v>
      </c>
      <c r="B5078" s="82" t="str">
        <f>IF('Twenty-First'!B81="", "",'Twenty-First'!B81)</f>
        <v>Sessional Staff</v>
      </c>
      <c r="C5078" s="1" t="str">
        <f>IF('Twenty-First'!C81="", "",'Twenty-First'!C81)</f>
        <v>PwC</v>
      </c>
      <c r="D5078" s="1" t="str">
        <f>IF('Twenty-First'!D81="", "",'Twenty-First'!D81)</f>
        <v>Returning</v>
      </c>
      <c r="E5078" s="1" t="str">
        <f>IF('Twenty-First'!E81="", "",'Twenty-First'!E81)</f>
        <v>Female</v>
      </c>
      <c r="F5078" s="1" t="str">
        <f>IF('Twenty-First'!F81="", "",'Twenty-First'!F81)</f>
        <v>Not Stated</v>
      </c>
      <c r="G5078" s="1" t="str">
        <f>IF('Twenty-First'!G81="", "",'Twenty-First'!G81)</f>
        <v>Not Stated</v>
      </c>
      <c r="H5078" s="1" t="str">
        <f>IF('Twenty-First'!H81="", "",'Twenty-First'!H81)</f>
        <v>Programme</v>
      </c>
      <c r="I5078" s="1" t="str">
        <f>IF('Twenty-First'!I81="", "",'Twenty-First'!I81)</f>
        <v>Gentle Exercise</v>
      </c>
      <c r="J5078" s="1" t="str">
        <f>IF('Twenty-First'!J81="", "",'Twenty-First'!J81)</f>
        <v>Creative Writing</v>
      </c>
      <c r="K5078" s="83" t="str">
        <f>IF('Twenty-First'!K81="", "",'Twenty-First'!K81)</f>
        <v>Nutrition</v>
      </c>
      <c r="M5078" s="67">
        <f t="shared" si="243"/>
        <v>7</v>
      </c>
      <c r="N5078" s="76" t="str">
        <f t="shared" si="244"/>
        <v/>
      </c>
      <c r="O5078" s="33">
        <f t="shared" si="242"/>
        <v>7</v>
      </c>
    </row>
    <row r="5079" spans="1:15" x14ac:dyDescent="0.25">
      <c r="A5079" s="64" t="s">
        <v>190</v>
      </c>
      <c r="B5079" s="82" t="str">
        <f>IF('Twenty-First'!B82="", "",'Twenty-First'!B82)</f>
        <v>Sessional Staff</v>
      </c>
      <c r="C5079" s="1" t="str">
        <f>IF('Twenty-First'!C82="", "",'Twenty-First'!C82)</f>
        <v>PwC</v>
      </c>
      <c r="D5079" s="1" t="str">
        <f>IF('Twenty-First'!D82="", "",'Twenty-First'!D82)</f>
        <v>Returning</v>
      </c>
      <c r="E5079" s="1" t="str">
        <f>IF('Twenty-First'!E82="", "",'Twenty-First'!E82)</f>
        <v>Female</v>
      </c>
      <c r="F5079" s="1" t="str">
        <f>IF('Twenty-First'!F82="", "",'Twenty-First'!F82)</f>
        <v>Not Stated</v>
      </c>
      <c r="G5079" s="1" t="str">
        <f>IF('Twenty-First'!G82="", "",'Twenty-First'!G82)</f>
        <v>Not Stated</v>
      </c>
      <c r="H5079" s="1" t="str">
        <f>IF('Twenty-First'!H82="", "",'Twenty-First'!H82)</f>
        <v>Programme</v>
      </c>
      <c r="I5079" s="1" t="str">
        <f>IF('Twenty-First'!I82="", "",'Twenty-First'!I82)</f>
        <v>Gentle Exercise</v>
      </c>
      <c r="J5079" s="1" t="str">
        <f>IF('Twenty-First'!J82="", "",'Twenty-First'!J82)</f>
        <v>Creative Writing</v>
      </c>
      <c r="K5079" s="83" t="str">
        <f>IF('Twenty-First'!K82="", "",'Twenty-First'!K82)</f>
        <v/>
      </c>
      <c r="M5079" s="67">
        <f t="shared" si="243"/>
        <v>7</v>
      </c>
      <c r="N5079" s="76" t="str">
        <f t="shared" si="244"/>
        <v/>
      </c>
      <c r="O5079" s="33">
        <f t="shared" si="242"/>
        <v>7</v>
      </c>
    </row>
    <row r="5080" spans="1:15" x14ac:dyDescent="0.25">
      <c r="A5080" s="64" t="s">
        <v>190</v>
      </c>
      <c r="B5080" s="82" t="str">
        <f>IF('Twenty-First'!B83="", "",'Twenty-First'!B83)</f>
        <v>Sessional Staff</v>
      </c>
      <c r="C5080" s="1" t="str">
        <f>IF('Twenty-First'!C83="", "",'Twenty-First'!C83)</f>
        <v>PwC</v>
      </c>
      <c r="D5080" s="1" t="str">
        <f>IF('Twenty-First'!D83="", "",'Twenty-First'!D83)</f>
        <v>Returning</v>
      </c>
      <c r="E5080" s="1" t="str">
        <f>IF('Twenty-First'!E83="", "",'Twenty-First'!E83)</f>
        <v>Female</v>
      </c>
      <c r="F5080" s="1" t="str">
        <f>IF('Twenty-First'!F83="", "",'Twenty-First'!F83)</f>
        <v>Not Stated</v>
      </c>
      <c r="G5080" s="1" t="str">
        <f>IF('Twenty-First'!G83="", "",'Twenty-First'!G83)</f>
        <v>Not Stated</v>
      </c>
      <c r="H5080" s="1" t="str">
        <f>IF('Twenty-First'!H83="", "",'Twenty-First'!H83)</f>
        <v>Programme</v>
      </c>
      <c r="I5080" s="1" t="str">
        <f>IF('Twenty-First'!I83="", "",'Twenty-First'!I83)</f>
        <v>Gentle Exercise</v>
      </c>
      <c r="J5080" s="1" t="str">
        <f>IF('Twenty-First'!J83="", "",'Twenty-First'!J83)</f>
        <v>Creative Writing</v>
      </c>
      <c r="K5080" s="83" t="str">
        <f>IF('Twenty-First'!K83="", "",'Twenty-First'!K83)</f>
        <v/>
      </c>
      <c r="M5080" s="67">
        <f t="shared" si="243"/>
        <v>7</v>
      </c>
      <c r="N5080" s="76" t="str">
        <f t="shared" si="244"/>
        <v/>
      </c>
      <c r="O5080" s="33">
        <f t="shared" si="242"/>
        <v>7</v>
      </c>
    </row>
    <row r="5081" spans="1:15" x14ac:dyDescent="0.25">
      <c r="A5081" s="64" t="s">
        <v>190</v>
      </c>
      <c r="B5081" s="82" t="str">
        <f>IF('Twenty-First'!B84="", "",'Twenty-First'!B84)</f>
        <v>Sessional Staff</v>
      </c>
      <c r="C5081" s="1" t="str">
        <f>IF('Twenty-First'!C84="", "",'Twenty-First'!C84)</f>
        <v>PwC</v>
      </c>
      <c r="D5081" s="1" t="str">
        <f>IF('Twenty-First'!D84="", "",'Twenty-First'!D84)</f>
        <v>Returning</v>
      </c>
      <c r="E5081" s="1" t="str">
        <f>IF('Twenty-First'!E84="", "",'Twenty-First'!E84)</f>
        <v>Male</v>
      </c>
      <c r="F5081" s="1" t="str">
        <f>IF('Twenty-First'!F84="", "",'Twenty-First'!F84)</f>
        <v>Not Stated</v>
      </c>
      <c r="G5081" s="1" t="str">
        <f>IF('Twenty-First'!G84="", "",'Twenty-First'!G84)</f>
        <v>Not Stated</v>
      </c>
      <c r="H5081" s="1" t="str">
        <f>IF('Twenty-First'!H84="", "",'Twenty-First'!H84)</f>
        <v>Programme</v>
      </c>
      <c r="I5081" s="1" t="str">
        <f>IF('Twenty-First'!I84="", "",'Twenty-First'!I84)</f>
        <v>Gentle Exercise</v>
      </c>
      <c r="J5081" s="1" t="str">
        <f>IF('Twenty-First'!J84="", "",'Twenty-First'!J84)</f>
        <v>Creative Writing</v>
      </c>
      <c r="K5081" s="83" t="str">
        <f>IF('Twenty-First'!K84="", "",'Twenty-First'!K84)</f>
        <v>Nutrition</v>
      </c>
      <c r="M5081" s="67">
        <f t="shared" si="243"/>
        <v>7</v>
      </c>
      <c r="N5081" s="76" t="str">
        <f t="shared" si="244"/>
        <v/>
      </c>
      <c r="O5081" s="33">
        <f t="shared" si="242"/>
        <v>7</v>
      </c>
    </row>
    <row r="5082" spans="1:15" x14ac:dyDescent="0.25">
      <c r="A5082" s="64" t="s">
        <v>190</v>
      </c>
      <c r="B5082" s="82" t="str">
        <f>IF('Twenty-First'!B85="", "",'Twenty-First'!B85)</f>
        <v>Centre Head</v>
      </c>
      <c r="C5082" s="1" t="str">
        <f>IF('Twenty-First'!C85="", "",'Twenty-First'!C85)</f>
        <v>PwC</v>
      </c>
      <c r="D5082" s="1" t="str">
        <f>IF('Twenty-First'!D85="", "",'Twenty-First'!D85)</f>
        <v>New</v>
      </c>
      <c r="E5082" s="1" t="str">
        <f>IF('Twenty-First'!E85="", "",'Twenty-First'!E85)</f>
        <v>Female</v>
      </c>
      <c r="F5082" s="1" t="str">
        <f>IF('Twenty-First'!F85="", "",'Twenty-First'!F85)</f>
        <v>Head/Neck</v>
      </c>
      <c r="G5082" s="1" t="str">
        <f>IF('Twenty-First'!G85="", "",'Twenty-First'!G85)</f>
        <v>Post Treatment - Curative Intent</v>
      </c>
      <c r="H5082" s="1" t="str">
        <f>IF('Twenty-First'!H85="", "",'Twenty-First'!H85)</f>
        <v>Programme</v>
      </c>
      <c r="I5082" s="1" t="str">
        <f>IF('Twenty-First'!I85="", "",'Twenty-First'!I85)</f>
        <v>Lecture Series</v>
      </c>
      <c r="J5082" s="1" t="str">
        <f>IF('Twenty-First'!J85="", "",'Twenty-First'!J85)</f>
        <v>Creative Writing</v>
      </c>
      <c r="K5082" s="83" t="str">
        <f>IF('Twenty-First'!K85="", "",'Twenty-First'!K85)</f>
        <v/>
      </c>
      <c r="M5082" s="67">
        <f t="shared" si="243"/>
        <v>7</v>
      </c>
      <c r="N5082" s="76" t="str">
        <f t="shared" si="244"/>
        <v/>
      </c>
      <c r="O5082" s="33">
        <f t="shared" si="242"/>
        <v>7</v>
      </c>
    </row>
    <row r="5083" spans="1:15" x14ac:dyDescent="0.25">
      <c r="A5083" s="64" t="s">
        <v>190</v>
      </c>
      <c r="B5083" s="82" t="str">
        <f>IF('Twenty-First'!B86="", "",'Twenty-First'!B86)</f>
        <v>Centre Head</v>
      </c>
      <c r="C5083" s="1" t="str">
        <f>IF('Twenty-First'!C86="", "",'Twenty-First'!C86)</f>
        <v>PwC</v>
      </c>
      <c r="D5083" s="1" t="str">
        <f>IF('Twenty-First'!D86="", "",'Twenty-First'!D86)</f>
        <v>New</v>
      </c>
      <c r="E5083" s="1" t="str">
        <f>IF('Twenty-First'!E86="", "",'Twenty-First'!E86)</f>
        <v>Female</v>
      </c>
      <c r="F5083" s="1" t="str">
        <f>IF('Twenty-First'!F86="", "",'Twenty-First'!F86)</f>
        <v>Head/Neck</v>
      </c>
      <c r="G5083" s="1" t="str">
        <f>IF('Twenty-First'!G86="", "",'Twenty-First'!G86)</f>
        <v>Post Treatment - Curative Intent</v>
      </c>
      <c r="H5083" s="1" t="str">
        <f>IF('Twenty-First'!H86="", "",'Twenty-First'!H86)</f>
        <v>Programme</v>
      </c>
      <c r="I5083" s="1" t="str">
        <f>IF('Twenty-First'!I86="", "",'Twenty-First'!I86)</f>
        <v>Lecture Series</v>
      </c>
      <c r="J5083" s="1" t="str">
        <f>IF('Twenty-First'!J86="", "",'Twenty-First'!J86)</f>
        <v>Creative Writing</v>
      </c>
      <c r="K5083" s="83" t="str">
        <f>IF('Twenty-First'!K86="", "",'Twenty-First'!K86)</f>
        <v/>
      </c>
      <c r="M5083" s="67">
        <f t="shared" si="243"/>
        <v>7</v>
      </c>
      <c r="N5083" s="76" t="str">
        <f t="shared" si="244"/>
        <v/>
      </c>
      <c r="O5083" s="33">
        <f t="shared" si="242"/>
        <v>7</v>
      </c>
    </row>
    <row r="5084" spans="1:15" x14ac:dyDescent="0.25">
      <c r="A5084" s="64" t="s">
        <v>190</v>
      </c>
      <c r="B5084" s="82" t="str">
        <f>IF('Twenty-First'!B87="", "",'Twenty-First'!B87)</f>
        <v>Centre Head</v>
      </c>
      <c r="C5084" s="1" t="str">
        <f>IF('Twenty-First'!C87="", "",'Twenty-First'!C87)</f>
        <v>PwC</v>
      </c>
      <c r="D5084" s="1" t="str">
        <f>IF('Twenty-First'!D87="", "",'Twenty-First'!D87)</f>
        <v>New</v>
      </c>
      <c r="E5084" s="1" t="str">
        <f>IF('Twenty-First'!E87="", "",'Twenty-First'!E87)</f>
        <v>Female</v>
      </c>
      <c r="F5084" s="1" t="str">
        <f>IF('Twenty-First'!F87="", "",'Twenty-First'!F87)</f>
        <v>Head/Neck</v>
      </c>
      <c r="G5084" s="1" t="str">
        <f>IF('Twenty-First'!G87="", "",'Twenty-First'!G87)</f>
        <v>Post Treatment - Curative Intent</v>
      </c>
      <c r="H5084" s="1" t="str">
        <f>IF('Twenty-First'!H87="", "",'Twenty-First'!H87)</f>
        <v>Programme</v>
      </c>
      <c r="I5084" s="1" t="str">
        <f>IF('Twenty-First'!I87="", "",'Twenty-First'!I87)</f>
        <v>Lecture Series</v>
      </c>
      <c r="J5084" s="1" t="str">
        <f>IF('Twenty-First'!J87="", "",'Twenty-First'!J87)</f>
        <v>Creative Writing</v>
      </c>
      <c r="K5084" s="83" t="str">
        <f>IF('Twenty-First'!K87="", "",'Twenty-First'!K87)</f>
        <v/>
      </c>
      <c r="M5084" s="67">
        <f t="shared" si="243"/>
        <v>7</v>
      </c>
      <c r="N5084" s="76" t="str">
        <f t="shared" si="244"/>
        <v/>
      </c>
      <c r="O5084" s="33">
        <f t="shared" si="242"/>
        <v>7</v>
      </c>
    </row>
    <row r="5085" spans="1:15" x14ac:dyDescent="0.25">
      <c r="A5085" s="64" t="s">
        <v>190</v>
      </c>
      <c r="B5085" s="82" t="str">
        <f>IF('Twenty-First'!B88="", "",'Twenty-First'!B88)</f>
        <v>Centre Head</v>
      </c>
      <c r="C5085" s="1" t="str">
        <f>IF('Twenty-First'!C88="", "",'Twenty-First'!C88)</f>
        <v>PwC</v>
      </c>
      <c r="D5085" s="1" t="str">
        <f>IF('Twenty-First'!D88="", "",'Twenty-First'!D88)</f>
        <v>New</v>
      </c>
      <c r="E5085" s="1" t="str">
        <f>IF('Twenty-First'!E88="", "",'Twenty-First'!E88)</f>
        <v>Female</v>
      </c>
      <c r="F5085" s="1" t="str">
        <f>IF('Twenty-First'!F88="", "",'Twenty-First'!F88)</f>
        <v>Head/Neck</v>
      </c>
      <c r="G5085" s="1" t="str">
        <f>IF('Twenty-First'!G88="", "",'Twenty-First'!G88)</f>
        <v>Post Treatment - Curative Intent</v>
      </c>
      <c r="H5085" s="1" t="str">
        <f>IF('Twenty-First'!H88="", "",'Twenty-First'!H88)</f>
        <v>Programme</v>
      </c>
      <c r="I5085" s="1" t="str">
        <f>IF('Twenty-First'!I88="", "",'Twenty-First'!I88)</f>
        <v>Lecture Series</v>
      </c>
      <c r="J5085" s="1" t="str">
        <f>IF('Twenty-First'!J88="", "",'Twenty-First'!J88)</f>
        <v>Creative Writing</v>
      </c>
      <c r="K5085" s="83" t="str">
        <f>IF('Twenty-First'!K88="", "",'Twenty-First'!K88)</f>
        <v/>
      </c>
      <c r="M5085" s="67">
        <f t="shared" si="243"/>
        <v>7</v>
      </c>
      <c r="N5085" s="76" t="str">
        <f t="shared" si="244"/>
        <v/>
      </c>
      <c r="O5085" s="33">
        <f t="shared" si="242"/>
        <v>7</v>
      </c>
    </row>
    <row r="5086" spans="1:15" x14ac:dyDescent="0.25">
      <c r="A5086" s="64" t="s">
        <v>190</v>
      </c>
      <c r="B5086" s="82" t="str">
        <f>IF('Twenty-First'!B89="", "",'Twenty-First'!B89)</f>
        <v>Centre Head</v>
      </c>
      <c r="C5086" s="1" t="str">
        <f>IF('Twenty-First'!C89="", "",'Twenty-First'!C89)</f>
        <v>PwC</v>
      </c>
      <c r="D5086" s="1" t="str">
        <f>IF('Twenty-First'!D89="", "",'Twenty-First'!D89)</f>
        <v>New</v>
      </c>
      <c r="E5086" s="1" t="str">
        <f>IF('Twenty-First'!E89="", "",'Twenty-First'!E89)</f>
        <v>Female</v>
      </c>
      <c r="F5086" s="1" t="str">
        <f>IF('Twenty-First'!F89="", "",'Twenty-First'!F89)</f>
        <v>Head/Neck</v>
      </c>
      <c r="G5086" s="1" t="str">
        <f>IF('Twenty-First'!G89="", "",'Twenty-First'!G89)</f>
        <v>Post Treatment - Curative Intent</v>
      </c>
      <c r="H5086" s="1" t="str">
        <f>IF('Twenty-First'!H89="", "",'Twenty-First'!H89)</f>
        <v>Programme</v>
      </c>
      <c r="I5086" s="1" t="str">
        <f>IF('Twenty-First'!I89="", "",'Twenty-First'!I89)</f>
        <v>Lecture Series</v>
      </c>
      <c r="J5086" s="1" t="str">
        <f>IF('Twenty-First'!J89="", "",'Twenty-First'!J89)</f>
        <v>Creative Writing</v>
      </c>
      <c r="K5086" s="83" t="str">
        <f>IF('Twenty-First'!K89="", "",'Twenty-First'!K89)</f>
        <v/>
      </c>
      <c r="M5086" s="67">
        <f t="shared" si="243"/>
        <v>7</v>
      </c>
      <c r="N5086" s="76" t="str">
        <f t="shared" si="244"/>
        <v/>
      </c>
      <c r="O5086" s="33">
        <f t="shared" si="242"/>
        <v>7</v>
      </c>
    </row>
    <row r="5087" spans="1:15" x14ac:dyDescent="0.25">
      <c r="A5087" s="64" t="s">
        <v>190</v>
      </c>
      <c r="B5087" s="82" t="str">
        <f>IF('Twenty-First'!B90="", "",'Twenty-First'!B90)</f>
        <v>Centre Head</v>
      </c>
      <c r="C5087" s="1" t="str">
        <f>IF('Twenty-First'!C90="", "",'Twenty-First'!C90)</f>
        <v>PwC</v>
      </c>
      <c r="D5087" s="1" t="str">
        <f>IF('Twenty-First'!D90="", "",'Twenty-First'!D90)</f>
        <v>New</v>
      </c>
      <c r="E5087" s="1" t="str">
        <f>IF('Twenty-First'!E90="", "",'Twenty-First'!E90)</f>
        <v>Female</v>
      </c>
      <c r="F5087" s="1" t="str">
        <f>IF('Twenty-First'!F90="", "",'Twenty-First'!F90)</f>
        <v>Head/Neck</v>
      </c>
      <c r="G5087" s="1" t="str">
        <f>IF('Twenty-First'!G90="", "",'Twenty-First'!G90)</f>
        <v>Post Treatment - Curative Intent</v>
      </c>
      <c r="H5087" s="1" t="str">
        <f>IF('Twenty-First'!H90="", "",'Twenty-First'!H90)</f>
        <v>Programme</v>
      </c>
      <c r="I5087" s="1" t="str">
        <f>IF('Twenty-First'!I90="", "",'Twenty-First'!I90)</f>
        <v>Lecture Series</v>
      </c>
      <c r="J5087" s="1" t="str">
        <f>IF('Twenty-First'!J90="", "",'Twenty-First'!J90)</f>
        <v>Creative Writing</v>
      </c>
      <c r="K5087" s="83" t="str">
        <f>IF('Twenty-First'!K90="", "",'Twenty-First'!K90)</f>
        <v>Nutrition</v>
      </c>
      <c r="M5087" s="67">
        <f t="shared" si="243"/>
        <v>7</v>
      </c>
      <c r="N5087" s="76" t="str">
        <f t="shared" si="244"/>
        <v/>
      </c>
      <c r="O5087" s="33">
        <f t="shared" si="242"/>
        <v>7</v>
      </c>
    </row>
    <row r="5088" spans="1:15" x14ac:dyDescent="0.25">
      <c r="A5088" s="64" t="s">
        <v>190</v>
      </c>
      <c r="B5088" s="82" t="str">
        <f>IF('Twenty-First'!B91="", "",'Twenty-First'!B91)</f>
        <v>Centre Head</v>
      </c>
      <c r="C5088" s="1" t="str">
        <f>IF('Twenty-First'!C91="", "",'Twenty-First'!C91)</f>
        <v>PwC</v>
      </c>
      <c r="D5088" s="1" t="str">
        <f>IF('Twenty-First'!D91="", "",'Twenty-First'!D91)</f>
        <v>New</v>
      </c>
      <c r="E5088" s="1" t="str">
        <f>IF('Twenty-First'!E91="", "",'Twenty-First'!E91)</f>
        <v>Female</v>
      </c>
      <c r="F5088" s="1" t="str">
        <f>IF('Twenty-First'!F91="", "",'Twenty-First'!F91)</f>
        <v>Head/Neck</v>
      </c>
      <c r="G5088" s="1" t="str">
        <f>IF('Twenty-First'!G91="", "",'Twenty-First'!G91)</f>
        <v>Post Treatment - Curative Intent</v>
      </c>
      <c r="H5088" s="1" t="str">
        <f>IF('Twenty-First'!H91="", "",'Twenty-First'!H91)</f>
        <v>Programme</v>
      </c>
      <c r="I5088" s="1" t="str">
        <f>IF('Twenty-First'!I91="", "",'Twenty-First'!I91)</f>
        <v>Lecture Series</v>
      </c>
      <c r="J5088" s="1" t="str">
        <f>IF('Twenty-First'!J91="", "",'Twenty-First'!J91)</f>
        <v>Creative Writing</v>
      </c>
      <c r="K5088" s="83" t="str">
        <f>IF('Twenty-First'!K91="", "",'Twenty-First'!K91)</f>
        <v/>
      </c>
      <c r="M5088" s="67">
        <f t="shared" si="243"/>
        <v>7</v>
      </c>
      <c r="N5088" s="76" t="str">
        <f t="shared" si="244"/>
        <v/>
      </c>
      <c r="O5088" s="33">
        <f t="shared" si="242"/>
        <v>7</v>
      </c>
    </row>
    <row r="5089" spans="1:15" x14ac:dyDescent="0.25">
      <c r="A5089" s="64" t="s">
        <v>190</v>
      </c>
      <c r="B5089" s="82" t="str">
        <f>IF('Twenty-First'!B92="", "",'Twenty-First'!B92)</f>
        <v>Centre Head</v>
      </c>
      <c r="C5089" s="1" t="str">
        <f>IF('Twenty-First'!C92="", "",'Twenty-First'!C92)</f>
        <v>PwC</v>
      </c>
      <c r="D5089" s="1" t="str">
        <f>IF('Twenty-First'!D92="", "",'Twenty-First'!D92)</f>
        <v>New</v>
      </c>
      <c r="E5089" s="1" t="str">
        <f>IF('Twenty-First'!E92="", "",'Twenty-First'!E92)</f>
        <v>Female</v>
      </c>
      <c r="F5089" s="1" t="str">
        <f>IF('Twenty-First'!F92="", "",'Twenty-First'!F92)</f>
        <v>Head/Neck</v>
      </c>
      <c r="G5089" s="1" t="str">
        <f>IF('Twenty-First'!G92="", "",'Twenty-First'!G92)</f>
        <v>Post Treatment - Curative Intent</v>
      </c>
      <c r="H5089" s="1" t="str">
        <f>IF('Twenty-First'!H92="", "",'Twenty-First'!H92)</f>
        <v>Programme</v>
      </c>
      <c r="I5089" s="1" t="str">
        <f>IF('Twenty-First'!I92="", "",'Twenty-First'!I92)</f>
        <v>Lecture Series</v>
      </c>
      <c r="J5089" s="1" t="str">
        <f>IF('Twenty-First'!J92="", "",'Twenty-First'!J92)</f>
        <v>Creative Writing</v>
      </c>
      <c r="K5089" s="83" t="str">
        <f>IF('Twenty-First'!K92="", "",'Twenty-First'!K92)</f>
        <v/>
      </c>
      <c r="M5089" s="67">
        <f t="shared" si="243"/>
        <v>7</v>
      </c>
      <c r="N5089" s="76" t="str">
        <f t="shared" si="244"/>
        <v/>
      </c>
      <c r="O5089" s="33">
        <f t="shared" si="242"/>
        <v>7</v>
      </c>
    </row>
    <row r="5090" spans="1:15" x14ac:dyDescent="0.25">
      <c r="A5090" s="64" t="s">
        <v>190</v>
      </c>
      <c r="B5090" s="82" t="str">
        <f>IF('Twenty-First'!B93="", "",'Twenty-First'!B93)</f>
        <v>Centre Head</v>
      </c>
      <c r="C5090" s="1" t="str">
        <f>IF('Twenty-First'!C93="", "",'Twenty-First'!C93)</f>
        <v>PwC</v>
      </c>
      <c r="D5090" s="1" t="str">
        <f>IF('Twenty-First'!D93="", "",'Twenty-First'!D93)</f>
        <v>New</v>
      </c>
      <c r="E5090" s="1" t="str">
        <f>IF('Twenty-First'!E93="", "",'Twenty-First'!E93)</f>
        <v>Male</v>
      </c>
      <c r="F5090" s="1" t="str">
        <f>IF('Twenty-First'!F93="", "",'Twenty-First'!F93)</f>
        <v>Head/Neck</v>
      </c>
      <c r="G5090" s="1" t="str">
        <f>IF('Twenty-First'!G93="", "",'Twenty-First'!G93)</f>
        <v>Post Treatment - Curative Intent</v>
      </c>
      <c r="H5090" s="1" t="str">
        <f>IF('Twenty-First'!H93="", "",'Twenty-First'!H93)</f>
        <v>Programme</v>
      </c>
      <c r="I5090" s="1" t="str">
        <f>IF('Twenty-First'!I93="", "",'Twenty-First'!I93)</f>
        <v>Lecture Series</v>
      </c>
      <c r="J5090" s="1" t="str">
        <f>IF('Twenty-First'!J93="", "",'Twenty-First'!J93)</f>
        <v>Creative Writing</v>
      </c>
      <c r="K5090" s="83" t="str">
        <f>IF('Twenty-First'!K93="", "",'Twenty-First'!K93)</f>
        <v>Nutrition</v>
      </c>
      <c r="M5090" s="67">
        <f t="shared" si="243"/>
        <v>7</v>
      </c>
      <c r="N5090" s="76" t="str">
        <f t="shared" si="244"/>
        <v/>
      </c>
      <c r="O5090" s="33">
        <f t="shared" si="242"/>
        <v>7</v>
      </c>
    </row>
    <row r="5091" spans="1:15" x14ac:dyDescent="0.25">
      <c r="A5091" s="64" t="s">
        <v>190</v>
      </c>
      <c r="B5091" s="82" t="str">
        <f>IF('Twenty-First'!B94="", "",'Twenty-First'!B94)</f>
        <v>Centre Head</v>
      </c>
      <c r="C5091" s="1" t="str">
        <f>IF('Twenty-First'!C94="", "",'Twenty-First'!C94)</f>
        <v>PwC</v>
      </c>
      <c r="D5091" s="1" t="str">
        <f>IF('Twenty-First'!D94="", "",'Twenty-First'!D94)</f>
        <v>New</v>
      </c>
      <c r="E5091" s="1" t="str">
        <f>IF('Twenty-First'!E94="", "",'Twenty-First'!E94)</f>
        <v>Male</v>
      </c>
      <c r="F5091" s="1" t="str">
        <f>IF('Twenty-First'!F94="", "",'Twenty-First'!F94)</f>
        <v>Head/Neck</v>
      </c>
      <c r="G5091" s="1" t="str">
        <f>IF('Twenty-First'!G94="", "",'Twenty-First'!G94)</f>
        <v>Post Treatment - Curative Intent</v>
      </c>
      <c r="H5091" s="1" t="str">
        <f>IF('Twenty-First'!H94="", "",'Twenty-First'!H94)</f>
        <v>Programme</v>
      </c>
      <c r="I5091" s="1" t="str">
        <f>IF('Twenty-First'!I94="", "",'Twenty-First'!I94)</f>
        <v>Lecture Series</v>
      </c>
      <c r="J5091" s="1" t="str">
        <f>IF('Twenty-First'!J94="", "",'Twenty-First'!J94)</f>
        <v>Creative Writing</v>
      </c>
      <c r="K5091" s="83" t="str">
        <f>IF('Twenty-First'!K94="", "",'Twenty-First'!K94)</f>
        <v>Nutrition</v>
      </c>
      <c r="M5091" s="67">
        <f t="shared" si="243"/>
        <v>7</v>
      </c>
      <c r="N5091" s="76" t="str">
        <f t="shared" si="244"/>
        <v/>
      </c>
      <c r="O5091" s="33">
        <f t="shared" si="242"/>
        <v>7</v>
      </c>
    </row>
    <row r="5092" spans="1:15" x14ac:dyDescent="0.25">
      <c r="A5092" s="64" t="s">
        <v>190</v>
      </c>
      <c r="B5092" s="82" t="str">
        <f>IF('Twenty-First'!B95="", "",'Twenty-First'!B95)</f>
        <v>Centre Head</v>
      </c>
      <c r="C5092" s="1" t="str">
        <f>IF('Twenty-First'!C95="", "",'Twenty-First'!C95)</f>
        <v>PwC</v>
      </c>
      <c r="D5092" s="1" t="str">
        <f>IF('Twenty-First'!D95="", "",'Twenty-First'!D95)</f>
        <v>New</v>
      </c>
      <c r="E5092" s="1" t="str">
        <f>IF('Twenty-First'!E95="", "",'Twenty-First'!E95)</f>
        <v>Male</v>
      </c>
      <c r="F5092" s="1" t="str">
        <f>IF('Twenty-First'!F95="", "",'Twenty-First'!F95)</f>
        <v>Head/Neck</v>
      </c>
      <c r="G5092" s="1" t="str">
        <f>IF('Twenty-First'!G95="", "",'Twenty-First'!G95)</f>
        <v>Post Treatment - Curative Intent</v>
      </c>
      <c r="H5092" s="1" t="str">
        <f>IF('Twenty-First'!H95="", "",'Twenty-First'!H95)</f>
        <v>Programme</v>
      </c>
      <c r="I5092" s="1" t="str">
        <f>IF('Twenty-First'!I95="", "",'Twenty-First'!I95)</f>
        <v>Lecture Series</v>
      </c>
      <c r="J5092" s="1" t="str">
        <f>IF('Twenty-First'!J95="", "",'Twenty-First'!J95)</f>
        <v>Creative Writing</v>
      </c>
      <c r="K5092" s="83" t="str">
        <f>IF('Twenty-First'!K95="", "",'Twenty-First'!K95)</f>
        <v>Nutrition</v>
      </c>
      <c r="M5092" s="67">
        <f t="shared" si="243"/>
        <v>7</v>
      </c>
      <c r="N5092" s="76" t="str">
        <f t="shared" si="244"/>
        <v/>
      </c>
      <c r="O5092" s="33">
        <f t="shared" si="242"/>
        <v>7</v>
      </c>
    </row>
    <row r="5093" spans="1:15" x14ac:dyDescent="0.25">
      <c r="A5093" s="64" t="s">
        <v>190</v>
      </c>
      <c r="B5093" s="82" t="str">
        <f>IF('Twenty-First'!B96="", "",'Twenty-First'!B96)</f>
        <v>Centre Head</v>
      </c>
      <c r="C5093" s="1" t="str">
        <f>IF('Twenty-First'!C96="", "",'Twenty-First'!C96)</f>
        <v>PwC</v>
      </c>
      <c r="D5093" s="1" t="str">
        <f>IF('Twenty-First'!D96="", "",'Twenty-First'!D96)</f>
        <v>New</v>
      </c>
      <c r="E5093" s="1" t="str">
        <f>IF('Twenty-First'!E96="", "",'Twenty-First'!E96)</f>
        <v>Male</v>
      </c>
      <c r="F5093" s="1" t="str">
        <f>IF('Twenty-First'!F96="", "",'Twenty-First'!F96)</f>
        <v>Head/Neck</v>
      </c>
      <c r="G5093" s="1" t="str">
        <f>IF('Twenty-First'!G96="", "",'Twenty-First'!G96)</f>
        <v>Post Treatment - Curative Intent</v>
      </c>
      <c r="H5093" s="1" t="str">
        <f>IF('Twenty-First'!H96="", "",'Twenty-First'!H96)</f>
        <v>Programme</v>
      </c>
      <c r="I5093" s="1" t="str">
        <f>IF('Twenty-First'!I96="", "",'Twenty-First'!I96)</f>
        <v>Lecture Series</v>
      </c>
      <c r="J5093" s="1" t="str">
        <f>IF('Twenty-First'!J96="", "",'Twenty-First'!J96)</f>
        <v>Creative Writing</v>
      </c>
      <c r="K5093" s="83" t="str">
        <f>IF('Twenty-First'!K96="", "",'Twenty-First'!K96)</f>
        <v/>
      </c>
      <c r="M5093" s="67">
        <f t="shared" si="243"/>
        <v>7</v>
      </c>
      <c r="N5093" s="76" t="str">
        <f t="shared" si="244"/>
        <v/>
      </c>
      <c r="O5093" s="33">
        <f t="shared" si="242"/>
        <v>7</v>
      </c>
    </row>
    <row r="5094" spans="1:15" x14ac:dyDescent="0.25">
      <c r="A5094" s="64" t="s">
        <v>190</v>
      </c>
      <c r="B5094" s="82" t="str">
        <f>IF('Twenty-First'!B97="", "",'Twenty-First'!B97)</f>
        <v>Centre Head</v>
      </c>
      <c r="C5094" s="1" t="str">
        <f>IF('Twenty-First'!C97="", "",'Twenty-First'!C97)</f>
        <v>PwC</v>
      </c>
      <c r="D5094" s="1" t="str">
        <f>IF('Twenty-First'!D97="", "",'Twenty-First'!D97)</f>
        <v>New</v>
      </c>
      <c r="E5094" s="1" t="str">
        <f>IF('Twenty-First'!E97="", "",'Twenty-First'!E97)</f>
        <v>Male</v>
      </c>
      <c r="F5094" s="1" t="str">
        <f>IF('Twenty-First'!F97="", "",'Twenty-First'!F97)</f>
        <v>Head/Neck</v>
      </c>
      <c r="G5094" s="1" t="str">
        <f>IF('Twenty-First'!G97="", "",'Twenty-First'!G97)</f>
        <v>Post Treatment - Curative Intent</v>
      </c>
      <c r="H5094" s="1" t="str">
        <f>IF('Twenty-First'!H97="", "",'Twenty-First'!H97)</f>
        <v>Programme</v>
      </c>
      <c r="I5094" s="1" t="str">
        <f>IF('Twenty-First'!I97="", "",'Twenty-First'!I97)</f>
        <v>Lecture Series</v>
      </c>
      <c r="J5094" s="1" t="str">
        <f>IF('Twenty-First'!J97="", "",'Twenty-First'!J97)</f>
        <v>Creative Writing</v>
      </c>
      <c r="K5094" s="83" t="str">
        <f>IF('Twenty-First'!K97="", "",'Twenty-First'!K97)</f>
        <v>Nutrition</v>
      </c>
      <c r="M5094" s="67">
        <f t="shared" si="243"/>
        <v>7</v>
      </c>
      <c r="N5094" s="76" t="str">
        <f t="shared" si="244"/>
        <v/>
      </c>
      <c r="O5094" s="33">
        <f t="shared" si="242"/>
        <v>7</v>
      </c>
    </row>
    <row r="5095" spans="1:15" x14ac:dyDescent="0.25">
      <c r="A5095" s="64" t="s">
        <v>190</v>
      </c>
      <c r="B5095" s="82" t="str">
        <f>IF('Twenty-First'!B98="", "",'Twenty-First'!B98)</f>
        <v>Centre Head</v>
      </c>
      <c r="C5095" s="1" t="str">
        <f>IF('Twenty-First'!C98="", "",'Twenty-First'!C98)</f>
        <v>PwC</v>
      </c>
      <c r="D5095" s="1" t="str">
        <f>IF('Twenty-First'!D98="", "",'Twenty-First'!D98)</f>
        <v>Returning</v>
      </c>
      <c r="E5095" s="1" t="str">
        <f>IF('Twenty-First'!E98="", "",'Twenty-First'!E98)</f>
        <v>Male</v>
      </c>
      <c r="F5095" s="1" t="str">
        <f>IF('Twenty-First'!F98="", "",'Twenty-First'!F98)</f>
        <v>Head/Neck</v>
      </c>
      <c r="G5095" s="1" t="str">
        <f>IF('Twenty-First'!G98="", "",'Twenty-First'!G98)</f>
        <v>Post Treatment - Curative Intent</v>
      </c>
      <c r="H5095" s="1" t="str">
        <f>IF('Twenty-First'!H98="", "",'Twenty-First'!H98)</f>
        <v>Programme</v>
      </c>
      <c r="I5095" s="1" t="str">
        <f>IF('Twenty-First'!I98="", "",'Twenty-First'!I98)</f>
        <v>Lecture Series</v>
      </c>
      <c r="J5095" s="1" t="str">
        <f>IF('Twenty-First'!J98="", "",'Twenty-First'!J98)</f>
        <v>Creative Writing</v>
      </c>
      <c r="K5095" s="83" t="str">
        <f>IF('Twenty-First'!K98="", "",'Twenty-First'!K98)</f>
        <v/>
      </c>
      <c r="M5095" s="67">
        <f t="shared" si="243"/>
        <v>7</v>
      </c>
      <c r="N5095" s="76" t="str">
        <f t="shared" si="244"/>
        <v/>
      </c>
      <c r="O5095" s="33">
        <f t="shared" si="242"/>
        <v>7</v>
      </c>
    </row>
    <row r="5096" spans="1:15" x14ac:dyDescent="0.25">
      <c r="A5096" s="64" t="s">
        <v>190</v>
      </c>
      <c r="B5096" s="82" t="str">
        <f>IF('Twenty-First'!B99="", "",'Twenty-First'!B99)</f>
        <v>Centre Head</v>
      </c>
      <c r="C5096" s="1" t="str">
        <f>IF('Twenty-First'!C99="", "",'Twenty-First'!C99)</f>
        <v>PwC</v>
      </c>
      <c r="D5096" s="1" t="str">
        <f>IF('Twenty-First'!D99="", "",'Twenty-First'!D99)</f>
        <v>Returning</v>
      </c>
      <c r="E5096" s="1" t="str">
        <f>IF('Twenty-First'!E99="", "",'Twenty-First'!E99)</f>
        <v>Male</v>
      </c>
      <c r="F5096" s="1" t="str">
        <f>IF('Twenty-First'!F99="", "",'Twenty-First'!F99)</f>
        <v>Head/Neck</v>
      </c>
      <c r="G5096" s="1" t="str">
        <f>IF('Twenty-First'!G99="", "",'Twenty-First'!G99)</f>
        <v>Post Treatment - Curative Intent</v>
      </c>
      <c r="H5096" s="1" t="str">
        <f>IF('Twenty-First'!H99="", "",'Twenty-First'!H99)</f>
        <v>Programme</v>
      </c>
      <c r="I5096" s="1" t="str">
        <f>IF('Twenty-First'!I99="", "",'Twenty-First'!I99)</f>
        <v>Lecture Series</v>
      </c>
      <c r="J5096" s="1" t="str">
        <f>IF('Twenty-First'!J99="", "",'Twenty-First'!J99)</f>
        <v>Creative Writing</v>
      </c>
      <c r="K5096" s="83" t="str">
        <f>IF('Twenty-First'!K99="", "",'Twenty-First'!K99)</f>
        <v/>
      </c>
      <c r="M5096" s="67">
        <f t="shared" si="243"/>
        <v>7</v>
      </c>
      <c r="N5096" s="76" t="str">
        <f t="shared" si="244"/>
        <v/>
      </c>
      <c r="O5096" s="33">
        <f t="shared" si="242"/>
        <v>7</v>
      </c>
    </row>
    <row r="5097" spans="1:15" x14ac:dyDescent="0.25">
      <c r="A5097" s="64" t="s">
        <v>190</v>
      </c>
      <c r="B5097" s="82" t="str">
        <f>IF('Twenty-First'!B100="", "",'Twenty-First'!B100)</f>
        <v>Centre Head</v>
      </c>
      <c r="C5097" s="1" t="str">
        <f>IF('Twenty-First'!C100="", "",'Twenty-First'!C100)</f>
        <v>PwC</v>
      </c>
      <c r="D5097" s="1" t="str">
        <f>IF('Twenty-First'!D100="", "",'Twenty-First'!D100)</f>
        <v>Returning</v>
      </c>
      <c r="E5097" s="1" t="str">
        <f>IF('Twenty-First'!E100="", "",'Twenty-First'!E100)</f>
        <v>Male</v>
      </c>
      <c r="F5097" s="1" t="str">
        <f>IF('Twenty-First'!F100="", "",'Twenty-First'!F100)</f>
        <v>Head/Neck</v>
      </c>
      <c r="G5097" s="1" t="str">
        <f>IF('Twenty-First'!G100="", "",'Twenty-First'!G100)</f>
        <v>Post Treatment - Curative Intent</v>
      </c>
      <c r="H5097" s="1" t="str">
        <f>IF('Twenty-First'!H100="", "",'Twenty-First'!H100)</f>
        <v>Programme</v>
      </c>
      <c r="I5097" s="1" t="str">
        <f>IF('Twenty-First'!I100="", "",'Twenty-First'!I100)</f>
        <v>Lecture Series</v>
      </c>
      <c r="J5097" s="1" t="str">
        <f>IF('Twenty-First'!J100="", "",'Twenty-First'!J100)</f>
        <v/>
      </c>
      <c r="K5097" s="83" t="str">
        <f>IF('Twenty-First'!K100="", "",'Twenty-First'!K100)</f>
        <v/>
      </c>
      <c r="M5097" s="67">
        <f t="shared" si="243"/>
        <v>7</v>
      </c>
      <c r="N5097" s="76" t="str">
        <f t="shared" si="244"/>
        <v/>
      </c>
      <c r="O5097" s="33">
        <f t="shared" si="242"/>
        <v>7</v>
      </c>
    </row>
    <row r="5098" spans="1:15" x14ac:dyDescent="0.25">
      <c r="A5098" s="64" t="s">
        <v>190</v>
      </c>
      <c r="B5098" s="82" t="str">
        <f>IF('Twenty-First'!B101="", "",'Twenty-First'!B101)</f>
        <v>Centre Head</v>
      </c>
      <c r="C5098" s="1" t="str">
        <f>IF('Twenty-First'!C101="", "",'Twenty-First'!C101)</f>
        <v>PwC</v>
      </c>
      <c r="D5098" s="1" t="str">
        <f>IF('Twenty-First'!D101="", "",'Twenty-First'!D101)</f>
        <v>Returning</v>
      </c>
      <c r="E5098" s="1" t="str">
        <f>IF('Twenty-First'!E101="", "",'Twenty-First'!E101)</f>
        <v>Male</v>
      </c>
      <c r="F5098" s="1" t="str">
        <f>IF('Twenty-First'!F101="", "",'Twenty-First'!F101)</f>
        <v>Head/Neck</v>
      </c>
      <c r="G5098" s="1" t="str">
        <f>IF('Twenty-First'!G101="", "",'Twenty-First'!G101)</f>
        <v>Post Treatment - Curative Intent</v>
      </c>
      <c r="H5098" s="1" t="str">
        <f>IF('Twenty-First'!H101="", "",'Twenty-First'!H101)</f>
        <v>Programme</v>
      </c>
      <c r="I5098" s="1" t="str">
        <f>IF('Twenty-First'!I101="", "",'Twenty-First'!I101)</f>
        <v>Lecture Series</v>
      </c>
      <c r="J5098" s="1" t="str">
        <f>IF('Twenty-First'!J101="", "",'Twenty-First'!J101)</f>
        <v/>
      </c>
      <c r="K5098" s="83" t="str">
        <f>IF('Twenty-First'!K101="", "",'Twenty-First'!K101)</f>
        <v/>
      </c>
      <c r="M5098" s="67">
        <f t="shared" si="243"/>
        <v>7</v>
      </c>
      <c r="N5098" s="76" t="str">
        <f t="shared" si="244"/>
        <v/>
      </c>
      <c r="O5098" s="33">
        <f t="shared" si="242"/>
        <v>7</v>
      </c>
    </row>
    <row r="5099" spans="1:15" x14ac:dyDescent="0.25">
      <c r="A5099" s="64" t="s">
        <v>190</v>
      </c>
      <c r="B5099" s="82" t="str">
        <f>IF('Twenty-First'!B102="", "",'Twenty-First'!B102)</f>
        <v>Centre Head</v>
      </c>
      <c r="C5099" s="1" t="str">
        <f>IF('Twenty-First'!C102="", "",'Twenty-First'!C102)</f>
        <v>PwC</v>
      </c>
      <c r="D5099" s="1" t="str">
        <f>IF('Twenty-First'!D102="", "",'Twenty-First'!D102)</f>
        <v>Returning</v>
      </c>
      <c r="E5099" s="1" t="str">
        <f>IF('Twenty-First'!E102="", "",'Twenty-First'!E102)</f>
        <v>Female</v>
      </c>
      <c r="F5099" s="1" t="str">
        <f>IF('Twenty-First'!F102="", "",'Twenty-First'!F102)</f>
        <v>Head/Neck</v>
      </c>
      <c r="G5099" s="1" t="str">
        <f>IF('Twenty-First'!G102="", "",'Twenty-First'!G102)</f>
        <v>Post Treatment - Curative Intent</v>
      </c>
      <c r="H5099" s="1" t="str">
        <f>IF('Twenty-First'!H102="", "",'Twenty-First'!H102)</f>
        <v>Programme</v>
      </c>
      <c r="I5099" s="1" t="str">
        <f>IF('Twenty-First'!I102="", "",'Twenty-First'!I102)</f>
        <v>Lecture Series</v>
      </c>
      <c r="J5099" s="1" t="str">
        <f>IF('Twenty-First'!J102="", "",'Twenty-First'!J102)</f>
        <v/>
      </c>
      <c r="K5099" s="83" t="str">
        <f>IF('Twenty-First'!K102="", "",'Twenty-First'!K102)</f>
        <v/>
      </c>
      <c r="M5099" s="67">
        <f t="shared" si="243"/>
        <v>7</v>
      </c>
      <c r="N5099" s="76" t="str">
        <f t="shared" si="244"/>
        <v/>
      </c>
      <c r="O5099" s="33">
        <f t="shared" si="242"/>
        <v>7</v>
      </c>
    </row>
    <row r="5100" spans="1:15" x14ac:dyDescent="0.25">
      <c r="A5100" s="64" t="s">
        <v>190</v>
      </c>
      <c r="B5100" s="82" t="str">
        <f>IF('Twenty-First'!B103="", "",'Twenty-First'!B103)</f>
        <v>Centre Head</v>
      </c>
      <c r="C5100" s="1" t="str">
        <f>IF('Twenty-First'!C103="", "",'Twenty-First'!C103)</f>
        <v>PwC</v>
      </c>
      <c r="D5100" s="1" t="str">
        <f>IF('Twenty-First'!D103="", "",'Twenty-First'!D103)</f>
        <v>Returning</v>
      </c>
      <c r="E5100" s="1" t="str">
        <f>IF('Twenty-First'!E103="", "",'Twenty-First'!E103)</f>
        <v>Female</v>
      </c>
      <c r="F5100" s="1" t="str">
        <f>IF('Twenty-First'!F103="", "",'Twenty-First'!F103)</f>
        <v>Head/Neck</v>
      </c>
      <c r="G5100" s="1" t="str">
        <f>IF('Twenty-First'!G103="", "",'Twenty-First'!G103)</f>
        <v>Post Treatment - Curative Intent</v>
      </c>
      <c r="H5100" s="1" t="str">
        <f>IF('Twenty-First'!H103="", "",'Twenty-First'!H103)</f>
        <v>Programme</v>
      </c>
      <c r="I5100" s="1" t="str">
        <f>IF('Twenty-First'!I103="", "",'Twenty-First'!I103)</f>
        <v>Lecture Series</v>
      </c>
      <c r="J5100" s="1" t="str">
        <f>IF('Twenty-First'!J103="", "",'Twenty-First'!J103)</f>
        <v/>
      </c>
      <c r="K5100" s="83" t="str">
        <f>IF('Twenty-First'!K103="", "",'Twenty-First'!K103)</f>
        <v/>
      </c>
      <c r="M5100" s="67">
        <f t="shared" si="243"/>
        <v>7</v>
      </c>
      <c r="N5100" s="76" t="str">
        <f t="shared" si="244"/>
        <v/>
      </c>
      <c r="O5100" s="33">
        <f t="shared" si="242"/>
        <v>7</v>
      </c>
    </row>
    <row r="5101" spans="1:15" x14ac:dyDescent="0.25">
      <c r="A5101" s="64" t="s">
        <v>190</v>
      </c>
      <c r="B5101" s="82" t="str">
        <f>IF('Twenty-First'!B104="", "",'Twenty-First'!B104)</f>
        <v>Centre Head</v>
      </c>
      <c r="C5101" s="1" t="str">
        <f>IF('Twenty-First'!C104="", "",'Twenty-First'!C104)</f>
        <v>PwC</v>
      </c>
      <c r="D5101" s="1" t="str">
        <f>IF('Twenty-First'!D104="", "",'Twenty-First'!D104)</f>
        <v>Returning</v>
      </c>
      <c r="E5101" s="1" t="str">
        <f>IF('Twenty-First'!E104="", "",'Twenty-First'!E104)</f>
        <v>Female</v>
      </c>
      <c r="F5101" s="1" t="str">
        <f>IF('Twenty-First'!F104="", "",'Twenty-First'!F104)</f>
        <v>Head/Neck</v>
      </c>
      <c r="G5101" s="1" t="str">
        <f>IF('Twenty-First'!G104="", "",'Twenty-First'!G104)</f>
        <v>Post Treatment - Curative Intent</v>
      </c>
      <c r="H5101" s="1" t="str">
        <f>IF('Twenty-First'!H104="", "",'Twenty-First'!H104)</f>
        <v>Programme</v>
      </c>
      <c r="I5101" s="1" t="str">
        <f>IF('Twenty-First'!I104="", "",'Twenty-First'!I104)</f>
        <v>Lecture Series</v>
      </c>
      <c r="J5101" s="1" t="str">
        <f>IF('Twenty-First'!J104="", "",'Twenty-First'!J104)</f>
        <v/>
      </c>
      <c r="K5101" s="83" t="str">
        <f>IF('Twenty-First'!K104="", "",'Twenty-First'!K104)</f>
        <v/>
      </c>
      <c r="M5101" s="67">
        <f t="shared" si="243"/>
        <v>7</v>
      </c>
      <c r="N5101" s="76" t="str">
        <f t="shared" si="244"/>
        <v/>
      </c>
      <c r="O5101" s="33">
        <f t="shared" si="242"/>
        <v>7</v>
      </c>
    </row>
    <row r="5102" spans="1:15" x14ac:dyDescent="0.25">
      <c r="A5102" s="64" t="s">
        <v>190</v>
      </c>
      <c r="B5102" s="82" t="str">
        <f>IF('Twenty-First'!B105="", "",'Twenty-First'!B105)</f>
        <v>Centre Head</v>
      </c>
      <c r="C5102" s="1" t="str">
        <f>IF('Twenty-First'!C105="", "",'Twenty-First'!C105)</f>
        <v>PwC</v>
      </c>
      <c r="D5102" s="1" t="str">
        <f>IF('Twenty-First'!D105="", "",'Twenty-First'!D105)</f>
        <v>Returning</v>
      </c>
      <c r="E5102" s="1" t="str">
        <f>IF('Twenty-First'!E105="", "",'Twenty-First'!E105)</f>
        <v>Female</v>
      </c>
      <c r="F5102" s="1" t="str">
        <f>IF('Twenty-First'!F105="", "",'Twenty-First'!F105)</f>
        <v>Head/Neck</v>
      </c>
      <c r="G5102" s="1" t="str">
        <f>IF('Twenty-First'!G105="", "",'Twenty-First'!G105)</f>
        <v>Post Treatment - Curative Intent</v>
      </c>
      <c r="H5102" s="1" t="str">
        <f>IF('Twenty-First'!H105="", "",'Twenty-First'!H105)</f>
        <v>Programme</v>
      </c>
      <c r="I5102" s="1" t="str">
        <f>IF('Twenty-First'!I105="", "",'Twenty-First'!I105)</f>
        <v>Lecture Series</v>
      </c>
      <c r="J5102" s="1" t="str">
        <f>IF('Twenty-First'!J105="", "",'Twenty-First'!J105)</f>
        <v/>
      </c>
      <c r="K5102" s="83" t="str">
        <f>IF('Twenty-First'!K105="", "",'Twenty-First'!K105)</f>
        <v/>
      </c>
      <c r="M5102" s="67">
        <f t="shared" si="243"/>
        <v>7</v>
      </c>
      <c r="N5102" s="76" t="str">
        <f t="shared" si="244"/>
        <v/>
      </c>
      <c r="O5102" s="33">
        <f t="shared" si="242"/>
        <v>7</v>
      </c>
    </row>
    <row r="5103" spans="1:15" x14ac:dyDescent="0.25">
      <c r="A5103" s="64" t="s">
        <v>190</v>
      </c>
      <c r="B5103" s="82" t="str">
        <f>IF('Twenty-First'!B106="", "",'Twenty-First'!B106)</f>
        <v>Centre Head</v>
      </c>
      <c r="C5103" s="1" t="str">
        <f>IF('Twenty-First'!C106="", "",'Twenty-First'!C106)</f>
        <v>PwC</v>
      </c>
      <c r="D5103" s="1" t="str">
        <f>IF('Twenty-First'!D106="", "",'Twenty-First'!D106)</f>
        <v>Returning</v>
      </c>
      <c r="E5103" s="1" t="str">
        <f>IF('Twenty-First'!E106="", "",'Twenty-First'!E106)</f>
        <v>Female</v>
      </c>
      <c r="F5103" s="1" t="str">
        <f>IF('Twenty-First'!F106="", "",'Twenty-First'!F106)</f>
        <v>Head/Neck</v>
      </c>
      <c r="G5103" s="1" t="str">
        <f>IF('Twenty-First'!G106="", "",'Twenty-First'!G106)</f>
        <v>Post Treatment - Curative Intent</v>
      </c>
      <c r="H5103" s="1" t="str">
        <f>IF('Twenty-First'!H106="", "",'Twenty-First'!H106)</f>
        <v>Programme</v>
      </c>
      <c r="I5103" s="1" t="str">
        <f>IF('Twenty-First'!I106="", "",'Twenty-First'!I106)</f>
        <v>Lecture Series</v>
      </c>
      <c r="J5103" s="1" t="str">
        <f>IF('Twenty-First'!J106="", "",'Twenty-First'!J106)</f>
        <v/>
      </c>
      <c r="K5103" s="83" t="str">
        <f>IF('Twenty-First'!K106="", "",'Twenty-First'!K106)</f>
        <v/>
      </c>
      <c r="M5103" s="67">
        <f t="shared" si="243"/>
        <v>7</v>
      </c>
      <c r="N5103" s="76" t="str">
        <f t="shared" si="244"/>
        <v/>
      </c>
      <c r="O5103" s="33">
        <f t="shared" si="242"/>
        <v>7</v>
      </c>
    </row>
    <row r="5104" spans="1:15" x14ac:dyDescent="0.25">
      <c r="A5104" s="64" t="s">
        <v>190</v>
      </c>
      <c r="B5104" s="82" t="str">
        <f>IF('Twenty-First'!B107="", "",'Twenty-First'!B107)</f>
        <v>Centre Head</v>
      </c>
      <c r="C5104" s="1" t="str">
        <f>IF('Twenty-First'!C107="", "",'Twenty-First'!C107)</f>
        <v>PwC</v>
      </c>
      <c r="D5104" s="1" t="str">
        <f>IF('Twenty-First'!D107="", "",'Twenty-First'!D107)</f>
        <v>Returning</v>
      </c>
      <c r="E5104" s="1" t="str">
        <f>IF('Twenty-First'!E107="", "",'Twenty-First'!E107)</f>
        <v>Female</v>
      </c>
      <c r="F5104" s="1" t="str">
        <f>IF('Twenty-First'!F107="", "",'Twenty-First'!F107)</f>
        <v>Head/Neck</v>
      </c>
      <c r="G5104" s="1" t="str">
        <f>IF('Twenty-First'!G107="", "",'Twenty-First'!G107)</f>
        <v>Post Treatment - Curative Intent</v>
      </c>
      <c r="H5104" s="1" t="str">
        <f>IF('Twenty-First'!H107="", "",'Twenty-First'!H107)</f>
        <v>Programme</v>
      </c>
      <c r="I5104" s="1" t="str">
        <f>IF('Twenty-First'!I107="", "",'Twenty-First'!I107)</f>
        <v>Lecture Series</v>
      </c>
      <c r="J5104" s="1" t="str">
        <f>IF('Twenty-First'!J107="", "",'Twenty-First'!J107)</f>
        <v/>
      </c>
      <c r="K5104" s="83" t="str">
        <f>IF('Twenty-First'!K107="", "",'Twenty-First'!K107)</f>
        <v/>
      </c>
      <c r="M5104" s="67">
        <f t="shared" si="243"/>
        <v>7</v>
      </c>
      <c r="N5104" s="76" t="str">
        <f t="shared" si="244"/>
        <v/>
      </c>
      <c r="O5104" s="33">
        <f t="shared" si="242"/>
        <v>7</v>
      </c>
    </row>
    <row r="5105" spans="1:15" x14ac:dyDescent="0.25">
      <c r="A5105" s="64" t="s">
        <v>190</v>
      </c>
      <c r="B5105" s="82" t="str">
        <f>IF('Twenty-First'!B108="", "",'Twenty-First'!B108)</f>
        <v>Centre Head</v>
      </c>
      <c r="C5105" s="1" t="str">
        <f>IF('Twenty-First'!C108="", "",'Twenty-First'!C108)</f>
        <v>PwC</v>
      </c>
      <c r="D5105" s="1" t="str">
        <f>IF('Twenty-First'!D108="", "",'Twenty-First'!D108)</f>
        <v>Returning</v>
      </c>
      <c r="E5105" s="1" t="str">
        <f>IF('Twenty-First'!E108="", "",'Twenty-First'!E108)</f>
        <v>Female</v>
      </c>
      <c r="F5105" s="1" t="str">
        <f>IF('Twenty-First'!F108="", "",'Twenty-First'!F108)</f>
        <v>Head/Neck</v>
      </c>
      <c r="G5105" s="1" t="str">
        <f>IF('Twenty-First'!G108="", "",'Twenty-First'!G108)</f>
        <v>Post Treatment - Curative Intent</v>
      </c>
      <c r="H5105" s="1" t="str">
        <f>IF('Twenty-First'!H108="", "",'Twenty-First'!H108)</f>
        <v>Programme</v>
      </c>
      <c r="I5105" s="1" t="str">
        <f>IF('Twenty-First'!I108="", "",'Twenty-First'!I108)</f>
        <v>Lecture Series</v>
      </c>
      <c r="J5105" s="1" t="str">
        <f>IF('Twenty-First'!J108="", "",'Twenty-First'!J108)</f>
        <v/>
      </c>
      <c r="K5105" s="83" t="str">
        <f>IF('Twenty-First'!K108="", "",'Twenty-First'!K108)</f>
        <v/>
      </c>
      <c r="M5105" s="67">
        <f t="shared" si="243"/>
        <v>7</v>
      </c>
      <c r="N5105" s="76" t="str">
        <f t="shared" si="244"/>
        <v/>
      </c>
      <c r="O5105" s="33">
        <f t="shared" si="242"/>
        <v>7</v>
      </c>
    </row>
    <row r="5106" spans="1:15" x14ac:dyDescent="0.25">
      <c r="A5106" s="64" t="s">
        <v>190</v>
      </c>
      <c r="B5106" s="82" t="str">
        <f>IF('Twenty-First'!B109="", "",'Twenty-First'!B109)</f>
        <v/>
      </c>
      <c r="C5106" s="1" t="str">
        <f>IF('Twenty-First'!C109="", "",'Twenty-First'!C109)</f>
        <v/>
      </c>
      <c r="D5106" s="1" t="str">
        <f>IF('Twenty-First'!D109="", "",'Twenty-First'!D109)</f>
        <v/>
      </c>
      <c r="E5106" s="1" t="str">
        <f>IF('Twenty-First'!E109="", "",'Twenty-First'!E109)</f>
        <v/>
      </c>
      <c r="F5106" s="1" t="str">
        <f>IF('Twenty-First'!F109="", "",'Twenty-First'!F109)</f>
        <v/>
      </c>
      <c r="G5106" s="1" t="str">
        <f>IF('Twenty-First'!G109="", "",'Twenty-First'!G109)</f>
        <v/>
      </c>
      <c r="H5106" s="1" t="str">
        <f>IF('Twenty-First'!H109="", "",'Twenty-First'!H109)</f>
        <v/>
      </c>
      <c r="I5106" s="1" t="str">
        <f>IF('Twenty-First'!I109="", "",'Twenty-First'!I109)</f>
        <v/>
      </c>
      <c r="J5106" s="1" t="str">
        <f>IF('Twenty-First'!J109="", "",'Twenty-First'!J109)</f>
        <v/>
      </c>
      <c r="K5106" s="83" t="str">
        <f>IF('Twenty-First'!K109="", "",'Twenty-First'!K109)</f>
        <v/>
      </c>
      <c r="M5106" s="67" t="str">
        <f t="shared" si="243"/>
        <v/>
      </c>
      <c r="N5106" s="76" t="str">
        <f t="shared" si="244"/>
        <v/>
      </c>
      <c r="O5106" s="33">
        <f t="shared" si="242"/>
        <v>0</v>
      </c>
    </row>
    <row r="5107" spans="1:15" x14ac:dyDescent="0.25">
      <c r="A5107" s="64" t="s">
        <v>190</v>
      </c>
      <c r="B5107" s="82" t="str">
        <f>IF('Twenty-First'!B110="", "",'Twenty-First'!B110)</f>
        <v/>
      </c>
      <c r="C5107" s="1" t="str">
        <f>IF('Twenty-First'!C110="", "",'Twenty-First'!C110)</f>
        <v/>
      </c>
      <c r="D5107" s="1" t="str">
        <f>IF('Twenty-First'!D110="", "",'Twenty-First'!D110)</f>
        <v/>
      </c>
      <c r="E5107" s="1" t="str">
        <f>IF('Twenty-First'!E110="", "",'Twenty-First'!E110)</f>
        <v/>
      </c>
      <c r="F5107" s="1" t="str">
        <f>IF('Twenty-First'!F110="", "",'Twenty-First'!F110)</f>
        <v/>
      </c>
      <c r="G5107" s="1" t="str">
        <f>IF('Twenty-First'!G110="", "",'Twenty-First'!G110)</f>
        <v/>
      </c>
      <c r="H5107" s="1" t="str">
        <f>IF('Twenty-First'!H110="", "",'Twenty-First'!H110)</f>
        <v/>
      </c>
      <c r="I5107" s="1" t="str">
        <f>IF('Twenty-First'!I110="", "",'Twenty-First'!I110)</f>
        <v/>
      </c>
      <c r="J5107" s="1" t="str">
        <f>IF('Twenty-First'!J110="", "",'Twenty-First'!J110)</f>
        <v/>
      </c>
      <c r="K5107" s="83" t="str">
        <f>IF('Twenty-First'!K110="", "",'Twenty-First'!K110)</f>
        <v/>
      </c>
      <c r="M5107" s="67" t="str">
        <f t="shared" si="243"/>
        <v/>
      </c>
      <c r="N5107" s="76" t="str">
        <f t="shared" si="244"/>
        <v/>
      </c>
      <c r="O5107" s="33">
        <f t="shared" si="242"/>
        <v>0</v>
      </c>
    </row>
    <row r="5108" spans="1:15" x14ac:dyDescent="0.25">
      <c r="A5108" s="64" t="s">
        <v>190</v>
      </c>
      <c r="B5108" s="82" t="str">
        <f>IF('Twenty-First'!B111="", "",'Twenty-First'!B111)</f>
        <v/>
      </c>
      <c r="C5108" s="1" t="str">
        <f>IF('Twenty-First'!C111="", "",'Twenty-First'!C111)</f>
        <v/>
      </c>
      <c r="D5108" s="1" t="str">
        <f>IF('Twenty-First'!D111="", "",'Twenty-First'!D111)</f>
        <v/>
      </c>
      <c r="E5108" s="1" t="str">
        <f>IF('Twenty-First'!E111="", "",'Twenty-First'!E111)</f>
        <v/>
      </c>
      <c r="F5108" s="1" t="str">
        <f>IF('Twenty-First'!F111="", "",'Twenty-First'!F111)</f>
        <v/>
      </c>
      <c r="G5108" s="1" t="str">
        <f>IF('Twenty-First'!G111="", "",'Twenty-First'!G111)</f>
        <v/>
      </c>
      <c r="H5108" s="1" t="str">
        <f>IF('Twenty-First'!H111="", "",'Twenty-First'!H111)</f>
        <v/>
      </c>
      <c r="I5108" s="1" t="str">
        <f>IF('Twenty-First'!I111="", "",'Twenty-First'!I111)</f>
        <v/>
      </c>
      <c r="J5108" s="1" t="str">
        <f>IF('Twenty-First'!J111="", "",'Twenty-First'!J111)</f>
        <v/>
      </c>
      <c r="K5108" s="83" t="str">
        <f>IF('Twenty-First'!K111="", "",'Twenty-First'!K111)</f>
        <v/>
      </c>
      <c r="M5108" s="67" t="str">
        <f t="shared" si="243"/>
        <v/>
      </c>
      <c r="N5108" s="76" t="str">
        <f t="shared" si="244"/>
        <v/>
      </c>
      <c r="O5108" s="33">
        <f t="shared" si="242"/>
        <v>0</v>
      </c>
    </row>
    <row r="5109" spans="1:15" x14ac:dyDescent="0.25">
      <c r="A5109" s="64" t="s">
        <v>190</v>
      </c>
      <c r="B5109" s="82" t="str">
        <f>IF('Twenty-First'!B112="", "",'Twenty-First'!B112)</f>
        <v/>
      </c>
      <c r="C5109" s="1" t="str">
        <f>IF('Twenty-First'!C112="", "",'Twenty-First'!C112)</f>
        <v/>
      </c>
      <c r="D5109" s="1" t="str">
        <f>IF('Twenty-First'!D112="", "",'Twenty-First'!D112)</f>
        <v/>
      </c>
      <c r="E5109" s="1" t="str">
        <f>IF('Twenty-First'!E112="", "",'Twenty-First'!E112)</f>
        <v/>
      </c>
      <c r="F5109" s="1" t="str">
        <f>IF('Twenty-First'!F112="", "",'Twenty-First'!F112)</f>
        <v/>
      </c>
      <c r="G5109" s="1" t="str">
        <f>IF('Twenty-First'!G112="", "",'Twenty-First'!G112)</f>
        <v/>
      </c>
      <c r="H5109" s="1" t="str">
        <f>IF('Twenty-First'!H112="", "",'Twenty-First'!H112)</f>
        <v/>
      </c>
      <c r="I5109" s="1" t="str">
        <f>IF('Twenty-First'!I112="", "",'Twenty-First'!I112)</f>
        <v/>
      </c>
      <c r="J5109" s="1" t="str">
        <f>IF('Twenty-First'!J112="", "",'Twenty-First'!J112)</f>
        <v/>
      </c>
      <c r="K5109" s="83" t="str">
        <f>IF('Twenty-First'!K112="", "",'Twenty-First'!K112)</f>
        <v/>
      </c>
      <c r="M5109" s="67" t="str">
        <f t="shared" si="243"/>
        <v/>
      </c>
      <c r="N5109" s="76" t="str">
        <f t="shared" si="244"/>
        <v/>
      </c>
      <c r="O5109" s="33">
        <f t="shared" si="242"/>
        <v>0</v>
      </c>
    </row>
    <row r="5110" spans="1:15" x14ac:dyDescent="0.25">
      <c r="A5110" s="64" t="s">
        <v>190</v>
      </c>
      <c r="B5110" s="82" t="str">
        <f>IF('Twenty-First'!B113="", "",'Twenty-First'!B113)</f>
        <v/>
      </c>
      <c r="C5110" s="1" t="str">
        <f>IF('Twenty-First'!C113="", "",'Twenty-First'!C113)</f>
        <v/>
      </c>
      <c r="D5110" s="1" t="str">
        <f>IF('Twenty-First'!D113="", "",'Twenty-First'!D113)</f>
        <v/>
      </c>
      <c r="E5110" s="1" t="str">
        <f>IF('Twenty-First'!E113="", "",'Twenty-First'!E113)</f>
        <v/>
      </c>
      <c r="F5110" s="1" t="str">
        <f>IF('Twenty-First'!F113="", "",'Twenty-First'!F113)</f>
        <v/>
      </c>
      <c r="G5110" s="1" t="str">
        <f>IF('Twenty-First'!G113="", "",'Twenty-First'!G113)</f>
        <v/>
      </c>
      <c r="H5110" s="1" t="str">
        <f>IF('Twenty-First'!H113="", "",'Twenty-First'!H113)</f>
        <v/>
      </c>
      <c r="I5110" s="1" t="str">
        <f>IF('Twenty-First'!I113="", "",'Twenty-First'!I113)</f>
        <v/>
      </c>
      <c r="J5110" s="1" t="str">
        <f>IF('Twenty-First'!J113="", "",'Twenty-First'!J113)</f>
        <v/>
      </c>
      <c r="K5110" s="83" t="str">
        <f>IF('Twenty-First'!K113="", "",'Twenty-First'!K113)</f>
        <v/>
      </c>
      <c r="M5110" s="67" t="str">
        <f t="shared" si="243"/>
        <v/>
      </c>
      <c r="N5110" s="76" t="str">
        <f t="shared" si="244"/>
        <v/>
      </c>
      <c r="O5110" s="33">
        <f t="shared" si="242"/>
        <v>0</v>
      </c>
    </row>
    <row r="5111" spans="1:15" x14ac:dyDescent="0.25">
      <c r="A5111" s="64" t="s">
        <v>190</v>
      </c>
      <c r="B5111" s="82" t="str">
        <f>IF('Twenty-First'!B114="", "",'Twenty-First'!B114)</f>
        <v/>
      </c>
      <c r="C5111" s="1" t="str">
        <f>IF('Twenty-First'!C114="", "",'Twenty-First'!C114)</f>
        <v/>
      </c>
      <c r="D5111" s="1" t="str">
        <f>IF('Twenty-First'!D114="", "",'Twenty-First'!D114)</f>
        <v/>
      </c>
      <c r="E5111" s="1" t="str">
        <f>IF('Twenty-First'!E114="", "",'Twenty-First'!E114)</f>
        <v/>
      </c>
      <c r="F5111" s="1" t="str">
        <f>IF('Twenty-First'!F114="", "",'Twenty-First'!F114)</f>
        <v/>
      </c>
      <c r="G5111" s="1" t="str">
        <f>IF('Twenty-First'!G114="", "",'Twenty-First'!G114)</f>
        <v/>
      </c>
      <c r="H5111" s="1" t="str">
        <f>IF('Twenty-First'!H114="", "",'Twenty-First'!H114)</f>
        <v/>
      </c>
      <c r="I5111" s="1" t="str">
        <f>IF('Twenty-First'!I114="", "",'Twenty-First'!I114)</f>
        <v/>
      </c>
      <c r="J5111" s="1" t="str">
        <f>IF('Twenty-First'!J114="", "",'Twenty-First'!J114)</f>
        <v/>
      </c>
      <c r="K5111" s="83" t="str">
        <f>IF('Twenty-First'!K114="", "",'Twenty-First'!K114)</f>
        <v/>
      </c>
      <c r="M5111" s="67" t="str">
        <f t="shared" si="243"/>
        <v/>
      </c>
      <c r="N5111" s="76" t="str">
        <f t="shared" si="244"/>
        <v/>
      </c>
      <c r="O5111" s="33">
        <f t="shared" si="242"/>
        <v>0</v>
      </c>
    </row>
    <row r="5112" spans="1:15" x14ac:dyDescent="0.25">
      <c r="A5112" s="64" t="s">
        <v>190</v>
      </c>
      <c r="B5112" s="82" t="str">
        <f>IF('Twenty-First'!B115="", "",'Twenty-First'!B115)</f>
        <v/>
      </c>
      <c r="C5112" s="1" t="str">
        <f>IF('Twenty-First'!C115="", "",'Twenty-First'!C115)</f>
        <v/>
      </c>
      <c r="D5112" s="1" t="str">
        <f>IF('Twenty-First'!D115="", "",'Twenty-First'!D115)</f>
        <v/>
      </c>
      <c r="E5112" s="1" t="str">
        <f>IF('Twenty-First'!E115="", "",'Twenty-First'!E115)</f>
        <v/>
      </c>
      <c r="F5112" s="1" t="str">
        <f>IF('Twenty-First'!F115="", "",'Twenty-First'!F115)</f>
        <v/>
      </c>
      <c r="G5112" s="1" t="str">
        <f>IF('Twenty-First'!G115="", "",'Twenty-First'!G115)</f>
        <v/>
      </c>
      <c r="H5112" s="1" t="str">
        <f>IF('Twenty-First'!H115="", "",'Twenty-First'!H115)</f>
        <v/>
      </c>
      <c r="I5112" s="1" t="str">
        <f>IF('Twenty-First'!I115="", "",'Twenty-First'!I115)</f>
        <v/>
      </c>
      <c r="J5112" s="1" t="str">
        <f>IF('Twenty-First'!J115="", "",'Twenty-First'!J115)</f>
        <v/>
      </c>
      <c r="K5112" s="83" t="str">
        <f>IF('Twenty-First'!K115="", "",'Twenty-First'!K115)</f>
        <v/>
      </c>
      <c r="M5112" s="67" t="str">
        <f t="shared" si="243"/>
        <v/>
      </c>
      <c r="N5112" s="76" t="str">
        <f t="shared" si="244"/>
        <v/>
      </c>
      <c r="O5112" s="33">
        <f t="shared" si="242"/>
        <v>0</v>
      </c>
    </row>
    <row r="5113" spans="1:15" x14ac:dyDescent="0.25">
      <c r="A5113" s="64" t="s">
        <v>190</v>
      </c>
      <c r="B5113" s="82" t="str">
        <f>IF('Twenty-First'!B116="", "",'Twenty-First'!B116)</f>
        <v/>
      </c>
      <c r="C5113" s="1" t="str">
        <f>IF('Twenty-First'!C116="", "",'Twenty-First'!C116)</f>
        <v/>
      </c>
      <c r="D5113" s="1" t="str">
        <f>IF('Twenty-First'!D116="", "",'Twenty-First'!D116)</f>
        <v/>
      </c>
      <c r="E5113" s="1" t="str">
        <f>IF('Twenty-First'!E116="", "",'Twenty-First'!E116)</f>
        <v/>
      </c>
      <c r="F5113" s="1" t="str">
        <f>IF('Twenty-First'!F116="", "",'Twenty-First'!F116)</f>
        <v/>
      </c>
      <c r="G5113" s="1" t="str">
        <f>IF('Twenty-First'!G116="", "",'Twenty-First'!G116)</f>
        <v/>
      </c>
      <c r="H5113" s="1" t="str">
        <f>IF('Twenty-First'!H116="", "",'Twenty-First'!H116)</f>
        <v/>
      </c>
      <c r="I5113" s="1" t="str">
        <f>IF('Twenty-First'!I116="", "",'Twenty-First'!I116)</f>
        <v/>
      </c>
      <c r="J5113" s="1" t="str">
        <f>IF('Twenty-First'!J116="", "",'Twenty-First'!J116)</f>
        <v/>
      </c>
      <c r="K5113" s="83" t="str">
        <f>IF('Twenty-First'!K116="", "",'Twenty-First'!K116)</f>
        <v/>
      </c>
      <c r="M5113" s="67" t="str">
        <f t="shared" si="243"/>
        <v/>
      </c>
      <c r="N5113" s="76" t="str">
        <f t="shared" si="244"/>
        <v/>
      </c>
      <c r="O5113" s="33">
        <f t="shared" si="242"/>
        <v>0</v>
      </c>
    </row>
    <row r="5114" spans="1:15" x14ac:dyDescent="0.25">
      <c r="A5114" s="64" t="s">
        <v>190</v>
      </c>
      <c r="B5114" s="82" t="str">
        <f>IF('Twenty-First'!B117="", "",'Twenty-First'!B117)</f>
        <v/>
      </c>
      <c r="C5114" s="1" t="str">
        <f>IF('Twenty-First'!C117="", "",'Twenty-First'!C117)</f>
        <v/>
      </c>
      <c r="D5114" s="1" t="str">
        <f>IF('Twenty-First'!D117="", "",'Twenty-First'!D117)</f>
        <v/>
      </c>
      <c r="E5114" s="1" t="str">
        <f>IF('Twenty-First'!E117="", "",'Twenty-First'!E117)</f>
        <v/>
      </c>
      <c r="F5114" s="1" t="str">
        <f>IF('Twenty-First'!F117="", "",'Twenty-First'!F117)</f>
        <v/>
      </c>
      <c r="G5114" s="1" t="str">
        <f>IF('Twenty-First'!G117="", "",'Twenty-First'!G117)</f>
        <v/>
      </c>
      <c r="H5114" s="1" t="str">
        <f>IF('Twenty-First'!H117="", "",'Twenty-First'!H117)</f>
        <v/>
      </c>
      <c r="I5114" s="1" t="str">
        <f>IF('Twenty-First'!I117="", "",'Twenty-First'!I117)</f>
        <v/>
      </c>
      <c r="J5114" s="1" t="str">
        <f>IF('Twenty-First'!J117="", "",'Twenty-First'!J117)</f>
        <v/>
      </c>
      <c r="K5114" s="83" t="str">
        <f>IF('Twenty-First'!K117="", "",'Twenty-First'!K117)</f>
        <v/>
      </c>
      <c r="M5114" s="67" t="str">
        <f t="shared" si="243"/>
        <v/>
      </c>
      <c r="N5114" s="76" t="str">
        <f t="shared" si="244"/>
        <v/>
      </c>
      <c r="O5114" s="33">
        <f t="shared" si="242"/>
        <v>0</v>
      </c>
    </row>
    <row r="5115" spans="1:15" x14ac:dyDescent="0.25">
      <c r="A5115" s="64" t="s">
        <v>190</v>
      </c>
      <c r="B5115" s="82" t="str">
        <f>IF('Twenty-First'!B118="", "",'Twenty-First'!B118)</f>
        <v/>
      </c>
      <c r="C5115" s="1" t="str">
        <f>IF('Twenty-First'!C118="", "",'Twenty-First'!C118)</f>
        <v/>
      </c>
      <c r="D5115" s="1" t="str">
        <f>IF('Twenty-First'!D118="", "",'Twenty-First'!D118)</f>
        <v/>
      </c>
      <c r="E5115" s="1" t="str">
        <f>IF('Twenty-First'!E118="", "",'Twenty-First'!E118)</f>
        <v/>
      </c>
      <c r="F5115" s="1" t="str">
        <f>IF('Twenty-First'!F118="", "",'Twenty-First'!F118)</f>
        <v/>
      </c>
      <c r="G5115" s="1" t="str">
        <f>IF('Twenty-First'!G118="", "",'Twenty-First'!G118)</f>
        <v/>
      </c>
      <c r="H5115" s="1" t="str">
        <f>IF('Twenty-First'!H118="", "",'Twenty-First'!H118)</f>
        <v/>
      </c>
      <c r="I5115" s="1" t="str">
        <f>IF('Twenty-First'!I118="", "",'Twenty-First'!I118)</f>
        <v/>
      </c>
      <c r="J5115" s="1" t="str">
        <f>IF('Twenty-First'!J118="", "",'Twenty-First'!J118)</f>
        <v/>
      </c>
      <c r="K5115" s="83" t="str">
        <f>IF('Twenty-First'!K118="", "",'Twenty-First'!K118)</f>
        <v/>
      </c>
      <c r="M5115" s="67" t="str">
        <f t="shared" si="243"/>
        <v/>
      </c>
      <c r="N5115" s="76" t="str">
        <f t="shared" si="244"/>
        <v/>
      </c>
      <c r="O5115" s="33">
        <f t="shared" si="242"/>
        <v>0</v>
      </c>
    </row>
    <row r="5116" spans="1:15" x14ac:dyDescent="0.25">
      <c r="A5116" s="64" t="s">
        <v>190</v>
      </c>
      <c r="B5116" s="82" t="str">
        <f>IF('Twenty-First'!B119="", "",'Twenty-First'!B119)</f>
        <v/>
      </c>
      <c r="C5116" s="1" t="str">
        <f>IF('Twenty-First'!C119="", "",'Twenty-First'!C119)</f>
        <v/>
      </c>
      <c r="D5116" s="1" t="str">
        <f>IF('Twenty-First'!D119="", "",'Twenty-First'!D119)</f>
        <v/>
      </c>
      <c r="E5116" s="1" t="str">
        <f>IF('Twenty-First'!E119="", "",'Twenty-First'!E119)</f>
        <v/>
      </c>
      <c r="F5116" s="1" t="str">
        <f>IF('Twenty-First'!F119="", "",'Twenty-First'!F119)</f>
        <v/>
      </c>
      <c r="G5116" s="1" t="str">
        <f>IF('Twenty-First'!G119="", "",'Twenty-First'!G119)</f>
        <v/>
      </c>
      <c r="H5116" s="1" t="str">
        <f>IF('Twenty-First'!H119="", "",'Twenty-First'!H119)</f>
        <v/>
      </c>
      <c r="I5116" s="1" t="str">
        <f>IF('Twenty-First'!I119="", "",'Twenty-First'!I119)</f>
        <v/>
      </c>
      <c r="J5116" s="1" t="str">
        <f>IF('Twenty-First'!J119="", "",'Twenty-First'!J119)</f>
        <v/>
      </c>
      <c r="K5116" s="83" t="str">
        <f>IF('Twenty-First'!K119="", "",'Twenty-First'!K119)</f>
        <v/>
      </c>
      <c r="M5116" s="67" t="str">
        <f t="shared" si="243"/>
        <v/>
      </c>
      <c r="N5116" s="76" t="str">
        <f t="shared" si="244"/>
        <v/>
      </c>
      <c r="O5116" s="33">
        <f t="shared" si="242"/>
        <v>0</v>
      </c>
    </row>
    <row r="5117" spans="1:15" x14ac:dyDescent="0.25">
      <c r="A5117" s="64" t="s">
        <v>190</v>
      </c>
      <c r="B5117" s="82" t="str">
        <f>IF('Twenty-First'!B120="", "",'Twenty-First'!B120)</f>
        <v/>
      </c>
      <c r="C5117" s="1" t="str">
        <f>IF('Twenty-First'!C120="", "",'Twenty-First'!C120)</f>
        <v/>
      </c>
      <c r="D5117" s="1" t="str">
        <f>IF('Twenty-First'!D120="", "",'Twenty-First'!D120)</f>
        <v/>
      </c>
      <c r="E5117" s="1" t="str">
        <f>IF('Twenty-First'!E120="", "",'Twenty-First'!E120)</f>
        <v/>
      </c>
      <c r="F5117" s="1" t="str">
        <f>IF('Twenty-First'!F120="", "",'Twenty-First'!F120)</f>
        <v/>
      </c>
      <c r="G5117" s="1" t="str">
        <f>IF('Twenty-First'!G120="", "",'Twenty-First'!G120)</f>
        <v/>
      </c>
      <c r="H5117" s="1" t="str">
        <f>IF('Twenty-First'!H120="", "",'Twenty-First'!H120)</f>
        <v/>
      </c>
      <c r="I5117" s="1" t="str">
        <f>IF('Twenty-First'!I120="", "",'Twenty-First'!I120)</f>
        <v/>
      </c>
      <c r="J5117" s="1" t="str">
        <f>IF('Twenty-First'!J120="", "",'Twenty-First'!J120)</f>
        <v/>
      </c>
      <c r="K5117" s="83" t="str">
        <f>IF('Twenty-First'!K120="", "",'Twenty-First'!K120)</f>
        <v/>
      </c>
      <c r="M5117" s="67" t="str">
        <f t="shared" si="243"/>
        <v/>
      </c>
      <c r="N5117" s="76" t="str">
        <f t="shared" si="244"/>
        <v/>
      </c>
      <c r="O5117" s="33">
        <f t="shared" si="242"/>
        <v>0</v>
      </c>
    </row>
    <row r="5118" spans="1:15" x14ac:dyDescent="0.25">
      <c r="A5118" s="64" t="s">
        <v>190</v>
      </c>
      <c r="B5118" s="82" t="str">
        <f>IF('Twenty-First'!B121="", "",'Twenty-First'!B121)</f>
        <v/>
      </c>
      <c r="C5118" s="1" t="str">
        <f>IF('Twenty-First'!C121="", "",'Twenty-First'!C121)</f>
        <v/>
      </c>
      <c r="D5118" s="1" t="str">
        <f>IF('Twenty-First'!D121="", "",'Twenty-First'!D121)</f>
        <v/>
      </c>
      <c r="E5118" s="1" t="str">
        <f>IF('Twenty-First'!E121="", "",'Twenty-First'!E121)</f>
        <v/>
      </c>
      <c r="F5118" s="1" t="str">
        <f>IF('Twenty-First'!F121="", "",'Twenty-First'!F121)</f>
        <v/>
      </c>
      <c r="G5118" s="1" t="str">
        <f>IF('Twenty-First'!G121="", "",'Twenty-First'!G121)</f>
        <v/>
      </c>
      <c r="H5118" s="1" t="str">
        <f>IF('Twenty-First'!H121="", "",'Twenty-First'!H121)</f>
        <v/>
      </c>
      <c r="I5118" s="1" t="str">
        <f>IF('Twenty-First'!I121="", "",'Twenty-First'!I121)</f>
        <v/>
      </c>
      <c r="J5118" s="1" t="str">
        <f>IF('Twenty-First'!J121="", "",'Twenty-First'!J121)</f>
        <v/>
      </c>
      <c r="K5118" s="83" t="str">
        <f>IF('Twenty-First'!K121="", "",'Twenty-First'!K121)</f>
        <v/>
      </c>
      <c r="M5118" s="67" t="str">
        <f t="shared" si="243"/>
        <v/>
      </c>
      <c r="N5118" s="76" t="str">
        <f t="shared" si="244"/>
        <v/>
      </c>
      <c r="O5118" s="33">
        <f t="shared" si="242"/>
        <v>0</v>
      </c>
    </row>
    <row r="5119" spans="1:15" x14ac:dyDescent="0.25">
      <c r="A5119" s="64" t="s">
        <v>190</v>
      </c>
      <c r="B5119" s="82" t="str">
        <f>IF('Twenty-First'!B122="", "",'Twenty-First'!B122)</f>
        <v/>
      </c>
      <c r="C5119" s="1" t="str">
        <f>IF('Twenty-First'!C122="", "",'Twenty-First'!C122)</f>
        <v/>
      </c>
      <c r="D5119" s="1" t="str">
        <f>IF('Twenty-First'!D122="", "",'Twenty-First'!D122)</f>
        <v/>
      </c>
      <c r="E5119" s="1" t="str">
        <f>IF('Twenty-First'!E122="", "",'Twenty-First'!E122)</f>
        <v/>
      </c>
      <c r="F5119" s="1" t="str">
        <f>IF('Twenty-First'!F122="", "",'Twenty-First'!F122)</f>
        <v/>
      </c>
      <c r="G5119" s="1" t="str">
        <f>IF('Twenty-First'!G122="", "",'Twenty-First'!G122)</f>
        <v/>
      </c>
      <c r="H5119" s="1" t="str">
        <f>IF('Twenty-First'!H122="", "",'Twenty-First'!H122)</f>
        <v/>
      </c>
      <c r="I5119" s="1" t="str">
        <f>IF('Twenty-First'!I122="", "",'Twenty-First'!I122)</f>
        <v/>
      </c>
      <c r="J5119" s="1" t="str">
        <f>IF('Twenty-First'!J122="", "",'Twenty-First'!J122)</f>
        <v/>
      </c>
      <c r="K5119" s="83" t="str">
        <f>IF('Twenty-First'!K122="", "",'Twenty-First'!K122)</f>
        <v/>
      </c>
      <c r="M5119" s="67" t="str">
        <f t="shared" si="243"/>
        <v/>
      </c>
      <c r="N5119" s="76" t="str">
        <f t="shared" si="244"/>
        <v/>
      </c>
      <c r="O5119" s="33">
        <f t="shared" si="242"/>
        <v>0</v>
      </c>
    </row>
    <row r="5120" spans="1:15" x14ac:dyDescent="0.25">
      <c r="A5120" s="64" t="s">
        <v>190</v>
      </c>
      <c r="B5120" s="82" t="str">
        <f>IF('Twenty-First'!B123="", "",'Twenty-First'!B123)</f>
        <v/>
      </c>
      <c r="C5120" s="1" t="str">
        <f>IF('Twenty-First'!C123="", "",'Twenty-First'!C123)</f>
        <v/>
      </c>
      <c r="D5120" s="1" t="str">
        <f>IF('Twenty-First'!D123="", "",'Twenty-First'!D123)</f>
        <v/>
      </c>
      <c r="E5120" s="1" t="str">
        <f>IF('Twenty-First'!E123="", "",'Twenty-First'!E123)</f>
        <v/>
      </c>
      <c r="F5120" s="1" t="str">
        <f>IF('Twenty-First'!F123="", "",'Twenty-First'!F123)</f>
        <v/>
      </c>
      <c r="G5120" s="1" t="str">
        <f>IF('Twenty-First'!G123="", "",'Twenty-First'!G123)</f>
        <v/>
      </c>
      <c r="H5120" s="1" t="str">
        <f>IF('Twenty-First'!H123="", "",'Twenty-First'!H123)</f>
        <v/>
      </c>
      <c r="I5120" s="1" t="str">
        <f>IF('Twenty-First'!I123="", "",'Twenty-First'!I123)</f>
        <v/>
      </c>
      <c r="J5120" s="1" t="str">
        <f>IF('Twenty-First'!J123="", "",'Twenty-First'!J123)</f>
        <v/>
      </c>
      <c r="K5120" s="83" t="str">
        <f>IF('Twenty-First'!K123="", "",'Twenty-First'!K123)</f>
        <v/>
      </c>
      <c r="M5120" s="67" t="str">
        <f t="shared" si="243"/>
        <v/>
      </c>
      <c r="N5120" s="76" t="str">
        <f t="shared" si="244"/>
        <v/>
      </c>
      <c r="O5120" s="33">
        <f t="shared" si="242"/>
        <v>0</v>
      </c>
    </row>
    <row r="5121" spans="1:15" x14ac:dyDescent="0.25">
      <c r="A5121" s="64" t="s">
        <v>190</v>
      </c>
      <c r="B5121" s="82" t="str">
        <f>IF('Twenty-First'!B124="", "",'Twenty-First'!B124)</f>
        <v/>
      </c>
      <c r="C5121" s="1" t="str">
        <f>IF('Twenty-First'!C124="", "",'Twenty-First'!C124)</f>
        <v/>
      </c>
      <c r="D5121" s="1" t="str">
        <f>IF('Twenty-First'!D124="", "",'Twenty-First'!D124)</f>
        <v/>
      </c>
      <c r="E5121" s="1" t="str">
        <f>IF('Twenty-First'!E124="", "",'Twenty-First'!E124)</f>
        <v/>
      </c>
      <c r="F5121" s="1" t="str">
        <f>IF('Twenty-First'!F124="", "",'Twenty-First'!F124)</f>
        <v/>
      </c>
      <c r="G5121" s="1" t="str">
        <f>IF('Twenty-First'!G124="", "",'Twenty-First'!G124)</f>
        <v/>
      </c>
      <c r="H5121" s="1" t="str">
        <f>IF('Twenty-First'!H124="", "",'Twenty-First'!H124)</f>
        <v/>
      </c>
      <c r="I5121" s="1" t="str">
        <f>IF('Twenty-First'!I124="", "",'Twenty-First'!I124)</f>
        <v/>
      </c>
      <c r="J5121" s="1" t="str">
        <f>IF('Twenty-First'!J124="", "",'Twenty-First'!J124)</f>
        <v/>
      </c>
      <c r="K5121" s="83" t="str">
        <f>IF('Twenty-First'!K124="", "",'Twenty-First'!K124)</f>
        <v/>
      </c>
      <c r="M5121" s="67" t="str">
        <f t="shared" si="243"/>
        <v/>
      </c>
      <c r="N5121" s="76" t="str">
        <f t="shared" si="244"/>
        <v/>
      </c>
      <c r="O5121" s="33">
        <f t="shared" si="242"/>
        <v>0</v>
      </c>
    </row>
    <row r="5122" spans="1:15" x14ac:dyDescent="0.25">
      <c r="A5122" s="64" t="s">
        <v>190</v>
      </c>
      <c r="B5122" s="82" t="str">
        <f>IF('Twenty-First'!B125="", "",'Twenty-First'!B125)</f>
        <v/>
      </c>
      <c r="C5122" s="1" t="str">
        <f>IF('Twenty-First'!C125="", "",'Twenty-First'!C125)</f>
        <v/>
      </c>
      <c r="D5122" s="1" t="str">
        <f>IF('Twenty-First'!D125="", "",'Twenty-First'!D125)</f>
        <v/>
      </c>
      <c r="E5122" s="1" t="str">
        <f>IF('Twenty-First'!E125="", "",'Twenty-First'!E125)</f>
        <v/>
      </c>
      <c r="F5122" s="1" t="str">
        <f>IF('Twenty-First'!F125="", "",'Twenty-First'!F125)</f>
        <v/>
      </c>
      <c r="G5122" s="1" t="str">
        <f>IF('Twenty-First'!G125="", "",'Twenty-First'!G125)</f>
        <v/>
      </c>
      <c r="H5122" s="1" t="str">
        <f>IF('Twenty-First'!H125="", "",'Twenty-First'!H125)</f>
        <v/>
      </c>
      <c r="I5122" s="1" t="str">
        <f>IF('Twenty-First'!I125="", "",'Twenty-First'!I125)</f>
        <v/>
      </c>
      <c r="J5122" s="1" t="str">
        <f>IF('Twenty-First'!J125="", "",'Twenty-First'!J125)</f>
        <v/>
      </c>
      <c r="K5122" s="83" t="str">
        <f>IF('Twenty-First'!K125="", "",'Twenty-First'!K125)</f>
        <v/>
      </c>
      <c r="M5122" s="67" t="str">
        <f t="shared" si="243"/>
        <v/>
      </c>
      <c r="N5122" s="76" t="str">
        <f t="shared" si="244"/>
        <v/>
      </c>
      <c r="O5122" s="33">
        <f t="shared" si="242"/>
        <v>0</v>
      </c>
    </row>
    <row r="5123" spans="1:15" x14ac:dyDescent="0.25">
      <c r="A5123" s="64" t="s">
        <v>190</v>
      </c>
      <c r="B5123" s="82" t="str">
        <f>IF('Twenty-First'!B126="", "",'Twenty-First'!B126)</f>
        <v/>
      </c>
      <c r="C5123" s="1" t="str">
        <f>IF('Twenty-First'!C126="", "",'Twenty-First'!C126)</f>
        <v/>
      </c>
      <c r="D5123" s="1" t="str">
        <f>IF('Twenty-First'!D126="", "",'Twenty-First'!D126)</f>
        <v/>
      </c>
      <c r="E5123" s="1" t="str">
        <f>IF('Twenty-First'!E126="", "",'Twenty-First'!E126)</f>
        <v/>
      </c>
      <c r="F5123" s="1" t="str">
        <f>IF('Twenty-First'!F126="", "",'Twenty-First'!F126)</f>
        <v/>
      </c>
      <c r="G5123" s="1" t="str">
        <f>IF('Twenty-First'!G126="", "",'Twenty-First'!G126)</f>
        <v/>
      </c>
      <c r="H5123" s="1" t="str">
        <f>IF('Twenty-First'!H126="", "",'Twenty-First'!H126)</f>
        <v/>
      </c>
      <c r="I5123" s="1" t="str">
        <f>IF('Twenty-First'!I126="", "",'Twenty-First'!I126)</f>
        <v/>
      </c>
      <c r="J5123" s="1" t="str">
        <f>IF('Twenty-First'!J126="", "",'Twenty-First'!J126)</f>
        <v/>
      </c>
      <c r="K5123" s="83" t="str">
        <f>IF('Twenty-First'!K126="", "",'Twenty-First'!K126)</f>
        <v/>
      </c>
      <c r="M5123" s="67" t="str">
        <f t="shared" si="243"/>
        <v/>
      </c>
      <c r="N5123" s="76" t="str">
        <f t="shared" si="244"/>
        <v/>
      </c>
      <c r="O5123" s="33">
        <f t="shared" si="242"/>
        <v>0</v>
      </c>
    </row>
    <row r="5124" spans="1:15" x14ac:dyDescent="0.25">
      <c r="A5124" s="64" t="s">
        <v>190</v>
      </c>
      <c r="B5124" s="82" t="str">
        <f>IF('Twenty-First'!B127="", "",'Twenty-First'!B127)</f>
        <v/>
      </c>
      <c r="C5124" s="1" t="str">
        <f>IF('Twenty-First'!C127="", "",'Twenty-First'!C127)</f>
        <v/>
      </c>
      <c r="D5124" s="1" t="str">
        <f>IF('Twenty-First'!D127="", "",'Twenty-First'!D127)</f>
        <v/>
      </c>
      <c r="E5124" s="1" t="str">
        <f>IF('Twenty-First'!E127="", "",'Twenty-First'!E127)</f>
        <v/>
      </c>
      <c r="F5124" s="1" t="str">
        <f>IF('Twenty-First'!F127="", "",'Twenty-First'!F127)</f>
        <v/>
      </c>
      <c r="G5124" s="1" t="str">
        <f>IF('Twenty-First'!G127="", "",'Twenty-First'!G127)</f>
        <v/>
      </c>
      <c r="H5124" s="1" t="str">
        <f>IF('Twenty-First'!H127="", "",'Twenty-First'!H127)</f>
        <v/>
      </c>
      <c r="I5124" s="1" t="str">
        <f>IF('Twenty-First'!I127="", "",'Twenty-First'!I127)</f>
        <v/>
      </c>
      <c r="J5124" s="1" t="str">
        <f>IF('Twenty-First'!J127="", "",'Twenty-First'!J127)</f>
        <v/>
      </c>
      <c r="K5124" s="83" t="str">
        <f>IF('Twenty-First'!K127="", "",'Twenty-First'!K127)</f>
        <v/>
      </c>
      <c r="M5124" s="67" t="str">
        <f t="shared" si="243"/>
        <v/>
      </c>
      <c r="N5124" s="76" t="str">
        <f t="shared" si="244"/>
        <v/>
      </c>
      <c r="O5124" s="33">
        <f t="shared" si="242"/>
        <v>0</v>
      </c>
    </row>
    <row r="5125" spans="1:15" x14ac:dyDescent="0.25">
      <c r="A5125" s="64" t="s">
        <v>190</v>
      </c>
      <c r="B5125" s="82" t="str">
        <f>IF('Twenty-First'!B128="", "",'Twenty-First'!B128)</f>
        <v/>
      </c>
      <c r="C5125" s="1" t="str">
        <f>IF('Twenty-First'!C128="", "",'Twenty-First'!C128)</f>
        <v/>
      </c>
      <c r="D5125" s="1" t="str">
        <f>IF('Twenty-First'!D128="", "",'Twenty-First'!D128)</f>
        <v/>
      </c>
      <c r="E5125" s="1" t="str">
        <f>IF('Twenty-First'!E128="", "",'Twenty-First'!E128)</f>
        <v/>
      </c>
      <c r="F5125" s="1" t="str">
        <f>IF('Twenty-First'!F128="", "",'Twenty-First'!F128)</f>
        <v/>
      </c>
      <c r="G5125" s="1" t="str">
        <f>IF('Twenty-First'!G128="", "",'Twenty-First'!G128)</f>
        <v/>
      </c>
      <c r="H5125" s="1" t="str">
        <f>IF('Twenty-First'!H128="", "",'Twenty-First'!H128)</f>
        <v/>
      </c>
      <c r="I5125" s="1" t="str">
        <f>IF('Twenty-First'!I128="", "",'Twenty-First'!I128)</f>
        <v/>
      </c>
      <c r="J5125" s="1" t="str">
        <f>IF('Twenty-First'!J128="", "",'Twenty-First'!J128)</f>
        <v/>
      </c>
      <c r="K5125" s="83" t="str">
        <f>IF('Twenty-First'!K128="", "",'Twenty-First'!K128)</f>
        <v/>
      </c>
      <c r="M5125" s="67" t="str">
        <f t="shared" si="243"/>
        <v/>
      </c>
      <c r="N5125" s="76" t="str">
        <f t="shared" si="244"/>
        <v/>
      </c>
      <c r="O5125" s="33">
        <f t="shared" si="242"/>
        <v>0</v>
      </c>
    </row>
    <row r="5126" spans="1:15" x14ac:dyDescent="0.25">
      <c r="A5126" s="64" t="s">
        <v>190</v>
      </c>
      <c r="B5126" s="82" t="str">
        <f>IF('Twenty-First'!B129="", "",'Twenty-First'!B129)</f>
        <v/>
      </c>
      <c r="C5126" s="1" t="str">
        <f>IF('Twenty-First'!C129="", "",'Twenty-First'!C129)</f>
        <v/>
      </c>
      <c r="D5126" s="1" t="str">
        <f>IF('Twenty-First'!D129="", "",'Twenty-First'!D129)</f>
        <v/>
      </c>
      <c r="E5126" s="1" t="str">
        <f>IF('Twenty-First'!E129="", "",'Twenty-First'!E129)</f>
        <v/>
      </c>
      <c r="F5126" s="1" t="str">
        <f>IF('Twenty-First'!F129="", "",'Twenty-First'!F129)</f>
        <v/>
      </c>
      <c r="G5126" s="1" t="str">
        <f>IF('Twenty-First'!G129="", "",'Twenty-First'!G129)</f>
        <v/>
      </c>
      <c r="H5126" s="1" t="str">
        <f>IF('Twenty-First'!H129="", "",'Twenty-First'!H129)</f>
        <v/>
      </c>
      <c r="I5126" s="1" t="str">
        <f>IF('Twenty-First'!I129="", "",'Twenty-First'!I129)</f>
        <v/>
      </c>
      <c r="J5126" s="1" t="str">
        <f>IF('Twenty-First'!J129="", "",'Twenty-First'!J129)</f>
        <v/>
      </c>
      <c r="K5126" s="83" t="str">
        <f>IF('Twenty-First'!K129="", "",'Twenty-First'!K129)</f>
        <v/>
      </c>
      <c r="M5126" s="67" t="str">
        <f t="shared" si="243"/>
        <v/>
      </c>
      <c r="N5126" s="76" t="str">
        <f t="shared" si="244"/>
        <v/>
      </c>
      <c r="O5126" s="33">
        <f t="shared" si="242"/>
        <v>0</v>
      </c>
    </row>
    <row r="5127" spans="1:15" x14ac:dyDescent="0.25">
      <c r="A5127" s="64" t="s">
        <v>190</v>
      </c>
      <c r="B5127" s="82" t="str">
        <f>IF('Twenty-First'!B130="", "",'Twenty-First'!B130)</f>
        <v/>
      </c>
      <c r="C5127" s="1" t="str">
        <f>IF('Twenty-First'!C130="", "",'Twenty-First'!C130)</f>
        <v/>
      </c>
      <c r="D5127" s="1" t="str">
        <f>IF('Twenty-First'!D130="", "",'Twenty-First'!D130)</f>
        <v/>
      </c>
      <c r="E5127" s="1" t="str">
        <f>IF('Twenty-First'!E130="", "",'Twenty-First'!E130)</f>
        <v/>
      </c>
      <c r="F5127" s="1" t="str">
        <f>IF('Twenty-First'!F130="", "",'Twenty-First'!F130)</f>
        <v/>
      </c>
      <c r="G5127" s="1" t="str">
        <f>IF('Twenty-First'!G130="", "",'Twenty-First'!G130)</f>
        <v/>
      </c>
      <c r="H5127" s="1" t="str">
        <f>IF('Twenty-First'!H130="", "",'Twenty-First'!H130)</f>
        <v/>
      </c>
      <c r="I5127" s="1" t="str">
        <f>IF('Twenty-First'!I130="", "",'Twenty-First'!I130)</f>
        <v/>
      </c>
      <c r="J5127" s="1" t="str">
        <f>IF('Twenty-First'!J130="", "",'Twenty-First'!J130)</f>
        <v/>
      </c>
      <c r="K5127" s="83" t="str">
        <f>IF('Twenty-First'!K130="", "",'Twenty-First'!K130)</f>
        <v/>
      </c>
      <c r="M5127" s="67" t="str">
        <f t="shared" si="243"/>
        <v/>
      </c>
      <c r="N5127" s="76" t="str">
        <f t="shared" si="244"/>
        <v/>
      </c>
      <c r="O5127" s="33">
        <f t="shared" si="242"/>
        <v>0</v>
      </c>
    </row>
    <row r="5128" spans="1:15" x14ac:dyDescent="0.25">
      <c r="A5128" s="64" t="s">
        <v>190</v>
      </c>
      <c r="B5128" s="82" t="str">
        <f>IF('Twenty-First'!B131="", "",'Twenty-First'!B131)</f>
        <v/>
      </c>
      <c r="C5128" s="1" t="str">
        <f>IF('Twenty-First'!C131="", "",'Twenty-First'!C131)</f>
        <v/>
      </c>
      <c r="D5128" s="1" t="str">
        <f>IF('Twenty-First'!D131="", "",'Twenty-First'!D131)</f>
        <v/>
      </c>
      <c r="E5128" s="1" t="str">
        <f>IF('Twenty-First'!E131="", "",'Twenty-First'!E131)</f>
        <v/>
      </c>
      <c r="F5128" s="1" t="str">
        <f>IF('Twenty-First'!F131="", "",'Twenty-First'!F131)</f>
        <v/>
      </c>
      <c r="G5128" s="1" t="str">
        <f>IF('Twenty-First'!G131="", "",'Twenty-First'!G131)</f>
        <v/>
      </c>
      <c r="H5128" s="1" t="str">
        <f>IF('Twenty-First'!H131="", "",'Twenty-First'!H131)</f>
        <v/>
      </c>
      <c r="I5128" s="1" t="str">
        <f>IF('Twenty-First'!I131="", "",'Twenty-First'!I131)</f>
        <v/>
      </c>
      <c r="J5128" s="1" t="str">
        <f>IF('Twenty-First'!J131="", "",'Twenty-First'!J131)</f>
        <v/>
      </c>
      <c r="K5128" s="83" t="str">
        <f>IF('Twenty-First'!K131="", "",'Twenty-First'!K131)</f>
        <v/>
      </c>
      <c r="M5128" s="67" t="str">
        <f t="shared" si="243"/>
        <v/>
      </c>
      <c r="N5128" s="76" t="str">
        <f t="shared" si="244"/>
        <v/>
      </c>
      <c r="O5128" s="33">
        <f t="shared" si="242"/>
        <v>0</v>
      </c>
    </row>
    <row r="5129" spans="1:15" x14ac:dyDescent="0.25">
      <c r="A5129" s="64" t="s">
        <v>190</v>
      </c>
      <c r="B5129" s="82" t="str">
        <f>IF('Twenty-First'!B132="", "",'Twenty-First'!B132)</f>
        <v/>
      </c>
      <c r="C5129" s="1" t="str">
        <f>IF('Twenty-First'!C132="", "",'Twenty-First'!C132)</f>
        <v/>
      </c>
      <c r="D5129" s="1" t="str">
        <f>IF('Twenty-First'!D132="", "",'Twenty-First'!D132)</f>
        <v/>
      </c>
      <c r="E5129" s="1" t="str">
        <f>IF('Twenty-First'!E132="", "",'Twenty-First'!E132)</f>
        <v/>
      </c>
      <c r="F5129" s="1" t="str">
        <f>IF('Twenty-First'!F132="", "",'Twenty-First'!F132)</f>
        <v/>
      </c>
      <c r="G5129" s="1" t="str">
        <f>IF('Twenty-First'!G132="", "",'Twenty-First'!G132)</f>
        <v/>
      </c>
      <c r="H5129" s="1" t="str">
        <f>IF('Twenty-First'!H132="", "",'Twenty-First'!H132)</f>
        <v/>
      </c>
      <c r="I5129" s="1" t="str">
        <f>IF('Twenty-First'!I132="", "",'Twenty-First'!I132)</f>
        <v/>
      </c>
      <c r="J5129" s="1" t="str">
        <f>IF('Twenty-First'!J132="", "",'Twenty-First'!J132)</f>
        <v/>
      </c>
      <c r="K5129" s="83" t="str">
        <f>IF('Twenty-First'!K132="", "",'Twenty-First'!K132)</f>
        <v/>
      </c>
      <c r="M5129" s="67" t="str">
        <f t="shared" si="243"/>
        <v/>
      </c>
      <c r="N5129" s="76" t="str">
        <f t="shared" si="244"/>
        <v/>
      </c>
      <c r="O5129" s="33">
        <f t="shared" si="242"/>
        <v>0</v>
      </c>
    </row>
    <row r="5130" spans="1:15" x14ac:dyDescent="0.25">
      <c r="A5130" s="64" t="s">
        <v>190</v>
      </c>
      <c r="B5130" s="82" t="str">
        <f>IF('Twenty-First'!B133="", "",'Twenty-First'!B133)</f>
        <v/>
      </c>
      <c r="C5130" s="1" t="str">
        <f>IF('Twenty-First'!C133="", "",'Twenty-First'!C133)</f>
        <v/>
      </c>
      <c r="D5130" s="1" t="str">
        <f>IF('Twenty-First'!D133="", "",'Twenty-First'!D133)</f>
        <v/>
      </c>
      <c r="E5130" s="1" t="str">
        <f>IF('Twenty-First'!E133="", "",'Twenty-First'!E133)</f>
        <v/>
      </c>
      <c r="F5130" s="1" t="str">
        <f>IF('Twenty-First'!F133="", "",'Twenty-First'!F133)</f>
        <v/>
      </c>
      <c r="G5130" s="1" t="str">
        <f>IF('Twenty-First'!G133="", "",'Twenty-First'!G133)</f>
        <v/>
      </c>
      <c r="H5130" s="1" t="str">
        <f>IF('Twenty-First'!H133="", "",'Twenty-First'!H133)</f>
        <v/>
      </c>
      <c r="I5130" s="1" t="str">
        <f>IF('Twenty-First'!I133="", "",'Twenty-First'!I133)</f>
        <v/>
      </c>
      <c r="J5130" s="1" t="str">
        <f>IF('Twenty-First'!J133="", "",'Twenty-First'!J133)</f>
        <v/>
      </c>
      <c r="K5130" s="83" t="str">
        <f>IF('Twenty-First'!K133="", "",'Twenty-First'!K133)</f>
        <v/>
      </c>
      <c r="M5130" s="67" t="str">
        <f t="shared" si="243"/>
        <v/>
      </c>
      <c r="N5130" s="76" t="str">
        <f t="shared" si="244"/>
        <v/>
      </c>
      <c r="O5130" s="33">
        <f t="shared" ref="O5130:O5193" si="245">SUM(M5130:N5130)</f>
        <v>0</v>
      </c>
    </row>
    <row r="5131" spans="1:15" x14ac:dyDescent="0.25">
      <c r="A5131" s="64" t="s">
        <v>190</v>
      </c>
      <c r="B5131" s="82" t="str">
        <f>IF('Twenty-First'!B134="", "",'Twenty-First'!B134)</f>
        <v/>
      </c>
      <c r="C5131" s="1" t="str">
        <f>IF('Twenty-First'!C134="", "",'Twenty-First'!C134)</f>
        <v/>
      </c>
      <c r="D5131" s="1" t="str">
        <f>IF('Twenty-First'!D134="", "",'Twenty-First'!D134)</f>
        <v/>
      </c>
      <c r="E5131" s="1" t="str">
        <f>IF('Twenty-First'!E134="", "",'Twenty-First'!E134)</f>
        <v/>
      </c>
      <c r="F5131" s="1" t="str">
        <f>IF('Twenty-First'!F134="", "",'Twenty-First'!F134)</f>
        <v/>
      </c>
      <c r="G5131" s="1" t="str">
        <f>IF('Twenty-First'!G134="", "",'Twenty-First'!G134)</f>
        <v/>
      </c>
      <c r="H5131" s="1" t="str">
        <f>IF('Twenty-First'!H134="", "",'Twenty-First'!H134)</f>
        <v/>
      </c>
      <c r="I5131" s="1" t="str">
        <f>IF('Twenty-First'!I134="", "",'Twenty-First'!I134)</f>
        <v/>
      </c>
      <c r="J5131" s="1" t="str">
        <f>IF('Twenty-First'!J134="", "",'Twenty-First'!J134)</f>
        <v/>
      </c>
      <c r="K5131" s="83" t="str">
        <f>IF('Twenty-First'!K134="", "",'Twenty-First'!K134)</f>
        <v/>
      </c>
      <c r="M5131" s="67" t="str">
        <f t="shared" ref="M5131:M5194" si="246">IF(C5131="PwC",(7-COUNTIF(B5131:H5131,"")),"")</f>
        <v/>
      </c>
      <c r="N5131" s="76" t="str">
        <f t="shared" ref="N5131:N5194" si="247">IF(C5131="Carer",(7-COUNTIF(B5131:H5131,"")),"")</f>
        <v/>
      </c>
      <c r="O5131" s="33">
        <f t="shared" si="245"/>
        <v>0</v>
      </c>
    </row>
    <row r="5132" spans="1:15" x14ac:dyDescent="0.25">
      <c r="A5132" s="64" t="s">
        <v>190</v>
      </c>
      <c r="B5132" s="82" t="str">
        <f>IF('Twenty-First'!B135="", "",'Twenty-First'!B135)</f>
        <v/>
      </c>
      <c r="C5132" s="1" t="str">
        <f>IF('Twenty-First'!C135="", "",'Twenty-First'!C135)</f>
        <v/>
      </c>
      <c r="D5132" s="1" t="str">
        <f>IF('Twenty-First'!D135="", "",'Twenty-First'!D135)</f>
        <v/>
      </c>
      <c r="E5132" s="1" t="str">
        <f>IF('Twenty-First'!E135="", "",'Twenty-First'!E135)</f>
        <v/>
      </c>
      <c r="F5132" s="1" t="str">
        <f>IF('Twenty-First'!F135="", "",'Twenty-First'!F135)</f>
        <v/>
      </c>
      <c r="G5132" s="1" t="str">
        <f>IF('Twenty-First'!G135="", "",'Twenty-First'!G135)</f>
        <v/>
      </c>
      <c r="H5132" s="1" t="str">
        <f>IF('Twenty-First'!H135="", "",'Twenty-First'!H135)</f>
        <v/>
      </c>
      <c r="I5132" s="1" t="str">
        <f>IF('Twenty-First'!I135="", "",'Twenty-First'!I135)</f>
        <v/>
      </c>
      <c r="J5132" s="1" t="str">
        <f>IF('Twenty-First'!J135="", "",'Twenty-First'!J135)</f>
        <v/>
      </c>
      <c r="K5132" s="83" t="str">
        <f>IF('Twenty-First'!K135="", "",'Twenty-First'!K135)</f>
        <v/>
      </c>
      <c r="M5132" s="67" t="str">
        <f t="shared" si="246"/>
        <v/>
      </c>
      <c r="N5132" s="76" t="str">
        <f t="shared" si="247"/>
        <v/>
      </c>
      <c r="O5132" s="33">
        <f t="shared" si="245"/>
        <v>0</v>
      </c>
    </row>
    <row r="5133" spans="1:15" x14ac:dyDescent="0.25">
      <c r="A5133" s="64" t="s">
        <v>190</v>
      </c>
      <c r="B5133" s="82" t="str">
        <f>IF('Twenty-First'!B136="", "",'Twenty-First'!B136)</f>
        <v/>
      </c>
      <c r="C5133" s="1" t="str">
        <f>IF('Twenty-First'!C136="", "",'Twenty-First'!C136)</f>
        <v/>
      </c>
      <c r="D5133" s="1" t="str">
        <f>IF('Twenty-First'!D136="", "",'Twenty-First'!D136)</f>
        <v/>
      </c>
      <c r="E5133" s="1" t="str">
        <f>IF('Twenty-First'!E136="", "",'Twenty-First'!E136)</f>
        <v/>
      </c>
      <c r="F5133" s="1" t="str">
        <f>IF('Twenty-First'!F136="", "",'Twenty-First'!F136)</f>
        <v/>
      </c>
      <c r="G5133" s="1" t="str">
        <f>IF('Twenty-First'!G136="", "",'Twenty-First'!G136)</f>
        <v/>
      </c>
      <c r="H5133" s="1" t="str">
        <f>IF('Twenty-First'!H136="", "",'Twenty-First'!H136)</f>
        <v/>
      </c>
      <c r="I5133" s="1" t="str">
        <f>IF('Twenty-First'!I136="", "",'Twenty-First'!I136)</f>
        <v/>
      </c>
      <c r="J5133" s="1" t="str">
        <f>IF('Twenty-First'!J136="", "",'Twenty-First'!J136)</f>
        <v/>
      </c>
      <c r="K5133" s="83" t="str">
        <f>IF('Twenty-First'!K136="", "",'Twenty-First'!K136)</f>
        <v/>
      </c>
      <c r="M5133" s="67" t="str">
        <f t="shared" si="246"/>
        <v/>
      </c>
      <c r="N5133" s="76" t="str">
        <f t="shared" si="247"/>
        <v/>
      </c>
      <c r="O5133" s="33">
        <f t="shared" si="245"/>
        <v>0</v>
      </c>
    </row>
    <row r="5134" spans="1:15" x14ac:dyDescent="0.25">
      <c r="A5134" s="64" t="s">
        <v>190</v>
      </c>
      <c r="B5134" s="82" t="str">
        <f>IF('Twenty-First'!B137="", "",'Twenty-First'!B137)</f>
        <v/>
      </c>
      <c r="C5134" s="1" t="str">
        <f>IF('Twenty-First'!C137="", "",'Twenty-First'!C137)</f>
        <v/>
      </c>
      <c r="D5134" s="1" t="str">
        <f>IF('Twenty-First'!D137="", "",'Twenty-First'!D137)</f>
        <v/>
      </c>
      <c r="E5134" s="1" t="str">
        <f>IF('Twenty-First'!E137="", "",'Twenty-First'!E137)</f>
        <v/>
      </c>
      <c r="F5134" s="1" t="str">
        <f>IF('Twenty-First'!F137="", "",'Twenty-First'!F137)</f>
        <v/>
      </c>
      <c r="G5134" s="1" t="str">
        <f>IF('Twenty-First'!G137="", "",'Twenty-First'!G137)</f>
        <v/>
      </c>
      <c r="H5134" s="1" t="str">
        <f>IF('Twenty-First'!H137="", "",'Twenty-First'!H137)</f>
        <v/>
      </c>
      <c r="I5134" s="1" t="str">
        <f>IF('Twenty-First'!I137="", "",'Twenty-First'!I137)</f>
        <v/>
      </c>
      <c r="J5134" s="1" t="str">
        <f>IF('Twenty-First'!J137="", "",'Twenty-First'!J137)</f>
        <v/>
      </c>
      <c r="K5134" s="83" t="str">
        <f>IF('Twenty-First'!K137="", "",'Twenty-First'!K137)</f>
        <v/>
      </c>
      <c r="M5134" s="67" t="str">
        <f t="shared" si="246"/>
        <v/>
      </c>
      <c r="N5134" s="76" t="str">
        <f t="shared" si="247"/>
        <v/>
      </c>
      <c r="O5134" s="33">
        <f t="shared" si="245"/>
        <v>0</v>
      </c>
    </row>
    <row r="5135" spans="1:15" x14ac:dyDescent="0.25">
      <c r="A5135" s="64" t="s">
        <v>190</v>
      </c>
      <c r="B5135" s="82" t="str">
        <f>IF('Twenty-First'!B138="", "",'Twenty-First'!B138)</f>
        <v/>
      </c>
      <c r="C5135" s="1" t="str">
        <f>IF('Twenty-First'!C138="", "",'Twenty-First'!C138)</f>
        <v/>
      </c>
      <c r="D5135" s="1" t="str">
        <f>IF('Twenty-First'!D138="", "",'Twenty-First'!D138)</f>
        <v/>
      </c>
      <c r="E5135" s="1" t="str">
        <f>IF('Twenty-First'!E138="", "",'Twenty-First'!E138)</f>
        <v/>
      </c>
      <c r="F5135" s="1" t="str">
        <f>IF('Twenty-First'!F138="", "",'Twenty-First'!F138)</f>
        <v/>
      </c>
      <c r="G5135" s="1" t="str">
        <f>IF('Twenty-First'!G138="", "",'Twenty-First'!G138)</f>
        <v/>
      </c>
      <c r="H5135" s="1" t="str">
        <f>IF('Twenty-First'!H138="", "",'Twenty-First'!H138)</f>
        <v/>
      </c>
      <c r="I5135" s="1" t="str">
        <f>IF('Twenty-First'!I138="", "",'Twenty-First'!I138)</f>
        <v/>
      </c>
      <c r="J5135" s="1" t="str">
        <f>IF('Twenty-First'!J138="", "",'Twenty-First'!J138)</f>
        <v/>
      </c>
      <c r="K5135" s="83" t="str">
        <f>IF('Twenty-First'!K138="", "",'Twenty-First'!K138)</f>
        <v/>
      </c>
      <c r="M5135" s="67" t="str">
        <f t="shared" si="246"/>
        <v/>
      </c>
      <c r="N5135" s="76" t="str">
        <f t="shared" si="247"/>
        <v/>
      </c>
      <c r="O5135" s="33">
        <f t="shared" si="245"/>
        <v>0</v>
      </c>
    </row>
    <row r="5136" spans="1:15" x14ac:dyDescent="0.25">
      <c r="A5136" s="64" t="s">
        <v>190</v>
      </c>
      <c r="B5136" s="82" t="str">
        <f>IF('Twenty-First'!B139="", "",'Twenty-First'!B139)</f>
        <v/>
      </c>
      <c r="C5136" s="1" t="str">
        <f>IF('Twenty-First'!C139="", "",'Twenty-First'!C139)</f>
        <v/>
      </c>
      <c r="D5136" s="1" t="str">
        <f>IF('Twenty-First'!D139="", "",'Twenty-First'!D139)</f>
        <v/>
      </c>
      <c r="E5136" s="1" t="str">
        <f>IF('Twenty-First'!E139="", "",'Twenty-First'!E139)</f>
        <v/>
      </c>
      <c r="F5136" s="1" t="str">
        <f>IF('Twenty-First'!F139="", "",'Twenty-First'!F139)</f>
        <v/>
      </c>
      <c r="G5136" s="1" t="str">
        <f>IF('Twenty-First'!G139="", "",'Twenty-First'!G139)</f>
        <v/>
      </c>
      <c r="H5136" s="1" t="str">
        <f>IF('Twenty-First'!H139="", "",'Twenty-First'!H139)</f>
        <v/>
      </c>
      <c r="I5136" s="1" t="str">
        <f>IF('Twenty-First'!I139="", "",'Twenty-First'!I139)</f>
        <v/>
      </c>
      <c r="J5136" s="1" t="str">
        <f>IF('Twenty-First'!J139="", "",'Twenty-First'!J139)</f>
        <v/>
      </c>
      <c r="K5136" s="83" t="str">
        <f>IF('Twenty-First'!K139="", "",'Twenty-First'!K139)</f>
        <v/>
      </c>
      <c r="M5136" s="67" t="str">
        <f t="shared" si="246"/>
        <v/>
      </c>
      <c r="N5136" s="76" t="str">
        <f t="shared" si="247"/>
        <v/>
      </c>
      <c r="O5136" s="33">
        <f t="shared" si="245"/>
        <v>0</v>
      </c>
    </row>
    <row r="5137" spans="1:15" x14ac:dyDescent="0.25">
      <c r="A5137" s="64" t="s">
        <v>190</v>
      </c>
      <c r="B5137" s="82" t="str">
        <f>IF('Twenty-First'!B140="", "",'Twenty-First'!B140)</f>
        <v/>
      </c>
      <c r="C5137" s="1" t="str">
        <f>IF('Twenty-First'!C140="", "",'Twenty-First'!C140)</f>
        <v/>
      </c>
      <c r="D5137" s="1" t="str">
        <f>IF('Twenty-First'!D140="", "",'Twenty-First'!D140)</f>
        <v/>
      </c>
      <c r="E5137" s="1" t="str">
        <f>IF('Twenty-First'!E140="", "",'Twenty-First'!E140)</f>
        <v/>
      </c>
      <c r="F5137" s="1" t="str">
        <f>IF('Twenty-First'!F140="", "",'Twenty-First'!F140)</f>
        <v/>
      </c>
      <c r="G5137" s="1" t="str">
        <f>IF('Twenty-First'!G140="", "",'Twenty-First'!G140)</f>
        <v/>
      </c>
      <c r="H5137" s="1" t="str">
        <f>IF('Twenty-First'!H140="", "",'Twenty-First'!H140)</f>
        <v/>
      </c>
      <c r="I5137" s="1" t="str">
        <f>IF('Twenty-First'!I140="", "",'Twenty-First'!I140)</f>
        <v/>
      </c>
      <c r="J5137" s="1" t="str">
        <f>IF('Twenty-First'!J140="", "",'Twenty-First'!J140)</f>
        <v/>
      </c>
      <c r="K5137" s="83" t="str">
        <f>IF('Twenty-First'!K140="", "",'Twenty-First'!K140)</f>
        <v/>
      </c>
      <c r="M5137" s="67" t="str">
        <f t="shared" si="246"/>
        <v/>
      </c>
      <c r="N5137" s="76" t="str">
        <f t="shared" si="247"/>
        <v/>
      </c>
      <c r="O5137" s="33">
        <f t="shared" si="245"/>
        <v>0</v>
      </c>
    </row>
    <row r="5138" spans="1:15" x14ac:dyDescent="0.25">
      <c r="A5138" s="64" t="s">
        <v>190</v>
      </c>
      <c r="B5138" s="82" t="str">
        <f>IF('Twenty-First'!B141="", "",'Twenty-First'!B141)</f>
        <v/>
      </c>
      <c r="C5138" s="1" t="str">
        <f>IF('Twenty-First'!C141="", "",'Twenty-First'!C141)</f>
        <v/>
      </c>
      <c r="D5138" s="1" t="str">
        <f>IF('Twenty-First'!D141="", "",'Twenty-First'!D141)</f>
        <v/>
      </c>
      <c r="E5138" s="1" t="str">
        <f>IF('Twenty-First'!E141="", "",'Twenty-First'!E141)</f>
        <v/>
      </c>
      <c r="F5138" s="1" t="str">
        <f>IF('Twenty-First'!F141="", "",'Twenty-First'!F141)</f>
        <v/>
      </c>
      <c r="G5138" s="1" t="str">
        <f>IF('Twenty-First'!G141="", "",'Twenty-First'!G141)</f>
        <v/>
      </c>
      <c r="H5138" s="1" t="str">
        <f>IF('Twenty-First'!H141="", "",'Twenty-First'!H141)</f>
        <v/>
      </c>
      <c r="I5138" s="1" t="str">
        <f>IF('Twenty-First'!I141="", "",'Twenty-First'!I141)</f>
        <v/>
      </c>
      <c r="J5138" s="1" t="str">
        <f>IF('Twenty-First'!J141="", "",'Twenty-First'!J141)</f>
        <v/>
      </c>
      <c r="K5138" s="83" t="str">
        <f>IF('Twenty-First'!K141="", "",'Twenty-First'!K141)</f>
        <v/>
      </c>
      <c r="M5138" s="67" t="str">
        <f t="shared" si="246"/>
        <v/>
      </c>
      <c r="N5138" s="76" t="str">
        <f t="shared" si="247"/>
        <v/>
      </c>
      <c r="O5138" s="33">
        <f t="shared" si="245"/>
        <v>0</v>
      </c>
    </row>
    <row r="5139" spans="1:15" x14ac:dyDescent="0.25">
      <c r="A5139" s="64" t="s">
        <v>190</v>
      </c>
      <c r="B5139" s="82" t="str">
        <f>IF('Twenty-First'!B142="", "",'Twenty-First'!B142)</f>
        <v/>
      </c>
      <c r="C5139" s="1" t="str">
        <f>IF('Twenty-First'!C142="", "",'Twenty-First'!C142)</f>
        <v/>
      </c>
      <c r="D5139" s="1" t="str">
        <f>IF('Twenty-First'!D142="", "",'Twenty-First'!D142)</f>
        <v/>
      </c>
      <c r="E5139" s="1" t="str">
        <f>IF('Twenty-First'!E142="", "",'Twenty-First'!E142)</f>
        <v/>
      </c>
      <c r="F5139" s="1" t="str">
        <f>IF('Twenty-First'!F142="", "",'Twenty-First'!F142)</f>
        <v/>
      </c>
      <c r="G5139" s="1" t="str">
        <f>IF('Twenty-First'!G142="", "",'Twenty-First'!G142)</f>
        <v/>
      </c>
      <c r="H5139" s="1" t="str">
        <f>IF('Twenty-First'!H142="", "",'Twenty-First'!H142)</f>
        <v/>
      </c>
      <c r="I5139" s="1" t="str">
        <f>IF('Twenty-First'!I142="", "",'Twenty-First'!I142)</f>
        <v/>
      </c>
      <c r="J5139" s="1" t="str">
        <f>IF('Twenty-First'!J142="", "",'Twenty-First'!J142)</f>
        <v/>
      </c>
      <c r="K5139" s="83" t="str">
        <f>IF('Twenty-First'!K142="", "",'Twenty-First'!K142)</f>
        <v/>
      </c>
      <c r="M5139" s="67" t="str">
        <f t="shared" si="246"/>
        <v/>
      </c>
      <c r="N5139" s="76" t="str">
        <f t="shared" si="247"/>
        <v/>
      </c>
      <c r="O5139" s="33">
        <f t="shared" si="245"/>
        <v>0</v>
      </c>
    </row>
    <row r="5140" spans="1:15" x14ac:dyDescent="0.25">
      <c r="A5140" s="64" t="s">
        <v>190</v>
      </c>
      <c r="B5140" s="82" t="str">
        <f>IF('Twenty-First'!B143="", "",'Twenty-First'!B143)</f>
        <v/>
      </c>
      <c r="C5140" s="1" t="str">
        <f>IF('Twenty-First'!C143="", "",'Twenty-First'!C143)</f>
        <v/>
      </c>
      <c r="D5140" s="1" t="str">
        <f>IF('Twenty-First'!D143="", "",'Twenty-First'!D143)</f>
        <v/>
      </c>
      <c r="E5140" s="1" t="str">
        <f>IF('Twenty-First'!E143="", "",'Twenty-First'!E143)</f>
        <v/>
      </c>
      <c r="F5140" s="1" t="str">
        <f>IF('Twenty-First'!F143="", "",'Twenty-First'!F143)</f>
        <v/>
      </c>
      <c r="G5140" s="1" t="str">
        <f>IF('Twenty-First'!G143="", "",'Twenty-First'!G143)</f>
        <v/>
      </c>
      <c r="H5140" s="1" t="str">
        <f>IF('Twenty-First'!H143="", "",'Twenty-First'!H143)</f>
        <v/>
      </c>
      <c r="I5140" s="1" t="str">
        <f>IF('Twenty-First'!I143="", "",'Twenty-First'!I143)</f>
        <v/>
      </c>
      <c r="J5140" s="1" t="str">
        <f>IF('Twenty-First'!J143="", "",'Twenty-First'!J143)</f>
        <v/>
      </c>
      <c r="K5140" s="83" t="str">
        <f>IF('Twenty-First'!K143="", "",'Twenty-First'!K143)</f>
        <v/>
      </c>
      <c r="M5140" s="67" t="str">
        <f t="shared" si="246"/>
        <v/>
      </c>
      <c r="N5140" s="76" t="str">
        <f t="shared" si="247"/>
        <v/>
      </c>
      <c r="O5140" s="33">
        <f t="shared" si="245"/>
        <v>0</v>
      </c>
    </row>
    <row r="5141" spans="1:15" x14ac:dyDescent="0.25">
      <c r="A5141" s="64" t="s">
        <v>190</v>
      </c>
      <c r="B5141" s="82" t="str">
        <f>IF('Twenty-First'!B144="", "",'Twenty-First'!B144)</f>
        <v/>
      </c>
      <c r="C5141" s="1" t="str">
        <f>IF('Twenty-First'!C144="", "",'Twenty-First'!C144)</f>
        <v/>
      </c>
      <c r="D5141" s="1" t="str">
        <f>IF('Twenty-First'!D144="", "",'Twenty-First'!D144)</f>
        <v/>
      </c>
      <c r="E5141" s="1" t="str">
        <f>IF('Twenty-First'!E144="", "",'Twenty-First'!E144)</f>
        <v/>
      </c>
      <c r="F5141" s="1" t="str">
        <f>IF('Twenty-First'!F144="", "",'Twenty-First'!F144)</f>
        <v/>
      </c>
      <c r="G5141" s="1" t="str">
        <f>IF('Twenty-First'!G144="", "",'Twenty-First'!G144)</f>
        <v/>
      </c>
      <c r="H5141" s="1" t="str">
        <f>IF('Twenty-First'!H144="", "",'Twenty-First'!H144)</f>
        <v/>
      </c>
      <c r="I5141" s="1" t="str">
        <f>IF('Twenty-First'!I144="", "",'Twenty-First'!I144)</f>
        <v/>
      </c>
      <c r="J5141" s="1" t="str">
        <f>IF('Twenty-First'!J144="", "",'Twenty-First'!J144)</f>
        <v/>
      </c>
      <c r="K5141" s="83" t="str">
        <f>IF('Twenty-First'!K144="", "",'Twenty-First'!K144)</f>
        <v/>
      </c>
      <c r="M5141" s="67" t="str">
        <f t="shared" si="246"/>
        <v/>
      </c>
      <c r="N5141" s="76" t="str">
        <f t="shared" si="247"/>
        <v/>
      </c>
      <c r="O5141" s="33">
        <f t="shared" si="245"/>
        <v>0</v>
      </c>
    </row>
    <row r="5142" spans="1:15" x14ac:dyDescent="0.25">
      <c r="A5142" s="64" t="s">
        <v>190</v>
      </c>
      <c r="B5142" s="82" t="str">
        <f>IF('Twenty-First'!B145="", "",'Twenty-First'!B145)</f>
        <v/>
      </c>
      <c r="C5142" s="1" t="str">
        <f>IF('Twenty-First'!C145="", "",'Twenty-First'!C145)</f>
        <v/>
      </c>
      <c r="D5142" s="1" t="str">
        <f>IF('Twenty-First'!D145="", "",'Twenty-First'!D145)</f>
        <v/>
      </c>
      <c r="E5142" s="1" t="str">
        <f>IF('Twenty-First'!E145="", "",'Twenty-First'!E145)</f>
        <v/>
      </c>
      <c r="F5142" s="1" t="str">
        <f>IF('Twenty-First'!F145="", "",'Twenty-First'!F145)</f>
        <v/>
      </c>
      <c r="G5142" s="1" t="str">
        <f>IF('Twenty-First'!G145="", "",'Twenty-First'!G145)</f>
        <v/>
      </c>
      <c r="H5142" s="1" t="str">
        <f>IF('Twenty-First'!H145="", "",'Twenty-First'!H145)</f>
        <v/>
      </c>
      <c r="I5142" s="1" t="str">
        <f>IF('Twenty-First'!I145="", "",'Twenty-First'!I145)</f>
        <v/>
      </c>
      <c r="J5142" s="1" t="str">
        <f>IF('Twenty-First'!J145="", "",'Twenty-First'!J145)</f>
        <v/>
      </c>
      <c r="K5142" s="83" t="str">
        <f>IF('Twenty-First'!K145="", "",'Twenty-First'!K145)</f>
        <v/>
      </c>
      <c r="M5142" s="67" t="str">
        <f t="shared" si="246"/>
        <v/>
      </c>
      <c r="N5142" s="76" t="str">
        <f t="shared" si="247"/>
        <v/>
      </c>
      <c r="O5142" s="33">
        <f t="shared" si="245"/>
        <v>0</v>
      </c>
    </row>
    <row r="5143" spans="1:15" x14ac:dyDescent="0.25">
      <c r="A5143" s="64" t="s">
        <v>190</v>
      </c>
      <c r="B5143" s="82" t="str">
        <f>IF('Twenty-First'!B146="", "",'Twenty-First'!B146)</f>
        <v/>
      </c>
      <c r="C5143" s="1" t="str">
        <f>IF('Twenty-First'!C146="", "",'Twenty-First'!C146)</f>
        <v/>
      </c>
      <c r="D5143" s="1" t="str">
        <f>IF('Twenty-First'!D146="", "",'Twenty-First'!D146)</f>
        <v/>
      </c>
      <c r="E5143" s="1" t="str">
        <f>IF('Twenty-First'!E146="", "",'Twenty-First'!E146)</f>
        <v/>
      </c>
      <c r="F5143" s="1" t="str">
        <f>IF('Twenty-First'!F146="", "",'Twenty-First'!F146)</f>
        <v/>
      </c>
      <c r="G5143" s="1" t="str">
        <f>IF('Twenty-First'!G146="", "",'Twenty-First'!G146)</f>
        <v/>
      </c>
      <c r="H5143" s="1" t="str">
        <f>IF('Twenty-First'!H146="", "",'Twenty-First'!H146)</f>
        <v/>
      </c>
      <c r="I5143" s="1" t="str">
        <f>IF('Twenty-First'!I146="", "",'Twenty-First'!I146)</f>
        <v/>
      </c>
      <c r="J5143" s="1" t="str">
        <f>IF('Twenty-First'!J146="", "",'Twenty-First'!J146)</f>
        <v/>
      </c>
      <c r="K5143" s="83" t="str">
        <f>IF('Twenty-First'!K146="", "",'Twenty-First'!K146)</f>
        <v/>
      </c>
      <c r="M5143" s="67" t="str">
        <f t="shared" si="246"/>
        <v/>
      </c>
      <c r="N5143" s="76" t="str">
        <f t="shared" si="247"/>
        <v/>
      </c>
      <c r="O5143" s="33">
        <f t="shared" si="245"/>
        <v>0</v>
      </c>
    </row>
    <row r="5144" spans="1:15" x14ac:dyDescent="0.25">
      <c r="A5144" s="64" t="s">
        <v>190</v>
      </c>
      <c r="B5144" s="82" t="str">
        <f>IF('Twenty-First'!B147="", "",'Twenty-First'!B147)</f>
        <v/>
      </c>
      <c r="C5144" s="1" t="str">
        <f>IF('Twenty-First'!C147="", "",'Twenty-First'!C147)</f>
        <v/>
      </c>
      <c r="D5144" s="1" t="str">
        <f>IF('Twenty-First'!D147="", "",'Twenty-First'!D147)</f>
        <v/>
      </c>
      <c r="E5144" s="1" t="str">
        <f>IF('Twenty-First'!E147="", "",'Twenty-First'!E147)</f>
        <v/>
      </c>
      <c r="F5144" s="1" t="str">
        <f>IF('Twenty-First'!F147="", "",'Twenty-First'!F147)</f>
        <v/>
      </c>
      <c r="G5144" s="1" t="str">
        <f>IF('Twenty-First'!G147="", "",'Twenty-First'!G147)</f>
        <v/>
      </c>
      <c r="H5144" s="1" t="str">
        <f>IF('Twenty-First'!H147="", "",'Twenty-First'!H147)</f>
        <v/>
      </c>
      <c r="I5144" s="1" t="str">
        <f>IF('Twenty-First'!I147="", "",'Twenty-First'!I147)</f>
        <v/>
      </c>
      <c r="J5144" s="1" t="str">
        <f>IF('Twenty-First'!J147="", "",'Twenty-First'!J147)</f>
        <v/>
      </c>
      <c r="K5144" s="83" t="str">
        <f>IF('Twenty-First'!K147="", "",'Twenty-First'!K147)</f>
        <v/>
      </c>
      <c r="M5144" s="67" t="str">
        <f t="shared" si="246"/>
        <v/>
      </c>
      <c r="N5144" s="76" t="str">
        <f t="shared" si="247"/>
        <v/>
      </c>
      <c r="O5144" s="33">
        <f t="shared" si="245"/>
        <v>0</v>
      </c>
    </row>
    <row r="5145" spans="1:15" x14ac:dyDescent="0.25">
      <c r="A5145" s="64" t="s">
        <v>190</v>
      </c>
      <c r="B5145" s="82" t="str">
        <f>IF('Twenty-First'!B148="", "",'Twenty-First'!B148)</f>
        <v/>
      </c>
      <c r="C5145" s="1" t="str">
        <f>IF('Twenty-First'!C148="", "",'Twenty-First'!C148)</f>
        <v/>
      </c>
      <c r="D5145" s="1" t="str">
        <f>IF('Twenty-First'!D148="", "",'Twenty-First'!D148)</f>
        <v/>
      </c>
      <c r="E5145" s="1" t="str">
        <f>IF('Twenty-First'!E148="", "",'Twenty-First'!E148)</f>
        <v/>
      </c>
      <c r="F5145" s="1" t="str">
        <f>IF('Twenty-First'!F148="", "",'Twenty-First'!F148)</f>
        <v/>
      </c>
      <c r="G5145" s="1" t="str">
        <f>IF('Twenty-First'!G148="", "",'Twenty-First'!G148)</f>
        <v/>
      </c>
      <c r="H5145" s="1" t="str">
        <f>IF('Twenty-First'!H148="", "",'Twenty-First'!H148)</f>
        <v/>
      </c>
      <c r="I5145" s="1" t="str">
        <f>IF('Twenty-First'!I148="", "",'Twenty-First'!I148)</f>
        <v/>
      </c>
      <c r="J5145" s="1" t="str">
        <f>IF('Twenty-First'!J148="", "",'Twenty-First'!J148)</f>
        <v/>
      </c>
      <c r="K5145" s="83" t="str">
        <f>IF('Twenty-First'!K148="", "",'Twenty-First'!K148)</f>
        <v/>
      </c>
      <c r="M5145" s="67" t="str">
        <f t="shared" si="246"/>
        <v/>
      </c>
      <c r="N5145" s="76" t="str">
        <f t="shared" si="247"/>
        <v/>
      </c>
      <c r="O5145" s="33">
        <f t="shared" si="245"/>
        <v>0</v>
      </c>
    </row>
    <row r="5146" spans="1:15" x14ac:dyDescent="0.25">
      <c r="A5146" s="64" t="s">
        <v>190</v>
      </c>
      <c r="B5146" s="82" t="str">
        <f>IF('Twenty-First'!B149="", "",'Twenty-First'!B149)</f>
        <v/>
      </c>
      <c r="C5146" s="1" t="str">
        <f>IF('Twenty-First'!C149="", "",'Twenty-First'!C149)</f>
        <v/>
      </c>
      <c r="D5146" s="1" t="str">
        <f>IF('Twenty-First'!D149="", "",'Twenty-First'!D149)</f>
        <v/>
      </c>
      <c r="E5146" s="1" t="str">
        <f>IF('Twenty-First'!E149="", "",'Twenty-First'!E149)</f>
        <v/>
      </c>
      <c r="F5146" s="1" t="str">
        <f>IF('Twenty-First'!F149="", "",'Twenty-First'!F149)</f>
        <v/>
      </c>
      <c r="G5146" s="1" t="str">
        <f>IF('Twenty-First'!G149="", "",'Twenty-First'!G149)</f>
        <v/>
      </c>
      <c r="H5146" s="1" t="str">
        <f>IF('Twenty-First'!H149="", "",'Twenty-First'!H149)</f>
        <v/>
      </c>
      <c r="I5146" s="1" t="str">
        <f>IF('Twenty-First'!I149="", "",'Twenty-First'!I149)</f>
        <v/>
      </c>
      <c r="J5146" s="1" t="str">
        <f>IF('Twenty-First'!J149="", "",'Twenty-First'!J149)</f>
        <v/>
      </c>
      <c r="K5146" s="83" t="str">
        <f>IF('Twenty-First'!K149="", "",'Twenty-First'!K149)</f>
        <v/>
      </c>
      <c r="M5146" s="67" t="str">
        <f t="shared" si="246"/>
        <v/>
      </c>
      <c r="N5146" s="76" t="str">
        <f t="shared" si="247"/>
        <v/>
      </c>
      <c r="O5146" s="33">
        <f t="shared" si="245"/>
        <v>0</v>
      </c>
    </row>
    <row r="5147" spans="1:15" x14ac:dyDescent="0.25">
      <c r="A5147" s="64" t="s">
        <v>190</v>
      </c>
      <c r="B5147" s="82" t="str">
        <f>IF('Twenty-First'!B150="", "",'Twenty-First'!B150)</f>
        <v/>
      </c>
      <c r="C5147" s="1" t="str">
        <f>IF('Twenty-First'!C150="", "",'Twenty-First'!C150)</f>
        <v/>
      </c>
      <c r="D5147" s="1" t="str">
        <f>IF('Twenty-First'!D150="", "",'Twenty-First'!D150)</f>
        <v/>
      </c>
      <c r="E5147" s="1" t="str">
        <f>IF('Twenty-First'!E150="", "",'Twenty-First'!E150)</f>
        <v/>
      </c>
      <c r="F5147" s="1" t="str">
        <f>IF('Twenty-First'!F150="", "",'Twenty-First'!F150)</f>
        <v/>
      </c>
      <c r="G5147" s="1" t="str">
        <f>IF('Twenty-First'!G150="", "",'Twenty-First'!G150)</f>
        <v/>
      </c>
      <c r="H5147" s="1" t="str">
        <f>IF('Twenty-First'!H150="", "",'Twenty-First'!H150)</f>
        <v/>
      </c>
      <c r="I5147" s="1" t="str">
        <f>IF('Twenty-First'!I150="", "",'Twenty-First'!I150)</f>
        <v/>
      </c>
      <c r="J5147" s="1" t="str">
        <f>IF('Twenty-First'!J150="", "",'Twenty-First'!J150)</f>
        <v/>
      </c>
      <c r="K5147" s="83" t="str">
        <f>IF('Twenty-First'!K150="", "",'Twenty-First'!K150)</f>
        <v/>
      </c>
      <c r="M5147" s="67" t="str">
        <f t="shared" si="246"/>
        <v/>
      </c>
      <c r="N5147" s="76" t="str">
        <f t="shared" si="247"/>
        <v/>
      </c>
      <c r="O5147" s="33">
        <f t="shared" si="245"/>
        <v>0</v>
      </c>
    </row>
    <row r="5148" spans="1:15" x14ac:dyDescent="0.25">
      <c r="A5148" s="64" t="s">
        <v>190</v>
      </c>
      <c r="B5148" s="82" t="str">
        <f>IF('Twenty-First'!B151="", "",'Twenty-First'!B151)</f>
        <v/>
      </c>
      <c r="C5148" s="1" t="str">
        <f>IF('Twenty-First'!C151="", "",'Twenty-First'!C151)</f>
        <v/>
      </c>
      <c r="D5148" s="1" t="str">
        <f>IF('Twenty-First'!D151="", "",'Twenty-First'!D151)</f>
        <v/>
      </c>
      <c r="E5148" s="1" t="str">
        <f>IF('Twenty-First'!E151="", "",'Twenty-First'!E151)</f>
        <v/>
      </c>
      <c r="F5148" s="1" t="str">
        <f>IF('Twenty-First'!F151="", "",'Twenty-First'!F151)</f>
        <v/>
      </c>
      <c r="G5148" s="1" t="str">
        <f>IF('Twenty-First'!G151="", "",'Twenty-First'!G151)</f>
        <v/>
      </c>
      <c r="H5148" s="1" t="str">
        <f>IF('Twenty-First'!H151="", "",'Twenty-First'!H151)</f>
        <v/>
      </c>
      <c r="I5148" s="1" t="str">
        <f>IF('Twenty-First'!I151="", "",'Twenty-First'!I151)</f>
        <v/>
      </c>
      <c r="J5148" s="1" t="str">
        <f>IF('Twenty-First'!J151="", "",'Twenty-First'!J151)</f>
        <v/>
      </c>
      <c r="K5148" s="83" t="str">
        <f>IF('Twenty-First'!K151="", "",'Twenty-First'!K151)</f>
        <v/>
      </c>
      <c r="M5148" s="67" t="str">
        <f t="shared" si="246"/>
        <v/>
      </c>
      <c r="N5148" s="76" t="str">
        <f t="shared" si="247"/>
        <v/>
      </c>
      <c r="O5148" s="33">
        <f t="shared" si="245"/>
        <v>0</v>
      </c>
    </row>
    <row r="5149" spans="1:15" x14ac:dyDescent="0.25">
      <c r="A5149" s="64" t="s">
        <v>190</v>
      </c>
      <c r="B5149" s="82" t="str">
        <f>IF('Twenty-First'!B152="", "",'Twenty-First'!B152)</f>
        <v/>
      </c>
      <c r="C5149" s="1" t="str">
        <f>IF('Twenty-First'!C152="", "",'Twenty-First'!C152)</f>
        <v/>
      </c>
      <c r="D5149" s="1" t="str">
        <f>IF('Twenty-First'!D152="", "",'Twenty-First'!D152)</f>
        <v/>
      </c>
      <c r="E5149" s="1" t="str">
        <f>IF('Twenty-First'!E152="", "",'Twenty-First'!E152)</f>
        <v/>
      </c>
      <c r="F5149" s="1" t="str">
        <f>IF('Twenty-First'!F152="", "",'Twenty-First'!F152)</f>
        <v/>
      </c>
      <c r="G5149" s="1" t="str">
        <f>IF('Twenty-First'!G152="", "",'Twenty-First'!G152)</f>
        <v/>
      </c>
      <c r="H5149" s="1" t="str">
        <f>IF('Twenty-First'!H152="", "",'Twenty-First'!H152)</f>
        <v/>
      </c>
      <c r="I5149" s="1" t="str">
        <f>IF('Twenty-First'!I152="", "",'Twenty-First'!I152)</f>
        <v/>
      </c>
      <c r="J5149" s="1" t="str">
        <f>IF('Twenty-First'!J152="", "",'Twenty-First'!J152)</f>
        <v/>
      </c>
      <c r="K5149" s="83" t="str">
        <f>IF('Twenty-First'!K152="", "",'Twenty-First'!K152)</f>
        <v/>
      </c>
      <c r="M5149" s="67" t="str">
        <f t="shared" si="246"/>
        <v/>
      </c>
      <c r="N5149" s="76" t="str">
        <f t="shared" si="247"/>
        <v/>
      </c>
      <c r="O5149" s="33">
        <f t="shared" si="245"/>
        <v>0</v>
      </c>
    </row>
    <row r="5150" spans="1:15" x14ac:dyDescent="0.25">
      <c r="A5150" s="64" t="s">
        <v>190</v>
      </c>
      <c r="B5150" s="82" t="str">
        <f>IF('Twenty-First'!B153="", "",'Twenty-First'!B153)</f>
        <v/>
      </c>
      <c r="C5150" s="1" t="str">
        <f>IF('Twenty-First'!C153="", "",'Twenty-First'!C153)</f>
        <v/>
      </c>
      <c r="D5150" s="1" t="str">
        <f>IF('Twenty-First'!D153="", "",'Twenty-First'!D153)</f>
        <v/>
      </c>
      <c r="E5150" s="1" t="str">
        <f>IF('Twenty-First'!E153="", "",'Twenty-First'!E153)</f>
        <v/>
      </c>
      <c r="F5150" s="1" t="str">
        <f>IF('Twenty-First'!F153="", "",'Twenty-First'!F153)</f>
        <v/>
      </c>
      <c r="G5150" s="1" t="str">
        <f>IF('Twenty-First'!G153="", "",'Twenty-First'!G153)</f>
        <v/>
      </c>
      <c r="H5150" s="1" t="str">
        <f>IF('Twenty-First'!H153="", "",'Twenty-First'!H153)</f>
        <v/>
      </c>
      <c r="I5150" s="1" t="str">
        <f>IF('Twenty-First'!I153="", "",'Twenty-First'!I153)</f>
        <v/>
      </c>
      <c r="J5150" s="1" t="str">
        <f>IF('Twenty-First'!J153="", "",'Twenty-First'!J153)</f>
        <v/>
      </c>
      <c r="K5150" s="83" t="str">
        <f>IF('Twenty-First'!K153="", "",'Twenty-First'!K153)</f>
        <v/>
      </c>
      <c r="M5150" s="67" t="str">
        <f t="shared" si="246"/>
        <v/>
      </c>
      <c r="N5150" s="76" t="str">
        <f t="shared" si="247"/>
        <v/>
      </c>
      <c r="O5150" s="33">
        <f t="shared" si="245"/>
        <v>0</v>
      </c>
    </row>
    <row r="5151" spans="1:15" x14ac:dyDescent="0.25">
      <c r="A5151" s="64" t="s">
        <v>190</v>
      </c>
      <c r="B5151" s="82" t="str">
        <f>IF('Twenty-First'!B154="", "",'Twenty-First'!B154)</f>
        <v/>
      </c>
      <c r="C5151" s="1" t="str">
        <f>IF('Twenty-First'!C154="", "",'Twenty-First'!C154)</f>
        <v/>
      </c>
      <c r="D5151" s="1" t="str">
        <f>IF('Twenty-First'!D154="", "",'Twenty-First'!D154)</f>
        <v/>
      </c>
      <c r="E5151" s="1" t="str">
        <f>IF('Twenty-First'!E154="", "",'Twenty-First'!E154)</f>
        <v/>
      </c>
      <c r="F5151" s="1" t="str">
        <f>IF('Twenty-First'!F154="", "",'Twenty-First'!F154)</f>
        <v/>
      </c>
      <c r="G5151" s="1" t="str">
        <f>IF('Twenty-First'!G154="", "",'Twenty-First'!G154)</f>
        <v/>
      </c>
      <c r="H5151" s="1" t="str">
        <f>IF('Twenty-First'!H154="", "",'Twenty-First'!H154)</f>
        <v/>
      </c>
      <c r="I5151" s="1" t="str">
        <f>IF('Twenty-First'!I154="", "",'Twenty-First'!I154)</f>
        <v/>
      </c>
      <c r="J5151" s="1" t="str">
        <f>IF('Twenty-First'!J154="", "",'Twenty-First'!J154)</f>
        <v/>
      </c>
      <c r="K5151" s="83" t="str">
        <f>IF('Twenty-First'!K154="", "",'Twenty-First'!K154)</f>
        <v/>
      </c>
      <c r="M5151" s="67" t="str">
        <f t="shared" si="246"/>
        <v/>
      </c>
      <c r="N5151" s="76" t="str">
        <f t="shared" si="247"/>
        <v/>
      </c>
      <c r="O5151" s="33">
        <f t="shared" si="245"/>
        <v>0</v>
      </c>
    </row>
    <row r="5152" spans="1:15" x14ac:dyDescent="0.25">
      <c r="A5152" s="64" t="s">
        <v>190</v>
      </c>
      <c r="B5152" s="82" t="str">
        <f>IF('Twenty-First'!B155="", "",'Twenty-First'!B155)</f>
        <v/>
      </c>
      <c r="C5152" s="1" t="str">
        <f>IF('Twenty-First'!C155="", "",'Twenty-First'!C155)</f>
        <v/>
      </c>
      <c r="D5152" s="1" t="str">
        <f>IF('Twenty-First'!D155="", "",'Twenty-First'!D155)</f>
        <v/>
      </c>
      <c r="E5152" s="1" t="str">
        <f>IF('Twenty-First'!E155="", "",'Twenty-First'!E155)</f>
        <v/>
      </c>
      <c r="F5152" s="1" t="str">
        <f>IF('Twenty-First'!F155="", "",'Twenty-First'!F155)</f>
        <v/>
      </c>
      <c r="G5152" s="1" t="str">
        <f>IF('Twenty-First'!G155="", "",'Twenty-First'!G155)</f>
        <v/>
      </c>
      <c r="H5152" s="1" t="str">
        <f>IF('Twenty-First'!H155="", "",'Twenty-First'!H155)</f>
        <v/>
      </c>
      <c r="I5152" s="1" t="str">
        <f>IF('Twenty-First'!I155="", "",'Twenty-First'!I155)</f>
        <v/>
      </c>
      <c r="J5152" s="1" t="str">
        <f>IF('Twenty-First'!J155="", "",'Twenty-First'!J155)</f>
        <v/>
      </c>
      <c r="K5152" s="83" t="str">
        <f>IF('Twenty-First'!K155="", "",'Twenty-First'!K155)</f>
        <v/>
      </c>
      <c r="M5152" s="67" t="str">
        <f t="shared" si="246"/>
        <v/>
      </c>
      <c r="N5152" s="76" t="str">
        <f t="shared" si="247"/>
        <v/>
      </c>
      <c r="O5152" s="33">
        <f t="shared" si="245"/>
        <v>0</v>
      </c>
    </row>
    <row r="5153" spans="1:15" x14ac:dyDescent="0.25">
      <c r="A5153" s="64" t="s">
        <v>190</v>
      </c>
      <c r="B5153" s="82" t="str">
        <f>IF('Twenty-First'!B156="", "",'Twenty-First'!B156)</f>
        <v/>
      </c>
      <c r="C5153" s="1" t="str">
        <f>IF('Twenty-First'!C156="", "",'Twenty-First'!C156)</f>
        <v/>
      </c>
      <c r="D5153" s="1" t="str">
        <f>IF('Twenty-First'!D156="", "",'Twenty-First'!D156)</f>
        <v/>
      </c>
      <c r="E5153" s="1" t="str">
        <f>IF('Twenty-First'!E156="", "",'Twenty-First'!E156)</f>
        <v/>
      </c>
      <c r="F5153" s="1" t="str">
        <f>IF('Twenty-First'!F156="", "",'Twenty-First'!F156)</f>
        <v/>
      </c>
      <c r="G5153" s="1" t="str">
        <f>IF('Twenty-First'!G156="", "",'Twenty-First'!G156)</f>
        <v/>
      </c>
      <c r="H5153" s="1" t="str">
        <f>IF('Twenty-First'!H156="", "",'Twenty-First'!H156)</f>
        <v/>
      </c>
      <c r="I5153" s="1" t="str">
        <f>IF('Twenty-First'!I156="", "",'Twenty-First'!I156)</f>
        <v/>
      </c>
      <c r="J5153" s="1" t="str">
        <f>IF('Twenty-First'!J156="", "",'Twenty-First'!J156)</f>
        <v/>
      </c>
      <c r="K5153" s="83" t="str">
        <f>IF('Twenty-First'!K156="", "",'Twenty-First'!K156)</f>
        <v/>
      </c>
      <c r="M5153" s="67" t="str">
        <f t="shared" si="246"/>
        <v/>
      </c>
      <c r="N5153" s="76" t="str">
        <f t="shared" si="247"/>
        <v/>
      </c>
      <c r="O5153" s="33">
        <f t="shared" si="245"/>
        <v>0</v>
      </c>
    </row>
    <row r="5154" spans="1:15" x14ac:dyDescent="0.25">
      <c r="A5154" s="64" t="s">
        <v>190</v>
      </c>
      <c r="B5154" s="82" t="str">
        <f>IF('Twenty-First'!B157="", "",'Twenty-First'!B157)</f>
        <v/>
      </c>
      <c r="C5154" s="1" t="str">
        <f>IF('Twenty-First'!C157="", "",'Twenty-First'!C157)</f>
        <v/>
      </c>
      <c r="D5154" s="1" t="str">
        <f>IF('Twenty-First'!D157="", "",'Twenty-First'!D157)</f>
        <v/>
      </c>
      <c r="E5154" s="1" t="str">
        <f>IF('Twenty-First'!E157="", "",'Twenty-First'!E157)</f>
        <v/>
      </c>
      <c r="F5154" s="1" t="str">
        <f>IF('Twenty-First'!F157="", "",'Twenty-First'!F157)</f>
        <v/>
      </c>
      <c r="G5154" s="1" t="str">
        <f>IF('Twenty-First'!G157="", "",'Twenty-First'!G157)</f>
        <v/>
      </c>
      <c r="H5154" s="1" t="str">
        <f>IF('Twenty-First'!H157="", "",'Twenty-First'!H157)</f>
        <v/>
      </c>
      <c r="I5154" s="1" t="str">
        <f>IF('Twenty-First'!I157="", "",'Twenty-First'!I157)</f>
        <v/>
      </c>
      <c r="J5154" s="1" t="str">
        <f>IF('Twenty-First'!J157="", "",'Twenty-First'!J157)</f>
        <v/>
      </c>
      <c r="K5154" s="83" t="str">
        <f>IF('Twenty-First'!K157="", "",'Twenty-First'!K157)</f>
        <v/>
      </c>
      <c r="M5154" s="67" t="str">
        <f t="shared" si="246"/>
        <v/>
      </c>
      <c r="N5154" s="76" t="str">
        <f t="shared" si="247"/>
        <v/>
      </c>
      <c r="O5154" s="33">
        <f t="shared" si="245"/>
        <v>0</v>
      </c>
    </row>
    <row r="5155" spans="1:15" x14ac:dyDescent="0.25">
      <c r="A5155" s="64" t="s">
        <v>190</v>
      </c>
      <c r="B5155" s="82" t="str">
        <f>IF('Twenty-First'!B158="", "",'Twenty-First'!B158)</f>
        <v/>
      </c>
      <c r="C5155" s="1" t="str">
        <f>IF('Twenty-First'!C158="", "",'Twenty-First'!C158)</f>
        <v/>
      </c>
      <c r="D5155" s="1" t="str">
        <f>IF('Twenty-First'!D158="", "",'Twenty-First'!D158)</f>
        <v/>
      </c>
      <c r="E5155" s="1" t="str">
        <f>IF('Twenty-First'!E158="", "",'Twenty-First'!E158)</f>
        <v/>
      </c>
      <c r="F5155" s="1" t="str">
        <f>IF('Twenty-First'!F158="", "",'Twenty-First'!F158)</f>
        <v/>
      </c>
      <c r="G5155" s="1" t="str">
        <f>IF('Twenty-First'!G158="", "",'Twenty-First'!G158)</f>
        <v/>
      </c>
      <c r="H5155" s="1" t="str">
        <f>IF('Twenty-First'!H158="", "",'Twenty-First'!H158)</f>
        <v/>
      </c>
      <c r="I5155" s="1" t="str">
        <f>IF('Twenty-First'!I158="", "",'Twenty-First'!I158)</f>
        <v/>
      </c>
      <c r="J5155" s="1" t="str">
        <f>IF('Twenty-First'!J158="", "",'Twenty-First'!J158)</f>
        <v/>
      </c>
      <c r="K5155" s="83" t="str">
        <f>IF('Twenty-First'!K158="", "",'Twenty-First'!K158)</f>
        <v/>
      </c>
      <c r="M5155" s="67" t="str">
        <f t="shared" si="246"/>
        <v/>
      </c>
      <c r="N5155" s="76" t="str">
        <f t="shared" si="247"/>
        <v/>
      </c>
      <c r="O5155" s="33">
        <f t="shared" si="245"/>
        <v>0</v>
      </c>
    </row>
    <row r="5156" spans="1:15" x14ac:dyDescent="0.25">
      <c r="A5156" s="64" t="s">
        <v>190</v>
      </c>
      <c r="B5156" s="82" t="str">
        <f>IF('Twenty-First'!B159="", "",'Twenty-First'!B159)</f>
        <v/>
      </c>
      <c r="C5156" s="1" t="str">
        <f>IF('Twenty-First'!C159="", "",'Twenty-First'!C159)</f>
        <v/>
      </c>
      <c r="D5156" s="1" t="str">
        <f>IF('Twenty-First'!D159="", "",'Twenty-First'!D159)</f>
        <v/>
      </c>
      <c r="E5156" s="1" t="str">
        <f>IF('Twenty-First'!E159="", "",'Twenty-First'!E159)</f>
        <v/>
      </c>
      <c r="F5156" s="1" t="str">
        <f>IF('Twenty-First'!F159="", "",'Twenty-First'!F159)</f>
        <v/>
      </c>
      <c r="G5156" s="1" t="str">
        <f>IF('Twenty-First'!G159="", "",'Twenty-First'!G159)</f>
        <v/>
      </c>
      <c r="H5156" s="1" t="str">
        <f>IF('Twenty-First'!H159="", "",'Twenty-First'!H159)</f>
        <v/>
      </c>
      <c r="I5156" s="1" t="str">
        <f>IF('Twenty-First'!I159="", "",'Twenty-First'!I159)</f>
        <v/>
      </c>
      <c r="J5156" s="1" t="str">
        <f>IF('Twenty-First'!J159="", "",'Twenty-First'!J159)</f>
        <v/>
      </c>
      <c r="K5156" s="83" t="str">
        <f>IF('Twenty-First'!K159="", "",'Twenty-First'!K159)</f>
        <v/>
      </c>
      <c r="M5156" s="67" t="str">
        <f t="shared" si="246"/>
        <v/>
      </c>
      <c r="N5156" s="76" t="str">
        <f t="shared" si="247"/>
        <v/>
      </c>
      <c r="O5156" s="33">
        <f t="shared" si="245"/>
        <v>0</v>
      </c>
    </row>
    <row r="5157" spans="1:15" x14ac:dyDescent="0.25">
      <c r="A5157" s="64" t="s">
        <v>190</v>
      </c>
      <c r="B5157" s="82" t="str">
        <f>IF('Twenty-First'!B160="", "",'Twenty-First'!B160)</f>
        <v/>
      </c>
      <c r="C5157" s="1" t="str">
        <f>IF('Twenty-First'!C160="", "",'Twenty-First'!C160)</f>
        <v/>
      </c>
      <c r="D5157" s="1" t="str">
        <f>IF('Twenty-First'!D160="", "",'Twenty-First'!D160)</f>
        <v/>
      </c>
      <c r="E5157" s="1" t="str">
        <f>IF('Twenty-First'!E160="", "",'Twenty-First'!E160)</f>
        <v/>
      </c>
      <c r="F5157" s="1" t="str">
        <f>IF('Twenty-First'!F160="", "",'Twenty-First'!F160)</f>
        <v/>
      </c>
      <c r="G5157" s="1" t="str">
        <f>IF('Twenty-First'!G160="", "",'Twenty-First'!G160)</f>
        <v/>
      </c>
      <c r="H5157" s="1" t="str">
        <f>IF('Twenty-First'!H160="", "",'Twenty-First'!H160)</f>
        <v/>
      </c>
      <c r="I5157" s="1" t="str">
        <f>IF('Twenty-First'!I160="", "",'Twenty-First'!I160)</f>
        <v/>
      </c>
      <c r="J5157" s="1" t="str">
        <f>IF('Twenty-First'!J160="", "",'Twenty-First'!J160)</f>
        <v/>
      </c>
      <c r="K5157" s="83" t="str">
        <f>IF('Twenty-First'!K160="", "",'Twenty-First'!K160)</f>
        <v/>
      </c>
      <c r="M5157" s="67" t="str">
        <f t="shared" si="246"/>
        <v/>
      </c>
      <c r="N5157" s="76" t="str">
        <f t="shared" si="247"/>
        <v/>
      </c>
      <c r="O5157" s="33">
        <f t="shared" si="245"/>
        <v>0</v>
      </c>
    </row>
    <row r="5158" spans="1:15" x14ac:dyDescent="0.25">
      <c r="A5158" s="64" t="s">
        <v>190</v>
      </c>
      <c r="B5158" s="82" t="str">
        <f>IF('Twenty-First'!B161="", "",'Twenty-First'!B161)</f>
        <v/>
      </c>
      <c r="C5158" s="1" t="str">
        <f>IF('Twenty-First'!C161="", "",'Twenty-First'!C161)</f>
        <v/>
      </c>
      <c r="D5158" s="1" t="str">
        <f>IF('Twenty-First'!D161="", "",'Twenty-First'!D161)</f>
        <v/>
      </c>
      <c r="E5158" s="1" t="str">
        <f>IF('Twenty-First'!E161="", "",'Twenty-First'!E161)</f>
        <v/>
      </c>
      <c r="F5158" s="1" t="str">
        <f>IF('Twenty-First'!F161="", "",'Twenty-First'!F161)</f>
        <v/>
      </c>
      <c r="G5158" s="1" t="str">
        <f>IF('Twenty-First'!G161="", "",'Twenty-First'!G161)</f>
        <v/>
      </c>
      <c r="H5158" s="1" t="str">
        <f>IF('Twenty-First'!H161="", "",'Twenty-First'!H161)</f>
        <v/>
      </c>
      <c r="I5158" s="1" t="str">
        <f>IF('Twenty-First'!I161="", "",'Twenty-First'!I161)</f>
        <v/>
      </c>
      <c r="J5158" s="1" t="str">
        <f>IF('Twenty-First'!J161="", "",'Twenty-First'!J161)</f>
        <v/>
      </c>
      <c r="K5158" s="83" t="str">
        <f>IF('Twenty-First'!K161="", "",'Twenty-First'!K161)</f>
        <v/>
      </c>
      <c r="M5158" s="67" t="str">
        <f t="shared" si="246"/>
        <v/>
      </c>
      <c r="N5158" s="76" t="str">
        <f t="shared" si="247"/>
        <v/>
      </c>
      <c r="O5158" s="33">
        <f t="shared" si="245"/>
        <v>0</v>
      </c>
    </row>
    <row r="5159" spans="1:15" x14ac:dyDescent="0.25">
      <c r="A5159" s="64" t="s">
        <v>190</v>
      </c>
      <c r="B5159" s="82" t="str">
        <f>IF('Twenty-First'!B162="", "",'Twenty-First'!B162)</f>
        <v/>
      </c>
      <c r="C5159" s="1" t="str">
        <f>IF('Twenty-First'!C162="", "",'Twenty-First'!C162)</f>
        <v/>
      </c>
      <c r="D5159" s="1" t="str">
        <f>IF('Twenty-First'!D162="", "",'Twenty-First'!D162)</f>
        <v/>
      </c>
      <c r="E5159" s="1" t="str">
        <f>IF('Twenty-First'!E162="", "",'Twenty-First'!E162)</f>
        <v/>
      </c>
      <c r="F5159" s="1" t="str">
        <f>IF('Twenty-First'!F162="", "",'Twenty-First'!F162)</f>
        <v/>
      </c>
      <c r="G5159" s="1" t="str">
        <f>IF('Twenty-First'!G162="", "",'Twenty-First'!G162)</f>
        <v/>
      </c>
      <c r="H5159" s="1" t="str">
        <f>IF('Twenty-First'!H162="", "",'Twenty-First'!H162)</f>
        <v/>
      </c>
      <c r="I5159" s="1" t="str">
        <f>IF('Twenty-First'!I162="", "",'Twenty-First'!I162)</f>
        <v/>
      </c>
      <c r="J5159" s="1" t="str">
        <f>IF('Twenty-First'!J162="", "",'Twenty-First'!J162)</f>
        <v/>
      </c>
      <c r="K5159" s="83" t="str">
        <f>IF('Twenty-First'!K162="", "",'Twenty-First'!K162)</f>
        <v/>
      </c>
      <c r="M5159" s="67" t="str">
        <f t="shared" si="246"/>
        <v/>
      </c>
      <c r="N5159" s="76" t="str">
        <f t="shared" si="247"/>
        <v/>
      </c>
      <c r="O5159" s="33">
        <f t="shared" si="245"/>
        <v>0</v>
      </c>
    </row>
    <row r="5160" spans="1:15" x14ac:dyDescent="0.25">
      <c r="A5160" s="64" t="s">
        <v>190</v>
      </c>
      <c r="B5160" s="82" t="str">
        <f>IF('Twenty-First'!B163="", "",'Twenty-First'!B163)</f>
        <v/>
      </c>
      <c r="C5160" s="1" t="str">
        <f>IF('Twenty-First'!C163="", "",'Twenty-First'!C163)</f>
        <v/>
      </c>
      <c r="D5160" s="1" t="str">
        <f>IF('Twenty-First'!D163="", "",'Twenty-First'!D163)</f>
        <v/>
      </c>
      <c r="E5160" s="1" t="str">
        <f>IF('Twenty-First'!E163="", "",'Twenty-First'!E163)</f>
        <v/>
      </c>
      <c r="F5160" s="1" t="str">
        <f>IF('Twenty-First'!F163="", "",'Twenty-First'!F163)</f>
        <v/>
      </c>
      <c r="G5160" s="1" t="str">
        <f>IF('Twenty-First'!G163="", "",'Twenty-First'!G163)</f>
        <v/>
      </c>
      <c r="H5160" s="1" t="str">
        <f>IF('Twenty-First'!H163="", "",'Twenty-First'!H163)</f>
        <v/>
      </c>
      <c r="I5160" s="1" t="str">
        <f>IF('Twenty-First'!I163="", "",'Twenty-First'!I163)</f>
        <v/>
      </c>
      <c r="J5160" s="1" t="str">
        <f>IF('Twenty-First'!J163="", "",'Twenty-First'!J163)</f>
        <v/>
      </c>
      <c r="K5160" s="83" t="str">
        <f>IF('Twenty-First'!K163="", "",'Twenty-First'!K163)</f>
        <v/>
      </c>
      <c r="M5160" s="67" t="str">
        <f t="shared" si="246"/>
        <v/>
      </c>
      <c r="N5160" s="76" t="str">
        <f t="shared" si="247"/>
        <v/>
      </c>
      <c r="O5160" s="33">
        <f t="shared" si="245"/>
        <v>0</v>
      </c>
    </row>
    <row r="5161" spans="1:15" x14ac:dyDescent="0.25">
      <c r="A5161" s="64" t="s">
        <v>190</v>
      </c>
      <c r="B5161" s="82" t="str">
        <f>IF('Twenty-First'!B164="", "",'Twenty-First'!B164)</f>
        <v/>
      </c>
      <c r="C5161" s="1" t="str">
        <f>IF('Twenty-First'!C164="", "",'Twenty-First'!C164)</f>
        <v/>
      </c>
      <c r="D5161" s="1" t="str">
        <f>IF('Twenty-First'!D164="", "",'Twenty-First'!D164)</f>
        <v/>
      </c>
      <c r="E5161" s="1" t="str">
        <f>IF('Twenty-First'!E164="", "",'Twenty-First'!E164)</f>
        <v/>
      </c>
      <c r="F5161" s="1" t="str">
        <f>IF('Twenty-First'!F164="", "",'Twenty-First'!F164)</f>
        <v/>
      </c>
      <c r="G5161" s="1" t="str">
        <f>IF('Twenty-First'!G164="", "",'Twenty-First'!G164)</f>
        <v/>
      </c>
      <c r="H5161" s="1" t="str">
        <f>IF('Twenty-First'!H164="", "",'Twenty-First'!H164)</f>
        <v/>
      </c>
      <c r="I5161" s="1" t="str">
        <f>IF('Twenty-First'!I164="", "",'Twenty-First'!I164)</f>
        <v/>
      </c>
      <c r="J5161" s="1" t="str">
        <f>IF('Twenty-First'!J164="", "",'Twenty-First'!J164)</f>
        <v/>
      </c>
      <c r="K5161" s="83" t="str">
        <f>IF('Twenty-First'!K164="", "",'Twenty-First'!K164)</f>
        <v/>
      </c>
      <c r="M5161" s="67" t="str">
        <f t="shared" si="246"/>
        <v/>
      </c>
      <c r="N5161" s="76" t="str">
        <f t="shared" si="247"/>
        <v/>
      </c>
      <c r="O5161" s="33">
        <f t="shared" si="245"/>
        <v>0</v>
      </c>
    </row>
    <row r="5162" spans="1:15" x14ac:dyDescent="0.25">
      <c r="A5162" s="64" t="s">
        <v>190</v>
      </c>
      <c r="B5162" s="82" t="str">
        <f>IF('Twenty-First'!B165="", "",'Twenty-First'!B165)</f>
        <v/>
      </c>
      <c r="C5162" s="1" t="str">
        <f>IF('Twenty-First'!C165="", "",'Twenty-First'!C165)</f>
        <v/>
      </c>
      <c r="D5162" s="1" t="str">
        <f>IF('Twenty-First'!D165="", "",'Twenty-First'!D165)</f>
        <v/>
      </c>
      <c r="E5162" s="1" t="str">
        <f>IF('Twenty-First'!E165="", "",'Twenty-First'!E165)</f>
        <v/>
      </c>
      <c r="F5162" s="1" t="str">
        <f>IF('Twenty-First'!F165="", "",'Twenty-First'!F165)</f>
        <v/>
      </c>
      <c r="G5162" s="1" t="str">
        <f>IF('Twenty-First'!G165="", "",'Twenty-First'!G165)</f>
        <v/>
      </c>
      <c r="H5162" s="1" t="str">
        <f>IF('Twenty-First'!H165="", "",'Twenty-First'!H165)</f>
        <v/>
      </c>
      <c r="I5162" s="1" t="str">
        <f>IF('Twenty-First'!I165="", "",'Twenty-First'!I165)</f>
        <v/>
      </c>
      <c r="J5162" s="1" t="str">
        <f>IF('Twenty-First'!J165="", "",'Twenty-First'!J165)</f>
        <v/>
      </c>
      <c r="K5162" s="83" t="str">
        <f>IF('Twenty-First'!K165="", "",'Twenty-First'!K165)</f>
        <v/>
      </c>
      <c r="M5162" s="67" t="str">
        <f t="shared" si="246"/>
        <v/>
      </c>
      <c r="N5162" s="76" t="str">
        <f t="shared" si="247"/>
        <v/>
      </c>
      <c r="O5162" s="33">
        <f t="shared" si="245"/>
        <v>0</v>
      </c>
    </row>
    <row r="5163" spans="1:15" x14ac:dyDescent="0.25">
      <c r="A5163" s="64" t="s">
        <v>190</v>
      </c>
      <c r="B5163" s="82" t="str">
        <f>IF('Twenty-First'!B166="", "",'Twenty-First'!B166)</f>
        <v/>
      </c>
      <c r="C5163" s="1" t="str">
        <f>IF('Twenty-First'!C166="", "",'Twenty-First'!C166)</f>
        <v/>
      </c>
      <c r="D5163" s="1" t="str">
        <f>IF('Twenty-First'!D166="", "",'Twenty-First'!D166)</f>
        <v/>
      </c>
      <c r="E5163" s="1" t="str">
        <f>IF('Twenty-First'!E166="", "",'Twenty-First'!E166)</f>
        <v/>
      </c>
      <c r="F5163" s="1" t="str">
        <f>IF('Twenty-First'!F166="", "",'Twenty-First'!F166)</f>
        <v/>
      </c>
      <c r="G5163" s="1" t="str">
        <f>IF('Twenty-First'!G166="", "",'Twenty-First'!G166)</f>
        <v/>
      </c>
      <c r="H5163" s="1" t="str">
        <f>IF('Twenty-First'!H166="", "",'Twenty-First'!H166)</f>
        <v/>
      </c>
      <c r="I5163" s="1" t="str">
        <f>IF('Twenty-First'!I166="", "",'Twenty-First'!I166)</f>
        <v/>
      </c>
      <c r="J5163" s="1" t="str">
        <f>IF('Twenty-First'!J166="", "",'Twenty-First'!J166)</f>
        <v/>
      </c>
      <c r="K5163" s="83" t="str">
        <f>IF('Twenty-First'!K166="", "",'Twenty-First'!K166)</f>
        <v/>
      </c>
      <c r="M5163" s="67" t="str">
        <f t="shared" si="246"/>
        <v/>
      </c>
      <c r="N5163" s="76" t="str">
        <f t="shared" si="247"/>
        <v/>
      </c>
      <c r="O5163" s="33">
        <f t="shared" si="245"/>
        <v>0</v>
      </c>
    </row>
    <row r="5164" spans="1:15" x14ac:dyDescent="0.25">
      <c r="A5164" s="64" t="s">
        <v>190</v>
      </c>
      <c r="B5164" s="82" t="str">
        <f>IF('Twenty-First'!B167="", "",'Twenty-First'!B167)</f>
        <v/>
      </c>
      <c r="C5164" s="1" t="str">
        <f>IF('Twenty-First'!C167="", "",'Twenty-First'!C167)</f>
        <v/>
      </c>
      <c r="D5164" s="1" t="str">
        <f>IF('Twenty-First'!D167="", "",'Twenty-First'!D167)</f>
        <v/>
      </c>
      <c r="E5164" s="1" t="str">
        <f>IF('Twenty-First'!E167="", "",'Twenty-First'!E167)</f>
        <v/>
      </c>
      <c r="F5164" s="1" t="str">
        <f>IF('Twenty-First'!F167="", "",'Twenty-First'!F167)</f>
        <v/>
      </c>
      <c r="G5164" s="1" t="str">
        <f>IF('Twenty-First'!G167="", "",'Twenty-First'!G167)</f>
        <v/>
      </c>
      <c r="H5164" s="1" t="str">
        <f>IF('Twenty-First'!H167="", "",'Twenty-First'!H167)</f>
        <v/>
      </c>
      <c r="I5164" s="1" t="str">
        <f>IF('Twenty-First'!I167="", "",'Twenty-First'!I167)</f>
        <v/>
      </c>
      <c r="J5164" s="1" t="str">
        <f>IF('Twenty-First'!J167="", "",'Twenty-First'!J167)</f>
        <v/>
      </c>
      <c r="K5164" s="83" t="str">
        <f>IF('Twenty-First'!K167="", "",'Twenty-First'!K167)</f>
        <v/>
      </c>
      <c r="M5164" s="67" t="str">
        <f t="shared" si="246"/>
        <v/>
      </c>
      <c r="N5164" s="76" t="str">
        <f t="shared" si="247"/>
        <v/>
      </c>
      <c r="O5164" s="33">
        <f t="shared" si="245"/>
        <v>0</v>
      </c>
    </row>
    <row r="5165" spans="1:15" x14ac:dyDescent="0.25">
      <c r="A5165" s="64" t="s">
        <v>190</v>
      </c>
      <c r="B5165" s="82" t="str">
        <f>IF('Twenty-First'!B168="", "",'Twenty-First'!B168)</f>
        <v/>
      </c>
      <c r="C5165" s="1" t="str">
        <f>IF('Twenty-First'!C168="", "",'Twenty-First'!C168)</f>
        <v/>
      </c>
      <c r="D5165" s="1" t="str">
        <f>IF('Twenty-First'!D168="", "",'Twenty-First'!D168)</f>
        <v/>
      </c>
      <c r="E5165" s="1" t="str">
        <f>IF('Twenty-First'!E168="", "",'Twenty-First'!E168)</f>
        <v/>
      </c>
      <c r="F5165" s="1" t="str">
        <f>IF('Twenty-First'!F168="", "",'Twenty-First'!F168)</f>
        <v/>
      </c>
      <c r="G5165" s="1" t="str">
        <f>IF('Twenty-First'!G168="", "",'Twenty-First'!G168)</f>
        <v/>
      </c>
      <c r="H5165" s="1" t="str">
        <f>IF('Twenty-First'!H168="", "",'Twenty-First'!H168)</f>
        <v/>
      </c>
      <c r="I5165" s="1" t="str">
        <f>IF('Twenty-First'!I168="", "",'Twenty-First'!I168)</f>
        <v/>
      </c>
      <c r="J5165" s="1" t="str">
        <f>IF('Twenty-First'!J168="", "",'Twenty-First'!J168)</f>
        <v/>
      </c>
      <c r="K5165" s="83" t="str">
        <f>IF('Twenty-First'!K168="", "",'Twenty-First'!K168)</f>
        <v/>
      </c>
      <c r="M5165" s="67" t="str">
        <f t="shared" si="246"/>
        <v/>
      </c>
      <c r="N5165" s="76" t="str">
        <f t="shared" si="247"/>
        <v/>
      </c>
      <c r="O5165" s="33">
        <f t="shared" si="245"/>
        <v>0</v>
      </c>
    </row>
    <row r="5166" spans="1:15" x14ac:dyDescent="0.25">
      <c r="A5166" s="64" t="s">
        <v>190</v>
      </c>
      <c r="B5166" s="82" t="str">
        <f>IF('Twenty-First'!B169="", "",'Twenty-First'!B169)</f>
        <v/>
      </c>
      <c r="C5166" s="1" t="str">
        <f>IF('Twenty-First'!C169="", "",'Twenty-First'!C169)</f>
        <v/>
      </c>
      <c r="D5166" s="1" t="str">
        <f>IF('Twenty-First'!D169="", "",'Twenty-First'!D169)</f>
        <v/>
      </c>
      <c r="E5166" s="1" t="str">
        <f>IF('Twenty-First'!E169="", "",'Twenty-First'!E169)</f>
        <v/>
      </c>
      <c r="F5166" s="1" t="str">
        <f>IF('Twenty-First'!F169="", "",'Twenty-First'!F169)</f>
        <v/>
      </c>
      <c r="G5166" s="1" t="str">
        <f>IF('Twenty-First'!G169="", "",'Twenty-First'!G169)</f>
        <v/>
      </c>
      <c r="H5166" s="1" t="str">
        <f>IF('Twenty-First'!H169="", "",'Twenty-First'!H169)</f>
        <v/>
      </c>
      <c r="I5166" s="1" t="str">
        <f>IF('Twenty-First'!I169="", "",'Twenty-First'!I169)</f>
        <v/>
      </c>
      <c r="J5166" s="1" t="str">
        <f>IF('Twenty-First'!J169="", "",'Twenty-First'!J169)</f>
        <v/>
      </c>
      <c r="K5166" s="83" t="str">
        <f>IF('Twenty-First'!K169="", "",'Twenty-First'!K169)</f>
        <v/>
      </c>
      <c r="M5166" s="67" t="str">
        <f t="shared" si="246"/>
        <v/>
      </c>
      <c r="N5166" s="76" t="str">
        <f t="shared" si="247"/>
        <v/>
      </c>
      <c r="O5166" s="33">
        <f t="shared" si="245"/>
        <v>0</v>
      </c>
    </row>
    <row r="5167" spans="1:15" x14ac:dyDescent="0.25">
      <c r="A5167" s="64" t="s">
        <v>190</v>
      </c>
      <c r="B5167" s="82" t="str">
        <f>IF('Twenty-First'!B170="", "",'Twenty-First'!B170)</f>
        <v/>
      </c>
      <c r="C5167" s="1" t="str">
        <f>IF('Twenty-First'!C170="", "",'Twenty-First'!C170)</f>
        <v/>
      </c>
      <c r="D5167" s="1" t="str">
        <f>IF('Twenty-First'!D170="", "",'Twenty-First'!D170)</f>
        <v/>
      </c>
      <c r="E5167" s="1" t="str">
        <f>IF('Twenty-First'!E170="", "",'Twenty-First'!E170)</f>
        <v/>
      </c>
      <c r="F5167" s="1" t="str">
        <f>IF('Twenty-First'!F170="", "",'Twenty-First'!F170)</f>
        <v/>
      </c>
      <c r="G5167" s="1" t="str">
        <f>IF('Twenty-First'!G170="", "",'Twenty-First'!G170)</f>
        <v/>
      </c>
      <c r="H5167" s="1" t="str">
        <f>IF('Twenty-First'!H170="", "",'Twenty-First'!H170)</f>
        <v/>
      </c>
      <c r="I5167" s="1" t="str">
        <f>IF('Twenty-First'!I170="", "",'Twenty-First'!I170)</f>
        <v/>
      </c>
      <c r="J5167" s="1" t="str">
        <f>IF('Twenty-First'!J170="", "",'Twenty-First'!J170)</f>
        <v/>
      </c>
      <c r="K5167" s="83" t="str">
        <f>IF('Twenty-First'!K170="", "",'Twenty-First'!K170)</f>
        <v/>
      </c>
      <c r="M5167" s="67" t="str">
        <f t="shared" si="246"/>
        <v/>
      </c>
      <c r="N5167" s="76" t="str">
        <f t="shared" si="247"/>
        <v/>
      </c>
      <c r="O5167" s="33">
        <f t="shared" si="245"/>
        <v>0</v>
      </c>
    </row>
    <row r="5168" spans="1:15" x14ac:dyDescent="0.25">
      <c r="A5168" s="64" t="s">
        <v>190</v>
      </c>
      <c r="B5168" s="82" t="str">
        <f>IF('Twenty-First'!B171="", "",'Twenty-First'!B171)</f>
        <v/>
      </c>
      <c r="C5168" s="1" t="str">
        <f>IF('Twenty-First'!C171="", "",'Twenty-First'!C171)</f>
        <v/>
      </c>
      <c r="D5168" s="1" t="str">
        <f>IF('Twenty-First'!D171="", "",'Twenty-First'!D171)</f>
        <v/>
      </c>
      <c r="E5168" s="1" t="str">
        <f>IF('Twenty-First'!E171="", "",'Twenty-First'!E171)</f>
        <v/>
      </c>
      <c r="F5168" s="1" t="str">
        <f>IF('Twenty-First'!F171="", "",'Twenty-First'!F171)</f>
        <v/>
      </c>
      <c r="G5168" s="1" t="str">
        <f>IF('Twenty-First'!G171="", "",'Twenty-First'!G171)</f>
        <v/>
      </c>
      <c r="H5168" s="1" t="str">
        <f>IF('Twenty-First'!H171="", "",'Twenty-First'!H171)</f>
        <v/>
      </c>
      <c r="I5168" s="1" t="str">
        <f>IF('Twenty-First'!I171="", "",'Twenty-First'!I171)</f>
        <v/>
      </c>
      <c r="J5168" s="1" t="str">
        <f>IF('Twenty-First'!J171="", "",'Twenty-First'!J171)</f>
        <v/>
      </c>
      <c r="K5168" s="83" t="str">
        <f>IF('Twenty-First'!K171="", "",'Twenty-First'!K171)</f>
        <v/>
      </c>
      <c r="M5168" s="67" t="str">
        <f t="shared" si="246"/>
        <v/>
      </c>
      <c r="N5168" s="76" t="str">
        <f t="shared" si="247"/>
        <v/>
      </c>
      <c r="O5168" s="33">
        <f t="shared" si="245"/>
        <v>0</v>
      </c>
    </row>
    <row r="5169" spans="1:15" x14ac:dyDescent="0.25">
      <c r="A5169" s="64" t="s">
        <v>190</v>
      </c>
      <c r="B5169" s="82" t="str">
        <f>IF('Twenty-First'!B172="", "",'Twenty-First'!B172)</f>
        <v/>
      </c>
      <c r="C5169" s="1" t="str">
        <f>IF('Twenty-First'!C172="", "",'Twenty-First'!C172)</f>
        <v/>
      </c>
      <c r="D5169" s="1" t="str">
        <f>IF('Twenty-First'!D172="", "",'Twenty-First'!D172)</f>
        <v/>
      </c>
      <c r="E5169" s="1" t="str">
        <f>IF('Twenty-First'!E172="", "",'Twenty-First'!E172)</f>
        <v/>
      </c>
      <c r="F5169" s="1" t="str">
        <f>IF('Twenty-First'!F172="", "",'Twenty-First'!F172)</f>
        <v/>
      </c>
      <c r="G5169" s="1" t="str">
        <f>IF('Twenty-First'!G172="", "",'Twenty-First'!G172)</f>
        <v/>
      </c>
      <c r="H5169" s="1" t="str">
        <f>IF('Twenty-First'!H172="", "",'Twenty-First'!H172)</f>
        <v/>
      </c>
      <c r="I5169" s="1" t="str">
        <f>IF('Twenty-First'!I172="", "",'Twenty-First'!I172)</f>
        <v/>
      </c>
      <c r="J5169" s="1" t="str">
        <f>IF('Twenty-First'!J172="", "",'Twenty-First'!J172)</f>
        <v/>
      </c>
      <c r="K5169" s="83" t="str">
        <f>IF('Twenty-First'!K172="", "",'Twenty-First'!K172)</f>
        <v/>
      </c>
      <c r="M5169" s="67" t="str">
        <f t="shared" si="246"/>
        <v/>
      </c>
      <c r="N5169" s="76" t="str">
        <f t="shared" si="247"/>
        <v/>
      </c>
      <c r="O5169" s="33">
        <f t="shared" si="245"/>
        <v>0</v>
      </c>
    </row>
    <row r="5170" spans="1:15" x14ac:dyDescent="0.25">
      <c r="A5170" s="64" t="s">
        <v>190</v>
      </c>
      <c r="B5170" s="82" t="str">
        <f>IF('Twenty-First'!B173="", "",'Twenty-First'!B173)</f>
        <v/>
      </c>
      <c r="C5170" s="1" t="str">
        <f>IF('Twenty-First'!C173="", "",'Twenty-First'!C173)</f>
        <v/>
      </c>
      <c r="D5170" s="1" t="str">
        <f>IF('Twenty-First'!D173="", "",'Twenty-First'!D173)</f>
        <v/>
      </c>
      <c r="E5170" s="1" t="str">
        <f>IF('Twenty-First'!E173="", "",'Twenty-First'!E173)</f>
        <v/>
      </c>
      <c r="F5170" s="1" t="str">
        <f>IF('Twenty-First'!F173="", "",'Twenty-First'!F173)</f>
        <v/>
      </c>
      <c r="G5170" s="1" t="str">
        <f>IF('Twenty-First'!G173="", "",'Twenty-First'!G173)</f>
        <v/>
      </c>
      <c r="H5170" s="1" t="str">
        <f>IF('Twenty-First'!H173="", "",'Twenty-First'!H173)</f>
        <v/>
      </c>
      <c r="I5170" s="1" t="str">
        <f>IF('Twenty-First'!I173="", "",'Twenty-First'!I173)</f>
        <v/>
      </c>
      <c r="J5170" s="1" t="str">
        <f>IF('Twenty-First'!J173="", "",'Twenty-First'!J173)</f>
        <v/>
      </c>
      <c r="K5170" s="83" t="str">
        <f>IF('Twenty-First'!K173="", "",'Twenty-First'!K173)</f>
        <v/>
      </c>
      <c r="M5170" s="67" t="str">
        <f t="shared" si="246"/>
        <v/>
      </c>
      <c r="N5170" s="76" t="str">
        <f t="shared" si="247"/>
        <v/>
      </c>
      <c r="O5170" s="33">
        <f t="shared" si="245"/>
        <v>0</v>
      </c>
    </row>
    <row r="5171" spans="1:15" x14ac:dyDescent="0.25">
      <c r="A5171" s="64" t="s">
        <v>190</v>
      </c>
      <c r="B5171" s="82" t="str">
        <f>IF('Twenty-First'!B174="", "",'Twenty-First'!B174)</f>
        <v/>
      </c>
      <c r="C5171" s="1" t="str">
        <f>IF('Twenty-First'!C174="", "",'Twenty-First'!C174)</f>
        <v/>
      </c>
      <c r="D5171" s="1" t="str">
        <f>IF('Twenty-First'!D174="", "",'Twenty-First'!D174)</f>
        <v/>
      </c>
      <c r="E5171" s="1" t="str">
        <f>IF('Twenty-First'!E174="", "",'Twenty-First'!E174)</f>
        <v/>
      </c>
      <c r="F5171" s="1" t="str">
        <f>IF('Twenty-First'!F174="", "",'Twenty-First'!F174)</f>
        <v/>
      </c>
      <c r="G5171" s="1" t="str">
        <f>IF('Twenty-First'!G174="", "",'Twenty-First'!G174)</f>
        <v/>
      </c>
      <c r="H5171" s="1" t="str">
        <f>IF('Twenty-First'!H174="", "",'Twenty-First'!H174)</f>
        <v/>
      </c>
      <c r="I5171" s="1" t="str">
        <f>IF('Twenty-First'!I174="", "",'Twenty-First'!I174)</f>
        <v/>
      </c>
      <c r="J5171" s="1" t="str">
        <f>IF('Twenty-First'!J174="", "",'Twenty-First'!J174)</f>
        <v/>
      </c>
      <c r="K5171" s="83" t="str">
        <f>IF('Twenty-First'!K174="", "",'Twenty-First'!K174)</f>
        <v/>
      </c>
      <c r="M5171" s="67" t="str">
        <f t="shared" si="246"/>
        <v/>
      </c>
      <c r="N5171" s="76" t="str">
        <f t="shared" si="247"/>
        <v/>
      </c>
      <c r="O5171" s="33">
        <f t="shared" si="245"/>
        <v>0</v>
      </c>
    </row>
    <row r="5172" spans="1:15" x14ac:dyDescent="0.25">
      <c r="A5172" s="64" t="s">
        <v>190</v>
      </c>
      <c r="B5172" s="82" t="str">
        <f>IF('Twenty-First'!B175="", "",'Twenty-First'!B175)</f>
        <v/>
      </c>
      <c r="C5172" s="1" t="str">
        <f>IF('Twenty-First'!C175="", "",'Twenty-First'!C175)</f>
        <v/>
      </c>
      <c r="D5172" s="1" t="str">
        <f>IF('Twenty-First'!D175="", "",'Twenty-First'!D175)</f>
        <v/>
      </c>
      <c r="E5172" s="1" t="str">
        <f>IF('Twenty-First'!E175="", "",'Twenty-First'!E175)</f>
        <v/>
      </c>
      <c r="F5172" s="1" t="str">
        <f>IF('Twenty-First'!F175="", "",'Twenty-First'!F175)</f>
        <v/>
      </c>
      <c r="G5172" s="1" t="str">
        <f>IF('Twenty-First'!G175="", "",'Twenty-First'!G175)</f>
        <v/>
      </c>
      <c r="H5172" s="1" t="str">
        <f>IF('Twenty-First'!H175="", "",'Twenty-First'!H175)</f>
        <v/>
      </c>
      <c r="I5172" s="1" t="str">
        <f>IF('Twenty-First'!I175="", "",'Twenty-First'!I175)</f>
        <v/>
      </c>
      <c r="J5172" s="1" t="str">
        <f>IF('Twenty-First'!J175="", "",'Twenty-First'!J175)</f>
        <v/>
      </c>
      <c r="K5172" s="83" t="str">
        <f>IF('Twenty-First'!K175="", "",'Twenty-First'!K175)</f>
        <v/>
      </c>
      <c r="M5172" s="67" t="str">
        <f t="shared" si="246"/>
        <v/>
      </c>
      <c r="N5172" s="76" t="str">
        <f t="shared" si="247"/>
        <v/>
      </c>
      <c r="O5172" s="33">
        <f t="shared" si="245"/>
        <v>0</v>
      </c>
    </row>
    <row r="5173" spans="1:15" x14ac:dyDescent="0.25">
      <c r="A5173" s="64" t="s">
        <v>190</v>
      </c>
      <c r="B5173" s="82" t="str">
        <f>IF('Twenty-First'!B176="", "",'Twenty-First'!B176)</f>
        <v/>
      </c>
      <c r="C5173" s="1" t="str">
        <f>IF('Twenty-First'!C176="", "",'Twenty-First'!C176)</f>
        <v/>
      </c>
      <c r="D5173" s="1" t="str">
        <f>IF('Twenty-First'!D176="", "",'Twenty-First'!D176)</f>
        <v/>
      </c>
      <c r="E5173" s="1" t="str">
        <f>IF('Twenty-First'!E176="", "",'Twenty-First'!E176)</f>
        <v/>
      </c>
      <c r="F5173" s="1" t="str">
        <f>IF('Twenty-First'!F176="", "",'Twenty-First'!F176)</f>
        <v/>
      </c>
      <c r="G5173" s="1" t="str">
        <f>IF('Twenty-First'!G176="", "",'Twenty-First'!G176)</f>
        <v/>
      </c>
      <c r="H5173" s="1" t="str">
        <f>IF('Twenty-First'!H176="", "",'Twenty-First'!H176)</f>
        <v/>
      </c>
      <c r="I5173" s="1" t="str">
        <f>IF('Twenty-First'!I176="", "",'Twenty-First'!I176)</f>
        <v/>
      </c>
      <c r="J5173" s="1" t="str">
        <f>IF('Twenty-First'!J176="", "",'Twenty-First'!J176)</f>
        <v/>
      </c>
      <c r="K5173" s="83" t="str">
        <f>IF('Twenty-First'!K176="", "",'Twenty-First'!K176)</f>
        <v/>
      </c>
      <c r="M5173" s="67" t="str">
        <f t="shared" si="246"/>
        <v/>
      </c>
      <c r="N5173" s="76" t="str">
        <f t="shared" si="247"/>
        <v/>
      </c>
      <c r="O5173" s="33">
        <f t="shared" si="245"/>
        <v>0</v>
      </c>
    </row>
    <row r="5174" spans="1:15" x14ac:dyDescent="0.25">
      <c r="A5174" s="64" t="s">
        <v>190</v>
      </c>
      <c r="B5174" s="82" t="str">
        <f>IF('Twenty-First'!B177="", "",'Twenty-First'!B177)</f>
        <v/>
      </c>
      <c r="C5174" s="1" t="str">
        <f>IF('Twenty-First'!C177="", "",'Twenty-First'!C177)</f>
        <v/>
      </c>
      <c r="D5174" s="1" t="str">
        <f>IF('Twenty-First'!D177="", "",'Twenty-First'!D177)</f>
        <v/>
      </c>
      <c r="E5174" s="1" t="str">
        <f>IF('Twenty-First'!E177="", "",'Twenty-First'!E177)</f>
        <v/>
      </c>
      <c r="F5174" s="1" t="str">
        <f>IF('Twenty-First'!F177="", "",'Twenty-First'!F177)</f>
        <v/>
      </c>
      <c r="G5174" s="1" t="str">
        <f>IF('Twenty-First'!G177="", "",'Twenty-First'!G177)</f>
        <v/>
      </c>
      <c r="H5174" s="1" t="str">
        <f>IF('Twenty-First'!H177="", "",'Twenty-First'!H177)</f>
        <v/>
      </c>
      <c r="I5174" s="1" t="str">
        <f>IF('Twenty-First'!I177="", "",'Twenty-First'!I177)</f>
        <v/>
      </c>
      <c r="J5174" s="1" t="str">
        <f>IF('Twenty-First'!J177="", "",'Twenty-First'!J177)</f>
        <v/>
      </c>
      <c r="K5174" s="83" t="str">
        <f>IF('Twenty-First'!K177="", "",'Twenty-First'!K177)</f>
        <v/>
      </c>
      <c r="M5174" s="67" t="str">
        <f t="shared" si="246"/>
        <v/>
      </c>
      <c r="N5174" s="76" t="str">
        <f t="shared" si="247"/>
        <v/>
      </c>
      <c r="O5174" s="33">
        <f t="shared" si="245"/>
        <v>0</v>
      </c>
    </row>
    <row r="5175" spans="1:15" x14ac:dyDescent="0.25">
      <c r="A5175" s="64" t="s">
        <v>190</v>
      </c>
      <c r="B5175" s="82" t="str">
        <f>IF('Twenty-First'!B178="", "",'Twenty-First'!B178)</f>
        <v/>
      </c>
      <c r="C5175" s="1" t="str">
        <f>IF('Twenty-First'!C178="", "",'Twenty-First'!C178)</f>
        <v/>
      </c>
      <c r="D5175" s="1" t="str">
        <f>IF('Twenty-First'!D178="", "",'Twenty-First'!D178)</f>
        <v/>
      </c>
      <c r="E5175" s="1" t="str">
        <f>IF('Twenty-First'!E178="", "",'Twenty-First'!E178)</f>
        <v/>
      </c>
      <c r="F5175" s="1" t="str">
        <f>IF('Twenty-First'!F178="", "",'Twenty-First'!F178)</f>
        <v/>
      </c>
      <c r="G5175" s="1" t="str">
        <f>IF('Twenty-First'!G178="", "",'Twenty-First'!G178)</f>
        <v/>
      </c>
      <c r="H5175" s="1" t="str">
        <f>IF('Twenty-First'!H178="", "",'Twenty-First'!H178)</f>
        <v/>
      </c>
      <c r="I5175" s="1" t="str">
        <f>IF('Twenty-First'!I178="", "",'Twenty-First'!I178)</f>
        <v/>
      </c>
      <c r="J5175" s="1" t="str">
        <f>IF('Twenty-First'!J178="", "",'Twenty-First'!J178)</f>
        <v/>
      </c>
      <c r="K5175" s="83" t="str">
        <f>IF('Twenty-First'!K178="", "",'Twenty-First'!K178)</f>
        <v/>
      </c>
      <c r="M5175" s="67" t="str">
        <f t="shared" si="246"/>
        <v/>
      </c>
      <c r="N5175" s="76" t="str">
        <f t="shared" si="247"/>
        <v/>
      </c>
      <c r="O5175" s="33">
        <f t="shared" si="245"/>
        <v>0</v>
      </c>
    </row>
    <row r="5176" spans="1:15" x14ac:dyDescent="0.25">
      <c r="A5176" s="64" t="s">
        <v>190</v>
      </c>
      <c r="B5176" s="82" t="str">
        <f>IF('Twenty-First'!B179="", "",'Twenty-First'!B179)</f>
        <v/>
      </c>
      <c r="C5176" s="1" t="str">
        <f>IF('Twenty-First'!C179="", "",'Twenty-First'!C179)</f>
        <v/>
      </c>
      <c r="D5176" s="1" t="str">
        <f>IF('Twenty-First'!D179="", "",'Twenty-First'!D179)</f>
        <v/>
      </c>
      <c r="E5176" s="1" t="str">
        <f>IF('Twenty-First'!E179="", "",'Twenty-First'!E179)</f>
        <v/>
      </c>
      <c r="F5176" s="1" t="str">
        <f>IF('Twenty-First'!F179="", "",'Twenty-First'!F179)</f>
        <v/>
      </c>
      <c r="G5176" s="1" t="str">
        <f>IF('Twenty-First'!G179="", "",'Twenty-First'!G179)</f>
        <v/>
      </c>
      <c r="H5176" s="1" t="str">
        <f>IF('Twenty-First'!H179="", "",'Twenty-First'!H179)</f>
        <v/>
      </c>
      <c r="I5176" s="1" t="str">
        <f>IF('Twenty-First'!I179="", "",'Twenty-First'!I179)</f>
        <v/>
      </c>
      <c r="J5176" s="1" t="str">
        <f>IF('Twenty-First'!J179="", "",'Twenty-First'!J179)</f>
        <v/>
      </c>
      <c r="K5176" s="83" t="str">
        <f>IF('Twenty-First'!K179="", "",'Twenty-First'!K179)</f>
        <v/>
      </c>
      <c r="M5176" s="67" t="str">
        <f t="shared" si="246"/>
        <v/>
      </c>
      <c r="N5176" s="76" t="str">
        <f t="shared" si="247"/>
        <v/>
      </c>
      <c r="O5176" s="33">
        <f t="shared" si="245"/>
        <v>0</v>
      </c>
    </row>
    <row r="5177" spans="1:15" x14ac:dyDescent="0.25">
      <c r="A5177" s="64" t="s">
        <v>190</v>
      </c>
      <c r="B5177" s="82" t="str">
        <f>IF('Twenty-First'!B180="", "",'Twenty-First'!B180)</f>
        <v/>
      </c>
      <c r="C5177" s="1" t="str">
        <f>IF('Twenty-First'!C180="", "",'Twenty-First'!C180)</f>
        <v/>
      </c>
      <c r="D5177" s="1" t="str">
        <f>IF('Twenty-First'!D180="", "",'Twenty-First'!D180)</f>
        <v/>
      </c>
      <c r="E5177" s="1" t="str">
        <f>IF('Twenty-First'!E180="", "",'Twenty-First'!E180)</f>
        <v/>
      </c>
      <c r="F5177" s="1" t="str">
        <f>IF('Twenty-First'!F180="", "",'Twenty-First'!F180)</f>
        <v/>
      </c>
      <c r="G5177" s="1" t="str">
        <f>IF('Twenty-First'!G180="", "",'Twenty-First'!G180)</f>
        <v/>
      </c>
      <c r="H5177" s="1" t="str">
        <f>IF('Twenty-First'!H180="", "",'Twenty-First'!H180)</f>
        <v/>
      </c>
      <c r="I5177" s="1" t="str">
        <f>IF('Twenty-First'!I180="", "",'Twenty-First'!I180)</f>
        <v/>
      </c>
      <c r="J5177" s="1" t="str">
        <f>IF('Twenty-First'!J180="", "",'Twenty-First'!J180)</f>
        <v/>
      </c>
      <c r="K5177" s="83" t="str">
        <f>IF('Twenty-First'!K180="", "",'Twenty-First'!K180)</f>
        <v/>
      </c>
      <c r="M5177" s="67" t="str">
        <f t="shared" si="246"/>
        <v/>
      </c>
      <c r="N5177" s="76" t="str">
        <f t="shared" si="247"/>
        <v/>
      </c>
      <c r="O5177" s="33">
        <f t="shared" si="245"/>
        <v>0</v>
      </c>
    </row>
    <row r="5178" spans="1:15" x14ac:dyDescent="0.25">
      <c r="A5178" s="64" t="s">
        <v>190</v>
      </c>
      <c r="B5178" s="82" t="str">
        <f>IF('Twenty-First'!B181="", "",'Twenty-First'!B181)</f>
        <v/>
      </c>
      <c r="C5178" s="1" t="str">
        <f>IF('Twenty-First'!C181="", "",'Twenty-First'!C181)</f>
        <v/>
      </c>
      <c r="D5178" s="1" t="str">
        <f>IF('Twenty-First'!D181="", "",'Twenty-First'!D181)</f>
        <v/>
      </c>
      <c r="E5178" s="1" t="str">
        <f>IF('Twenty-First'!E181="", "",'Twenty-First'!E181)</f>
        <v/>
      </c>
      <c r="F5178" s="1" t="str">
        <f>IF('Twenty-First'!F181="", "",'Twenty-First'!F181)</f>
        <v/>
      </c>
      <c r="G5178" s="1" t="str">
        <f>IF('Twenty-First'!G181="", "",'Twenty-First'!G181)</f>
        <v/>
      </c>
      <c r="H5178" s="1" t="str">
        <f>IF('Twenty-First'!H181="", "",'Twenty-First'!H181)</f>
        <v/>
      </c>
      <c r="I5178" s="1" t="str">
        <f>IF('Twenty-First'!I181="", "",'Twenty-First'!I181)</f>
        <v/>
      </c>
      <c r="J5178" s="1" t="str">
        <f>IF('Twenty-First'!J181="", "",'Twenty-First'!J181)</f>
        <v/>
      </c>
      <c r="K5178" s="83" t="str">
        <f>IF('Twenty-First'!K181="", "",'Twenty-First'!K181)</f>
        <v/>
      </c>
      <c r="M5178" s="67" t="str">
        <f t="shared" si="246"/>
        <v/>
      </c>
      <c r="N5178" s="76" t="str">
        <f t="shared" si="247"/>
        <v/>
      </c>
      <c r="O5178" s="33">
        <f t="shared" si="245"/>
        <v>0</v>
      </c>
    </row>
    <row r="5179" spans="1:15" x14ac:dyDescent="0.25">
      <c r="A5179" s="64" t="s">
        <v>190</v>
      </c>
      <c r="B5179" s="82" t="str">
        <f>IF('Twenty-First'!B182="", "",'Twenty-First'!B182)</f>
        <v/>
      </c>
      <c r="C5179" s="1" t="str">
        <f>IF('Twenty-First'!C182="", "",'Twenty-First'!C182)</f>
        <v/>
      </c>
      <c r="D5179" s="1" t="str">
        <f>IF('Twenty-First'!D182="", "",'Twenty-First'!D182)</f>
        <v/>
      </c>
      <c r="E5179" s="1" t="str">
        <f>IF('Twenty-First'!E182="", "",'Twenty-First'!E182)</f>
        <v/>
      </c>
      <c r="F5179" s="1" t="str">
        <f>IF('Twenty-First'!F182="", "",'Twenty-First'!F182)</f>
        <v/>
      </c>
      <c r="G5179" s="1" t="str">
        <f>IF('Twenty-First'!G182="", "",'Twenty-First'!G182)</f>
        <v/>
      </c>
      <c r="H5179" s="1" t="str">
        <f>IF('Twenty-First'!H182="", "",'Twenty-First'!H182)</f>
        <v/>
      </c>
      <c r="I5179" s="1" t="str">
        <f>IF('Twenty-First'!I182="", "",'Twenty-First'!I182)</f>
        <v/>
      </c>
      <c r="J5179" s="1" t="str">
        <f>IF('Twenty-First'!J182="", "",'Twenty-First'!J182)</f>
        <v/>
      </c>
      <c r="K5179" s="83" t="str">
        <f>IF('Twenty-First'!K182="", "",'Twenty-First'!K182)</f>
        <v/>
      </c>
      <c r="M5179" s="67" t="str">
        <f t="shared" si="246"/>
        <v/>
      </c>
      <c r="N5179" s="76" t="str">
        <f t="shared" si="247"/>
        <v/>
      </c>
      <c r="O5179" s="33">
        <f t="shared" si="245"/>
        <v>0</v>
      </c>
    </row>
    <row r="5180" spans="1:15" x14ac:dyDescent="0.25">
      <c r="A5180" s="64" t="s">
        <v>190</v>
      </c>
      <c r="B5180" s="82" t="str">
        <f>IF('Twenty-First'!B183="", "",'Twenty-First'!B183)</f>
        <v/>
      </c>
      <c r="C5180" s="1" t="str">
        <f>IF('Twenty-First'!C183="", "",'Twenty-First'!C183)</f>
        <v/>
      </c>
      <c r="D5180" s="1" t="str">
        <f>IF('Twenty-First'!D183="", "",'Twenty-First'!D183)</f>
        <v/>
      </c>
      <c r="E5180" s="1" t="str">
        <f>IF('Twenty-First'!E183="", "",'Twenty-First'!E183)</f>
        <v/>
      </c>
      <c r="F5180" s="1" t="str">
        <f>IF('Twenty-First'!F183="", "",'Twenty-First'!F183)</f>
        <v/>
      </c>
      <c r="G5180" s="1" t="str">
        <f>IF('Twenty-First'!G183="", "",'Twenty-First'!G183)</f>
        <v/>
      </c>
      <c r="H5180" s="1" t="str">
        <f>IF('Twenty-First'!H183="", "",'Twenty-First'!H183)</f>
        <v/>
      </c>
      <c r="I5180" s="1" t="str">
        <f>IF('Twenty-First'!I183="", "",'Twenty-First'!I183)</f>
        <v/>
      </c>
      <c r="J5180" s="1" t="str">
        <f>IF('Twenty-First'!J183="", "",'Twenty-First'!J183)</f>
        <v/>
      </c>
      <c r="K5180" s="83" t="str">
        <f>IF('Twenty-First'!K183="", "",'Twenty-First'!K183)</f>
        <v/>
      </c>
      <c r="M5180" s="67" t="str">
        <f t="shared" si="246"/>
        <v/>
      </c>
      <c r="N5180" s="76" t="str">
        <f t="shared" si="247"/>
        <v/>
      </c>
      <c r="O5180" s="33">
        <f t="shared" si="245"/>
        <v>0</v>
      </c>
    </row>
    <row r="5181" spans="1:15" x14ac:dyDescent="0.25">
      <c r="A5181" s="64" t="s">
        <v>190</v>
      </c>
      <c r="B5181" s="82" t="str">
        <f>IF('Twenty-First'!B184="", "",'Twenty-First'!B184)</f>
        <v/>
      </c>
      <c r="C5181" s="1" t="str">
        <f>IF('Twenty-First'!C184="", "",'Twenty-First'!C184)</f>
        <v/>
      </c>
      <c r="D5181" s="1" t="str">
        <f>IF('Twenty-First'!D184="", "",'Twenty-First'!D184)</f>
        <v/>
      </c>
      <c r="E5181" s="1" t="str">
        <f>IF('Twenty-First'!E184="", "",'Twenty-First'!E184)</f>
        <v/>
      </c>
      <c r="F5181" s="1" t="str">
        <f>IF('Twenty-First'!F184="", "",'Twenty-First'!F184)</f>
        <v/>
      </c>
      <c r="G5181" s="1" t="str">
        <f>IF('Twenty-First'!G184="", "",'Twenty-First'!G184)</f>
        <v/>
      </c>
      <c r="H5181" s="1" t="str">
        <f>IF('Twenty-First'!H184="", "",'Twenty-First'!H184)</f>
        <v/>
      </c>
      <c r="I5181" s="1" t="str">
        <f>IF('Twenty-First'!I184="", "",'Twenty-First'!I184)</f>
        <v/>
      </c>
      <c r="J5181" s="1" t="str">
        <f>IF('Twenty-First'!J184="", "",'Twenty-First'!J184)</f>
        <v/>
      </c>
      <c r="K5181" s="83" t="str">
        <f>IF('Twenty-First'!K184="", "",'Twenty-First'!K184)</f>
        <v/>
      </c>
      <c r="M5181" s="67" t="str">
        <f t="shared" si="246"/>
        <v/>
      </c>
      <c r="N5181" s="76" t="str">
        <f t="shared" si="247"/>
        <v/>
      </c>
      <c r="O5181" s="33">
        <f t="shared" si="245"/>
        <v>0</v>
      </c>
    </row>
    <row r="5182" spans="1:15" x14ac:dyDescent="0.25">
      <c r="A5182" s="64" t="s">
        <v>190</v>
      </c>
      <c r="B5182" s="82" t="str">
        <f>IF('Twenty-First'!B185="", "",'Twenty-First'!B185)</f>
        <v/>
      </c>
      <c r="C5182" s="1" t="str">
        <f>IF('Twenty-First'!C185="", "",'Twenty-First'!C185)</f>
        <v/>
      </c>
      <c r="D5182" s="1" t="str">
        <f>IF('Twenty-First'!D185="", "",'Twenty-First'!D185)</f>
        <v/>
      </c>
      <c r="E5182" s="1" t="str">
        <f>IF('Twenty-First'!E185="", "",'Twenty-First'!E185)</f>
        <v/>
      </c>
      <c r="F5182" s="1" t="str">
        <f>IF('Twenty-First'!F185="", "",'Twenty-First'!F185)</f>
        <v/>
      </c>
      <c r="G5182" s="1" t="str">
        <f>IF('Twenty-First'!G185="", "",'Twenty-First'!G185)</f>
        <v/>
      </c>
      <c r="H5182" s="1" t="str">
        <f>IF('Twenty-First'!H185="", "",'Twenty-First'!H185)</f>
        <v/>
      </c>
      <c r="I5182" s="1" t="str">
        <f>IF('Twenty-First'!I185="", "",'Twenty-First'!I185)</f>
        <v/>
      </c>
      <c r="J5182" s="1" t="str">
        <f>IF('Twenty-First'!J185="", "",'Twenty-First'!J185)</f>
        <v/>
      </c>
      <c r="K5182" s="83" t="str">
        <f>IF('Twenty-First'!K185="", "",'Twenty-First'!K185)</f>
        <v/>
      </c>
      <c r="M5182" s="67" t="str">
        <f t="shared" si="246"/>
        <v/>
      </c>
      <c r="N5182" s="76" t="str">
        <f t="shared" si="247"/>
        <v/>
      </c>
      <c r="O5182" s="33">
        <f t="shared" si="245"/>
        <v>0</v>
      </c>
    </row>
    <row r="5183" spans="1:15" x14ac:dyDescent="0.25">
      <c r="A5183" s="64" t="s">
        <v>190</v>
      </c>
      <c r="B5183" s="82" t="str">
        <f>IF('Twenty-First'!B186="", "",'Twenty-First'!B186)</f>
        <v/>
      </c>
      <c r="C5183" s="1" t="str">
        <f>IF('Twenty-First'!C186="", "",'Twenty-First'!C186)</f>
        <v/>
      </c>
      <c r="D5183" s="1" t="str">
        <f>IF('Twenty-First'!D186="", "",'Twenty-First'!D186)</f>
        <v/>
      </c>
      <c r="E5183" s="1" t="str">
        <f>IF('Twenty-First'!E186="", "",'Twenty-First'!E186)</f>
        <v/>
      </c>
      <c r="F5183" s="1" t="str">
        <f>IF('Twenty-First'!F186="", "",'Twenty-First'!F186)</f>
        <v/>
      </c>
      <c r="G5183" s="1" t="str">
        <f>IF('Twenty-First'!G186="", "",'Twenty-First'!G186)</f>
        <v/>
      </c>
      <c r="H5183" s="1" t="str">
        <f>IF('Twenty-First'!H186="", "",'Twenty-First'!H186)</f>
        <v/>
      </c>
      <c r="I5183" s="1" t="str">
        <f>IF('Twenty-First'!I186="", "",'Twenty-First'!I186)</f>
        <v/>
      </c>
      <c r="J5183" s="1" t="str">
        <f>IF('Twenty-First'!J186="", "",'Twenty-First'!J186)</f>
        <v/>
      </c>
      <c r="K5183" s="83" t="str">
        <f>IF('Twenty-First'!K186="", "",'Twenty-First'!K186)</f>
        <v/>
      </c>
      <c r="M5183" s="67" t="str">
        <f t="shared" si="246"/>
        <v/>
      </c>
      <c r="N5183" s="76" t="str">
        <f t="shared" si="247"/>
        <v/>
      </c>
      <c r="O5183" s="33">
        <f t="shared" si="245"/>
        <v>0</v>
      </c>
    </row>
    <row r="5184" spans="1:15" x14ac:dyDescent="0.25">
      <c r="A5184" s="64" t="s">
        <v>190</v>
      </c>
      <c r="B5184" s="82" t="str">
        <f>IF('Twenty-First'!B187="", "",'Twenty-First'!B187)</f>
        <v/>
      </c>
      <c r="C5184" s="1" t="str">
        <f>IF('Twenty-First'!C187="", "",'Twenty-First'!C187)</f>
        <v/>
      </c>
      <c r="D5184" s="1" t="str">
        <f>IF('Twenty-First'!D187="", "",'Twenty-First'!D187)</f>
        <v/>
      </c>
      <c r="E5184" s="1" t="str">
        <f>IF('Twenty-First'!E187="", "",'Twenty-First'!E187)</f>
        <v/>
      </c>
      <c r="F5184" s="1" t="str">
        <f>IF('Twenty-First'!F187="", "",'Twenty-First'!F187)</f>
        <v/>
      </c>
      <c r="G5184" s="1" t="str">
        <f>IF('Twenty-First'!G187="", "",'Twenty-First'!G187)</f>
        <v/>
      </c>
      <c r="H5184" s="1" t="str">
        <f>IF('Twenty-First'!H187="", "",'Twenty-First'!H187)</f>
        <v/>
      </c>
      <c r="I5184" s="1" t="str">
        <f>IF('Twenty-First'!I187="", "",'Twenty-First'!I187)</f>
        <v/>
      </c>
      <c r="J5184" s="1" t="str">
        <f>IF('Twenty-First'!J187="", "",'Twenty-First'!J187)</f>
        <v/>
      </c>
      <c r="K5184" s="83" t="str">
        <f>IF('Twenty-First'!K187="", "",'Twenty-First'!K187)</f>
        <v/>
      </c>
      <c r="M5184" s="67" t="str">
        <f t="shared" si="246"/>
        <v/>
      </c>
      <c r="N5184" s="76" t="str">
        <f t="shared" si="247"/>
        <v/>
      </c>
      <c r="O5184" s="33">
        <f t="shared" si="245"/>
        <v>0</v>
      </c>
    </row>
    <row r="5185" spans="1:15" x14ac:dyDescent="0.25">
      <c r="A5185" s="64" t="s">
        <v>190</v>
      </c>
      <c r="B5185" s="82" t="str">
        <f>IF('Twenty-First'!B188="", "",'Twenty-First'!B188)</f>
        <v/>
      </c>
      <c r="C5185" s="1" t="str">
        <f>IF('Twenty-First'!C188="", "",'Twenty-First'!C188)</f>
        <v/>
      </c>
      <c r="D5185" s="1" t="str">
        <f>IF('Twenty-First'!D188="", "",'Twenty-First'!D188)</f>
        <v/>
      </c>
      <c r="E5185" s="1" t="str">
        <f>IF('Twenty-First'!E188="", "",'Twenty-First'!E188)</f>
        <v/>
      </c>
      <c r="F5185" s="1" t="str">
        <f>IF('Twenty-First'!F188="", "",'Twenty-First'!F188)</f>
        <v/>
      </c>
      <c r="G5185" s="1" t="str">
        <f>IF('Twenty-First'!G188="", "",'Twenty-First'!G188)</f>
        <v/>
      </c>
      <c r="H5185" s="1" t="str">
        <f>IF('Twenty-First'!H188="", "",'Twenty-First'!H188)</f>
        <v/>
      </c>
      <c r="I5185" s="1" t="str">
        <f>IF('Twenty-First'!I188="", "",'Twenty-First'!I188)</f>
        <v/>
      </c>
      <c r="J5185" s="1" t="str">
        <f>IF('Twenty-First'!J188="", "",'Twenty-First'!J188)</f>
        <v/>
      </c>
      <c r="K5185" s="83" t="str">
        <f>IF('Twenty-First'!K188="", "",'Twenty-First'!K188)</f>
        <v/>
      </c>
      <c r="M5185" s="67" t="str">
        <f t="shared" si="246"/>
        <v/>
      </c>
      <c r="N5185" s="76" t="str">
        <f t="shared" si="247"/>
        <v/>
      </c>
      <c r="O5185" s="33">
        <f t="shared" si="245"/>
        <v>0</v>
      </c>
    </row>
    <row r="5186" spans="1:15" x14ac:dyDescent="0.25">
      <c r="A5186" s="64" t="s">
        <v>190</v>
      </c>
      <c r="B5186" s="82" t="str">
        <f>IF('Twenty-First'!B189="", "",'Twenty-First'!B189)</f>
        <v/>
      </c>
      <c r="C5186" s="1" t="str">
        <f>IF('Twenty-First'!C189="", "",'Twenty-First'!C189)</f>
        <v/>
      </c>
      <c r="D5186" s="1" t="str">
        <f>IF('Twenty-First'!D189="", "",'Twenty-First'!D189)</f>
        <v/>
      </c>
      <c r="E5186" s="1" t="str">
        <f>IF('Twenty-First'!E189="", "",'Twenty-First'!E189)</f>
        <v/>
      </c>
      <c r="F5186" s="1" t="str">
        <f>IF('Twenty-First'!F189="", "",'Twenty-First'!F189)</f>
        <v/>
      </c>
      <c r="G5186" s="1" t="str">
        <f>IF('Twenty-First'!G189="", "",'Twenty-First'!G189)</f>
        <v/>
      </c>
      <c r="H5186" s="1" t="str">
        <f>IF('Twenty-First'!H189="", "",'Twenty-First'!H189)</f>
        <v/>
      </c>
      <c r="I5186" s="1" t="str">
        <f>IF('Twenty-First'!I189="", "",'Twenty-First'!I189)</f>
        <v/>
      </c>
      <c r="J5186" s="1" t="str">
        <f>IF('Twenty-First'!J189="", "",'Twenty-First'!J189)</f>
        <v/>
      </c>
      <c r="K5186" s="83" t="str">
        <f>IF('Twenty-First'!K189="", "",'Twenty-First'!K189)</f>
        <v/>
      </c>
      <c r="M5186" s="67" t="str">
        <f t="shared" si="246"/>
        <v/>
      </c>
      <c r="N5186" s="76" t="str">
        <f t="shared" si="247"/>
        <v/>
      </c>
      <c r="O5186" s="33">
        <f t="shared" si="245"/>
        <v>0</v>
      </c>
    </row>
    <row r="5187" spans="1:15" x14ac:dyDescent="0.25">
      <c r="A5187" s="64" t="s">
        <v>190</v>
      </c>
      <c r="B5187" s="82" t="str">
        <f>IF('Twenty-First'!B190="", "",'Twenty-First'!B190)</f>
        <v/>
      </c>
      <c r="C5187" s="1" t="str">
        <f>IF('Twenty-First'!C190="", "",'Twenty-First'!C190)</f>
        <v/>
      </c>
      <c r="D5187" s="1" t="str">
        <f>IF('Twenty-First'!D190="", "",'Twenty-First'!D190)</f>
        <v/>
      </c>
      <c r="E5187" s="1" t="str">
        <f>IF('Twenty-First'!E190="", "",'Twenty-First'!E190)</f>
        <v/>
      </c>
      <c r="F5187" s="1" t="str">
        <f>IF('Twenty-First'!F190="", "",'Twenty-First'!F190)</f>
        <v/>
      </c>
      <c r="G5187" s="1" t="str">
        <f>IF('Twenty-First'!G190="", "",'Twenty-First'!G190)</f>
        <v/>
      </c>
      <c r="H5187" s="1" t="str">
        <f>IF('Twenty-First'!H190="", "",'Twenty-First'!H190)</f>
        <v/>
      </c>
      <c r="I5187" s="1" t="str">
        <f>IF('Twenty-First'!I190="", "",'Twenty-First'!I190)</f>
        <v/>
      </c>
      <c r="J5187" s="1" t="str">
        <f>IF('Twenty-First'!J190="", "",'Twenty-First'!J190)</f>
        <v/>
      </c>
      <c r="K5187" s="83" t="str">
        <f>IF('Twenty-First'!K190="", "",'Twenty-First'!K190)</f>
        <v/>
      </c>
      <c r="M5187" s="67" t="str">
        <f t="shared" si="246"/>
        <v/>
      </c>
      <c r="N5187" s="76" t="str">
        <f t="shared" si="247"/>
        <v/>
      </c>
      <c r="O5187" s="33">
        <f t="shared" si="245"/>
        <v>0</v>
      </c>
    </row>
    <row r="5188" spans="1:15" x14ac:dyDescent="0.25">
      <c r="A5188" s="64" t="s">
        <v>190</v>
      </c>
      <c r="B5188" s="82" t="str">
        <f>IF('Twenty-First'!B191="", "",'Twenty-First'!B191)</f>
        <v/>
      </c>
      <c r="C5188" s="1" t="str">
        <f>IF('Twenty-First'!C191="", "",'Twenty-First'!C191)</f>
        <v/>
      </c>
      <c r="D5188" s="1" t="str">
        <f>IF('Twenty-First'!D191="", "",'Twenty-First'!D191)</f>
        <v/>
      </c>
      <c r="E5188" s="1" t="str">
        <f>IF('Twenty-First'!E191="", "",'Twenty-First'!E191)</f>
        <v/>
      </c>
      <c r="F5188" s="1" t="str">
        <f>IF('Twenty-First'!F191="", "",'Twenty-First'!F191)</f>
        <v/>
      </c>
      <c r="G5188" s="1" t="str">
        <f>IF('Twenty-First'!G191="", "",'Twenty-First'!G191)</f>
        <v/>
      </c>
      <c r="H5188" s="1" t="str">
        <f>IF('Twenty-First'!H191="", "",'Twenty-First'!H191)</f>
        <v/>
      </c>
      <c r="I5188" s="1" t="str">
        <f>IF('Twenty-First'!I191="", "",'Twenty-First'!I191)</f>
        <v/>
      </c>
      <c r="J5188" s="1" t="str">
        <f>IF('Twenty-First'!J191="", "",'Twenty-First'!J191)</f>
        <v/>
      </c>
      <c r="K5188" s="83" t="str">
        <f>IF('Twenty-First'!K191="", "",'Twenty-First'!K191)</f>
        <v/>
      </c>
      <c r="M5188" s="67" t="str">
        <f t="shared" si="246"/>
        <v/>
      </c>
      <c r="N5188" s="76" t="str">
        <f t="shared" si="247"/>
        <v/>
      </c>
      <c r="O5188" s="33">
        <f t="shared" si="245"/>
        <v>0</v>
      </c>
    </row>
    <row r="5189" spans="1:15" x14ac:dyDescent="0.25">
      <c r="A5189" s="64" t="s">
        <v>190</v>
      </c>
      <c r="B5189" s="82" t="str">
        <f>IF('Twenty-First'!B192="", "",'Twenty-First'!B192)</f>
        <v/>
      </c>
      <c r="C5189" s="1" t="str">
        <f>IF('Twenty-First'!C192="", "",'Twenty-First'!C192)</f>
        <v/>
      </c>
      <c r="D5189" s="1" t="str">
        <f>IF('Twenty-First'!D192="", "",'Twenty-First'!D192)</f>
        <v/>
      </c>
      <c r="E5189" s="1" t="str">
        <f>IF('Twenty-First'!E192="", "",'Twenty-First'!E192)</f>
        <v/>
      </c>
      <c r="F5189" s="1" t="str">
        <f>IF('Twenty-First'!F192="", "",'Twenty-First'!F192)</f>
        <v/>
      </c>
      <c r="G5189" s="1" t="str">
        <f>IF('Twenty-First'!G192="", "",'Twenty-First'!G192)</f>
        <v/>
      </c>
      <c r="H5189" s="1" t="str">
        <f>IF('Twenty-First'!H192="", "",'Twenty-First'!H192)</f>
        <v/>
      </c>
      <c r="I5189" s="1" t="str">
        <f>IF('Twenty-First'!I192="", "",'Twenty-First'!I192)</f>
        <v/>
      </c>
      <c r="J5189" s="1" t="str">
        <f>IF('Twenty-First'!J192="", "",'Twenty-First'!J192)</f>
        <v/>
      </c>
      <c r="K5189" s="83" t="str">
        <f>IF('Twenty-First'!K192="", "",'Twenty-First'!K192)</f>
        <v/>
      </c>
      <c r="M5189" s="67" t="str">
        <f t="shared" si="246"/>
        <v/>
      </c>
      <c r="N5189" s="76" t="str">
        <f t="shared" si="247"/>
        <v/>
      </c>
      <c r="O5189" s="33">
        <f t="shared" si="245"/>
        <v>0</v>
      </c>
    </row>
    <row r="5190" spans="1:15" x14ac:dyDescent="0.25">
      <c r="A5190" s="64" t="s">
        <v>190</v>
      </c>
      <c r="B5190" s="82" t="str">
        <f>IF('Twenty-First'!B193="", "",'Twenty-First'!B193)</f>
        <v/>
      </c>
      <c r="C5190" s="1" t="str">
        <f>IF('Twenty-First'!C193="", "",'Twenty-First'!C193)</f>
        <v/>
      </c>
      <c r="D5190" s="1" t="str">
        <f>IF('Twenty-First'!D193="", "",'Twenty-First'!D193)</f>
        <v/>
      </c>
      <c r="E5190" s="1" t="str">
        <f>IF('Twenty-First'!E193="", "",'Twenty-First'!E193)</f>
        <v/>
      </c>
      <c r="F5190" s="1" t="str">
        <f>IF('Twenty-First'!F193="", "",'Twenty-First'!F193)</f>
        <v/>
      </c>
      <c r="G5190" s="1" t="str">
        <f>IF('Twenty-First'!G193="", "",'Twenty-First'!G193)</f>
        <v/>
      </c>
      <c r="H5190" s="1" t="str">
        <f>IF('Twenty-First'!H193="", "",'Twenty-First'!H193)</f>
        <v/>
      </c>
      <c r="I5190" s="1" t="str">
        <f>IF('Twenty-First'!I193="", "",'Twenty-First'!I193)</f>
        <v/>
      </c>
      <c r="J5190" s="1" t="str">
        <f>IF('Twenty-First'!J193="", "",'Twenty-First'!J193)</f>
        <v/>
      </c>
      <c r="K5190" s="83" t="str">
        <f>IF('Twenty-First'!K193="", "",'Twenty-First'!K193)</f>
        <v/>
      </c>
      <c r="M5190" s="67" t="str">
        <f t="shared" si="246"/>
        <v/>
      </c>
      <c r="N5190" s="76" t="str">
        <f t="shared" si="247"/>
        <v/>
      </c>
      <c r="O5190" s="33">
        <f t="shared" si="245"/>
        <v>0</v>
      </c>
    </row>
    <row r="5191" spans="1:15" x14ac:dyDescent="0.25">
      <c r="A5191" s="64" t="s">
        <v>190</v>
      </c>
      <c r="B5191" s="82" t="str">
        <f>IF('Twenty-First'!B194="", "",'Twenty-First'!B194)</f>
        <v/>
      </c>
      <c r="C5191" s="1" t="str">
        <f>IF('Twenty-First'!C194="", "",'Twenty-First'!C194)</f>
        <v/>
      </c>
      <c r="D5191" s="1" t="str">
        <f>IF('Twenty-First'!D194="", "",'Twenty-First'!D194)</f>
        <v/>
      </c>
      <c r="E5191" s="1" t="str">
        <f>IF('Twenty-First'!E194="", "",'Twenty-First'!E194)</f>
        <v/>
      </c>
      <c r="F5191" s="1" t="str">
        <f>IF('Twenty-First'!F194="", "",'Twenty-First'!F194)</f>
        <v/>
      </c>
      <c r="G5191" s="1" t="str">
        <f>IF('Twenty-First'!G194="", "",'Twenty-First'!G194)</f>
        <v/>
      </c>
      <c r="H5191" s="1" t="str">
        <f>IF('Twenty-First'!H194="", "",'Twenty-First'!H194)</f>
        <v/>
      </c>
      <c r="I5191" s="1" t="str">
        <f>IF('Twenty-First'!I194="", "",'Twenty-First'!I194)</f>
        <v/>
      </c>
      <c r="J5191" s="1" t="str">
        <f>IF('Twenty-First'!J194="", "",'Twenty-First'!J194)</f>
        <v/>
      </c>
      <c r="K5191" s="83" t="str">
        <f>IF('Twenty-First'!K194="", "",'Twenty-First'!K194)</f>
        <v/>
      </c>
      <c r="M5191" s="67" t="str">
        <f t="shared" si="246"/>
        <v/>
      </c>
      <c r="N5191" s="76" t="str">
        <f t="shared" si="247"/>
        <v/>
      </c>
      <c r="O5191" s="33">
        <f t="shared" si="245"/>
        <v>0</v>
      </c>
    </row>
    <row r="5192" spans="1:15" x14ac:dyDescent="0.25">
      <c r="A5192" s="64" t="s">
        <v>190</v>
      </c>
      <c r="B5192" s="82" t="str">
        <f>IF('Twenty-First'!B195="", "",'Twenty-First'!B195)</f>
        <v/>
      </c>
      <c r="C5192" s="1" t="str">
        <f>IF('Twenty-First'!C195="", "",'Twenty-First'!C195)</f>
        <v/>
      </c>
      <c r="D5192" s="1" t="str">
        <f>IF('Twenty-First'!D195="", "",'Twenty-First'!D195)</f>
        <v/>
      </c>
      <c r="E5192" s="1" t="str">
        <f>IF('Twenty-First'!E195="", "",'Twenty-First'!E195)</f>
        <v/>
      </c>
      <c r="F5192" s="1" t="str">
        <f>IF('Twenty-First'!F195="", "",'Twenty-First'!F195)</f>
        <v/>
      </c>
      <c r="G5192" s="1" t="str">
        <f>IF('Twenty-First'!G195="", "",'Twenty-First'!G195)</f>
        <v/>
      </c>
      <c r="H5192" s="1" t="str">
        <f>IF('Twenty-First'!H195="", "",'Twenty-First'!H195)</f>
        <v/>
      </c>
      <c r="I5192" s="1" t="str">
        <f>IF('Twenty-First'!I195="", "",'Twenty-First'!I195)</f>
        <v/>
      </c>
      <c r="J5192" s="1" t="str">
        <f>IF('Twenty-First'!J195="", "",'Twenty-First'!J195)</f>
        <v/>
      </c>
      <c r="K5192" s="83" t="str">
        <f>IF('Twenty-First'!K195="", "",'Twenty-First'!K195)</f>
        <v/>
      </c>
      <c r="M5192" s="67" t="str">
        <f t="shared" si="246"/>
        <v/>
      </c>
      <c r="N5192" s="76" t="str">
        <f t="shared" si="247"/>
        <v/>
      </c>
      <c r="O5192" s="33">
        <f t="shared" si="245"/>
        <v>0</v>
      </c>
    </row>
    <row r="5193" spans="1:15" x14ac:dyDescent="0.25">
      <c r="A5193" s="64" t="s">
        <v>190</v>
      </c>
      <c r="B5193" s="82" t="str">
        <f>IF('Twenty-First'!B196="", "",'Twenty-First'!B196)</f>
        <v/>
      </c>
      <c r="C5193" s="1" t="str">
        <f>IF('Twenty-First'!C196="", "",'Twenty-First'!C196)</f>
        <v/>
      </c>
      <c r="D5193" s="1" t="str">
        <f>IF('Twenty-First'!D196="", "",'Twenty-First'!D196)</f>
        <v/>
      </c>
      <c r="E5193" s="1" t="str">
        <f>IF('Twenty-First'!E196="", "",'Twenty-First'!E196)</f>
        <v/>
      </c>
      <c r="F5193" s="1" t="str">
        <f>IF('Twenty-First'!F196="", "",'Twenty-First'!F196)</f>
        <v/>
      </c>
      <c r="G5193" s="1" t="str">
        <f>IF('Twenty-First'!G196="", "",'Twenty-First'!G196)</f>
        <v/>
      </c>
      <c r="H5193" s="1" t="str">
        <f>IF('Twenty-First'!H196="", "",'Twenty-First'!H196)</f>
        <v/>
      </c>
      <c r="I5193" s="1" t="str">
        <f>IF('Twenty-First'!I196="", "",'Twenty-First'!I196)</f>
        <v/>
      </c>
      <c r="J5193" s="1" t="str">
        <f>IF('Twenty-First'!J196="", "",'Twenty-First'!J196)</f>
        <v/>
      </c>
      <c r="K5193" s="83" t="str">
        <f>IF('Twenty-First'!K196="", "",'Twenty-First'!K196)</f>
        <v/>
      </c>
      <c r="M5193" s="67" t="str">
        <f t="shared" si="246"/>
        <v/>
      </c>
      <c r="N5193" s="76" t="str">
        <f t="shared" si="247"/>
        <v/>
      </c>
      <c r="O5193" s="33">
        <f t="shared" si="245"/>
        <v>0</v>
      </c>
    </row>
    <row r="5194" spans="1:15" x14ac:dyDescent="0.25">
      <c r="A5194" s="64" t="s">
        <v>190</v>
      </c>
      <c r="B5194" s="82" t="str">
        <f>IF('Twenty-First'!B197="", "",'Twenty-First'!B197)</f>
        <v/>
      </c>
      <c r="C5194" s="1" t="str">
        <f>IF('Twenty-First'!C197="", "",'Twenty-First'!C197)</f>
        <v/>
      </c>
      <c r="D5194" s="1" t="str">
        <f>IF('Twenty-First'!D197="", "",'Twenty-First'!D197)</f>
        <v/>
      </c>
      <c r="E5194" s="1" t="str">
        <f>IF('Twenty-First'!E197="", "",'Twenty-First'!E197)</f>
        <v/>
      </c>
      <c r="F5194" s="1" t="str">
        <f>IF('Twenty-First'!F197="", "",'Twenty-First'!F197)</f>
        <v/>
      </c>
      <c r="G5194" s="1" t="str">
        <f>IF('Twenty-First'!G197="", "",'Twenty-First'!G197)</f>
        <v/>
      </c>
      <c r="H5194" s="1" t="str">
        <f>IF('Twenty-First'!H197="", "",'Twenty-First'!H197)</f>
        <v/>
      </c>
      <c r="I5194" s="1" t="str">
        <f>IF('Twenty-First'!I197="", "",'Twenty-First'!I197)</f>
        <v/>
      </c>
      <c r="J5194" s="1" t="str">
        <f>IF('Twenty-First'!J197="", "",'Twenty-First'!J197)</f>
        <v/>
      </c>
      <c r="K5194" s="83" t="str">
        <f>IF('Twenty-First'!K197="", "",'Twenty-First'!K197)</f>
        <v/>
      </c>
      <c r="M5194" s="67" t="str">
        <f t="shared" si="246"/>
        <v/>
      </c>
      <c r="N5194" s="76" t="str">
        <f t="shared" si="247"/>
        <v/>
      </c>
      <c r="O5194" s="33">
        <f t="shared" ref="O5194:O5257" si="248">SUM(M5194:N5194)</f>
        <v>0</v>
      </c>
    </row>
    <row r="5195" spans="1:15" x14ac:dyDescent="0.25">
      <c r="A5195" s="64" t="s">
        <v>190</v>
      </c>
      <c r="B5195" s="82" t="str">
        <f>IF('Twenty-First'!B198="", "",'Twenty-First'!B198)</f>
        <v/>
      </c>
      <c r="C5195" s="1" t="str">
        <f>IF('Twenty-First'!C198="", "",'Twenty-First'!C198)</f>
        <v/>
      </c>
      <c r="D5195" s="1" t="str">
        <f>IF('Twenty-First'!D198="", "",'Twenty-First'!D198)</f>
        <v/>
      </c>
      <c r="E5195" s="1" t="str">
        <f>IF('Twenty-First'!E198="", "",'Twenty-First'!E198)</f>
        <v/>
      </c>
      <c r="F5195" s="1" t="str">
        <f>IF('Twenty-First'!F198="", "",'Twenty-First'!F198)</f>
        <v/>
      </c>
      <c r="G5195" s="1" t="str">
        <f>IF('Twenty-First'!G198="", "",'Twenty-First'!G198)</f>
        <v/>
      </c>
      <c r="H5195" s="1" t="str">
        <f>IF('Twenty-First'!H198="", "",'Twenty-First'!H198)</f>
        <v/>
      </c>
      <c r="I5195" s="1" t="str">
        <f>IF('Twenty-First'!I198="", "",'Twenty-First'!I198)</f>
        <v/>
      </c>
      <c r="J5195" s="1" t="str">
        <f>IF('Twenty-First'!J198="", "",'Twenty-First'!J198)</f>
        <v/>
      </c>
      <c r="K5195" s="83" t="str">
        <f>IF('Twenty-First'!K198="", "",'Twenty-First'!K198)</f>
        <v/>
      </c>
      <c r="M5195" s="67" t="str">
        <f t="shared" ref="M5195:M5258" si="249">IF(C5195="PwC",(7-COUNTIF(B5195:H5195,"")),"")</f>
        <v/>
      </c>
      <c r="N5195" s="76" t="str">
        <f t="shared" ref="N5195:N5258" si="250">IF(C5195="Carer",(7-COUNTIF(B5195:H5195,"")),"")</f>
        <v/>
      </c>
      <c r="O5195" s="33">
        <f t="shared" si="248"/>
        <v>0</v>
      </c>
    </row>
    <row r="5196" spans="1:15" x14ac:dyDescent="0.25">
      <c r="A5196" s="64" t="s">
        <v>190</v>
      </c>
      <c r="B5196" s="82" t="str">
        <f>IF('Twenty-First'!B199="", "",'Twenty-First'!B199)</f>
        <v/>
      </c>
      <c r="C5196" s="1" t="str">
        <f>IF('Twenty-First'!C199="", "",'Twenty-First'!C199)</f>
        <v/>
      </c>
      <c r="D5196" s="1" t="str">
        <f>IF('Twenty-First'!D199="", "",'Twenty-First'!D199)</f>
        <v/>
      </c>
      <c r="E5196" s="1" t="str">
        <f>IF('Twenty-First'!E199="", "",'Twenty-First'!E199)</f>
        <v/>
      </c>
      <c r="F5196" s="1" t="str">
        <f>IF('Twenty-First'!F199="", "",'Twenty-First'!F199)</f>
        <v/>
      </c>
      <c r="G5196" s="1" t="str">
        <f>IF('Twenty-First'!G199="", "",'Twenty-First'!G199)</f>
        <v/>
      </c>
      <c r="H5196" s="1" t="str">
        <f>IF('Twenty-First'!H199="", "",'Twenty-First'!H199)</f>
        <v/>
      </c>
      <c r="I5196" s="1" t="str">
        <f>IF('Twenty-First'!I199="", "",'Twenty-First'!I199)</f>
        <v/>
      </c>
      <c r="J5196" s="1" t="str">
        <f>IF('Twenty-First'!J199="", "",'Twenty-First'!J199)</f>
        <v/>
      </c>
      <c r="K5196" s="83" t="str">
        <f>IF('Twenty-First'!K199="", "",'Twenty-First'!K199)</f>
        <v/>
      </c>
      <c r="M5196" s="67" t="str">
        <f t="shared" si="249"/>
        <v/>
      </c>
      <c r="N5196" s="76" t="str">
        <f t="shared" si="250"/>
        <v/>
      </c>
      <c r="O5196" s="33">
        <f t="shared" si="248"/>
        <v>0</v>
      </c>
    </row>
    <row r="5197" spans="1:15" x14ac:dyDescent="0.25">
      <c r="A5197" s="64" t="s">
        <v>190</v>
      </c>
      <c r="B5197" s="82" t="str">
        <f>IF('Twenty-First'!B200="", "",'Twenty-First'!B200)</f>
        <v/>
      </c>
      <c r="C5197" s="1" t="str">
        <f>IF('Twenty-First'!C200="", "",'Twenty-First'!C200)</f>
        <v/>
      </c>
      <c r="D5197" s="1" t="str">
        <f>IF('Twenty-First'!D200="", "",'Twenty-First'!D200)</f>
        <v/>
      </c>
      <c r="E5197" s="1" t="str">
        <f>IF('Twenty-First'!E200="", "",'Twenty-First'!E200)</f>
        <v/>
      </c>
      <c r="F5197" s="1" t="str">
        <f>IF('Twenty-First'!F200="", "",'Twenty-First'!F200)</f>
        <v/>
      </c>
      <c r="G5197" s="1" t="str">
        <f>IF('Twenty-First'!G200="", "",'Twenty-First'!G200)</f>
        <v/>
      </c>
      <c r="H5197" s="1" t="str">
        <f>IF('Twenty-First'!H200="", "",'Twenty-First'!H200)</f>
        <v/>
      </c>
      <c r="I5197" s="1" t="str">
        <f>IF('Twenty-First'!I200="", "",'Twenty-First'!I200)</f>
        <v/>
      </c>
      <c r="J5197" s="1" t="str">
        <f>IF('Twenty-First'!J200="", "",'Twenty-First'!J200)</f>
        <v/>
      </c>
      <c r="K5197" s="83" t="str">
        <f>IF('Twenty-First'!K200="", "",'Twenty-First'!K200)</f>
        <v/>
      </c>
      <c r="M5197" s="67" t="str">
        <f t="shared" si="249"/>
        <v/>
      </c>
      <c r="N5197" s="76" t="str">
        <f t="shared" si="250"/>
        <v/>
      </c>
      <c r="O5197" s="33">
        <f t="shared" si="248"/>
        <v>0</v>
      </c>
    </row>
    <row r="5198" spans="1:15" x14ac:dyDescent="0.25">
      <c r="A5198" s="64" t="s">
        <v>190</v>
      </c>
      <c r="B5198" s="82" t="str">
        <f>IF('Twenty-First'!B201="", "",'Twenty-First'!B201)</f>
        <v/>
      </c>
      <c r="C5198" s="1" t="str">
        <f>IF('Twenty-First'!C201="", "",'Twenty-First'!C201)</f>
        <v/>
      </c>
      <c r="D5198" s="1" t="str">
        <f>IF('Twenty-First'!D201="", "",'Twenty-First'!D201)</f>
        <v/>
      </c>
      <c r="E5198" s="1" t="str">
        <f>IF('Twenty-First'!E201="", "",'Twenty-First'!E201)</f>
        <v/>
      </c>
      <c r="F5198" s="1" t="str">
        <f>IF('Twenty-First'!F201="", "",'Twenty-First'!F201)</f>
        <v/>
      </c>
      <c r="G5198" s="1" t="str">
        <f>IF('Twenty-First'!G201="", "",'Twenty-First'!G201)</f>
        <v/>
      </c>
      <c r="H5198" s="1" t="str">
        <f>IF('Twenty-First'!H201="", "",'Twenty-First'!H201)</f>
        <v/>
      </c>
      <c r="I5198" s="1" t="str">
        <f>IF('Twenty-First'!I201="", "",'Twenty-First'!I201)</f>
        <v/>
      </c>
      <c r="J5198" s="1" t="str">
        <f>IF('Twenty-First'!J201="", "",'Twenty-First'!J201)</f>
        <v/>
      </c>
      <c r="K5198" s="83" t="str">
        <f>IF('Twenty-First'!K201="", "",'Twenty-First'!K201)</f>
        <v/>
      </c>
      <c r="M5198" s="67" t="str">
        <f t="shared" si="249"/>
        <v/>
      </c>
      <c r="N5198" s="76" t="str">
        <f t="shared" si="250"/>
        <v/>
      </c>
      <c r="O5198" s="33">
        <f t="shared" si="248"/>
        <v>0</v>
      </c>
    </row>
    <row r="5199" spans="1:15" x14ac:dyDescent="0.25">
      <c r="A5199" s="64" t="s">
        <v>190</v>
      </c>
      <c r="B5199" s="82" t="str">
        <f>IF('Twenty-First'!B202="", "",'Twenty-First'!B202)</f>
        <v/>
      </c>
      <c r="C5199" s="1" t="str">
        <f>IF('Twenty-First'!C202="", "",'Twenty-First'!C202)</f>
        <v/>
      </c>
      <c r="D5199" s="1" t="str">
        <f>IF('Twenty-First'!D202="", "",'Twenty-First'!D202)</f>
        <v/>
      </c>
      <c r="E5199" s="1" t="str">
        <f>IF('Twenty-First'!E202="", "",'Twenty-First'!E202)</f>
        <v/>
      </c>
      <c r="F5199" s="1" t="str">
        <f>IF('Twenty-First'!F202="", "",'Twenty-First'!F202)</f>
        <v/>
      </c>
      <c r="G5199" s="1" t="str">
        <f>IF('Twenty-First'!G202="", "",'Twenty-First'!G202)</f>
        <v/>
      </c>
      <c r="H5199" s="1" t="str">
        <f>IF('Twenty-First'!H202="", "",'Twenty-First'!H202)</f>
        <v/>
      </c>
      <c r="I5199" s="1" t="str">
        <f>IF('Twenty-First'!I202="", "",'Twenty-First'!I202)</f>
        <v/>
      </c>
      <c r="J5199" s="1" t="str">
        <f>IF('Twenty-First'!J202="", "",'Twenty-First'!J202)</f>
        <v/>
      </c>
      <c r="K5199" s="83" t="str">
        <f>IF('Twenty-First'!K202="", "",'Twenty-First'!K202)</f>
        <v/>
      </c>
      <c r="M5199" s="67" t="str">
        <f t="shared" si="249"/>
        <v/>
      </c>
      <c r="N5199" s="76" t="str">
        <f t="shared" si="250"/>
        <v/>
      </c>
      <c r="O5199" s="33">
        <f t="shared" si="248"/>
        <v>0</v>
      </c>
    </row>
    <row r="5200" spans="1:15" x14ac:dyDescent="0.25">
      <c r="A5200" s="64" t="s">
        <v>190</v>
      </c>
      <c r="B5200" s="82" t="str">
        <f>IF('Twenty-First'!B203="", "",'Twenty-First'!B203)</f>
        <v/>
      </c>
      <c r="C5200" s="1" t="str">
        <f>IF('Twenty-First'!C203="", "",'Twenty-First'!C203)</f>
        <v/>
      </c>
      <c r="D5200" s="1" t="str">
        <f>IF('Twenty-First'!D203="", "",'Twenty-First'!D203)</f>
        <v/>
      </c>
      <c r="E5200" s="1" t="str">
        <f>IF('Twenty-First'!E203="", "",'Twenty-First'!E203)</f>
        <v/>
      </c>
      <c r="F5200" s="1" t="str">
        <f>IF('Twenty-First'!F203="", "",'Twenty-First'!F203)</f>
        <v/>
      </c>
      <c r="G5200" s="1" t="str">
        <f>IF('Twenty-First'!G203="", "",'Twenty-First'!G203)</f>
        <v/>
      </c>
      <c r="H5200" s="1" t="str">
        <f>IF('Twenty-First'!H203="", "",'Twenty-First'!H203)</f>
        <v/>
      </c>
      <c r="I5200" s="1" t="str">
        <f>IF('Twenty-First'!I203="", "",'Twenty-First'!I203)</f>
        <v/>
      </c>
      <c r="J5200" s="1" t="str">
        <f>IF('Twenty-First'!J203="", "",'Twenty-First'!J203)</f>
        <v/>
      </c>
      <c r="K5200" s="83" t="str">
        <f>IF('Twenty-First'!K203="", "",'Twenty-First'!K203)</f>
        <v/>
      </c>
      <c r="M5200" s="67" t="str">
        <f t="shared" si="249"/>
        <v/>
      </c>
      <c r="N5200" s="76" t="str">
        <f t="shared" si="250"/>
        <v/>
      </c>
      <c r="O5200" s="33">
        <f t="shared" si="248"/>
        <v>0</v>
      </c>
    </row>
    <row r="5201" spans="1:15" x14ac:dyDescent="0.25">
      <c r="A5201" s="64" t="s">
        <v>190</v>
      </c>
      <c r="B5201" s="82" t="str">
        <f>IF('Twenty-First'!B204="", "",'Twenty-First'!B204)</f>
        <v/>
      </c>
      <c r="C5201" s="1" t="str">
        <f>IF('Twenty-First'!C204="", "",'Twenty-First'!C204)</f>
        <v/>
      </c>
      <c r="D5201" s="1" t="str">
        <f>IF('Twenty-First'!D204="", "",'Twenty-First'!D204)</f>
        <v/>
      </c>
      <c r="E5201" s="1" t="str">
        <f>IF('Twenty-First'!E204="", "",'Twenty-First'!E204)</f>
        <v/>
      </c>
      <c r="F5201" s="1" t="str">
        <f>IF('Twenty-First'!F204="", "",'Twenty-First'!F204)</f>
        <v/>
      </c>
      <c r="G5201" s="1" t="str">
        <f>IF('Twenty-First'!G204="", "",'Twenty-First'!G204)</f>
        <v/>
      </c>
      <c r="H5201" s="1" t="str">
        <f>IF('Twenty-First'!H204="", "",'Twenty-First'!H204)</f>
        <v/>
      </c>
      <c r="I5201" s="1" t="str">
        <f>IF('Twenty-First'!I204="", "",'Twenty-First'!I204)</f>
        <v/>
      </c>
      <c r="J5201" s="1" t="str">
        <f>IF('Twenty-First'!J204="", "",'Twenty-First'!J204)</f>
        <v/>
      </c>
      <c r="K5201" s="83" t="str">
        <f>IF('Twenty-First'!K204="", "",'Twenty-First'!K204)</f>
        <v/>
      </c>
      <c r="M5201" s="67" t="str">
        <f t="shared" si="249"/>
        <v/>
      </c>
      <c r="N5201" s="76" t="str">
        <f t="shared" si="250"/>
        <v/>
      </c>
      <c r="O5201" s="33">
        <f t="shared" si="248"/>
        <v>0</v>
      </c>
    </row>
    <row r="5202" spans="1:15" x14ac:dyDescent="0.25">
      <c r="A5202" s="64" t="s">
        <v>190</v>
      </c>
      <c r="B5202" s="82" t="str">
        <f>IF('Twenty-First'!B205="", "",'Twenty-First'!B205)</f>
        <v/>
      </c>
      <c r="C5202" s="1" t="str">
        <f>IF('Twenty-First'!C205="", "",'Twenty-First'!C205)</f>
        <v/>
      </c>
      <c r="D5202" s="1" t="str">
        <f>IF('Twenty-First'!D205="", "",'Twenty-First'!D205)</f>
        <v/>
      </c>
      <c r="E5202" s="1" t="str">
        <f>IF('Twenty-First'!E205="", "",'Twenty-First'!E205)</f>
        <v/>
      </c>
      <c r="F5202" s="1" t="str">
        <f>IF('Twenty-First'!F205="", "",'Twenty-First'!F205)</f>
        <v/>
      </c>
      <c r="G5202" s="1" t="str">
        <f>IF('Twenty-First'!G205="", "",'Twenty-First'!G205)</f>
        <v/>
      </c>
      <c r="H5202" s="1" t="str">
        <f>IF('Twenty-First'!H205="", "",'Twenty-First'!H205)</f>
        <v/>
      </c>
      <c r="I5202" s="1" t="str">
        <f>IF('Twenty-First'!I205="", "",'Twenty-First'!I205)</f>
        <v/>
      </c>
      <c r="J5202" s="1" t="str">
        <f>IF('Twenty-First'!J205="", "",'Twenty-First'!J205)</f>
        <v/>
      </c>
      <c r="K5202" s="83" t="str">
        <f>IF('Twenty-First'!K205="", "",'Twenty-First'!K205)</f>
        <v/>
      </c>
      <c r="L5202" s="88"/>
      <c r="M5202" s="67" t="str">
        <f t="shared" si="249"/>
        <v/>
      </c>
      <c r="N5202" s="76" t="str">
        <f t="shared" si="250"/>
        <v/>
      </c>
      <c r="O5202" s="33">
        <f t="shared" si="248"/>
        <v>0</v>
      </c>
    </row>
    <row r="5203" spans="1:15" x14ac:dyDescent="0.25">
      <c r="A5203" s="64" t="s">
        <v>190</v>
      </c>
      <c r="B5203" s="82" t="str">
        <f>IF('Twenty-First'!B206="", "",'Twenty-First'!B206)</f>
        <v/>
      </c>
      <c r="C5203" s="1" t="str">
        <f>IF('Twenty-First'!C206="", "",'Twenty-First'!C206)</f>
        <v/>
      </c>
      <c r="D5203" s="1" t="str">
        <f>IF('Twenty-First'!D206="", "",'Twenty-First'!D206)</f>
        <v/>
      </c>
      <c r="E5203" s="1" t="str">
        <f>IF('Twenty-First'!E206="", "",'Twenty-First'!E206)</f>
        <v/>
      </c>
      <c r="F5203" s="1" t="str">
        <f>IF('Twenty-First'!F206="", "",'Twenty-First'!F206)</f>
        <v/>
      </c>
      <c r="G5203" s="1" t="str">
        <f>IF('Twenty-First'!G206="", "",'Twenty-First'!G206)</f>
        <v/>
      </c>
      <c r="H5203" s="1" t="str">
        <f>IF('Twenty-First'!H206="", "",'Twenty-First'!H206)</f>
        <v/>
      </c>
      <c r="I5203" s="1" t="str">
        <f>IF('Twenty-First'!I206="", "",'Twenty-First'!I206)</f>
        <v/>
      </c>
      <c r="J5203" s="1" t="str">
        <f>IF('Twenty-First'!J206="", "",'Twenty-First'!J206)</f>
        <v/>
      </c>
      <c r="K5203" s="83" t="str">
        <f>IF('Twenty-First'!K206="", "",'Twenty-First'!K206)</f>
        <v/>
      </c>
      <c r="L5203" s="88"/>
      <c r="M5203" s="67" t="str">
        <f t="shared" si="249"/>
        <v/>
      </c>
      <c r="N5203" s="76" t="str">
        <f t="shared" si="250"/>
        <v/>
      </c>
      <c r="O5203" s="33">
        <f t="shared" si="248"/>
        <v>0</v>
      </c>
    </row>
    <row r="5204" spans="1:15" x14ac:dyDescent="0.25">
      <c r="A5204" s="64" t="s">
        <v>190</v>
      </c>
      <c r="B5204" s="82" t="str">
        <f>IF('Twenty-First'!B207="", "",'Twenty-First'!B207)</f>
        <v/>
      </c>
      <c r="C5204" s="1" t="str">
        <f>IF('Twenty-First'!C207="", "",'Twenty-First'!C207)</f>
        <v/>
      </c>
      <c r="D5204" s="1" t="str">
        <f>IF('Twenty-First'!D207="", "",'Twenty-First'!D207)</f>
        <v/>
      </c>
      <c r="E5204" s="1" t="str">
        <f>IF('Twenty-First'!E207="", "",'Twenty-First'!E207)</f>
        <v/>
      </c>
      <c r="F5204" s="1" t="str">
        <f>IF('Twenty-First'!F207="", "",'Twenty-First'!F207)</f>
        <v/>
      </c>
      <c r="G5204" s="1" t="str">
        <f>IF('Twenty-First'!G207="", "",'Twenty-First'!G207)</f>
        <v/>
      </c>
      <c r="H5204" s="1" t="str">
        <f>IF('Twenty-First'!H207="", "",'Twenty-First'!H207)</f>
        <v/>
      </c>
      <c r="I5204" s="1" t="str">
        <f>IF('Twenty-First'!I207="", "",'Twenty-First'!I207)</f>
        <v/>
      </c>
      <c r="J5204" s="1" t="str">
        <f>IF('Twenty-First'!J207="", "",'Twenty-First'!J207)</f>
        <v/>
      </c>
      <c r="K5204" s="83" t="str">
        <f>IF('Twenty-First'!K207="", "",'Twenty-First'!K207)</f>
        <v/>
      </c>
      <c r="L5204" s="88"/>
      <c r="M5204" s="67" t="str">
        <f t="shared" si="249"/>
        <v/>
      </c>
      <c r="N5204" s="76" t="str">
        <f t="shared" si="250"/>
        <v/>
      </c>
      <c r="O5204" s="33">
        <f t="shared" si="248"/>
        <v>0</v>
      </c>
    </row>
    <row r="5205" spans="1:15" x14ac:dyDescent="0.25">
      <c r="A5205" s="64" t="s">
        <v>190</v>
      </c>
      <c r="B5205" s="82" t="str">
        <f>IF('Twenty-First'!B208="", "",'Twenty-First'!B208)</f>
        <v/>
      </c>
      <c r="C5205" s="1" t="str">
        <f>IF('Twenty-First'!C208="", "",'Twenty-First'!C208)</f>
        <v/>
      </c>
      <c r="D5205" s="1" t="str">
        <f>IF('Twenty-First'!D208="", "",'Twenty-First'!D208)</f>
        <v/>
      </c>
      <c r="E5205" s="1" t="str">
        <f>IF('Twenty-First'!E208="", "",'Twenty-First'!E208)</f>
        <v/>
      </c>
      <c r="F5205" s="1" t="str">
        <f>IF('Twenty-First'!F208="", "",'Twenty-First'!F208)</f>
        <v/>
      </c>
      <c r="G5205" s="1" t="str">
        <f>IF('Twenty-First'!G208="", "",'Twenty-First'!G208)</f>
        <v/>
      </c>
      <c r="H5205" s="1" t="str">
        <f>IF('Twenty-First'!H208="", "",'Twenty-First'!H208)</f>
        <v/>
      </c>
      <c r="I5205" s="1" t="str">
        <f>IF('Twenty-First'!I208="", "",'Twenty-First'!I208)</f>
        <v/>
      </c>
      <c r="J5205" s="1" t="str">
        <f>IF('Twenty-First'!J208="", "",'Twenty-First'!J208)</f>
        <v/>
      </c>
      <c r="K5205" s="83" t="str">
        <f>IF('Twenty-First'!K208="", "",'Twenty-First'!K208)</f>
        <v/>
      </c>
      <c r="L5205" s="88"/>
      <c r="M5205" s="67" t="str">
        <f t="shared" si="249"/>
        <v/>
      </c>
      <c r="N5205" s="76" t="str">
        <f t="shared" si="250"/>
        <v/>
      </c>
      <c r="O5205" s="33">
        <f t="shared" si="248"/>
        <v>0</v>
      </c>
    </row>
    <row r="5206" spans="1:15" x14ac:dyDescent="0.25">
      <c r="A5206" s="64" t="s">
        <v>190</v>
      </c>
      <c r="B5206" s="82" t="str">
        <f>IF('Twenty-First'!B209="", "",'Twenty-First'!B209)</f>
        <v/>
      </c>
      <c r="C5206" s="1" t="str">
        <f>IF('Twenty-First'!C209="", "",'Twenty-First'!C209)</f>
        <v/>
      </c>
      <c r="D5206" s="1" t="str">
        <f>IF('Twenty-First'!D209="", "",'Twenty-First'!D209)</f>
        <v/>
      </c>
      <c r="E5206" s="1" t="str">
        <f>IF('Twenty-First'!E209="", "",'Twenty-First'!E209)</f>
        <v/>
      </c>
      <c r="F5206" s="1" t="str">
        <f>IF('Twenty-First'!F209="", "",'Twenty-First'!F209)</f>
        <v/>
      </c>
      <c r="G5206" s="1" t="str">
        <f>IF('Twenty-First'!G209="", "",'Twenty-First'!G209)</f>
        <v/>
      </c>
      <c r="H5206" s="1" t="str">
        <f>IF('Twenty-First'!H209="", "",'Twenty-First'!H209)</f>
        <v/>
      </c>
      <c r="I5206" s="1" t="str">
        <f>IF('Twenty-First'!I209="", "",'Twenty-First'!I209)</f>
        <v/>
      </c>
      <c r="J5206" s="1" t="str">
        <f>IF('Twenty-First'!J209="", "",'Twenty-First'!J209)</f>
        <v/>
      </c>
      <c r="K5206" s="83" t="str">
        <f>IF('Twenty-First'!K209="", "",'Twenty-First'!K209)</f>
        <v/>
      </c>
      <c r="L5206" s="88"/>
      <c r="M5206" s="67" t="str">
        <f t="shared" si="249"/>
        <v/>
      </c>
      <c r="N5206" s="76" t="str">
        <f t="shared" si="250"/>
        <v/>
      </c>
      <c r="O5206" s="33">
        <f t="shared" si="248"/>
        <v>0</v>
      </c>
    </row>
    <row r="5207" spans="1:15" x14ac:dyDescent="0.25">
      <c r="A5207" s="64" t="s">
        <v>190</v>
      </c>
      <c r="B5207" s="82" t="str">
        <f>IF('Twenty-First'!B210="", "",'Twenty-First'!B210)</f>
        <v/>
      </c>
      <c r="C5207" s="1" t="str">
        <f>IF('Twenty-First'!C210="", "",'Twenty-First'!C210)</f>
        <v/>
      </c>
      <c r="D5207" s="1" t="str">
        <f>IF('Twenty-First'!D210="", "",'Twenty-First'!D210)</f>
        <v/>
      </c>
      <c r="E5207" s="1" t="str">
        <f>IF('Twenty-First'!E210="", "",'Twenty-First'!E210)</f>
        <v/>
      </c>
      <c r="F5207" s="1" t="str">
        <f>IF('Twenty-First'!F210="", "",'Twenty-First'!F210)</f>
        <v/>
      </c>
      <c r="G5207" s="1" t="str">
        <f>IF('Twenty-First'!G210="", "",'Twenty-First'!G210)</f>
        <v/>
      </c>
      <c r="H5207" s="1" t="str">
        <f>IF('Twenty-First'!H210="", "",'Twenty-First'!H210)</f>
        <v/>
      </c>
      <c r="I5207" s="1" t="str">
        <f>IF('Twenty-First'!I210="", "",'Twenty-First'!I210)</f>
        <v/>
      </c>
      <c r="J5207" s="1" t="str">
        <f>IF('Twenty-First'!J210="", "",'Twenty-First'!J210)</f>
        <v/>
      </c>
      <c r="K5207" s="83" t="str">
        <f>IF('Twenty-First'!K210="", "",'Twenty-First'!K210)</f>
        <v/>
      </c>
      <c r="L5207" s="88"/>
      <c r="M5207" s="67" t="str">
        <f t="shared" si="249"/>
        <v/>
      </c>
      <c r="N5207" s="76" t="str">
        <f t="shared" si="250"/>
        <v/>
      </c>
      <c r="O5207" s="33">
        <f t="shared" si="248"/>
        <v>0</v>
      </c>
    </row>
    <row r="5208" spans="1:15" x14ac:dyDescent="0.25">
      <c r="A5208" s="64" t="s">
        <v>190</v>
      </c>
      <c r="B5208" s="82" t="str">
        <f>IF('Twenty-First'!B211="", "",'Twenty-First'!B211)</f>
        <v/>
      </c>
      <c r="C5208" s="1" t="str">
        <f>IF('Twenty-First'!C211="", "",'Twenty-First'!C211)</f>
        <v/>
      </c>
      <c r="D5208" s="1" t="str">
        <f>IF('Twenty-First'!D211="", "",'Twenty-First'!D211)</f>
        <v/>
      </c>
      <c r="E5208" s="1" t="str">
        <f>IF('Twenty-First'!E211="", "",'Twenty-First'!E211)</f>
        <v/>
      </c>
      <c r="F5208" s="1" t="str">
        <f>IF('Twenty-First'!F211="", "",'Twenty-First'!F211)</f>
        <v/>
      </c>
      <c r="G5208" s="1" t="str">
        <f>IF('Twenty-First'!G211="", "",'Twenty-First'!G211)</f>
        <v/>
      </c>
      <c r="H5208" s="1" t="str">
        <f>IF('Twenty-First'!H211="", "",'Twenty-First'!H211)</f>
        <v/>
      </c>
      <c r="I5208" s="1" t="str">
        <f>IF('Twenty-First'!I211="", "",'Twenty-First'!I211)</f>
        <v/>
      </c>
      <c r="J5208" s="1" t="str">
        <f>IF('Twenty-First'!J211="", "",'Twenty-First'!J211)</f>
        <v/>
      </c>
      <c r="K5208" s="83" t="str">
        <f>IF('Twenty-First'!K211="", "",'Twenty-First'!K211)</f>
        <v/>
      </c>
      <c r="L5208" s="88"/>
      <c r="M5208" s="67" t="str">
        <f t="shared" si="249"/>
        <v/>
      </c>
      <c r="N5208" s="76" t="str">
        <f t="shared" si="250"/>
        <v/>
      </c>
      <c r="O5208" s="33">
        <f t="shared" si="248"/>
        <v>0</v>
      </c>
    </row>
    <row r="5209" spans="1:15" x14ac:dyDescent="0.25">
      <c r="A5209" s="64" t="s">
        <v>190</v>
      </c>
      <c r="B5209" s="82" t="str">
        <f>IF('Twenty-First'!B212="", "",'Twenty-First'!B212)</f>
        <v/>
      </c>
      <c r="C5209" s="1" t="str">
        <f>IF('Twenty-First'!C212="", "",'Twenty-First'!C212)</f>
        <v/>
      </c>
      <c r="D5209" s="1" t="str">
        <f>IF('Twenty-First'!D212="", "",'Twenty-First'!D212)</f>
        <v/>
      </c>
      <c r="E5209" s="1" t="str">
        <f>IF('Twenty-First'!E212="", "",'Twenty-First'!E212)</f>
        <v/>
      </c>
      <c r="F5209" s="1" t="str">
        <f>IF('Twenty-First'!F212="", "",'Twenty-First'!F212)</f>
        <v/>
      </c>
      <c r="G5209" s="1" t="str">
        <f>IF('Twenty-First'!G212="", "",'Twenty-First'!G212)</f>
        <v/>
      </c>
      <c r="H5209" s="1" t="str">
        <f>IF('Twenty-First'!H212="", "",'Twenty-First'!H212)</f>
        <v/>
      </c>
      <c r="I5209" s="1" t="str">
        <f>IF('Twenty-First'!I212="", "",'Twenty-First'!I212)</f>
        <v/>
      </c>
      <c r="J5209" s="1" t="str">
        <f>IF('Twenty-First'!J212="", "",'Twenty-First'!J212)</f>
        <v/>
      </c>
      <c r="K5209" s="83" t="str">
        <f>IF('Twenty-First'!K212="", "",'Twenty-First'!K212)</f>
        <v/>
      </c>
      <c r="L5209" s="88"/>
      <c r="M5209" s="67" t="str">
        <f t="shared" si="249"/>
        <v/>
      </c>
      <c r="N5209" s="76" t="str">
        <f t="shared" si="250"/>
        <v/>
      </c>
      <c r="O5209" s="33">
        <f t="shared" si="248"/>
        <v>0</v>
      </c>
    </row>
    <row r="5210" spans="1:15" x14ac:dyDescent="0.25">
      <c r="A5210" s="64" t="s">
        <v>190</v>
      </c>
      <c r="B5210" s="82" t="str">
        <f>IF('Twenty-First'!B213="", "",'Twenty-First'!B213)</f>
        <v/>
      </c>
      <c r="C5210" s="1" t="str">
        <f>IF('Twenty-First'!C213="", "",'Twenty-First'!C213)</f>
        <v/>
      </c>
      <c r="D5210" s="1" t="str">
        <f>IF('Twenty-First'!D213="", "",'Twenty-First'!D213)</f>
        <v/>
      </c>
      <c r="E5210" s="1" t="str">
        <f>IF('Twenty-First'!E213="", "",'Twenty-First'!E213)</f>
        <v/>
      </c>
      <c r="F5210" s="1" t="str">
        <f>IF('Twenty-First'!F213="", "",'Twenty-First'!F213)</f>
        <v/>
      </c>
      <c r="G5210" s="1" t="str">
        <f>IF('Twenty-First'!G213="", "",'Twenty-First'!G213)</f>
        <v/>
      </c>
      <c r="H5210" s="1" t="str">
        <f>IF('Twenty-First'!H213="", "",'Twenty-First'!H213)</f>
        <v/>
      </c>
      <c r="I5210" s="1" t="str">
        <f>IF('Twenty-First'!I213="", "",'Twenty-First'!I213)</f>
        <v/>
      </c>
      <c r="J5210" s="1" t="str">
        <f>IF('Twenty-First'!J213="", "",'Twenty-First'!J213)</f>
        <v/>
      </c>
      <c r="K5210" s="83" t="str">
        <f>IF('Twenty-First'!K213="", "",'Twenty-First'!K213)</f>
        <v/>
      </c>
      <c r="L5210" s="88"/>
      <c r="M5210" s="67" t="str">
        <f t="shared" si="249"/>
        <v/>
      </c>
      <c r="N5210" s="76" t="str">
        <f t="shared" si="250"/>
        <v/>
      </c>
      <c r="O5210" s="33">
        <f t="shared" si="248"/>
        <v>0</v>
      </c>
    </row>
    <row r="5211" spans="1:15" x14ac:dyDescent="0.25">
      <c r="A5211" s="64" t="s">
        <v>190</v>
      </c>
      <c r="B5211" s="82" t="str">
        <f>IF('Twenty-First'!B214="", "",'Twenty-First'!B214)</f>
        <v/>
      </c>
      <c r="C5211" s="1" t="str">
        <f>IF('Twenty-First'!C214="", "",'Twenty-First'!C214)</f>
        <v/>
      </c>
      <c r="D5211" s="1" t="str">
        <f>IF('Twenty-First'!D214="", "",'Twenty-First'!D214)</f>
        <v/>
      </c>
      <c r="E5211" s="1" t="str">
        <f>IF('Twenty-First'!E214="", "",'Twenty-First'!E214)</f>
        <v/>
      </c>
      <c r="F5211" s="1" t="str">
        <f>IF('Twenty-First'!F214="", "",'Twenty-First'!F214)</f>
        <v/>
      </c>
      <c r="G5211" s="1" t="str">
        <f>IF('Twenty-First'!G214="", "",'Twenty-First'!G214)</f>
        <v/>
      </c>
      <c r="H5211" s="1" t="str">
        <f>IF('Twenty-First'!H214="", "",'Twenty-First'!H214)</f>
        <v/>
      </c>
      <c r="I5211" s="1" t="str">
        <f>IF('Twenty-First'!I214="", "",'Twenty-First'!I214)</f>
        <v/>
      </c>
      <c r="J5211" s="1" t="str">
        <f>IF('Twenty-First'!J214="", "",'Twenty-First'!J214)</f>
        <v/>
      </c>
      <c r="K5211" s="83" t="str">
        <f>IF('Twenty-First'!K214="", "",'Twenty-First'!K214)</f>
        <v/>
      </c>
      <c r="L5211" s="88"/>
      <c r="M5211" s="67" t="str">
        <f t="shared" si="249"/>
        <v/>
      </c>
      <c r="N5211" s="76" t="str">
        <f t="shared" si="250"/>
        <v/>
      </c>
      <c r="O5211" s="33">
        <f t="shared" si="248"/>
        <v>0</v>
      </c>
    </row>
    <row r="5212" spans="1:15" x14ac:dyDescent="0.25">
      <c r="A5212" s="64" t="s">
        <v>190</v>
      </c>
      <c r="B5212" s="82" t="str">
        <f>IF('Twenty-First'!B215="", "",'Twenty-First'!B215)</f>
        <v/>
      </c>
      <c r="C5212" s="1" t="str">
        <f>IF('Twenty-First'!C215="", "",'Twenty-First'!C215)</f>
        <v/>
      </c>
      <c r="D5212" s="1" t="str">
        <f>IF('Twenty-First'!D215="", "",'Twenty-First'!D215)</f>
        <v/>
      </c>
      <c r="E5212" s="1" t="str">
        <f>IF('Twenty-First'!E215="", "",'Twenty-First'!E215)</f>
        <v/>
      </c>
      <c r="F5212" s="1" t="str">
        <f>IF('Twenty-First'!F215="", "",'Twenty-First'!F215)</f>
        <v/>
      </c>
      <c r="G5212" s="1" t="str">
        <f>IF('Twenty-First'!G215="", "",'Twenty-First'!G215)</f>
        <v/>
      </c>
      <c r="H5212" s="1" t="str">
        <f>IF('Twenty-First'!H215="", "",'Twenty-First'!H215)</f>
        <v/>
      </c>
      <c r="I5212" s="1" t="str">
        <f>IF('Twenty-First'!I215="", "",'Twenty-First'!I215)</f>
        <v/>
      </c>
      <c r="J5212" s="1" t="str">
        <f>IF('Twenty-First'!J215="", "",'Twenty-First'!J215)</f>
        <v/>
      </c>
      <c r="K5212" s="83" t="str">
        <f>IF('Twenty-First'!K215="", "",'Twenty-First'!K215)</f>
        <v/>
      </c>
      <c r="L5212" s="88"/>
      <c r="M5212" s="67" t="str">
        <f t="shared" si="249"/>
        <v/>
      </c>
      <c r="N5212" s="76" t="str">
        <f t="shared" si="250"/>
        <v/>
      </c>
      <c r="O5212" s="33">
        <f t="shared" si="248"/>
        <v>0</v>
      </c>
    </row>
    <row r="5213" spans="1:15" x14ac:dyDescent="0.25">
      <c r="A5213" s="64" t="s">
        <v>190</v>
      </c>
      <c r="B5213" s="82" t="str">
        <f>IF('Twenty-First'!B216="", "",'Twenty-First'!B216)</f>
        <v/>
      </c>
      <c r="C5213" s="1" t="str">
        <f>IF('Twenty-First'!C216="", "",'Twenty-First'!C216)</f>
        <v/>
      </c>
      <c r="D5213" s="1" t="str">
        <f>IF('Twenty-First'!D216="", "",'Twenty-First'!D216)</f>
        <v/>
      </c>
      <c r="E5213" s="1" t="str">
        <f>IF('Twenty-First'!E216="", "",'Twenty-First'!E216)</f>
        <v/>
      </c>
      <c r="F5213" s="1" t="str">
        <f>IF('Twenty-First'!F216="", "",'Twenty-First'!F216)</f>
        <v/>
      </c>
      <c r="G5213" s="1" t="str">
        <f>IF('Twenty-First'!G216="", "",'Twenty-First'!G216)</f>
        <v/>
      </c>
      <c r="H5213" s="1" t="str">
        <f>IF('Twenty-First'!H216="", "",'Twenty-First'!H216)</f>
        <v/>
      </c>
      <c r="I5213" s="1" t="str">
        <f>IF('Twenty-First'!I216="", "",'Twenty-First'!I216)</f>
        <v/>
      </c>
      <c r="J5213" s="1" t="str">
        <f>IF('Twenty-First'!J216="", "",'Twenty-First'!J216)</f>
        <v/>
      </c>
      <c r="K5213" s="83" t="str">
        <f>IF('Twenty-First'!K216="", "",'Twenty-First'!K216)</f>
        <v/>
      </c>
      <c r="L5213" s="88"/>
      <c r="M5213" s="67" t="str">
        <f t="shared" si="249"/>
        <v/>
      </c>
      <c r="N5213" s="76" t="str">
        <f t="shared" si="250"/>
        <v/>
      </c>
      <c r="O5213" s="33">
        <f t="shared" si="248"/>
        <v>0</v>
      </c>
    </row>
    <row r="5214" spans="1:15" x14ac:dyDescent="0.25">
      <c r="A5214" s="64" t="s">
        <v>190</v>
      </c>
      <c r="B5214" s="82" t="str">
        <f>IF('Twenty-First'!B217="", "",'Twenty-First'!B217)</f>
        <v/>
      </c>
      <c r="C5214" s="1" t="str">
        <f>IF('Twenty-First'!C217="", "",'Twenty-First'!C217)</f>
        <v/>
      </c>
      <c r="D5214" s="1" t="str">
        <f>IF('Twenty-First'!D217="", "",'Twenty-First'!D217)</f>
        <v/>
      </c>
      <c r="E5214" s="1" t="str">
        <f>IF('Twenty-First'!E217="", "",'Twenty-First'!E217)</f>
        <v/>
      </c>
      <c r="F5214" s="1" t="str">
        <f>IF('Twenty-First'!F217="", "",'Twenty-First'!F217)</f>
        <v/>
      </c>
      <c r="G5214" s="1" t="str">
        <f>IF('Twenty-First'!G217="", "",'Twenty-First'!G217)</f>
        <v/>
      </c>
      <c r="H5214" s="1" t="str">
        <f>IF('Twenty-First'!H217="", "",'Twenty-First'!H217)</f>
        <v/>
      </c>
      <c r="I5214" s="1" t="str">
        <f>IF('Twenty-First'!I217="", "",'Twenty-First'!I217)</f>
        <v/>
      </c>
      <c r="J5214" s="1" t="str">
        <f>IF('Twenty-First'!J217="", "",'Twenty-First'!J217)</f>
        <v/>
      </c>
      <c r="K5214" s="83" t="str">
        <f>IF('Twenty-First'!K217="", "",'Twenty-First'!K217)</f>
        <v/>
      </c>
      <c r="L5214" s="88"/>
      <c r="M5214" s="67" t="str">
        <f t="shared" si="249"/>
        <v/>
      </c>
      <c r="N5214" s="76" t="str">
        <f t="shared" si="250"/>
        <v/>
      </c>
      <c r="O5214" s="33">
        <f t="shared" si="248"/>
        <v>0</v>
      </c>
    </row>
    <row r="5215" spans="1:15" x14ac:dyDescent="0.25">
      <c r="A5215" s="64" t="s">
        <v>190</v>
      </c>
      <c r="B5215" s="82" t="str">
        <f>IF('Twenty-First'!B218="", "",'Twenty-First'!B218)</f>
        <v/>
      </c>
      <c r="C5215" s="1" t="str">
        <f>IF('Twenty-First'!C218="", "",'Twenty-First'!C218)</f>
        <v/>
      </c>
      <c r="D5215" s="1" t="str">
        <f>IF('Twenty-First'!D218="", "",'Twenty-First'!D218)</f>
        <v/>
      </c>
      <c r="E5215" s="1" t="str">
        <f>IF('Twenty-First'!E218="", "",'Twenty-First'!E218)</f>
        <v/>
      </c>
      <c r="F5215" s="1" t="str">
        <f>IF('Twenty-First'!F218="", "",'Twenty-First'!F218)</f>
        <v/>
      </c>
      <c r="G5215" s="1" t="str">
        <f>IF('Twenty-First'!G218="", "",'Twenty-First'!G218)</f>
        <v/>
      </c>
      <c r="H5215" s="1" t="str">
        <f>IF('Twenty-First'!H218="", "",'Twenty-First'!H218)</f>
        <v/>
      </c>
      <c r="I5215" s="1" t="str">
        <f>IF('Twenty-First'!I218="", "",'Twenty-First'!I218)</f>
        <v/>
      </c>
      <c r="J5215" s="1" t="str">
        <f>IF('Twenty-First'!J218="", "",'Twenty-First'!J218)</f>
        <v/>
      </c>
      <c r="K5215" s="83" t="str">
        <f>IF('Twenty-First'!K218="", "",'Twenty-First'!K218)</f>
        <v/>
      </c>
      <c r="L5215" s="88"/>
      <c r="M5215" s="67" t="str">
        <f t="shared" si="249"/>
        <v/>
      </c>
      <c r="N5215" s="76" t="str">
        <f t="shared" si="250"/>
        <v/>
      </c>
      <c r="O5215" s="33">
        <f t="shared" si="248"/>
        <v>0</v>
      </c>
    </row>
    <row r="5216" spans="1:15" x14ac:dyDescent="0.25">
      <c r="A5216" s="64" t="s">
        <v>190</v>
      </c>
      <c r="B5216" s="82" t="str">
        <f>IF('Twenty-First'!B219="", "",'Twenty-First'!B219)</f>
        <v/>
      </c>
      <c r="C5216" s="1" t="str">
        <f>IF('Twenty-First'!C219="", "",'Twenty-First'!C219)</f>
        <v/>
      </c>
      <c r="D5216" s="1" t="str">
        <f>IF('Twenty-First'!D219="", "",'Twenty-First'!D219)</f>
        <v/>
      </c>
      <c r="E5216" s="1" t="str">
        <f>IF('Twenty-First'!E219="", "",'Twenty-First'!E219)</f>
        <v/>
      </c>
      <c r="F5216" s="1" t="str">
        <f>IF('Twenty-First'!F219="", "",'Twenty-First'!F219)</f>
        <v/>
      </c>
      <c r="G5216" s="1" t="str">
        <f>IF('Twenty-First'!G219="", "",'Twenty-First'!G219)</f>
        <v/>
      </c>
      <c r="H5216" s="1" t="str">
        <f>IF('Twenty-First'!H219="", "",'Twenty-First'!H219)</f>
        <v/>
      </c>
      <c r="I5216" s="1" t="str">
        <f>IF('Twenty-First'!I219="", "",'Twenty-First'!I219)</f>
        <v/>
      </c>
      <c r="J5216" s="1" t="str">
        <f>IF('Twenty-First'!J219="", "",'Twenty-First'!J219)</f>
        <v/>
      </c>
      <c r="K5216" s="83" t="str">
        <f>IF('Twenty-First'!K219="", "",'Twenty-First'!K219)</f>
        <v/>
      </c>
      <c r="L5216" s="88"/>
      <c r="M5216" s="67" t="str">
        <f t="shared" si="249"/>
        <v/>
      </c>
      <c r="N5216" s="76" t="str">
        <f t="shared" si="250"/>
        <v/>
      </c>
      <c r="O5216" s="33">
        <f t="shared" si="248"/>
        <v>0</v>
      </c>
    </row>
    <row r="5217" spans="1:15" x14ac:dyDescent="0.25">
      <c r="A5217" s="64" t="s">
        <v>190</v>
      </c>
      <c r="B5217" s="82" t="str">
        <f>IF('Twenty-First'!B220="", "",'Twenty-First'!B220)</f>
        <v/>
      </c>
      <c r="C5217" s="1" t="str">
        <f>IF('Twenty-First'!C220="", "",'Twenty-First'!C220)</f>
        <v/>
      </c>
      <c r="D5217" s="1" t="str">
        <f>IF('Twenty-First'!D220="", "",'Twenty-First'!D220)</f>
        <v/>
      </c>
      <c r="E5217" s="1" t="str">
        <f>IF('Twenty-First'!E220="", "",'Twenty-First'!E220)</f>
        <v/>
      </c>
      <c r="F5217" s="1" t="str">
        <f>IF('Twenty-First'!F220="", "",'Twenty-First'!F220)</f>
        <v/>
      </c>
      <c r="G5217" s="1" t="str">
        <f>IF('Twenty-First'!G220="", "",'Twenty-First'!G220)</f>
        <v/>
      </c>
      <c r="H5217" s="1" t="str">
        <f>IF('Twenty-First'!H220="", "",'Twenty-First'!H220)</f>
        <v/>
      </c>
      <c r="I5217" s="1" t="str">
        <f>IF('Twenty-First'!I220="", "",'Twenty-First'!I220)</f>
        <v/>
      </c>
      <c r="J5217" s="1" t="str">
        <f>IF('Twenty-First'!J220="", "",'Twenty-First'!J220)</f>
        <v/>
      </c>
      <c r="K5217" s="83" t="str">
        <f>IF('Twenty-First'!K220="", "",'Twenty-First'!K220)</f>
        <v/>
      </c>
      <c r="L5217" s="88"/>
      <c r="M5217" s="67" t="str">
        <f t="shared" si="249"/>
        <v/>
      </c>
      <c r="N5217" s="76" t="str">
        <f t="shared" si="250"/>
        <v/>
      </c>
      <c r="O5217" s="33">
        <f t="shared" si="248"/>
        <v>0</v>
      </c>
    </row>
    <row r="5218" spans="1:15" x14ac:dyDescent="0.25">
      <c r="A5218" s="64" t="s">
        <v>190</v>
      </c>
      <c r="B5218" s="82" t="str">
        <f>IF('Twenty-First'!B221="", "",'Twenty-First'!B221)</f>
        <v/>
      </c>
      <c r="C5218" s="1" t="str">
        <f>IF('Twenty-First'!C221="", "",'Twenty-First'!C221)</f>
        <v/>
      </c>
      <c r="D5218" s="1" t="str">
        <f>IF('Twenty-First'!D221="", "",'Twenty-First'!D221)</f>
        <v/>
      </c>
      <c r="E5218" s="1" t="str">
        <f>IF('Twenty-First'!E221="", "",'Twenty-First'!E221)</f>
        <v/>
      </c>
      <c r="F5218" s="1" t="str">
        <f>IF('Twenty-First'!F221="", "",'Twenty-First'!F221)</f>
        <v/>
      </c>
      <c r="G5218" s="1" t="str">
        <f>IF('Twenty-First'!G221="", "",'Twenty-First'!G221)</f>
        <v/>
      </c>
      <c r="H5218" s="1" t="str">
        <f>IF('Twenty-First'!H221="", "",'Twenty-First'!H221)</f>
        <v/>
      </c>
      <c r="I5218" s="1" t="str">
        <f>IF('Twenty-First'!I221="", "",'Twenty-First'!I221)</f>
        <v/>
      </c>
      <c r="J5218" s="1" t="str">
        <f>IF('Twenty-First'!J221="", "",'Twenty-First'!J221)</f>
        <v/>
      </c>
      <c r="K5218" s="83" t="str">
        <f>IF('Twenty-First'!K221="", "",'Twenty-First'!K221)</f>
        <v/>
      </c>
      <c r="L5218" s="88"/>
      <c r="M5218" s="67" t="str">
        <f t="shared" si="249"/>
        <v/>
      </c>
      <c r="N5218" s="76" t="str">
        <f t="shared" si="250"/>
        <v/>
      </c>
      <c r="O5218" s="33">
        <f t="shared" si="248"/>
        <v>0</v>
      </c>
    </row>
    <row r="5219" spans="1:15" x14ac:dyDescent="0.25">
      <c r="A5219" s="64" t="s">
        <v>190</v>
      </c>
      <c r="B5219" s="82" t="str">
        <f>IF('Twenty-First'!B222="", "",'Twenty-First'!B222)</f>
        <v/>
      </c>
      <c r="C5219" s="1" t="str">
        <f>IF('Twenty-First'!C222="", "",'Twenty-First'!C222)</f>
        <v/>
      </c>
      <c r="D5219" s="1" t="str">
        <f>IF('Twenty-First'!D222="", "",'Twenty-First'!D222)</f>
        <v/>
      </c>
      <c r="E5219" s="1" t="str">
        <f>IF('Twenty-First'!E222="", "",'Twenty-First'!E222)</f>
        <v/>
      </c>
      <c r="F5219" s="1" t="str">
        <f>IF('Twenty-First'!F222="", "",'Twenty-First'!F222)</f>
        <v/>
      </c>
      <c r="G5219" s="1" t="str">
        <f>IF('Twenty-First'!G222="", "",'Twenty-First'!G222)</f>
        <v/>
      </c>
      <c r="H5219" s="1" t="str">
        <f>IF('Twenty-First'!H222="", "",'Twenty-First'!H222)</f>
        <v/>
      </c>
      <c r="I5219" s="1" t="str">
        <f>IF('Twenty-First'!I222="", "",'Twenty-First'!I222)</f>
        <v/>
      </c>
      <c r="J5219" s="1" t="str">
        <f>IF('Twenty-First'!J222="", "",'Twenty-First'!J222)</f>
        <v/>
      </c>
      <c r="K5219" s="83" t="str">
        <f>IF('Twenty-First'!K222="", "",'Twenty-First'!K222)</f>
        <v/>
      </c>
      <c r="L5219" s="88"/>
      <c r="M5219" s="67" t="str">
        <f t="shared" si="249"/>
        <v/>
      </c>
      <c r="N5219" s="76" t="str">
        <f t="shared" si="250"/>
        <v/>
      </c>
      <c r="O5219" s="33">
        <f t="shared" si="248"/>
        <v>0</v>
      </c>
    </row>
    <row r="5220" spans="1:15" x14ac:dyDescent="0.25">
      <c r="A5220" s="64" t="s">
        <v>190</v>
      </c>
      <c r="B5220" s="82" t="str">
        <f>IF('Twenty-First'!B223="", "",'Twenty-First'!B223)</f>
        <v/>
      </c>
      <c r="C5220" s="1" t="str">
        <f>IF('Twenty-First'!C223="", "",'Twenty-First'!C223)</f>
        <v/>
      </c>
      <c r="D5220" s="1" t="str">
        <f>IF('Twenty-First'!D223="", "",'Twenty-First'!D223)</f>
        <v/>
      </c>
      <c r="E5220" s="1" t="str">
        <f>IF('Twenty-First'!E223="", "",'Twenty-First'!E223)</f>
        <v/>
      </c>
      <c r="F5220" s="1" t="str">
        <f>IF('Twenty-First'!F223="", "",'Twenty-First'!F223)</f>
        <v/>
      </c>
      <c r="G5220" s="1" t="str">
        <f>IF('Twenty-First'!G223="", "",'Twenty-First'!G223)</f>
        <v/>
      </c>
      <c r="H5220" s="1" t="str">
        <f>IF('Twenty-First'!H223="", "",'Twenty-First'!H223)</f>
        <v/>
      </c>
      <c r="I5220" s="1" t="str">
        <f>IF('Twenty-First'!I223="", "",'Twenty-First'!I223)</f>
        <v/>
      </c>
      <c r="J5220" s="1" t="str">
        <f>IF('Twenty-First'!J223="", "",'Twenty-First'!J223)</f>
        <v/>
      </c>
      <c r="K5220" s="83" t="str">
        <f>IF('Twenty-First'!K223="", "",'Twenty-First'!K223)</f>
        <v/>
      </c>
      <c r="L5220" s="88"/>
      <c r="M5220" s="67" t="str">
        <f t="shared" si="249"/>
        <v/>
      </c>
      <c r="N5220" s="76" t="str">
        <f t="shared" si="250"/>
        <v/>
      </c>
      <c r="O5220" s="33">
        <f t="shared" si="248"/>
        <v>0</v>
      </c>
    </row>
    <row r="5221" spans="1:15" x14ac:dyDescent="0.25">
      <c r="A5221" s="64" t="s">
        <v>190</v>
      </c>
      <c r="B5221" s="82" t="str">
        <f>IF('Twenty-First'!B224="", "",'Twenty-First'!B224)</f>
        <v/>
      </c>
      <c r="C5221" s="1" t="str">
        <f>IF('Twenty-First'!C224="", "",'Twenty-First'!C224)</f>
        <v/>
      </c>
      <c r="D5221" s="1" t="str">
        <f>IF('Twenty-First'!D224="", "",'Twenty-First'!D224)</f>
        <v/>
      </c>
      <c r="E5221" s="1" t="str">
        <f>IF('Twenty-First'!E224="", "",'Twenty-First'!E224)</f>
        <v/>
      </c>
      <c r="F5221" s="1" t="str">
        <f>IF('Twenty-First'!F224="", "",'Twenty-First'!F224)</f>
        <v/>
      </c>
      <c r="G5221" s="1" t="str">
        <f>IF('Twenty-First'!G224="", "",'Twenty-First'!G224)</f>
        <v/>
      </c>
      <c r="H5221" s="1" t="str">
        <f>IF('Twenty-First'!H224="", "",'Twenty-First'!H224)</f>
        <v/>
      </c>
      <c r="I5221" s="1" t="str">
        <f>IF('Twenty-First'!I224="", "",'Twenty-First'!I224)</f>
        <v/>
      </c>
      <c r="J5221" s="1" t="str">
        <f>IF('Twenty-First'!J224="", "",'Twenty-First'!J224)</f>
        <v/>
      </c>
      <c r="K5221" s="83" t="str">
        <f>IF('Twenty-First'!K224="", "",'Twenty-First'!K224)</f>
        <v/>
      </c>
      <c r="L5221" s="88"/>
      <c r="M5221" s="67" t="str">
        <f t="shared" si="249"/>
        <v/>
      </c>
      <c r="N5221" s="76" t="str">
        <f t="shared" si="250"/>
        <v/>
      </c>
      <c r="O5221" s="33">
        <f t="shared" si="248"/>
        <v>0</v>
      </c>
    </row>
    <row r="5222" spans="1:15" x14ac:dyDescent="0.25">
      <c r="A5222" s="64" t="s">
        <v>190</v>
      </c>
      <c r="B5222" s="82" t="str">
        <f>IF('Twenty-First'!B225="", "",'Twenty-First'!B225)</f>
        <v/>
      </c>
      <c r="C5222" s="1" t="str">
        <f>IF('Twenty-First'!C225="", "",'Twenty-First'!C225)</f>
        <v/>
      </c>
      <c r="D5222" s="1" t="str">
        <f>IF('Twenty-First'!D225="", "",'Twenty-First'!D225)</f>
        <v/>
      </c>
      <c r="E5222" s="1" t="str">
        <f>IF('Twenty-First'!E225="", "",'Twenty-First'!E225)</f>
        <v/>
      </c>
      <c r="F5222" s="1" t="str">
        <f>IF('Twenty-First'!F225="", "",'Twenty-First'!F225)</f>
        <v/>
      </c>
      <c r="G5222" s="1" t="str">
        <f>IF('Twenty-First'!G225="", "",'Twenty-First'!G225)</f>
        <v/>
      </c>
      <c r="H5222" s="1" t="str">
        <f>IF('Twenty-First'!H225="", "",'Twenty-First'!H225)</f>
        <v/>
      </c>
      <c r="I5222" s="1" t="str">
        <f>IF('Twenty-First'!I225="", "",'Twenty-First'!I225)</f>
        <v/>
      </c>
      <c r="J5222" s="1" t="str">
        <f>IF('Twenty-First'!J225="", "",'Twenty-First'!J225)</f>
        <v/>
      </c>
      <c r="K5222" s="83" t="str">
        <f>IF('Twenty-First'!K225="", "",'Twenty-First'!K225)</f>
        <v/>
      </c>
      <c r="L5222" s="88"/>
      <c r="M5222" s="67" t="str">
        <f t="shared" si="249"/>
        <v/>
      </c>
      <c r="N5222" s="76" t="str">
        <f t="shared" si="250"/>
        <v/>
      </c>
      <c r="O5222" s="33">
        <f t="shared" si="248"/>
        <v>0</v>
      </c>
    </row>
    <row r="5223" spans="1:15" x14ac:dyDescent="0.25">
      <c r="A5223" s="64" t="s">
        <v>190</v>
      </c>
      <c r="B5223" s="82" t="str">
        <f>IF('Twenty-First'!B226="", "",'Twenty-First'!B226)</f>
        <v/>
      </c>
      <c r="C5223" s="1" t="str">
        <f>IF('Twenty-First'!C226="", "",'Twenty-First'!C226)</f>
        <v/>
      </c>
      <c r="D5223" s="1" t="str">
        <f>IF('Twenty-First'!D226="", "",'Twenty-First'!D226)</f>
        <v/>
      </c>
      <c r="E5223" s="1" t="str">
        <f>IF('Twenty-First'!E226="", "",'Twenty-First'!E226)</f>
        <v/>
      </c>
      <c r="F5223" s="1" t="str">
        <f>IF('Twenty-First'!F226="", "",'Twenty-First'!F226)</f>
        <v/>
      </c>
      <c r="G5223" s="1" t="str">
        <f>IF('Twenty-First'!G226="", "",'Twenty-First'!G226)</f>
        <v/>
      </c>
      <c r="H5223" s="1" t="str">
        <f>IF('Twenty-First'!H226="", "",'Twenty-First'!H226)</f>
        <v/>
      </c>
      <c r="I5223" s="1" t="str">
        <f>IF('Twenty-First'!I226="", "",'Twenty-First'!I226)</f>
        <v/>
      </c>
      <c r="J5223" s="1" t="str">
        <f>IF('Twenty-First'!J226="", "",'Twenty-First'!J226)</f>
        <v/>
      </c>
      <c r="K5223" s="83" t="str">
        <f>IF('Twenty-First'!K226="", "",'Twenty-First'!K226)</f>
        <v/>
      </c>
      <c r="L5223" s="88"/>
      <c r="M5223" s="67" t="str">
        <f t="shared" si="249"/>
        <v/>
      </c>
      <c r="N5223" s="76" t="str">
        <f t="shared" si="250"/>
        <v/>
      </c>
      <c r="O5223" s="33">
        <f t="shared" si="248"/>
        <v>0</v>
      </c>
    </row>
    <row r="5224" spans="1:15" x14ac:dyDescent="0.25">
      <c r="A5224" s="64" t="s">
        <v>190</v>
      </c>
      <c r="B5224" s="82" t="str">
        <f>IF('Twenty-First'!B227="", "",'Twenty-First'!B227)</f>
        <v/>
      </c>
      <c r="C5224" s="1" t="str">
        <f>IF('Twenty-First'!C227="", "",'Twenty-First'!C227)</f>
        <v/>
      </c>
      <c r="D5224" s="1" t="str">
        <f>IF('Twenty-First'!D227="", "",'Twenty-First'!D227)</f>
        <v/>
      </c>
      <c r="E5224" s="1" t="str">
        <f>IF('Twenty-First'!E227="", "",'Twenty-First'!E227)</f>
        <v/>
      </c>
      <c r="F5224" s="1" t="str">
        <f>IF('Twenty-First'!F227="", "",'Twenty-First'!F227)</f>
        <v/>
      </c>
      <c r="G5224" s="1" t="str">
        <f>IF('Twenty-First'!G227="", "",'Twenty-First'!G227)</f>
        <v/>
      </c>
      <c r="H5224" s="1" t="str">
        <f>IF('Twenty-First'!H227="", "",'Twenty-First'!H227)</f>
        <v/>
      </c>
      <c r="I5224" s="1" t="str">
        <f>IF('Twenty-First'!I227="", "",'Twenty-First'!I227)</f>
        <v/>
      </c>
      <c r="J5224" s="1" t="str">
        <f>IF('Twenty-First'!J227="", "",'Twenty-First'!J227)</f>
        <v/>
      </c>
      <c r="K5224" s="83" t="str">
        <f>IF('Twenty-First'!K227="", "",'Twenty-First'!K227)</f>
        <v/>
      </c>
      <c r="L5224" s="88"/>
      <c r="M5224" s="67" t="str">
        <f t="shared" si="249"/>
        <v/>
      </c>
      <c r="N5224" s="76" t="str">
        <f t="shared" si="250"/>
        <v/>
      </c>
      <c r="O5224" s="33">
        <f t="shared" si="248"/>
        <v>0</v>
      </c>
    </row>
    <row r="5225" spans="1:15" x14ac:dyDescent="0.25">
      <c r="A5225" s="64" t="s">
        <v>190</v>
      </c>
      <c r="B5225" s="82" t="str">
        <f>IF('Twenty-First'!B228="", "",'Twenty-First'!B228)</f>
        <v/>
      </c>
      <c r="C5225" s="1" t="str">
        <f>IF('Twenty-First'!C228="", "",'Twenty-First'!C228)</f>
        <v/>
      </c>
      <c r="D5225" s="1" t="str">
        <f>IF('Twenty-First'!D228="", "",'Twenty-First'!D228)</f>
        <v/>
      </c>
      <c r="E5225" s="1" t="str">
        <f>IF('Twenty-First'!E228="", "",'Twenty-First'!E228)</f>
        <v/>
      </c>
      <c r="F5225" s="1" t="str">
        <f>IF('Twenty-First'!F228="", "",'Twenty-First'!F228)</f>
        <v/>
      </c>
      <c r="G5225" s="1" t="str">
        <f>IF('Twenty-First'!G228="", "",'Twenty-First'!G228)</f>
        <v/>
      </c>
      <c r="H5225" s="1" t="str">
        <f>IF('Twenty-First'!H228="", "",'Twenty-First'!H228)</f>
        <v/>
      </c>
      <c r="I5225" s="1" t="str">
        <f>IF('Twenty-First'!I228="", "",'Twenty-First'!I228)</f>
        <v/>
      </c>
      <c r="J5225" s="1" t="str">
        <f>IF('Twenty-First'!J228="", "",'Twenty-First'!J228)</f>
        <v/>
      </c>
      <c r="K5225" s="83" t="str">
        <f>IF('Twenty-First'!K228="", "",'Twenty-First'!K228)</f>
        <v/>
      </c>
      <c r="L5225" s="88"/>
      <c r="M5225" s="67" t="str">
        <f t="shared" si="249"/>
        <v/>
      </c>
      <c r="N5225" s="76" t="str">
        <f t="shared" si="250"/>
        <v/>
      </c>
      <c r="O5225" s="33">
        <f t="shared" si="248"/>
        <v>0</v>
      </c>
    </row>
    <row r="5226" spans="1:15" x14ac:dyDescent="0.25">
      <c r="A5226" s="64" t="s">
        <v>190</v>
      </c>
      <c r="B5226" s="82" t="str">
        <f>IF('Twenty-First'!B229="", "",'Twenty-First'!B229)</f>
        <v/>
      </c>
      <c r="C5226" s="1" t="str">
        <f>IF('Twenty-First'!C229="", "",'Twenty-First'!C229)</f>
        <v/>
      </c>
      <c r="D5226" s="1" t="str">
        <f>IF('Twenty-First'!D229="", "",'Twenty-First'!D229)</f>
        <v/>
      </c>
      <c r="E5226" s="1" t="str">
        <f>IF('Twenty-First'!E229="", "",'Twenty-First'!E229)</f>
        <v/>
      </c>
      <c r="F5226" s="1" t="str">
        <f>IF('Twenty-First'!F229="", "",'Twenty-First'!F229)</f>
        <v/>
      </c>
      <c r="G5226" s="1" t="str">
        <f>IF('Twenty-First'!G229="", "",'Twenty-First'!G229)</f>
        <v/>
      </c>
      <c r="H5226" s="1" t="str">
        <f>IF('Twenty-First'!H229="", "",'Twenty-First'!H229)</f>
        <v/>
      </c>
      <c r="I5226" s="1" t="str">
        <f>IF('Twenty-First'!I229="", "",'Twenty-First'!I229)</f>
        <v/>
      </c>
      <c r="J5226" s="1" t="str">
        <f>IF('Twenty-First'!J229="", "",'Twenty-First'!J229)</f>
        <v/>
      </c>
      <c r="K5226" s="83" t="str">
        <f>IF('Twenty-First'!K229="", "",'Twenty-First'!K229)</f>
        <v/>
      </c>
      <c r="L5226" s="88"/>
      <c r="M5226" s="67" t="str">
        <f t="shared" si="249"/>
        <v/>
      </c>
      <c r="N5226" s="76" t="str">
        <f t="shared" si="250"/>
        <v/>
      </c>
      <c r="O5226" s="33">
        <f t="shared" si="248"/>
        <v>0</v>
      </c>
    </row>
    <row r="5227" spans="1:15" x14ac:dyDescent="0.25">
      <c r="A5227" s="64" t="s">
        <v>190</v>
      </c>
      <c r="B5227" s="82" t="str">
        <f>IF('Twenty-First'!B230="", "",'Twenty-First'!B230)</f>
        <v/>
      </c>
      <c r="C5227" s="1" t="str">
        <f>IF('Twenty-First'!C230="", "",'Twenty-First'!C230)</f>
        <v/>
      </c>
      <c r="D5227" s="1" t="str">
        <f>IF('Twenty-First'!D230="", "",'Twenty-First'!D230)</f>
        <v/>
      </c>
      <c r="E5227" s="1" t="str">
        <f>IF('Twenty-First'!E230="", "",'Twenty-First'!E230)</f>
        <v/>
      </c>
      <c r="F5227" s="1" t="str">
        <f>IF('Twenty-First'!F230="", "",'Twenty-First'!F230)</f>
        <v/>
      </c>
      <c r="G5227" s="1" t="str">
        <f>IF('Twenty-First'!G230="", "",'Twenty-First'!G230)</f>
        <v/>
      </c>
      <c r="H5227" s="1" t="str">
        <f>IF('Twenty-First'!H230="", "",'Twenty-First'!H230)</f>
        <v/>
      </c>
      <c r="I5227" s="1" t="str">
        <f>IF('Twenty-First'!I230="", "",'Twenty-First'!I230)</f>
        <v/>
      </c>
      <c r="J5227" s="1" t="str">
        <f>IF('Twenty-First'!J230="", "",'Twenty-First'!J230)</f>
        <v/>
      </c>
      <c r="K5227" s="83" t="str">
        <f>IF('Twenty-First'!K230="", "",'Twenty-First'!K230)</f>
        <v/>
      </c>
      <c r="L5227" s="88"/>
      <c r="M5227" s="67" t="str">
        <f t="shared" si="249"/>
        <v/>
      </c>
      <c r="N5227" s="76" t="str">
        <f t="shared" si="250"/>
        <v/>
      </c>
      <c r="O5227" s="33">
        <f t="shared" si="248"/>
        <v>0</v>
      </c>
    </row>
    <row r="5228" spans="1:15" x14ac:dyDescent="0.25">
      <c r="A5228" s="64" t="s">
        <v>190</v>
      </c>
      <c r="B5228" s="82" t="str">
        <f>IF('Twenty-First'!B231="", "",'Twenty-First'!B231)</f>
        <v/>
      </c>
      <c r="C5228" s="1" t="str">
        <f>IF('Twenty-First'!C231="", "",'Twenty-First'!C231)</f>
        <v/>
      </c>
      <c r="D5228" s="1" t="str">
        <f>IF('Twenty-First'!D231="", "",'Twenty-First'!D231)</f>
        <v/>
      </c>
      <c r="E5228" s="1" t="str">
        <f>IF('Twenty-First'!E231="", "",'Twenty-First'!E231)</f>
        <v/>
      </c>
      <c r="F5228" s="1" t="str">
        <f>IF('Twenty-First'!F231="", "",'Twenty-First'!F231)</f>
        <v/>
      </c>
      <c r="G5228" s="1" t="str">
        <f>IF('Twenty-First'!G231="", "",'Twenty-First'!G231)</f>
        <v/>
      </c>
      <c r="H5228" s="1" t="str">
        <f>IF('Twenty-First'!H231="", "",'Twenty-First'!H231)</f>
        <v/>
      </c>
      <c r="I5228" s="1" t="str">
        <f>IF('Twenty-First'!I231="", "",'Twenty-First'!I231)</f>
        <v/>
      </c>
      <c r="J5228" s="1" t="str">
        <f>IF('Twenty-First'!J231="", "",'Twenty-First'!J231)</f>
        <v/>
      </c>
      <c r="K5228" s="83" t="str">
        <f>IF('Twenty-First'!K231="", "",'Twenty-First'!K231)</f>
        <v/>
      </c>
      <c r="L5228" s="88"/>
      <c r="M5228" s="67" t="str">
        <f t="shared" si="249"/>
        <v/>
      </c>
      <c r="N5228" s="76" t="str">
        <f t="shared" si="250"/>
        <v/>
      </c>
      <c r="O5228" s="33">
        <f t="shared" si="248"/>
        <v>0</v>
      </c>
    </row>
    <row r="5229" spans="1:15" x14ac:dyDescent="0.25">
      <c r="A5229" s="64" t="s">
        <v>190</v>
      </c>
      <c r="B5229" s="82" t="str">
        <f>IF('Twenty-First'!B232="", "",'Twenty-First'!B232)</f>
        <v/>
      </c>
      <c r="C5229" s="1" t="str">
        <f>IF('Twenty-First'!C232="", "",'Twenty-First'!C232)</f>
        <v/>
      </c>
      <c r="D5229" s="1" t="str">
        <f>IF('Twenty-First'!D232="", "",'Twenty-First'!D232)</f>
        <v/>
      </c>
      <c r="E5229" s="1" t="str">
        <f>IF('Twenty-First'!E232="", "",'Twenty-First'!E232)</f>
        <v/>
      </c>
      <c r="F5229" s="1" t="str">
        <f>IF('Twenty-First'!F232="", "",'Twenty-First'!F232)</f>
        <v/>
      </c>
      <c r="G5229" s="1" t="str">
        <f>IF('Twenty-First'!G232="", "",'Twenty-First'!G232)</f>
        <v/>
      </c>
      <c r="H5229" s="1" t="str">
        <f>IF('Twenty-First'!H232="", "",'Twenty-First'!H232)</f>
        <v/>
      </c>
      <c r="I5229" s="1" t="str">
        <f>IF('Twenty-First'!I232="", "",'Twenty-First'!I232)</f>
        <v/>
      </c>
      <c r="J5229" s="1" t="str">
        <f>IF('Twenty-First'!J232="", "",'Twenty-First'!J232)</f>
        <v/>
      </c>
      <c r="K5229" s="83" t="str">
        <f>IF('Twenty-First'!K232="", "",'Twenty-First'!K232)</f>
        <v/>
      </c>
      <c r="L5229" s="88"/>
      <c r="M5229" s="67" t="str">
        <f t="shared" si="249"/>
        <v/>
      </c>
      <c r="N5229" s="76" t="str">
        <f t="shared" si="250"/>
        <v/>
      </c>
      <c r="O5229" s="33">
        <f t="shared" si="248"/>
        <v>0</v>
      </c>
    </row>
    <row r="5230" spans="1:15" x14ac:dyDescent="0.25">
      <c r="A5230" s="64" t="s">
        <v>190</v>
      </c>
      <c r="B5230" s="82" t="str">
        <f>IF('Twenty-First'!B233="", "",'Twenty-First'!B233)</f>
        <v/>
      </c>
      <c r="C5230" s="1" t="str">
        <f>IF('Twenty-First'!C233="", "",'Twenty-First'!C233)</f>
        <v/>
      </c>
      <c r="D5230" s="1" t="str">
        <f>IF('Twenty-First'!D233="", "",'Twenty-First'!D233)</f>
        <v/>
      </c>
      <c r="E5230" s="1" t="str">
        <f>IF('Twenty-First'!E233="", "",'Twenty-First'!E233)</f>
        <v/>
      </c>
      <c r="F5230" s="1" t="str">
        <f>IF('Twenty-First'!F233="", "",'Twenty-First'!F233)</f>
        <v/>
      </c>
      <c r="G5230" s="1" t="str">
        <f>IF('Twenty-First'!G233="", "",'Twenty-First'!G233)</f>
        <v/>
      </c>
      <c r="H5230" s="1" t="str">
        <f>IF('Twenty-First'!H233="", "",'Twenty-First'!H233)</f>
        <v/>
      </c>
      <c r="I5230" s="1" t="str">
        <f>IF('Twenty-First'!I233="", "",'Twenty-First'!I233)</f>
        <v/>
      </c>
      <c r="J5230" s="1" t="str">
        <f>IF('Twenty-First'!J233="", "",'Twenty-First'!J233)</f>
        <v/>
      </c>
      <c r="K5230" s="83" t="str">
        <f>IF('Twenty-First'!K233="", "",'Twenty-First'!K233)</f>
        <v/>
      </c>
      <c r="L5230" s="88"/>
      <c r="M5230" s="67" t="str">
        <f t="shared" si="249"/>
        <v/>
      </c>
      <c r="N5230" s="76" t="str">
        <f t="shared" si="250"/>
        <v/>
      </c>
      <c r="O5230" s="33">
        <f t="shared" si="248"/>
        <v>0</v>
      </c>
    </row>
    <row r="5231" spans="1:15" x14ac:dyDescent="0.25">
      <c r="A5231" s="64" t="s">
        <v>190</v>
      </c>
      <c r="B5231" s="82" t="str">
        <f>IF('Twenty-First'!B234="", "",'Twenty-First'!B234)</f>
        <v/>
      </c>
      <c r="C5231" s="1" t="str">
        <f>IF('Twenty-First'!C234="", "",'Twenty-First'!C234)</f>
        <v/>
      </c>
      <c r="D5231" s="1" t="str">
        <f>IF('Twenty-First'!D234="", "",'Twenty-First'!D234)</f>
        <v/>
      </c>
      <c r="E5231" s="1" t="str">
        <f>IF('Twenty-First'!E234="", "",'Twenty-First'!E234)</f>
        <v/>
      </c>
      <c r="F5231" s="1" t="str">
        <f>IF('Twenty-First'!F234="", "",'Twenty-First'!F234)</f>
        <v/>
      </c>
      <c r="G5231" s="1" t="str">
        <f>IF('Twenty-First'!G234="", "",'Twenty-First'!G234)</f>
        <v/>
      </c>
      <c r="H5231" s="1" t="str">
        <f>IF('Twenty-First'!H234="", "",'Twenty-First'!H234)</f>
        <v/>
      </c>
      <c r="I5231" s="1" t="str">
        <f>IF('Twenty-First'!I234="", "",'Twenty-First'!I234)</f>
        <v/>
      </c>
      <c r="J5231" s="1" t="str">
        <f>IF('Twenty-First'!J234="", "",'Twenty-First'!J234)</f>
        <v/>
      </c>
      <c r="K5231" s="83" t="str">
        <f>IF('Twenty-First'!K234="", "",'Twenty-First'!K234)</f>
        <v/>
      </c>
      <c r="L5231" s="88"/>
      <c r="M5231" s="67" t="str">
        <f t="shared" si="249"/>
        <v/>
      </c>
      <c r="N5231" s="76" t="str">
        <f t="shared" si="250"/>
        <v/>
      </c>
      <c r="O5231" s="33">
        <f t="shared" si="248"/>
        <v>0</v>
      </c>
    </row>
    <row r="5232" spans="1:15" x14ac:dyDescent="0.25">
      <c r="A5232" s="64" t="s">
        <v>190</v>
      </c>
      <c r="B5232" s="82" t="str">
        <f>IF('Twenty-First'!B235="", "",'Twenty-First'!B235)</f>
        <v/>
      </c>
      <c r="C5232" s="1" t="str">
        <f>IF('Twenty-First'!C235="", "",'Twenty-First'!C235)</f>
        <v/>
      </c>
      <c r="D5232" s="1" t="str">
        <f>IF('Twenty-First'!D235="", "",'Twenty-First'!D235)</f>
        <v/>
      </c>
      <c r="E5232" s="1" t="str">
        <f>IF('Twenty-First'!E235="", "",'Twenty-First'!E235)</f>
        <v/>
      </c>
      <c r="F5232" s="1" t="str">
        <f>IF('Twenty-First'!F235="", "",'Twenty-First'!F235)</f>
        <v/>
      </c>
      <c r="G5232" s="1" t="str">
        <f>IF('Twenty-First'!G235="", "",'Twenty-First'!G235)</f>
        <v/>
      </c>
      <c r="H5232" s="1" t="str">
        <f>IF('Twenty-First'!H235="", "",'Twenty-First'!H235)</f>
        <v/>
      </c>
      <c r="I5232" s="1" t="str">
        <f>IF('Twenty-First'!I235="", "",'Twenty-First'!I235)</f>
        <v/>
      </c>
      <c r="J5232" s="1" t="str">
        <f>IF('Twenty-First'!J235="", "",'Twenty-First'!J235)</f>
        <v/>
      </c>
      <c r="K5232" s="83" t="str">
        <f>IF('Twenty-First'!K235="", "",'Twenty-First'!K235)</f>
        <v/>
      </c>
      <c r="L5232" s="88"/>
      <c r="M5232" s="67" t="str">
        <f t="shared" si="249"/>
        <v/>
      </c>
      <c r="N5232" s="76" t="str">
        <f t="shared" si="250"/>
        <v/>
      </c>
      <c r="O5232" s="33">
        <f t="shared" si="248"/>
        <v>0</v>
      </c>
    </row>
    <row r="5233" spans="1:15" x14ac:dyDescent="0.25">
      <c r="A5233" s="64" t="s">
        <v>190</v>
      </c>
      <c r="B5233" s="82" t="str">
        <f>IF('Twenty-First'!B236="", "",'Twenty-First'!B236)</f>
        <v/>
      </c>
      <c r="C5233" s="1" t="str">
        <f>IF('Twenty-First'!C236="", "",'Twenty-First'!C236)</f>
        <v/>
      </c>
      <c r="D5233" s="1" t="str">
        <f>IF('Twenty-First'!D236="", "",'Twenty-First'!D236)</f>
        <v/>
      </c>
      <c r="E5233" s="1" t="str">
        <f>IF('Twenty-First'!E236="", "",'Twenty-First'!E236)</f>
        <v/>
      </c>
      <c r="F5233" s="1" t="str">
        <f>IF('Twenty-First'!F236="", "",'Twenty-First'!F236)</f>
        <v/>
      </c>
      <c r="G5233" s="1" t="str">
        <f>IF('Twenty-First'!G236="", "",'Twenty-First'!G236)</f>
        <v/>
      </c>
      <c r="H5233" s="1" t="str">
        <f>IF('Twenty-First'!H236="", "",'Twenty-First'!H236)</f>
        <v/>
      </c>
      <c r="I5233" s="1" t="str">
        <f>IF('Twenty-First'!I236="", "",'Twenty-First'!I236)</f>
        <v/>
      </c>
      <c r="J5233" s="1" t="str">
        <f>IF('Twenty-First'!J236="", "",'Twenty-First'!J236)</f>
        <v/>
      </c>
      <c r="K5233" s="83" t="str">
        <f>IF('Twenty-First'!K236="", "",'Twenty-First'!K236)</f>
        <v/>
      </c>
      <c r="L5233" s="88"/>
      <c r="M5233" s="67" t="str">
        <f t="shared" si="249"/>
        <v/>
      </c>
      <c r="N5233" s="76" t="str">
        <f t="shared" si="250"/>
        <v/>
      </c>
      <c r="O5233" s="33">
        <f t="shared" si="248"/>
        <v>0</v>
      </c>
    </row>
    <row r="5234" spans="1:15" x14ac:dyDescent="0.25">
      <c r="A5234" s="64" t="s">
        <v>190</v>
      </c>
      <c r="B5234" s="82" t="str">
        <f>IF('Twenty-First'!B237="", "",'Twenty-First'!B237)</f>
        <v/>
      </c>
      <c r="C5234" s="1" t="str">
        <f>IF('Twenty-First'!C237="", "",'Twenty-First'!C237)</f>
        <v/>
      </c>
      <c r="D5234" s="1" t="str">
        <f>IF('Twenty-First'!D237="", "",'Twenty-First'!D237)</f>
        <v/>
      </c>
      <c r="E5234" s="1" t="str">
        <f>IF('Twenty-First'!E237="", "",'Twenty-First'!E237)</f>
        <v/>
      </c>
      <c r="F5234" s="1" t="str">
        <f>IF('Twenty-First'!F237="", "",'Twenty-First'!F237)</f>
        <v/>
      </c>
      <c r="G5234" s="1" t="str">
        <f>IF('Twenty-First'!G237="", "",'Twenty-First'!G237)</f>
        <v/>
      </c>
      <c r="H5234" s="1" t="str">
        <f>IF('Twenty-First'!H237="", "",'Twenty-First'!H237)</f>
        <v/>
      </c>
      <c r="I5234" s="1" t="str">
        <f>IF('Twenty-First'!I237="", "",'Twenty-First'!I237)</f>
        <v/>
      </c>
      <c r="J5234" s="1" t="str">
        <f>IF('Twenty-First'!J237="", "",'Twenty-First'!J237)</f>
        <v/>
      </c>
      <c r="K5234" s="83" t="str">
        <f>IF('Twenty-First'!K237="", "",'Twenty-First'!K237)</f>
        <v/>
      </c>
      <c r="L5234" s="88"/>
      <c r="M5234" s="67" t="str">
        <f t="shared" si="249"/>
        <v/>
      </c>
      <c r="N5234" s="76" t="str">
        <f t="shared" si="250"/>
        <v/>
      </c>
      <c r="O5234" s="33">
        <f t="shared" si="248"/>
        <v>0</v>
      </c>
    </row>
    <row r="5235" spans="1:15" x14ac:dyDescent="0.25">
      <c r="A5235" s="64" t="s">
        <v>190</v>
      </c>
      <c r="B5235" s="82" t="str">
        <f>IF('Twenty-First'!B238="", "",'Twenty-First'!B238)</f>
        <v/>
      </c>
      <c r="C5235" s="1" t="str">
        <f>IF('Twenty-First'!C238="", "",'Twenty-First'!C238)</f>
        <v/>
      </c>
      <c r="D5235" s="1" t="str">
        <f>IF('Twenty-First'!D238="", "",'Twenty-First'!D238)</f>
        <v/>
      </c>
      <c r="E5235" s="1" t="str">
        <f>IF('Twenty-First'!E238="", "",'Twenty-First'!E238)</f>
        <v/>
      </c>
      <c r="F5235" s="1" t="str">
        <f>IF('Twenty-First'!F238="", "",'Twenty-First'!F238)</f>
        <v/>
      </c>
      <c r="G5235" s="1" t="str">
        <f>IF('Twenty-First'!G238="", "",'Twenty-First'!G238)</f>
        <v/>
      </c>
      <c r="H5235" s="1" t="str">
        <f>IF('Twenty-First'!H238="", "",'Twenty-First'!H238)</f>
        <v/>
      </c>
      <c r="I5235" s="1" t="str">
        <f>IF('Twenty-First'!I238="", "",'Twenty-First'!I238)</f>
        <v/>
      </c>
      <c r="J5235" s="1" t="str">
        <f>IF('Twenty-First'!J238="", "",'Twenty-First'!J238)</f>
        <v/>
      </c>
      <c r="K5235" s="83" t="str">
        <f>IF('Twenty-First'!K238="", "",'Twenty-First'!K238)</f>
        <v/>
      </c>
      <c r="L5235" s="88"/>
      <c r="M5235" s="67" t="str">
        <f t="shared" si="249"/>
        <v/>
      </c>
      <c r="N5235" s="76" t="str">
        <f t="shared" si="250"/>
        <v/>
      </c>
      <c r="O5235" s="33">
        <f t="shared" si="248"/>
        <v>0</v>
      </c>
    </row>
    <row r="5236" spans="1:15" x14ac:dyDescent="0.25">
      <c r="A5236" s="64" t="s">
        <v>190</v>
      </c>
      <c r="B5236" s="82" t="str">
        <f>IF('Twenty-First'!B239="", "",'Twenty-First'!B239)</f>
        <v/>
      </c>
      <c r="C5236" s="1" t="str">
        <f>IF('Twenty-First'!C239="", "",'Twenty-First'!C239)</f>
        <v/>
      </c>
      <c r="D5236" s="1" t="str">
        <f>IF('Twenty-First'!D239="", "",'Twenty-First'!D239)</f>
        <v/>
      </c>
      <c r="E5236" s="1" t="str">
        <f>IF('Twenty-First'!E239="", "",'Twenty-First'!E239)</f>
        <v/>
      </c>
      <c r="F5236" s="1" t="str">
        <f>IF('Twenty-First'!F239="", "",'Twenty-First'!F239)</f>
        <v/>
      </c>
      <c r="G5236" s="1" t="str">
        <f>IF('Twenty-First'!G239="", "",'Twenty-First'!G239)</f>
        <v/>
      </c>
      <c r="H5236" s="1" t="str">
        <f>IF('Twenty-First'!H239="", "",'Twenty-First'!H239)</f>
        <v/>
      </c>
      <c r="I5236" s="1" t="str">
        <f>IF('Twenty-First'!I239="", "",'Twenty-First'!I239)</f>
        <v/>
      </c>
      <c r="J5236" s="1" t="str">
        <f>IF('Twenty-First'!J239="", "",'Twenty-First'!J239)</f>
        <v/>
      </c>
      <c r="K5236" s="83" t="str">
        <f>IF('Twenty-First'!K239="", "",'Twenty-First'!K239)</f>
        <v/>
      </c>
      <c r="L5236" s="88"/>
      <c r="M5236" s="67" t="str">
        <f t="shared" si="249"/>
        <v/>
      </c>
      <c r="N5236" s="76" t="str">
        <f t="shared" si="250"/>
        <v/>
      </c>
      <c r="O5236" s="33">
        <f t="shared" si="248"/>
        <v>0</v>
      </c>
    </row>
    <row r="5237" spans="1:15" x14ac:dyDescent="0.25">
      <c r="A5237" s="64" t="s">
        <v>190</v>
      </c>
      <c r="B5237" s="82" t="str">
        <f>IF('Twenty-First'!B240="", "",'Twenty-First'!B240)</f>
        <v/>
      </c>
      <c r="C5237" s="1" t="str">
        <f>IF('Twenty-First'!C240="", "",'Twenty-First'!C240)</f>
        <v/>
      </c>
      <c r="D5237" s="1" t="str">
        <f>IF('Twenty-First'!D240="", "",'Twenty-First'!D240)</f>
        <v/>
      </c>
      <c r="E5237" s="1" t="str">
        <f>IF('Twenty-First'!E240="", "",'Twenty-First'!E240)</f>
        <v/>
      </c>
      <c r="F5237" s="1" t="str">
        <f>IF('Twenty-First'!F240="", "",'Twenty-First'!F240)</f>
        <v/>
      </c>
      <c r="G5237" s="1" t="str">
        <f>IF('Twenty-First'!G240="", "",'Twenty-First'!G240)</f>
        <v/>
      </c>
      <c r="H5237" s="1" t="str">
        <f>IF('Twenty-First'!H240="", "",'Twenty-First'!H240)</f>
        <v/>
      </c>
      <c r="I5237" s="1" t="str">
        <f>IF('Twenty-First'!I240="", "",'Twenty-First'!I240)</f>
        <v/>
      </c>
      <c r="J5237" s="1" t="str">
        <f>IF('Twenty-First'!J240="", "",'Twenty-First'!J240)</f>
        <v/>
      </c>
      <c r="K5237" s="83" t="str">
        <f>IF('Twenty-First'!K240="", "",'Twenty-First'!K240)</f>
        <v/>
      </c>
      <c r="L5237" s="88"/>
      <c r="M5237" s="67" t="str">
        <f t="shared" si="249"/>
        <v/>
      </c>
      <c r="N5237" s="76" t="str">
        <f t="shared" si="250"/>
        <v/>
      </c>
      <c r="O5237" s="33">
        <f t="shared" si="248"/>
        <v>0</v>
      </c>
    </row>
    <row r="5238" spans="1:15" x14ac:dyDescent="0.25">
      <c r="A5238" s="64" t="s">
        <v>190</v>
      </c>
      <c r="B5238" s="82" t="str">
        <f>IF('Twenty-First'!B241="", "",'Twenty-First'!B241)</f>
        <v/>
      </c>
      <c r="C5238" s="1" t="str">
        <f>IF('Twenty-First'!C241="", "",'Twenty-First'!C241)</f>
        <v/>
      </c>
      <c r="D5238" s="1" t="str">
        <f>IF('Twenty-First'!D241="", "",'Twenty-First'!D241)</f>
        <v/>
      </c>
      <c r="E5238" s="1" t="str">
        <f>IF('Twenty-First'!E241="", "",'Twenty-First'!E241)</f>
        <v/>
      </c>
      <c r="F5238" s="1" t="str">
        <f>IF('Twenty-First'!F241="", "",'Twenty-First'!F241)</f>
        <v/>
      </c>
      <c r="G5238" s="1" t="str">
        <f>IF('Twenty-First'!G241="", "",'Twenty-First'!G241)</f>
        <v/>
      </c>
      <c r="H5238" s="1" t="str">
        <f>IF('Twenty-First'!H241="", "",'Twenty-First'!H241)</f>
        <v/>
      </c>
      <c r="I5238" s="1" t="str">
        <f>IF('Twenty-First'!I241="", "",'Twenty-First'!I241)</f>
        <v/>
      </c>
      <c r="J5238" s="1" t="str">
        <f>IF('Twenty-First'!J241="", "",'Twenty-First'!J241)</f>
        <v/>
      </c>
      <c r="K5238" s="83" t="str">
        <f>IF('Twenty-First'!K241="", "",'Twenty-First'!K241)</f>
        <v/>
      </c>
      <c r="L5238" s="88"/>
      <c r="M5238" s="67" t="str">
        <f t="shared" si="249"/>
        <v/>
      </c>
      <c r="N5238" s="76" t="str">
        <f t="shared" si="250"/>
        <v/>
      </c>
      <c r="O5238" s="33">
        <f t="shared" si="248"/>
        <v>0</v>
      </c>
    </row>
    <row r="5239" spans="1:15" x14ac:dyDescent="0.25">
      <c r="A5239" s="64" t="s">
        <v>190</v>
      </c>
      <c r="B5239" s="82" t="str">
        <f>IF('Twenty-First'!B242="", "",'Twenty-First'!B242)</f>
        <v/>
      </c>
      <c r="C5239" s="1" t="str">
        <f>IF('Twenty-First'!C242="", "",'Twenty-First'!C242)</f>
        <v/>
      </c>
      <c r="D5239" s="1" t="str">
        <f>IF('Twenty-First'!D242="", "",'Twenty-First'!D242)</f>
        <v/>
      </c>
      <c r="E5239" s="1" t="str">
        <f>IF('Twenty-First'!E242="", "",'Twenty-First'!E242)</f>
        <v/>
      </c>
      <c r="F5239" s="1" t="str">
        <f>IF('Twenty-First'!F242="", "",'Twenty-First'!F242)</f>
        <v/>
      </c>
      <c r="G5239" s="1" t="str">
        <f>IF('Twenty-First'!G242="", "",'Twenty-First'!G242)</f>
        <v/>
      </c>
      <c r="H5239" s="1" t="str">
        <f>IF('Twenty-First'!H242="", "",'Twenty-First'!H242)</f>
        <v/>
      </c>
      <c r="I5239" s="1" t="str">
        <f>IF('Twenty-First'!I242="", "",'Twenty-First'!I242)</f>
        <v/>
      </c>
      <c r="J5239" s="1" t="str">
        <f>IF('Twenty-First'!J242="", "",'Twenty-First'!J242)</f>
        <v/>
      </c>
      <c r="K5239" s="83" t="str">
        <f>IF('Twenty-First'!K242="", "",'Twenty-First'!K242)</f>
        <v/>
      </c>
      <c r="L5239" s="88"/>
      <c r="M5239" s="67" t="str">
        <f t="shared" si="249"/>
        <v/>
      </c>
      <c r="N5239" s="76" t="str">
        <f t="shared" si="250"/>
        <v/>
      </c>
      <c r="O5239" s="33">
        <f t="shared" si="248"/>
        <v>0</v>
      </c>
    </row>
    <row r="5240" spans="1:15" x14ac:dyDescent="0.25">
      <c r="A5240" s="64" t="s">
        <v>190</v>
      </c>
      <c r="B5240" s="82" t="str">
        <f>IF('Twenty-First'!B243="", "",'Twenty-First'!B243)</f>
        <v/>
      </c>
      <c r="C5240" s="1" t="str">
        <f>IF('Twenty-First'!C243="", "",'Twenty-First'!C243)</f>
        <v/>
      </c>
      <c r="D5240" s="1" t="str">
        <f>IF('Twenty-First'!D243="", "",'Twenty-First'!D243)</f>
        <v/>
      </c>
      <c r="E5240" s="1" t="str">
        <f>IF('Twenty-First'!E243="", "",'Twenty-First'!E243)</f>
        <v/>
      </c>
      <c r="F5240" s="1" t="str">
        <f>IF('Twenty-First'!F243="", "",'Twenty-First'!F243)</f>
        <v/>
      </c>
      <c r="G5240" s="1" t="str">
        <f>IF('Twenty-First'!G243="", "",'Twenty-First'!G243)</f>
        <v/>
      </c>
      <c r="H5240" s="1" t="str">
        <f>IF('Twenty-First'!H243="", "",'Twenty-First'!H243)</f>
        <v/>
      </c>
      <c r="I5240" s="1" t="str">
        <f>IF('Twenty-First'!I243="", "",'Twenty-First'!I243)</f>
        <v/>
      </c>
      <c r="J5240" s="1" t="str">
        <f>IF('Twenty-First'!J243="", "",'Twenty-First'!J243)</f>
        <v/>
      </c>
      <c r="K5240" s="83" t="str">
        <f>IF('Twenty-First'!K243="", "",'Twenty-First'!K243)</f>
        <v/>
      </c>
      <c r="L5240" s="88"/>
      <c r="M5240" s="67" t="str">
        <f t="shared" si="249"/>
        <v/>
      </c>
      <c r="N5240" s="76" t="str">
        <f t="shared" si="250"/>
        <v/>
      </c>
      <c r="O5240" s="33">
        <f t="shared" si="248"/>
        <v>0</v>
      </c>
    </row>
    <row r="5241" spans="1:15" x14ac:dyDescent="0.25">
      <c r="A5241" s="64" t="s">
        <v>190</v>
      </c>
      <c r="B5241" s="82" t="str">
        <f>IF('Twenty-First'!B244="", "",'Twenty-First'!B244)</f>
        <v/>
      </c>
      <c r="C5241" s="1" t="str">
        <f>IF('Twenty-First'!C244="", "",'Twenty-First'!C244)</f>
        <v/>
      </c>
      <c r="D5241" s="1" t="str">
        <f>IF('Twenty-First'!D244="", "",'Twenty-First'!D244)</f>
        <v/>
      </c>
      <c r="E5241" s="1" t="str">
        <f>IF('Twenty-First'!E244="", "",'Twenty-First'!E244)</f>
        <v/>
      </c>
      <c r="F5241" s="1" t="str">
        <f>IF('Twenty-First'!F244="", "",'Twenty-First'!F244)</f>
        <v/>
      </c>
      <c r="G5241" s="1" t="str">
        <f>IF('Twenty-First'!G244="", "",'Twenty-First'!G244)</f>
        <v/>
      </c>
      <c r="H5241" s="1" t="str">
        <f>IF('Twenty-First'!H244="", "",'Twenty-First'!H244)</f>
        <v/>
      </c>
      <c r="I5241" s="1" t="str">
        <f>IF('Twenty-First'!I244="", "",'Twenty-First'!I244)</f>
        <v/>
      </c>
      <c r="J5241" s="1" t="str">
        <f>IF('Twenty-First'!J244="", "",'Twenty-First'!J244)</f>
        <v/>
      </c>
      <c r="K5241" s="83" t="str">
        <f>IF('Twenty-First'!K244="", "",'Twenty-First'!K244)</f>
        <v/>
      </c>
      <c r="L5241" s="88"/>
      <c r="M5241" s="67" t="str">
        <f t="shared" si="249"/>
        <v/>
      </c>
      <c r="N5241" s="76" t="str">
        <f t="shared" si="250"/>
        <v/>
      </c>
      <c r="O5241" s="33">
        <f t="shared" si="248"/>
        <v>0</v>
      </c>
    </row>
    <row r="5242" spans="1:15" x14ac:dyDescent="0.25">
      <c r="A5242" s="64" t="s">
        <v>190</v>
      </c>
      <c r="B5242" s="82" t="str">
        <f>IF('Twenty-First'!B245="", "",'Twenty-First'!B245)</f>
        <v/>
      </c>
      <c r="C5242" s="1" t="str">
        <f>IF('Twenty-First'!C245="", "",'Twenty-First'!C245)</f>
        <v/>
      </c>
      <c r="D5242" s="1" t="str">
        <f>IF('Twenty-First'!D245="", "",'Twenty-First'!D245)</f>
        <v/>
      </c>
      <c r="E5242" s="1" t="str">
        <f>IF('Twenty-First'!E245="", "",'Twenty-First'!E245)</f>
        <v/>
      </c>
      <c r="F5242" s="1" t="str">
        <f>IF('Twenty-First'!F245="", "",'Twenty-First'!F245)</f>
        <v/>
      </c>
      <c r="G5242" s="1" t="str">
        <f>IF('Twenty-First'!G245="", "",'Twenty-First'!G245)</f>
        <v/>
      </c>
      <c r="H5242" s="1" t="str">
        <f>IF('Twenty-First'!H245="", "",'Twenty-First'!H245)</f>
        <v/>
      </c>
      <c r="I5242" s="1" t="str">
        <f>IF('Twenty-First'!I245="", "",'Twenty-First'!I245)</f>
        <v/>
      </c>
      <c r="J5242" s="1" t="str">
        <f>IF('Twenty-First'!J245="", "",'Twenty-First'!J245)</f>
        <v/>
      </c>
      <c r="K5242" s="83" t="str">
        <f>IF('Twenty-First'!K245="", "",'Twenty-First'!K245)</f>
        <v/>
      </c>
      <c r="L5242" s="88"/>
      <c r="M5242" s="67" t="str">
        <f t="shared" si="249"/>
        <v/>
      </c>
      <c r="N5242" s="76" t="str">
        <f t="shared" si="250"/>
        <v/>
      </c>
      <c r="O5242" s="33">
        <f t="shared" si="248"/>
        <v>0</v>
      </c>
    </row>
    <row r="5243" spans="1:15" x14ac:dyDescent="0.25">
      <c r="A5243" s="64" t="s">
        <v>190</v>
      </c>
      <c r="B5243" s="82" t="str">
        <f>IF('Twenty-First'!B246="", "",'Twenty-First'!B246)</f>
        <v/>
      </c>
      <c r="C5243" s="1" t="str">
        <f>IF('Twenty-First'!C246="", "",'Twenty-First'!C246)</f>
        <v/>
      </c>
      <c r="D5243" s="1" t="str">
        <f>IF('Twenty-First'!D246="", "",'Twenty-First'!D246)</f>
        <v/>
      </c>
      <c r="E5243" s="1" t="str">
        <f>IF('Twenty-First'!E246="", "",'Twenty-First'!E246)</f>
        <v/>
      </c>
      <c r="F5243" s="1" t="str">
        <f>IF('Twenty-First'!F246="", "",'Twenty-First'!F246)</f>
        <v/>
      </c>
      <c r="G5243" s="1" t="str">
        <f>IF('Twenty-First'!G246="", "",'Twenty-First'!G246)</f>
        <v/>
      </c>
      <c r="H5243" s="1" t="str">
        <f>IF('Twenty-First'!H246="", "",'Twenty-First'!H246)</f>
        <v/>
      </c>
      <c r="I5243" s="1" t="str">
        <f>IF('Twenty-First'!I246="", "",'Twenty-First'!I246)</f>
        <v/>
      </c>
      <c r="J5243" s="1" t="str">
        <f>IF('Twenty-First'!J246="", "",'Twenty-First'!J246)</f>
        <v/>
      </c>
      <c r="K5243" s="83" t="str">
        <f>IF('Twenty-First'!K246="", "",'Twenty-First'!K246)</f>
        <v/>
      </c>
      <c r="L5243" s="88"/>
      <c r="M5243" s="67" t="str">
        <f t="shared" si="249"/>
        <v/>
      </c>
      <c r="N5243" s="76" t="str">
        <f t="shared" si="250"/>
        <v/>
      </c>
      <c r="O5243" s="33">
        <f t="shared" si="248"/>
        <v>0</v>
      </c>
    </row>
    <row r="5244" spans="1:15" x14ac:dyDescent="0.25">
      <c r="A5244" s="64" t="s">
        <v>190</v>
      </c>
      <c r="B5244" s="82" t="str">
        <f>IF('Twenty-First'!B247="", "",'Twenty-First'!B247)</f>
        <v/>
      </c>
      <c r="C5244" s="1" t="str">
        <f>IF('Twenty-First'!C247="", "",'Twenty-First'!C247)</f>
        <v/>
      </c>
      <c r="D5244" s="1" t="str">
        <f>IF('Twenty-First'!D247="", "",'Twenty-First'!D247)</f>
        <v/>
      </c>
      <c r="E5244" s="1" t="str">
        <f>IF('Twenty-First'!E247="", "",'Twenty-First'!E247)</f>
        <v/>
      </c>
      <c r="F5244" s="1" t="str">
        <f>IF('Twenty-First'!F247="", "",'Twenty-First'!F247)</f>
        <v/>
      </c>
      <c r="G5244" s="1" t="str">
        <f>IF('Twenty-First'!G247="", "",'Twenty-First'!G247)</f>
        <v/>
      </c>
      <c r="H5244" s="1" t="str">
        <f>IF('Twenty-First'!H247="", "",'Twenty-First'!H247)</f>
        <v/>
      </c>
      <c r="I5244" s="1" t="str">
        <f>IF('Twenty-First'!I247="", "",'Twenty-First'!I247)</f>
        <v/>
      </c>
      <c r="J5244" s="1" t="str">
        <f>IF('Twenty-First'!J247="", "",'Twenty-First'!J247)</f>
        <v/>
      </c>
      <c r="K5244" s="83" t="str">
        <f>IF('Twenty-First'!K247="", "",'Twenty-First'!K247)</f>
        <v/>
      </c>
      <c r="L5244" s="88"/>
      <c r="M5244" s="67" t="str">
        <f t="shared" si="249"/>
        <v/>
      </c>
      <c r="N5244" s="76" t="str">
        <f t="shared" si="250"/>
        <v/>
      </c>
      <c r="O5244" s="33">
        <f t="shared" si="248"/>
        <v>0</v>
      </c>
    </row>
    <row r="5245" spans="1:15" x14ac:dyDescent="0.25">
      <c r="A5245" s="64" t="s">
        <v>190</v>
      </c>
      <c r="B5245" s="82" t="str">
        <f>IF('Twenty-First'!B248="", "",'Twenty-First'!B248)</f>
        <v/>
      </c>
      <c r="C5245" s="1" t="str">
        <f>IF('Twenty-First'!C248="", "",'Twenty-First'!C248)</f>
        <v/>
      </c>
      <c r="D5245" s="1" t="str">
        <f>IF('Twenty-First'!D248="", "",'Twenty-First'!D248)</f>
        <v/>
      </c>
      <c r="E5245" s="1" t="str">
        <f>IF('Twenty-First'!E248="", "",'Twenty-First'!E248)</f>
        <v/>
      </c>
      <c r="F5245" s="1" t="str">
        <f>IF('Twenty-First'!F248="", "",'Twenty-First'!F248)</f>
        <v/>
      </c>
      <c r="G5245" s="1" t="str">
        <f>IF('Twenty-First'!G248="", "",'Twenty-First'!G248)</f>
        <v/>
      </c>
      <c r="H5245" s="1" t="str">
        <f>IF('Twenty-First'!H248="", "",'Twenty-First'!H248)</f>
        <v/>
      </c>
      <c r="I5245" s="1" t="str">
        <f>IF('Twenty-First'!I248="", "",'Twenty-First'!I248)</f>
        <v/>
      </c>
      <c r="J5245" s="1" t="str">
        <f>IF('Twenty-First'!J248="", "",'Twenty-First'!J248)</f>
        <v/>
      </c>
      <c r="K5245" s="83" t="str">
        <f>IF('Twenty-First'!K248="", "",'Twenty-First'!K248)</f>
        <v/>
      </c>
      <c r="L5245" s="88"/>
      <c r="M5245" s="67" t="str">
        <f t="shared" si="249"/>
        <v/>
      </c>
      <c r="N5245" s="76" t="str">
        <f t="shared" si="250"/>
        <v/>
      </c>
      <c r="O5245" s="33">
        <f t="shared" si="248"/>
        <v>0</v>
      </c>
    </row>
    <row r="5246" spans="1:15" x14ac:dyDescent="0.25">
      <c r="A5246" s="64" t="s">
        <v>190</v>
      </c>
      <c r="B5246" s="82" t="str">
        <f>IF('Twenty-First'!B249="", "",'Twenty-First'!B249)</f>
        <v/>
      </c>
      <c r="C5246" s="1" t="str">
        <f>IF('Twenty-First'!C249="", "",'Twenty-First'!C249)</f>
        <v/>
      </c>
      <c r="D5246" s="1" t="str">
        <f>IF('Twenty-First'!D249="", "",'Twenty-First'!D249)</f>
        <v/>
      </c>
      <c r="E5246" s="1" t="str">
        <f>IF('Twenty-First'!E249="", "",'Twenty-First'!E249)</f>
        <v/>
      </c>
      <c r="F5246" s="1" t="str">
        <f>IF('Twenty-First'!F249="", "",'Twenty-First'!F249)</f>
        <v/>
      </c>
      <c r="G5246" s="1" t="str">
        <f>IF('Twenty-First'!G249="", "",'Twenty-First'!G249)</f>
        <v/>
      </c>
      <c r="H5246" s="1" t="str">
        <f>IF('Twenty-First'!H249="", "",'Twenty-First'!H249)</f>
        <v/>
      </c>
      <c r="I5246" s="1" t="str">
        <f>IF('Twenty-First'!I249="", "",'Twenty-First'!I249)</f>
        <v/>
      </c>
      <c r="J5246" s="1" t="str">
        <f>IF('Twenty-First'!J249="", "",'Twenty-First'!J249)</f>
        <v/>
      </c>
      <c r="K5246" s="83" t="str">
        <f>IF('Twenty-First'!K249="", "",'Twenty-First'!K249)</f>
        <v/>
      </c>
      <c r="L5246" s="88"/>
      <c r="M5246" s="67" t="str">
        <f t="shared" si="249"/>
        <v/>
      </c>
      <c r="N5246" s="76" t="str">
        <f t="shared" si="250"/>
        <v/>
      </c>
      <c r="O5246" s="33">
        <f t="shared" si="248"/>
        <v>0</v>
      </c>
    </row>
    <row r="5247" spans="1:15" x14ac:dyDescent="0.25">
      <c r="A5247" s="64" t="s">
        <v>190</v>
      </c>
      <c r="B5247" s="82" t="str">
        <f>IF('Twenty-First'!B250="", "",'Twenty-First'!B250)</f>
        <v/>
      </c>
      <c r="C5247" s="1" t="str">
        <f>IF('Twenty-First'!C250="", "",'Twenty-First'!C250)</f>
        <v/>
      </c>
      <c r="D5247" s="1" t="str">
        <f>IF('Twenty-First'!D250="", "",'Twenty-First'!D250)</f>
        <v/>
      </c>
      <c r="E5247" s="1" t="str">
        <f>IF('Twenty-First'!E250="", "",'Twenty-First'!E250)</f>
        <v/>
      </c>
      <c r="F5247" s="1" t="str">
        <f>IF('Twenty-First'!F250="", "",'Twenty-First'!F250)</f>
        <v/>
      </c>
      <c r="G5247" s="1" t="str">
        <f>IF('Twenty-First'!G250="", "",'Twenty-First'!G250)</f>
        <v/>
      </c>
      <c r="H5247" s="1" t="str">
        <f>IF('Twenty-First'!H250="", "",'Twenty-First'!H250)</f>
        <v/>
      </c>
      <c r="I5247" s="1" t="str">
        <f>IF('Twenty-First'!I250="", "",'Twenty-First'!I250)</f>
        <v/>
      </c>
      <c r="J5247" s="1" t="str">
        <f>IF('Twenty-First'!J250="", "",'Twenty-First'!J250)</f>
        <v/>
      </c>
      <c r="K5247" s="83" t="str">
        <f>IF('Twenty-First'!K250="", "",'Twenty-First'!K250)</f>
        <v/>
      </c>
      <c r="L5247" s="88"/>
      <c r="M5247" s="67" t="str">
        <f t="shared" si="249"/>
        <v/>
      </c>
      <c r="N5247" s="76" t="str">
        <f t="shared" si="250"/>
        <v/>
      </c>
      <c r="O5247" s="33">
        <f t="shared" si="248"/>
        <v>0</v>
      </c>
    </row>
    <row r="5248" spans="1:15" x14ac:dyDescent="0.25">
      <c r="A5248" s="64" t="s">
        <v>190</v>
      </c>
      <c r="B5248" s="82" t="str">
        <f>IF('Twenty-First'!B251="", "",'Twenty-First'!B251)</f>
        <v/>
      </c>
      <c r="C5248" s="1" t="str">
        <f>IF('Twenty-First'!C251="", "",'Twenty-First'!C251)</f>
        <v/>
      </c>
      <c r="D5248" s="1" t="str">
        <f>IF('Twenty-First'!D251="", "",'Twenty-First'!D251)</f>
        <v/>
      </c>
      <c r="E5248" s="1" t="str">
        <f>IF('Twenty-First'!E251="", "",'Twenty-First'!E251)</f>
        <v/>
      </c>
      <c r="F5248" s="1" t="str">
        <f>IF('Twenty-First'!F251="", "",'Twenty-First'!F251)</f>
        <v/>
      </c>
      <c r="G5248" s="1" t="str">
        <f>IF('Twenty-First'!G251="", "",'Twenty-First'!G251)</f>
        <v/>
      </c>
      <c r="H5248" s="1" t="str">
        <f>IF('Twenty-First'!H251="", "",'Twenty-First'!H251)</f>
        <v/>
      </c>
      <c r="I5248" s="1" t="str">
        <f>IF('Twenty-First'!I251="", "",'Twenty-First'!I251)</f>
        <v/>
      </c>
      <c r="J5248" s="1" t="str">
        <f>IF('Twenty-First'!J251="", "",'Twenty-First'!J251)</f>
        <v/>
      </c>
      <c r="K5248" s="83" t="str">
        <f>IF('Twenty-First'!K251="", "",'Twenty-First'!K251)</f>
        <v/>
      </c>
      <c r="L5248" s="88"/>
      <c r="M5248" s="67" t="str">
        <f t="shared" si="249"/>
        <v/>
      </c>
      <c r="N5248" s="76" t="str">
        <f t="shared" si="250"/>
        <v/>
      </c>
      <c r="O5248" s="33">
        <f t="shared" si="248"/>
        <v>0</v>
      </c>
    </row>
    <row r="5249" spans="1:15" x14ac:dyDescent="0.25">
      <c r="A5249" s="64" t="s">
        <v>190</v>
      </c>
      <c r="B5249" s="82" t="str">
        <f>IF('Twenty-First'!B252="", "",'Twenty-First'!B252)</f>
        <v/>
      </c>
      <c r="C5249" s="1" t="str">
        <f>IF('Twenty-First'!C252="", "",'Twenty-First'!C252)</f>
        <v/>
      </c>
      <c r="D5249" s="1" t="str">
        <f>IF('Twenty-First'!D252="", "",'Twenty-First'!D252)</f>
        <v/>
      </c>
      <c r="E5249" s="1" t="str">
        <f>IF('Twenty-First'!E252="", "",'Twenty-First'!E252)</f>
        <v/>
      </c>
      <c r="F5249" s="1" t="str">
        <f>IF('Twenty-First'!F252="", "",'Twenty-First'!F252)</f>
        <v/>
      </c>
      <c r="G5249" s="1" t="str">
        <f>IF('Twenty-First'!G252="", "",'Twenty-First'!G252)</f>
        <v/>
      </c>
      <c r="H5249" s="1" t="str">
        <f>IF('Twenty-First'!H252="", "",'Twenty-First'!H252)</f>
        <v/>
      </c>
      <c r="I5249" s="1" t="str">
        <f>IF('Twenty-First'!I252="", "",'Twenty-First'!I252)</f>
        <v/>
      </c>
      <c r="J5249" s="1" t="str">
        <f>IF('Twenty-First'!J252="", "",'Twenty-First'!J252)</f>
        <v/>
      </c>
      <c r="K5249" s="83" t="str">
        <f>IF('Twenty-First'!K252="", "",'Twenty-First'!K252)</f>
        <v/>
      </c>
      <c r="L5249" s="88"/>
      <c r="M5249" s="67" t="str">
        <f t="shared" si="249"/>
        <v/>
      </c>
      <c r="N5249" s="76" t="str">
        <f t="shared" si="250"/>
        <v/>
      </c>
      <c r="O5249" s="33">
        <f t="shared" si="248"/>
        <v>0</v>
      </c>
    </row>
    <row r="5250" spans="1:15" x14ac:dyDescent="0.25">
      <c r="A5250" s="64" t="s">
        <v>190</v>
      </c>
      <c r="B5250" s="82" t="str">
        <f>IF('Twenty-First'!B253="", "",'Twenty-First'!B253)</f>
        <v/>
      </c>
      <c r="C5250" s="1" t="str">
        <f>IF('Twenty-First'!C253="", "",'Twenty-First'!C253)</f>
        <v/>
      </c>
      <c r="D5250" s="1" t="str">
        <f>IF('Twenty-First'!D253="", "",'Twenty-First'!D253)</f>
        <v/>
      </c>
      <c r="E5250" s="1" t="str">
        <f>IF('Twenty-First'!E253="", "",'Twenty-First'!E253)</f>
        <v/>
      </c>
      <c r="F5250" s="1" t="str">
        <f>IF('Twenty-First'!F253="", "",'Twenty-First'!F253)</f>
        <v/>
      </c>
      <c r="G5250" s="1" t="str">
        <f>IF('Twenty-First'!G253="", "",'Twenty-First'!G253)</f>
        <v/>
      </c>
      <c r="H5250" s="1" t="str">
        <f>IF('Twenty-First'!H253="", "",'Twenty-First'!H253)</f>
        <v/>
      </c>
      <c r="I5250" s="1" t="str">
        <f>IF('Twenty-First'!I253="", "",'Twenty-First'!I253)</f>
        <v/>
      </c>
      <c r="J5250" s="1" t="str">
        <f>IF('Twenty-First'!J253="", "",'Twenty-First'!J253)</f>
        <v/>
      </c>
      <c r="K5250" s="83" t="str">
        <f>IF('Twenty-First'!K253="", "",'Twenty-First'!K253)</f>
        <v/>
      </c>
      <c r="L5250" s="88"/>
      <c r="M5250" s="67" t="str">
        <f t="shared" si="249"/>
        <v/>
      </c>
      <c r="N5250" s="76" t="str">
        <f t="shared" si="250"/>
        <v/>
      </c>
      <c r="O5250" s="33">
        <f t="shared" si="248"/>
        <v>0</v>
      </c>
    </row>
    <row r="5251" spans="1:15" ht="15.75" thickBot="1" x14ac:dyDescent="0.3">
      <c r="A5251" s="68" t="s">
        <v>190</v>
      </c>
      <c r="B5251" s="84" t="str">
        <f>IF('Twenty-First'!B254="", "",'Twenty-First'!B254)</f>
        <v/>
      </c>
      <c r="C5251" s="69" t="str">
        <f>IF('Twenty-First'!C254="", "",'Twenty-First'!C254)</f>
        <v/>
      </c>
      <c r="D5251" s="69" t="str">
        <f>IF('Twenty-First'!D254="", "",'Twenty-First'!D254)</f>
        <v/>
      </c>
      <c r="E5251" s="69" t="str">
        <f>IF('Twenty-First'!E254="", "",'Twenty-First'!E254)</f>
        <v/>
      </c>
      <c r="F5251" s="69" t="str">
        <f>IF('Twenty-First'!F254="", "",'Twenty-First'!F254)</f>
        <v/>
      </c>
      <c r="G5251" s="69" t="str">
        <f>IF('Twenty-First'!G254="", "",'Twenty-First'!G254)</f>
        <v/>
      </c>
      <c r="H5251" s="69" t="str">
        <f>IF('Twenty-First'!H254="", "",'Twenty-First'!H254)</f>
        <v/>
      </c>
      <c r="I5251" s="69" t="str">
        <f>IF('Twenty-First'!I254="", "",'Twenty-First'!I254)</f>
        <v/>
      </c>
      <c r="J5251" s="69" t="str">
        <f>IF('Twenty-First'!J254="", "",'Twenty-First'!J254)</f>
        <v/>
      </c>
      <c r="K5251" s="85" t="str">
        <f>IF('Twenty-First'!K254="", "",'Twenty-First'!K254)</f>
        <v/>
      </c>
      <c r="L5251" s="89"/>
      <c r="M5251" s="71" t="str">
        <f t="shared" si="249"/>
        <v/>
      </c>
      <c r="N5251" s="77" t="str">
        <f t="shared" si="250"/>
        <v/>
      </c>
      <c r="O5251" s="33">
        <f t="shared" si="248"/>
        <v>0</v>
      </c>
    </row>
    <row r="5252" spans="1:15" x14ac:dyDescent="0.25">
      <c r="A5252" s="93" t="s">
        <v>191</v>
      </c>
      <c r="B5252" s="79" t="str">
        <f>IF('Twenty-Second'!B5="", "",'Twenty-Second'!B5)</f>
        <v>Centre Head</v>
      </c>
      <c r="C5252" s="66" t="str">
        <f>IF('Twenty-Second'!C5="", "",'Twenty-Second'!C5)</f>
        <v>PwC</v>
      </c>
      <c r="D5252" s="66" t="str">
        <f>IF('Twenty-Second'!D5="", "",'Twenty-Second'!D5)</f>
        <v>Returning</v>
      </c>
      <c r="E5252" s="66" t="str">
        <f>IF('Twenty-Second'!E5="", "",'Twenty-Second'!E5)</f>
        <v>Female</v>
      </c>
      <c r="F5252" s="66" t="str">
        <f>IF('Twenty-Second'!F5="", "",'Twenty-Second'!F5)</f>
        <v>Breast</v>
      </c>
      <c r="G5252" s="66" t="str">
        <f>IF('Twenty-Second'!G5="", "",'Twenty-Second'!G5)</f>
        <v>Post Treatment - Curative Intent</v>
      </c>
      <c r="H5252" s="66" t="str">
        <f>IF('Twenty-Second'!H5="", "",'Twenty-Second'!H5)</f>
        <v>Drop-In</v>
      </c>
      <c r="I5252" s="66" t="str">
        <f>IF('Twenty-Second'!I5="", "",'Twenty-Second'!I5)</f>
        <v/>
      </c>
      <c r="J5252" s="66" t="str">
        <f>IF('Twenty-Second'!J5="", "",'Twenty-Second'!J5)</f>
        <v/>
      </c>
      <c r="K5252" s="86" t="str">
        <f>IF('Twenty-Second'!K5="", "",'Twenty-Second'!K5)</f>
        <v/>
      </c>
      <c r="L5252" s="88"/>
      <c r="M5252" s="67">
        <f t="shared" si="249"/>
        <v>7</v>
      </c>
      <c r="N5252" s="76" t="str">
        <f t="shared" si="250"/>
        <v/>
      </c>
      <c r="O5252" s="33">
        <f t="shared" si="248"/>
        <v>7</v>
      </c>
    </row>
    <row r="5253" spans="1:15" x14ac:dyDescent="0.25">
      <c r="A5253" s="93" t="s">
        <v>191</v>
      </c>
      <c r="B5253" s="79" t="str">
        <f>IF('Twenty-Second'!B6="", "",'Twenty-Second'!B6)</f>
        <v>Centre Head</v>
      </c>
      <c r="C5253" s="66" t="str">
        <f>IF('Twenty-Second'!C6="", "",'Twenty-Second'!C6)</f>
        <v>Carer</v>
      </c>
      <c r="D5253" s="66" t="str">
        <f>IF('Twenty-Second'!D6="", "",'Twenty-Second'!D6)</f>
        <v>Returning</v>
      </c>
      <c r="E5253" s="66" t="str">
        <f>IF('Twenty-Second'!E6="", "",'Twenty-Second'!E6)</f>
        <v>Male</v>
      </c>
      <c r="F5253" s="66" t="str">
        <f>IF('Twenty-Second'!F6="", "",'Twenty-Second'!F6)</f>
        <v>Breast</v>
      </c>
      <c r="G5253" s="66" t="str">
        <f>IF('Twenty-Second'!G6="", "",'Twenty-Second'!G6)</f>
        <v>Post Treatment - Curative Intent</v>
      </c>
      <c r="H5253" s="66" t="str">
        <f>IF('Twenty-Second'!H6="", "",'Twenty-Second'!H6)</f>
        <v>Drop-In</v>
      </c>
      <c r="I5253" s="66" t="str">
        <f>IF('Twenty-Second'!I6="", "",'Twenty-Second'!I6)</f>
        <v/>
      </c>
      <c r="J5253" s="66" t="str">
        <f>IF('Twenty-Second'!J6="", "",'Twenty-Second'!J6)</f>
        <v/>
      </c>
      <c r="K5253" s="86" t="str">
        <f>IF('Twenty-Second'!K6="", "",'Twenty-Second'!K6)</f>
        <v/>
      </c>
      <c r="L5253" s="88"/>
      <c r="M5253" s="67" t="str">
        <f t="shared" si="249"/>
        <v/>
      </c>
      <c r="N5253" s="76">
        <f t="shared" si="250"/>
        <v>7</v>
      </c>
      <c r="O5253" s="33">
        <f t="shared" si="248"/>
        <v>7</v>
      </c>
    </row>
    <row r="5254" spans="1:15" x14ac:dyDescent="0.25">
      <c r="A5254" s="93" t="s">
        <v>191</v>
      </c>
      <c r="B5254" s="79" t="str">
        <f>IF('Twenty-Second'!B7="", "",'Twenty-Second'!B7)</f>
        <v>Centre Head</v>
      </c>
      <c r="C5254" s="66" t="str">
        <f>IF('Twenty-Second'!C7="", "",'Twenty-Second'!C7)</f>
        <v>PwC</v>
      </c>
      <c r="D5254" s="66" t="str">
        <f>IF('Twenty-Second'!D7="", "",'Twenty-Second'!D7)</f>
        <v>Returning</v>
      </c>
      <c r="E5254" s="66" t="str">
        <f>IF('Twenty-Second'!E7="", "",'Twenty-Second'!E7)</f>
        <v>Male</v>
      </c>
      <c r="F5254" s="66" t="str">
        <f>IF('Twenty-Second'!F7="", "",'Twenty-Second'!F7)</f>
        <v>Lower GI</v>
      </c>
      <c r="G5254" s="66" t="str">
        <f>IF('Twenty-Second'!G7="", "",'Twenty-Second'!G7)</f>
        <v>Non-Curative Intent</v>
      </c>
      <c r="H5254" s="66" t="str">
        <f>IF('Twenty-Second'!H7="", "",'Twenty-Second'!H7)</f>
        <v>Drop-In</v>
      </c>
      <c r="I5254" s="66" t="str">
        <f>IF('Twenty-Second'!I7="", "",'Twenty-Second'!I7)</f>
        <v/>
      </c>
      <c r="J5254" s="66" t="str">
        <f>IF('Twenty-Second'!J7="", "",'Twenty-Second'!J7)</f>
        <v/>
      </c>
      <c r="K5254" s="86" t="str">
        <f>IF('Twenty-Second'!K7="", "",'Twenty-Second'!K7)</f>
        <v/>
      </c>
      <c r="L5254" s="88"/>
      <c r="M5254" s="67">
        <f t="shared" si="249"/>
        <v>7</v>
      </c>
      <c r="N5254" s="76" t="str">
        <f t="shared" si="250"/>
        <v/>
      </c>
      <c r="O5254" s="33">
        <f t="shared" si="248"/>
        <v>7</v>
      </c>
    </row>
    <row r="5255" spans="1:15" x14ac:dyDescent="0.25">
      <c r="A5255" s="93" t="s">
        <v>191</v>
      </c>
      <c r="B5255" s="79" t="str">
        <f>IF('Twenty-Second'!B8="", "",'Twenty-Second'!B8)</f>
        <v>Psychologist</v>
      </c>
      <c r="C5255" s="66" t="str">
        <f>IF('Twenty-Second'!C8="", "",'Twenty-Second'!C8)</f>
        <v>PwC</v>
      </c>
      <c r="D5255" s="66" t="str">
        <f>IF('Twenty-Second'!D8="", "",'Twenty-Second'!D8)</f>
        <v>New</v>
      </c>
      <c r="E5255" s="66" t="str">
        <f>IF('Twenty-Second'!E8="", "",'Twenty-Second'!E8)</f>
        <v>Male</v>
      </c>
      <c r="F5255" s="66" t="str">
        <f>IF('Twenty-Second'!F8="", "",'Twenty-Second'!F8)</f>
        <v>Head/Neck</v>
      </c>
      <c r="G5255" s="66" t="str">
        <f>IF('Twenty-Second'!G8="", "",'Twenty-Second'!G8)</f>
        <v>Non-Curative Intent</v>
      </c>
      <c r="H5255" s="66" t="str">
        <f>IF('Twenty-Second'!H8="", "",'Twenty-Second'!H8)</f>
        <v>Programme</v>
      </c>
      <c r="I5255" s="66" t="str">
        <f>IF('Twenty-Second'!I8="", "",'Twenty-Second'!I8)</f>
        <v>Managing Stress</v>
      </c>
      <c r="J5255" s="66" t="str">
        <f>IF('Twenty-Second'!J8="", "",'Twenty-Second'!J8)</f>
        <v>FSG Bereavement</v>
      </c>
      <c r="K5255" s="86" t="str">
        <f>IF('Twenty-Second'!K8="", "",'Twenty-Second'!K8)</f>
        <v>Living With and Beyond Prostate Cancer</v>
      </c>
      <c r="L5255" s="88"/>
      <c r="M5255" s="67">
        <f t="shared" si="249"/>
        <v>7</v>
      </c>
      <c r="N5255" s="76" t="str">
        <f t="shared" si="250"/>
        <v/>
      </c>
      <c r="O5255" s="33">
        <f t="shared" si="248"/>
        <v>7</v>
      </c>
    </row>
    <row r="5256" spans="1:15" x14ac:dyDescent="0.25">
      <c r="A5256" s="93" t="s">
        <v>191</v>
      </c>
      <c r="B5256" s="79" t="str">
        <f>IF('Twenty-Second'!B9="", "",'Twenty-Second'!B9)</f>
        <v>Psychologist</v>
      </c>
      <c r="C5256" s="66" t="str">
        <f>IF('Twenty-Second'!C9="", "",'Twenty-Second'!C9)</f>
        <v>Carer</v>
      </c>
      <c r="D5256" s="66" t="str">
        <f>IF('Twenty-Second'!D9="", "",'Twenty-Second'!D9)</f>
        <v>Returning</v>
      </c>
      <c r="E5256" s="66" t="str">
        <f>IF('Twenty-Second'!E9="", "",'Twenty-Second'!E9)</f>
        <v>Female</v>
      </c>
      <c r="F5256" s="66" t="str">
        <f>IF('Twenty-Second'!F9="", "",'Twenty-Second'!F9)</f>
        <v>Haemat</v>
      </c>
      <c r="G5256" s="66" t="str">
        <f>IF('Twenty-Second'!G9="", "",'Twenty-Second'!G9)</f>
        <v>Non-Curative Intent</v>
      </c>
      <c r="H5256" s="66" t="str">
        <f>IF('Twenty-Second'!H9="", "",'Twenty-Second'!H9)</f>
        <v>Programme</v>
      </c>
      <c r="I5256" s="66" t="str">
        <f>IF('Twenty-Second'!I9="", "",'Twenty-Second'!I9)</f>
        <v>Managing Stress</v>
      </c>
      <c r="J5256" s="66" t="str">
        <f>IF('Twenty-Second'!J9="", "",'Twenty-Second'!J9)</f>
        <v>FSG Bereavement</v>
      </c>
      <c r="K5256" s="86" t="str">
        <f>IF('Twenty-Second'!K9="", "",'Twenty-Second'!K9)</f>
        <v>Living With and Beyond Prostate Cancer</v>
      </c>
      <c r="L5256" s="88"/>
      <c r="M5256" s="67" t="str">
        <f t="shared" si="249"/>
        <v/>
      </c>
      <c r="N5256" s="76">
        <f t="shared" si="250"/>
        <v>7</v>
      </c>
      <c r="O5256" s="33">
        <f t="shared" si="248"/>
        <v>7</v>
      </c>
    </row>
    <row r="5257" spans="1:15" x14ac:dyDescent="0.25">
      <c r="A5257" s="93" t="s">
        <v>191</v>
      </c>
      <c r="B5257" s="79" t="str">
        <f>IF('Twenty-Second'!B10="", "",'Twenty-Second'!B10)</f>
        <v>Psychologist</v>
      </c>
      <c r="C5257" s="66" t="str">
        <f>IF('Twenty-Second'!C10="", "",'Twenty-Second'!C10)</f>
        <v>PwC</v>
      </c>
      <c r="D5257" s="66" t="str">
        <f>IF('Twenty-Second'!D10="", "",'Twenty-Second'!D10)</f>
        <v>Returning</v>
      </c>
      <c r="E5257" s="66" t="str">
        <f>IF('Twenty-Second'!E10="", "",'Twenty-Second'!E10)</f>
        <v>Female</v>
      </c>
      <c r="F5257" s="66" t="str">
        <f>IF('Twenty-Second'!F10="", "",'Twenty-Second'!F10)</f>
        <v>Gynae</v>
      </c>
      <c r="G5257" s="66" t="str">
        <f>IF('Twenty-Second'!G10="", "",'Twenty-Second'!G10)</f>
        <v>Post Treatment - Curative Intent</v>
      </c>
      <c r="H5257" s="66" t="str">
        <f>IF('Twenty-Second'!H10="", "",'Twenty-Second'!H10)</f>
        <v>Programme</v>
      </c>
      <c r="I5257" s="66" t="str">
        <f>IF('Twenty-Second'!I10="", "",'Twenty-Second'!I10)</f>
        <v>Managing Stress</v>
      </c>
      <c r="J5257" s="66" t="str">
        <f>IF('Twenty-Second'!J10="", "",'Twenty-Second'!J10)</f>
        <v>FSG Bereavement</v>
      </c>
      <c r="K5257" s="86" t="str">
        <f>IF('Twenty-Second'!K10="", "",'Twenty-Second'!K10)</f>
        <v>Living With and Beyond Prostate Cancer</v>
      </c>
      <c r="L5257" s="88"/>
      <c r="M5257" s="67">
        <f t="shared" si="249"/>
        <v>7</v>
      </c>
      <c r="N5257" s="76" t="str">
        <f t="shared" si="250"/>
        <v/>
      </c>
      <c r="O5257" s="33">
        <f t="shared" si="248"/>
        <v>7</v>
      </c>
    </row>
    <row r="5258" spans="1:15" x14ac:dyDescent="0.25">
      <c r="A5258" s="93" t="s">
        <v>191</v>
      </c>
      <c r="B5258" s="79" t="str">
        <f>IF('Twenty-Second'!B11="", "",'Twenty-Second'!B11)</f>
        <v>Psychologist</v>
      </c>
      <c r="C5258" s="66" t="str">
        <f>IF('Twenty-Second'!C11="", "",'Twenty-Second'!C11)</f>
        <v>PwC</v>
      </c>
      <c r="D5258" s="66" t="str">
        <f>IF('Twenty-Second'!D11="", "",'Twenty-Second'!D11)</f>
        <v>Returning</v>
      </c>
      <c r="E5258" s="66" t="str">
        <f>IF('Twenty-Second'!E11="", "",'Twenty-Second'!E11)</f>
        <v>Female</v>
      </c>
      <c r="F5258" s="66" t="str">
        <f>IF('Twenty-Second'!F11="", "",'Twenty-Second'!F11)</f>
        <v>Gynae</v>
      </c>
      <c r="G5258" s="66" t="str">
        <f>IF('Twenty-Second'!G11="", "",'Twenty-Second'!G11)</f>
        <v>Post Treatment - Curative Intent</v>
      </c>
      <c r="H5258" s="66" t="str">
        <f>IF('Twenty-Second'!H11="", "",'Twenty-Second'!H11)</f>
        <v>Programme</v>
      </c>
      <c r="I5258" s="66" t="str">
        <f>IF('Twenty-Second'!I11="", "",'Twenty-Second'!I11)</f>
        <v>Managing Stress</v>
      </c>
      <c r="J5258" s="66" t="str">
        <f>IF('Twenty-Second'!J11="", "",'Twenty-Second'!J11)</f>
        <v>FSG Bereavement</v>
      </c>
      <c r="K5258" s="86" t="str">
        <f>IF('Twenty-Second'!K11="", "",'Twenty-Second'!K11)</f>
        <v>Living With and Beyond Prostate Cancer</v>
      </c>
      <c r="L5258" s="88"/>
      <c r="M5258" s="67">
        <f t="shared" si="249"/>
        <v>7</v>
      </c>
      <c r="N5258" s="76" t="str">
        <f t="shared" si="250"/>
        <v/>
      </c>
      <c r="O5258" s="33">
        <f t="shared" ref="O5258:O5321" si="251">SUM(M5258:N5258)</f>
        <v>7</v>
      </c>
    </row>
    <row r="5259" spans="1:15" x14ac:dyDescent="0.25">
      <c r="A5259" s="93" t="s">
        <v>191</v>
      </c>
      <c r="B5259" s="79" t="str">
        <f>IF('Twenty-Second'!B12="", "",'Twenty-Second'!B12)</f>
        <v>Psychologist</v>
      </c>
      <c r="C5259" s="66" t="str">
        <f>IF('Twenty-Second'!C12="", "",'Twenty-Second'!C12)</f>
        <v>PwC</v>
      </c>
      <c r="D5259" s="66" t="str">
        <f>IF('Twenty-Second'!D12="", "",'Twenty-Second'!D12)</f>
        <v>Returning</v>
      </c>
      <c r="E5259" s="66" t="str">
        <f>IF('Twenty-Second'!E12="", "",'Twenty-Second'!E12)</f>
        <v>Female</v>
      </c>
      <c r="F5259" s="66" t="str">
        <f>IF('Twenty-Second'!F12="", "",'Twenty-Second'!F12)</f>
        <v>Breast</v>
      </c>
      <c r="G5259" s="66" t="str">
        <f>IF('Twenty-Second'!G12="", "",'Twenty-Second'!G12)</f>
        <v>Curative Intent</v>
      </c>
      <c r="H5259" s="66" t="str">
        <f>IF('Twenty-Second'!H12="", "",'Twenty-Second'!H12)</f>
        <v>Programme</v>
      </c>
      <c r="I5259" s="66" t="str">
        <f>IF('Twenty-Second'!I12="", "",'Twenty-Second'!I12)</f>
        <v>Managing Stress</v>
      </c>
      <c r="J5259" s="66" t="str">
        <f>IF('Twenty-Second'!J12="", "",'Twenty-Second'!J12)</f>
        <v>FSG Bereavement</v>
      </c>
      <c r="K5259" s="86" t="str">
        <f>IF('Twenty-Second'!K12="", "",'Twenty-Second'!K12)</f>
        <v>Living With and Beyond Prostate Cancer</v>
      </c>
      <c r="L5259" s="88"/>
      <c r="M5259" s="67">
        <f t="shared" ref="M5259:M5322" si="252">IF(C5259="PwC",(7-COUNTIF(B5259:H5259,"")),"")</f>
        <v>7</v>
      </c>
      <c r="N5259" s="76" t="str">
        <f t="shared" ref="N5259:N5322" si="253">IF(C5259="Carer",(7-COUNTIF(B5259:H5259,"")),"")</f>
        <v/>
      </c>
      <c r="O5259" s="33">
        <f t="shared" si="251"/>
        <v>7</v>
      </c>
    </row>
    <row r="5260" spans="1:15" x14ac:dyDescent="0.25">
      <c r="A5260" s="93" t="s">
        <v>191</v>
      </c>
      <c r="B5260" s="79" t="str">
        <f>IF('Twenty-Second'!B13="", "",'Twenty-Second'!B13)</f>
        <v>Psychologist</v>
      </c>
      <c r="C5260" s="66" t="str">
        <f>IF('Twenty-Second'!C13="", "",'Twenty-Second'!C13)</f>
        <v>PwC</v>
      </c>
      <c r="D5260" s="66" t="str">
        <f>IF('Twenty-Second'!D13="", "",'Twenty-Second'!D13)</f>
        <v>Returning</v>
      </c>
      <c r="E5260" s="66" t="str">
        <f>IF('Twenty-Second'!E13="", "",'Twenty-Second'!E13)</f>
        <v>Female</v>
      </c>
      <c r="F5260" s="66" t="str">
        <f>IF('Twenty-Second'!F13="", "",'Twenty-Second'!F13)</f>
        <v>Breast</v>
      </c>
      <c r="G5260" s="66" t="str">
        <f>IF('Twenty-Second'!G13="", "",'Twenty-Second'!G13)</f>
        <v>Post Treatment - Curative Intent</v>
      </c>
      <c r="H5260" s="66" t="str">
        <f>IF('Twenty-Second'!H13="", "",'Twenty-Second'!H13)</f>
        <v>Programme</v>
      </c>
      <c r="I5260" s="66" t="str">
        <f>IF('Twenty-Second'!I13="", "",'Twenty-Second'!I13)</f>
        <v>Managing Stress</v>
      </c>
      <c r="J5260" s="66" t="str">
        <f>IF('Twenty-Second'!J13="", "",'Twenty-Second'!J13)</f>
        <v>FSG Bereavement</v>
      </c>
      <c r="K5260" s="86" t="str">
        <f>IF('Twenty-Second'!K13="", "",'Twenty-Second'!K13)</f>
        <v>Living With and Beyond Prostate Cancer</v>
      </c>
      <c r="L5260" s="88"/>
      <c r="M5260" s="67">
        <f t="shared" si="252"/>
        <v>7</v>
      </c>
      <c r="N5260" s="76" t="str">
        <f t="shared" si="253"/>
        <v/>
      </c>
      <c r="O5260" s="33">
        <f t="shared" si="251"/>
        <v>7</v>
      </c>
    </row>
    <row r="5261" spans="1:15" x14ac:dyDescent="0.25">
      <c r="A5261" s="93" t="s">
        <v>191</v>
      </c>
      <c r="B5261" s="79" t="str">
        <f>IF('Twenty-Second'!B14="", "",'Twenty-Second'!B14)</f>
        <v>Psychologist</v>
      </c>
      <c r="C5261" s="66" t="str">
        <f>IF('Twenty-Second'!C14="", "",'Twenty-Second'!C14)</f>
        <v>PwC</v>
      </c>
      <c r="D5261" s="66" t="str">
        <f>IF('Twenty-Second'!D14="", "",'Twenty-Second'!D14)</f>
        <v>Returning</v>
      </c>
      <c r="E5261" s="66" t="str">
        <f>IF('Twenty-Second'!E14="", "",'Twenty-Second'!E14)</f>
        <v>Female</v>
      </c>
      <c r="F5261" s="66" t="str">
        <f>IF('Twenty-Second'!F14="", "",'Twenty-Second'!F14)</f>
        <v>Breast</v>
      </c>
      <c r="G5261" s="66" t="str">
        <f>IF('Twenty-Second'!G14="", "",'Twenty-Second'!G14)</f>
        <v>Curative Intent</v>
      </c>
      <c r="H5261" s="66" t="str">
        <f>IF('Twenty-Second'!H14="", "",'Twenty-Second'!H14)</f>
        <v>Programme</v>
      </c>
      <c r="I5261" s="66" t="str">
        <f>IF('Twenty-Second'!I14="", "",'Twenty-Second'!I14)</f>
        <v>Managing Stress</v>
      </c>
      <c r="J5261" s="66" t="str">
        <f>IF('Twenty-Second'!J14="", "",'Twenty-Second'!J14)</f>
        <v>FSG Bereavement</v>
      </c>
      <c r="K5261" s="86" t="str">
        <f>IF('Twenty-Second'!K14="", "",'Twenty-Second'!K14)</f>
        <v>Living With and Beyond Prostate Cancer</v>
      </c>
      <c r="L5261" s="88"/>
      <c r="M5261" s="67">
        <f t="shared" si="252"/>
        <v>7</v>
      </c>
      <c r="N5261" s="76" t="str">
        <f t="shared" si="253"/>
        <v/>
      </c>
      <c r="O5261" s="33">
        <f t="shared" si="251"/>
        <v>7</v>
      </c>
    </row>
    <row r="5262" spans="1:15" x14ac:dyDescent="0.25">
      <c r="A5262" s="93" t="s">
        <v>191</v>
      </c>
      <c r="B5262" s="79" t="str">
        <f>IF('Twenty-Second'!B15="", "",'Twenty-Second'!B15)</f>
        <v>Psychologist</v>
      </c>
      <c r="C5262" s="66" t="str">
        <f>IF('Twenty-Second'!C15="", "",'Twenty-Second'!C15)</f>
        <v>PwC</v>
      </c>
      <c r="D5262" s="66" t="str">
        <f>IF('Twenty-Second'!D15="", "",'Twenty-Second'!D15)</f>
        <v>New</v>
      </c>
      <c r="E5262" s="66" t="str">
        <f>IF('Twenty-Second'!E15="", "",'Twenty-Second'!E15)</f>
        <v>Female</v>
      </c>
      <c r="F5262" s="66" t="str">
        <f>IF('Twenty-Second'!F15="", "",'Twenty-Second'!F15)</f>
        <v>Haemat</v>
      </c>
      <c r="G5262" s="66" t="str">
        <f>IF('Twenty-Second'!G15="", "",'Twenty-Second'!G15)</f>
        <v>Curative Intent</v>
      </c>
      <c r="H5262" s="66" t="str">
        <f>IF('Twenty-Second'!H15="", "",'Twenty-Second'!H15)</f>
        <v>Programme</v>
      </c>
      <c r="I5262" s="66" t="str">
        <f>IF('Twenty-Second'!I15="", "",'Twenty-Second'!I15)</f>
        <v>Managing Stress</v>
      </c>
      <c r="J5262" s="66" t="str">
        <f>IF('Twenty-Second'!J15="", "",'Twenty-Second'!J15)</f>
        <v>FSG Bereavement</v>
      </c>
      <c r="K5262" s="86" t="str">
        <f>IF('Twenty-Second'!K15="", "",'Twenty-Second'!K15)</f>
        <v>Living With and Beyond Prostate Cancer</v>
      </c>
      <c r="L5262" s="88"/>
      <c r="M5262" s="67">
        <f t="shared" si="252"/>
        <v>7</v>
      </c>
      <c r="N5262" s="76" t="str">
        <f t="shared" si="253"/>
        <v/>
      </c>
      <c r="O5262" s="33">
        <f t="shared" si="251"/>
        <v>7</v>
      </c>
    </row>
    <row r="5263" spans="1:15" x14ac:dyDescent="0.25">
      <c r="A5263" s="93" t="s">
        <v>191</v>
      </c>
      <c r="B5263" s="79" t="str">
        <f>IF('Twenty-Second'!B16="", "",'Twenty-Second'!B16)</f>
        <v>CSS</v>
      </c>
      <c r="C5263" s="66" t="str">
        <f>IF('Twenty-Second'!C16="", "",'Twenty-Second'!C16)</f>
        <v>PwC</v>
      </c>
      <c r="D5263" s="66" t="str">
        <f>IF('Twenty-Second'!D16="", "",'Twenty-Second'!D16)</f>
        <v>New</v>
      </c>
      <c r="E5263" s="66" t="str">
        <f>IF('Twenty-Second'!E16="", "",'Twenty-Second'!E16)</f>
        <v>Male</v>
      </c>
      <c r="F5263" s="66" t="str">
        <f>IF('Twenty-Second'!F16="", "",'Twenty-Second'!F16)</f>
        <v>Lung</v>
      </c>
      <c r="G5263" s="66" t="str">
        <f>IF('Twenty-Second'!G16="", "",'Twenty-Second'!G16)</f>
        <v>Curative Intent</v>
      </c>
      <c r="H5263" s="66" t="str">
        <f>IF('Twenty-Second'!H16="", "",'Twenty-Second'!H16)</f>
        <v>Booked</v>
      </c>
      <c r="I5263" s="66" t="str">
        <f>IF('Twenty-Second'!I16="", "",'Twenty-Second'!I16)</f>
        <v>Psych Support - Individual</v>
      </c>
      <c r="J5263" s="66" t="str">
        <f>IF('Twenty-Second'!J16="", "",'Twenty-Second'!J16)</f>
        <v>FSG Bereavement</v>
      </c>
      <c r="K5263" s="86" t="str">
        <f>IF('Twenty-Second'!K16="", "",'Twenty-Second'!K16)</f>
        <v>Living With and Beyond Prostate Cancer</v>
      </c>
      <c r="L5263" s="88"/>
      <c r="M5263" s="67">
        <f t="shared" si="252"/>
        <v>7</v>
      </c>
      <c r="N5263" s="76" t="str">
        <f t="shared" si="253"/>
        <v/>
      </c>
      <c r="O5263" s="33">
        <f t="shared" si="251"/>
        <v>7</v>
      </c>
    </row>
    <row r="5264" spans="1:15" x14ac:dyDescent="0.25">
      <c r="A5264" s="93" t="s">
        <v>191</v>
      </c>
      <c r="B5264" s="79" t="str">
        <f>IF('Twenty-Second'!B17="", "",'Twenty-Second'!B17)</f>
        <v>CSS</v>
      </c>
      <c r="C5264" s="66" t="str">
        <f>IF('Twenty-Second'!C17="", "",'Twenty-Second'!C17)</f>
        <v>Carer</v>
      </c>
      <c r="D5264" s="66" t="str">
        <f>IF('Twenty-Second'!D17="", "",'Twenty-Second'!D17)</f>
        <v>New</v>
      </c>
      <c r="E5264" s="66" t="str">
        <f>IF('Twenty-Second'!E17="", "",'Twenty-Second'!E17)</f>
        <v>Female</v>
      </c>
      <c r="F5264" s="66" t="str">
        <f>IF('Twenty-Second'!F17="", "",'Twenty-Second'!F17)</f>
        <v>Lung</v>
      </c>
      <c r="G5264" s="66" t="str">
        <f>IF('Twenty-Second'!G17="", "",'Twenty-Second'!G17)</f>
        <v>Curative Intent</v>
      </c>
      <c r="H5264" s="66" t="str">
        <f>IF('Twenty-Second'!H17="", "",'Twenty-Second'!H17)</f>
        <v>Booked</v>
      </c>
      <c r="I5264" s="66" t="str">
        <f>IF('Twenty-Second'!I17="", "",'Twenty-Second'!I17)</f>
        <v/>
      </c>
      <c r="J5264" s="66" t="str">
        <f>IF('Twenty-Second'!J17="", "",'Twenty-Second'!J17)</f>
        <v/>
      </c>
      <c r="K5264" s="86" t="str">
        <f>IF('Twenty-Second'!K17="", "",'Twenty-Second'!K17)</f>
        <v/>
      </c>
      <c r="L5264" s="88"/>
      <c r="M5264" s="67" t="str">
        <f t="shared" si="252"/>
        <v/>
      </c>
      <c r="N5264" s="76">
        <f t="shared" si="253"/>
        <v>7</v>
      </c>
      <c r="O5264" s="33">
        <f t="shared" si="251"/>
        <v>7</v>
      </c>
    </row>
    <row r="5265" spans="1:15" x14ac:dyDescent="0.25">
      <c r="A5265" s="93" t="s">
        <v>191</v>
      </c>
      <c r="B5265" s="79" t="str">
        <f>IF('Twenty-Second'!B18="", "",'Twenty-Second'!B18)</f>
        <v>CSS</v>
      </c>
      <c r="C5265" s="66" t="str">
        <f>IF('Twenty-Second'!C18="", "",'Twenty-Second'!C18)</f>
        <v>PwC</v>
      </c>
      <c r="D5265" s="66" t="str">
        <f>IF('Twenty-Second'!D18="", "",'Twenty-Second'!D18)</f>
        <v>New</v>
      </c>
      <c r="E5265" s="66" t="str">
        <f>IF('Twenty-Second'!E18="", "",'Twenty-Second'!E18)</f>
        <v>Female</v>
      </c>
      <c r="F5265" s="66" t="str">
        <f>IF('Twenty-Second'!F18="", "",'Twenty-Second'!F18)</f>
        <v>Breast</v>
      </c>
      <c r="G5265" s="66" t="str">
        <f>IF('Twenty-Second'!G18="", "",'Twenty-Second'!G18)</f>
        <v>Curative Intent</v>
      </c>
      <c r="H5265" s="66" t="str">
        <f>IF('Twenty-Second'!H18="", "",'Twenty-Second'!H18)</f>
        <v>Booked</v>
      </c>
      <c r="I5265" s="66" t="str">
        <f>IF('Twenty-Second'!I18="", "",'Twenty-Second'!I18)</f>
        <v>Psych Support - Individual</v>
      </c>
      <c r="J5265" s="66" t="str">
        <f>IF('Twenty-Second'!J18="", "",'Twenty-Second'!J18)</f>
        <v/>
      </c>
      <c r="K5265" s="86" t="str">
        <f>IF('Twenty-Second'!K18="", "",'Twenty-Second'!K18)</f>
        <v/>
      </c>
      <c r="L5265" s="88"/>
      <c r="M5265" s="67">
        <f t="shared" si="252"/>
        <v>7</v>
      </c>
      <c r="N5265" s="76" t="str">
        <f t="shared" si="253"/>
        <v/>
      </c>
      <c r="O5265" s="33">
        <f t="shared" si="251"/>
        <v>7</v>
      </c>
    </row>
    <row r="5266" spans="1:15" x14ac:dyDescent="0.25">
      <c r="A5266" s="93" t="s">
        <v>191</v>
      </c>
      <c r="B5266" s="79" t="str">
        <f>IF('Twenty-Second'!B19="", "",'Twenty-Second'!B19)</f>
        <v>CSS</v>
      </c>
      <c r="C5266" s="66" t="str">
        <f>IF('Twenty-Second'!C19="", "",'Twenty-Second'!C19)</f>
        <v>Carer</v>
      </c>
      <c r="D5266" s="66" t="str">
        <f>IF('Twenty-Second'!D19="", "",'Twenty-Second'!D19)</f>
        <v>New</v>
      </c>
      <c r="E5266" s="66" t="str">
        <f>IF('Twenty-Second'!E19="", "",'Twenty-Second'!E19)</f>
        <v>Male</v>
      </c>
      <c r="F5266" s="66" t="str">
        <f>IF('Twenty-Second'!F19="", "",'Twenty-Second'!F19)</f>
        <v>Breast</v>
      </c>
      <c r="G5266" s="66" t="str">
        <f>IF('Twenty-Second'!G19="", "",'Twenty-Second'!G19)</f>
        <v>Curative Intent</v>
      </c>
      <c r="H5266" s="66" t="str">
        <f>IF('Twenty-Second'!H19="", "",'Twenty-Second'!H19)</f>
        <v>Booked</v>
      </c>
      <c r="I5266" s="66" t="str">
        <f>IF('Twenty-Second'!I19="", "",'Twenty-Second'!I19)</f>
        <v/>
      </c>
      <c r="J5266" s="66" t="str">
        <f>IF('Twenty-Second'!J19="", "",'Twenty-Second'!J19)</f>
        <v/>
      </c>
      <c r="K5266" s="86" t="str">
        <f>IF('Twenty-Second'!K19="", "",'Twenty-Second'!K19)</f>
        <v/>
      </c>
      <c r="L5266" s="88"/>
      <c r="M5266" s="67" t="str">
        <f t="shared" si="252"/>
        <v/>
      </c>
      <c r="N5266" s="76">
        <f t="shared" si="253"/>
        <v>7</v>
      </c>
      <c r="O5266" s="33">
        <f t="shared" si="251"/>
        <v>7</v>
      </c>
    </row>
    <row r="5267" spans="1:15" x14ac:dyDescent="0.25">
      <c r="A5267" s="93" t="s">
        <v>191</v>
      </c>
      <c r="B5267" s="79" t="str">
        <f>IF('Twenty-Second'!B20="", "",'Twenty-Second'!B20)</f>
        <v>CSS</v>
      </c>
      <c r="C5267" s="66" t="str">
        <f>IF('Twenty-Second'!C20="", "",'Twenty-Second'!C20)</f>
        <v>PwC</v>
      </c>
      <c r="D5267" s="66" t="str">
        <f>IF('Twenty-Second'!D20="", "",'Twenty-Second'!D20)</f>
        <v>Returning</v>
      </c>
      <c r="E5267" s="66" t="str">
        <f>IF('Twenty-Second'!E20="", "",'Twenty-Second'!E20)</f>
        <v>Female</v>
      </c>
      <c r="F5267" s="66" t="str">
        <f>IF('Twenty-Second'!F20="", "",'Twenty-Second'!F20)</f>
        <v>Lower GI</v>
      </c>
      <c r="G5267" s="66" t="str">
        <f>IF('Twenty-Second'!G20="", "",'Twenty-Second'!G20)</f>
        <v>Non-Curative Intent</v>
      </c>
      <c r="H5267" s="66" t="str">
        <f>IF('Twenty-Second'!H20="", "",'Twenty-Second'!H20)</f>
        <v>Drop-In</v>
      </c>
      <c r="I5267" s="66" t="str">
        <f>IF('Twenty-Second'!I20="", "",'Twenty-Second'!I20)</f>
        <v/>
      </c>
      <c r="J5267" s="66" t="str">
        <f>IF('Twenty-Second'!J20="", "",'Twenty-Second'!J20)</f>
        <v/>
      </c>
      <c r="K5267" s="86" t="str">
        <f>IF('Twenty-Second'!K20="", "",'Twenty-Second'!K20)</f>
        <v/>
      </c>
      <c r="L5267" s="88"/>
      <c r="M5267" s="67">
        <f t="shared" si="252"/>
        <v>7</v>
      </c>
      <c r="N5267" s="76" t="str">
        <f t="shared" si="253"/>
        <v/>
      </c>
      <c r="O5267" s="33">
        <f t="shared" si="251"/>
        <v>7</v>
      </c>
    </row>
    <row r="5268" spans="1:15" x14ac:dyDescent="0.25">
      <c r="A5268" s="93" t="s">
        <v>191</v>
      </c>
      <c r="B5268" s="79" t="str">
        <f>IF('Twenty-Second'!B21="", "",'Twenty-Second'!B21)</f>
        <v>CSS</v>
      </c>
      <c r="C5268" s="66" t="str">
        <f>IF('Twenty-Second'!C21="", "",'Twenty-Second'!C21)</f>
        <v>PwC</v>
      </c>
      <c r="D5268" s="66" t="str">
        <f>IF('Twenty-Second'!D21="", "",'Twenty-Second'!D21)</f>
        <v>Returning</v>
      </c>
      <c r="E5268" s="66" t="str">
        <f>IF('Twenty-Second'!E21="", "",'Twenty-Second'!E21)</f>
        <v>Female</v>
      </c>
      <c r="F5268" s="66" t="str">
        <f>IF('Twenty-Second'!F21="", "",'Twenty-Second'!F21)</f>
        <v>Breast</v>
      </c>
      <c r="G5268" s="66" t="str">
        <f>IF('Twenty-Second'!G21="", "",'Twenty-Second'!G21)</f>
        <v>Non-Curative Intent</v>
      </c>
      <c r="H5268" s="66" t="str">
        <f>IF('Twenty-Second'!H21="", "",'Twenty-Second'!H21)</f>
        <v>Drop-In</v>
      </c>
      <c r="I5268" s="66" t="str">
        <f>IF('Twenty-Second'!I21="", "",'Twenty-Second'!I21)</f>
        <v/>
      </c>
      <c r="J5268" s="66" t="str">
        <f>IF('Twenty-Second'!J21="", "",'Twenty-Second'!J21)</f>
        <v/>
      </c>
      <c r="K5268" s="86" t="str">
        <f>IF('Twenty-Second'!K21="", "",'Twenty-Second'!K21)</f>
        <v/>
      </c>
      <c r="L5268" s="88"/>
      <c r="M5268" s="67">
        <f t="shared" si="252"/>
        <v>7</v>
      </c>
      <c r="N5268" s="76" t="str">
        <f t="shared" si="253"/>
        <v/>
      </c>
      <c r="O5268" s="33">
        <f t="shared" si="251"/>
        <v>7</v>
      </c>
    </row>
    <row r="5269" spans="1:15" x14ac:dyDescent="0.25">
      <c r="A5269" s="93" t="s">
        <v>191</v>
      </c>
      <c r="B5269" s="79" t="str">
        <f>IF('Twenty-Second'!B22="", "",'Twenty-Second'!B22)</f>
        <v>CSS</v>
      </c>
      <c r="C5269" s="66" t="str">
        <f>IF('Twenty-Second'!C22="", "",'Twenty-Second'!C22)</f>
        <v>PwC</v>
      </c>
      <c r="D5269" s="66" t="str">
        <f>IF('Twenty-Second'!D22="", "",'Twenty-Second'!D22)</f>
        <v>New</v>
      </c>
      <c r="E5269" s="66" t="str">
        <f>IF('Twenty-Second'!E22="", "",'Twenty-Second'!E22)</f>
        <v>Female</v>
      </c>
      <c r="F5269" s="66" t="str">
        <f>IF('Twenty-Second'!F22="", "",'Twenty-Second'!F22)</f>
        <v>Breast</v>
      </c>
      <c r="G5269" s="66" t="str">
        <f>IF('Twenty-Second'!G22="", "",'Twenty-Second'!G22)</f>
        <v>Post Treatment - Curative Intent</v>
      </c>
      <c r="H5269" s="66" t="str">
        <f>IF('Twenty-Second'!H22="", "",'Twenty-Second'!H22)</f>
        <v>Booked</v>
      </c>
      <c r="I5269" s="66" t="str">
        <f>IF('Twenty-Second'!I22="", "",'Twenty-Second'!I22)</f>
        <v>Psych Support - Individual</v>
      </c>
      <c r="J5269" s="66" t="str">
        <f>IF('Twenty-Second'!J22="", "",'Twenty-Second'!J22)</f>
        <v/>
      </c>
      <c r="K5269" s="86" t="str">
        <f>IF('Twenty-Second'!K22="", "",'Twenty-Second'!K22)</f>
        <v/>
      </c>
      <c r="L5269" s="88"/>
      <c r="M5269" s="67">
        <f t="shared" si="252"/>
        <v>7</v>
      </c>
      <c r="N5269" s="76" t="str">
        <f t="shared" si="253"/>
        <v/>
      </c>
      <c r="O5269" s="33">
        <f t="shared" si="251"/>
        <v>7</v>
      </c>
    </row>
    <row r="5270" spans="1:15" x14ac:dyDescent="0.25">
      <c r="A5270" s="93" t="s">
        <v>191</v>
      </c>
      <c r="B5270" s="79" t="str">
        <f>IF('Twenty-Second'!B23="", "",'Twenty-Second'!B23)</f>
        <v>CSS</v>
      </c>
      <c r="C5270" s="66" t="str">
        <f>IF('Twenty-Second'!C23="", "",'Twenty-Second'!C23)</f>
        <v>PwC</v>
      </c>
      <c r="D5270" s="66" t="str">
        <f>IF('Twenty-Second'!D23="", "",'Twenty-Second'!D23)</f>
        <v>Returning</v>
      </c>
      <c r="E5270" s="66" t="str">
        <f>IF('Twenty-Second'!E23="", "",'Twenty-Second'!E23)</f>
        <v>Female</v>
      </c>
      <c r="F5270" s="66" t="str">
        <f>IF('Twenty-Second'!F23="", "",'Twenty-Second'!F23)</f>
        <v>Breast</v>
      </c>
      <c r="G5270" s="66" t="str">
        <f>IF('Twenty-Second'!G23="", "",'Twenty-Second'!G23)</f>
        <v>Bereaved</v>
      </c>
      <c r="H5270" s="66" t="str">
        <f>IF('Twenty-Second'!H23="", "",'Twenty-Second'!H23)</f>
        <v>Booked</v>
      </c>
      <c r="I5270" s="66" t="str">
        <f>IF('Twenty-Second'!I23="", "",'Twenty-Second'!I23)</f>
        <v>Psych Support - Individual</v>
      </c>
      <c r="J5270" s="66" t="str">
        <f>IF('Twenty-Second'!J23="", "",'Twenty-Second'!J23)</f>
        <v/>
      </c>
      <c r="K5270" s="86" t="str">
        <f>IF('Twenty-Second'!K23="", "",'Twenty-Second'!K23)</f>
        <v/>
      </c>
      <c r="L5270" s="88"/>
      <c r="M5270" s="67">
        <f t="shared" si="252"/>
        <v>7</v>
      </c>
      <c r="N5270" s="76" t="str">
        <f t="shared" si="253"/>
        <v/>
      </c>
      <c r="O5270" s="33">
        <f t="shared" si="251"/>
        <v>7</v>
      </c>
    </row>
    <row r="5271" spans="1:15" x14ac:dyDescent="0.25">
      <c r="A5271" s="93" t="s">
        <v>191</v>
      </c>
      <c r="B5271" s="79" t="str">
        <f>IF('Twenty-Second'!B24="", "",'Twenty-Second'!B24)</f>
        <v>CSS</v>
      </c>
      <c r="C5271" s="66" t="str">
        <f>IF('Twenty-Second'!C24="", "",'Twenty-Second'!C24)</f>
        <v>PwC</v>
      </c>
      <c r="D5271" s="66" t="str">
        <f>IF('Twenty-Second'!D24="", "",'Twenty-Second'!D24)</f>
        <v>Returning</v>
      </c>
      <c r="E5271" s="66" t="str">
        <f>IF('Twenty-Second'!E24="", "",'Twenty-Second'!E24)</f>
        <v>Female</v>
      </c>
      <c r="F5271" s="66" t="str">
        <f>IF('Twenty-Second'!F24="", "",'Twenty-Second'!F24)</f>
        <v>Breast</v>
      </c>
      <c r="G5271" s="66" t="str">
        <f>IF('Twenty-Second'!G24="", "",'Twenty-Second'!G24)</f>
        <v>Curative Intent</v>
      </c>
      <c r="H5271" s="66" t="str">
        <f>IF('Twenty-Second'!H24="", "",'Twenty-Second'!H24)</f>
        <v>Drop-In</v>
      </c>
      <c r="I5271" s="66" t="str">
        <f>IF('Twenty-Second'!I24="", "",'Twenty-Second'!I24)</f>
        <v/>
      </c>
      <c r="J5271" s="66" t="str">
        <f>IF('Twenty-Second'!J24="", "",'Twenty-Second'!J24)</f>
        <v/>
      </c>
      <c r="K5271" s="86" t="str">
        <f>IF('Twenty-Second'!K24="", "",'Twenty-Second'!K24)</f>
        <v/>
      </c>
      <c r="L5271" s="88"/>
      <c r="M5271" s="67">
        <f t="shared" si="252"/>
        <v>7</v>
      </c>
      <c r="N5271" s="76" t="str">
        <f t="shared" si="253"/>
        <v/>
      </c>
      <c r="O5271" s="33">
        <f t="shared" si="251"/>
        <v>7</v>
      </c>
    </row>
    <row r="5272" spans="1:15" x14ac:dyDescent="0.25">
      <c r="A5272" s="93" t="s">
        <v>191</v>
      </c>
      <c r="B5272" s="79" t="str">
        <f>IF('Twenty-Second'!B25="", "",'Twenty-Second'!B25)</f>
        <v>CSS</v>
      </c>
      <c r="C5272" s="66" t="str">
        <f>IF('Twenty-Second'!C25="", "",'Twenty-Second'!C25)</f>
        <v>PwC</v>
      </c>
      <c r="D5272" s="66" t="str">
        <f>IF('Twenty-Second'!D25="", "",'Twenty-Second'!D25)</f>
        <v>Returning</v>
      </c>
      <c r="E5272" s="66" t="str">
        <f>IF('Twenty-Second'!E25="", "",'Twenty-Second'!E25)</f>
        <v>Female</v>
      </c>
      <c r="F5272" s="66" t="str">
        <f>IF('Twenty-Second'!F25="", "",'Twenty-Second'!F25)</f>
        <v>Breast</v>
      </c>
      <c r="G5272" s="66" t="str">
        <f>IF('Twenty-Second'!G25="", "",'Twenty-Second'!G25)</f>
        <v>Non-Curative Intent</v>
      </c>
      <c r="H5272" s="66" t="str">
        <f>IF('Twenty-Second'!H25="", "",'Twenty-Second'!H25)</f>
        <v>Drop-In</v>
      </c>
      <c r="I5272" s="66" t="str">
        <f>IF('Twenty-Second'!I25="", "",'Twenty-Second'!I25)</f>
        <v/>
      </c>
      <c r="J5272" s="66" t="str">
        <f>IF('Twenty-Second'!J25="", "",'Twenty-Second'!J25)</f>
        <v/>
      </c>
      <c r="K5272" s="86" t="str">
        <f>IF('Twenty-Second'!K25="", "",'Twenty-Second'!K25)</f>
        <v/>
      </c>
      <c r="L5272" s="88"/>
      <c r="M5272" s="67">
        <f t="shared" si="252"/>
        <v>7</v>
      </c>
      <c r="N5272" s="76" t="str">
        <f t="shared" si="253"/>
        <v/>
      </c>
      <c r="O5272" s="33">
        <f t="shared" si="251"/>
        <v>7</v>
      </c>
    </row>
    <row r="5273" spans="1:15" x14ac:dyDescent="0.25">
      <c r="A5273" s="93" t="s">
        <v>191</v>
      </c>
      <c r="B5273" s="79" t="str">
        <f>IF('Twenty-Second'!B26="", "",'Twenty-Second'!B26)</f>
        <v>CSS</v>
      </c>
      <c r="C5273" s="66" t="str">
        <f>IF('Twenty-Second'!C26="", "",'Twenty-Second'!C26)</f>
        <v>Carer</v>
      </c>
      <c r="D5273" s="66" t="str">
        <f>IF('Twenty-Second'!D26="", "",'Twenty-Second'!D26)</f>
        <v>Returning</v>
      </c>
      <c r="E5273" s="66" t="str">
        <f>IF('Twenty-Second'!E26="", "",'Twenty-Second'!E26)</f>
        <v>Male</v>
      </c>
      <c r="F5273" s="66" t="str">
        <f>IF('Twenty-Second'!F26="", "",'Twenty-Second'!F26)</f>
        <v>Breast</v>
      </c>
      <c r="G5273" s="66" t="str">
        <f>IF('Twenty-Second'!G26="", "",'Twenty-Second'!G26)</f>
        <v>Non-Curative Intent</v>
      </c>
      <c r="H5273" s="66" t="str">
        <f>IF('Twenty-Second'!H26="", "",'Twenty-Second'!H26)</f>
        <v>Drop-In</v>
      </c>
      <c r="I5273" s="66" t="str">
        <f>IF('Twenty-Second'!I26="", "",'Twenty-Second'!I26)</f>
        <v/>
      </c>
      <c r="J5273" s="66" t="str">
        <f>IF('Twenty-Second'!J26="", "",'Twenty-Second'!J26)</f>
        <v/>
      </c>
      <c r="K5273" s="86" t="str">
        <f>IF('Twenty-Second'!K26="", "",'Twenty-Second'!K26)</f>
        <v/>
      </c>
      <c r="L5273" s="88"/>
      <c r="M5273" s="67" t="str">
        <f t="shared" si="252"/>
        <v/>
      </c>
      <c r="N5273" s="76">
        <f t="shared" si="253"/>
        <v>7</v>
      </c>
      <c r="O5273" s="33">
        <f t="shared" si="251"/>
        <v>7</v>
      </c>
    </row>
    <row r="5274" spans="1:15" x14ac:dyDescent="0.25">
      <c r="A5274" s="93" t="s">
        <v>191</v>
      </c>
      <c r="B5274" s="79" t="str">
        <f>IF('Twenty-Second'!B27="", "",'Twenty-Second'!B27)</f>
        <v>CSS</v>
      </c>
      <c r="C5274" s="66" t="str">
        <f>IF('Twenty-Second'!C27="", "",'Twenty-Second'!C27)</f>
        <v>PwC</v>
      </c>
      <c r="D5274" s="66" t="str">
        <f>IF('Twenty-Second'!D27="", "",'Twenty-Second'!D27)</f>
        <v>Returning</v>
      </c>
      <c r="E5274" s="66" t="str">
        <f>IF('Twenty-Second'!E27="", "",'Twenty-Second'!E27)</f>
        <v>Female</v>
      </c>
      <c r="F5274" s="66" t="str">
        <f>IF('Twenty-Second'!F27="", "",'Twenty-Second'!F27)</f>
        <v>Gynae</v>
      </c>
      <c r="G5274" s="66" t="str">
        <f>IF('Twenty-Second'!G27="", "",'Twenty-Second'!G27)</f>
        <v>Curative Intent</v>
      </c>
      <c r="H5274" s="66" t="str">
        <f>IF('Twenty-Second'!H27="", "",'Twenty-Second'!H27)</f>
        <v>Drop-In</v>
      </c>
      <c r="I5274" s="66" t="str">
        <f>IF('Twenty-Second'!I27="", "",'Twenty-Second'!I27)</f>
        <v/>
      </c>
      <c r="J5274" s="66" t="str">
        <f>IF('Twenty-Second'!J27="", "",'Twenty-Second'!J27)</f>
        <v/>
      </c>
      <c r="K5274" s="86" t="str">
        <f>IF('Twenty-Second'!K27="", "",'Twenty-Second'!K27)</f>
        <v/>
      </c>
      <c r="L5274" s="88"/>
      <c r="M5274" s="67">
        <f t="shared" si="252"/>
        <v>7</v>
      </c>
      <c r="N5274" s="76" t="str">
        <f t="shared" si="253"/>
        <v/>
      </c>
      <c r="O5274" s="33">
        <f t="shared" si="251"/>
        <v>7</v>
      </c>
    </row>
    <row r="5275" spans="1:15" x14ac:dyDescent="0.25">
      <c r="A5275" s="93" t="s">
        <v>191</v>
      </c>
      <c r="B5275" s="79" t="str">
        <f>IF('Twenty-Second'!B28="", "",'Twenty-Second'!B28)</f>
        <v>Psychologist</v>
      </c>
      <c r="C5275" s="66" t="str">
        <f>IF('Twenty-Second'!C28="", "",'Twenty-Second'!C28)</f>
        <v>PwC</v>
      </c>
      <c r="D5275" s="66" t="str">
        <f>IF('Twenty-Second'!D28="", "",'Twenty-Second'!D28)</f>
        <v>Returning</v>
      </c>
      <c r="E5275" s="66" t="str">
        <f>IF('Twenty-Second'!E28="", "",'Twenty-Second'!E28)</f>
        <v>Female</v>
      </c>
      <c r="F5275" s="66" t="str">
        <f>IF('Twenty-Second'!F28="", "",'Twenty-Second'!F28)</f>
        <v>Breast</v>
      </c>
      <c r="G5275" s="66" t="str">
        <f>IF('Twenty-Second'!G28="", "",'Twenty-Second'!G28)</f>
        <v>Post Treatment - Curative Intent</v>
      </c>
      <c r="H5275" s="66" t="str">
        <f>IF('Twenty-Second'!H28="", "",'Twenty-Second'!H28)</f>
        <v>Booked</v>
      </c>
      <c r="I5275" s="66" t="str">
        <f>IF('Twenty-Second'!I28="", "",'Twenty-Second'!I28)</f>
        <v>Psych Support - Individual</v>
      </c>
      <c r="J5275" s="66" t="str">
        <f>IF('Twenty-Second'!J28="", "",'Twenty-Second'!J28)</f>
        <v/>
      </c>
      <c r="K5275" s="86" t="str">
        <f>IF('Twenty-Second'!K28="", "",'Twenty-Second'!K28)</f>
        <v/>
      </c>
      <c r="L5275" s="88"/>
      <c r="M5275" s="67">
        <f t="shared" si="252"/>
        <v>7</v>
      </c>
      <c r="N5275" s="76" t="str">
        <f t="shared" si="253"/>
        <v/>
      </c>
      <c r="O5275" s="33">
        <f t="shared" si="251"/>
        <v>7</v>
      </c>
    </row>
    <row r="5276" spans="1:15" x14ac:dyDescent="0.25">
      <c r="A5276" s="93" t="s">
        <v>191</v>
      </c>
      <c r="B5276" s="79" t="str">
        <f>IF('Twenty-Second'!B29="", "",'Twenty-Second'!B29)</f>
        <v>Psychologist</v>
      </c>
      <c r="C5276" s="66" t="str">
        <f>IF('Twenty-Second'!C29="", "",'Twenty-Second'!C29)</f>
        <v>Carer</v>
      </c>
      <c r="D5276" s="66" t="str">
        <f>IF('Twenty-Second'!D29="", "",'Twenty-Second'!D29)</f>
        <v>Returning</v>
      </c>
      <c r="E5276" s="66" t="str">
        <f>IF('Twenty-Second'!E29="", "",'Twenty-Second'!E29)</f>
        <v>Female</v>
      </c>
      <c r="F5276" s="66" t="str">
        <f>IF('Twenty-Second'!F29="", "",'Twenty-Second'!F29)</f>
        <v>Lower GI</v>
      </c>
      <c r="G5276" s="66" t="str">
        <f>IF('Twenty-Second'!G29="", "",'Twenty-Second'!G29)</f>
        <v>Bereaved</v>
      </c>
      <c r="H5276" s="66" t="str">
        <f>IF('Twenty-Second'!H29="", "",'Twenty-Second'!H29)</f>
        <v>Booked</v>
      </c>
      <c r="I5276" s="66" t="str">
        <f>IF('Twenty-Second'!I29="", "",'Twenty-Second'!I29)</f>
        <v>Psych Support - Individual</v>
      </c>
      <c r="J5276" s="66" t="str">
        <f>IF('Twenty-Second'!J29="", "",'Twenty-Second'!J29)</f>
        <v/>
      </c>
      <c r="K5276" s="86" t="str">
        <f>IF('Twenty-Second'!K29="", "",'Twenty-Second'!K29)</f>
        <v/>
      </c>
      <c r="L5276" s="88"/>
      <c r="M5276" s="67" t="str">
        <f t="shared" si="252"/>
        <v/>
      </c>
      <c r="N5276" s="76">
        <f t="shared" si="253"/>
        <v>7</v>
      </c>
      <c r="O5276" s="33">
        <f t="shared" si="251"/>
        <v>7</v>
      </c>
    </row>
    <row r="5277" spans="1:15" x14ac:dyDescent="0.25">
      <c r="A5277" s="93" t="s">
        <v>191</v>
      </c>
      <c r="B5277" s="79" t="str">
        <f>IF('Twenty-Second'!B30="", "",'Twenty-Second'!B30)</f>
        <v>Psychologist</v>
      </c>
      <c r="C5277" s="66" t="str">
        <f>IF('Twenty-Second'!C30="", "",'Twenty-Second'!C30)</f>
        <v>PwC</v>
      </c>
      <c r="D5277" s="66" t="str">
        <f>IF('Twenty-Second'!D30="", "",'Twenty-Second'!D30)</f>
        <v>Returning</v>
      </c>
      <c r="E5277" s="66" t="str">
        <f>IF('Twenty-Second'!E30="", "",'Twenty-Second'!E30)</f>
        <v>Female</v>
      </c>
      <c r="F5277" s="66" t="str">
        <f>IF('Twenty-Second'!F30="", "",'Twenty-Second'!F30)</f>
        <v>Skin/Mel</v>
      </c>
      <c r="G5277" s="66" t="str">
        <f>IF('Twenty-Second'!G30="", "",'Twenty-Second'!G30)</f>
        <v>Post Treatment - Curative Intent</v>
      </c>
      <c r="H5277" s="66" t="str">
        <f>IF('Twenty-Second'!H30="", "",'Twenty-Second'!H30)</f>
        <v>Booked</v>
      </c>
      <c r="I5277" s="66" t="str">
        <f>IF('Twenty-Second'!I30="", "",'Twenty-Second'!I30)</f>
        <v>Psych Support - Individual</v>
      </c>
      <c r="J5277" s="66" t="str">
        <f>IF('Twenty-Second'!J30="", "",'Twenty-Second'!J30)</f>
        <v/>
      </c>
      <c r="K5277" s="86" t="str">
        <f>IF('Twenty-Second'!K30="", "",'Twenty-Second'!K30)</f>
        <v/>
      </c>
      <c r="L5277" s="88"/>
      <c r="M5277" s="67">
        <f t="shared" si="252"/>
        <v>7</v>
      </c>
      <c r="N5277" s="76" t="str">
        <f t="shared" si="253"/>
        <v/>
      </c>
      <c r="O5277" s="33">
        <f t="shared" si="251"/>
        <v>7</v>
      </c>
    </row>
    <row r="5278" spans="1:15" x14ac:dyDescent="0.25">
      <c r="A5278" s="93" t="s">
        <v>191</v>
      </c>
      <c r="B5278" s="79" t="str">
        <f>IF('Twenty-Second'!B31="", "",'Twenty-Second'!B31)</f>
        <v>CSS</v>
      </c>
      <c r="C5278" s="66" t="str">
        <f>IF('Twenty-Second'!C31="", "",'Twenty-Second'!C31)</f>
        <v>Carer</v>
      </c>
      <c r="D5278" s="66" t="str">
        <f>IF('Twenty-Second'!D31="", "",'Twenty-Second'!D31)</f>
        <v>Returning</v>
      </c>
      <c r="E5278" s="66" t="str">
        <f>IF('Twenty-Second'!E31="", "",'Twenty-Second'!E31)</f>
        <v>Male</v>
      </c>
      <c r="F5278" s="66" t="str">
        <f>IF('Twenty-Second'!F31="", "",'Twenty-Second'!F31)</f>
        <v>Breast</v>
      </c>
      <c r="G5278" s="66" t="str">
        <f>IF('Twenty-Second'!G31="", "",'Twenty-Second'!G31)</f>
        <v>Curative Intent</v>
      </c>
      <c r="H5278" s="66" t="str">
        <f>IF('Twenty-Second'!H31="", "",'Twenty-Second'!H31)</f>
        <v>Telephone Support</v>
      </c>
      <c r="I5278" s="66" t="str">
        <f>IF('Twenty-Second'!I31="", "",'Twenty-Second'!I31)</f>
        <v/>
      </c>
      <c r="J5278" s="66" t="str">
        <f>IF('Twenty-Second'!J31="", "",'Twenty-Second'!J31)</f>
        <v/>
      </c>
      <c r="K5278" s="86" t="str">
        <f>IF('Twenty-Second'!K31="", "",'Twenty-Second'!K31)</f>
        <v/>
      </c>
      <c r="L5278" s="88"/>
      <c r="M5278" s="67" t="str">
        <f t="shared" si="252"/>
        <v/>
      </c>
      <c r="N5278" s="76">
        <f t="shared" si="253"/>
        <v>7</v>
      </c>
      <c r="O5278" s="33">
        <f t="shared" si="251"/>
        <v>7</v>
      </c>
    </row>
    <row r="5279" spans="1:15" x14ac:dyDescent="0.25">
      <c r="A5279" s="93" t="s">
        <v>191</v>
      </c>
      <c r="B5279" s="79" t="str">
        <f>IF('Twenty-Second'!B32="", "",'Twenty-Second'!B32)</f>
        <v>CSS</v>
      </c>
      <c r="C5279" s="66" t="str">
        <f>IF('Twenty-Second'!C32="", "",'Twenty-Second'!C32)</f>
        <v>PwC</v>
      </c>
      <c r="D5279" s="66" t="str">
        <f>IF('Twenty-Second'!D32="", "",'Twenty-Second'!D32)</f>
        <v>New</v>
      </c>
      <c r="E5279" s="66" t="str">
        <f>IF('Twenty-Second'!E32="", "",'Twenty-Second'!E32)</f>
        <v>Male</v>
      </c>
      <c r="F5279" s="66" t="str">
        <f>IF('Twenty-Second'!F32="", "",'Twenty-Second'!F32)</f>
        <v>Testicular</v>
      </c>
      <c r="G5279" s="66" t="str">
        <f>IF('Twenty-Second'!G32="", "",'Twenty-Second'!G32)</f>
        <v>Curative Intent</v>
      </c>
      <c r="H5279" s="66" t="str">
        <f>IF('Twenty-Second'!H32="", "",'Twenty-Second'!H32)</f>
        <v>Drop-In</v>
      </c>
      <c r="I5279" s="66" t="str">
        <f>IF('Twenty-Second'!I32="", "",'Twenty-Second'!I32)</f>
        <v>Psych Support - Individual</v>
      </c>
      <c r="J5279" s="66" t="str">
        <f>IF('Twenty-Second'!J32="", "",'Twenty-Second'!J32)</f>
        <v/>
      </c>
      <c r="K5279" s="86" t="str">
        <f>IF('Twenty-Second'!K32="", "",'Twenty-Second'!K32)</f>
        <v/>
      </c>
      <c r="L5279" s="88"/>
      <c r="M5279" s="67">
        <f t="shared" si="252"/>
        <v>7</v>
      </c>
      <c r="N5279" s="76" t="str">
        <f t="shared" si="253"/>
        <v/>
      </c>
      <c r="O5279" s="33">
        <f t="shared" si="251"/>
        <v>7</v>
      </c>
    </row>
    <row r="5280" spans="1:15" x14ac:dyDescent="0.25">
      <c r="A5280" s="93" t="s">
        <v>191</v>
      </c>
      <c r="B5280" s="79" t="str">
        <f>IF('Twenty-Second'!B33="", "",'Twenty-Second'!B33)</f>
        <v>CSS</v>
      </c>
      <c r="C5280" s="66" t="str">
        <f>IF('Twenty-Second'!C33="", "",'Twenty-Second'!C33)</f>
        <v>Carer</v>
      </c>
      <c r="D5280" s="66" t="str">
        <f>IF('Twenty-Second'!D33="", "",'Twenty-Second'!D33)</f>
        <v>New</v>
      </c>
      <c r="E5280" s="66" t="str">
        <f>IF('Twenty-Second'!E33="", "",'Twenty-Second'!E33)</f>
        <v>Female</v>
      </c>
      <c r="F5280" s="66" t="str">
        <f>IF('Twenty-Second'!F33="", "",'Twenty-Second'!F33)</f>
        <v>Testicular</v>
      </c>
      <c r="G5280" s="66" t="str">
        <f>IF('Twenty-Second'!G33="", "",'Twenty-Second'!G33)</f>
        <v>Curative Intent</v>
      </c>
      <c r="H5280" s="66" t="str">
        <f>IF('Twenty-Second'!H33="", "",'Twenty-Second'!H33)</f>
        <v>Drop-In</v>
      </c>
      <c r="I5280" s="66" t="str">
        <f>IF('Twenty-Second'!I33="", "",'Twenty-Second'!I33)</f>
        <v/>
      </c>
      <c r="J5280" s="66" t="str">
        <f>IF('Twenty-Second'!J33="", "",'Twenty-Second'!J33)</f>
        <v/>
      </c>
      <c r="K5280" s="86" t="str">
        <f>IF('Twenty-Second'!K33="", "",'Twenty-Second'!K33)</f>
        <v/>
      </c>
      <c r="L5280" s="88"/>
      <c r="M5280" s="67" t="str">
        <f t="shared" si="252"/>
        <v/>
      </c>
      <c r="N5280" s="76">
        <f t="shared" si="253"/>
        <v>7</v>
      </c>
      <c r="O5280" s="33">
        <f t="shared" si="251"/>
        <v>7</v>
      </c>
    </row>
    <row r="5281" spans="1:15" x14ac:dyDescent="0.25">
      <c r="A5281" s="93" t="s">
        <v>191</v>
      </c>
      <c r="B5281" s="79" t="str">
        <f>IF('Twenty-Second'!B34="", "",'Twenty-Second'!B34)</f>
        <v>Psychologist</v>
      </c>
      <c r="C5281" s="66" t="str">
        <f>IF('Twenty-Second'!C34="", "",'Twenty-Second'!C34)</f>
        <v>PwC</v>
      </c>
      <c r="D5281" s="66" t="str">
        <f>IF('Twenty-Second'!D34="", "",'Twenty-Second'!D34)</f>
        <v>Returning</v>
      </c>
      <c r="E5281" s="66" t="str">
        <f>IF('Twenty-Second'!E34="", "",'Twenty-Second'!E34)</f>
        <v>Male</v>
      </c>
      <c r="F5281" s="66" t="str">
        <f>IF('Twenty-Second'!F34="", "",'Twenty-Second'!F34)</f>
        <v>Testicular</v>
      </c>
      <c r="G5281" s="66" t="str">
        <f>IF('Twenty-Second'!G34="", "",'Twenty-Second'!G34)</f>
        <v>Curative Intent</v>
      </c>
      <c r="H5281" s="66" t="str">
        <f>IF('Twenty-Second'!H34="", "",'Twenty-Second'!H34)</f>
        <v>Booked</v>
      </c>
      <c r="I5281" s="66" t="str">
        <f>IF('Twenty-Second'!I34="", "",'Twenty-Second'!I34)</f>
        <v>Psych Support - Individual</v>
      </c>
      <c r="J5281" s="66" t="str">
        <f>IF('Twenty-Second'!J34="", "",'Twenty-Second'!J34)</f>
        <v/>
      </c>
      <c r="K5281" s="86" t="str">
        <f>IF('Twenty-Second'!K34="", "",'Twenty-Second'!K34)</f>
        <v/>
      </c>
      <c r="L5281" s="88"/>
      <c r="M5281" s="67">
        <f t="shared" si="252"/>
        <v>7</v>
      </c>
      <c r="N5281" s="76" t="str">
        <f t="shared" si="253"/>
        <v/>
      </c>
      <c r="O5281" s="33">
        <f t="shared" si="251"/>
        <v>7</v>
      </c>
    </row>
    <row r="5282" spans="1:15" x14ac:dyDescent="0.25">
      <c r="A5282" s="93" t="s">
        <v>191</v>
      </c>
      <c r="B5282" s="79" t="str">
        <f>IF('Twenty-Second'!B35="", "",'Twenty-Second'!B35)</f>
        <v>Psychologist</v>
      </c>
      <c r="C5282" s="66" t="str">
        <f>IF('Twenty-Second'!C35="", "",'Twenty-Second'!C35)</f>
        <v>PwC</v>
      </c>
      <c r="D5282" s="66" t="str">
        <f>IF('Twenty-Second'!D35="", "",'Twenty-Second'!D35)</f>
        <v>Returning</v>
      </c>
      <c r="E5282" s="66" t="str">
        <f>IF('Twenty-Second'!E35="", "",'Twenty-Second'!E35)</f>
        <v>Female</v>
      </c>
      <c r="F5282" s="66" t="str">
        <f>IF('Twenty-Second'!F35="", "",'Twenty-Second'!F35)</f>
        <v>Gynae</v>
      </c>
      <c r="G5282" s="66" t="str">
        <f>IF('Twenty-Second'!G35="", "",'Twenty-Second'!G35)</f>
        <v>Non-Curative Intent</v>
      </c>
      <c r="H5282" s="66" t="str">
        <f>IF('Twenty-Second'!H35="", "",'Twenty-Second'!H35)</f>
        <v>Booked</v>
      </c>
      <c r="I5282" s="66" t="str">
        <f>IF('Twenty-Second'!I35="", "",'Twenty-Second'!I35)</f>
        <v>Psych Support - Individual</v>
      </c>
      <c r="J5282" s="66" t="str">
        <f>IF('Twenty-Second'!J35="", "",'Twenty-Second'!J35)</f>
        <v/>
      </c>
      <c r="K5282" s="86" t="str">
        <f>IF('Twenty-Second'!K35="", "",'Twenty-Second'!K35)</f>
        <v/>
      </c>
      <c r="L5282" s="88"/>
      <c r="M5282" s="67">
        <f t="shared" si="252"/>
        <v>7</v>
      </c>
      <c r="N5282" s="76" t="str">
        <f t="shared" si="253"/>
        <v/>
      </c>
      <c r="O5282" s="33">
        <f t="shared" si="251"/>
        <v>7</v>
      </c>
    </row>
    <row r="5283" spans="1:15" x14ac:dyDescent="0.25">
      <c r="A5283" s="93" t="s">
        <v>191</v>
      </c>
      <c r="B5283" s="79" t="str">
        <f>IF('Twenty-Second'!B36="", "",'Twenty-Second'!B36)</f>
        <v>Psychologist</v>
      </c>
      <c r="C5283" s="66" t="str">
        <f>IF('Twenty-Second'!C36="", "",'Twenty-Second'!C36)</f>
        <v>Carer</v>
      </c>
      <c r="D5283" s="66" t="str">
        <f>IF('Twenty-Second'!D36="", "",'Twenty-Second'!D36)</f>
        <v>Returning</v>
      </c>
      <c r="E5283" s="66" t="str">
        <f>IF('Twenty-Second'!E36="", "",'Twenty-Second'!E36)</f>
        <v>Female</v>
      </c>
      <c r="F5283" s="66" t="str">
        <f>IF('Twenty-Second'!F36="", "",'Twenty-Second'!F36)</f>
        <v>Breast</v>
      </c>
      <c r="G5283" s="66" t="str">
        <f>IF('Twenty-Second'!G36="", "",'Twenty-Second'!G36)</f>
        <v>Bereaved</v>
      </c>
      <c r="H5283" s="66" t="str">
        <f>IF('Twenty-Second'!H36="", "",'Twenty-Second'!H36)</f>
        <v>Booked</v>
      </c>
      <c r="I5283" s="66" t="str">
        <f>IF('Twenty-Second'!I36="", "",'Twenty-Second'!I36)</f>
        <v>Psych Support - Individual</v>
      </c>
      <c r="J5283" s="66" t="str">
        <f>IF('Twenty-Second'!J36="", "",'Twenty-Second'!J36)</f>
        <v/>
      </c>
      <c r="K5283" s="86" t="str">
        <f>IF('Twenty-Second'!K36="", "",'Twenty-Second'!K36)</f>
        <v/>
      </c>
      <c r="L5283" s="88"/>
      <c r="M5283" s="67" t="str">
        <f t="shared" si="252"/>
        <v/>
      </c>
      <c r="N5283" s="76">
        <f t="shared" si="253"/>
        <v>7</v>
      </c>
      <c r="O5283" s="33">
        <f t="shared" si="251"/>
        <v>7</v>
      </c>
    </row>
    <row r="5284" spans="1:15" x14ac:dyDescent="0.25">
      <c r="A5284" s="93" t="s">
        <v>191</v>
      </c>
      <c r="B5284" s="79" t="str">
        <f>IF('Twenty-Second'!B37="", "",'Twenty-Second'!B37)</f>
        <v>Psychologist</v>
      </c>
      <c r="C5284" s="66" t="str">
        <f>IF('Twenty-Second'!C37="", "",'Twenty-Second'!C37)</f>
        <v>PwC</v>
      </c>
      <c r="D5284" s="66" t="str">
        <f>IF('Twenty-Second'!D37="", "",'Twenty-Second'!D37)</f>
        <v>Returning</v>
      </c>
      <c r="E5284" s="66" t="str">
        <f>IF('Twenty-Second'!E37="", "",'Twenty-Second'!E37)</f>
        <v>Male</v>
      </c>
      <c r="F5284" s="66" t="str">
        <f>IF('Twenty-Second'!F37="", "",'Twenty-Second'!F37)</f>
        <v>Lower GI</v>
      </c>
      <c r="G5284" s="66" t="str">
        <f>IF('Twenty-Second'!G37="", "",'Twenty-Second'!G37)</f>
        <v>Curative Intent</v>
      </c>
      <c r="H5284" s="66" t="str">
        <f>IF('Twenty-Second'!H37="", "",'Twenty-Second'!H37)</f>
        <v>Drop-In</v>
      </c>
      <c r="I5284" s="66" t="str">
        <f>IF('Twenty-Second'!I37="", "",'Twenty-Second'!I37)</f>
        <v>Psych Support - Individual</v>
      </c>
      <c r="J5284" s="66" t="str">
        <f>IF('Twenty-Second'!J37="", "",'Twenty-Second'!J37)</f>
        <v/>
      </c>
      <c r="K5284" s="86" t="str">
        <f>IF('Twenty-Second'!K37="", "",'Twenty-Second'!K37)</f>
        <v/>
      </c>
      <c r="L5284" s="88"/>
      <c r="M5284" s="67">
        <f t="shared" si="252"/>
        <v>7</v>
      </c>
      <c r="N5284" s="76" t="str">
        <f t="shared" si="253"/>
        <v/>
      </c>
      <c r="O5284" s="33">
        <f t="shared" si="251"/>
        <v>7</v>
      </c>
    </row>
    <row r="5285" spans="1:15" x14ac:dyDescent="0.25">
      <c r="A5285" s="93" t="s">
        <v>191</v>
      </c>
      <c r="B5285" s="79" t="str">
        <f>IF('Twenty-Second'!B38="", "",'Twenty-Second'!B38)</f>
        <v>Centre Head</v>
      </c>
      <c r="C5285" s="66" t="str">
        <f>IF('Twenty-Second'!C38="", "",'Twenty-Second'!C38)</f>
        <v>Carer</v>
      </c>
      <c r="D5285" s="66" t="str">
        <f>IF('Twenty-Second'!D38="", "",'Twenty-Second'!D38)</f>
        <v>Returning</v>
      </c>
      <c r="E5285" s="66" t="str">
        <f>IF('Twenty-Second'!E38="", "",'Twenty-Second'!E38)</f>
        <v>Female</v>
      </c>
      <c r="F5285" s="66" t="str">
        <f>IF('Twenty-Second'!F38="", "",'Twenty-Second'!F38)</f>
        <v>Brain/CNS</v>
      </c>
      <c r="G5285" s="66" t="str">
        <f>IF('Twenty-Second'!G38="", "",'Twenty-Second'!G38)</f>
        <v>Non-Curative Intent</v>
      </c>
      <c r="H5285" s="66" t="str">
        <f>IF('Twenty-Second'!H38="", "",'Twenty-Second'!H38)</f>
        <v>Booked</v>
      </c>
      <c r="I5285" s="66" t="str">
        <f>IF('Twenty-Second'!I38="", "",'Twenty-Second'!I38)</f>
        <v>Psych Support - Individual</v>
      </c>
      <c r="J5285" s="66" t="str">
        <f>IF('Twenty-Second'!J38="", "",'Twenty-Second'!J38)</f>
        <v/>
      </c>
      <c r="K5285" s="86" t="str">
        <f>IF('Twenty-Second'!K38="", "",'Twenty-Second'!K38)</f>
        <v/>
      </c>
      <c r="L5285" s="88"/>
      <c r="M5285" s="67" t="str">
        <f t="shared" si="252"/>
        <v/>
      </c>
      <c r="N5285" s="76">
        <f t="shared" si="253"/>
        <v>7</v>
      </c>
      <c r="O5285" s="33">
        <f t="shared" si="251"/>
        <v>7</v>
      </c>
    </row>
    <row r="5286" spans="1:15" x14ac:dyDescent="0.25">
      <c r="A5286" s="93" t="s">
        <v>191</v>
      </c>
      <c r="B5286" s="79" t="str">
        <f>IF('Twenty-Second'!B39="", "",'Twenty-Second'!B39)</f>
        <v>Centre Head</v>
      </c>
      <c r="C5286" s="66" t="str">
        <f>IF('Twenty-Second'!C39="", "",'Twenty-Second'!C39)</f>
        <v>PwC</v>
      </c>
      <c r="D5286" s="66" t="str">
        <f>IF('Twenty-Second'!D39="", "",'Twenty-Second'!D39)</f>
        <v>New</v>
      </c>
      <c r="E5286" s="66" t="str">
        <f>IF('Twenty-Second'!E39="", "",'Twenty-Second'!E39)</f>
        <v>Male</v>
      </c>
      <c r="F5286" s="66" t="str">
        <f>IF('Twenty-Second'!F39="", "",'Twenty-Second'!F39)</f>
        <v>Head/Neck</v>
      </c>
      <c r="G5286" s="66" t="str">
        <f>IF('Twenty-Second'!G39="", "",'Twenty-Second'!G39)</f>
        <v>Pre-Diagnosis</v>
      </c>
      <c r="H5286" s="66" t="str">
        <f>IF('Twenty-Second'!H39="", "",'Twenty-Second'!H39)</f>
        <v>Drop-In</v>
      </c>
      <c r="I5286" s="66" t="str">
        <f>IF('Twenty-Second'!I39="", "",'Twenty-Second'!I39)</f>
        <v/>
      </c>
      <c r="J5286" s="66" t="str">
        <f>IF('Twenty-Second'!J39="", "",'Twenty-Second'!J39)</f>
        <v/>
      </c>
      <c r="K5286" s="86" t="str">
        <f>IF('Twenty-Second'!K39="", "",'Twenty-Second'!K39)</f>
        <v/>
      </c>
      <c r="L5286" s="88"/>
      <c r="M5286" s="67">
        <f t="shared" si="252"/>
        <v>7</v>
      </c>
      <c r="N5286" s="76" t="str">
        <f t="shared" si="253"/>
        <v/>
      </c>
      <c r="O5286" s="33">
        <f t="shared" si="251"/>
        <v>7</v>
      </c>
    </row>
    <row r="5287" spans="1:15" x14ac:dyDescent="0.25">
      <c r="A5287" s="93" t="s">
        <v>191</v>
      </c>
      <c r="B5287" s="79" t="str">
        <f>IF('Twenty-Second'!B40="", "",'Twenty-Second'!B40)</f>
        <v>Centre Head</v>
      </c>
      <c r="C5287" s="66" t="str">
        <f>IF('Twenty-Second'!C40="", "",'Twenty-Second'!C40)</f>
        <v>Carer</v>
      </c>
      <c r="D5287" s="66" t="str">
        <f>IF('Twenty-Second'!D40="", "",'Twenty-Second'!D40)</f>
        <v>New</v>
      </c>
      <c r="E5287" s="66" t="str">
        <f>IF('Twenty-Second'!E40="", "",'Twenty-Second'!E40)</f>
        <v>Male</v>
      </c>
      <c r="F5287" s="66" t="str">
        <f>IF('Twenty-Second'!F40="", "",'Twenty-Second'!F40)</f>
        <v>Head/Neck</v>
      </c>
      <c r="G5287" s="66" t="str">
        <f>IF('Twenty-Second'!G40="", "",'Twenty-Second'!G40)</f>
        <v>Pre-Diagnosis</v>
      </c>
      <c r="H5287" s="66" t="str">
        <f>IF('Twenty-Second'!H40="", "",'Twenty-Second'!H40)</f>
        <v>Drop-In</v>
      </c>
      <c r="I5287" s="66" t="str">
        <f>IF('Twenty-Second'!I40="", "",'Twenty-Second'!I40)</f>
        <v/>
      </c>
      <c r="J5287" s="66" t="str">
        <f>IF('Twenty-Second'!J40="", "",'Twenty-Second'!J40)</f>
        <v/>
      </c>
      <c r="K5287" s="86" t="str">
        <f>IF('Twenty-Second'!K40="", "",'Twenty-Second'!K40)</f>
        <v/>
      </c>
      <c r="L5287" s="88"/>
      <c r="M5287" s="67" t="str">
        <f t="shared" si="252"/>
        <v/>
      </c>
      <c r="N5287" s="76">
        <f t="shared" si="253"/>
        <v>7</v>
      </c>
      <c r="O5287" s="33">
        <f t="shared" si="251"/>
        <v>7</v>
      </c>
    </row>
    <row r="5288" spans="1:15" x14ac:dyDescent="0.25">
      <c r="A5288" s="93" t="s">
        <v>191</v>
      </c>
      <c r="B5288" s="79" t="str">
        <f>IF('Twenty-Second'!B41="", "",'Twenty-Second'!B41)</f>
        <v>Centre Head</v>
      </c>
      <c r="C5288" s="66" t="str">
        <f>IF('Twenty-Second'!C41="", "",'Twenty-Second'!C41)</f>
        <v>Carer</v>
      </c>
      <c r="D5288" s="66" t="str">
        <f>IF('Twenty-Second'!D41="", "",'Twenty-Second'!D41)</f>
        <v>New</v>
      </c>
      <c r="E5288" s="66" t="str">
        <f>IF('Twenty-Second'!E41="", "",'Twenty-Second'!E41)</f>
        <v>Female</v>
      </c>
      <c r="F5288" s="66" t="str">
        <f>IF('Twenty-Second'!F41="", "",'Twenty-Second'!F41)</f>
        <v>Head/Neck</v>
      </c>
      <c r="G5288" s="66" t="str">
        <f>IF('Twenty-Second'!G41="", "",'Twenty-Second'!G41)</f>
        <v>Pre-Diagnosis</v>
      </c>
      <c r="H5288" s="66" t="str">
        <f>IF('Twenty-Second'!H41="", "",'Twenty-Second'!H41)</f>
        <v>Drop-In</v>
      </c>
      <c r="I5288" s="66" t="str">
        <f>IF('Twenty-Second'!I41="", "",'Twenty-Second'!I41)</f>
        <v/>
      </c>
      <c r="J5288" s="66" t="str">
        <f>IF('Twenty-Second'!J41="", "",'Twenty-Second'!J41)</f>
        <v/>
      </c>
      <c r="K5288" s="86" t="str">
        <f>IF('Twenty-Second'!K41="", "",'Twenty-Second'!K41)</f>
        <v/>
      </c>
      <c r="L5288" s="88"/>
      <c r="M5288" s="67" t="str">
        <f t="shared" si="252"/>
        <v/>
      </c>
      <c r="N5288" s="76">
        <f t="shared" si="253"/>
        <v>7</v>
      </c>
      <c r="O5288" s="33">
        <f t="shared" si="251"/>
        <v>7</v>
      </c>
    </row>
    <row r="5289" spans="1:15" x14ac:dyDescent="0.25">
      <c r="A5289" s="93" t="s">
        <v>191</v>
      </c>
      <c r="B5289" s="79" t="str">
        <f>IF('Twenty-Second'!B42="", "",'Twenty-Second'!B42)</f>
        <v>Centre Head</v>
      </c>
      <c r="C5289" s="66" t="str">
        <f>IF('Twenty-Second'!C42="", "",'Twenty-Second'!C42)</f>
        <v>Carer</v>
      </c>
      <c r="D5289" s="66" t="str">
        <f>IF('Twenty-Second'!D42="", "",'Twenty-Second'!D42)</f>
        <v>Returning</v>
      </c>
      <c r="E5289" s="66" t="str">
        <f>IF('Twenty-Second'!E42="", "",'Twenty-Second'!E42)</f>
        <v>Female</v>
      </c>
      <c r="F5289" s="66" t="str">
        <f>IF('Twenty-Second'!F42="", "",'Twenty-Second'!F42)</f>
        <v>Gynae</v>
      </c>
      <c r="G5289" s="66" t="str">
        <f>IF('Twenty-Second'!G42="", "",'Twenty-Second'!G42)</f>
        <v>Bereaved</v>
      </c>
      <c r="H5289" s="66" t="str">
        <f>IF('Twenty-Second'!H42="", "",'Twenty-Second'!H42)</f>
        <v>Booked</v>
      </c>
      <c r="I5289" s="66" t="str">
        <f>IF('Twenty-Second'!I42="", "",'Twenty-Second'!I42)</f>
        <v>Psych Support - Individual</v>
      </c>
      <c r="J5289" s="66" t="str">
        <f>IF('Twenty-Second'!J42="", "",'Twenty-Second'!J42)</f>
        <v/>
      </c>
      <c r="K5289" s="86" t="str">
        <f>IF('Twenty-Second'!K42="", "",'Twenty-Second'!K42)</f>
        <v/>
      </c>
      <c r="L5289" s="88"/>
      <c r="M5289" s="67" t="str">
        <f t="shared" si="252"/>
        <v/>
      </c>
      <c r="N5289" s="76">
        <f t="shared" si="253"/>
        <v>7</v>
      </c>
      <c r="O5289" s="33">
        <f t="shared" si="251"/>
        <v>7</v>
      </c>
    </row>
    <row r="5290" spans="1:15" x14ac:dyDescent="0.25">
      <c r="A5290" s="93" t="s">
        <v>191</v>
      </c>
      <c r="B5290" s="79" t="str">
        <f>IF('Twenty-Second'!B43="", "",'Twenty-Second'!B43)</f>
        <v>Centre Head</v>
      </c>
      <c r="C5290" s="66" t="str">
        <f>IF('Twenty-Second'!C43="", "",'Twenty-Second'!C43)</f>
        <v>PwC</v>
      </c>
      <c r="D5290" s="66" t="str">
        <f>IF('Twenty-Second'!D43="", "",'Twenty-Second'!D43)</f>
        <v>Returning</v>
      </c>
      <c r="E5290" s="66" t="str">
        <f>IF('Twenty-Second'!E43="", "",'Twenty-Second'!E43)</f>
        <v>Male</v>
      </c>
      <c r="F5290" s="66" t="str">
        <f>IF('Twenty-Second'!F43="", "",'Twenty-Second'!F43)</f>
        <v>Haemat</v>
      </c>
      <c r="G5290" s="66" t="str">
        <f>IF('Twenty-Second'!G43="", "",'Twenty-Second'!G43)</f>
        <v>Curative Intent</v>
      </c>
      <c r="H5290" s="66" t="str">
        <f>IF('Twenty-Second'!H43="", "",'Twenty-Second'!H43)</f>
        <v>Drop-In</v>
      </c>
      <c r="I5290" s="66" t="str">
        <f>IF('Twenty-Second'!I43="", "",'Twenty-Second'!I43)</f>
        <v/>
      </c>
      <c r="J5290" s="66" t="str">
        <f>IF('Twenty-Second'!J43="", "",'Twenty-Second'!J43)</f>
        <v/>
      </c>
      <c r="K5290" s="86" t="str">
        <f>IF('Twenty-Second'!K43="", "",'Twenty-Second'!K43)</f>
        <v/>
      </c>
      <c r="L5290" s="88"/>
      <c r="M5290" s="67">
        <f t="shared" si="252"/>
        <v>7</v>
      </c>
      <c r="N5290" s="76" t="str">
        <f t="shared" si="253"/>
        <v/>
      </c>
      <c r="O5290" s="33">
        <f t="shared" si="251"/>
        <v>7</v>
      </c>
    </row>
    <row r="5291" spans="1:15" x14ac:dyDescent="0.25">
      <c r="A5291" s="93" t="s">
        <v>191</v>
      </c>
      <c r="B5291" s="79" t="str">
        <f>IF('Twenty-Second'!B44="", "",'Twenty-Second'!B44)</f>
        <v>Centre Head</v>
      </c>
      <c r="C5291" s="66" t="str">
        <f>IF('Twenty-Second'!C44="", "",'Twenty-Second'!C44)</f>
        <v>Carer</v>
      </c>
      <c r="D5291" s="66" t="str">
        <f>IF('Twenty-Second'!D44="", "",'Twenty-Second'!D44)</f>
        <v>Returning</v>
      </c>
      <c r="E5291" s="66" t="str">
        <f>IF('Twenty-Second'!E44="", "",'Twenty-Second'!E44)</f>
        <v>Female</v>
      </c>
      <c r="F5291" s="66" t="str">
        <f>IF('Twenty-Second'!F44="", "",'Twenty-Second'!F44)</f>
        <v>Haemat</v>
      </c>
      <c r="G5291" s="66" t="str">
        <f>IF('Twenty-Second'!G44="", "",'Twenty-Second'!G44)</f>
        <v>Curative Intent</v>
      </c>
      <c r="H5291" s="66" t="str">
        <f>IF('Twenty-Second'!H44="", "",'Twenty-Second'!H44)</f>
        <v>Drop-In</v>
      </c>
      <c r="I5291" s="66" t="str">
        <f>IF('Twenty-Second'!I44="", "",'Twenty-Second'!I44)</f>
        <v/>
      </c>
      <c r="J5291" s="66" t="str">
        <f>IF('Twenty-Second'!J44="", "",'Twenty-Second'!J44)</f>
        <v/>
      </c>
      <c r="K5291" s="86" t="str">
        <f>IF('Twenty-Second'!K44="", "",'Twenty-Second'!K44)</f>
        <v/>
      </c>
      <c r="L5291" s="88"/>
      <c r="M5291" s="67" t="str">
        <f t="shared" si="252"/>
        <v/>
      </c>
      <c r="N5291" s="76">
        <f t="shared" si="253"/>
        <v>7</v>
      </c>
      <c r="O5291" s="33">
        <f t="shared" si="251"/>
        <v>7</v>
      </c>
    </row>
    <row r="5292" spans="1:15" x14ac:dyDescent="0.25">
      <c r="A5292" s="93" t="s">
        <v>191</v>
      </c>
      <c r="B5292" s="79" t="str">
        <f>IF('Twenty-Second'!B45="", "",'Twenty-Second'!B45)</f>
        <v>Centre Head</v>
      </c>
      <c r="C5292" s="66" t="str">
        <f>IF('Twenty-Second'!C45="", "",'Twenty-Second'!C45)</f>
        <v>Carer</v>
      </c>
      <c r="D5292" s="66" t="str">
        <f>IF('Twenty-Second'!D45="", "",'Twenty-Second'!D45)</f>
        <v>Returning</v>
      </c>
      <c r="E5292" s="66" t="str">
        <f>IF('Twenty-Second'!E45="", "",'Twenty-Second'!E45)</f>
        <v>Female</v>
      </c>
      <c r="F5292" s="66" t="str">
        <f>IF('Twenty-Second'!F45="", "",'Twenty-Second'!F45)</f>
        <v>Upper GI</v>
      </c>
      <c r="G5292" s="66" t="str">
        <f>IF('Twenty-Second'!G45="", "",'Twenty-Second'!G45)</f>
        <v>Bereaved</v>
      </c>
      <c r="H5292" s="66" t="str">
        <f>IF('Twenty-Second'!H45="", "",'Twenty-Second'!H45)</f>
        <v>Booked</v>
      </c>
      <c r="I5292" s="66" t="str">
        <f>IF('Twenty-Second'!I45="", "",'Twenty-Second'!I45)</f>
        <v>Psych Support - Individual</v>
      </c>
      <c r="J5292" s="66" t="str">
        <f>IF('Twenty-Second'!J45="", "",'Twenty-Second'!J45)</f>
        <v/>
      </c>
      <c r="K5292" s="86" t="str">
        <f>IF('Twenty-Second'!K45="", "",'Twenty-Second'!K45)</f>
        <v/>
      </c>
      <c r="L5292" s="88"/>
      <c r="M5292" s="67" t="str">
        <f t="shared" si="252"/>
        <v/>
      </c>
      <c r="N5292" s="76">
        <f t="shared" si="253"/>
        <v>7</v>
      </c>
      <c r="O5292" s="33">
        <f t="shared" si="251"/>
        <v>7</v>
      </c>
    </row>
    <row r="5293" spans="1:15" x14ac:dyDescent="0.25">
      <c r="A5293" s="93" t="s">
        <v>191</v>
      </c>
      <c r="B5293" s="79" t="str">
        <f>IF('Twenty-Second'!B46="", "",'Twenty-Second'!B46)</f>
        <v>Centre Head</v>
      </c>
      <c r="C5293" s="66" t="str">
        <f>IF('Twenty-Second'!C46="", "",'Twenty-Second'!C46)</f>
        <v>Carer</v>
      </c>
      <c r="D5293" s="66" t="str">
        <f>IF('Twenty-Second'!D46="", "",'Twenty-Second'!D46)</f>
        <v>Returning</v>
      </c>
      <c r="E5293" s="66" t="str">
        <f>IF('Twenty-Second'!E46="", "",'Twenty-Second'!E46)</f>
        <v>Female</v>
      </c>
      <c r="F5293" s="66" t="str">
        <f>IF('Twenty-Second'!F46="", "",'Twenty-Second'!F46)</f>
        <v>Prostate</v>
      </c>
      <c r="G5293" s="66" t="str">
        <f>IF('Twenty-Second'!G46="", "",'Twenty-Second'!G46)</f>
        <v>Bereaved</v>
      </c>
      <c r="H5293" s="66" t="str">
        <f>IF('Twenty-Second'!H46="", "",'Twenty-Second'!H46)</f>
        <v>Booked</v>
      </c>
      <c r="I5293" s="66" t="str">
        <f>IF('Twenty-Second'!I46="", "",'Twenty-Second'!I46)</f>
        <v>Psych Support - Individual</v>
      </c>
      <c r="J5293" s="66" t="str">
        <f>IF('Twenty-Second'!J46="", "",'Twenty-Second'!J46)</f>
        <v/>
      </c>
      <c r="K5293" s="86" t="str">
        <f>IF('Twenty-Second'!K46="", "",'Twenty-Second'!K46)</f>
        <v/>
      </c>
      <c r="L5293" s="88"/>
      <c r="M5293" s="67" t="str">
        <f t="shared" si="252"/>
        <v/>
      </c>
      <c r="N5293" s="76">
        <f t="shared" si="253"/>
        <v>7</v>
      </c>
      <c r="O5293" s="33">
        <f t="shared" si="251"/>
        <v>7</v>
      </c>
    </row>
    <row r="5294" spans="1:15" x14ac:dyDescent="0.25">
      <c r="A5294" s="93" t="s">
        <v>191</v>
      </c>
      <c r="B5294" s="79" t="str">
        <f>IF('Twenty-Second'!B47="", "",'Twenty-Second'!B47)</f>
        <v>Centre Head</v>
      </c>
      <c r="C5294" s="66" t="str">
        <f>IF('Twenty-Second'!C47="", "",'Twenty-Second'!C47)</f>
        <v>PwC</v>
      </c>
      <c r="D5294" s="66" t="str">
        <f>IF('Twenty-Second'!D47="", "",'Twenty-Second'!D47)</f>
        <v>Returning</v>
      </c>
      <c r="E5294" s="66" t="str">
        <f>IF('Twenty-Second'!E47="", "",'Twenty-Second'!E47)</f>
        <v>Male</v>
      </c>
      <c r="F5294" s="66" t="str">
        <f>IF('Twenty-Second'!F47="", "",'Twenty-Second'!F47)</f>
        <v>Urolog</v>
      </c>
      <c r="G5294" s="66" t="str">
        <f>IF('Twenty-Second'!G47="", "",'Twenty-Second'!G47)</f>
        <v>Curative Intent</v>
      </c>
      <c r="H5294" s="66" t="str">
        <f>IF('Twenty-Second'!H47="", "",'Twenty-Second'!H47)</f>
        <v>Booked</v>
      </c>
      <c r="I5294" s="66" t="str">
        <f>IF('Twenty-Second'!I47="", "",'Twenty-Second'!I47)</f>
        <v>Psych Support - Individual</v>
      </c>
      <c r="J5294" s="66" t="str">
        <f>IF('Twenty-Second'!J47="", "",'Twenty-Second'!J47)</f>
        <v/>
      </c>
      <c r="K5294" s="86" t="str">
        <f>IF('Twenty-Second'!K47="", "",'Twenty-Second'!K47)</f>
        <v/>
      </c>
      <c r="L5294" s="88"/>
      <c r="M5294" s="67">
        <f t="shared" si="252"/>
        <v>7</v>
      </c>
      <c r="N5294" s="76" t="str">
        <f t="shared" si="253"/>
        <v/>
      </c>
      <c r="O5294" s="33">
        <f t="shared" si="251"/>
        <v>7</v>
      </c>
    </row>
    <row r="5295" spans="1:15" x14ac:dyDescent="0.25">
      <c r="A5295" s="93" t="s">
        <v>191</v>
      </c>
      <c r="B5295" s="79" t="str">
        <f>IF('Twenty-Second'!B48="", "",'Twenty-Second'!B48)</f>
        <v>Centre Head</v>
      </c>
      <c r="C5295" s="66" t="str">
        <f>IF('Twenty-Second'!C48="", "",'Twenty-Second'!C48)</f>
        <v>Carer</v>
      </c>
      <c r="D5295" s="66" t="str">
        <f>IF('Twenty-Second'!D48="", "",'Twenty-Second'!D48)</f>
        <v>Returning</v>
      </c>
      <c r="E5295" s="66" t="str">
        <f>IF('Twenty-Second'!E48="", "",'Twenty-Second'!E48)</f>
        <v>Female</v>
      </c>
      <c r="F5295" s="66" t="str">
        <f>IF('Twenty-Second'!F48="", "",'Twenty-Second'!F48)</f>
        <v>Urolog</v>
      </c>
      <c r="G5295" s="66" t="str">
        <f>IF('Twenty-Second'!G48="", "",'Twenty-Second'!G48)</f>
        <v>Curative Intent</v>
      </c>
      <c r="H5295" s="66" t="str">
        <f>IF('Twenty-Second'!H48="", "",'Twenty-Second'!H48)</f>
        <v>Booked</v>
      </c>
      <c r="I5295" s="66" t="str">
        <f>IF('Twenty-Second'!I48="", "",'Twenty-Second'!I48)</f>
        <v>Psych Support - Individual</v>
      </c>
      <c r="J5295" s="66" t="str">
        <f>IF('Twenty-Second'!J48="", "",'Twenty-Second'!J48)</f>
        <v/>
      </c>
      <c r="K5295" s="86" t="str">
        <f>IF('Twenty-Second'!K48="", "",'Twenty-Second'!K48)</f>
        <v/>
      </c>
      <c r="L5295" s="88"/>
      <c r="M5295" s="67" t="str">
        <f t="shared" si="252"/>
        <v/>
      </c>
      <c r="N5295" s="76">
        <f t="shared" si="253"/>
        <v>7</v>
      </c>
      <c r="O5295" s="33">
        <f t="shared" si="251"/>
        <v>7</v>
      </c>
    </row>
    <row r="5296" spans="1:15" x14ac:dyDescent="0.25">
      <c r="A5296" s="93" t="s">
        <v>191</v>
      </c>
      <c r="B5296" s="79" t="str">
        <f>IF('Twenty-Second'!B49="", "",'Twenty-Second'!B49)</f>
        <v>Centre Head</v>
      </c>
      <c r="C5296" s="66" t="str">
        <f>IF('Twenty-Second'!C49="", "",'Twenty-Second'!C49)</f>
        <v>Carer</v>
      </c>
      <c r="D5296" s="66" t="str">
        <f>IF('Twenty-Second'!D49="", "",'Twenty-Second'!D49)</f>
        <v>Returning</v>
      </c>
      <c r="E5296" s="66" t="str">
        <f>IF('Twenty-Second'!E49="", "",'Twenty-Second'!E49)</f>
        <v>Female</v>
      </c>
      <c r="F5296" s="66" t="str">
        <f>IF('Twenty-Second'!F49="", "",'Twenty-Second'!F49)</f>
        <v>Sarcoma</v>
      </c>
      <c r="G5296" s="66" t="str">
        <f>IF('Twenty-Second'!G49="", "",'Twenty-Second'!G49)</f>
        <v>Bereaved</v>
      </c>
      <c r="H5296" s="66" t="str">
        <f>IF('Twenty-Second'!H49="", "",'Twenty-Second'!H49)</f>
        <v>Booked</v>
      </c>
      <c r="I5296" s="66" t="str">
        <f>IF('Twenty-Second'!I49="", "",'Twenty-Second'!I49)</f>
        <v>Psych Support - Individual</v>
      </c>
      <c r="J5296" s="66" t="str">
        <f>IF('Twenty-Second'!J49="", "",'Twenty-Second'!J49)</f>
        <v/>
      </c>
      <c r="K5296" s="86" t="str">
        <f>IF('Twenty-Second'!K49="", "",'Twenty-Second'!K49)</f>
        <v/>
      </c>
      <c r="L5296" s="88"/>
      <c r="M5296" s="67" t="str">
        <f t="shared" si="252"/>
        <v/>
      </c>
      <c r="N5296" s="76">
        <f t="shared" si="253"/>
        <v>7</v>
      </c>
      <c r="O5296" s="33">
        <f t="shared" si="251"/>
        <v>7</v>
      </c>
    </row>
    <row r="5297" spans="1:15" x14ac:dyDescent="0.25">
      <c r="A5297" s="93" t="s">
        <v>191</v>
      </c>
      <c r="B5297" s="79" t="str">
        <f>IF('Twenty-Second'!B50="", "",'Twenty-Second'!B50)</f>
        <v>Centre Head</v>
      </c>
      <c r="C5297" s="66" t="str">
        <f>IF('Twenty-Second'!C50="", "",'Twenty-Second'!C50)</f>
        <v>PwC</v>
      </c>
      <c r="D5297" s="66" t="str">
        <f>IF('Twenty-Second'!D50="", "",'Twenty-Second'!D50)</f>
        <v>Returning</v>
      </c>
      <c r="E5297" s="66" t="str">
        <f>IF('Twenty-Second'!E50="", "",'Twenty-Second'!E50)</f>
        <v>Female</v>
      </c>
      <c r="F5297" s="66" t="str">
        <f>IF('Twenty-Second'!F50="", "",'Twenty-Second'!F50)</f>
        <v>Sarcoma</v>
      </c>
      <c r="G5297" s="66" t="str">
        <f>IF('Twenty-Second'!G50="", "",'Twenty-Second'!G50)</f>
        <v>Post Treatment - Curative Intent</v>
      </c>
      <c r="H5297" s="66" t="str">
        <f>IF('Twenty-Second'!H50="", "",'Twenty-Second'!H50)</f>
        <v>Booked</v>
      </c>
      <c r="I5297" s="66" t="str">
        <f>IF('Twenty-Second'!I50="", "",'Twenty-Second'!I50)</f>
        <v>Psych Support - Individual</v>
      </c>
      <c r="J5297" s="66" t="str">
        <f>IF('Twenty-Second'!J50="", "",'Twenty-Second'!J50)</f>
        <v/>
      </c>
      <c r="K5297" s="86" t="str">
        <f>IF('Twenty-Second'!K50="", "",'Twenty-Second'!K50)</f>
        <v/>
      </c>
      <c r="L5297" s="88"/>
      <c r="M5297" s="67">
        <f t="shared" si="252"/>
        <v>7</v>
      </c>
      <c r="N5297" s="76" t="str">
        <f t="shared" si="253"/>
        <v/>
      </c>
      <c r="O5297" s="33">
        <f t="shared" si="251"/>
        <v>7</v>
      </c>
    </row>
    <row r="5298" spans="1:15" x14ac:dyDescent="0.25">
      <c r="A5298" s="93" t="s">
        <v>191</v>
      </c>
      <c r="B5298" s="79" t="str">
        <f>IF('Twenty-Second'!B51="", "",'Twenty-Second'!B51)</f>
        <v>Centre Head</v>
      </c>
      <c r="C5298" s="66" t="str">
        <f>IF('Twenty-Second'!C51="", "",'Twenty-Second'!C51)</f>
        <v>PwC</v>
      </c>
      <c r="D5298" s="66" t="str">
        <f>IF('Twenty-Second'!D51="", "",'Twenty-Second'!D51)</f>
        <v>Returning</v>
      </c>
      <c r="E5298" s="66" t="str">
        <f>IF('Twenty-Second'!E51="", "",'Twenty-Second'!E51)</f>
        <v>Female</v>
      </c>
      <c r="F5298" s="66" t="str">
        <f>IF('Twenty-Second'!F51="", "",'Twenty-Second'!F51)</f>
        <v>Breast</v>
      </c>
      <c r="G5298" s="66" t="str">
        <f>IF('Twenty-Second'!G51="", "",'Twenty-Second'!G51)</f>
        <v>Curative Intent</v>
      </c>
      <c r="H5298" s="66" t="str">
        <f>IF('Twenty-Second'!H51="", "",'Twenty-Second'!H51)</f>
        <v>Drop-In</v>
      </c>
      <c r="I5298" s="66" t="str">
        <f>IF('Twenty-Second'!I51="", "",'Twenty-Second'!I51)</f>
        <v/>
      </c>
      <c r="J5298" s="66" t="str">
        <f>IF('Twenty-Second'!J51="", "",'Twenty-Second'!J51)</f>
        <v/>
      </c>
      <c r="K5298" s="86" t="str">
        <f>IF('Twenty-Second'!K51="", "",'Twenty-Second'!K51)</f>
        <v/>
      </c>
      <c r="L5298" s="88"/>
      <c r="M5298" s="67">
        <f t="shared" si="252"/>
        <v>7</v>
      </c>
      <c r="N5298" s="76" t="str">
        <f t="shared" si="253"/>
        <v/>
      </c>
      <c r="O5298" s="33">
        <f t="shared" si="251"/>
        <v>7</v>
      </c>
    </row>
    <row r="5299" spans="1:15" x14ac:dyDescent="0.25">
      <c r="A5299" s="93" t="s">
        <v>191</v>
      </c>
      <c r="B5299" s="79" t="str">
        <f>IF('Twenty-Second'!B52="", "",'Twenty-Second'!B52)</f>
        <v>Centre Head</v>
      </c>
      <c r="C5299" s="66" t="str">
        <f>IF('Twenty-Second'!C52="", "",'Twenty-Second'!C52)</f>
        <v>Carer</v>
      </c>
      <c r="D5299" s="66" t="str">
        <f>IF('Twenty-Second'!D52="", "",'Twenty-Second'!D52)</f>
        <v>Returning</v>
      </c>
      <c r="E5299" s="66" t="str">
        <f>IF('Twenty-Second'!E52="", "",'Twenty-Second'!E52)</f>
        <v>Male</v>
      </c>
      <c r="F5299" s="66" t="str">
        <f>IF('Twenty-Second'!F52="", "",'Twenty-Second'!F52)</f>
        <v>Breast</v>
      </c>
      <c r="G5299" s="66" t="str">
        <f>IF('Twenty-Second'!G52="", "",'Twenty-Second'!G52)</f>
        <v>Curative Intent</v>
      </c>
      <c r="H5299" s="66" t="str">
        <f>IF('Twenty-Second'!H52="", "",'Twenty-Second'!H52)</f>
        <v>Drop-In</v>
      </c>
      <c r="I5299" s="66" t="str">
        <f>IF('Twenty-Second'!I52="", "",'Twenty-Second'!I52)</f>
        <v/>
      </c>
      <c r="J5299" s="66" t="str">
        <f>IF('Twenty-Second'!J52="", "",'Twenty-Second'!J52)</f>
        <v/>
      </c>
      <c r="K5299" s="86" t="str">
        <f>IF('Twenty-Second'!K52="", "",'Twenty-Second'!K52)</f>
        <v/>
      </c>
      <c r="L5299" s="88"/>
      <c r="M5299" s="67" t="str">
        <f t="shared" si="252"/>
        <v/>
      </c>
      <c r="N5299" s="76">
        <f t="shared" si="253"/>
        <v>7</v>
      </c>
      <c r="O5299" s="33">
        <f t="shared" si="251"/>
        <v>7</v>
      </c>
    </row>
    <row r="5300" spans="1:15" x14ac:dyDescent="0.25">
      <c r="A5300" s="93" t="s">
        <v>191</v>
      </c>
      <c r="B5300" s="79" t="str">
        <f>IF('Twenty-Second'!B53="", "",'Twenty-Second'!B53)</f>
        <v>Centre Head</v>
      </c>
      <c r="C5300" s="66" t="str">
        <f>IF('Twenty-Second'!C53="", "",'Twenty-Second'!C53)</f>
        <v>Carer</v>
      </c>
      <c r="D5300" s="66" t="str">
        <f>IF('Twenty-Second'!D53="", "",'Twenty-Second'!D53)</f>
        <v>New</v>
      </c>
      <c r="E5300" s="66" t="str">
        <f>IF('Twenty-Second'!E53="", "",'Twenty-Second'!E53)</f>
        <v>Male</v>
      </c>
      <c r="F5300" s="66" t="str">
        <f>IF('Twenty-Second'!F53="", "",'Twenty-Second'!F53)</f>
        <v>Breast</v>
      </c>
      <c r="G5300" s="66" t="str">
        <f>IF('Twenty-Second'!G53="", "",'Twenty-Second'!G53)</f>
        <v>Curative Intent</v>
      </c>
      <c r="H5300" s="66" t="str">
        <f>IF('Twenty-Second'!H53="", "",'Twenty-Second'!H53)</f>
        <v>Drop-In</v>
      </c>
      <c r="I5300" s="66" t="str">
        <f>IF('Twenty-Second'!I53="", "",'Twenty-Second'!I53)</f>
        <v/>
      </c>
      <c r="J5300" s="66" t="str">
        <f>IF('Twenty-Second'!J53="", "",'Twenty-Second'!J53)</f>
        <v/>
      </c>
      <c r="K5300" s="86" t="str">
        <f>IF('Twenty-Second'!K53="", "",'Twenty-Second'!K53)</f>
        <v/>
      </c>
      <c r="L5300" s="88"/>
      <c r="M5300" s="67" t="str">
        <f t="shared" si="252"/>
        <v/>
      </c>
      <c r="N5300" s="76">
        <f t="shared" si="253"/>
        <v>7</v>
      </c>
      <c r="O5300" s="33">
        <f t="shared" si="251"/>
        <v>7</v>
      </c>
    </row>
    <row r="5301" spans="1:15" x14ac:dyDescent="0.25">
      <c r="A5301" s="93" t="s">
        <v>191</v>
      </c>
      <c r="B5301" s="79" t="str">
        <f>IF('Twenty-Second'!B54="", "",'Twenty-Second'!B54)</f>
        <v>Centre Head</v>
      </c>
      <c r="C5301" s="66" t="str">
        <f>IF('Twenty-Second'!C54="", "",'Twenty-Second'!C54)</f>
        <v>PwC</v>
      </c>
      <c r="D5301" s="66" t="str">
        <f>IF('Twenty-Second'!D54="", "",'Twenty-Second'!D54)</f>
        <v>Returning</v>
      </c>
      <c r="E5301" s="66" t="str">
        <f>IF('Twenty-Second'!E54="", "",'Twenty-Second'!E54)</f>
        <v>Female</v>
      </c>
      <c r="F5301" s="66" t="str">
        <f>IF('Twenty-Second'!F54="", "",'Twenty-Second'!F54)</f>
        <v>Breast</v>
      </c>
      <c r="G5301" s="66" t="str">
        <f>IF('Twenty-Second'!G54="", "",'Twenty-Second'!G54)</f>
        <v>Curative Intent</v>
      </c>
      <c r="H5301" s="66" t="str">
        <f>IF('Twenty-Second'!H54="", "",'Twenty-Second'!H54)</f>
        <v>Drop-In</v>
      </c>
      <c r="I5301" s="66" t="str">
        <f>IF('Twenty-Second'!I54="", "",'Twenty-Second'!I54)</f>
        <v/>
      </c>
      <c r="J5301" s="66" t="str">
        <f>IF('Twenty-Second'!J54="", "",'Twenty-Second'!J54)</f>
        <v/>
      </c>
      <c r="K5301" s="86" t="str">
        <f>IF('Twenty-Second'!K54="", "",'Twenty-Second'!K54)</f>
        <v/>
      </c>
      <c r="L5301" s="88"/>
      <c r="M5301" s="67">
        <f t="shared" si="252"/>
        <v>7</v>
      </c>
      <c r="N5301" s="76" t="str">
        <f t="shared" si="253"/>
        <v/>
      </c>
      <c r="O5301" s="33">
        <f t="shared" si="251"/>
        <v>7</v>
      </c>
    </row>
    <row r="5302" spans="1:15" x14ac:dyDescent="0.25">
      <c r="A5302" s="93" t="s">
        <v>191</v>
      </c>
      <c r="B5302" s="79" t="str">
        <f>IF('Twenty-Second'!B55="", "",'Twenty-Second'!B55)</f>
        <v>Centre Head</v>
      </c>
      <c r="C5302" s="66" t="str">
        <f>IF('Twenty-Second'!C55="", "",'Twenty-Second'!C55)</f>
        <v>PwC</v>
      </c>
      <c r="D5302" s="66" t="str">
        <f>IF('Twenty-Second'!D55="", "",'Twenty-Second'!D55)</f>
        <v>New</v>
      </c>
      <c r="E5302" s="66" t="str">
        <f>IF('Twenty-Second'!E55="", "",'Twenty-Second'!E55)</f>
        <v>Female</v>
      </c>
      <c r="F5302" s="66" t="str">
        <f>IF('Twenty-Second'!F55="", "",'Twenty-Second'!F55)</f>
        <v>Breast</v>
      </c>
      <c r="G5302" s="66" t="str">
        <f>IF('Twenty-Second'!G55="", "",'Twenty-Second'!G55)</f>
        <v>Curative Intent</v>
      </c>
      <c r="H5302" s="66" t="str">
        <f>IF('Twenty-Second'!H55="", "",'Twenty-Second'!H55)</f>
        <v>Drop-In</v>
      </c>
      <c r="I5302" s="66" t="str">
        <f>IF('Twenty-Second'!I55="", "",'Twenty-Second'!I55)</f>
        <v/>
      </c>
      <c r="J5302" s="66" t="str">
        <f>IF('Twenty-Second'!J55="", "",'Twenty-Second'!J55)</f>
        <v/>
      </c>
      <c r="K5302" s="86" t="str">
        <f>IF('Twenty-Second'!K55="", "",'Twenty-Second'!K55)</f>
        <v/>
      </c>
      <c r="L5302" s="88"/>
      <c r="M5302" s="67">
        <f t="shared" si="252"/>
        <v>7</v>
      </c>
      <c r="N5302" s="76" t="str">
        <f t="shared" si="253"/>
        <v/>
      </c>
      <c r="O5302" s="33">
        <f t="shared" si="251"/>
        <v>7</v>
      </c>
    </row>
    <row r="5303" spans="1:15" x14ac:dyDescent="0.25">
      <c r="A5303" s="93" t="s">
        <v>191</v>
      </c>
      <c r="B5303" s="79" t="str">
        <f>IF('Twenty-Second'!B56="", "",'Twenty-Second'!B56)</f>
        <v>Centre Head</v>
      </c>
      <c r="C5303" s="66" t="str">
        <f>IF('Twenty-Second'!C56="", "",'Twenty-Second'!C56)</f>
        <v>PwC</v>
      </c>
      <c r="D5303" s="66" t="str">
        <f>IF('Twenty-Second'!D56="", "",'Twenty-Second'!D56)</f>
        <v>New</v>
      </c>
      <c r="E5303" s="66" t="str">
        <f>IF('Twenty-Second'!E56="", "",'Twenty-Second'!E56)</f>
        <v>Female</v>
      </c>
      <c r="F5303" s="66" t="str">
        <f>IF('Twenty-Second'!F56="", "",'Twenty-Second'!F56)</f>
        <v>Breast</v>
      </c>
      <c r="G5303" s="66" t="str">
        <f>IF('Twenty-Second'!G56="", "",'Twenty-Second'!G56)</f>
        <v>Curative Intent</v>
      </c>
      <c r="H5303" s="66" t="str">
        <f>IF('Twenty-Second'!H56="", "",'Twenty-Second'!H56)</f>
        <v>Drop-In</v>
      </c>
      <c r="I5303" s="66" t="str">
        <f>IF('Twenty-Second'!I56="", "",'Twenty-Second'!I56)</f>
        <v/>
      </c>
      <c r="J5303" s="66" t="str">
        <f>IF('Twenty-Second'!J56="", "",'Twenty-Second'!J56)</f>
        <v/>
      </c>
      <c r="K5303" s="86" t="str">
        <f>IF('Twenty-Second'!K56="", "",'Twenty-Second'!K56)</f>
        <v/>
      </c>
      <c r="L5303" s="88"/>
      <c r="M5303" s="67">
        <f t="shared" si="252"/>
        <v>7</v>
      </c>
      <c r="N5303" s="76" t="str">
        <f t="shared" si="253"/>
        <v/>
      </c>
      <c r="O5303" s="33">
        <f t="shared" si="251"/>
        <v>7</v>
      </c>
    </row>
    <row r="5304" spans="1:15" x14ac:dyDescent="0.25">
      <c r="A5304" s="93" t="s">
        <v>191</v>
      </c>
      <c r="B5304" s="79" t="str">
        <f>IF('Twenty-Second'!B57="", "",'Twenty-Second'!B57)</f>
        <v>Centre Head</v>
      </c>
      <c r="C5304" s="66" t="str">
        <f>IF('Twenty-Second'!C57="", "",'Twenty-Second'!C57)</f>
        <v>PwC</v>
      </c>
      <c r="D5304" s="66" t="str">
        <f>IF('Twenty-Second'!D57="", "",'Twenty-Second'!D57)</f>
        <v>New</v>
      </c>
      <c r="E5304" s="66" t="str">
        <f>IF('Twenty-Second'!E57="", "",'Twenty-Second'!E57)</f>
        <v>Female</v>
      </c>
      <c r="F5304" s="66" t="str">
        <f>IF('Twenty-Second'!F57="", "",'Twenty-Second'!F57)</f>
        <v>Breast</v>
      </c>
      <c r="G5304" s="66" t="str">
        <f>IF('Twenty-Second'!G57="", "",'Twenty-Second'!G57)</f>
        <v>Curative Intent</v>
      </c>
      <c r="H5304" s="66" t="str">
        <f>IF('Twenty-Second'!H57="", "",'Twenty-Second'!H57)</f>
        <v>Drop-In</v>
      </c>
      <c r="I5304" s="66" t="str">
        <f>IF('Twenty-Second'!I57="", "",'Twenty-Second'!I57)</f>
        <v/>
      </c>
      <c r="J5304" s="66" t="str">
        <f>IF('Twenty-Second'!J57="", "",'Twenty-Second'!J57)</f>
        <v/>
      </c>
      <c r="K5304" s="86" t="str">
        <f>IF('Twenty-Second'!K57="", "",'Twenty-Second'!K57)</f>
        <v/>
      </c>
      <c r="L5304" s="88"/>
      <c r="M5304" s="67">
        <f t="shared" si="252"/>
        <v>7</v>
      </c>
      <c r="N5304" s="76" t="str">
        <f t="shared" si="253"/>
        <v/>
      </c>
      <c r="O5304" s="33">
        <f t="shared" si="251"/>
        <v>7</v>
      </c>
    </row>
    <row r="5305" spans="1:15" x14ac:dyDescent="0.25">
      <c r="A5305" s="93" t="s">
        <v>191</v>
      </c>
      <c r="B5305" s="79" t="str">
        <f>IF('Twenty-Second'!B58="", "",'Twenty-Second'!B58)</f>
        <v>CSS</v>
      </c>
      <c r="C5305" s="66" t="str">
        <f>IF('Twenty-Second'!C58="", "",'Twenty-Second'!C58)</f>
        <v>PwC</v>
      </c>
      <c r="D5305" s="66" t="str">
        <f>IF('Twenty-Second'!D58="", "",'Twenty-Second'!D58)</f>
        <v>Returning</v>
      </c>
      <c r="E5305" s="66" t="str">
        <f>IF('Twenty-Second'!E58="", "",'Twenty-Second'!E58)</f>
        <v>Female</v>
      </c>
      <c r="F5305" s="66" t="str">
        <f>IF('Twenty-Second'!F58="", "",'Twenty-Second'!F58)</f>
        <v>Gynae</v>
      </c>
      <c r="G5305" s="66" t="str">
        <f>IF('Twenty-Second'!G58="", "",'Twenty-Second'!G58)</f>
        <v>Curative Intent</v>
      </c>
      <c r="H5305" s="66" t="str">
        <f>IF('Twenty-Second'!H58="", "",'Twenty-Second'!H58)</f>
        <v>Booked</v>
      </c>
      <c r="I5305" s="66" t="str">
        <f>IF('Twenty-Second'!I58="", "",'Twenty-Second'!I58)</f>
        <v>Psych Support - Individual</v>
      </c>
      <c r="J5305" s="66" t="str">
        <f>IF('Twenty-Second'!J58="", "",'Twenty-Second'!J58)</f>
        <v/>
      </c>
      <c r="K5305" s="86" t="str">
        <f>IF('Twenty-Second'!K58="", "",'Twenty-Second'!K58)</f>
        <v/>
      </c>
      <c r="L5305" s="88"/>
      <c r="M5305" s="67">
        <f t="shared" si="252"/>
        <v>7</v>
      </c>
      <c r="N5305" s="76" t="str">
        <f t="shared" si="253"/>
        <v/>
      </c>
      <c r="O5305" s="33">
        <f t="shared" si="251"/>
        <v>7</v>
      </c>
    </row>
    <row r="5306" spans="1:15" x14ac:dyDescent="0.25">
      <c r="A5306" s="93" t="s">
        <v>191</v>
      </c>
      <c r="B5306" s="79" t="str">
        <f>IF('Twenty-Second'!B59="", "",'Twenty-Second'!B59)</f>
        <v>Psychologist</v>
      </c>
      <c r="C5306" s="66" t="str">
        <f>IF('Twenty-Second'!C59="", "",'Twenty-Second'!C59)</f>
        <v>PwC</v>
      </c>
      <c r="D5306" s="66" t="str">
        <f>IF('Twenty-Second'!D59="", "",'Twenty-Second'!D59)</f>
        <v>Returning</v>
      </c>
      <c r="E5306" s="66" t="str">
        <f>IF('Twenty-Second'!E59="", "",'Twenty-Second'!E59)</f>
        <v>Female</v>
      </c>
      <c r="F5306" s="66" t="str">
        <f>IF('Twenty-Second'!F59="", "",'Twenty-Second'!F59)</f>
        <v>Skin/Mel</v>
      </c>
      <c r="G5306" s="66" t="str">
        <f>IF('Twenty-Second'!G59="", "",'Twenty-Second'!G59)</f>
        <v>Post Treatment - Curative Intent</v>
      </c>
      <c r="H5306" s="66" t="str">
        <f>IF('Twenty-Second'!H59="", "",'Twenty-Second'!H59)</f>
        <v>Booked</v>
      </c>
      <c r="I5306" s="66" t="str">
        <f>IF('Twenty-Second'!I59="", "",'Twenty-Second'!I59)</f>
        <v>Psych Support - Individual</v>
      </c>
      <c r="J5306" s="66" t="str">
        <f>IF('Twenty-Second'!J59="", "",'Twenty-Second'!J59)</f>
        <v/>
      </c>
      <c r="K5306" s="86" t="str">
        <f>IF('Twenty-Second'!K59="", "",'Twenty-Second'!K59)</f>
        <v/>
      </c>
      <c r="L5306" s="88"/>
      <c r="M5306" s="67">
        <f t="shared" si="252"/>
        <v>7</v>
      </c>
      <c r="N5306" s="76" t="str">
        <f t="shared" si="253"/>
        <v/>
      </c>
      <c r="O5306" s="33">
        <f t="shared" si="251"/>
        <v>7</v>
      </c>
    </row>
    <row r="5307" spans="1:15" x14ac:dyDescent="0.25">
      <c r="A5307" s="93" t="s">
        <v>191</v>
      </c>
      <c r="B5307" s="79" t="str">
        <f>IF('Twenty-Second'!B60="", "",'Twenty-Second'!B60)</f>
        <v>CSS</v>
      </c>
      <c r="C5307" s="66" t="str">
        <f>IF('Twenty-Second'!C60="", "",'Twenty-Second'!C60)</f>
        <v>Carer</v>
      </c>
      <c r="D5307" s="66" t="str">
        <f>IF('Twenty-Second'!D60="", "",'Twenty-Second'!D60)</f>
        <v>Returning</v>
      </c>
      <c r="E5307" s="66" t="str">
        <f>IF('Twenty-Second'!E60="", "",'Twenty-Second'!E60)</f>
        <v>Male</v>
      </c>
      <c r="F5307" s="66" t="str">
        <f>IF('Twenty-Second'!F60="", "",'Twenty-Second'!F60)</f>
        <v>Breast</v>
      </c>
      <c r="G5307" s="66" t="str">
        <f>IF('Twenty-Second'!G60="", "",'Twenty-Second'!G60)</f>
        <v>Curative Intent</v>
      </c>
      <c r="H5307" s="66" t="str">
        <f>IF('Twenty-Second'!H60="", "",'Twenty-Second'!H60)</f>
        <v>Telephone Support</v>
      </c>
      <c r="I5307" s="66" t="str">
        <f>IF('Twenty-Second'!I60="", "",'Twenty-Second'!I60)</f>
        <v/>
      </c>
      <c r="J5307" s="66" t="str">
        <f>IF('Twenty-Second'!J60="", "",'Twenty-Second'!J60)</f>
        <v/>
      </c>
      <c r="K5307" s="86" t="str">
        <f>IF('Twenty-Second'!K60="", "",'Twenty-Second'!K60)</f>
        <v/>
      </c>
      <c r="L5307" s="88"/>
      <c r="M5307" s="67" t="str">
        <f t="shared" si="252"/>
        <v/>
      </c>
      <c r="N5307" s="76">
        <f t="shared" si="253"/>
        <v>7</v>
      </c>
      <c r="O5307" s="33">
        <f t="shared" si="251"/>
        <v>7</v>
      </c>
    </row>
    <row r="5308" spans="1:15" x14ac:dyDescent="0.25">
      <c r="A5308" s="93" t="s">
        <v>191</v>
      </c>
      <c r="B5308" s="79" t="str">
        <f>IF('Twenty-Second'!B61="", "",'Twenty-Second'!B61)</f>
        <v>CSS</v>
      </c>
      <c r="C5308" s="66" t="str">
        <f>IF('Twenty-Second'!C61="", "",'Twenty-Second'!C61)</f>
        <v>PwC</v>
      </c>
      <c r="D5308" s="66" t="str">
        <f>IF('Twenty-Second'!D61="", "",'Twenty-Second'!D61)</f>
        <v>New</v>
      </c>
      <c r="E5308" s="66" t="str">
        <f>IF('Twenty-Second'!E61="", "",'Twenty-Second'!E61)</f>
        <v>Male</v>
      </c>
      <c r="F5308" s="66" t="str">
        <f>IF('Twenty-Second'!F61="", "",'Twenty-Second'!F61)</f>
        <v>Testicular</v>
      </c>
      <c r="G5308" s="66" t="str">
        <f>IF('Twenty-Second'!G61="", "",'Twenty-Second'!G61)</f>
        <v>Curative Intent</v>
      </c>
      <c r="H5308" s="66" t="str">
        <f>IF('Twenty-Second'!H61="", "",'Twenty-Second'!H61)</f>
        <v>Drop-In</v>
      </c>
      <c r="I5308" s="66" t="str">
        <f>IF('Twenty-Second'!I61="", "",'Twenty-Second'!I61)</f>
        <v>Psych Support - Individual</v>
      </c>
      <c r="J5308" s="66" t="str">
        <f>IF('Twenty-Second'!J61="", "",'Twenty-Second'!J61)</f>
        <v/>
      </c>
      <c r="K5308" s="86" t="str">
        <f>IF('Twenty-Second'!K61="", "",'Twenty-Second'!K61)</f>
        <v/>
      </c>
      <c r="L5308" s="88"/>
      <c r="M5308" s="67">
        <f t="shared" si="252"/>
        <v>7</v>
      </c>
      <c r="N5308" s="76" t="str">
        <f t="shared" si="253"/>
        <v/>
      </c>
      <c r="O5308" s="33">
        <f t="shared" si="251"/>
        <v>7</v>
      </c>
    </row>
    <row r="5309" spans="1:15" x14ac:dyDescent="0.25">
      <c r="A5309" s="93" t="s">
        <v>191</v>
      </c>
      <c r="B5309" s="79" t="str">
        <f>IF('Twenty-Second'!B62="", "",'Twenty-Second'!B62)</f>
        <v>CSS</v>
      </c>
      <c r="C5309" s="66" t="str">
        <f>IF('Twenty-Second'!C62="", "",'Twenty-Second'!C62)</f>
        <v>Carer</v>
      </c>
      <c r="D5309" s="66" t="str">
        <f>IF('Twenty-Second'!D62="", "",'Twenty-Second'!D62)</f>
        <v>New</v>
      </c>
      <c r="E5309" s="66" t="str">
        <f>IF('Twenty-Second'!E62="", "",'Twenty-Second'!E62)</f>
        <v>Female</v>
      </c>
      <c r="F5309" s="66" t="str">
        <f>IF('Twenty-Second'!F62="", "",'Twenty-Second'!F62)</f>
        <v>Testicular</v>
      </c>
      <c r="G5309" s="66" t="str">
        <f>IF('Twenty-Second'!G62="", "",'Twenty-Second'!G62)</f>
        <v>Curative Intent</v>
      </c>
      <c r="H5309" s="66" t="str">
        <f>IF('Twenty-Second'!H62="", "",'Twenty-Second'!H62)</f>
        <v>Drop-In</v>
      </c>
      <c r="I5309" s="66" t="str">
        <f>IF('Twenty-Second'!I62="", "",'Twenty-Second'!I62)</f>
        <v/>
      </c>
      <c r="J5309" s="66" t="str">
        <f>IF('Twenty-Second'!J62="", "",'Twenty-Second'!J62)</f>
        <v/>
      </c>
      <c r="K5309" s="86" t="str">
        <f>IF('Twenty-Second'!K62="", "",'Twenty-Second'!K62)</f>
        <v/>
      </c>
      <c r="L5309" s="88"/>
      <c r="M5309" s="67" t="str">
        <f t="shared" si="252"/>
        <v/>
      </c>
      <c r="N5309" s="76">
        <f t="shared" si="253"/>
        <v>7</v>
      </c>
      <c r="O5309" s="33">
        <f t="shared" si="251"/>
        <v>7</v>
      </c>
    </row>
    <row r="5310" spans="1:15" x14ac:dyDescent="0.25">
      <c r="A5310" s="93" t="s">
        <v>191</v>
      </c>
      <c r="B5310" s="79" t="str">
        <f>IF('Twenty-Second'!B63="", "",'Twenty-Second'!B63)</f>
        <v>Psychologist</v>
      </c>
      <c r="C5310" s="66" t="str">
        <f>IF('Twenty-Second'!C63="", "",'Twenty-Second'!C63)</f>
        <v>PwC</v>
      </c>
      <c r="D5310" s="66" t="str">
        <f>IF('Twenty-Second'!D63="", "",'Twenty-Second'!D63)</f>
        <v>Returning</v>
      </c>
      <c r="E5310" s="66" t="str">
        <f>IF('Twenty-Second'!E63="", "",'Twenty-Second'!E63)</f>
        <v>Male</v>
      </c>
      <c r="F5310" s="66" t="str">
        <f>IF('Twenty-Second'!F63="", "",'Twenty-Second'!F63)</f>
        <v>Testicular</v>
      </c>
      <c r="G5310" s="66" t="str">
        <f>IF('Twenty-Second'!G63="", "",'Twenty-Second'!G63)</f>
        <v>Curative Intent</v>
      </c>
      <c r="H5310" s="66" t="str">
        <f>IF('Twenty-Second'!H63="", "",'Twenty-Second'!H63)</f>
        <v>Booked</v>
      </c>
      <c r="I5310" s="66" t="str">
        <f>IF('Twenty-Second'!I63="", "",'Twenty-Second'!I63)</f>
        <v>Psych Support - Individual</v>
      </c>
      <c r="J5310" s="66" t="str">
        <f>IF('Twenty-Second'!J63="", "",'Twenty-Second'!J63)</f>
        <v>NG Myeloma</v>
      </c>
      <c r="K5310" s="86" t="str">
        <f>IF('Twenty-Second'!K63="", "",'Twenty-Second'!K63)</f>
        <v>Where Now?</v>
      </c>
      <c r="L5310" s="88"/>
      <c r="M5310" s="67">
        <f t="shared" si="252"/>
        <v>7</v>
      </c>
      <c r="N5310" s="76" t="str">
        <f t="shared" si="253"/>
        <v/>
      </c>
      <c r="O5310" s="33">
        <f t="shared" si="251"/>
        <v>7</v>
      </c>
    </row>
    <row r="5311" spans="1:15" x14ac:dyDescent="0.25">
      <c r="A5311" s="93" t="s">
        <v>191</v>
      </c>
      <c r="B5311" s="79" t="str">
        <f>IF('Twenty-Second'!B64="", "",'Twenty-Second'!B64)</f>
        <v>Psychologist</v>
      </c>
      <c r="C5311" s="66" t="str">
        <f>IF('Twenty-Second'!C64="", "",'Twenty-Second'!C64)</f>
        <v>PwC</v>
      </c>
      <c r="D5311" s="66" t="str">
        <f>IF('Twenty-Second'!D64="", "",'Twenty-Second'!D64)</f>
        <v>Returning</v>
      </c>
      <c r="E5311" s="66" t="str">
        <f>IF('Twenty-Second'!E64="", "",'Twenty-Second'!E64)</f>
        <v>Female</v>
      </c>
      <c r="F5311" s="66" t="str">
        <f>IF('Twenty-Second'!F64="", "",'Twenty-Second'!F64)</f>
        <v>Gynae</v>
      </c>
      <c r="G5311" s="66" t="str">
        <f>IF('Twenty-Second'!G64="", "",'Twenty-Second'!G64)</f>
        <v>Non-Curative Intent</v>
      </c>
      <c r="H5311" s="66" t="str">
        <f>IF('Twenty-Second'!H64="", "",'Twenty-Second'!H64)</f>
        <v>Booked</v>
      </c>
      <c r="I5311" s="66" t="str">
        <f>IF('Twenty-Second'!I64="", "",'Twenty-Second'!I64)</f>
        <v>Psych Support - Individual</v>
      </c>
      <c r="J5311" s="66" t="str">
        <f>IF('Twenty-Second'!J64="", "",'Twenty-Second'!J64)</f>
        <v>NG Myeloma</v>
      </c>
      <c r="K5311" s="86" t="str">
        <f>IF('Twenty-Second'!K64="", "",'Twenty-Second'!K64)</f>
        <v>Where Now?</v>
      </c>
      <c r="L5311" s="88"/>
      <c r="M5311" s="67">
        <f t="shared" si="252"/>
        <v>7</v>
      </c>
      <c r="N5311" s="76" t="str">
        <f t="shared" si="253"/>
        <v/>
      </c>
      <c r="O5311" s="33">
        <f t="shared" si="251"/>
        <v>7</v>
      </c>
    </row>
    <row r="5312" spans="1:15" x14ac:dyDescent="0.25">
      <c r="A5312" s="93" t="s">
        <v>191</v>
      </c>
      <c r="B5312" s="79" t="str">
        <f>IF('Twenty-Second'!B65="", "",'Twenty-Second'!B65)</f>
        <v>Psychologist</v>
      </c>
      <c r="C5312" s="66" t="str">
        <f>IF('Twenty-Second'!C65="", "",'Twenty-Second'!C65)</f>
        <v>Carer</v>
      </c>
      <c r="D5312" s="66" t="str">
        <f>IF('Twenty-Second'!D65="", "",'Twenty-Second'!D65)</f>
        <v>Returning</v>
      </c>
      <c r="E5312" s="66" t="str">
        <f>IF('Twenty-Second'!E65="", "",'Twenty-Second'!E65)</f>
        <v>Female</v>
      </c>
      <c r="F5312" s="66" t="str">
        <f>IF('Twenty-Second'!F65="", "",'Twenty-Second'!F65)</f>
        <v>Breast</v>
      </c>
      <c r="G5312" s="66" t="str">
        <f>IF('Twenty-Second'!G65="", "",'Twenty-Second'!G65)</f>
        <v>Bereaved</v>
      </c>
      <c r="H5312" s="66" t="str">
        <f>IF('Twenty-Second'!H65="", "",'Twenty-Second'!H65)</f>
        <v>Booked</v>
      </c>
      <c r="I5312" s="66" t="str">
        <f>IF('Twenty-Second'!I65="", "",'Twenty-Second'!I65)</f>
        <v>Psych Support - Individual</v>
      </c>
      <c r="J5312" s="66" t="str">
        <f>IF('Twenty-Second'!J65="", "",'Twenty-Second'!J65)</f>
        <v>NG Myeloma</v>
      </c>
      <c r="K5312" s="86" t="str">
        <f>IF('Twenty-Second'!K65="", "",'Twenty-Second'!K65)</f>
        <v>Where Now?</v>
      </c>
      <c r="L5312" s="88"/>
      <c r="M5312" s="67" t="str">
        <f t="shared" si="252"/>
        <v/>
      </c>
      <c r="N5312" s="76">
        <f t="shared" si="253"/>
        <v>7</v>
      </c>
      <c r="O5312" s="33">
        <f t="shared" si="251"/>
        <v>7</v>
      </c>
    </row>
    <row r="5313" spans="1:15" x14ac:dyDescent="0.25">
      <c r="A5313" s="93" t="s">
        <v>191</v>
      </c>
      <c r="B5313" s="79" t="str">
        <f>IF('Twenty-Second'!B66="", "",'Twenty-Second'!B66)</f>
        <v>Psychologist</v>
      </c>
      <c r="C5313" s="66" t="str">
        <f>IF('Twenty-Second'!C66="", "",'Twenty-Second'!C66)</f>
        <v>PwC</v>
      </c>
      <c r="D5313" s="66" t="str">
        <f>IF('Twenty-Second'!D66="", "",'Twenty-Second'!D66)</f>
        <v>Returning</v>
      </c>
      <c r="E5313" s="66" t="str">
        <f>IF('Twenty-Second'!E66="", "",'Twenty-Second'!E66)</f>
        <v>Male</v>
      </c>
      <c r="F5313" s="66" t="str">
        <f>IF('Twenty-Second'!F66="", "",'Twenty-Second'!F66)</f>
        <v>Lower GI</v>
      </c>
      <c r="G5313" s="66" t="str">
        <f>IF('Twenty-Second'!G66="", "",'Twenty-Second'!G66)</f>
        <v>Curative Intent</v>
      </c>
      <c r="H5313" s="66" t="str">
        <f>IF('Twenty-Second'!H66="", "",'Twenty-Second'!H66)</f>
        <v>Drop-In</v>
      </c>
      <c r="I5313" s="66" t="str">
        <f>IF('Twenty-Second'!I66="", "",'Twenty-Second'!I66)</f>
        <v>Psych Support - Individual</v>
      </c>
      <c r="J5313" s="66" t="str">
        <f>IF('Twenty-Second'!J66="", "",'Twenty-Second'!J66)</f>
        <v>NG Myeloma</v>
      </c>
      <c r="K5313" s="86" t="str">
        <f>IF('Twenty-Second'!K66="", "",'Twenty-Second'!K66)</f>
        <v>Where Now?</v>
      </c>
      <c r="L5313" s="88"/>
      <c r="M5313" s="67">
        <f t="shared" si="252"/>
        <v>7</v>
      </c>
      <c r="N5313" s="76" t="str">
        <f t="shared" si="253"/>
        <v/>
      </c>
      <c r="O5313" s="33">
        <f t="shared" si="251"/>
        <v>7</v>
      </c>
    </row>
    <row r="5314" spans="1:15" x14ac:dyDescent="0.25">
      <c r="A5314" s="93" t="s">
        <v>191</v>
      </c>
      <c r="B5314" s="79" t="str">
        <f>IF('Twenty-Second'!B67="", "",'Twenty-Second'!B67)</f>
        <v>Centre Head</v>
      </c>
      <c r="C5314" s="66" t="str">
        <f>IF('Twenty-Second'!C67="", "",'Twenty-Second'!C67)</f>
        <v>Carer</v>
      </c>
      <c r="D5314" s="66" t="str">
        <f>IF('Twenty-Second'!D67="", "",'Twenty-Second'!D67)</f>
        <v>Returning</v>
      </c>
      <c r="E5314" s="66" t="str">
        <f>IF('Twenty-Second'!E67="", "",'Twenty-Second'!E67)</f>
        <v>Female</v>
      </c>
      <c r="F5314" s="66" t="str">
        <f>IF('Twenty-Second'!F67="", "",'Twenty-Second'!F67)</f>
        <v>Brain/CNS</v>
      </c>
      <c r="G5314" s="66" t="str">
        <f>IF('Twenty-Second'!G67="", "",'Twenty-Second'!G67)</f>
        <v>Non-Curative Intent</v>
      </c>
      <c r="H5314" s="66" t="str">
        <f>IF('Twenty-Second'!H67="", "",'Twenty-Second'!H67)</f>
        <v>Booked</v>
      </c>
      <c r="I5314" s="66" t="str">
        <f>IF('Twenty-Second'!I67="", "",'Twenty-Second'!I67)</f>
        <v>Psych Support - Individual</v>
      </c>
      <c r="J5314" s="66" t="str">
        <f>IF('Twenty-Second'!J67="", "",'Twenty-Second'!J67)</f>
        <v>NG Myeloma</v>
      </c>
      <c r="K5314" s="86" t="str">
        <f>IF('Twenty-Second'!K67="", "",'Twenty-Second'!K67)</f>
        <v>Where Now?</v>
      </c>
      <c r="L5314" s="88"/>
      <c r="M5314" s="67" t="str">
        <f t="shared" si="252"/>
        <v/>
      </c>
      <c r="N5314" s="76">
        <f t="shared" si="253"/>
        <v>7</v>
      </c>
      <c r="O5314" s="33">
        <f t="shared" si="251"/>
        <v>7</v>
      </c>
    </row>
    <row r="5315" spans="1:15" x14ac:dyDescent="0.25">
      <c r="A5315" s="93" t="s">
        <v>191</v>
      </c>
      <c r="B5315" s="79" t="str">
        <f>IF('Twenty-Second'!B68="", "",'Twenty-Second'!B68)</f>
        <v>Centre Head</v>
      </c>
      <c r="C5315" s="66" t="str">
        <f>IF('Twenty-Second'!C68="", "",'Twenty-Second'!C68)</f>
        <v>PwC</v>
      </c>
      <c r="D5315" s="66" t="str">
        <f>IF('Twenty-Second'!D68="", "",'Twenty-Second'!D68)</f>
        <v>New</v>
      </c>
      <c r="E5315" s="66" t="str">
        <f>IF('Twenty-Second'!E68="", "",'Twenty-Second'!E68)</f>
        <v>Male</v>
      </c>
      <c r="F5315" s="66" t="str">
        <f>IF('Twenty-Second'!F68="", "",'Twenty-Second'!F68)</f>
        <v>Head/Neck</v>
      </c>
      <c r="G5315" s="66" t="str">
        <f>IF('Twenty-Second'!G68="", "",'Twenty-Second'!G68)</f>
        <v>Pre-Diagnosis</v>
      </c>
      <c r="H5315" s="66" t="str">
        <f>IF('Twenty-Second'!H68="", "",'Twenty-Second'!H68)</f>
        <v>Drop-In</v>
      </c>
      <c r="I5315" s="66" t="str">
        <f>IF('Twenty-Second'!I68="", "",'Twenty-Second'!I68)</f>
        <v/>
      </c>
      <c r="J5315" s="66" t="str">
        <f>IF('Twenty-Second'!J68="", "",'Twenty-Second'!J68)</f>
        <v/>
      </c>
      <c r="K5315" s="86" t="str">
        <f>IF('Twenty-Second'!K68="", "",'Twenty-Second'!K68)</f>
        <v/>
      </c>
      <c r="L5315" s="88"/>
      <c r="M5315" s="67">
        <f t="shared" si="252"/>
        <v>7</v>
      </c>
      <c r="N5315" s="76" t="str">
        <f t="shared" si="253"/>
        <v/>
      </c>
      <c r="O5315" s="33">
        <f t="shared" si="251"/>
        <v>7</v>
      </c>
    </row>
    <row r="5316" spans="1:15" x14ac:dyDescent="0.25">
      <c r="A5316" s="93" t="s">
        <v>191</v>
      </c>
      <c r="B5316" s="79" t="str">
        <f>IF('Twenty-Second'!B69="", "",'Twenty-Second'!B69)</f>
        <v>Centre Head</v>
      </c>
      <c r="C5316" s="66" t="str">
        <f>IF('Twenty-Second'!C69="", "",'Twenty-Second'!C69)</f>
        <v>Carer</v>
      </c>
      <c r="D5316" s="66" t="str">
        <f>IF('Twenty-Second'!D69="", "",'Twenty-Second'!D69)</f>
        <v>New</v>
      </c>
      <c r="E5316" s="66" t="str">
        <f>IF('Twenty-Second'!E69="", "",'Twenty-Second'!E69)</f>
        <v>Male</v>
      </c>
      <c r="F5316" s="66" t="str">
        <f>IF('Twenty-Second'!F69="", "",'Twenty-Second'!F69)</f>
        <v>Head/Neck</v>
      </c>
      <c r="G5316" s="66" t="str">
        <f>IF('Twenty-Second'!G69="", "",'Twenty-Second'!G69)</f>
        <v>Pre-Diagnosis</v>
      </c>
      <c r="H5316" s="66" t="str">
        <f>IF('Twenty-Second'!H69="", "",'Twenty-Second'!H69)</f>
        <v>Drop-In</v>
      </c>
      <c r="I5316" s="66" t="str">
        <f>IF('Twenty-Second'!I69="", "",'Twenty-Second'!I69)</f>
        <v/>
      </c>
      <c r="J5316" s="66" t="str">
        <f>IF('Twenty-Second'!J69="", "",'Twenty-Second'!J69)</f>
        <v/>
      </c>
      <c r="K5316" s="86" t="str">
        <f>IF('Twenty-Second'!K69="", "",'Twenty-Second'!K69)</f>
        <v/>
      </c>
      <c r="L5316" s="88"/>
      <c r="M5316" s="67" t="str">
        <f t="shared" si="252"/>
        <v/>
      </c>
      <c r="N5316" s="76">
        <f t="shared" si="253"/>
        <v>7</v>
      </c>
      <c r="O5316" s="33">
        <f t="shared" si="251"/>
        <v>7</v>
      </c>
    </row>
    <row r="5317" spans="1:15" x14ac:dyDescent="0.25">
      <c r="A5317" s="93" t="s">
        <v>191</v>
      </c>
      <c r="B5317" s="79" t="str">
        <f>IF('Twenty-Second'!B70="", "",'Twenty-Second'!B70)</f>
        <v>Centre Head</v>
      </c>
      <c r="C5317" s="66" t="str">
        <f>IF('Twenty-Second'!C70="", "",'Twenty-Second'!C70)</f>
        <v>Carer</v>
      </c>
      <c r="D5317" s="66" t="str">
        <f>IF('Twenty-Second'!D70="", "",'Twenty-Second'!D70)</f>
        <v>New</v>
      </c>
      <c r="E5317" s="66" t="str">
        <f>IF('Twenty-Second'!E70="", "",'Twenty-Second'!E70)</f>
        <v>Female</v>
      </c>
      <c r="F5317" s="66" t="str">
        <f>IF('Twenty-Second'!F70="", "",'Twenty-Second'!F70)</f>
        <v>Head/Neck</v>
      </c>
      <c r="G5317" s="66" t="str">
        <f>IF('Twenty-Second'!G70="", "",'Twenty-Second'!G70)</f>
        <v>Pre-Diagnosis</v>
      </c>
      <c r="H5317" s="66" t="str">
        <f>IF('Twenty-Second'!H70="", "",'Twenty-Second'!H70)</f>
        <v>Drop-In</v>
      </c>
      <c r="I5317" s="66" t="str">
        <f>IF('Twenty-Second'!I70="", "",'Twenty-Second'!I70)</f>
        <v/>
      </c>
      <c r="J5317" s="66" t="str">
        <f>IF('Twenty-Second'!J70="", "",'Twenty-Second'!J70)</f>
        <v/>
      </c>
      <c r="K5317" s="86" t="str">
        <f>IF('Twenty-Second'!K70="", "",'Twenty-Second'!K70)</f>
        <v/>
      </c>
      <c r="L5317" s="88"/>
      <c r="M5317" s="67" t="str">
        <f t="shared" si="252"/>
        <v/>
      </c>
      <c r="N5317" s="76">
        <f t="shared" si="253"/>
        <v>7</v>
      </c>
      <c r="O5317" s="33">
        <f t="shared" si="251"/>
        <v>7</v>
      </c>
    </row>
    <row r="5318" spans="1:15" x14ac:dyDescent="0.25">
      <c r="A5318" s="93" t="s">
        <v>191</v>
      </c>
      <c r="B5318" s="79" t="str">
        <f>IF('Twenty-Second'!B71="", "",'Twenty-Second'!B71)</f>
        <v>Centre Head</v>
      </c>
      <c r="C5318" s="66" t="str">
        <f>IF('Twenty-Second'!C71="", "",'Twenty-Second'!C71)</f>
        <v>Carer</v>
      </c>
      <c r="D5318" s="66" t="str">
        <f>IF('Twenty-Second'!D71="", "",'Twenty-Second'!D71)</f>
        <v>Returning</v>
      </c>
      <c r="E5318" s="66" t="str">
        <f>IF('Twenty-Second'!E71="", "",'Twenty-Second'!E71)</f>
        <v>Female</v>
      </c>
      <c r="F5318" s="66" t="str">
        <f>IF('Twenty-Second'!F71="", "",'Twenty-Second'!F71)</f>
        <v>Gynae</v>
      </c>
      <c r="G5318" s="66" t="str">
        <f>IF('Twenty-Second'!G71="", "",'Twenty-Second'!G71)</f>
        <v>Bereaved</v>
      </c>
      <c r="H5318" s="66" t="str">
        <f>IF('Twenty-Second'!H71="", "",'Twenty-Second'!H71)</f>
        <v>Booked</v>
      </c>
      <c r="I5318" s="66" t="str">
        <f>IF('Twenty-Second'!I71="", "",'Twenty-Second'!I71)</f>
        <v>Psych Support - Individual</v>
      </c>
      <c r="J5318" s="66" t="str">
        <f>IF('Twenty-Second'!J71="", "",'Twenty-Second'!J71)</f>
        <v/>
      </c>
      <c r="K5318" s="86" t="str">
        <f>IF('Twenty-Second'!K71="", "",'Twenty-Second'!K71)</f>
        <v/>
      </c>
      <c r="L5318" s="88"/>
      <c r="M5318" s="67" t="str">
        <f t="shared" si="252"/>
        <v/>
      </c>
      <c r="N5318" s="76">
        <f t="shared" si="253"/>
        <v>7</v>
      </c>
      <c r="O5318" s="33">
        <f t="shared" si="251"/>
        <v>7</v>
      </c>
    </row>
    <row r="5319" spans="1:15" x14ac:dyDescent="0.25">
      <c r="A5319" s="93" t="s">
        <v>191</v>
      </c>
      <c r="B5319" s="79" t="str">
        <f>IF('Twenty-Second'!B72="", "",'Twenty-Second'!B72)</f>
        <v>Centre Head</v>
      </c>
      <c r="C5319" s="66" t="str">
        <f>IF('Twenty-Second'!C72="", "",'Twenty-Second'!C72)</f>
        <v>PwC</v>
      </c>
      <c r="D5319" s="66" t="str">
        <f>IF('Twenty-Second'!D72="", "",'Twenty-Second'!D72)</f>
        <v>Returning</v>
      </c>
      <c r="E5319" s="66" t="str">
        <f>IF('Twenty-Second'!E72="", "",'Twenty-Second'!E72)</f>
        <v>Male</v>
      </c>
      <c r="F5319" s="66" t="str">
        <f>IF('Twenty-Second'!F72="", "",'Twenty-Second'!F72)</f>
        <v>Haemat</v>
      </c>
      <c r="G5319" s="66" t="str">
        <f>IF('Twenty-Second'!G72="", "",'Twenty-Second'!G72)</f>
        <v>Curative Intent</v>
      </c>
      <c r="H5319" s="66" t="str">
        <f>IF('Twenty-Second'!H72="", "",'Twenty-Second'!H72)</f>
        <v>Drop-In</v>
      </c>
      <c r="I5319" s="66" t="str">
        <f>IF('Twenty-Second'!I72="", "",'Twenty-Second'!I72)</f>
        <v/>
      </c>
      <c r="J5319" s="66" t="str">
        <f>IF('Twenty-Second'!J72="", "",'Twenty-Second'!J72)</f>
        <v/>
      </c>
      <c r="K5319" s="86" t="str">
        <f>IF('Twenty-Second'!K72="", "",'Twenty-Second'!K72)</f>
        <v/>
      </c>
      <c r="L5319" s="88"/>
      <c r="M5319" s="67">
        <f t="shared" si="252"/>
        <v>7</v>
      </c>
      <c r="N5319" s="76" t="str">
        <f t="shared" si="253"/>
        <v/>
      </c>
      <c r="O5319" s="33">
        <f t="shared" si="251"/>
        <v>7</v>
      </c>
    </row>
    <row r="5320" spans="1:15" x14ac:dyDescent="0.25">
      <c r="A5320" s="93" t="s">
        <v>191</v>
      </c>
      <c r="B5320" s="79" t="str">
        <f>IF('Twenty-Second'!B73="", "",'Twenty-Second'!B73)</f>
        <v>Centre Head</v>
      </c>
      <c r="C5320" s="66" t="str">
        <f>IF('Twenty-Second'!C73="", "",'Twenty-Second'!C73)</f>
        <v>Carer</v>
      </c>
      <c r="D5320" s="66" t="str">
        <f>IF('Twenty-Second'!D73="", "",'Twenty-Second'!D73)</f>
        <v>Returning</v>
      </c>
      <c r="E5320" s="66" t="str">
        <f>IF('Twenty-Second'!E73="", "",'Twenty-Second'!E73)</f>
        <v>Female</v>
      </c>
      <c r="F5320" s="66" t="str">
        <f>IF('Twenty-Second'!F73="", "",'Twenty-Second'!F73)</f>
        <v>Haemat</v>
      </c>
      <c r="G5320" s="66" t="str">
        <f>IF('Twenty-Second'!G73="", "",'Twenty-Second'!G73)</f>
        <v>Curative Intent</v>
      </c>
      <c r="H5320" s="66" t="str">
        <f>IF('Twenty-Second'!H73="", "",'Twenty-Second'!H73)</f>
        <v>Drop-In</v>
      </c>
      <c r="I5320" s="66" t="str">
        <f>IF('Twenty-Second'!I73="", "",'Twenty-Second'!I73)</f>
        <v/>
      </c>
      <c r="J5320" s="66" t="str">
        <f>IF('Twenty-Second'!J73="", "",'Twenty-Second'!J73)</f>
        <v/>
      </c>
      <c r="K5320" s="86" t="str">
        <f>IF('Twenty-Second'!K73="", "",'Twenty-Second'!K73)</f>
        <v/>
      </c>
      <c r="L5320" s="88"/>
      <c r="M5320" s="67" t="str">
        <f t="shared" si="252"/>
        <v/>
      </c>
      <c r="N5320" s="76">
        <f t="shared" si="253"/>
        <v>7</v>
      </c>
      <c r="O5320" s="33">
        <f t="shared" si="251"/>
        <v>7</v>
      </c>
    </row>
    <row r="5321" spans="1:15" x14ac:dyDescent="0.25">
      <c r="A5321" s="93" t="s">
        <v>191</v>
      </c>
      <c r="B5321" s="79" t="str">
        <f>IF('Twenty-Second'!B74="", "",'Twenty-Second'!B74)</f>
        <v>Centre Head</v>
      </c>
      <c r="C5321" s="66" t="str">
        <f>IF('Twenty-Second'!C74="", "",'Twenty-Second'!C74)</f>
        <v>Carer</v>
      </c>
      <c r="D5321" s="66" t="str">
        <f>IF('Twenty-Second'!D74="", "",'Twenty-Second'!D74)</f>
        <v>Returning</v>
      </c>
      <c r="E5321" s="66" t="str">
        <f>IF('Twenty-Second'!E74="", "",'Twenty-Second'!E74)</f>
        <v>Female</v>
      </c>
      <c r="F5321" s="66" t="str">
        <f>IF('Twenty-Second'!F74="", "",'Twenty-Second'!F74)</f>
        <v>Upper GI</v>
      </c>
      <c r="G5321" s="66" t="str">
        <f>IF('Twenty-Second'!G74="", "",'Twenty-Second'!G74)</f>
        <v>Bereaved</v>
      </c>
      <c r="H5321" s="66" t="str">
        <f>IF('Twenty-Second'!H74="", "",'Twenty-Second'!H74)</f>
        <v>Booked</v>
      </c>
      <c r="I5321" s="66" t="str">
        <f>IF('Twenty-Second'!I74="", "",'Twenty-Second'!I74)</f>
        <v>Psych Support - Individual</v>
      </c>
      <c r="J5321" s="66" t="str">
        <f>IF('Twenty-Second'!J74="", "",'Twenty-Second'!J74)</f>
        <v>Kids Days</v>
      </c>
      <c r="K5321" s="86" t="str">
        <f>IF('Twenty-Second'!K74="", "",'Twenty-Second'!K74)</f>
        <v/>
      </c>
      <c r="L5321" s="88"/>
      <c r="M5321" s="67" t="str">
        <f t="shared" si="252"/>
        <v/>
      </c>
      <c r="N5321" s="76">
        <f t="shared" si="253"/>
        <v>7</v>
      </c>
      <c r="O5321" s="33">
        <f t="shared" si="251"/>
        <v>7</v>
      </c>
    </row>
    <row r="5322" spans="1:15" x14ac:dyDescent="0.25">
      <c r="A5322" s="93" t="s">
        <v>191</v>
      </c>
      <c r="B5322" s="79" t="str">
        <f>IF('Twenty-Second'!B75="", "",'Twenty-Second'!B75)</f>
        <v>Centre Head</v>
      </c>
      <c r="C5322" s="66" t="str">
        <f>IF('Twenty-Second'!C75="", "",'Twenty-Second'!C75)</f>
        <v>Carer</v>
      </c>
      <c r="D5322" s="66" t="str">
        <f>IF('Twenty-Second'!D75="", "",'Twenty-Second'!D75)</f>
        <v>Returning</v>
      </c>
      <c r="E5322" s="66" t="str">
        <f>IF('Twenty-Second'!E75="", "",'Twenty-Second'!E75)</f>
        <v>Female</v>
      </c>
      <c r="F5322" s="66" t="str">
        <f>IF('Twenty-Second'!F75="", "",'Twenty-Second'!F75)</f>
        <v>Prostate</v>
      </c>
      <c r="G5322" s="66" t="str">
        <f>IF('Twenty-Second'!G75="", "",'Twenty-Second'!G75)</f>
        <v>Bereaved</v>
      </c>
      <c r="H5322" s="66" t="str">
        <f>IF('Twenty-Second'!H75="", "",'Twenty-Second'!H75)</f>
        <v>Booked</v>
      </c>
      <c r="I5322" s="66" t="str">
        <f>IF('Twenty-Second'!I75="", "",'Twenty-Second'!I75)</f>
        <v>Psych Support - Individual</v>
      </c>
      <c r="J5322" s="66" t="str">
        <f>IF('Twenty-Second'!J75="", "",'Twenty-Second'!J75)</f>
        <v>Kids Days</v>
      </c>
      <c r="K5322" s="86" t="str">
        <f>IF('Twenty-Second'!K75="", "",'Twenty-Second'!K75)</f>
        <v/>
      </c>
      <c r="L5322" s="88"/>
      <c r="M5322" s="67" t="str">
        <f t="shared" si="252"/>
        <v/>
      </c>
      <c r="N5322" s="76">
        <f t="shared" si="253"/>
        <v>7</v>
      </c>
      <c r="O5322" s="33">
        <f t="shared" ref="O5322:O5385" si="254">SUM(M5322:N5322)</f>
        <v>7</v>
      </c>
    </row>
    <row r="5323" spans="1:15" x14ac:dyDescent="0.25">
      <c r="A5323" s="93" t="s">
        <v>191</v>
      </c>
      <c r="B5323" s="79" t="str">
        <f>IF('Twenty-Second'!B76="", "",'Twenty-Second'!B76)</f>
        <v>Centre Head</v>
      </c>
      <c r="C5323" s="66" t="str">
        <f>IF('Twenty-Second'!C76="", "",'Twenty-Second'!C76)</f>
        <v>PwC</v>
      </c>
      <c r="D5323" s="66" t="str">
        <f>IF('Twenty-Second'!D76="", "",'Twenty-Second'!D76)</f>
        <v>Returning</v>
      </c>
      <c r="E5323" s="66" t="str">
        <f>IF('Twenty-Second'!E76="", "",'Twenty-Second'!E76)</f>
        <v>Male</v>
      </c>
      <c r="F5323" s="66" t="str">
        <f>IF('Twenty-Second'!F76="", "",'Twenty-Second'!F76)</f>
        <v>Urolog</v>
      </c>
      <c r="G5323" s="66" t="str">
        <f>IF('Twenty-Second'!G76="", "",'Twenty-Second'!G76)</f>
        <v>Curative Intent</v>
      </c>
      <c r="H5323" s="66" t="str">
        <f>IF('Twenty-Second'!H76="", "",'Twenty-Second'!H76)</f>
        <v>Booked</v>
      </c>
      <c r="I5323" s="66" t="str">
        <f>IF('Twenty-Second'!I76="", "",'Twenty-Second'!I76)</f>
        <v>Psych Support - Individual</v>
      </c>
      <c r="J5323" s="66" t="str">
        <f>IF('Twenty-Second'!J76="", "",'Twenty-Second'!J76)</f>
        <v>Kids Days</v>
      </c>
      <c r="K5323" s="86" t="str">
        <f>IF('Twenty-Second'!K76="", "",'Twenty-Second'!K76)</f>
        <v/>
      </c>
      <c r="L5323" s="88"/>
      <c r="M5323" s="67">
        <f t="shared" ref="M5323:M5386" si="255">IF(C5323="PwC",(7-COUNTIF(B5323:H5323,"")),"")</f>
        <v>7</v>
      </c>
      <c r="N5323" s="76" t="str">
        <f t="shared" ref="N5323:N5386" si="256">IF(C5323="Carer",(7-COUNTIF(B5323:H5323,"")),"")</f>
        <v/>
      </c>
      <c r="O5323" s="33">
        <f t="shared" si="254"/>
        <v>7</v>
      </c>
    </row>
    <row r="5324" spans="1:15" x14ac:dyDescent="0.25">
      <c r="A5324" s="93" t="s">
        <v>191</v>
      </c>
      <c r="B5324" s="79" t="str">
        <f>IF('Twenty-Second'!B77="", "",'Twenty-Second'!B77)</f>
        <v>Centre Head</v>
      </c>
      <c r="C5324" s="66" t="str">
        <f>IF('Twenty-Second'!C77="", "",'Twenty-Second'!C77)</f>
        <v>Carer</v>
      </c>
      <c r="D5324" s="66" t="str">
        <f>IF('Twenty-Second'!D77="", "",'Twenty-Second'!D77)</f>
        <v>Returning</v>
      </c>
      <c r="E5324" s="66" t="str">
        <f>IF('Twenty-Second'!E77="", "",'Twenty-Second'!E77)</f>
        <v>Female</v>
      </c>
      <c r="F5324" s="66" t="str">
        <f>IF('Twenty-Second'!F77="", "",'Twenty-Second'!F77)</f>
        <v>Urolog</v>
      </c>
      <c r="G5324" s="66" t="str">
        <f>IF('Twenty-Second'!G77="", "",'Twenty-Second'!G77)</f>
        <v>Curative Intent</v>
      </c>
      <c r="H5324" s="66" t="str">
        <f>IF('Twenty-Second'!H77="", "",'Twenty-Second'!H77)</f>
        <v>Booked</v>
      </c>
      <c r="I5324" s="66" t="str">
        <f>IF('Twenty-Second'!I77="", "",'Twenty-Second'!I77)</f>
        <v>Psych Support - Individual</v>
      </c>
      <c r="J5324" s="66" t="str">
        <f>IF('Twenty-Second'!J77="", "",'Twenty-Second'!J77)</f>
        <v>Kids Days</v>
      </c>
      <c r="K5324" s="86" t="str">
        <f>IF('Twenty-Second'!K77="", "",'Twenty-Second'!K77)</f>
        <v/>
      </c>
      <c r="L5324" s="88"/>
      <c r="M5324" s="67" t="str">
        <f t="shared" si="255"/>
        <v/>
      </c>
      <c r="N5324" s="76">
        <f t="shared" si="256"/>
        <v>7</v>
      </c>
      <c r="O5324" s="33">
        <f t="shared" si="254"/>
        <v>7</v>
      </c>
    </row>
    <row r="5325" spans="1:15" x14ac:dyDescent="0.25">
      <c r="A5325" s="93" t="s">
        <v>191</v>
      </c>
      <c r="B5325" s="79" t="str">
        <f>IF('Twenty-Second'!B78="", "",'Twenty-Second'!B78)</f>
        <v>Centre Head</v>
      </c>
      <c r="C5325" s="66" t="str">
        <f>IF('Twenty-Second'!C78="", "",'Twenty-Second'!C78)</f>
        <v>Carer</v>
      </c>
      <c r="D5325" s="66" t="str">
        <f>IF('Twenty-Second'!D78="", "",'Twenty-Second'!D78)</f>
        <v>Returning</v>
      </c>
      <c r="E5325" s="66" t="str">
        <f>IF('Twenty-Second'!E78="", "",'Twenty-Second'!E78)</f>
        <v>Female</v>
      </c>
      <c r="F5325" s="66" t="str">
        <f>IF('Twenty-Second'!F78="", "",'Twenty-Second'!F78)</f>
        <v>Sarcoma</v>
      </c>
      <c r="G5325" s="66" t="str">
        <f>IF('Twenty-Second'!G78="", "",'Twenty-Second'!G78)</f>
        <v>Bereaved</v>
      </c>
      <c r="H5325" s="66" t="str">
        <f>IF('Twenty-Second'!H78="", "",'Twenty-Second'!H78)</f>
        <v>Booked</v>
      </c>
      <c r="I5325" s="66" t="str">
        <f>IF('Twenty-Second'!I78="", "",'Twenty-Second'!I78)</f>
        <v>Psych Support - Individual</v>
      </c>
      <c r="J5325" s="66" t="str">
        <f>IF('Twenty-Second'!J78="", "",'Twenty-Second'!J78)</f>
        <v>Kids Days</v>
      </c>
      <c r="K5325" s="86" t="str">
        <f>IF('Twenty-Second'!K78="", "",'Twenty-Second'!K78)</f>
        <v/>
      </c>
      <c r="L5325" s="88"/>
      <c r="M5325" s="67" t="str">
        <f t="shared" si="255"/>
        <v/>
      </c>
      <c r="N5325" s="76">
        <f t="shared" si="256"/>
        <v>7</v>
      </c>
      <c r="O5325" s="33">
        <f t="shared" si="254"/>
        <v>7</v>
      </c>
    </row>
    <row r="5326" spans="1:15" x14ac:dyDescent="0.25">
      <c r="A5326" s="93" t="s">
        <v>191</v>
      </c>
      <c r="B5326" s="79" t="str">
        <f>IF('Twenty-Second'!B79="", "",'Twenty-Second'!B79)</f>
        <v>Centre Head</v>
      </c>
      <c r="C5326" s="66" t="str">
        <f>IF('Twenty-Second'!C79="", "",'Twenty-Second'!C79)</f>
        <v>PwC</v>
      </c>
      <c r="D5326" s="66" t="str">
        <f>IF('Twenty-Second'!D79="", "",'Twenty-Second'!D79)</f>
        <v>Returning</v>
      </c>
      <c r="E5326" s="66" t="str">
        <f>IF('Twenty-Second'!E79="", "",'Twenty-Second'!E79)</f>
        <v>Female</v>
      </c>
      <c r="F5326" s="66" t="str">
        <f>IF('Twenty-Second'!F79="", "",'Twenty-Second'!F79)</f>
        <v>Sarcoma</v>
      </c>
      <c r="G5326" s="66" t="str">
        <f>IF('Twenty-Second'!G79="", "",'Twenty-Second'!G79)</f>
        <v>Post Treatment - Curative Intent</v>
      </c>
      <c r="H5326" s="66" t="str">
        <f>IF('Twenty-Second'!H79="", "",'Twenty-Second'!H79)</f>
        <v>Booked</v>
      </c>
      <c r="I5326" s="66" t="str">
        <f>IF('Twenty-Second'!I79="", "",'Twenty-Second'!I79)</f>
        <v>Psych Support - Individual</v>
      </c>
      <c r="J5326" s="66" t="str">
        <f>IF('Twenty-Second'!J79="", "",'Twenty-Second'!J79)</f>
        <v>Kids Days</v>
      </c>
      <c r="K5326" s="86" t="str">
        <f>IF('Twenty-Second'!K79="", "",'Twenty-Second'!K79)</f>
        <v/>
      </c>
      <c r="L5326" s="88"/>
      <c r="M5326" s="67">
        <f t="shared" si="255"/>
        <v>7</v>
      </c>
      <c r="N5326" s="76" t="str">
        <f t="shared" si="256"/>
        <v/>
      </c>
      <c r="O5326" s="33">
        <f t="shared" si="254"/>
        <v>7</v>
      </c>
    </row>
    <row r="5327" spans="1:15" x14ac:dyDescent="0.25">
      <c r="A5327" s="93" t="s">
        <v>191</v>
      </c>
      <c r="B5327" s="79" t="str">
        <f>IF('Twenty-Second'!B80="", "",'Twenty-Second'!B80)</f>
        <v>Centre Head</v>
      </c>
      <c r="C5327" s="66" t="str">
        <f>IF('Twenty-Second'!C80="", "",'Twenty-Second'!C80)</f>
        <v>PwC</v>
      </c>
      <c r="D5327" s="66" t="str">
        <f>IF('Twenty-Second'!D80="", "",'Twenty-Second'!D80)</f>
        <v>Returning</v>
      </c>
      <c r="E5327" s="66" t="str">
        <f>IF('Twenty-Second'!E80="", "",'Twenty-Second'!E80)</f>
        <v>Female</v>
      </c>
      <c r="F5327" s="66" t="str">
        <f>IF('Twenty-Second'!F80="", "",'Twenty-Second'!F80)</f>
        <v>Breast</v>
      </c>
      <c r="G5327" s="66" t="str">
        <f>IF('Twenty-Second'!G80="", "",'Twenty-Second'!G80)</f>
        <v>Curative Intent</v>
      </c>
      <c r="H5327" s="66" t="str">
        <f>IF('Twenty-Second'!H80="", "",'Twenty-Second'!H80)</f>
        <v>Drop-In</v>
      </c>
      <c r="I5327" s="66" t="str">
        <f>IF('Twenty-Second'!I80="", "",'Twenty-Second'!I80)</f>
        <v/>
      </c>
      <c r="J5327" s="66" t="str">
        <f>IF('Twenty-Second'!J80="", "",'Twenty-Second'!J80)</f>
        <v/>
      </c>
      <c r="K5327" s="86" t="str">
        <f>IF('Twenty-Second'!K80="", "",'Twenty-Second'!K80)</f>
        <v/>
      </c>
      <c r="L5327" s="88"/>
      <c r="M5327" s="67">
        <f t="shared" si="255"/>
        <v>7</v>
      </c>
      <c r="N5327" s="76" t="str">
        <f t="shared" si="256"/>
        <v/>
      </c>
      <c r="O5327" s="33">
        <f t="shared" si="254"/>
        <v>7</v>
      </c>
    </row>
    <row r="5328" spans="1:15" x14ac:dyDescent="0.25">
      <c r="A5328" s="93" t="s">
        <v>191</v>
      </c>
      <c r="B5328" s="79" t="str">
        <f>IF('Twenty-Second'!B81="", "",'Twenty-Second'!B81)</f>
        <v>Centre Head</v>
      </c>
      <c r="C5328" s="66" t="str">
        <f>IF('Twenty-Second'!C81="", "",'Twenty-Second'!C81)</f>
        <v>Carer</v>
      </c>
      <c r="D5328" s="66" t="str">
        <f>IF('Twenty-Second'!D81="", "",'Twenty-Second'!D81)</f>
        <v>Returning</v>
      </c>
      <c r="E5328" s="66" t="str">
        <f>IF('Twenty-Second'!E81="", "",'Twenty-Second'!E81)</f>
        <v>Male</v>
      </c>
      <c r="F5328" s="66" t="str">
        <f>IF('Twenty-Second'!F81="", "",'Twenty-Second'!F81)</f>
        <v>Breast</v>
      </c>
      <c r="G5328" s="66" t="str">
        <f>IF('Twenty-Second'!G81="", "",'Twenty-Second'!G81)</f>
        <v>Curative Intent</v>
      </c>
      <c r="H5328" s="66" t="str">
        <f>IF('Twenty-Second'!H81="", "",'Twenty-Second'!H81)</f>
        <v>Drop-In</v>
      </c>
      <c r="I5328" s="66" t="str">
        <f>IF('Twenty-Second'!I81="", "",'Twenty-Second'!I81)</f>
        <v/>
      </c>
      <c r="J5328" s="66" t="str">
        <f>IF('Twenty-Second'!J81="", "",'Twenty-Second'!J81)</f>
        <v/>
      </c>
      <c r="K5328" s="86" t="str">
        <f>IF('Twenty-Second'!K81="", "",'Twenty-Second'!K81)</f>
        <v/>
      </c>
      <c r="L5328" s="88"/>
      <c r="M5328" s="67" t="str">
        <f t="shared" si="255"/>
        <v/>
      </c>
      <c r="N5328" s="76">
        <f t="shared" si="256"/>
        <v>7</v>
      </c>
      <c r="O5328" s="33">
        <f t="shared" si="254"/>
        <v>7</v>
      </c>
    </row>
    <row r="5329" spans="1:15" x14ac:dyDescent="0.25">
      <c r="A5329" s="93" t="s">
        <v>191</v>
      </c>
      <c r="B5329" s="79" t="str">
        <f>IF('Twenty-Second'!B82="", "",'Twenty-Second'!B82)</f>
        <v>Centre Head</v>
      </c>
      <c r="C5329" s="66" t="str">
        <f>IF('Twenty-Second'!C82="", "",'Twenty-Second'!C82)</f>
        <v>Carer</v>
      </c>
      <c r="D5329" s="66" t="str">
        <f>IF('Twenty-Second'!D82="", "",'Twenty-Second'!D82)</f>
        <v>New</v>
      </c>
      <c r="E5329" s="66" t="str">
        <f>IF('Twenty-Second'!E82="", "",'Twenty-Second'!E82)</f>
        <v>Male</v>
      </c>
      <c r="F5329" s="66" t="str">
        <f>IF('Twenty-Second'!F82="", "",'Twenty-Second'!F82)</f>
        <v>Breast</v>
      </c>
      <c r="G5329" s="66" t="str">
        <f>IF('Twenty-Second'!G82="", "",'Twenty-Second'!G82)</f>
        <v>Curative Intent</v>
      </c>
      <c r="H5329" s="66" t="str">
        <f>IF('Twenty-Second'!H82="", "",'Twenty-Second'!H82)</f>
        <v>Drop-In</v>
      </c>
      <c r="I5329" s="66" t="str">
        <f>IF('Twenty-Second'!I82="", "",'Twenty-Second'!I82)</f>
        <v/>
      </c>
      <c r="J5329" s="66" t="str">
        <f>IF('Twenty-Second'!J82="", "",'Twenty-Second'!J82)</f>
        <v/>
      </c>
      <c r="K5329" s="86" t="str">
        <f>IF('Twenty-Second'!K82="", "",'Twenty-Second'!K82)</f>
        <v/>
      </c>
      <c r="L5329" s="88"/>
      <c r="M5329" s="67" t="str">
        <f t="shared" si="255"/>
        <v/>
      </c>
      <c r="N5329" s="76">
        <f t="shared" si="256"/>
        <v>7</v>
      </c>
      <c r="O5329" s="33">
        <f t="shared" si="254"/>
        <v>7</v>
      </c>
    </row>
    <row r="5330" spans="1:15" x14ac:dyDescent="0.25">
      <c r="A5330" s="93" t="s">
        <v>191</v>
      </c>
      <c r="B5330" s="79" t="str">
        <f>IF('Twenty-Second'!B83="", "",'Twenty-Second'!B83)</f>
        <v>Centre Head</v>
      </c>
      <c r="C5330" s="66" t="str">
        <f>IF('Twenty-Second'!C83="", "",'Twenty-Second'!C83)</f>
        <v>PwC</v>
      </c>
      <c r="D5330" s="66" t="str">
        <f>IF('Twenty-Second'!D83="", "",'Twenty-Second'!D83)</f>
        <v>Returning</v>
      </c>
      <c r="E5330" s="66" t="str">
        <f>IF('Twenty-Second'!E83="", "",'Twenty-Second'!E83)</f>
        <v>Female</v>
      </c>
      <c r="F5330" s="66" t="str">
        <f>IF('Twenty-Second'!F83="", "",'Twenty-Second'!F83)</f>
        <v>Breast</v>
      </c>
      <c r="G5330" s="66" t="str">
        <f>IF('Twenty-Second'!G83="", "",'Twenty-Second'!G83)</f>
        <v>Curative Intent</v>
      </c>
      <c r="H5330" s="66" t="str">
        <f>IF('Twenty-Second'!H83="", "",'Twenty-Second'!H83)</f>
        <v>Drop-In</v>
      </c>
      <c r="I5330" s="66" t="str">
        <f>IF('Twenty-Second'!I83="", "",'Twenty-Second'!I83)</f>
        <v/>
      </c>
      <c r="J5330" s="66" t="str">
        <f>IF('Twenty-Second'!J83="", "",'Twenty-Second'!J83)</f>
        <v/>
      </c>
      <c r="K5330" s="86" t="str">
        <f>IF('Twenty-Second'!K83="", "",'Twenty-Second'!K83)</f>
        <v/>
      </c>
      <c r="L5330" s="88"/>
      <c r="M5330" s="67">
        <f t="shared" si="255"/>
        <v>7</v>
      </c>
      <c r="N5330" s="76" t="str">
        <f t="shared" si="256"/>
        <v/>
      </c>
      <c r="O5330" s="33">
        <f t="shared" si="254"/>
        <v>7</v>
      </c>
    </row>
    <row r="5331" spans="1:15" x14ac:dyDescent="0.25">
      <c r="A5331" s="93" t="s">
        <v>191</v>
      </c>
      <c r="B5331" s="79" t="str">
        <f>IF('Twenty-Second'!B84="", "",'Twenty-Second'!B84)</f>
        <v>Centre Head</v>
      </c>
      <c r="C5331" s="66" t="str">
        <f>IF('Twenty-Second'!C84="", "",'Twenty-Second'!C84)</f>
        <v>PwC</v>
      </c>
      <c r="D5331" s="66" t="str">
        <f>IF('Twenty-Second'!D84="", "",'Twenty-Second'!D84)</f>
        <v>New</v>
      </c>
      <c r="E5331" s="66" t="str">
        <f>IF('Twenty-Second'!E84="", "",'Twenty-Second'!E84)</f>
        <v>Female</v>
      </c>
      <c r="F5331" s="66" t="str">
        <f>IF('Twenty-Second'!F84="", "",'Twenty-Second'!F84)</f>
        <v>Breast</v>
      </c>
      <c r="G5331" s="66" t="str">
        <f>IF('Twenty-Second'!G84="", "",'Twenty-Second'!G84)</f>
        <v>Curative Intent</v>
      </c>
      <c r="H5331" s="66" t="str">
        <f>IF('Twenty-Second'!H84="", "",'Twenty-Second'!H84)</f>
        <v>Drop-In</v>
      </c>
      <c r="I5331" s="66" t="str">
        <f>IF('Twenty-Second'!I84="", "",'Twenty-Second'!I84)</f>
        <v/>
      </c>
      <c r="J5331" s="66" t="str">
        <f>IF('Twenty-Second'!J84="", "",'Twenty-Second'!J84)</f>
        <v/>
      </c>
      <c r="K5331" s="86" t="str">
        <f>IF('Twenty-Second'!K84="", "",'Twenty-Second'!K84)</f>
        <v/>
      </c>
      <c r="L5331" s="88"/>
      <c r="M5331" s="67">
        <f t="shared" si="255"/>
        <v>7</v>
      </c>
      <c r="N5331" s="76" t="str">
        <f t="shared" si="256"/>
        <v/>
      </c>
      <c r="O5331" s="33">
        <f t="shared" si="254"/>
        <v>7</v>
      </c>
    </row>
    <row r="5332" spans="1:15" x14ac:dyDescent="0.25">
      <c r="A5332" s="93" t="s">
        <v>191</v>
      </c>
      <c r="B5332" s="79" t="str">
        <f>IF('Twenty-Second'!B85="", "",'Twenty-Second'!B85)</f>
        <v>Centre Head</v>
      </c>
      <c r="C5332" s="66" t="str">
        <f>IF('Twenty-Second'!C85="", "",'Twenty-Second'!C85)</f>
        <v>PwC</v>
      </c>
      <c r="D5332" s="66" t="str">
        <f>IF('Twenty-Second'!D85="", "",'Twenty-Second'!D85)</f>
        <v>New</v>
      </c>
      <c r="E5332" s="66" t="str">
        <f>IF('Twenty-Second'!E85="", "",'Twenty-Second'!E85)</f>
        <v>Female</v>
      </c>
      <c r="F5332" s="66" t="str">
        <f>IF('Twenty-Second'!F85="", "",'Twenty-Second'!F85)</f>
        <v>Breast</v>
      </c>
      <c r="G5332" s="66" t="str">
        <f>IF('Twenty-Second'!G85="", "",'Twenty-Second'!G85)</f>
        <v>Curative Intent</v>
      </c>
      <c r="H5332" s="66" t="str">
        <f>IF('Twenty-Second'!H85="", "",'Twenty-Second'!H85)</f>
        <v>Drop-In</v>
      </c>
      <c r="I5332" s="66" t="str">
        <f>IF('Twenty-Second'!I85="", "",'Twenty-Second'!I85)</f>
        <v/>
      </c>
      <c r="J5332" s="66" t="str">
        <f>IF('Twenty-Second'!J85="", "",'Twenty-Second'!J85)</f>
        <v/>
      </c>
      <c r="K5332" s="86" t="str">
        <f>IF('Twenty-Second'!K85="", "",'Twenty-Second'!K85)</f>
        <v/>
      </c>
      <c r="L5332" s="88"/>
      <c r="M5332" s="67">
        <f t="shared" si="255"/>
        <v>7</v>
      </c>
      <c r="N5332" s="76" t="str">
        <f t="shared" si="256"/>
        <v/>
      </c>
      <c r="O5332" s="33">
        <f t="shared" si="254"/>
        <v>7</v>
      </c>
    </row>
    <row r="5333" spans="1:15" x14ac:dyDescent="0.25">
      <c r="A5333" s="93" t="s">
        <v>191</v>
      </c>
      <c r="B5333" s="79" t="str">
        <f>IF('Twenty-Second'!B86="", "",'Twenty-Second'!B86)</f>
        <v>Centre Head</v>
      </c>
      <c r="C5333" s="66" t="str">
        <f>IF('Twenty-Second'!C86="", "",'Twenty-Second'!C86)</f>
        <v>PwC</v>
      </c>
      <c r="D5333" s="66" t="str">
        <f>IF('Twenty-Second'!D86="", "",'Twenty-Second'!D86)</f>
        <v>New</v>
      </c>
      <c r="E5333" s="66" t="str">
        <f>IF('Twenty-Second'!E86="", "",'Twenty-Second'!E86)</f>
        <v>Female</v>
      </c>
      <c r="F5333" s="66" t="str">
        <f>IF('Twenty-Second'!F86="", "",'Twenty-Second'!F86)</f>
        <v>Breast</v>
      </c>
      <c r="G5333" s="66" t="str">
        <f>IF('Twenty-Second'!G86="", "",'Twenty-Second'!G86)</f>
        <v>Curative Intent</v>
      </c>
      <c r="H5333" s="66" t="str">
        <f>IF('Twenty-Second'!H86="", "",'Twenty-Second'!H86)</f>
        <v>Drop-In</v>
      </c>
      <c r="I5333" s="66" t="str">
        <f>IF('Twenty-Second'!I86="", "",'Twenty-Second'!I86)</f>
        <v/>
      </c>
      <c r="J5333" s="66" t="str">
        <f>IF('Twenty-Second'!J86="", "",'Twenty-Second'!J86)</f>
        <v/>
      </c>
      <c r="K5333" s="86" t="str">
        <f>IF('Twenty-Second'!K86="", "",'Twenty-Second'!K86)</f>
        <v/>
      </c>
      <c r="L5333" s="88"/>
      <c r="M5333" s="67">
        <f t="shared" si="255"/>
        <v>7</v>
      </c>
      <c r="N5333" s="76" t="str">
        <f t="shared" si="256"/>
        <v/>
      </c>
      <c r="O5333" s="33">
        <f t="shared" si="254"/>
        <v>7</v>
      </c>
    </row>
    <row r="5334" spans="1:15" x14ac:dyDescent="0.25">
      <c r="A5334" s="93" t="s">
        <v>191</v>
      </c>
      <c r="B5334" s="79" t="str">
        <f>IF('Twenty-Second'!B87="", "",'Twenty-Second'!B87)</f>
        <v>CSS</v>
      </c>
      <c r="C5334" s="66" t="str">
        <f>IF('Twenty-Second'!C87="", "",'Twenty-Second'!C87)</f>
        <v>PwC</v>
      </c>
      <c r="D5334" s="66" t="str">
        <f>IF('Twenty-Second'!D87="", "",'Twenty-Second'!D87)</f>
        <v>Returning</v>
      </c>
      <c r="E5334" s="66" t="str">
        <f>IF('Twenty-Second'!E87="", "",'Twenty-Second'!E87)</f>
        <v>Female</v>
      </c>
      <c r="F5334" s="66" t="str">
        <f>IF('Twenty-Second'!F87="", "",'Twenty-Second'!F87)</f>
        <v>Gynae</v>
      </c>
      <c r="G5334" s="66" t="str">
        <f>IF('Twenty-Second'!G87="", "",'Twenty-Second'!G87)</f>
        <v>Curative Intent</v>
      </c>
      <c r="H5334" s="66" t="str">
        <f>IF('Twenty-Second'!H87="", "",'Twenty-Second'!H87)</f>
        <v>Booked</v>
      </c>
      <c r="I5334" s="66" t="str">
        <f>IF('Twenty-Second'!I87="", "",'Twenty-Second'!I87)</f>
        <v>Psych Support - Individual</v>
      </c>
      <c r="J5334" s="66" t="str">
        <f>IF('Twenty-Second'!J87="", "",'Twenty-Second'!J87)</f>
        <v/>
      </c>
      <c r="K5334" s="86" t="str">
        <f>IF('Twenty-Second'!K87="", "",'Twenty-Second'!K87)</f>
        <v/>
      </c>
      <c r="L5334" s="88"/>
      <c r="M5334" s="67">
        <f t="shared" si="255"/>
        <v>7</v>
      </c>
      <c r="N5334" s="76" t="str">
        <f t="shared" si="256"/>
        <v/>
      </c>
      <c r="O5334" s="33">
        <f t="shared" si="254"/>
        <v>7</v>
      </c>
    </row>
    <row r="5335" spans="1:15" x14ac:dyDescent="0.25">
      <c r="A5335" s="93" t="s">
        <v>191</v>
      </c>
      <c r="B5335" s="79" t="str">
        <f>IF('Twenty-Second'!B88="", "",'Twenty-Second'!B88)</f>
        <v/>
      </c>
      <c r="C5335" s="66" t="str">
        <f>IF('Twenty-Second'!C88="", "",'Twenty-Second'!C88)</f>
        <v/>
      </c>
      <c r="D5335" s="66" t="str">
        <f>IF('Twenty-Second'!D88="", "",'Twenty-Second'!D88)</f>
        <v/>
      </c>
      <c r="E5335" s="66" t="str">
        <f>IF('Twenty-Second'!E88="", "",'Twenty-Second'!E88)</f>
        <v/>
      </c>
      <c r="F5335" s="66" t="str">
        <f>IF('Twenty-Second'!F88="", "",'Twenty-Second'!F88)</f>
        <v/>
      </c>
      <c r="G5335" s="66" t="str">
        <f>IF('Twenty-Second'!G88="", "",'Twenty-Second'!G88)</f>
        <v/>
      </c>
      <c r="H5335" s="66" t="str">
        <f>IF('Twenty-Second'!H88="", "",'Twenty-Second'!H88)</f>
        <v/>
      </c>
      <c r="I5335" s="66" t="str">
        <f>IF('Twenty-Second'!I88="", "",'Twenty-Second'!I88)</f>
        <v/>
      </c>
      <c r="J5335" s="66" t="str">
        <f>IF('Twenty-Second'!J88="", "",'Twenty-Second'!J88)</f>
        <v/>
      </c>
      <c r="K5335" s="86" t="str">
        <f>IF('Twenty-Second'!K88="", "",'Twenty-Second'!K88)</f>
        <v/>
      </c>
      <c r="L5335" s="88"/>
      <c r="M5335" s="67" t="str">
        <f t="shared" si="255"/>
        <v/>
      </c>
      <c r="N5335" s="76" t="str">
        <f t="shared" si="256"/>
        <v/>
      </c>
      <c r="O5335" s="33">
        <f t="shared" si="254"/>
        <v>0</v>
      </c>
    </row>
    <row r="5336" spans="1:15" x14ac:dyDescent="0.25">
      <c r="A5336" s="93" t="s">
        <v>191</v>
      </c>
      <c r="B5336" s="79" t="str">
        <f>IF('Twenty-Second'!B89="", "",'Twenty-Second'!B89)</f>
        <v/>
      </c>
      <c r="C5336" s="66" t="str">
        <f>IF('Twenty-Second'!C89="", "",'Twenty-Second'!C89)</f>
        <v/>
      </c>
      <c r="D5336" s="66" t="str">
        <f>IF('Twenty-Second'!D89="", "",'Twenty-Second'!D89)</f>
        <v/>
      </c>
      <c r="E5336" s="66" t="str">
        <f>IF('Twenty-Second'!E89="", "",'Twenty-Second'!E89)</f>
        <v/>
      </c>
      <c r="F5336" s="66" t="str">
        <f>IF('Twenty-Second'!F89="", "",'Twenty-Second'!F89)</f>
        <v/>
      </c>
      <c r="G5336" s="66" t="str">
        <f>IF('Twenty-Second'!G89="", "",'Twenty-Second'!G89)</f>
        <v/>
      </c>
      <c r="H5336" s="66" t="str">
        <f>IF('Twenty-Second'!H89="", "",'Twenty-Second'!H89)</f>
        <v/>
      </c>
      <c r="I5336" s="66" t="str">
        <f>IF('Twenty-Second'!I89="", "",'Twenty-Second'!I89)</f>
        <v/>
      </c>
      <c r="J5336" s="66" t="str">
        <f>IF('Twenty-Second'!J89="", "",'Twenty-Second'!J89)</f>
        <v/>
      </c>
      <c r="K5336" s="86" t="str">
        <f>IF('Twenty-Second'!K89="", "",'Twenty-Second'!K89)</f>
        <v/>
      </c>
      <c r="L5336" s="88"/>
      <c r="M5336" s="67" t="str">
        <f t="shared" si="255"/>
        <v/>
      </c>
      <c r="N5336" s="76" t="str">
        <f t="shared" si="256"/>
        <v/>
      </c>
      <c r="O5336" s="33">
        <f t="shared" si="254"/>
        <v>0</v>
      </c>
    </row>
    <row r="5337" spans="1:15" x14ac:dyDescent="0.25">
      <c r="A5337" s="93" t="s">
        <v>191</v>
      </c>
      <c r="B5337" s="79" t="str">
        <f>IF('Twenty-Second'!B90="", "",'Twenty-Second'!B90)</f>
        <v/>
      </c>
      <c r="C5337" s="66" t="str">
        <f>IF('Twenty-Second'!C90="", "",'Twenty-Second'!C90)</f>
        <v/>
      </c>
      <c r="D5337" s="66" t="str">
        <f>IF('Twenty-Second'!D90="", "",'Twenty-Second'!D90)</f>
        <v/>
      </c>
      <c r="E5337" s="66" t="str">
        <f>IF('Twenty-Second'!E90="", "",'Twenty-Second'!E90)</f>
        <v/>
      </c>
      <c r="F5337" s="66" t="str">
        <f>IF('Twenty-Second'!F90="", "",'Twenty-Second'!F90)</f>
        <v/>
      </c>
      <c r="G5337" s="66" t="str">
        <f>IF('Twenty-Second'!G90="", "",'Twenty-Second'!G90)</f>
        <v/>
      </c>
      <c r="H5337" s="66" t="str">
        <f>IF('Twenty-Second'!H90="", "",'Twenty-Second'!H90)</f>
        <v/>
      </c>
      <c r="I5337" s="66" t="str">
        <f>IF('Twenty-Second'!I90="", "",'Twenty-Second'!I90)</f>
        <v/>
      </c>
      <c r="J5337" s="66" t="str">
        <f>IF('Twenty-Second'!J90="", "",'Twenty-Second'!J90)</f>
        <v/>
      </c>
      <c r="K5337" s="86" t="str">
        <f>IF('Twenty-Second'!K90="", "",'Twenty-Second'!K90)</f>
        <v/>
      </c>
      <c r="L5337" s="88"/>
      <c r="M5337" s="67" t="str">
        <f t="shared" si="255"/>
        <v/>
      </c>
      <c r="N5337" s="76" t="str">
        <f t="shared" si="256"/>
        <v/>
      </c>
      <c r="O5337" s="33">
        <f t="shared" si="254"/>
        <v>0</v>
      </c>
    </row>
    <row r="5338" spans="1:15" x14ac:dyDescent="0.25">
      <c r="A5338" s="93" t="s">
        <v>191</v>
      </c>
      <c r="B5338" s="79" t="str">
        <f>IF('Twenty-Second'!B91="", "",'Twenty-Second'!B91)</f>
        <v/>
      </c>
      <c r="C5338" s="66" t="str">
        <f>IF('Twenty-Second'!C91="", "",'Twenty-Second'!C91)</f>
        <v/>
      </c>
      <c r="D5338" s="66" t="str">
        <f>IF('Twenty-Second'!D91="", "",'Twenty-Second'!D91)</f>
        <v/>
      </c>
      <c r="E5338" s="66" t="str">
        <f>IF('Twenty-Second'!E91="", "",'Twenty-Second'!E91)</f>
        <v/>
      </c>
      <c r="F5338" s="66" t="str">
        <f>IF('Twenty-Second'!F91="", "",'Twenty-Second'!F91)</f>
        <v/>
      </c>
      <c r="G5338" s="66" t="str">
        <f>IF('Twenty-Second'!G91="", "",'Twenty-Second'!G91)</f>
        <v/>
      </c>
      <c r="H5338" s="66" t="str">
        <f>IF('Twenty-Second'!H91="", "",'Twenty-Second'!H91)</f>
        <v/>
      </c>
      <c r="I5338" s="66" t="str">
        <f>IF('Twenty-Second'!I91="", "",'Twenty-Second'!I91)</f>
        <v/>
      </c>
      <c r="J5338" s="66" t="str">
        <f>IF('Twenty-Second'!J91="", "",'Twenty-Second'!J91)</f>
        <v/>
      </c>
      <c r="K5338" s="86" t="str">
        <f>IF('Twenty-Second'!K91="", "",'Twenty-Second'!K91)</f>
        <v/>
      </c>
      <c r="L5338" s="88"/>
      <c r="M5338" s="67" t="str">
        <f t="shared" si="255"/>
        <v/>
      </c>
      <c r="N5338" s="76" t="str">
        <f t="shared" si="256"/>
        <v/>
      </c>
      <c r="O5338" s="33">
        <f t="shared" si="254"/>
        <v>0</v>
      </c>
    </row>
    <row r="5339" spans="1:15" x14ac:dyDescent="0.25">
      <c r="A5339" s="93" t="s">
        <v>191</v>
      </c>
      <c r="B5339" s="79" t="str">
        <f>IF('Twenty-Second'!B92="", "",'Twenty-Second'!B92)</f>
        <v/>
      </c>
      <c r="C5339" s="66" t="str">
        <f>IF('Twenty-Second'!C92="", "",'Twenty-Second'!C92)</f>
        <v/>
      </c>
      <c r="D5339" s="66" t="str">
        <f>IF('Twenty-Second'!D92="", "",'Twenty-Second'!D92)</f>
        <v/>
      </c>
      <c r="E5339" s="66" t="str">
        <f>IF('Twenty-Second'!E92="", "",'Twenty-Second'!E92)</f>
        <v/>
      </c>
      <c r="F5339" s="66" t="str">
        <f>IF('Twenty-Second'!F92="", "",'Twenty-Second'!F92)</f>
        <v/>
      </c>
      <c r="G5339" s="66" t="str">
        <f>IF('Twenty-Second'!G92="", "",'Twenty-Second'!G92)</f>
        <v/>
      </c>
      <c r="H5339" s="66" t="str">
        <f>IF('Twenty-Second'!H92="", "",'Twenty-Second'!H92)</f>
        <v/>
      </c>
      <c r="I5339" s="66" t="str">
        <f>IF('Twenty-Second'!I92="", "",'Twenty-Second'!I92)</f>
        <v/>
      </c>
      <c r="J5339" s="66" t="str">
        <f>IF('Twenty-Second'!J92="", "",'Twenty-Second'!J92)</f>
        <v/>
      </c>
      <c r="K5339" s="86" t="str">
        <f>IF('Twenty-Second'!K92="", "",'Twenty-Second'!K92)</f>
        <v/>
      </c>
      <c r="L5339" s="88"/>
      <c r="M5339" s="67" t="str">
        <f t="shared" si="255"/>
        <v/>
      </c>
      <c r="N5339" s="76" t="str">
        <f t="shared" si="256"/>
        <v/>
      </c>
      <c r="O5339" s="33">
        <f t="shared" si="254"/>
        <v>0</v>
      </c>
    </row>
    <row r="5340" spans="1:15" x14ac:dyDescent="0.25">
      <c r="A5340" s="93" t="s">
        <v>191</v>
      </c>
      <c r="B5340" s="79" t="str">
        <f>IF('Twenty-Second'!B93="", "",'Twenty-Second'!B93)</f>
        <v/>
      </c>
      <c r="C5340" s="66" t="str">
        <f>IF('Twenty-Second'!C93="", "",'Twenty-Second'!C93)</f>
        <v/>
      </c>
      <c r="D5340" s="66" t="str">
        <f>IF('Twenty-Second'!D93="", "",'Twenty-Second'!D93)</f>
        <v/>
      </c>
      <c r="E5340" s="66" t="str">
        <f>IF('Twenty-Second'!E93="", "",'Twenty-Second'!E93)</f>
        <v/>
      </c>
      <c r="F5340" s="66" t="str">
        <f>IF('Twenty-Second'!F93="", "",'Twenty-Second'!F93)</f>
        <v/>
      </c>
      <c r="G5340" s="66" t="str">
        <f>IF('Twenty-Second'!G93="", "",'Twenty-Second'!G93)</f>
        <v/>
      </c>
      <c r="H5340" s="66" t="str">
        <f>IF('Twenty-Second'!H93="", "",'Twenty-Second'!H93)</f>
        <v/>
      </c>
      <c r="I5340" s="66" t="str">
        <f>IF('Twenty-Second'!I93="", "",'Twenty-Second'!I93)</f>
        <v/>
      </c>
      <c r="J5340" s="66" t="str">
        <f>IF('Twenty-Second'!J93="", "",'Twenty-Second'!J93)</f>
        <v/>
      </c>
      <c r="K5340" s="86" t="str">
        <f>IF('Twenty-Second'!K93="", "",'Twenty-Second'!K93)</f>
        <v/>
      </c>
      <c r="L5340" s="88"/>
      <c r="M5340" s="67" t="str">
        <f t="shared" si="255"/>
        <v/>
      </c>
      <c r="N5340" s="76" t="str">
        <f t="shared" si="256"/>
        <v/>
      </c>
      <c r="O5340" s="33">
        <f t="shared" si="254"/>
        <v>0</v>
      </c>
    </row>
    <row r="5341" spans="1:15" x14ac:dyDescent="0.25">
      <c r="A5341" s="93" t="s">
        <v>191</v>
      </c>
      <c r="B5341" s="79" t="str">
        <f>IF('Twenty-Second'!B94="", "",'Twenty-Second'!B94)</f>
        <v/>
      </c>
      <c r="C5341" s="66" t="str">
        <f>IF('Twenty-Second'!C94="", "",'Twenty-Second'!C94)</f>
        <v/>
      </c>
      <c r="D5341" s="66" t="str">
        <f>IF('Twenty-Second'!D94="", "",'Twenty-Second'!D94)</f>
        <v/>
      </c>
      <c r="E5341" s="66" t="str">
        <f>IF('Twenty-Second'!E94="", "",'Twenty-Second'!E94)</f>
        <v/>
      </c>
      <c r="F5341" s="66" t="str">
        <f>IF('Twenty-Second'!F94="", "",'Twenty-Second'!F94)</f>
        <v/>
      </c>
      <c r="G5341" s="66" t="str">
        <f>IF('Twenty-Second'!G94="", "",'Twenty-Second'!G94)</f>
        <v/>
      </c>
      <c r="H5341" s="66" t="str">
        <f>IF('Twenty-Second'!H94="", "",'Twenty-Second'!H94)</f>
        <v/>
      </c>
      <c r="I5341" s="66" t="str">
        <f>IF('Twenty-Second'!I94="", "",'Twenty-Second'!I94)</f>
        <v/>
      </c>
      <c r="J5341" s="66" t="str">
        <f>IF('Twenty-Second'!J94="", "",'Twenty-Second'!J94)</f>
        <v/>
      </c>
      <c r="K5341" s="86" t="str">
        <f>IF('Twenty-Second'!K94="", "",'Twenty-Second'!K94)</f>
        <v/>
      </c>
      <c r="L5341" s="88"/>
      <c r="M5341" s="67" t="str">
        <f t="shared" si="255"/>
        <v/>
      </c>
      <c r="N5341" s="76" t="str">
        <f t="shared" si="256"/>
        <v/>
      </c>
      <c r="O5341" s="33">
        <f t="shared" si="254"/>
        <v>0</v>
      </c>
    </row>
    <row r="5342" spans="1:15" x14ac:dyDescent="0.25">
      <c r="A5342" s="93" t="s">
        <v>191</v>
      </c>
      <c r="B5342" s="79" t="str">
        <f>IF('Twenty-Second'!B95="", "",'Twenty-Second'!B95)</f>
        <v/>
      </c>
      <c r="C5342" s="66" t="str">
        <f>IF('Twenty-Second'!C95="", "",'Twenty-Second'!C95)</f>
        <v/>
      </c>
      <c r="D5342" s="66" t="str">
        <f>IF('Twenty-Second'!D95="", "",'Twenty-Second'!D95)</f>
        <v/>
      </c>
      <c r="E5342" s="66" t="str">
        <f>IF('Twenty-Second'!E95="", "",'Twenty-Second'!E95)</f>
        <v/>
      </c>
      <c r="F5342" s="66" t="str">
        <f>IF('Twenty-Second'!F95="", "",'Twenty-Second'!F95)</f>
        <v/>
      </c>
      <c r="G5342" s="66" t="str">
        <f>IF('Twenty-Second'!G95="", "",'Twenty-Second'!G95)</f>
        <v/>
      </c>
      <c r="H5342" s="66" t="str">
        <f>IF('Twenty-Second'!H95="", "",'Twenty-Second'!H95)</f>
        <v/>
      </c>
      <c r="I5342" s="66" t="str">
        <f>IF('Twenty-Second'!I95="", "",'Twenty-Second'!I95)</f>
        <v/>
      </c>
      <c r="J5342" s="66" t="str">
        <f>IF('Twenty-Second'!J95="", "",'Twenty-Second'!J95)</f>
        <v/>
      </c>
      <c r="K5342" s="86" t="str">
        <f>IF('Twenty-Second'!K95="", "",'Twenty-Second'!K95)</f>
        <v/>
      </c>
      <c r="L5342" s="88"/>
      <c r="M5342" s="67" t="str">
        <f t="shared" si="255"/>
        <v/>
      </c>
      <c r="N5342" s="76" t="str">
        <f t="shared" si="256"/>
        <v/>
      </c>
      <c r="O5342" s="33">
        <f t="shared" si="254"/>
        <v>0</v>
      </c>
    </row>
    <row r="5343" spans="1:15" x14ac:dyDescent="0.25">
      <c r="A5343" s="93" t="s">
        <v>191</v>
      </c>
      <c r="B5343" s="79" t="str">
        <f>IF('Twenty-Second'!B96="", "",'Twenty-Second'!B96)</f>
        <v/>
      </c>
      <c r="C5343" s="66" t="str">
        <f>IF('Twenty-Second'!C96="", "",'Twenty-Second'!C96)</f>
        <v/>
      </c>
      <c r="D5343" s="66" t="str">
        <f>IF('Twenty-Second'!D96="", "",'Twenty-Second'!D96)</f>
        <v/>
      </c>
      <c r="E5343" s="66" t="str">
        <f>IF('Twenty-Second'!E96="", "",'Twenty-Second'!E96)</f>
        <v/>
      </c>
      <c r="F5343" s="66" t="str">
        <f>IF('Twenty-Second'!F96="", "",'Twenty-Second'!F96)</f>
        <v/>
      </c>
      <c r="G5343" s="66" t="str">
        <f>IF('Twenty-Second'!G96="", "",'Twenty-Second'!G96)</f>
        <v/>
      </c>
      <c r="H5343" s="66" t="str">
        <f>IF('Twenty-Second'!H96="", "",'Twenty-Second'!H96)</f>
        <v/>
      </c>
      <c r="I5343" s="66" t="str">
        <f>IF('Twenty-Second'!I96="", "",'Twenty-Second'!I96)</f>
        <v/>
      </c>
      <c r="J5343" s="66" t="str">
        <f>IF('Twenty-Second'!J96="", "",'Twenty-Second'!J96)</f>
        <v/>
      </c>
      <c r="K5343" s="86" t="str">
        <f>IF('Twenty-Second'!K96="", "",'Twenty-Second'!K96)</f>
        <v/>
      </c>
      <c r="L5343" s="88"/>
      <c r="M5343" s="67" t="str">
        <f t="shared" si="255"/>
        <v/>
      </c>
      <c r="N5343" s="76" t="str">
        <f t="shared" si="256"/>
        <v/>
      </c>
      <c r="O5343" s="33">
        <f t="shared" si="254"/>
        <v>0</v>
      </c>
    </row>
    <row r="5344" spans="1:15" x14ac:dyDescent="0.25">
      <c r="A5344" s="93" t="s">
        <v>191</v>
      </c>
      <c r="B5344" s="79" t="str">
        <f>IF('Twenty-Second'!B97="", "",'Twenty-Second'!B97)</f>
        <v/>
      </c>
      <c r="C5344" s="66" t="str">
        <f>IF('Twenty-Second'!C97="", "",'Twenty-Second'!C97)</f>
        <v/>
      </c>
      <c r="D5344" s="66" t="str">
        <f>IF('Twenty-Second'!D97="", "",'Twenty-Second'!D97)</f>
        <v/>
      </c>
      <c r="E5344" s="66" t="str">
        <f>IF('Twenty-Second'!E97="", "",'Twenty-Second'!E97)</f>
        <v/>
      </c>
      <c r="F5344" s="66" t="str">
        <f>IF('Twenty-Second'!F97="", "",'Twenty-Second'!F97)</f>
        <v/>
      </c>
      <c r="G5344" s="66" t="str">
        <f>IF('Twenty-Second'!G97="", "",'Twenty-Second'!G97)</f>
        <v/>
      </c>
      <c r="H5344" s="66" t="str">
        <f>IF('Twenty-Second'!H97="", "",'Twenty-Second'!H97)</f>
        <v/>
      </c>
      <c r="I5344" s="66" t="str">
        <f>IF('Twenty-Second'!I97="", "",'Twenty-Second'!I97)</f>
        <v/>
      </c>
      <c r="J5344" s="66" t="str">
        <f>IF('Twenty-Second'!J97="", "",'Twenty-Second'!J97)</f>
        <v/>
      </c>
      <c r="K5344" s="86" t="str">
        <f>IF('Twenty-Second'!K97="", "",'Twenty-Second'!K97)</f>
        <v/>
      </c>
      <c r="L5344" s="88"/>
      <c r="M5344" s="67" t="str">
        <f t="shared" si="255"/>
        <v/>
      </c>
      <c r="N5344" s="76" t="str">
        <f t="shared" si="256"/>
        <v/>
      </c>
      <c r="O5344" s="33">
        <f t="shared" si="254"/>
        <v>0</v>
      </c>
    </row>
    <row r="5345" spans="1:15" x14ac:dyDescent="0.25">
      <c r="A5345" s="93" t="s">
        <v>191</v>
      </c>
      <c r="B5345" s="79" t="str">
        <f>IF('Twenty-Second'!B98="", "",'Twenty-Second'!B98)</f>
        <v/>
      </c>
      <c r="C5345" s="66" t="str">
        <f>IF('Twenty-Second'!C98="", "",'Twenty-Second'!C98)</f>
        <v/>
      </c>
      <c r="D5345" s="66" t="str">
        <f>IF('Twenty-Second'!D98="", "",'Twenty-Second'!D98)</f>
        <v/>
      </c>
      <c r="E5345" s="66" t="str">
        <f>IF('Twenty-Second'!E98="", "",'Twenty-Second'!E98)</f>
        <v/>
      </c>
      <c r="F5345" s="66" t="str">
        <f>IF('Twenty-Second'!F98="", "",'Twenty-Second'!F98)</f>
        <v/>
      </c>
      <c r="G5345" s="66" t="str">
        <f>IF('Twenty-Second'!G98="", "",'Twenty-Second'!G98)</f>
        <v/>
      </c>
      <c r="H5345" s="66" t="str">
        <f>IF('Twenty-Second'!H98="", "",'Twenty-Second'!H98)</f>
        <v/>
      </c>
      <c r="I5345" s="66" t="str">
        <f>IF('Twenty-Second'!I98="", "",'Twenty-Second'!I98)</f>
        <v/>
      </c>
      <c r="J5345" s="66" t="str">
        <f>IF('Twenty-Second'!J98="", "",'Twenty-Second'!J98)</f>
        <v/>
      </c>
      <c r="K5345" s="86" t="str">
        <f>IF('Twenty-Second'!K98="", "",'Twenty-Second'!K98)</f>
        <v/>
      </c>
      <c r="L5345" s="88"/>
      <c r="M5345" s="67" t="str">
        <f t="shared" si="255"/>
        <v/>
      </c>
      <c r="N5345" s="76" t="str">
        <f t="shared" si="256"/>
        <v/>
      </c>
      <c r="O5345" s="33">
        <f t="shared" si="254"/>
        <v>0</v>
      </c>
    </row>
    <row r="5346" spans="1:15" x14ac:dyDescent="0.25">
      <c r="A5346" s="93" t="s">
        <v>191</v>
      </c>
      <c r="B5346" s="79" t="str">
        <f>IF('Twenty-Second'!B99="", "",'Twenty-Second'!B99)</f>
        <v/>
      </c>
      <c r="C5346" s="66" t="str">
        <f>IF('Twenty-Second'!C99="", "",'Twenty-Second'!C99)</f>
        <v/>
      </c>
      <c r="D5346" s="66" t="str">
        <f>IF('Twenty-Second'!D99="", "",'Twenty-Second'!D99)</f>
        <v/>
      </c>
      <c r="E5346" s="66" t="str">
        <f>IF('Twenty-Second'!E99="", "",'Twenty-Second'!E99)</f>
        <v/>
      </c>
      <c r="F5346" s="66" t="str">
        <f>IF('Twenty-Second'!F99="", "",'Twenty-Second'!F99)</f>
        <v/>
      </c>
      <c r="G5346" s="66" t="str">
        <f>IF('Twenty-Second'!G99="", "",'Twenty-Second'!G99)</f>
        <v/>
      </c>
      <c r="H5346" s="66" t="str">
        <f>IF('Twenty-Second'!H99="", "",'Twenty-Second'!H99)</f>
        <v/>
      </c>
      <c r="I5346" s="66" t="str">
        <f>IF('Twenty-Second'!I99="", "",'Twenty-Second'!I99)</f>
        <v/>
      </c>
      <c r="J5346" s="66" t="str">
        <f>IF('Twenty-Second'!J99="", "",'Twenty-Second'!J99)</f>
        <v/>
      </c>
      <c r="K5346" s="86" t="str">
        <f>IF('Twenty-Second'!K99="", "",'Twenty-Second'!K99)</f>
        <v/>
      </c>
      <c r="L5346" s="88"/>
      <c r="M5346" s="67" t="str">
        <f t="shared" si="255"/>
        <v/>
      </c>
      <c r="N5346" s="76" t="str">
        <f t="shared" si="256"/>
        <v/>
      </c>
      <c r="O5346" s="33">
        <f t="shared" si="254"/>
        <v>0</v>
      </c>
    </row>
    <row r="5347" spans="1:15" x14ac:dyDescent="0.25">
      <c r="A5347" s="93" t="s">
        <v>191</v>
      </c>
      <c r="B5347" s="79" t="str">
        <f>IF('Twenty-Second'!B100="", "",'Twenty-Second'!B100)</f>
        <v/>
      </c>
      <c r="C5347" s="66" t="str">
        <f>IF('Twenty-Second'!C100="", "",'Twenty-Second'!C100)</f>
        <v/>
      </c>
      <c r="D5347" s="66" t="str">
        <f>IF('Twenty-Second'!D100="", "",'Twenty-Second'!D100)</f>
        <v/>
      </c>
      <c r="E5347" s="66" t="str">
        <f>IF('Twenty-Second'!E100="", "",'Twenty-Second'!E100)</f>
        <v/>
      </c>
      <c r="F5347" s="66" t="str">
        <f>IF('Twenty-Second'!F100="", "",'Twenty-Second'!F100)</f>
        <v/>
      </c>
      <c r="G5347" s="66" t="str">
        <f>IF('Twenty-Second'!G100="", "",'Twenty-Second'!G100)</f>
        <v/>
      </c>
      <c r="H5347" s="66" t="str">
        <f>IF('Twenty-Second'!H100="", "",'Twenty-Second'!H100)</f>
        <v/>
      </c>
      <c r="I5347" s="66" t="str">
        <f>IF('Twenty-Second'!I100="", "",'Twenty-Second'!I100)</f>
        <v/>
      </c>
      <c r="J5347" s="66" t="str">
        <f>IF('Twenty-Second'!J100="", "",'Twenty-Second'!J100)</f>
        <v/>
      </c>
      <c r="K5347" s="86" t="str">
        <f>IF('Twenty-Second'!K100="", "",'Twenty-Second'!K100)</f>
        <v/>
      </c>
      <c r="L5347" s="88"/>
      <c r="M5347" s="67" t="str">
        <f t="shared" si="255"/>
        <v/>
      </c>
      <c r="N5347" s="76" t="str">
        <f t="shared" si="256"/>
        <v/>
      </c>
      <c r="O5347" s="33">
        <f t="shared" si="254"/>
        <v>0</v>
      </c>
    </row>
    <row r="5348" spans="1:15" x14ac:dyDescent="0.25">
      <c r="A5348" s="93" t="s">
        <v>191</v>
      </c>
      <c r="B5348" s="79" t="str">
        <f>IF('Twenty-Second'!B101="", "",'Twenty-Second'!B101)</f>
        <v/>
      </c>
      <c r="C5348" s="66" t="str">
        <f>IF('Twenty-Second'!C101="", "",'Twenty-Second'!C101)</f>
        <v/>
      </c>
      <c r="D5348" s="66" t="str">
        <f>IF('Twenty-Second'!D101="", "",'Twenty-Second'!D101)</f>
        <v/>
      </c>
      <c r="E5348" s="66" t="str">
        <f>IF('Twenty-Second'!E101="", "",'Twenty-Second'!E101)</f>
        <v/>
      </c>
      <c r="F5348" s="66" t="str">
        <f>IF('Twenty-Second'!F101="", "",'Twenty-Second'!F101)</f>
        <v/>
      </c>
      <c r="G5348" s="66" t="str">
        <f>IF('Twenty-Second'!G101="", "",'Twenty-Second'!G101)</f>
        <v/>
      </c>
      <c r="H5348" s="66" t="str">
        <f>IF('Twenty-Second'!H101="", "",'Twenty-Second'!H101)</f>
        <v/>
      </c>
      <c r="I5348" s="66" t="str">
        <f>IF('Twenty-Second'!I101="", "",'Twenty-Second'!I101)</f>
        <v/>
      </c>
      <c r="J5348" s="66" t="str">
        <f>IF('Twenty-Second'!J101="", "",'Twenty-Second'!J101)</f>
        <v/>
      </c>
      <c r="K5348" s="86" t="str">
        <f>IF('Twenty-Second'!K101="", "",'Twenty-Second'!K101)</f>
        <v/>
      </c>
      <c r="L5348" s="88"/>
      <c r="M5348" s="67" t="str">
        <f t="shared" si="255"/>
        <v/>
      </c>
      <c r="N5348" s="76" t="str">
        <f t="shared" si="256"/>
        <v/>
      </c>
      <c r="O5348" s="33">
        <f t="shared" si="254"/>
        <v>0</v>
      </c>
    </row>
    <row r="5349" spans="1:15" x14ac:dyDescent="0.25">
      <c r="A5349" s="93" t="s">
        <v>191</v>
      </c>
      <c r="B5349" s="79" t="str">
        <f>IF('Twenty-Second'!B102="", "",'Twenty-Second'!B102)</f>
        <v/>
      </c>
      <c r="C5349" s="66" t="str">
        <f>IF('Twenty-Second'!C102="", "",'Twenty-Second'!C102)</f>
        <v/>
      </c>
      <c r="D5349" s="66" t="str">
        <f>IF('Twenty-Second'!D102="", "",'Twenty-Second'!D102)</f>
        <v/>
      </c>
      <c r="E5349" s="66" t="str">
        <f>IF('Twenty-Second'!E102="", "",'Twenty-Second'!E102)</f>
        <v/>
      </c>
      <c r="F5349" s="66" t="str">
        <f>IF('Twenty-Second'!F102="", "",'Twenty-Second'!F102)</f>
        <v/>
      </c>
      <c r="G5349" s="66" t="str">
        <f>IF('Twenty-Second'!G102="", "",'Twenty-Second'!G102)</f>
        <v/>
      </c>
      <c r="H5349" s="66" t="str">
        <f>IF('Twenty-Second'!H102="", "",'Twenty-Second'!H102)</f>
        <v/>
      </c>
      <c r="I5349" s="66" t="str">
        <f>IF('Twenty-Second'!I102="", "",'Twenty-Second'!I102)</f>
        <v/>
      </c>
      <c r="J5349" s="66" t="str">
        <f>IF('Twenty-Second'!J102="", "",'Twenty-Second'!J102)</f>
        <v/>
      </c>
      <c r="K5349" s="86" t="str">
        <f>IF('Twenty-Second'!K102="", "",'Twenty-Second'!K102)</f>
        <v/>
      </c>
      <c r="L5349" s="88"/>
      <c r="M5349" s="67" t="str">
        <f t="shared" si="255"/>
        <v/>
      </c>
      <c r="N5349" s="76" t="str">
        <f t="shared" si="256"/>
        <v/>
      </c>
      <c r="O5349" s="33">
        <f t="shared" si="254"/>
        <v>0</v>
      </c>
    </row>
    <row r="5350" spans="1:15" x14ac:dyDescent="0.25">
      <c r="A5350" s="93" t="s">
        <v>191</v>
      </c>
      <c r="B5350" s="79" t="str">
        <f>IF('Twenty-Second'!B103="", "",'Twenty-Second'!B103)</f>
        <v/>
      </c>
      <c r="C5350" s="66" t="str">
        <f>IF('Twenty-Second'!C103="", "",'Twenty-Second'!C103)</f>
        <v/>
      </c>
      <c r="D5350" s="66" t="str">
        <f>IF('Twenty-Second'!D103="", "",'Twenty-Second'!D103)</f>
        <v/>
      </c>
      <c r="E5350" s="66" t="str">
        <f>IF('Twenty-Second'!E103="", "",'Twenty-Second'!E103)</f>
        <v/>
      </c>
      <c r="F5350" s="66" t="str">
        <f>IF('Twenty-Second'!F103="", "",'Twenty-Second'!F103)</f>
        <v/>
      </c>
      <c r="G5350" s="66" t="str">
        <f>IF('Twenty-Second'!G103="", "",'Twenty-Second'!G103)</f>
        <v/>
      </c>
      <c r="H5350" s="66" t="str">
        <f>IF('Twenty-Second'!H103="", "",'Twenty-Second'!H103)</f>
        <v/>
      </c>
      <c r="I5350" s="66" t="str">
        <f>IF('Twenty-Second'!I103="", "",'Twenty-Second'!I103)</f>
        <v/>
      </c>
      <c r="J5350" s="66" t="str">
        <f>IF('Twenty-Second'!J103="", "",'Twenty-Second'!J103)</f>
        <v/>
      </c>
      <c r="K5350" s="86" t="str">
        <f>IF('Twenty-Second'!K103="", "",'Twenty-Second'!K103)</f>
        <v/>
      </c>
      <c r="L5350" s="88"/>
      <c r="M5350" s="67" t="str">
        <f t="shared" si="255"/>
        <v/>
      </c>
      <c r="N5350" s="76" t="str">
        <f t="shared" si="256"/>
        <v/>
      </c>
      <c r="O5350" s="33">
        <f t="shared" si="254"/>
        <v>0</v>
      </c>
    </row>
    <row r="5351" spans="1:15" x14ac:dyDescent="0.25">
      <c r="A5351" s="93" t="s">
        <v>191</v>
      </c>
      <c r="B5351" s="79" t="str">
        <f>IF('Twenty-Second'!B104="", "",'Twenty-Second'!B104)</f>
        <v/>
      </c>
      <c r="C5351" s="66" t="str">
        <f>IF('Twenty-Second'!C104="", "",'Twenty-Second'!C104)</f>
        <v/>
      </c>
      <c r="D5351" s="66" t="str">
        <f>IF('Twenty-Second'!D104="", "",'Twenty-Second'!D104)</f>
        <v/>
      </c>
      <c r="E5351" s="66" t="str">
        <f>IF('Twenty-Second'!E104="", "",'Twenty-Second'!E104)</f>
        <v/>
      </c>
      <c r="F5351" s="66" t="str">
        <f>IF('Twenty-Second'!F104="", "",'Twenty-Second'!F104)</f>
        <v/>
      </c>
      <c r="G5351" s="66" t="str">
        <f>IF('Twenty-Second'!G104="", "",'Twenty-Second'!G104)</f>
        <v/>
      </c>
      <c r="H5351" s="66" t="str">
        <f>IF('Twenty-Second'!H104="", "",'Twenty-Second'!H104)</f>
        <v/>
      </c>
      <c r="I5351" s="66" t="str">
        <f>IF('Twenty-Second'!I104="", "",'Twenty-Second'!I104)</f>
        <v/>
      </c>
      <c r="J5351" s="66" t="str">
        <f>IF('Twenty-Second'!J104="", "",'Twenty-Second'!J104)</f>
        <v/>
      </c>
      <c r="K5351" s="86" t="str">
        <f>IF('Twenty-Second'!K104="", "",'Twenty-Second'!K104)</f>
        <v/>
      </c>
      <c r="L5351" s="88"/>
      <c r="M5351" s="67" t="str">
        <f t="shared" si="255"/>
        <v/>
      </c>
      <c r="N5351" s="76" t="str">
        <f t="shared" si="256"/>
        <v/>
      </c>
      <c r="O5351" s="33">
        <f t="shared" si="254"/>
        <v>0</v>
      </c>
    </row>
    <row r="5352" spans="1:15" x14ac:dyDescent="0.25">
      <c r="A5352" s="93" t="s">
        <v>191</v>
      </c>
      <c r="B5352" s="79" t="str">
        <f>IF('Twenty-Second'!B105="", "",'Twenty-Second'!B105)</f>
        <v/>
      </c>
      <c r="C5352" s="66" t="str">
        <f>IF('Twenty-Second'!C105="", "",'Twenty-Second'!C105)</f>
        <v/>
      </c>
      <c r="D5352" s="66" t="str">
        <f>IF('Twenty-Second'!D105="", "",'Twenty-Second'!D105)</f>
        <v/>
      </c>
      <c r="E5352" s="66" t="str">
        <f>IF('Twenty-Second'!E105="", "",'Twenty-Second'!E105)</f>
        <v/>
      </c>
      <c r="F5352" s="66" t="str">
        <f>IF('Twenty-Second'!F105="", "",'Twenty-Second'!F105)</f>
        <v/>
      </c>
      <c r="G5352" s="66" t="str">
        <f>IF('Twenty-Second'!G105="", "",'Twenty-Second'!G105)</f>
        <v/>
      </c>
      <c r="H5352" s="66" t="str">
        <f>IF('Twenty-Second'!H105="", "",'Twenty-Second'!H105)</f>
        <v/>
      </c>
      <c r="I5352" s="66" t="str">
        <f>IF('Twenty-Second'!I105="", "",'Twenty-Second'!I105)</f>
        <v/>
      </c>
      <c r="J5352" s="66" t="str">
        <f>IF('Twenty-Second'!J105="", "",'Twenty-Second'!J105)</f>
        <v/>
      </c>
      <c r="K5352" s="86" t="str">
        <f>IF('Twenty-Second'!K105="", "",'Twenty-Second'!K105)</f>
        <v/>
      </c>
      <c r="L5352" s="88"/>
      <c r="M5352" s="67" t="str">
        <f t="shared" si="255"/>
        <v/>
      </c>
      <c r="N5352" s="76" t="str">
        <f t="shared" si="256"/>
        <v/>
      </c>
      <c r="O5352" s="33">
        <f t="shared" si="254"/>
        <v>0</v>
      </c>
    </row>
    <row r="5353" spans="1:15" x14ac:dyDescent="0.25">
      <c r="A5353" s="93" t="s">
        <v>191</v>
      </c>
      <c r="B5353" s="79" t="str">
        <f>IF('Twenty-Second'!B106="", "",'Twenty-Second'!B106)</f>
        <v/>
      </c>
      <c r="C5353" s="66" t="str">
        <f>IF('Twenty-Second'!C106="", "",'Twenty-Second'!C106)</f>
        <v/>
      </c>
      <c r="D5353" s="66" t="str">
        <f>IF('Twenty-Second'!D106="", "",'Twenty-Second'!D106)</f>
        <v/>
      </c>
      <c r="E5353" s="66" t="str">
        <f>IF('Twenty-Second'!E106="", "",'Twenty-Second'!E106)</f>
        <v/>
      </c>
      <c r="F5353" s="66" t="str">
        <f>IF('Twenty-Second'!F106="", "",'Twenty-Second'!F106)</f>
        <v/>
      </c>
      <c r="G5353" s="66" t="str">
        <f>IF('Twenty-Second'!G106="", "",'Twenty-Second'!G106)</f>
        <v/>
      </c>
      <c r="H5353" s="66" t="str">
        <f>IF('Twenty-Second'!H106="", "",'Twenty-Second'!H106)</f>
        <v/>
      </c>
      <c r="I5353" s="66" t="str">
        <f>IF('Twenty-Second'!I106="", "",'Twenty-Second'!I106)</f>
        <v/>
      </c>
      <c r="J5353" s="66" t="str">
        <f>IF('Twenty-Second'!J106="", "",'Twenty-Second'!J106)</f>
        <v/>
      </c>
      <c r="K5353" s="86" t="str">
        <f>IF('Twenty-Second'!K106="", "",'Twenty-Second'!K106)</f>
        <v/>
      </c>
      <c r="L5353" s="88"/>
      <c r="M5353" s="67" t="str">
        <f t="shared" si="255"/>
        <v/>
      </c>
      <c r="N5353" s="76" t="str">
        <f t="shared" si="256"/>
        <v/>
      </c>
      <c r="O5353" s="33">
        <f t="shared" si="254"/>
        <v>0</v>
      </c>
    </row>
    <row r="5354" spans="1:15" x14ac:dyDescent="0.25">
      <c r="A5354" s="93" t="s">
        <v>191</v>
      </c>
      <c r="B5354" s="79" t="str">
        <f>IF('Twenty-Second'!B107="", "",'Twenty-Second'!B107)</f>
        <v/>
      </c>
      <c r="C5354" s="66" t="str">
        <f>IF('Twenty-Second'!C107="", "",'Twenty-Second'!C107)</f>
        <v/>
      </c>
      <c r="D5354" s="66" t="str">
        <f>IF('Twenty-Second'!D107="", "",'Twenty-Second'!D107)</f>
        <v/>
      </c>
      <c r="E5354" s="66" t="str">
        <f>IF('Twenty-Second'!E107="", "",'Twenty-Second'!E107)</f>
        <v/>
      </c>
      <c r="F5354" s="66" t="str">
        <f>IF('Twenty-Second'!F107="", "",'Twenty-Second'!F107)</f>
        <v/>
      </c>
      <c r="G5354" s="66" t="str">
        <f>IF('Twenty-Second'!G107="", "",'Twenty-Second'!G107)</f>
        <v/>
      </c>
      <c r="H5354" s="66" t="str">
        <f>IF('Twenty-Second'!H107="", "",'Twenty-Second'!H107)</f>
        <v/>
      </c>
      <c r="I5354" s="66" t="str">
        <f>IF('Twenty-Second'!I107="", "",'Twenty-Second'!I107)</f>
        <v/>
      </c>
      <c r="J5354" s="66" t="str">
        <f>IF('Twenty-Second'!J107="", "",'Twenty-Second'!J107)</f>
        <v/>
      </c>
      <c r="K5354" s="86" t="str">
        <f>IF('Twenty-Second'!K107="", "",'Twenty-Second'!K107)</f>
        <v/>
      </c>
      <c r="L5354" s="88"/>
      <c r="M5354" s="67" t="str">
        <f t="shared" si="255"/>
        <v/>
      </c>
      <c r="N5354" s="76" t="str">
        <f t="shared" si="256"/>
        <v/>
      </c>
      <c r="O5354" s="33">
        <f t="shared" si="254"/>
        <v>0</v>
      </c>
    </row>
    <row r="5355" spans="1:15" x14ac:dyDescent="0.25">
      <c r="A5355" s="93" t="s">
        <v>191</v>
      </c>
      <c r="B5355" s="79" t="str">
        <f>IF('Twenty-Second'!B108="", "",'Twenty-Second'!B108)</f>
        <v/>
      </c>
      <c r="C5355" s="66" t="str">
        <f>IF('Twenty-Second'!C108="", "",'Twenty-Second'!C108)</f>
        <v/>
      </c>
      <c r="D5355" s="66" t="str">
        <f>IF('Twenty-Second'!D108="", "",'Twenty-Second'!D108)</f>
        <v/>
      </c>
      <c r="E5355" s="66" t="str">
        <f>IF('Twenty-Second'!E108="", "",'Twenty-Second'!E108)</f>
        <v/>
      </c>
      <c r="F5355" s="66" t="str">
        <f>IF('Twenty-Second'!F108="", "",'Twenty-Second'!F108)</f>
        <v/>
      </c>
      <c r="G5355" s="66" t="str">
        <f>IF('Twenty-Second'!G108="", "",'Twenty-Second'!G108)</f>
        <v/>
      </c>
      <c r="H5355" s="66" t="str">
        <f>IF('Twenty-Second'!H108="", "",'Twenty-Second'!H108)</f>
        <v/>
      </c>
      <c r="I5355" s="66" t="str">
        <f>IF('Twenty-Second'!I108="", "",'Twenty-Second'!I108)</f>
        <v/>
      </c>
      <c r="J5355" s="66" t="str">
        <f>IF('Twenty-Second'!J108="", "",'Twenty-Second'!J108)</f>
        <v/>
      </c>
      <c r="K5355" s="86" t="str">
        <f>IF('Twenty-Second'!K108="", "",'Twenty-Second'!K108)</f>
        <v/>
      </c>
      <c r="L5355" s="88"/>
      <c r="M5355" s="67" t="str">
        <f t="shared" si="255"/>
        <v/>
      </c>
      <c r="N5355" s="76" t="str">
        <f t="shared" si="256"/>
        <v/>
      </c>
      <c r="O5355" s="33">
        <f t="shared" si="254"/>
        <v>0</v>
      </c>
    </row>
    <row r="5356" spans="1:15" x14ac:dyDescent="0.25">
      <c r="A5356" s="93" t="s">
        <v>191</v>
      </c>
      <c r="B5356" s="79" t="str">
        <f>IF('Twenty-Second'!B109="", "",'Twenty-Second'!B109)</f>
        <v/>
      </c>
      <c r="C5356" s="66" t="str">
        <f>IF('Twenty-Second'!C109="", "",'Twenty-Second'!C109)</f>
        <v/>
      </c>
      <c r="D5356" s="66" t="str">
        <f>IF('Twenty-Second'!D109="", "",'Twenty-Second'!D109)</f>
        <v/>
      </c>
      <c r="E5356" s="66" t="str">
        <f>IF('Twenty-Second'!E109="", "",'Twenty-Second'!E109)</f>
        <v/>
      </c>
      <c r="F5356" s="66" t="str">
        <f>IF('Twenty-Second'!F109="", "",'Twenty-Second'!F109)</f>
        <v/>
      </c>
      <c r="G5356" s="66" t="str">
        <f>IF('Twenty-Second'!G109="", "",'Twenty-Second'!G109)</f>
        <v/>
      </c>
      <c r="H5356" s="66" t="str">
        <f>IF('Twenty-Second'!H109="", "",'Twenty-Second'!H109)</f>
        <v/>
      </c>
      <c r="I5356" s="66" t="str">
        <f>IF('Twenty-Second'!I109="", "",'Twenty-Second'!I109)</f>
        <v/>
      </c>
      <c r="J5356" s="66" t="str">
        <f>IF('Twenty-Second'!J109="", "",'Twenty-Second'!J109)</f>
        <v/>
      </c>
      <c r="K5356" s="86" t="str">
        <f>IF('Twenty-Second'!K109="", "",'Twenty-Second'!K109)</f>
        <v/>
      </c>
      <c r="L5356" s="88"/>
      <c r="M5356" s="67" t="str">
        <f t="shared" si="255"/>
        <v/>
      </c>
      <c r="N5356" s="76" t="str">
        <f t="shared" si="256"/>
        <v/>
      </c>
      <c r="O5356" s="33">
        <f t="shared" si="254"/>
        <v>0</v>
      </c>
    </row>
    <row r="5357" spans="1:15" x14ac:dyDescent="0.25">
      <c r="A5357" s="93" t="s">
        <v>191</v>
      </c>
      <c r="B5357" s="79" t="str">
        <f>IF('Twenty-Second'!B110="", "",'Twenty-Second'!B110)</f>
        <v/>
      </c>
      <c r="C5357" s="66" t="str">
        <f>IF('Twenty-Second'!C110="", "",'Twenty-Second'!C110)</f>
        <v/>
      </c>
      <c r="D5357" s="66" t="str">
        <f>IF('Twenty-Second'!D110="", "",'Twenty-Second'!D110)</f>
        <v/>
      </c>
      <c r="E5357" s="66" t="str">
        <f>IF('Twenty-Second'!E110="", "",'Twenty-Second'!E110)</f>
        <v/>
      </c>
      <c r="F5357" s="66" t="str">
        <f>IF('Twenty-Second'!F110="", "",'Twenty-Second'!F110)</f>
        <v/>
      </c>
      <c r="G5357" s="66" t="str">
        <f>IF('Twenty-Second'!G110="", "",'Twenty-Second'!G110)</f>
        <v/>
      </c>
      <c r="H5357" s="66" t="str">
        <f>IF('Twenty-Second'!H110="", "",'Twenty-Second'!H110)</f>
        <v/>
      </c>
      <c r="I5357" s="66" t="str">
        <f>IF('Twenty-Second'!I110="", "",'Twenty-Second'!I110)</f>
        <v/>
      </c>
      <c r="J5357" s="66" t="str">
        <f>IF('Twenty-Second'!J110="", "",'Twenty-Second'!J110)</f>
        <v/>
      </c>
      <c r="K5357" s="86" t="str">
        <f>IF('Twenty-Second'!K110="", "",'Twenty-Second'!K110)</f>
        <v/>
      </c>
      <c r="L5357" s="88"/>
      <c r="M5357" s="67" t="str">
        <f t="shared" si="255"/>
        <v/>
      </c>
      <c r="N5357" s="76" t="str">
        <f t="shared" si="256"/>
        <v/>
      </c>
      <c r="O5357" s="33">
        <f t="shared" si="254"/>
        <v>0</v>
      </c>
    </row>
    <row r="5358" spans="1:15" x14ac:dyDescent="0.25">
      <c r="A5358" s="93" t="s">
        <v>191</v>
      </c>
      <c r="B5358" s="79" t="str">
        <f>IF('Twenty-Second'!B111="", "",'Twenty-Second'!B111)</f>
        <v/>
      </c>
      <c r="C5358" s="66" t="str">
        <f>IF('Twenty-Second'!C111="", "",'Twenty-Second'!C111)</f>
        <v/>
      </c>
      <c r="D5358" s="66" t="str">
        <f>IF('Twenty-Second'!D111="", "",'Twenty-Second'!D111)</f>
        <v/>
      </c>
      <c r="E5358" s="66" t="str">
        <f>IF('Twenty-Second'!E111="", "",'Twenty-Second'!E111)</f>
        <v/>
      </c>
      <c r="F5358" s="66" t="str">
        <f>IF('Twenty-Second'!F111="", "",'Twenty-Second'!F111)</f>
        <v/>
      </c>
      <c r="G5358" s="66" t="str">
        <f>IF('Twenty-Second'!G111="", "",'Twenty-Second'!G111)</f>
        <v/>
      </c>
      <c r="H5358" s="66" t="str">
        <f>IF('Twenty-Second'!H111="", "",'Twenty-Second'!H111)</f>
        <v/>
      </c>
      <c r="I5358" s="66" t="str">
        <f>IF('Twenty-Second'!I111="", "",'Twenty-Second'!I111)</f>
        <v/>
      </c>
      <c r="J5358" s="66" t="str">
        <f>IF('Twenty-Second'!J111="", "",'Twenty-Second'!J111)</f>
        <v/>
      </c>
      <c r="K5358" s="86" t="str">
        <f>IF('Twenty-Second'!K111="", "",'Twenty-Second'!K111)</f>
        <v/>
      </c>
      <c r="L5358" s="88"/>
      <c r="M5358" s="67" t="str">
        <f t="shared" si="255"/>
        <v/>
      </c>
      <c r="N5358" s="76" t="str">
        <f t="shared" si="256"/>
        <v/>
      </c>
      <c r="O5358" s="33">
        <f t="shared" si="254"/>
        <v>0</v>
      </c>
    </row>
    <row r="5359" spans="1:15" x14ac:dyDescent="0.25">
      <c r="A5359" s="93" t="s">
        <v>191</v>
      </c>
      <c r="B5359" s="79" t="str">
        <f>IF('Twenty-Second'!B112="", "",'Twenty-Second'!B112)</f>
        <v/>
      </c>
      <c r="C5359" s="66" t="str">
        <f>IF('Twenty-Second'!C112="", "",'Twenty-Second'!C112)</f>
        <v/>
      </c>
      <c r="D5359" s="66" t="str">
        <f>IF('Twenty-Second'!D112="", "",'Twenty-Second'!D112)</f>
        <v/>
      </c>
      <c r="E5359" s="66" t="str">
        <f>IF('Twenty-Second'!E112="", "",'Twenty-Second'!E112)</f>
        <v/>
      </c>
      <c r="F5359" s="66" t="str">
        <f>IF('Twenty-Second'!F112="", "",'Twenty-Second'!F112)</f>
        <v/>
      </c>
      <c r="G5359" s="66" t="str">
        <f>IF('Twenty-Second'!G112="", "",'Twenty-Second'!G112)</f>
        <v/>
      </c>
      <c r="H5359" s="66" t="str">
        <f>IF('Twenty-Second'!H112="", "",'Twenty-Second'!H112)</f>
        <v/>
      </c>
      <c r="I5359" s="66" t="str">
        <f>IF('Twenty-Second'!I112="", "",'Twenty-Second'!I112)</f>
        <v/>
      </c>
      <c r="J5359" s="66" t="str">
        <f>IF('Twenty-Second'!J112="", "",'Twenty-Second'!J112)</f>
        <v/>
      </c>
      <c r="K5359" s="86" t="str">
        <f>IF('Twenty-Second'!K112="", "",'Twenty-Second'!K112)</f>
        <v/>
      </c>
      <c r="L5359" s="88"/>
      <c r="M5359" s="67" t="str">
        <f t="shared" si="255"/>
        <v/>
      </c>
      <c r="N5359" s="76" t="str">
        <f t="shared" si="256"/>
        <v/>
      </c>
      <c r="O5359" s="33">
        <f t="shared" si="254"/>
        <v>0</v>
      </c>
    </row>
    <row r="5360" spans="1:15" x14ac:dyDescent="0.25">
      <c r="A5360" s="93" t="s">
        <v>191</v>
      </c>
      <c r="B5360" s="79" t="str">
        <f>IF('Twenty-Second'!B113="", "",'Twenty-Second'!B113)</f>
        <v/>
      </c>
      <c r="C5360" s="66" t="str">
        <f>IF('Twenty-Second'!C113="", "",'Twenty-Second'!C113)</f>
        <v/>
      </c>
      <c r="D5360" s="66" t="str">
        <f>IF('Twenty-Second'!D113="", "",'Twenty-Second'!D113)</f>
        <v/>
      </c>
      <c r="E5360" s="66" t="str">
        <f>IF('Twenty-Second'!E113="", "",'Twenty-Second'!E113)</f>
        <v/>
      </c>
      <c r="F5360" s="66" t="str">
        <f>IF('Twenty-Second'!F113="", "",'Twenty-Second'!F113)</f>
        <v/>
      </c>
      <c r="G5360" s="66" t="str">
        <f>IF('Twenty-Second'!G113="", "",'Twenty-Second'!G113)</f>
        <v/>
      </c>
      <c r="H5360" s="66" t="str">
        <f>IF('Twenty-Second'!H113="", "",'Twenty-Second'!H113)</f>
        <v/>
      </c>
      <c r="I5360" s="66" t="str">
        <f>IF('Twenty-Second'!I113="", "",'Twenty-Second'!I113)</f>
        <v/>
      </c>
      <c r="J5360" s="66" t="str">
        <f>IF('Twenty-Second'!J113="", "",'Twenty-Second'!J113)</f>
        <v/>
      </c>
      <c r="K5360" s="86" t="str">
        <f>IF('Twenty-Second'!K113="", "",'Twenty-Second'!K113)</f>
        <v/>
      </c>
      <c r="L5360" s="88"/>
      <c r="M5360" s="67" t="str">
        <f t="shared" si="255"/>
        <v/>
      </c>
      <c r="N5360" s="76" t="str">
        <f t="shared" si="256"/>
        <v/>
      </c>
      <c r="O5360" s="33">
        <f t="shared" si="254"/>
        <v>0</v>
      </c>
    </row>
    <row r="5361" spans="1:15" x14ac:dyDescent="0.25">
      <c r="A5361" s="93" t="s">
        <v>191</v>
      </c>
      <c r="B5361" s="79" t="str">
        <f>IF('Twenty-Second'!B114="", "",'Twenty-Second'!B114)</f>
        <v/>
      </c>
      <c r="C5361" s="66" t="str">
        <f>IF('Twenty-Second'!C114="", "",'Twenty-Second'!C114)</f>
        <v/>
      </c>
      <c r="D5361" s="66" t="str">
        <f>IF('Twenty-Second'!D114="", "",'Twenty-Second'!D114)</f>
        <v/>
      </c>
      <c r="E5361" s="66" t="str">
        <f>IF('Twenty-Second'!E114="", "",'Twenty-Second'!E114)</f>
        <v/>
      </c>
      <c r="F5361" s="66" t="str">
        <f>IF('Twenty-Second'!F114="", "",'Twenty-Second'!F114)</f>
        <v/>
      </c>
      <c r="G5361" s="66" t="str">
        <f>IF('Twenty-Second'!G114="", "",'Twenty-Second'!G114)</f>
        <v/>
      </c>
      <c r="H5361" s="66" t="str">
        <f>IF('Twenty-Second'!H114="", "",'Twenty-Second'!H114)</f>
        <v/>
      </c>
      <c r="I5361" s="66" t="str">
        <f>IF('Twenty-Second'!I114="", "",'Twenty-Second'!I114)</f>
        <v/>
      </c>
      <c r="J5361" s="66" t="str">
        <f>IF('Twenty-Second'!J114="", "",'Twenty-Second'!J114)</f>
        <v/>
      </c>
      <c r="K5361" s="86" t="str">
        <f>IF('Twenty-Second'!K114="", "",'Twenty-Second'!K114)</f>
        <v/>
      </c>
      <c r="L5361" s="88"/>
      <c r="M5361" s="67" t="str">
        <f t="shared" si="255"/>
        <v/>
      </c>
      <c r="N5361" s="76" t="str">
        <f t="shared" si="256"/>
        <v/>
      </c>
      <c r="O5361" s="33">
        <f t="shared" si="254"/>
        <v>0</v>
      </c>
    </row>
    <row r="5362" spans="1:15" x14ac:dyDescent="0.25">
      <c r="A5362" s="93" t="s">
        <v>191</v>
      </c>
      <c r="B5362" s="79" t="str">
        <f>IF('Twenty-Second'!B115="", "",'Twenty-Second'!B115)</f>
        <v/>
      </c>
      <c r="C5362" s="66" t="str">
        <f>IF('Twenty-Second'!C115="", "",'Twenty-Second'!C115)</f>
        <v/>
      </c>
      <c r="D5362" s="66" t="str">
        <f>IF('Twenty-Second'!D115="", "",'Twenty-Second'!D115)</f>
        <v/>
      </c>
      <c r="E5362" s="66" t="str">
        <f>IF('Twenty-Second'!E115="", "",'Twenty-Second'!E115)</f>
        <v/>
      </c>
      <c r="F5362" s="66" t="str">
        <f>IF('Twenty-Second'!F115="", "",'Twenty-Second'!F115)</f>
        <v/>
      </c>
      <c r="G5362" s="66" t="str">
        <f>IF('Twenty-Second'!G115="", "",'Twenty-Second'!G115)</f>
        <v/>
      </c>
      <c r="H5362" s="66" t="str">
        <f>IF('Twenty-Second'!H115="", "",'Twenty-Second'!H115)</f>
        <v/>
      </c>
      <c r="I5362" s="66" t="str">
        <f>IF('Twenty-Second'!I115="", "",'Twenty-Second'!I115)</f>
        <v/>
      </c>
      <c r="J5362" s="66" t="str">
        <f>IF('Twenty-Second'!J115="", "",'Twenty-Second'!J115)</f>
        <v/>
      </c>
      <c r="K5362" s="86" t="str">
        <f>IF('Twenty-Second'!K115="", "",'Twenty-Second'!K115)</f>
        <v/>
      </c>
      <c r="L5362" s="88"/>
      <c r="M5362" s="67" t="str">
        <f t="shared" si="255"/>
        <v/>
      </c>
      <c r="N5362" s="76" t="str">
        <f t="shared" si="256"/>
        <v/>
      </c>
      <c r="O5362" s="33">
        <f t="shared" si="254"/>
        <v>0</v>
      </c>
    </row>
    <row r="5363" spans="1:15" x14ac:dyDescent="0.25">
      <c r="A5363" s="93" t="s">
        <v>191</v>
      </c>
      <c r="B5363" s="79" t="str">
        <f>IF('Twenty-Second'!B116="", "",'Twenty-Second'!B116)</f>
        <v/>
      </c>
      <c r="C5363" s="66" t="str">
        <f>IF('Twenty-Second'!C116="", "",'Twenty-Second'!C116)</f>
        <v/>
      </c>
      <c r="D5363" s="66" t="str">
        <f>IF('Twenty-Second'!D116="", "",'Twenty-Second'!D116)</f>
        <v/>
      </c>
      <c r="E5363" s="66" t="str">
        <f>IF('Twenty-Second'!E116="", "",'Twenty-Second'!E116)</f>
        <v/>
      </c>
      <c r="F5363" s="66" t="str">
        <f>IF('Twenty-Second'!F116="", "",'Twenty-Second'!F116)</f>
        <v/>
      </c>
      <c r="G5363" s="66" t="str">
        <f>IF('Twenty-Second'!G116="", "",'Twenty-Second'!G116)</f>
        <v/>
      </c>
      <c r="H5363" s="66" t="str">
        <f>IF('Twenty-Second'!H116="", "",'Twenty-Second'!H116)</f>
        <v/>
      </c>
      <c r="I5363" s="66" t="str">
        <f>IF('Twenty-Second'!I116="", "",'Twenty-Second'!I116)</f>
        <v/>
      </c>
      <c r="J5363" s="66" t="str">
        <f>IF('Twenty-Second'!J116="", "",'Twenty-Second'!J116)</f>
        <v/>
      </c>
      <c r="K5363" s="86" t="str">
        <f>IF('Twenty-Second'!K116="", "",'Twenty-Second'!K116)</f>
        <v/>
      </c>
      <c r="L5363" s="88"/>
      <c r="M5363" s="67" t="str">
        <f t="shared" si="255"/>
        <v/>
      </c>
      <c r="N5363" s="76" t="str">
        <f t="shared" si="256"/>
        <v/>
      </c>
      <c r="O5363" s="33">
        <f t="shared" si="254"/>
        <v>0</v>
      </c>
    </row>
    <row r="5364" spans="1:15" x14ac:dyDescent="0.25">
      <c r="A5364" s="93" t="s">
        <v>191</v>
      </c>
      <c r="B5364" s="79" t="str">
        <f>IF('Twenty-Second'!B117="", "",'Twenty-Second'!B117)</f>
        <v/>
      </c>
      <c r="C5364" s="66" t="str">
        <f>IF('Twenty-Second'!C117="", "",'Twenty-Second'!C117)</f>
        <v/>
      </c>
      <c r="D5364" s="66" t="str">
        <f>IF('Twenty-Second'!D117="", "",'Twenty-Second'!D117)</f>
        <v/>
      </c>
      <c r="E5364" s="66" t="str">
        <f>IF('Twenty-Second'!E117="", "",'Twenty-Second'!E117)</f>
        <v/>
      </c>
      <c r="F5364" s="66" t="str">
        <f>IF('Twenty-Second'!F117="", "",'Twenty-Second'!F117)</f>
        <v/>
      </c>
      <c r="G5364" s="66" t="str">
        <f>IF('Twenty-Second'!G117="", "",'Twenty-Second'!G117)</f>
        <v/>
      </c>
      <c r="H5364" s="66" t="str">
        <f>IF('Twenty-Second'!H117="", "",'Twenty-Second'!H117)</f>
        <v/>
      </c>
      <c r="I5364" s="66" t="str">
        <f>IF('Twenty-Second'!I117="", "",'Twenty-Second'!I117)</f>
        <v/>
      </c>
      <c r="J5364" s="66" t="str">
        <f>IF('Twenty-Second'!J117="", "",'Twenty-Second'!J117)</f>
        <v/>
      </c>
      <c r="K5364" s="86" t="str">
        <f>IF('Twenty-Second'!K117="", "",'Twenty-Second'!K117)</f>
        <v/>
      </c>
      <c r="L5364" s="88"/>
      <c r="M5364" s="67" t="str">
        <f t="shared" si="255"/>
        <v/>
      </c>
      <c r="N5364" s="76" t="str">
        <f t="shared" si="256"/>
        <v/>
      </c>
      <c r="O5364" s="33">
        <f t="shared" si="254"/>
        <v>0</v>
      </c>
    </row>
    <row r="5365" spans="1:15" x14ac:dyDescent="0.25">
      <c r="A5365" s="93" t="s">
        <v>191</v>
      </c>
      <c r="B5365" s="79" t="str">
        <f>IF('Twenty-Second'!B118="", "",'Twenty-Second'!B118)</f>
        <v/>
      </c>
      <c r="C5365" s="66" t="str">
        <f>IF('Twenty-Second'!C118="", "",'Twenty-Second'!C118)</f>
        <v/>
      </c>
      <c r="D5365" s="66" t="str">
        <f>IF('Twenty-Second'!D118="", "",'Twenty-Second'!D118)</f>
        <v/>
      </c>
      <c r="E5365" s="66" t="str">
        <f>IF('Twenty-Second'!E118="", "",'Twenty-Second'!E118)</f>
        <v/>
      </c>
      <c r="F5365" s="66" t="str">
        <f>IF('Twenty-Second'!F118="", "",'Twenty-Second'!F118)</f>
        <v/>
      </c>
      <c r="G5365" s="66" t="str">
        <f>IF('Twenty-Second'!G118="", "",'Twenty-Second'!G118)</f>
        <v/>
      </c>
      <c r="H5365" s="66" t="str">
        <f>IF('Twenty-Second'!H118="", "",'Twenty-Second'!H118)</f>
        <v/>
      </c>
      <c r="I5365" s="66" t="str">
        <f>IF('Twenty-Second'!I118="", "",'Twenty-Second'!I118)</f>
        <v/>
      </c>
      <c r="J5365" s="66" t="str">
        <f>IF('Twenty-Second'!J118="", "",'Twenty-Second'!J118)</f>
        <v/>
      </c>
      <c r="K5365" s="86" t="str">
        <f>IF('Twenty-Second'!K118="", "",'Twenty-Second'!K118)</f>
        <v/>
      </c>
      <c r="L5365" s="88"/>
      <c r="M5365" s="67" t="str">
        <f t="shared" si="255"/>
        <v/>
      </c>
      <c r="N5365" s="76" t="str">
        <f t="shared" si="256"/>
        <v/>
      </c>
      <c r="O5365" s="33">
        <f t="shared" si="254"/>
        <v>0</v>
      </c>
    </row>
    <row r="5366" spans="1:15" x14ac:dyDescent="0.25">
      <c r="A5366" s="93" t="s">
        <v>191</v>
      </c>
      <c r="B5366" s="79" t="str">
        <f>IF('Twenty-Second'!B119="", "",'Twenty-Second'!B119)</f>
        <v/>
      </c>
      <c r="C5366" s="66" t="str">
        <f>IF('Twenty-Second'!C119="", "",'Twenty-Second'!C119)</f>
        <v/>
      </c>
      <c r="D5366" s="66" t="str">
        <f>IF('Twenty-Second'!D119="", "",'Twenty-Second'!D119)</f>
        <v/>
      </c>
      <c r="E5366" s="66" t="str">
        <f>IF('Twenty-Second'!E119="", "",'Twenty-Second'!E119)</f>
        <v/>
      </c>
      <c r="F5366" s="66" t="str">
        <f>IF('Twenty-Second'!F119="", "",'Twenty-Second'!F119)</f>
        <v/>
      </c>
      <c r="G5366" s="66" t="str">
        <f>IF('Twenty-Second'!G119="", "",'Twenty-Second'!G119)</f>
        <v/>
      </c>
      <c r="H5366" s="66" t="str">
        <f>IF('Twenty-Second'!H119="", "",'Twenty-Second'!H119)</f>
        <v/>
      </c>
      <c r="I5366" s="66" t="str">
        <f>IF('Twenty-Second'!I119="", "",'Twenty-Second'!I119)</f>
        <v/>
      </c>
      <c r="J5366" s="66" t="str">
        <f>IF('Twenty-Second'!J119="", "",'Twenty-Second'!J119)</f>
        <v/>
      </c>
      <c r="K5366" s="86" t="str">
        <f>IF('Twenty-Second'!K119="", "",'Twenty-Second'!K119)</f>
        <v/>
      </c>
      <c r="L5366" s="88"/>
      <c r="M5366" s="67" t="str">
        <f t="shared" si="255"/>
        <v/>
      </c>
      <c r="N5366" s="76" t="str">
        <f t="shared" si="256"/>
        <v/>
      </c>
      <c r="O5366" s="33">
        <f t="shared" si="254"/>
        <v>0</v>
      </c>
    </row>
    <row r="5367" spans="1:15" x14ac:dyDescent="0.25">
      <c r="A5367" s="93" t="s">
        <v>191</v>
      </c>
      <c r="B5367" s="79" t="str">
        <f>IF('Twenty-Second'!B120="", "",'Twenty-Second'!B120)</f>
        <v/>
      </c>
      <c r="C5367" s="66" t="str">
        <f>IF('Twenty-Second'!C120="", "",'Twenty-Second'!C120)</f>
        <v/>
      </c>
      <c r="D5367" s="66" t="str">
        <f>IF('Twenty-Second'!D120="", "",'Twenty-Second'!D120)</f>
        <v/>
      </c>
      <c r="E5367" s="66" t="str">
        <f>IF('Twenty-Second'!E120="", "",'Twenty-Second'!E120)</f>
        <v/>
      </c>
      <c r="F5367" s="66" t="str">
        <f>IF('Twenty-Second'!F120="", "",'Twenty-Second'!F120)</f>
        <v/>
      </c>
      <c r="G5367" s="66" t="str">
        <f>IF('Twenty-Second'!G120="", "",'Twenty-Second'!G120)</f>
        <v/>
      </c>
      <c r="H5367" s="66" t="str">
        <f>IF('Twenty-Second'!H120="", "",'Twenty-Second'!H120)</f>
        <v/>
      </c>
      <c r="I5367" s="66" t="str">
        <f>IF('Twenty-Second'!I120="", "",'Twenty-Second'!I120)</f>
        <v/>
      </c>
      <c r="J5367" s="66" t="str">
        <f>IF('Twenty-Second'!J120="", "",'Twenty-Second'!J120)</f>
        <v/>
      </c>
      <c r="K5367" s="86" t="str">
        <f>IF('Twenty-Second'!K120="", "",'Twenty-Second'!K120)</f>
        <v/>
      </c>
      <c r="L5367" s="88"/>
      <c r="M5367" s="67" t="str">
        <f t="shared" si="255"/>
        <v/>
      </c>
      <c r="N5367" s="76" t="str">
        <f t="shared" si="256"/>
        <v/>
      </c>
      <c r="O5367" s="33">
        <f t="shared" si="254"/>
        <v>0</v>
      </c>
    </row>
    <row r="5368" spans="1:15" x14ac:dyDescent="0.25">
      <c r="A5368" s="93" t="s">
        <v>191</v>
      </c>
      <c r="B5368" s="79" t="str">
        <f>IF('Twenty-Second'!B121="", "",'Twenty-Second'!B121)</f>
        <v/>
      </c>
      <c r="C5368" s="66" t="str">
        <f>IF('Twenty-Second'!C121="", "",'Twenty-Second'!C121)</f>
        <v/>
      </c>
      <c r="D5368" s="66" t="str">
        <f>IF('Twenty-Second'!D121="", "",'Twenty-Second'!D121)</f>
        <v/>
      </c>
      <c r="E5368" s="66" t="str">
        <f>IF('Twenty-Second'!E121="", "",'Twenty-Second'!E121)</f>
        <v/>
      </c>
      <c r="F5368" s="66" t="str">
        <f>IF('Twenty-Second'!F121="", "",'Twenty-Second'!F121)</f>
        <v/>
      </c>
      <c r="G5368" s="66" t="str">
        <f>IF('Twenty-Second'!G121="", "",'Twenty-Second'!G121)</f>
        <v/>
      </c>
      <c r="H5368" s="66" t="str">
        <f>IF('Twenty-Second'!H121="", "",'Twenty-Second'!H121)</f>
        <v/>
      </c>
      <c r="I5368" s="66" t="str">
        <f>IF('Twenty-Second'!I121="", "",'Twenty-Second'!I121)</f>
        <v/>
      </c>
      <c r="J5368" s="66" t="str">
        <f>IF('Twenty-Second'!J121="", "",'Twenty-Second'!J121)</f>
        <v/>
      </c>
      <c r="K5368" s="86" t="str">
        <f>IF('Twenty-Second'!K121="", "",'Twenty-Second'!K121)</f>
        <v/>
      </c>
      <c r="L5368" s="88"/>
      <c r="M5368" s="67" t="str">
        <f t="shared" si="255"/>
        <v/>
      </c>
      <c r="N5368" s="76" t="str">
        <f t="shared" si="256"/>
        <v/>
      </c>
      <c r="O5368" s="33">
        <f t="shared" si="254"/>
        <v>0</v>
      </c>
    </row>
    <row r="5369" spans="1:15" x14ac:dyDescent="0.25">
      <c r="A5369" s="93" t="s">
        <v>191</v>
      </c>
      <c r="B5369" s="79" t="str">
        <f>IF('Twenty-Second'!B122="", "",'Twenty-Second'!B122)</f>
        <v/>
      </c>
      <c r="C5369" s="66" t="str">
        <f>IF('Twenty-Second'!C122="", "",'Twenty-Second'!C122)</f>
        <v/>
      </c>
      <c r="D5369" s="66" t="str">
        <f>IF('Twenty-Second'!D122="", "",'Twenty-Second'!D122)</f>
        <v/>
      </c>
      <c r="E5369" s="66" t="str">
        <f>IF('Twenty-Second'!E122="", "",'Twenty-Second'!E122)</f>
        <v/>
      </c>
      <c r="F5369" s="66" t="str">
        <f>IF('Twenty-Second'!F122="", "",'Twenty-Second'!F122)</f>
        <v/>
      </c>
      <c r="G5369" s="66" t="str">
        <f>IF('Twenty-Second'!G122="", "",'Twenty-Second'!G122)</f>
        <v/>
      </c>
      <c r="H5369" s="66" t="str">
        <f>IF('Twenty-Second'!H122="", "",'Twenty-Second'!H122)</f>
        <v/>
      </c>
      <c r="I5369" s="66" t="str">
        <f>IF('Twenty-Second'!I122="", "",'Twenty-Second'!I122)</f>
        <v/>
      </c>
      <c r="J5369" s="66" t="str">
        <f>IF('Twenty-Second'!J122="", "",'Twenty-Second'!J122)</f>
        <v/>
      </c>
      <c r="K5369" s="86" t="str">
        <f>IF('Twenty-Second'!K122="", "",'Twenty-Second'!K122)</f>
        <v/>
      </c>
      <c r="L5369" s="88"/>
      <c r="M5369" s="67" t="str">
        <f t="shared" si="255"/>
        <v/>
      </c>
      <c r="N5369" s="76" t="str">
        <f t="shared" si="256"/>
        <v/>
      </c>
      <c r="O5369" s="33">
        <f t="shared" si="254"/>
        <v>0</v>
      </c>
    </row>
    <row r="5370" spans="1:15" x14ac:dyDescent="0.25">
      <c r="A5370" s="93" t="s">
        <v>191</v>
      </c>
      <c r="B5370" s="79" t="str">
        <f>IF('Twenty-Second'!B123="", "",'Twenty-Second'!B123)</f>
        <v/>
      </c>
      <c r="C5370" s="66" t="str">
        <f>IF('Twenty-Second'!C123="", "",'Twenty-Second'!C123)</f>
        <v/>
      </c>
      <c r="D5370" s="66" t="str">
        <f>IF('Twenty-Second'!D123="", "",'Twenty-Second'!D123)</f>
        <v/>
      </c>
      <c r="E5370" s="66" t="str">
        <f>IF('Twenty-Second'!E123="", "",'Twenty-Second'!E123)</f>
        <v/>
      </c>
      <c r="F5370" s="66" t="str">
        <f>IF('Twenty-Second'!F123="", "",'Twenty-Second'!F123)</f>
        <v/>
      </c>
      <c r="G5370" s="66" t="str">
        <f>IF('Twenty-Second'!G123="", "",'Twenty-Second'!G123)</f>
        <v/>
      </c>
      <c r="H5370" s="66" t="str">
        <f>IF('Twenty-Second'!H123="", "",'Twenty-Second'!H123)</f>
        <v/>
      </c>
      <c r="I5370" s="66" t="str">
        <f>IF('Twenty-Second'!I123="", "",'Twenty-Second'!I123)</f>
        <v/>
      </c>
      <c r="J5370" s="66" t="str">
        <f>IF('Twenty-Second'!J123="", "",'Twenty-Second'!J123)</f>
        <v/>
      </c>
      <c r="K5370" s="86" t="str">
        <f>IF('Twenty-Second'!K123="", "",'Twenty-Second'!K123)</f>
        <v/>
      </c>
      <c r="L5370" s="88"/>
      <c r="M5370" s="67" t="str">
        <f t="shared" si="255"/>
        <v/>
      </c>
      <c r="N5370" s="76" t="str">
        <f t="shared" si="256"/>
        <v/>
      </c>
      <c r="O5370" s="33">
        <f t="shared" si="254"/>
        <v>0</v>
      </c>
    </row>
    <row r="5371" spans="1:15" x14ac:dyDescent="0.25">
      <c r="A5371" s="93" t="s">
        <v>191</v>
      </c>
      <c r="B5371" s="79" t="str">
        <f>IF('Twenty-Second'!B124="", "",'Twenty-Second'!B124)</f>
        <v/>
      </c>
      <c r="C5371" s="66" t="str">
        <f>IF('Twenty-Second'!C124="", "",'Twenty-Second'!C124)</f>
        <v/>
      </c>
      <c r="D5371" s="66" t="str">
        <f>IF('Twenty-Second'!D124="", "",'Twenty-Second'!D124)</f>
        <v/>
      </c>
      <c r="E5371" s="66" t="str">
        <f>IF('Twenty-Second'!E124="", "",'Twenty-Second'!E124)</f>
        <v/>
      </c>
      <c r="F5371" s="66" t="str">
        <f>IF('Twenty-Second'!F124="", "",'Twenty-Second'!F124)</f>
        <v/>
      </c>
      <c r="G5371" s="66" t="str">
        <f>IF('Twenty-Second'!G124="", "",'Twenty-Second'!G124)</f>
        <v/>
      </c>
      <c r="H5371" s="66" t="str">
        <f>IF('Twenty-Second'!H124="", "",'Twenty-Second'!H124)</f>
        <v/>
      </c>
      <c r="I5371" s="66" t="str">
        <f>IF('Twenty-Second'!I124="", "",'Twenty-Second'!I124)</f>
        <v/>
      </c>
      <c r="J5371" s="66" t="str">
        <f>IF('Twenty-Second'!J124="", "",'Twenty-Second'!J124)</f>
        <v/>
      </c>
      <c r="K5371" s="86" t="str">
        <f>IF('Twenty-Second'!K124="", "",'Twenty-Second'!K124)</f>
        <v/>
      </c>
      <c r="L5371" s="88"/>
      <c r="M5371" s="67" t="str">
        <f t="shared" si="255"/>
        <v/>
      </c>
      <c r="N5371" s="76" t="str">
        <f t="shared" si="256"/>
        <v/>
      </c>
      <c r="O5371" s="33">
        <f t="shared" si="254"/>
        <v>0</v>
      </c>
    </row>
    <row r="5372" spans="1:15" x14ac:dyDescent="0.25">
      <c r="A5372" s="93" t="s">
        <v>191</v>
      </c>
      <c r="B5372" s="79" t="str">
        <f>IF('Twenty-Second'!B125="", "",'Twenty-Second'!B125)</f>
        <v/>
      </c>
      <c r="C5372" s="66" t="str">
        <f>IF('Twenty-Second'!C125="", "",'Twenty-Second'!C125)</f>
        <v/>
      </c>
      <c r="D5372" s="66" t="str">
        <f>IF('Twenty-Second'!D125="", "",'Twenty-Second'!D125)</f>
        <v/>
      </c>
      <c r="E5372" s="66" t="str">
        <f>IF('Twenty-Second'!E125="", "",'Twenty-Second'!E125)</f>
        <v/>
      </c>
      <c r="F5372" s="66" t="str">
        <f>IF('Twenty-Second'!F125="", "",'Twenty-Second'!F125)</f>
        <v/>
      </c>
      <c r="G5372" s="66" t="str">
        <f>IF('Twenty-Second'!G125="", "",'Twenty-Second'!G125)</f>
        <v/>
      </c>
      <c r="H5372" s="66" t="str">
        <f>IF('Twenty-Second'!H125="", "",'Twenty-Second'!H125)</f>
        <v/>
      </c>
      <c r="I5372" s="66" t="str">
        <f>IF('Twenty-Second'!I125="", "",'Twenty-Second'!I125)</f>
        <v/>
      </c>
      <c r="J5372" s="66" t="str">
        <f>IF('Twenty-Second'!J125="", "",'Twenty-Second'!J125)</f>
        <v/>
      </c>
      <c r="K5372" s="86" t="str">
        <f>IF('Twenty-Second'!K125="", "",'Twenty-Second'!K125)</f>
        <v/>
      </c>
      <c r="L5372" s="88"/>
      <c r="M5372" s="67" t="str">
        <f t="shared" si="255"/>
        <v/>
      </c>
      <c r="N5372" s="76" t="str">
        <f t="shared" si="256"/>
        <v/>
      </c>
      <c r="O5372" s="33">
        <f t="shared" si="254"/>
        <v>0</v>
      </c>
    </row>
    <row r="5373" spans="1:15" x14ac:dyDescent="0.25">
      <c r="A5373" s="93" t="s">
        <v>191</v>
      </c>
      <c r="B5373" s="79" t="str">
        <f>IF('Twenty-Second'!B126="", "",'Twenty-Second'!B126)</f>
        <v/>
      </c>
      <c r="C5373" s="66" t="str">
        <f>IF('Twenty-Second'!C126="", "",'Twenty-Second'!C126)</f>
        <v/>
      </c>
      <c r="D5373" s="66" t="str">
        <f>IF('Twenty-Second'!D126="", "",'Twenty-Second'!D126)</f>
        <v/>
      </c>
      <c r="E5373" s="66" t="str">
        <f>IF('Twenty-Second'!E126="", "",'Twenty-Second'!E126)</f>
        <v/>
      </c>
      <c r="F5373" s="66" t="str">
        <f>IF('Twenty-Second'!F126="", "",'Twenty-Second'!F126)</f>
        <v/>
      </c>
      <c r="G5373" s="66" t="str">
        <f>IF('Twenty-Second'!G126="", "",'Twenty-Second'!G126)</f>
        <v/>
      </c>
      <c r="H5373" s="66" t="str">
        <f>IF('Twenty-Second'!H126="", "",'Twenty-Second'!H126)</f>
        <v/>
      </c>
      <c r="I5373" s="66" t="str">
        <f>IF('Twenty-Second'!I126="", "",'Twenty-Second'!I126)</f>
        <v/>
      </c>
      <c r="J5373" s="66" t="str">
        <f>IF('Twenty-Second'!J126="", "",'Twenty-Second'!J126)</f>
        <v/>
      </c>
      <c r="K5373" s="86" t="str">
        <f>IF('Twenty-Second'!K126="", "",'Twenty-Second'!K126)</f>
        <v/>
      </c>
      <c r="L5373" s="88"/>
      <c r="M5373" s="67" t="str">
        <f t="shared" si="255"/>
        <v/>
      </c>
      <c r="N5373" s="76" t="str">
        <f t="shared" si="256"/>
        <v/>
      </c>
      <c r="O5373" s="33">
        <f t="shared" si="254"/>
        <v>0</v>
      </c>
    </row>
    <row r="5374" spans="1:15" x14ac:dyDescent="0.25">
      <c r="A5374" s="93" t="s">
        <v>191</v>
      </c>
      <c r="B5374" s="79" t="str">
        <f>IF('Twenty-Second'!B127="", "",'Twenty-Second'!B127)</f>
        <v/>
      </c>
      <c r="C5374" s="66" t="str">
        <f>IF('Twenty-Second'!C127="", "",'Twenty-Second'!C127)</f>
        <v/>
      </c>
      <c r="D5374" s="66" t="str">
        <f>IF('Twenty-Second'!D127="", "",'Twenty-Second'!D127)</f>
        <v/>
      </c>
      <c r="E5374" s="66" t="str">
        <f>IF('Twenty-Second'!E127="", "",'Twenty-Second'!E127)</f>
        <v/>
      </c>
      <c r="F5374" s="66" t="str">
        <f>IF('Twenty-Second'!F127="", "",'Twenty-Second'!F127)</f>
        <v/>
      </c>
      <c r="G5374" s="66" t="str">
        <f>IF('Twenty-Second'!G127="", "",'Twenty-Second'!G127)</f>
        <v/>
      </c>
      <c r="H5374" s="66" t="str">
        <f>IF('Twenty-Second'!H127="", "",'Twenty-Second'!H127)</f>
        <v/>
      </c>
      <c r="I5374" s="66" t="str">
        <f>IF('Twenty-Second'!I127="", "",'Twenty-Second'!I127)</f>
        <v/>
      </c>
      <c r="J5374" s="66" t="str">
        <f>IF('Twenty-Second'!J127="", "",'Twenty-Second'!J127)</f>
        <v/>
      </c>
      <c r="K5374" s="86" t="str">
        <f>IF('Twenty-Second'!K127="", "",'Twenty-Second'!K127)</f>
        <v/>
      </c>
      <c r="L5374" s="88"/>
      <c r="M5374" s="67" t="str">
        <f t="shared" si="255"/>
        <v/>
      </c>
      <c r="N5374" s="76" t="str">
        <f t="shared" si="256"/>
        <v/>
      </c>
      <c r="O5374" s="33">
        <f t="shared" si="254"/>
        <v>0</v>
      </c>
    </row>
    <row r="5375" spans="1:15" x14ac:dyDescent="0.25">
      <c r="A5375" s="93" t="s">
        <v>191</v>
      </c>
      <c r="B5375" s="79" t="str">
        <f>IF('Twenty-Second'!B128="", "",'Twenty-Second'!B128)</f>
        <v/>
      </c>
      <c r="C5375" s="66" t="str">
        <f>IF('Twenty-Second'!C128="", "",'Twenty-Second'!C128)</f>
        <v/>
      </c>
      <c r="D5375" s="66" t="str">
        <f>IF('Twenty-Second'!D128="", "",'Twenty-Second'!D128)</f>
        <v/>
      </c>
      <c r="E5375" s="66" t="str">
        <f>IF('Twenty-Second'!E128="", "",'Twenty-Second'!E128)</f>
        <v/>
      </c>
      <c r="F5375" s="66" t="str">
        <f>IF('Twenty-Second'!F128="", "",'Twenty-Second'!F128)</f>
        <v/>
      </c>
      <c r="G5375" s="66" t="str">
        <f>IF('Twenty-Second'!G128="", "",'Twenty-Second'!G128)</f>
        <v/>
      </c>
      <c r="H5375" s="66" t="str">
        <f>IF('Twenty-Second'!H128="", "",'Twenty-Second'!H128)</f>
        <v/>
      </c>
      <c r="I5375" s="66" t="str">
        <f>IF('Twenty-Second'!I128="", "",'Twenty-Second'!I128)</f>
        <v/>
      </c>
      <c r="J5375" s="66" t="str">
        <f>IF('Twenty-Second'!J128="", "",'Twenty-Second'!J128)</f>
        <v/>
      </c>
      <c r="K5375" s="86" t="str">
        <f>IF('Twenty-Second'!K128="", "",'Twenty-Second'!K128)</f>
        <v/>
      </c>
      <c r="L5375" s="88"/>
      <c r="M5375" s="67" t="str">
        <f t="shared" si="255"/>
        <v/>
      </c>
      <c r="N5375" s="76" t="str">
        <f t="shared" si="256"/>
        <v/>
      </c>
      <c r="O5375" s="33">
        <f t="shared" si="254"/>
        <v>0</v>
      </c>
    </row>
    <row r="5376" spans="1:15" x14ac:dyDescent="0.25">
      <c r="A5376" s="93" t="s">
        <v>191</v>
      </c>
      <c r="B5376" s="79" t="str">
        <f>IF('Twenty-Second'!B129="", "",'Twenty-Second'!B129)</f>
        <v/>
      </c>
      <c r="C5376" s="66" t="str">
        <f>IF('Twenty-Second'!C129="", "",'Twenty-Second'!C129)</f>
        <v/>
      </c>
      <c r="D5376" s="66" t="str">
        <f>IF('Twenty-Second'!D129="", "",'Twenty-Second'!D129)</f>
        <v/>
      </c>
      <c r="E5376" s="66" t="str">
        <f>IF('Twenty-Second'!E129="", "",'Twenty-Second'!E129)</f>
        <v/>
      </c>
      <c r="F5376" s="66" t="str">
        <f>IF('Twenty-Second'!F129="", "",'Twenty-Second'!F129)</f>
        <v/>
      </c>
      <c r="G5376" s="66" t="str">
        <f>IF('Twenty-Second'!G129="", "",'Twenty-Second'!G129)</f>
        <v/>
      </c>
      <c r="H5376" s="66" t="str">
        <f>IF('Twenty-Second'!H129="", "",'Twenty-Second'!H129)</f>
        <v/>
      </c>
      <c r="I5376" s="66" t="str">
        <f>IF('Twenty-Second'!I129="", "",'Twenty-Second'!I129)</f>
        <v/>
      </c>
      <c r="J5376" s="66" t="str">
        <f>IF('Twenty-Second'!J129="", "",'Twenty-Second'!J129)</f>
        <v/>
      </c>
      <c r="K5376" s="86" t="str">
        <f>IF('Twenty-Second'!K129="", "",'Twenty-Second'!K129)</f>
        <v/>
      </c>
      <c r="L5376" s="88"/>
      <c r="M5376" s="67" t="str">
        <f t="shared" si="255"/>
        <v/>
      </c>
      <c r="N5376" s="76" t="str">
        <f t="shared" si="256"/>
        <v/>
      </c>
      <c r="O5376" s="33">
        <f t="shared" si="254"/>
        <v>0</v>
      </c>
    </row>
    <row r="5377" spans="1:15" x14ac:dyDescent="0.25">
      <c r="A5377" s="93" t="s">
        <v>191</v>
      </c>
      <c r="B5377" s="79" t="str">
        <f>IF('Twenty-Second'!B130="", "",'Twenty-Second'!B130)</f>
        <v/>
      </c>
      <c r="C5377" s="66" t="str">
        <f>IF('Twenty-Second'!C130="", "",'Twenty-Second'!C130)</f>
        <v/>
      </c>
      <c r="D5377" s="66" t="str">
        <f>IF('Twenty-Second'!D130="", "",'Twenty-Second'!D130)</f>
        <v/>
      </c>
      <c r="E5377" s="66" t="str">
        <f>IF('Twenty-Second'!E130="", "",'Twenty-Second'!E130)</f>
        <v/>
      </c>
      <c r="F5377" s="66" t="str">
        <f>IF('Twenty-Second'!F130="", "",'Twenty-Second'!F130)</f>
        <v/>
      </c>
      <c r="G5377" s="66" t="str">
        <f>IF('Twenty-Second'!G130="", "",'Twenty-Second'!G130)</f>
        <v/>
      </c>
      <c r="H5377" s="66" t="str">
        <f>IF('Twenty-Second'!H130="", "",'Twenty-Second'!H130)</f>
        <v/>
      </c>
      <c r="I5377" s="66" t="str">
        <f>IF('Twenty-Second'!I130="", "",'Twenty-Second'!I130)</f>
        <v/>
      </c>
      <c r="J5377" s="66" t="str">
        <f>IF('Twenty-Second'!J130="", "",'Twenty-Second'!J130)</f>
        <v/>
      </c>
      <c r="K5377" s="86" t="str">
        <f>IF('Twenty-Second'!K130="", "",'Twenty-Second'!K130)</f>
        <v/>
      </c>
      <c r="L5377" s="88"/>
      <c r="M5377" s="67" t="str">
        <f t="shared" si="255"/>
        <v/>
      </c>
      <c r="N5377" s="76" t="str">
        <f t="shared" si="256"/>
        <v/>
      </c>
      <c r="O5377" s="33">
        <f t="shared" si="254"/>
        <v>0</v>
      </c>
    </row>
    <row r="5378" spans="1:15" x14ac:dyDescent="0.25">
      <c r="A5378" s="93" t="s">
        <v>191</v>
      </c>
      <c r="B5378" s="79" t="str">
        <f>IF('Twenty-Second'!B131="", "",'Twenty-Second'!B131)</f>
        <v/>
      </c>
      <c r="C5378" s="66" t="str">
        <f>IF('Twenty-Second'!C131="", "",'Twenty-Second'!C131)</f>
        <v/>
      </c>
      <c r="D5378" s="66" t="str">
        <f>IF('Twenty-Second'!D131="", "",'Twenty-Second'!D131)</f>
        <v/>
      </c>
      <c r="E5378" s="66" t="str">
        <f>IF('Twenty-Second'!E131="", "",'Twenty-Second'!E131)</f>
        <v/>
      </c>
      <c r="F5378" s="66" t="str">
        <f>IF('Twenty-Second'!F131="", "",'Twenty-Second'!F131)</f>
        <v/>
      </c>
      <c r="G5378" s="66" t="str">
        <f>IF('Twenty-Second'!G131="", "",'Twenty-Second'!G131)</f>
        <v/>
      </c>
      <c r="H5378" s="66" t="str">
        <f>IF('Twenty-Second'!H131="", "",'Twenty-Second'!H131)</f>
        <v/>
      </c>
      <c r="I5378" s="66" t="str">
        <f>IF('Twenty-Second'!I131="", "",'Twenty-Second'!I131)</f>
        <v/>
      </c>
      <c r="J5378" s="66" t="str">
        <f>IF('Twenty-Second'!J131="", "",'Twenty-Second'!J131)</f>
        <v/>
      </c>
      <c r="K5378" s="86" t="str">
        <f>IF('Twenty-Second'!K131="", "",'Twenty-Second'!K131)</f>
        <v/>
      </c>
      <c r="L5378" s="88"/>
      <c r="M5378" s="67" t="str">
        <f t="shared" si="255"/>
        <v/>
      </c>
      <c r="N5378" s="76" t="str">
        <f t="shared" si="256"/>
        <v/>
      </c>
      <c r="O5378" s="33">
        <f t="shared" si="254"/>
        <v>0</v>
      </c>
    </row>
    <row r="5379" spans="1:15" x14ac:dyDescent="0.25">
      <c r="A5379" s="93" t="s">
        <v>191</v>
      </c>
      <c r="B5379" s="79" t="str">
        <f>IF('Twenty-Second'!B132="", "",'Twenty-Second'!B132)</f>
        <v/>
      </c>
      <c r="C5379" s="66" t="str">
        <f>IF('Twenty-Second'!C132="", "",'Twenty-Second'!C132)</f>
        <v/>
      </c>
      <c r="D5379" s="66" t="str">
        <f>IF('Twenty-Second'!D132="", "",'Twenty-Second'!D132)</f>
        <v/>
      </c>
      <c r="E5379" s="66" t="str">
        <f>IF('Twenty-Second'!E132="", "",'Twenty-Second'!E132)</f>
        <v/>
      </c>
      <c r="F5379" s="66" t="str">
        <f>IF('Twenty-Second'!F132="", "",'Twenty-Second'!F132)</f>
        <v/>
      </c>
      <c r="G5379" s="66" t="str">
        <f>IF('Twenty-Second'!G132="", "",'Twenty-Second'!G132)</f>
        <v/>
      </c>
      <c r="H5379" s="66" t="str">
        <f>IF('Twenty-Second'!H132="", "",'Twenty-Second'!H132)</f>
        <v/>
      </c>
      <c r="I5379" s="66" t="str">
        <f>IF('Twenty-Second'!I132="", "",'Twenty-Second'!I132)</f>
        <v/>
      </c>
      <c r="J5379" s="66" t="str">
        <f>IF('Twenty-Second'!J132="", "",'Twenty-Second'!J132)</f>
        <v/>
      </c>
      <c r="K5379" s="86" t="str">
        <f>IF('Twenty-Second'!K132="", "",'Twenty-Second'!K132)</f>
        <v/>
      </c>
      <c r="L5379" s="88"/>
      <c r="M5379" s="67" t="str">
        <f t="shared" si="255"/>
        <v/>
      </c>
      <c r="N5379" s="76" t="str">
        <f t="shared" si="256"/>
        <v/>
      </c>
      <c r="O5379" s="33">
        <f t="shared" si="254"/>
        <v>0</v>
      </c>
    </row>
    <row r="5380" spans="1:15" x14ac:dyDescent="0.25">
      <c r="A5380" s="93" t="s">
        <v>191</v>
      </c>
      <c r="B5380" s="79" t="str">
        <f>IF('Twenty-Second'!B133="", "",'Twenty-Second'!B133)</f>
        <v/>
      </c>
      <c r="C5380" s="66" t="str">
        <f>IF('Twenty-Second'!C133="", "",'Twenty-Second'!C133)</f>
        <v/>
      </c>
      <c r="D5380" s="66" t="str">
        <f>IF('Twenty-Second'!D133="", "",'Twenty-Second'!D133)</f>
        <v/>
      </c>
      <c r="E5380" s="66" t="str">
        <f>IF('Twenty-Second'!E133="", "",'Twenty-Second'!E133)</f>
        <v/>
      </c>
      <c r="F5380" s="66" t="str">
        <f>IF('Twenty-Second'!F133="", "",'Twenty-Second'!F133)</f>
        <v/>
      </c>
      <c r="G5380" s="66" t="str">
        <f>IF('Twenty-Second'!G133="", "",'Twenty-Second'!G133)</f>
        <v/>
      </c>
      <c r="H5380" s="66" t="str">
        <f>IF('Twenty-Second'!H133="", "",'Twenty-Second'!H133)</f>
        <v/>
      </c>
      <c r="I5380" s="66" t="str">
        <f>IF('Twenty-Second'!I133="", "",'Twenty-Second'!I133)</f>
        <v/>
      </c>
      <c r="J5380" s="66" t="str">
        <f>IF('Twenty-Second'!J133="", "",'Twenty-Second'!J133)</f>
        <v/>
      </c>
      <c r="K5380" s="86" t="str">
        <f>IF('Twenty-Second'!K133="", "",'Twenty-Second'!K133)</f>
        <v/>
      </c>
      <c r="L5380" s="88"/>
      <c r="M5380" s="67" t="str">
        <f t="shared" si="255"/>
        <v/>
      </c>
      <c r="N5380" s="76" t="str">
        <f t="shared" si="256"/>
        <v/>
      </c>
      <c r="O5380" s="33">
        <f t="shared" si="254"/>
        <v>0</v>
      </c>
    </row>
    <row r="5381" spans="1:15" x14ac:dyDescent="0.25">
      <c r="A5381" s="93" t="s">
        <v>191</v>
      </c>
      <c r="B5381" s="79" t="str">
        <f>IF('Twenty-Second'!B134="", "",'Twenty-Second'!B134)</f>
        <v/>
      </c>
      <c r="C5381" s="66" t="str">
        <f>IF('Twenty-Second'!C134="", "",'Twenty-Second'!C134)</f>
        <v/>
      </c>
      <c r="D5381" s="66" t="str">
        <f>IF('Twenty-Second'!D134="", "",'Twenty-Second'!D134)</f>
        <v/>
      </c>
      <c r="E5381" s="66" t="str">
        <f>IF('Twenty-Second'!E134="", "",'Twenty-Second'!E134)</f>
        <v/>
      </c>
      <c r="F5381" s="66" t="str">
        <f>IF('Twenty-Second'!F134="", "",'Twenty-Second'!F134)</f>
        <v/>
      </c>
      <c r="G5381" s="66" t="str">
        <f>IF('Twenty-Second'!G134="", "",'Twenty-Second'!G134)</f>
        <v/>
      </c>
      <c r="H5381" s="66" t="str">
        <f>IF('Twenty-Second'!H134="", "",'Twenty-Second'!H134)</f>
        <v/>
      </c>
      <c r="I5381" s="66" t="str">
        <f>IF('Twenty-Second'!I134="", "",'Twenty-Second'!I134)</f>
        <v/>
      </c>
      <c r="J5381" s="66" t="str">
        <f>IF('Twenty-Second'!J134="", "",'Twenty-Second'!J134)</f>
        <v/>
      </c>
      <c r="K5381" s="86" t="str">
        <f>IF('Twenty-Second'!K134="", "",'Twenty-Second'!K134)</f>
        <v/>
      </c>
      <c r="L5381" s="88"/>
      <c r="M5381" s="67" t="str">
        <f t="shared" si="255"/>
        <v/>
      </c>
      <c r="N5381" s="76" t="str">
        <f t="shared" si="256"/>
        <v/>
      </c>
      <c r="O5381" s="33">
        <f t="shared" si="254"/>
        <v>0</v>
      </c>
    </row>
    <row r="5382" spans="1:15" x14ac:dyDescent="0.25">
      <c r="A5382" s="93" t="s">
        <v>191</v>
      </c>
      <c r="B5382" s="79" t="str">
        <f>IF('Twenty-Second'!B135="", "",'Twenty-Second'!B135)</f>
        <v/>
      </c>
      <c r="C5382" s="66" t="str">
        <f>IF('Twenty-Second'!C135="", "",'Twenty-Second'!C135)</f>
        <v/>
      </c>
      <c r="D5382" s="66" t="str">
        <f>IF('Twenty-Second'!D135="", "",'Twenty-Second'!D135)</f>
        <v/>
      </c>
      <c r="E5382" s="66" t="str">
        <f>IF('Twenty-Second'!E135="", "",'Twenty-Second'!E135)</f>
        <v/>
      </c>
      <c r="F5382" s="66" t="str">
        <f>IF('Twenty-Second'!F135="", "",'Twenty-Second'!F135)</f>
        <v/>
      </c>
      <c r="G5382" s="66" t="str">
        <f>IF('Twenty-Second'!G135="", "",'Twenty-Second'!G135)</f>
        <v/>
      </c>
      <c r="H5382" s="66" t="str">
        <f>IF('Twenty-Second'!H135="", "",'Twenty-Second'!H135)</f>
        <v/>
      </c>
      <c r="I5382" s="66" t="str">
        <f>IF('Twenty-Second'!I135="", "",'Twenty-Second'!I135)</f>
        <v/>
      </c>
      <c r="J5382" s="66" t="str">
        <f>IF('Twenty-Second'!J135="", "",'Twenty-Second'!J135)</f>
        <v/>
      </c>
      <c r="K5382" s="86" t="str">
        <f>IF('Twenty-Second'!K135="", "",'Twenty-Second'!K135)</f>
        <v/>
      </c>
      <c r="L5382" s="88"/>
      <c r="M5382" s="67" t="str">
        <f t="shared" si="255"/>
        <v/>
      </c>
      <c r="N5382" s="76" t="str">
        <f t="shared" si="256"/>
        <v/>
      </c>
      <c r="O5382" s="33">
        <f t="shared" si="254"/>
        <v>0</v>
      </c>
    </row>
    <row r="5383" spans="1:15" x14ac:dyDescent="0.25">
      <c r="A5383" s="93" t="s">
        <v>191</v>
      </c>
      <c r="B5383" s="79" t="str">
        <f>IF('Twenty-Second'!B136="", "",'Twenty-Second'!B136)</f>
        <v/>
      </c>
      <c r="C5383" s="66" t="str">
        <f>IF('Twenty-Second'!C136="", "",'Twenty-Second'!C136)</f>
        <v/>
      </c>
      <c r="D5383" s="66" t="str">
        <f>IF('Twenty-Second'!D136="", "",'Twenty-Second'!D136)</f>
        <v/>
      </c>
      <c r="E5383" s="66" t="str">
        <f>IF('Twenty-Second'!E136="", "",'Twenty-Second'!E136)</f>
        <v/>
      </c>
      <c r="F5383" s="66" t="str">
        <f>IF('Twenty-Second'!F136="", "",'Twenty-Second'!F136)</f>
        <v/>
      </c>
      <c r="G5383" s="66" t="str">
        <f>IF('Twenty-Second'!G136="", "",'Twenty-Second'!G136)</f>
        <v/>
      </c>
      <c r="H5383" s="66" t="str">
        <f>IF('Twenty-Second'!H136="", "",'Twenty-Second'!H136)</f>
        <v/>
      </c>
      <c r="I5383" s="66" t="str">
        <f>IF('Twenty-Second'!I136="", "",'Twenty-Second'!I136)</f>
        <v/>
      </c>
      <c r="J5383" s="66" t="str">
        <f>IF('Twenty-Second'!J136="", "",'Twenty-Second'!J136)</f>
        <v/>
      </c>
      <c r="K5383" s="86" t="str">
        <f>IF('Twenty-Second'!K136="", "",'Twenty-Second'!K136)</f>
        <v/>
      </c>
      <c r="L5383" s="88"/>
      <c r="M5383" s="67" t="str">
        <f t="shared" si="255"/>
        <v/>
      </c>
      <c r="N5383" s="76" t="str">
        <f t="shared" si="256"/>
        <v/>
      </c>
      <c r="O5383" s="33">
        <f t="shared" si="254"/>
        <v>0</v>
      </c>
    </row>
    <row r="5384" spans="1:15" x14ac:dyDescent="0.25">
      <c r="A5384" s="93" t="s">
        <v>191</v>
      </c>
      <c r="B5384" s="79" t="str">
        <f>IF('Twenty-Second'!B137="", "",'Twenty-Second'!B137)</f>
        <v/>
      </c>
      <c r="C5384" s="66" t="str">
        <f>IF('Twenty-Second'!C137="", "",'Twenty-Second'!C137)</f>
        <v/>
      </c>
      <c r="D5384" s="66" t="str">
        <f>IF('Twenty-Second'!D137="", "",'Twenty-Second'!D137)</f>
        <v/>
      </c>
      <c r="E5384" s="66" t="str">
        <f>IF('Twenty-Second'!E137="", "",'Twenty-Second'!E137)</f>
        <v/>
      </c>
      <c r="F5384" s="66" t="str">
        <f>IF('Twenty-Second'!F137="", "",'Twenty-Second'!F137)</f>
        <v/>
      </c>
      <c r="G5384" s="66" t="str">
        <f>IF('Twenty-Second'!G137="", "",'Twenty-Second'!G137)</f>
        <v/>
      </c>
      <c r="H5384" s="66" t="str">
        <f>IF('Twenty-Second'!H137="", "",'Twenty-Second'!H137)</f>
        <v/>
      </c>
      <c r="I5384" s="66" t="str">
        <f>IF('Twenty-Second'!I137="", "",'Twenty-Second'!I137)</f>
        <v/>
      </c>
      <c r="J5384" s="66" t="str">
        <f>IF('Twenty-Second'!J137="", "",'Twenty-Second'!J137)</f>
        <v/>
      </c>
      <c r="K5384" s="86" t="str">
        <f>IF('Twenty-Second'!K137="", "",'Twenty-Second'!K137)</f>
        <v/>
      </c>
      <c r="L5384" s="88"/>
      <c r="M5384" s="67" t="str">
        <f t="shared" si="255"/>
        <v/>
      </c>
      <c r="N5384" s="76" t="str">
        <f t="shared" si="256"/>
        <v/>
      </c>
      <c r="O5384" s="33">
        <f t="shared" si="254"/>
        <v>0</v>
      </c>
    </row>
    <row r="5385" spans="1:15" x14ac:dyDescent="0.25">
      <c r="A5385" s="93" t="s">
        <v>191</v>
      </c>
      <c r="B5385" s="79" t="str">
        <f>IF('Twenty-Second'!B138="", "",'Twenty-Second'!B138)</f>
        <v/>
      </c>
      <c r="C5385" s="66" t="str">
        <f>IF('Twenty-Second'!C138="", "",'Twenty-Second'!C138)</f>
        <v/>
      </c>
      <c r="D5385" s="66" t="str">
        <f>IF('Twenty-Second'!D138="", "",'Twenty-Second'!D138)</f>
        <v/>
      </c>
      <c r="E5385" s="66" t="str">
        <f>IF('Twenty-Second'!E138="", "",'Twenty-Second'!E138)</f>
        <v/>
      </c>
      <c r="F5385" s="66" t="str">
        <f>IF('Twenty-Second'!F138="", "",'Twenty-Second'!F138)</f>
        <v/>
      </c>
      <c r="G5385" s="66" t="str">
        <f>IF('Twenty-Second'!G138="", "",'Twenty-Second'!G138)</f>
        <v/>
      </c>
      <c r="H5385" s="66" t="str">
        <f>IF('Twenty-Second'!H138="", "",'Twenty-Second'!H138)</f>
        <v/>
      </c>
      <c r="I5385" s="66" t="str">
        <f>IF('Twenty-Second'!I138="", "",'Twenty-Second'!I138)</f>
        <v/>
      </c>
      <c r="J5385" s="66" t="str">
        <f>IF('Twenty-Second'!J138="", "",'Twenty-Second'!J138)</f>
        <v/>
      </c>
      <c r="K5385" s="86" t="str">
        <f>IF('Twenty-Second'!K138="", "",'Twenty-Second'!K138)</f>
        <v/>
      </c>
      <c r="L5385" s="88"/>
      <c r="M5385" s="67" t="str">
        <f t="shared" si="255"/>
        <v/>
      </c>
      <c r="N5385" s="76" t="str">
        <f t="shared" si="256"/>
        <v/>
      </c>
      <c r="O5385" s="33">
        <f t="shared" si="254"/>
        <v>0</v>
      </c>
    </row>
    <row r="5386" spans="1:15" x14ac:dyDescent="0.25">
      <c r="A5386" s="93" t="s">
        <v>191</v>
      </c>
      <c r="B5386" s="79" t="str">
        <f>IF('Twenty-Second'!B139="", "",'Twenty-Second'!B139)</f>
        <v/>
      </c>
      <c r="C5386" s="66" t="str">
        <f>IF('Twenty-Second'!C139="", "",'Twenty-Second'!C139)</f>
        <v/>
      </c>
      <c r="D5386" s="66" t="str">
        <f>IF('Twenty-Second'!D139="", "",'Twenty-Second'!D139)</f>
        <v/>
      </c>
      <c r="E5386" s="66" t="str">
        <f>IF('Twenty-Second'!E139="", "",'Twenty-Second'!E139)</f>
        <v/>
      </c>
      <c r="F5386" s="66" t="str">
        <f>IF('Twenty-Second'!F139="", "",'Twenty-Second'!F139)</f>
        <v/>
      </c>
      <c r="G5386" s="66" t="str">
        <f>IF('Twenty-Second'!G139="", "",'Twenty-Second'!G139)</f>
        <v/>
      </c>
      <c r="H5386" s="66" t="str">
        <f>IF('Twenty-Second'!H139="", "",'Twenty-Second'!H139)</f>
        <v/>
      </c>
      <c r="I5386" s="66" t="str">
        <f>IF('Twenty-Second'!I139="", "",'Twenty-Second'!I139)</f>
        <v/>
      </c>
      <c r="J5386" s="66" t="str">
        <f>IF('Twenty-Second'!J139="", "",'Twenty-Second'!J139)</f>
        <v/>
      </c>
      <c r="K5386" s="86" t="str">
        <f>IF('Twenty-Second'!K139="", "",'Twenty-Second'!K139)</f>
        <v/>
      </c>
      <c r="L5386" s="88"/>
      <c r="M5386" s="67" t="str">
        <f t="shared" si="255"/>
        <v/>
      </c>
      <c r="N5386" s="76" t="str">
        <f t="shared" si="256"/>
        <v/>
      </c>
      <c r="O5386" s="33">
        <f t="shared" ref="O5386:O5449" si="257">SUM(M5386:N5386)</f>
        <v>0</v>
      </c>
    </row>
    <row r="5387" spans="1:15" x14ac:dyDescent="0.25">
      <c r="A5387" s="93" t="s">
        <v>191</v>
      </c>
      <c r="B5387" s="79" t="str">
        <f>IF('Twenty-Second'!B140="", "",'Twenty-Second'!B140)</f>
        <v/>
      </c>
      <c r="C5387" s="66" t="str">
        <f>IF('Twenty-Second'!C140="", "",'Twenty-Second'!C140)</f>
        <v/>
      </c>
      <c r="D5387" s="66" t="str">
        <f>IF('Twenty-Second'!D140="", "",'Twenty-Second'!D140)</f>
        <v/>
      </c>
      <c r="E5387" s="66" t="str">
        <f>IF('Twenty-Second'!E140="", "",'Twenty-Second'!E140)</f>
        <v/>
      </c>
      <c r="F5387" s="66" t="str">
        <f>IF('Twenty-Second'!F140="", "",'Twenty-Second'!F140)</f>
        <v/>
      </c>
      <c r="G5387" s="66" t="str">
        <f>IF('Twenty-Second'!G140="", "",'Twenty-Second'!G140)</f>
        <v/>
      </c>
      <c r="H5387" s="66" t="str">
        <f>IF('Twenty-Second'!H140="", "",'Twenty-Second'!H140)</f>
        <v/>
      </c>
      <c r="I5387" s="66" t="str">
        <f>IF('Twenty-Second'!I140="", "",'Twenty-Second'!I140)</f>
        <v/>
      </c>
      <c r="J5387" s="66" t="str">
        <f>IF('Twenty-Second'!J140="", "",'Twenty-Second'!J140)</f>
        <v/>
      </c>
      <c r="K5387" s="86" t="str">
        <f>IF('Twenty-Second'!K140="", "",'Twenty-Second'!K140)</f>
        <v/>
      </c>
      <c r="L5387" s="88"/>
      <c r="M5387" s="67" t="str">
        <f t="shared" ref="M5387:M5450" si="258">IF(C5387="PwC",(7-COUNTIF(B5387:H5387,"")),"")</f>
        <v/>
      </c>
      <c r="N5387" s="76" t="str">
        <f t="shared" ref="N5387:N5450" si="259">IF(C5387="Carer",(7-COUNTIF(B5387:H5387,"")),"")</f>
        <v/>
      </c>
      <c r="O5387" s="33">
        <f t="shared" si="257"/>
        <v>0</v>
      </c>
    </row>
    <row r="5388" spans="1:15" x14ac:dyDescent="0.25">
      <c r="A5388" s="93" t="s">
        <v>191</v>
      </c>
      <c r="B5388" s="79" t="str">
        <f>IF('Twenty-Second'!B141="", "",'Twenty-Second'!B141)</f>
        <v/>
      </c>
      <c r="C5388" s="66" t="str">
        <f>IF('Twenty-Second'!C141="", "",'Twenty-Second'!C141)</f>
        <v/>
      </c>
      <c r="D5388" s="66" t="str">
        <f>IF('Twenty-Second'!D141="", "",'Twenty-Second'!D141)</f>
        <v/>
      </c>
      <c r="E5388" s="66" t="str">
        <f>IF('Twenty-Second'!E141="", "",'Twenty-Second'!E141)</f>
        <v/>
      </c>
      <c r="F5388" s="66" t="str">
        <f>IF('Twenty-Second'!F141="", "",'Twenty-Second'!F141)</f>
        <v/>
      </c>
      <c r="G5388" s="66" t="str">
        <f>IF('Twenty-Second'!G141="", "",'Twenty-Second'!G141)</f>
        <v/>
      </c>
      <c r="H5388" s="66" t="str">
        <f>IF('Twenty-Second'!H141="", "",'Twenty-Second'!H141)</f>
        <v/>
      </c>
      <c r="I5388" s="66" t="str">
        <f>IF('Twenty-Second'!I141="", "",'Twenty-Second'!I141)</f>
        <v/>
      </c>
      <c r="J5388" s="66" t="str">
        <f>IF('Twenty-Second'!J141="", "",'Twenty-Second'!J141)</f>
        <v/>
      </c>
      <c r="K5388" s="86" t="str">
        <f>IF('Twenty-Second'!K141="", "",'Twenty-Second'!K141)</f>
        <v/>
      </c>
      <c r="L5388" s="88"/>
      <c r="M5388" s="67" t="str">
        <f t="shared" si="258"/>
        <v/>
      </c>
      <c r="N5388" s="76" t="str">
        <f t="shared" si="259"/>
        <v/>
      </c>
      <c r="O5388" s="33">
        <f t="shared" si="257"/>
        <v>0</v>
      </c>
    </row>
    <row r="5389" spans="1:15" x14ac:dyDescent="0.25">
      <c r="A5389" s="93" t="s">
        <v>191</v>
      </c>
      <c r="B5389" s="79" t="str">
        <f>IF('Twenty-Second'!B142="", "",'Twenty-Second'!B142)</f>
        <v/>
      </c>
      <c r="C5389" s="66" t="str">
        <f>IF('Twenty-Second'!C142="", "",'Twenty-Second'!C142)</f>
        <v/>
      </c>
      <c r="D5389" s="66" t="str">
        <f>IF('Twenty-Second'!D142="", "",'Twenty-Second'!D142)</f>
        <v/>
      </c>
      <c r="E5389" s="66" t="str">
        <f>IF('Twenty-Second'!E142="", "",'Twenty-Second'!E142)</f>
        <v/>
      </c>
      <c r="F5389" s="66" t="str">
        <f>IF('Twenty-Second'!F142="", "",'Twenty-Second'!F142)</f>
        <v/>
      </c>
      <c r="G5389" s="66" t="str">
        <f>IF('Twenty-Second'!G142="", "",'Twenty-Second'!G142)</f>
        <v/>
      </c>
      <c r="H5389" s="66" t="str">
        <f>IF('Twenty-Second'!H142="", "",'Twenty-Second'!H142)</f>
        <v/>
      </c>
      <c r="I5389" s="66" t="str">
        <f>IF('Twenty-Second'!I142="", "",'Twenty-Second'!I142)</f>
        <v/>
      </c>
      <c r="J5389" s="66" t="str">
        <f>IF('Twenty-Second'!J142="", "",'Twenty-Second'!J142)</f>
        <v/>
      </c>
      <c r="K5389" s="86" t="str">
        <f>IF('Twenty-Second'!K142="", "",'Twenty-Second'!K142)</f>
        <v/>
      </c>
      <c r="L5389" s="88"/>
      <c r="M5389" s="67" t="str">
        <f t="shared" si="258"/>
        <v/>
      </c>
      <c r="N5389" s="76" t="str">
        <f t="shared" si="259"/>
        <v/>
      </c>
      <c r="O5389" s="33">
        <f t="shared" si="257"/>
        <v>0</v>
      </c>
    </row>
    <row r="5390" spans="1:15" x14ac:dyDescent="0.25">
      <c r="A5390" s="93" t="s">
        <v>191</v>
      </c>
      <c r="B5390" s="79" t="str">
        <f>IF('Twenty-Second'!B143="", "",'Twenty-Second'!B143)</f>
        <v/>
      </c>
      <c r="C5390" s="66" t="str">
        <f>IF('Twenty-Second'!C143="", "",'Twenty-Second'!C143)</f>
        <v/>
      </c>
      <c r="D5390" s="66" t="str">
        <f>IF('Twenty-Second'!D143="", "",'Twenty-Second'!D143)</f>
        <v/>
      </c>
      <c r="E5390" s="66" t="str">
        <f>IF('Twenty-Second'!E143="", "",'Twenty-Second'!E143)</f>
        <v/>
      </c>
      <c r="F5390" s="66" t="str">
        <f>IF('Twenty-Second'!F143="", "",'Twenty-Second'!F143)</f>
        <v/>
      </c>
      <c r="G5390" s="66" t="str">
        <f>IF('Twenty-Second'!G143="", "",'Twenty-Second'!G143)</f>
        <v/>
      </c>
      <c r="H5390" s="66" t="str">
        <f>IF('Twenty-Second'!H143="", "",'Twenty-Second'!H143)</f>
        <v/>
      </c>
      <c r="I5390" s="66" t="str">
        <f>IF('Twenty-Second'!I143="", "",'Twenty-Second'!I143)</f>
        <v/>
      </c>
      <c r="J5390" s="66" t="str">
        <f>IF('Twenty-Second'!J143="", "",'Twenty-Second'!J143)</f>
        <v/>
      </c>
      <c r="K5390" s="86" t="str">
        <f>IF('Twenty-Second'!K143="", "",'Twenty-Second'!K143)</f>
        <v/>
      </c>
      <c r="L5390" s="88"/>
      <c r="M5390" s="67" t="str">
        <f t="shared" si="258"/>
        <v/>
      </c>
      <c r="N5390" s="76" t="str">
        <f t="shared" si="259"/>
        <v/>
      </c>
      <c r="O5390" s="33">
        <f t="shared" si="257"/>
        <v>0</v>
      </c>
    </row>
    <row r="5391" spans="1:15" x14ac:dyDescent="0.25">
      <c r="A5391" s="93" t="s">
        <v>191</v>
      </c>
      <c r="B5391" s="79" t="str">
        <f>IF('Twenty-Second'!B144="", "",'Twenty-Second'!B144)</f>
        <v/>
      </c>
      <c r="C5391" s="66" t="str">
        <f>IF('Twenty-Second'!C144="", "",'Twenty-Second'!C144)</f>
        <v/>
      </c>
      <c r="D5391" s="66" t="str">
        <f>IF('Twenty-Second'!D144="", "",'Twenty-Second'!D144)</f>
        <v/>
      </c>
      <c r="E5391" s="66" t="str">
        <f>IF('Twenty-Second'!E144="", "",'Twenty-Second'!E144)</f>
        <v/>
      </c>
      <c r="F5391" s="66" t="str">
        <f>IF('Twenty-Second'!F144="", "",'Twenty-Second'!F144)</f>
        <v/>
      </c>
      <c r="G5391" s="66" t="str">
        <f>IF('Twenty-Second'!G144="", "",'Twenty-Second'!G144)</f>
        <v/>
      </c>
      <c r="H5391" s="66" t="str">
        <f>IF('Twenty-Second'!H144="", "",'Twenty-Second'!H144)</f>
        <v/>
      </c>
      <c r="I5391" s="66" t="str">
        <f>IF('Twenty-Second'!I144="", "",'Twenty-Second'!I144)</f>
        <v/>
      </c>
      <c r="J5391" s="66" t="str">
        <f>IF('Twenty-Second'!J144="", "",'Twenty-Second'!J144)</f>
        <v/>
      </c>
      <c r="K5391" s="86" t="str">
        <f>IF('Twenty-Second'!K144="", "",'Twenty-Second'!K144)</f>
        <v/>
      </c>
      <c r="L5391" s="88"/>
      <c r="M5391" s="67" t="str">
        <f t="shared" si="258"/>
        <v/>
      </c>
      <c r="N5391" s="76" t="str">
        <f t="shared" si="259"/>
        <v/>
      </c>
      <c r="O5391" s="33">
        <f t="shared" si="257"/>
        <v>0</v>
      </c>
    </row>
    <row r="5392" spans="1:15" x14ac:dyDescent="0.25">
      <c r="A5392" s="93" t="s">
        <v>191</v>
      </c>
      <c r="B5392" s="79" t="str">
        <f>IF('Twenty-Second'!B145="", "",'Twenty-Second'!B145)</f>
        <v/>
      </c>
      <c r="C5392" s="66" t="str">
        <f>IF('Twenty-Second'!C145="", "",'Twenty-Second'!C145)</f>
        <v/>
      </c>
      <c r="D5392" s="66" t="str">
        <f>IF('Twenty-Second'!D145="", "",'Twenty-Second'!D145)</f>
        <v/>
      </c>
      <c r="E5392" s="66" t="str">
        <f>IF('Twenty-Second'!E145="", "",'Twenty-Second'!E145)</f>
        <v/>
      </c>
      <c r="F5392" s="66" t="str">
        <f>IF('Twenty-Second'!F145="", "",'Twenty-Second'!F145)</f>
        <v/>
      </c>
      <c r="G5392" s="66" t="str">
        <f>IF('Twenty-Second'!G145="", "",'Twenty-Second'!G145)</f>
        <v/>
      </c>
      <c r="H5392" s="66" t="str">
        <f>IF('Twenty-Second'!H145="", "",'Twenty-Second'!H145)</f>
        <v/>
      </c>
      <c r="I5392" s="66" t="str">
        <f>IF('Twenty-Second'!I145="", "",'Twenty-Second'!I145)</f>
        <v/>
      </c>
      <c r="J5392" s="66" t="str">
        <f>IF('Twenty-Second'!J145="", "",'Twenty-Second'!J145)</f>
        <v/>
      </c>
      <c r="K5392" s="86" t="str">
        <f>IF('Twenty-Second'!K145="", "",'Twenty-Second'!K145)</f>
        <v/>
      </c>
      <c r="L5392" s="88"/>
      <c r="M5392" s="67" t="str">
        <f t="shared" si="258"/>
        <v/>
      </c>
      <c r="N5392" s="76" t="str">
        <f t="shared" si="259"/>
        <v/>
      </c>
      <c r="O5392" s="33">
        <f t="shared" si="257"/>
        <v>0</v>
      </c>
    </row>
    <row r="5393" spans="1:15" x14ac:dyDescent="0.25">
      <c r="A5393" s="93" t="s">
        <v>191</v>
      </c>
      <c r="B5393" s="79" t="str">
        <f>IF('Twenty-Second'!B146="", "",'Twenty-Second'!B146)</f>
        <v/>
      </c>
      <c r="C5393" s="66" t="str">
        <f>IF('Twenty-Second'!C146="", "",'Twenty-Second'!C146)</f>
        <v/>
      </c>
      <c r="D5393" s="66" t="str">
        <f>IF('Twenty-Second'!D146="", "",'Twenty-Second'!D146)</f>
        <v/>
      </c>
      <c r="E5393" s="66" t="str">
        <f>IF('Twenty-Second'!E146="", "",'Twenty-Second'!E146)</f>
        <v/>
      </c>
      <c r="F5393" s="66" t="str">
        <f>IF('Twenty-Second'!F146="", "",'Twenty-Second'!F146)</f>
        <v/>
      </c>
      <c r="G5393" s="66" t="str">
        <f>IF('Twenty-Second'!G146="", "",'Twenty-Second'!G146)</f>
        <v/>
      </c>
      <c r="H5393" s="66" t="str">
        <f>IF('Twenty-Second'!H146="", "",'Twenty-Second'!H146)</f>
        <v/>
      </c>
      <c r="I5393" s="66" t="str">
        <f>IF('Twenty-Second'!I146="", "",'Twenty-Second'!I146)</f>
        <v/>
      </c>
      <c r="J5393" s="66" t="str">
        <f>IF('Twenty-Second'!J146="", "",'Twenty-Second'!J146)</f>
        <v/>
      </c>
      <c r="K5393" s="86" t="str">
        <f>IF('Twenty-Second'!K146="", "",'Twenty-Second'!K146)</f>
        <v/>
      </c>
      <c r="L5393" s="88"/>
      <c r="M5393" s="67" t="str">
        <f t="shared" si="258"/>
        <v/>
      </c>
      <c r="N5393" s="76" t="str">
        <f t="shared" si="259"/>
        <v/>
      </c>
      <c r="O5393" s="33">
        <f t="shared" si="257"/>
        <v>0</v>
      </c>
    </row>
    <row r="5394" spans="1:15" x14ac:dyDescent="0.25">
      <c r="A5394" s="93" t="s">
        <v>191</v>
      </c>
      <c r="B5394" s="79" t="str">
        <f>IF('Twenty-Second'!B147="", "",'Twenty-Second'!B147)</f>
        <v/>
      </c>
      <c r="C5394" s="66" t="str">
        <f>IF('Twenty-Second'!C147="", "",'Twenty-Second'!C147)</f>
        <v/>
      </c>
      <c r="D5394" s="66" t="str">
        <f>IF('Twenty-Second'!D147="", "",'Twenty-Second'!D147)</f>
        <v/>
      </c>
      <c r="E5394" s="66" t="str">
        <f>IF('Twenty-Second'!E147="", "",'Twenty-Second'!E147)</f>
        <v/>
      </c>
      <c r="F5394" s="66" t="str">
        <f>IF('Twenty-Second'!F147="", "",'Twenty-Second'!F147)</f>
        <v/>
      </c>
      <c r="G5394" s="66" t="str">
        <f>IF('Twenty-Second'!G147="", "",'Twenty-Second'!G147)</f>
        <v/>
      </c>
      <c r="H5394" s="66" t="str">
        <f>IF('Twenty-Second'!H147="", "",'Twenty-Second'!H147)</f>
        <v/>
      </c>
      <c r="I5394" s="66" t="str">
        <f>IF('Twenty-Second'!I147="", "",'Twenty-Second'!I147)</f>
        <v/>
      </c>
      <c r="J5394" s="66" t="str">
        <f>IF('Twenty-Second'!J147="", "",'Twenty-Second'!J147)</f>
        <v/>
      </c>
      <c r="K5394" s="86" t="str">
        <f>IF('Twenty-Second'!K147="", "",'Twenty-Second'!K147)</f>
        <v/>
      </c>
      <c r="L5394" s="88"/>
      <c r="M5394" s="67" t="str">
        <f t="shared" si="258"/>
        <v/>
      </c>
      <c r="N5394" s="76" t="str">
        <f t="shared" si="259"/>
        <v/>
      </c>
      <c r="O5394" s="33">
        <f t="shared" si="257"/>
        <v>0</v>
      </c>
    </row>
    <row r="5395" spans="1:15" x14ac:dyDescent="0.25">
      <c r="A5395" s="93" t="s">
        <v>191</v>
      </c>
      <c r="B5395" s="79" t="str">
        <f>IF('Twenty-Second'!B148="", "",'Twenty-Second'!B148)</f>
        <v/>
      </c>
      <c r="C5395" s="66" t="str">
        <f>IF('Twenty-Second'!C148="", "",'Twenty-Second'!C148)</f>
        <v/>
      </c>
      <c r="D5395" s="66" t="str">
        <f>IF('Twenty-Second'!D148="", "",'Twenty-Second'!D148)</f>
        <v/>
      </c>
      <c r="E5395" s="66" t="str">
        <f>IF('Twenty-Second'!E148="", "",'Twenty-Second'!E148)</f>
        <v/>
      </c>
      <c r="F5395" s="66" t="str">
        <f>IF('Twenty-Second'!F148="", "",'Twenty-Second'!F148)</f>
        <v/>
      </c>
      <c r="G5395" s="66" t="str">
        <f>IF('Twenty-Second'!G148="", "",'Twenty-Second'!G148)</f>
        <v/>
      </c>
      <c r="H5395" s="66" t="str">
        <f>IF('Twenty-Second'!H148="", "",'Twenty-Second'!H148)</f>
        <v/>
      </c>
      <c r="I5395" s="66" t="str">
        <f>IF('Twenty-Second'!I148="", "",'Twenty-Second'!I148)</f>
        <v/>
      </c>
      <c r="J5395" s="66" t="str">
        <f>IF('Twenty-Second'!J148="", "",'Twenty-Second'!J148)</f>
        <v/>
      </c>
      <c r="K5395" s="86" t="str">
        <f>IF('Twenty-Second'!K148="", "",'Twenty-Second'!K148)</f>
        <v/>
      </c>
      <c r="L5395" s="88"/>
      <c r="M5395" s="67" t="str">
        <f t="shared" si="258"/>
        <v/>
      </c>
      <c r="N5395" s="76" t="str">
        <f t="shared" si="259"/>
        <v/>
      </c>
      <c r="O5395" s="33">
        <f t="shared" si="257"/>
        <v>0</v>
      </c>
    </row>
    <row r="5396" spans="1:15" x14ac:dyDescent="0.25">
      <c r="A5396" s="93" t="s">
        <v>191</v>
      </c>
      <c r="B5396" s="79" t="str">
        <f>IF('Twenty-Second'!B149="", "",'Twenty-Second'!B149)</f>
        <v/>
      </c>
      <c r="C5396" s="66" t="str">
        <f>IF('Twenty-Second'!C149="", "",'Twenty-Second'!C149)</f>
        <v/>
      </c>
      <c r="D5396" s="66" t="str">
        <f>IF('Twenty-Second'!D149="", "",'Twenty-Second'!D149)</f>
        <v/>
      </c>
      <c r="E5396" s="66" t="str">
        <f>IF('Twenty-Second'!E149="", "",'Twenty-Second'!E149)</f>
        <v/>
      </c>
      <c r="F5396" s="66" t="str">
        <f>IF('Twenty-Second'!F149="", "",'Twenty-Second'!F149)</f>
        <v/>
      </c>
      <c r="G5396" s="66" t="str">
        <f>IF('Twenty-Second'!G149="", "",'Twenty-Second'!G149)</f>
        <v/>
      </c>
      <c r="H5396" s="66" t="str">
        <f>IF('Twenty-Second'!H149="", "",'Twenty-Second'!H149)</f>
        <v/>
      </c>
      <c r="I5396" s="66" t="str">
        <f>IF('Twenty-Second'!I149="", "",'Twenty-Second'!I149)</f>
        <v/>
      </c>
      <c r="J5396" s="66" t="str">
        <f>IF('Twenty-Second'!J149="", "",'Twenty-Second'!J149)</f>
        <v/>
      </c>
      <c r="K5396" s="86" t="str">
        <f>IF('Twenty-Second'!K149="", "",'Twenty-Second'!K149)</f>
        <v/>
      </c>
      <c r="L5396" s="88"/>
      <c r="M5396" s="67" t="str">
        <f t="shared" si="258"/>
        <v/>
      </c>
      <c r="N5396" s="76" t="str">
        <f t="shared" si="259"/>
        <v/>
      </c>
      <c r="O5396" s="33">
        <f t="shared" si="257"/>
        <v>0</v>
      </c>
    </row>
    <row r="5397" spans="1:15" x14ac:dyDescent="0.25">
      <c r="A5397" s="93" t="s">
        <v>191</v>
      </c>
      <c r="B5397" s="79" t="str">
        <f>IF('Twenty-Second'!B150="", "",'Twenty-Second'!B150)</f>
        <v/>
      </c>
      <c r="C5397" s="66" t="str">
        <f>IF('Twenty-Second'!C150="", "",'Twenty-Second'!C150)</f>
        <v/>
      </c>
      <c r="D5397" s="66" t="str">
        <f>IF('Twenty-Second'!D150="", "",'Twenty-Second'!D150)</f>
        <v/>
      </c>
      <c r="E5397" s="66" t="str">
        <f>IF('Twenty-Second'!E150="", "",'Twenty-Second'!E150)</f>
        <v/>
      </c>
      <c r="F5397" s="66" t="str">
        <f>IF('Twenty-Second'!F150="", "",'Twenty-Second'!F150)</f>
        <v/>
      </c>
      <c r="G5397" s="66" t="str">
        <f>IF('Twenty-Second'!G150="", "",'Twenty-Second'!G150)</f>
        <v/>
      </c>
      <c r="H5397" s="66" t="str">
        <f>IF('Twenty-Second'!H150="", "",'Twenty-Second'!H150)</f>
        <v/>
      </c>
      <c r="I5397" s="66" t="str">
        <f>IF('Twenty-Second'!I150="", "",'Twenty-Second'!I150)</f>
        <v/>
      </c>
      <c r="J5397" s="66" t="str">
        <f>IF('Twenty-Second'!J150="", "",'Twenty-Second'!J150)</f>
        <v/>
      </c>
      <c r="K5397" s="86" t="str">
        <f>IF('Twenty-Second'!K150="", "",'Twenty-Second'!K150)</f>
        <v/>
      </c>
      <c r="L5397" s="88"/>
      <c r="M5397" s="67" t="str">
        <f t="shared" si="258"/>
        <v/>
      </c>
      <c r="N5397" s="76" t="str">
        <f t="shared" si="259"/>
        <v/>
      </c>
      <c r="O5397" s="33">
        <f t="shared" si="257"/>
        <v>0</v>
      </c>
    </row>
    <row r="5398" spans="1:15" x14ac:dyDescent="0.25">
      <c r="A5398" s="93" t="s">
        <v>191</v>
      </c>
      <c r="B5398" s="79" t="str">
        <f>IF('Twenty-Second'!B151="", "",'Twenty-Second'!B151)</f>
        <v/>
      </c>
      <c r="C5398" s="66" t="str">
        <f>IF('Twenty-Second'!C151="", "",'Twenty-Second'!C151)</f>
        <v/>
      </c>
      <c r="D5398" s="66" t="str">
        <f>IF('Twenty-Second'!D151="", "",'Twenty-Second'!D151)</f>
        <v/>
      </c>
      <c r="E5398" s="66" t="str">
        <f>IF('Twenty-Second'!E151="", "",'Twenty-Second'!E151)</f>
        <v/>
      </c>
      <c r="F5398" s="66" t="str">
        <f>IF('Twenty-Second'!F151="", "",'Twenty-Second'!F151)</f>
        <v/>
      </c>
      <c r="G5398" s="66" t="str">
        <f>IF('Twenty-Second'!G151="", "",'Twenty-Second'!G151)</f>
        <v/>
      </c>
      <c r="H5398" s="66" t="str">
        <f>IF('Twenty-Second'!H151="", "",'Twenty-Second'!H151)</f>
        <v/>
      </c>
      <c r="I5398" s="66" t="str">
        <f>IF('Twenty-Second'!I151="", "",'Twenty-Second'!I151)</f>
        <v/>
      </c>
      <c r="J5398" s="66" t="str">
        <f>IF('Twenty-Second'!J151="", "",'Twenty-Second'!J151)</f>
        <v/>
      </c>
      <c r="K5398" s="86" t="str">
        <f>IF('Twenty-Second'!K151="", "",'Twenty-Second'!K151)</f>
        <v/>
      </c>
      <c r="L5398" s="88"/>
      <c r="M5398" s="67" t="str">
        <f t="shared" si="258"/>
        <v/>
      </c>
      <c r="N5398" s="76" t="str">
        <f t="shared" si="259"/>
        <v/>
      </c>
      <c r="O5398" s="33">
        <f t="shared" si="257"/>
        <v>0</v>
      </c>
    </row>
    <row r="5399" spans="1:15" x14ac:dyDescent="0.25">
      <c r="A5399" s="93" t="s">
        <v>191</v>
      </c>
      <c r="B5399" s="79" t="str">
        <f>IF('Twenty-Second'!B152="", "",'Twenty-Second'!B152)</f>
        <v/>
      </c>
      <c r="C5399" s="66" t="str">
        <f>IF('Twenty-Second'!C152="", "",'Twenty-Second'!C152)</f>
        <v/>
      </c>
      <c r="D5399" s="66" t="str">
        <f>IF('Twenty-Second'!D152="", "",'Twenty-Second'!D152)</f>
        <v/>
      </c>
      <c r="E5399" s="66" t="str">
        <f>IF('Twenty-Second'!E152="", "",'Twenty-Second'!E152)</f>
        <v/>
      </c>
      <c r="F5399" s="66" t="str">
        <f>IF('Twenty-Second'!F152="", "",'Twenty-Second'!F152)</f>
        <v/>
      </c>
      <c r="G5399" s="66" t="str">
        <f>IF('Twenty-Second'!G152="", "",'Twenty-Second'!G152)</f>
        <v/>
      </c>
      <c r="H5399" s="66" t="str">
        <f>IF('Twenty-Second'!H152="", "",'Twenty-Second'!H152)</f>
        <v/>
      </c>
      <c r="I5399" s="66" t="str">
        <f>IF('Twenty-Second'!I152="", "",'Twenty-Second'!I152)</f>
        <v/>
      </c>
      <c r="J5399" s="66" t="str">
        <f>IF('Twenty-Second'!J152="", "",'Twenty-Second'!J152)</f>
        <v/>
      </c>
      <c r="K5399" s="86" t="str">
        <f>IF('Twenty-Second'!K152="", "",'Twenty-Second'!K152)</f>
        <v/>
      </c>
      <c r="L5399" s="88"/>
      <c r="M5399" s="67" t="str">
        <f t="shared" si="258"/>
        <v/>
      </c>
      <c r="N5399" s="76" t="str">
        <f t="shared" si="259"/>
        <v/>
      </c>
      <c r="O5399" s="33">
        <f t="shared" si="257"/>
        <v>0</v>
      </c>
    </row>
    <row r="5400" spans="1:15" x14ac:dyDescent="0.25">
      <c r="A5400" s="93" t="s">
        <v>191</v>
      </c>
      <c r="B5400" s="79" t="str">
        <f>IF('Twenty-Second'!B153="", "",'Twenty-Second'!B153)</f>
        <v/>
      </c>
      <c r="C5400" s="66" t="str">
        <f>IF('Twenty-Second'!C153="", "",'Twenty-Second'!C153)</f>
        <v/>
      </c>
      <c r="D5400" s="66" t="str">
        <f>IF('Twenty-Second'!D153="", "",'Twenty-Second'!D153)</f>
        <v/>
      </c>
      <c r="E5400" s="66" t="str">
        <f>IF('Twenty-Second'!E153="", "",'Twenty-Second'!E153)</f>
        <v/>
      </c>
      <c r="F5400" s="66" t="str">
        <f>IF('Twenty-Second'!F153="", "",'Twenty-Second'!F153)</f>
        <v/>
      </c>
      <c r="G5400" s="66" t="str">
        <f>IF('Twenty-Second'!G153="", "",'Twenty-Second'!G153)</f>
        <v/>
      </c>
      <c r="H5400" s="66" t="str">
        <f>IF('Twenty-Second'!H153="", "",'Twenty-Second'!H153)</f>
        <v/>
      </c>
      <c r="I5400" s="66" t="str">
        <f>IF('Twenty-Second'!I153="", "",'Twenty-Second'!I153)</f>
        <v/>
      </c>
      <c r="J5400" s="66" t="str">
        <f>IF('Twenty-Second'!J153="", "",'Twenty-Second'!J153)</f>
        <v/>
      </c>
      <c r="K5400" s="86" t="str">
        <f>IF('Twenty-Second'!K153="", "",'Twenty-Second'!K153)</f>
        <v/>
      </c>
      <c r="L5400" s="88"/>
      <c r="M5400" s="67" t="str">
        <f t="shared" si="258"/>
        <v/>
      </c>
      <c r="N5400" s="76" t="str">
        <f t="shared" si="259"/>
        <v/>
      </c>
      <c r="O5400" s="33">
        <f t="shared" si="257"/>
        <v>0</v>
      </c>
    </row>
    <row r="5401" spans="1:15" x14ac:dyDescent="0.25">
      <c r="A5401" s="93" t="s">
        <v>191</v>
      </c>
      <c r="B5401" s="79" t="str">
        <f>IF('Twenty-Second'!B154="", "",'Twenty-Second'!B154)</f>
        <v/>
      </c>
      <c r="C5401" s="66" t="str">
        <f>IF('Twenty-Second'!C154="", "",'Twenty-Second'!C154)</f>
        <v/>
      </c>
      <c r="D5401" s="66" t="str">
        <f>IF('Twenty-Second'!D154="", "",'Twenty-Second'!D154)</f>
        <v/>
      </c>
      <c r="E5401" s="66" t="str">
        <f>IF('Twenty-Second'!E154="", "",'Twenty-Second'!E154)</f>
        <v/>
      </c>
      <c r="F5401" s="66" t="str">
        <f>IF('Twenty-Second'!F154="", "",'Twenty-Second'!F154)</f>
        <v/>
      </c>
      <c r="G5401" s="66" t="str">
        <f>IF('Twenty-Second'!G154="", "",'Twenty-Second'!G154)</f>
        <v/>
      </c>
      <c r="H5401" s="66" t="str">
        <f>IF('Twenty-Second'!H154="", "",'Twenty-Second'!H154)</f>
        <v/>
      </c>
      <c r="I5401" s="66" t="str">
        <f>IF('Twenty-Second'!I154="", "",'Twenty-Second'!I154)</f>
        <v/>
      </c>
      <c r="J5401" s="66" t="str">
        <f>IF('Twenty-Second'!J154="", "",'Twenty-Second'!J154)</f>
        <v/>
      </c>
      <c r="K5401" s="86" t="str">
        <f>IF('Twenty-Second'!K154="", "",'Twenty-Second'!K154)</f>
        <v/>
      </c>
      <c r="L5401" s="88"/>
      <c r="M5401" s="67" t="str">
        <f t="shared" si="258"/>
        <v/>
      </c>
      <c r="N5401" s="76" t="str">
        <f t="shared" si="259"/>
        <v/>
      </c>
      <c r="O5401" s="33">
        <f t="shared" si="257"/>
        <v>0</v>
      </c>
    </row>
    <row r="5402" spans="1:15" x14ac:dyDescent="0.25">
      <c r="A5402" s="93" t="s">
        <v>191</v>
      </c>
      <c r="B5402" s="79" t="str">
        <f>IF('Twenty-Second'!B155="", "",'Twenty-Second'!B155)</f>
        <v/>
      </c>
      <c r="C5402" s="66" t="str">
        <f>IF('Twenty-Second'!C155="", "",'Twenty-Second'!C155)</f>
        <v/>
      </c>
      <c r="D5402" s="66" t="str">
        <f>IF('Twenty-Second'!D155="", "",'Twenty-Second'!D155)</f>
        <v/>
      </c>
      <c r="E5402" s="66" t="str">
        <f>IF('Twenty-Second'!E155="", "",'Twenty-Second'!E155)</f>
        <v/>
      </c>
      <c r="F5402" s="66" t="str">
        <f>IF('Twenty-Second'!F155="", "",'Twenty-Second'!F155)</f>
        <v/>
      </c>
      <c r="G5402" s="66" t="str">
        <f>IF('Twenty-Second'!G155="", "",'Twenty-Second'!G155)</f>
        <v/>
      </c>
      <c r="H5402" s="66" t="str">
        <f>IF('Twenty-Second'!H155="", "",'Twenty-Second'!H155)</f>
        <v/>
      </c>
      <c r="I5402" s="66" t="str">
        <f>IF('Twenty-Second'!I155="", "",'Twenty-Second'!I155)</f>
        <v/>
      </c>
      <c r="J5402" s="66" t="str">
        <f>IF('Twenty-Second'!J155="", "",'Twenty-Second'!J155)</f>
        <v/>
      </c>
      <c r="K5402" s="86" t="str">
        <f>IF('Twenty-Second'!K155="", "",'Twenty-Second'!K155)</f>
        <v/>
      </c>
      <c r="M5402" s="67" t="str">
        <f t="shared" si="258"/>
        <v/>
      </c>
      <c r="N5402" s="76" t="str">
        <f t="shared" si="259"/>
        <v/>
      </c>
      <c r="O5402" s="33">
        <f t="shared" si="257"/>
        <v>0</v>
      </c>
    </row>
    <row r="5403" spans="1:15" x14ac:dyDescent="0.25">
      <c r="A5403" s="93" t="s">
        <v>191</v>
      </c>
      <c r="B5403" s="79" t="str">
        <f>IF('Twenty-Second'!B156="", "",'Twenty-Second'!B156)</f>
        <v/>
      </c>
      <c r="C5403" s="66" t="str">
        <f>IF('Twenty-Second'!C156="", "",'Twenty-Second'!C156)</f>
        <v/>
      </c>
      <c r="D5403" s="66" t="str">
        <f>IF('Twenty-Second'!D156="", "",'Twenty-Second'!D156)</f>
        <v/>
      </c>
      <c r="E5403" s="66" t="str">
        <f>IF('Twenty-Second'!E156="", "",'Twenty-Second'!E156)</f>
        <v/>
      </c>
      <c r="F5403" s="66" t="str">
        <f>IF('Twenty-Second'!F156="", "",'Twenty-Second'!F156)</f>
        <v/>
      </c>
      <c r="G5403" s="66" t="str">
        <f>IF('Twenty-Second'!G156="", "",'Twenty-Second'!G156)</f>
        <v/>
      </c>
      <c r="H5403" s="66" t="str">
        <f>IF('Twenty-Second'!H156="", "",'Twenty-Second'!H156)</f>
        <v/>
      </c>
      <c r="I5403" s="66" t="str">
        <f>IF('Twenty-Second'!I156="", "",'Twenty-Second'!I156)</f>
        <v/>
      </c>
      <c r="J5403" s="66" t="str">
        <f>IF('Twenty-Second'!J156="", "",'Twenty-Second'!J156)</f>
        <v/>
      </c>
      <c r="K5403" s="86" t="str">
        <f>IF('Twenty-Second'!K156="", "",'Twenty-Second'!K156)</f>
        <v/>
      </c>
      <c r="M5403" s="67" t="str">
        <f t="shared" si="258"/>
        <v/>
      </c>
      <c r="N5403" s="76" t="str">
        <f t="shared" si="259"/>
        <v/>
      </c>
      <c r="O5403" s="33">
        <f t="shared" si="257"/>
        <v>0</v>
      </c>
    </row>
    <row r="5404" spans="1:15" x14ac:dyDescent="0.25">
      <c r="A5404" s="93" t="s">
        <v>191</v>
      </c>
      <c r="B5404" s="79" t="str">
        <f>IF('Twenty-Second'!B157="", "",'Twenty-Second'!B157)</f>
        <v/>
      </c>
      <c r="C5404" s="66" t="str">
        <f>IF('Twenty-Second'!C157="", "",'Twenty-Second'!C157)</f>
        <v/>
      </c>
      <c r="D5404" s="66" t="str">
        <f>IF('Twenty-Second'!D157="", "",'Twenty-Second'!D157)</f>
        <v/>
      </c>
      <c r="E5404" s="66" t="str">
        <f>IF('Twenty-Second'!E157="", "",'Twenty-Second'!E157)</f>
        <v/>
      </c>
      <c r="F5404" s="66" t="str">
        <f>IF('Twenty-Second'!F157="", "",'Twenty-Second'!F157)</f>
        <v/>
      </c>
      <c r="G5404" s="66" t="str">
        <f>IF('Twenty-Second'!G157="", "",'Twenty-Second'!G157)</f>
        <v/>
      </c>
      <c r="H5404" s="66" t="str">
        <f>IF('Twenty-Second'!H157="", "",'Twenty-Second'!H157)</f>
        <v/>
      </c>
      <c r="I5404" s="66" t="str">
        <f>IF('Twenty-Second'!I157="", "",'Twenty-Second'!I157)</f>
        <v/>
      </c>
      <c r="J5404" s="66" t="str">
        <f>IF('Twenty-Second'!J157="", "",'Twenty-Second'!J157)</f>
        <v/>
      </c>
      <c r="K5404" s="86" t="str">
        <f>IF('Twenty-Second'!K157="", "",'Twenty-Second'!K157)</f>
        <v/>
      </c>
      <c r="M5404" s="67" t="str">
        <f t="shared" si="258"/>
        <v/>
      </c>
      <c r="N5404" s="76" t="str">
        <f t="shared" si="259"/>
        <v/>
      </c>
      <c r="O5404" s="33">
        <f t="shared" si="257"/>
        <v>0</v>
      </c>
    </row>
    <row r="5405" spans="1:15" x14ac:dyDescent="0.25">
      <c r="A5405" s="93" t="s">
        <v>191</v>
      </c>
      <c r="B5405" s="79" t="str">
        <f>IF('Twenty-Second'!B158="", "",'Twenty-Second'!B158)</f>
        <v/>
      </c>
      <c r="C5405" s="66" t="str">
        <f>IF('Twenty-Second'!C158="", "",'Twenty-Second'!C158)</f>
        <v/>
      </c>
      <c r="D5405" s="66" t="str">
        <f>IF('Twenty-Second'!D158="", "",'Twenty-Second'!D158)</f>
        <v/>
      </c>
      <c r="E5405" s="66" t="str">
        <f>IF('Twenty-Second'!E158="", "",'Twenty-Second'!E158)</f>
        <v/>
      </c>
      <c r="F5405" s="66" t="str">
        <f>IF('Twenty-Second'!F158="", "",'Twenty-Second'!F158)</f>
        <v/>
      </c>
      <c r="G5405" s="66" t="str">
        <f>IF('Twenty-Second'!G158="", "",'Twenty-Second'!G158)</f>
        <v/>
      </c>
      <c r="H5405" s="66" t="str">
        <f>IF('Twenty-Second'!H158="", "",'Twenty-Second'!H158)</f>
        <v/>
      </c>
      <c r="I5405" s="66" t="str">
        <f>IF('Twenty-Second'!I158="", "",'Twenty-Second'!I158)</f>
        <v/>
      </c>
      <c r="J5405" s="66" t="str">
        <f>IF('Twenty-Second'!J158="", "",'Twenty-Second'!J158)</f>
        <v/>
      </c>
      <c r="K5405" s="86" t="str">
        <f>IF('Twenty-Second'!K158="", "",'Twenty-Second'!K158)</f>
        <v/>
      </c>
      <c r="M5405" s="67" t="str">
        <f t="shared" si="258"/>
        <v/>
      </c>
      <c r="N5405" s="76" t="str">
        <f t="shared" si="259"/>
        <v/>
      </c>
      <c r="O5405" s="33">
        <f t="shared" si="257"/>
        <v>0</v>
      </c>
    </row>
    <row r="5406" spans="1:15" x14ac:dyDescent="0.25">
      <c r="A5406" s="93" t="s">
        <v>191</v>
      </c>
      <c r="B5406" s="79" t="str">
        <f>IF('Twenty-Second'!B159="", "",'Twenty-Second'!B159)</f>
        <v/>
      </c>
      <c r="C5406" s="66" t="str">
        <f>IF('Twenty-Second'!C159="", "",'Twenty-Second'!C159)</f>
        <v/>
      </c>
      <c r="D5406" s="66" t="str">
        <f>IF('Twenty-Second'!D159="", "",'Twenty-Second'!D159)</f>
        <v/>
      </c>
      <c r="E5406" s="66" t="str">
        <f>IF('Twenty-Second'!E159="", "",'Twenty-Second'!E159)</f>
        <v/>
      </c>
      <c r="F5406" s="66" t="str">
        <f>IF('Twenty-Second'!F159="", "",'Twenty-Second'!F159)</f>
        <v/>
      </c>
      <c r="G5406" s="66" t="str">
        <f>IF('Twenty-Second'!G159="", "",'Twenty-Second'!G159)</f>
        <v/>
      </c>
      <c r="H5406" s="66" t="str">
        <f>IF('Twenty-Second'!H159="", "",'Twenty-Second'!H159)</f>
        <v/>
      </c>
      <c r="I5406" s="66" t="str">
        <f>IF('Twenty-Second'!I159="", "",'Twenty-Second'!I159)</f>
        <v/>
      </c>
      <c r="J5406" s="66" t="str">
        <f>IF('Twenty-Second'!J159="", "",'Twenty-Second'!J159)</f>
        <v/>
      </c>
      <c r="K5406" s="86" t="str">
        <f>IF('Twenty-Second'!K159="", "",'Twenty-Second'!K159)</f>
        <v/>
      </c>
      <c r="M5406" s="67" t="str">
        <f t="shared" si="258"/>
        <v/>
      </c>
      <c r="N5406" s="76" t="str">
        <f t="shared" si="259"/>
        <v/>
      </c>
      <c r="O5406" s="33">
        <f t="shared" si="257"/>
        <v>0</v>
      </c>
    </row>
    <row r="5407" spans="1:15" x14ac:dyDescent="0.25">
      <c r="A5407" s="93" t="s">
        <v>191</v>
      </c>
      <c r="B5407" s="79" t="str">
        <f>IF('Twenty-Second'!B160="", "",'Twenty-Second'!B160)</f>
        <v/>
      </c>
      <c r="C5407" s="66" t="str">
        <f>IF('Twenty-Second'!C160="", "",'Twenty-Second'!C160)</f>
        <v/>
      </c>
      <c r="D5407" s="66" t="str">
        <f>IF('Twenty-Second'!D160="", "",'Twenty-Second'!D160)</f>
        <v/>
      </c>
      <c r="E5407" s="66" t="str">
        <f>IF('Twenty-Second'!E160="", "",'Twenty-Second'!E160)</f>
        <v/>
      </c>
      <c r="F5407" s="66" t="str">
        <f>IF('Twenty-Second'!F160="", "",'Twenty-Second'!F160)</f>
        <v/>
      </c>
      <c r="G5407" s="66" t="str">
        <f>IF('Twenty-Second'!G160="", "",'Twenty-Second'!G160)</f>
        <v/>
      </c>
      <c r="H5407" s="66" t="str">
        <f>IF('Twenty-Second'!H160="", "",'Twenty-Second'!H160)</f>
        <v/>
      </c>
      <c r="I5407" s="66" t="str">
        <f>IF('Twenty-Second'!I160="", "",'Twenty-Second'!I160)</f>
        <v/>
      </c>
      <c r="J5407" s="66" t="str">
        <f>IF('Twenty-Second'!J160="", "",'Twenty-Second'!J160)</f>
        <v/>
      </c>
      <c r="K5407" s="86" t="str">
        <f>IF('Twenty-Second'!K160="", "",'Twenty-Second'!K160)</f>
        <v/>
      </c>
      <c r="M5407" s="67" t="str">
        <f t="shared" si="258"/>
        <v/>
      </c>
      <c r="N5407" s="76" t="str">
        <f t="shared" si="259"/>
        <v/>
      </c>
      <c r="O5407" s="33">
        <f t="shared" si="257"/>
        <v>0</v>
      </c>
    </row>
    <row r="5408" spans="1:15" x14ac:dyDescent="0.25">
      <c r="A5408" s="93" t="s">
        <v>191</v>
      </c>
      <c r="B5408" s="79" t="str">
        <f>IF('Twenty-Second'!B161="", "",'Twenty-Second'!B161)</f>
        <v/>
      </c>
      <c r="C5408" s="66" t="str">
        <f>IF('Twenty-Second'!C161="", "",'Twenty-Second'!C161)</f>
        <v/>
      </c>
      <c r="D5408" s="66" t="str">
        <f>IF('Twenty-Second'!D161="", "",'Twenty-Second'!D161)</f>
        <v/>
      </c>
      <c r="E5408" s="66" t="str">
        <f>IF('Twenty-Second'!E161="", "",'Twenty-Second'!E161)</f>
        <v/>
      </c>
      <c r="F5408" s="66" t="str">
        <f>IF('Twenty-Second'!F161="", "",'Twenty-Second'!F161)</f>
        <v/>
      </c>
      <c r="G5408" s="66" t="str">
        <f>IF('Twenty-Second'!G161="", "",'Twenty-Second'!G161)</f>
        <v/>
      </c>
      <c r="H5408" s="66" t="str">
        <f>IF('Twenty-Second'!H161="", "",'Twenty-Second'!H161)</f>
        <v/>
      </c>
      <c r="I5408" s="66" t="str">
        <f>IF('Twenty-Second'!I161="", "",'Twenty-Second'!I161)</f>
        <v/>
      </c>
      <c r="J5408" s="66" t="str">
        <f>IF('Twenty-Second'!J161="", "",'Twenty-Second'!J161)</f>
        <v/>
      </c>
      <c r="K5408" s="86" t="str">
        <f>IF('Twenty-Second'!K161="", "",'Twenty-Second'!K161)</f>
        <v/>
      </c>
      <c r="M5408" s="67" t="str">
        <f t="shared" si="258"/>
        <v/>
      </c>
      <c r="N5408" s="76" t="str">
        <f t="shared" si="259"/>
        <v/>
      </c>
      <c r="O5408" s="33">
        <f t="shared" si="257"/>
        <v>0</v>
      </c>
    </row>
    <row r="5409" spans="1:15" x14ac:dyDescent="0.25">
      <c r="A5409" s="93" t="s">
        <v>191</v>
      </c>
      <c r="B5409" s="79" t="str">
        <f>IF('Twenty-Second'!B162="", "",'Twenty-Second'!B162)</f>
        <v/>
      </c>
      <c r="C5409" s="66" t="str">
        <f>IF('Twenty-Second'!C162="", "",'Twenty-Second'!C162)</f>
        <v/>
      </c>
      <c r="D5409" s="66" t="str">
        <f>IF('Twenty-Second'!D162="", "",'Twenty-Second'!D162)</f>
        <v/>
      </c>
      <c r="E5409" s="66" t="str">
        <f>IF('Twenty-Second'!E162="", "",'Twenty-Second'!E162)</f>
        <v/>
      </c>
      <c r="F5409" s="66" t="str">
        <f>IF('Twenty-Second'!F162="", "",'Twenty-Second'!F162)</f>
        <v/>
      </c>
      <c r="G5409" s="66" t="str">
        <f>IF('Twenty-Second'!G162="", "",'Twenty-Second'!G162)</f>
        <v/>
      </c>
      <c r="H5409" s="66" t="str">
        <f>IF('Twenty-Second'!H162="", "",'Twenty-Second'!H162)</f>
        <v/>
      </c>
      <c r="I5409" s="66" t="str">
        <f>IF('Twenty-Second'!I162="", "",'Twenty-Second'!I162)</f>
        <v/>
      </c>
      <c r="J5409" s="66" t="str">
        <f>IF('Twenty-Second'!J162="", "",'Twenty-Second'!J162)</f>
        <v/>
      </c>
      <c r="K5409" s="86" t="str">
        <f>IF('Twenty-Second'!K162="", "",'Twenty-Second'!K162)</f>
        <v/>
      </c>
      <c r="M5409" s="67" t="str">
        <f t="shared" si="258"/>
        <v/>
      </c>
      <c r="N5409" s="76" t="str">
        <f t="shared" si="259"/>
        <v/>
      </c>
      <c r="O5409" s="33">
        <f t="shared" si="257"/>
        <v>0</v>
      </c>
    </row>
    <row r="5410" spans="1:15" x14ac:dyDescent="0.25">
      <c r="A5410" s="93" t="s">
        <v>191</v>
      </c>
      <c r="B5410" s="79" t="str">
        <f>IF('Twenty-Second'!B163="", "",'Twenty-Second'!B163)</f>
        <v/>
      </c>
      <c r="C5410" s="66" t="str">
        <f>IF('Twenty-Second'!C163="", "",'Twenty-Second'!C163)</f>
        <v/>
      </c>
      <c r="D5410" s="66" t="str">
        <f>IF('Twenty-Second'!D163="", "",'Twenty-Second'!D163)</f>
        <v/>
      </c>
      <c r="E5410" s="66" t="str">
        <f>IF('Twenty-Second'!E163="", "",'Twenty-Second'!E163)</f>
        <v/>
      </c>
      <c r="F5410" s="66" t="str">
        <f>IF('Twenty-Second'!F163="", "",'Twenty-Second'!F163)</f>
        <v/>
      </c>
      <c r="G5410" s="66" t="str">
        <f>IF('Twenty-Second'!G163="", "",'Twenty-Second'!G163)</f>
        <v/>
      </c>
      <c r="H5410" s="66" t="str">
        <f>IF('Twenty-Second'!H163="", "",'Twenty-Second'!H163)</f>
        <v/>
      </c>
      <c r="I5410" s="66" t="str">
        <f>IF('Twenty-Second'!I163="", "",'Twenty-Second'!I163)</f>
        <v/>
      </c>
      <c r="J5410" s="66" t="str">
        <f>IF('Twenty-Second'!J163="", "",'Twenty-Second'!J163)</f>
        <v/>
      </c>
      <c r="K5410" s="86" t="str">
        <f>IF('Twenty-Second'!K163="", "",'Twenty-Second'!K163)</f>
        <v/>
      </c>
      <c r="M5410" s="67" t="str">
        <f t="shared" si="258"/>
        <v/>
      </c>
      <c r="N5410" s="76" t="str">
        <f t="shared" si="259"/>
        <v/>
      </c>
      <c r="O5410" s="33">
        <f t="shared" si="257"/>
        <v>0</v>
      </c>
    </row>
    <row r="5411" spans="1:15" x14ac:dyDescent="0.25">
      <c r="A5411" s="93" t="s">
        <v>191</v>
      </c>
      <c r="B5411" s="79" t="str">
        <f>IF('Twenty-Second'!B164="", "",'Twenty-Second'!B164)</f>
        <v/>
      </c>
      <c r="C5411" s="66" t="str">
        <f>IF('Twenty-Second'!C164="", "",'Twenty-Second'!C164)</f>
        <v/>
      </c>
      <c r="D5411" s="66" t="str">
        <f>IF('Twenty-Second'!D164="", "",'Twenty-Second'!D164)</f>
        <v/>
      </c>
      <c r="E5411" s="66" t="str">
        <f>IF('Twenty-Second'!E164="", "",'Twenty-Second'!E164)</f>
        <v/>
      </c>
      <c r="F5411" s="66" t="str">
        <f>IF('Twenty-Second'!F164="", "",'Twenty-Second'!F164)</f>
        <v/>
      </c>
      <c r="G5411" s="66" t="str">
        <f>IF('Twenty-Second'!G164="", "",'Twenty-Second'!G164)</f>
        <v/>
      </c>
      <c r="H5411" s="66" t="str">
        <f>IF('Twenty-Second'!H164="", "",'Twenty-Second'!H164)</f>
        <v/>
      </c>
      <c r="I5411" s="66" t="str">
        <f>IF('Twenty-Second'!I164="", "",'Twenty-Second'!I164)</f>
        <v/>
      </c>
      <c r="J5411" s="66" t="str">
        <f>IF('Twenty-Second'!J164="", "",'Twenty-Second'!J164)</f>
        <v/>
      </c>
      <c r="K5411" s="86" t="str">
        <f>IF('Twenty-Second'!K164="", "",'Twenty-Second'!K164)</f>
        <v/>
      </c>
      <c r="M5411" s="67" t="str">
        <f t="shared" si="258"/>
        <v/>
      </c>
      <c r="N5411" s="76" t="str">
        <f t="shared" si="259"/>
        <v/>
      </c>
      <c r="O5411" s="33">
        <f t="shared" si="257"/>
        <v>0</v>
      </c>
    </row>
    <row r="5412" spans="1:15" x14ac:dyDescent="0.25">
      <c r="A5412" s="93" t="s">
        <v>191</v>
      </c>
      <c r="B5412" s="79" t="str">
        <f>IF('Twenty-Second'!B165="", "",'Twenty-Second'!B165)</f>
        <v/>
      </c>
      <c r="C5412" s="66" t="str">
        <f>IF('Twenty-Second'!C165="", "",'Twenty-Second'!C165)</f>
        <v/>
      </c>
      <c r="D5412" s="66" t="str">
        <f>IF('Twenty-Second'!D165="", "",'Twenty-Second'!D165)</f>
        <v/>
      </c>
      <c r="E5412" s="66" t="str">
        <f>IF('Twenty-Second'!E165="", "",'Twenty-Second'!E165)</f>
        <v/>
      </c>
      <c r="F5412" s="66" t="str">
        <f>IF('Twenty-Second'!F165="", "",'Twenty-Second'!F165)</f>
        <v/>
      </c>
      <c r="G5412" s="66" t="str">
        <f>IF('Twenty-Second'!G165="", "",'Twenty-Second'!G165)</f>
        <v/>
      </c>
      <c r="H5412" s="66" t="str">
        <f>IF('Twenty-Second'!H165="", "",'Twenty-Second'!H165)</f>
        <v/>
      </c>
      <c r="I5412" s="66" t="str">
        <f>IF('Twenty-Second'!I165="", "",'Twenty-Second'!I165)</f>
        <v/>
      </c>
      <c r="J5412" s="66" t="str">
        <f>IF('Twenty-Second'!J165="", "",'Twenty-Second'!J165)</f>
        <v/>
      </c>
      <c r="K5412" s="86" t="str">
        <f>IF('Twenty-Second'!K165="", "",'Twenty-Second'!K165)</f>
        <v/>
      </c>
      <c r="M5412" s="67" t="str">
        <f t="shared" si="258"/>
        <v/>
      </c>
      <c r="N5412" s="76" t="str">
        <f t="shared" si="259"/>
        <v/>
      </c>
      <c r="O5412" s="33">
        <f t="shared" si="257"/>
        <v>0</v>
      </c>
    </row>
    <row r="5413" spans="1:15" x14ac:dyDescent="0.25">
      <c r="A5413" s="93" t="s">
        <v>191</v>
      </c>
      <c r="B5413" s="79" t="str">
        <f>IF('Twenty-Second'!B166="", "",'Twenty-Second'!B166)</f>
        <v/>
      </c>
      <c r="C5413" s="66" t="str">
        <f>IF('Twenty-Second'!C166="", "",'Twenty-Second'!C166)</f>
        <v/>
      </c>
      <c r="D5413" s="66" t="str">
        <f>IF('Twenty-Second'!D166="", "",'Twenty-Second'!D166)</f>
        <v/>
      </c>
      <c r="E5413" s="66" t="str">
        <f>IF('Twenty-Second'!E166="", "",'Twenty-Second'!E166)</f>
        <v/>
      </c>
      <c r="F5413" s="66" t="str">
        <f>IF('Twenty-Second'!F166="", "",'Twenty-Second'!F166)</f>
        <v/>
      </c>
      <c r="G5413" s="66" t="str">
        <f>IF('Twenty-Second'!G166="", "",'Twenty-Second'!G166)</f>
        <v/>
      </c>
      <c r="H5413" s="66" t="str">
        <f>IF('Twenty-Second'!H166="", "",'Twenty-Second'!H166)</f>
        <v/>
      </c>
      <c r="I5413" s="66" t="str">
        <f>IF('Twenty-Second'!I166="", "",'Twenty-Second'!I166)</f>
        <v/>
      </c>
      <c r="J5413" s="66" t="str">
        <f>IF('Twenty-Second'!J166="", "",'Twenty-Second'!J166)</f>
        <v/>
      </c>
      <c r="K5413" s="86" t="str">
        <f>IF('Twenty-Second'!K166="", "",'Twenty-Second'!K166)</f>
        <v/>
      </c>
      <c r="M5413" s="67" t="str">
        <f t="shared" si="258"/>
        <v/>
      </c>
      <c r="N5413" s="76" t="str">
        <f t="shared" si="259"/>
        <v/>
      </c>
      <c r="O5413" s="33">
        <f t="shared" si="257"/>
        <v>0</v>
      </c>
    </row>
    <row r="5414" spans="1:15" x14ac:dyDescent="0.25">
      <c r="A5414" s="93" t="s">
        <v>191</v>
      </c>
      <c r="B5414" s="79" t="str">
        <f>IF('Twenty-Second'!B167="", "",'Twenty-Second'!B167)</f>
        <v/>
      </c>
      <c r="C5414" s="66" t="str">
        <f>IF('Twenty-Second'!C167="", "",'Twenty-Second'!C167)</f>
        <v/>
      </c>
      <c r="D5414" s="66" t="str">
        <f>IF('Twenty-Second'!D167="", "",'Twenty-Second'!D167)</f>
        <v/>
      </c>
      <c r="E5414" s="66" t="str">
        <f>IF('Twenty-Second'!E167="", "",'Twenty-Second'!E167)</f>
        <v/>
      </c>
      <c r="F5414" s="66" t="str">
        <f>IF('Twenty-Second'!F167="", "",'Twenty-Second'!F167)</f>
        <v/>
      </c>
      <c r="G5414" s="66" t="str">
        <f>IF('Twenty-Second'!G167="", "",'Twenty-Second'!G167)</f>
        <v/>
      </c>
      <c r="H5414" s="66" t="str">
        <f>IF('Twenty-Second'!H167="", "",'Twenty-Second'!H167)</f>
        <v/>
      </c>
      <c r="I5414" s="66" t="str">
        <f>IF('Twenty-Second'!I167="", "",'Twenty-Second'!I167)</f>
        <v/>
      </c>
      <c r="J5414" s="66" t="str">
        <f>IF('Twenty-Second'!J167="", "",'Twenty-Second'!J167)</f>
        <v/>
      </c>
      <c r="K5414" s="86" t="str">
        <f>IF('Twenty-Second'!K167="", "",'Twenty-Second'!K167)</f>
        <v/>
      </c>
      <c r="M5414" s="67" t="str">
        <f t="shared" si="258"/>
        <v/>
      </c>
      <c r="N5414" s="76" t="str">
        <f t="shared" si="259"/>
        <v/>
      </c>
      <c r="O5414" s="33">
        <f t="shared" si="257"/>
        <v>0</v>
      </c>
    </row>
    <row r="5415" spans="1:15" x14ac:dyDescent="0.25">
      <c r="A5415" s="93" t="s">
        <v>191</v>
      </c>
      <c r="B5415" s="79" t="str">
        <f>IF('Twenty-Second'!B168="", "",'Twenty-Second'!B168)</f>
        <v/>
      </c>
      <c r="C5415" s="66" t="str">
        <f>IF('Twenty-Second'!C168="", "",'Twenty-Second'!C168)</f>
        <v/>
      </c>
      <c r="D5415" s="66" t="str">
        <f>IF('Twenty-Second'!D168="", "",'Twenty-Second'!D168)</f>
        <v/>
      </c>
      <c r="E5415" s="66" t="str">
        <f>IF('Twenty-Second'!E168="", "",'Twenty-Second'!E168)</f>
        <v/>
      </c>
      <c r="F5415" s="66" t="str">
        <f>IF('Twenty-Second'!F168="", "",'Twenty-Second'!F168)</f>
        <v/>
      </c>
      <c r="G5415" s="66" t="str">
        <f>IF('Twenty-Second'!G168="", "",'Twenty-Second'!G168)</f>
        <v/>
      </c>
      <c r="H5415" s="66" t="str">
        <f>IF('Twenty-Second'!H168="", "",'Twenty-Second'!H168)</f>
        <v/>
      </c>
      <c r="I5415" s="66" t="str">
        <f>IF('Twenty-Second'!I168="", "",'Twenty-Second'!I168)</f>
        <v/>
      </c>
      <c r="J5415" s="66" t="str">
        <f>IF('Twenty-Second'!J168="", "",'Twenty-Second'!J168)</f>
        <v/>
      </c>
      <c r="K5415" s="86" t="str">
        <f>IF('Twenty-Second'!K168="", "",'Twenty-Second'!K168)</f>
        <v/>
      </c>
      <c r="M5415" s="67" t="str">
        <f t="shared" si="258"/>
        <v/>
      </c>
      <c r="N5415" s="76" t="str">
        <f t="shared" si="259"/>
        <v/>
      </c>
      <c r="O5415" s="33">
        <f t="shared" si="257"/>
        <v>0</v>
      </c>
    </row>
    <row r="5416" spans="1:15" x14ac:dyDescent="0.25">
      <c r="A5416" s="93" t="s">
        <v>191</v>
      </c>
      <c r="B5416" s="79" t="str">
        <f>IF('Twenty-Second'!B169="", "",'Twenty-Second'!B169)</f>
        <v/>
      </c>
      <c r="C5416" s="66" t="str">
        <f>IF('Twenty-Second'!C169="", "",'Twenty-Second'!C169)</f>
        <v/>
      </c>
      <c r="D5416" s="66" t="str">
        <f>IF('Twenty-Second'!D169="", "",'Twenty-Second'!D169)</f>
        <v/>
      </c>
      <c r="E5416" s="66" t="str">
        <f>IF('Twenty-Second'!E169="", "",'Twenty-Second'!E169)</f>
        <v/>
      </c>
      <c r="F5416" s="66" t="str">
        <f>IF('Twenty-Second'!F169="", "",'Twenty-Second'!F169)</f>
        <v/>
      </c>
      <c r="G5416" s="66" t="str">
        <f>IF('Twenty-Second'!G169="", "",'Twenty-Second'!G169)</f>
        <v/>
      </c>
      <c r="H5416" s="66" t="str">
        <f>IF('Twenty-Second'!H169="", "",'Twenty-Second'!H169)</f>
        <v/>
      </c>
      <c r="I5416" s="66" t="str">
        <f>IF('Twenty-Second'!I169="", "",'Twenty-Second'!I169)</f>
        <v/>
      </c>
      <c r="J5416" s="66" t="str">
        <f>IF('Twenty-Second'!J169="", "",'Twenty-Second'!J169)</f>
        <v/>
      </c>
      <c r="K5416" s="86" t="str">
        <f>IF('Twenty-Second'!K169="", "",'Twenty-Second'!K169)</f>
        <v/>
      </c>
      <c r="M5416" s="67" t="str">
        <f t="shared" si="258"/>
        <v/>
      </c>
      <c r="N5416" s="76" t="str">
        <f t="shared" si="259"/>
        <v/>
      </c>
      <c r="O5416" s="33">
        <f t="shared" si="257"/>
        <v>0</v>
      </c>
    </row>
    <row r="5417" spans="1:15" x14ac:dyDescent="0.25">
      <c r="A5417" s="93" t="s">
        <v>191</v>
      </c>
      <c r="B5417" s="79" t="str">
        <f>IF('Twenty-Second'!B170="", "",'Twenty-Second'!B170)</f>
        <v/>
      </c>
      <c r="C5417" s="66" t="str">
        <f>IF('Twenty-Second'!C170="", "",'Twenty-Second'!C170)</f>
        <v/>
      </c>
      <c r="D5417" s="66" t="str">
        <f>IF('Twenty-Second'!D170="", "",'Twenty-Second'!D170)</f>
        <v/>
      </c>
      <c r="E5417" s="66" t="str">
        <f>IF('Twenty-Second'!E170="", "",'Twenty-Second'!E170)</f>
        <v/>
      </c>
      <c r="F5417" s="66" t="str">
        <f>IF('Twenty-Second'!F170="", "",'Twenty-Second'!F170)</f>
        <v/>
      </c>
      <c r="G5417" s="66" t="str">
        <f>IF('Twenty-Second'!G170="", "",'Twenty-Second'!G170)</f>
        <v/>
      </c>
      <c r="H5417" s="66" t="str">
        <f>IF('Twenty-Second'!H170="", "",'Twenty-Second'!H170)</f>
        <v/>
      </c>
      <c r="I5417" s="66" t="str">
        <f>IF('Twenty-Second'!I170="", "",'Twenty-Second'!I170)</f>
        <v/>
      </c>
      <c r="J5417" s="66" t="str">
        <f>IF('Twenty-Second'!J170="", "",'Twenty-Second'!J170)</f>
        <v/>
      </c>
      <c r="K5417" s="86" t="str">
        <f>IF('Twenty-Second'!K170="", "",'Twenty-Second'!K170)</f>
        <v/>
      </c>
      <c r="M5417" s="67" t="str">
        <f t="shared" si="258"/>
        <v/>
      </c>
      <c r="N5417" s="76" t="str">
        <f t="shared" si="259"/>
        <v/>
      </c>
      <c r="O5417" s="33">
        <f t="shared" si="257"/>
        <v>0</v>
      </c>
    </row>
    <row r="5418" spans="1:15" x14ac:dyDescent="0.25">
      <c r="A5418" s="93" t="s">
        <v>191</v>
      </c>
      <c r="B5418" s="79" t="str">
        <f>IF('Twenty-Second'!B171="", "",'Twenty-Second'!B171)</f>
        <v/>
      </c>
      <c r="C5418" s="66" t="str">
        <f>IF('Twenty-Second'!C171="", "",'Twenty-Second'!C171)</f>
        <v/>
      </c>
      <c r="D5418" s="66" t="str">
        <f>IF('Twenty-Second'!D171="", "",'Twenty-Second'!D171)</f>
        <v/>
      </c>
      <c r="E5418" s="66" t="str">
        <f>IF('Twenty-Second'!E171="", "",'Twenty-Second'!E171)</f>
        <v/>
      </c>
      <c r="F5418" s="66" t="str">
        <f>IF('Twenty-Second'!F171="", "",'Twenty-Second'!F171)</f>
        <v/>
      </c>
      <c r="G5418" s="66" t="str">
        <f>IF('Twenty-Second'!G171="", "",'Twenty-Second'!G171)</f>
        <v/>
      </c>
      <c r="H5418" s="66" t="str">
        <f>IF('Twenty-Second'!H171="", "",'Twenty-Second'!H171)</f>
        <v/>
      </c>
      <c r="I5418" s="66" t="str">
        <f>IF('Twenty-Second'!I171="", "",'Twenty-Second'!I171)</f>
        <v/>
      </c>
      <c r="J5418" s="66" t="str">
        <f>IF('Twenty-Second'!J171="", "",'Twenty-Second'!J171)</f>
        <v/>
      </c>
      <c r="K5418" s="86" t="str">
        <f>IF('Twenty-Second'!K171="", "",'Twenty-Second'!K171)</f>
        <v/>
      </c>
      <c r="M5418" s="67" t="str">
        <f t="shared" si="258"/>
        <v/>
      </c>
      <c r="N5418" s="76" t="str">
        <f t="shared" si="259"/>
        <v/>
      </c>
      <c r="O5418" s="33">
        <f t="shared" si="257"/>
        <v>0</v>
      </c>
    </row>
    <row r="5419" spans="1:15" x14ac:dyDescent="0.25">
      <c r="A5419" s="93" t="s">
        <v>191</v>
      </c>
      <c r="B5419" s="79" t="str">
        <f>IF('Twenty-Second'!B172="", "",'Twenty-Second'!B172)</f>
        <v/>
      </c>
      <c r="C5419" s="66" t="str">
        <f>IF('Twenty-Second'!C172="", "",'Twenty-Second'!C172)</f>
        <v/>
      </c>
      <c r="D5419" s="66" t="str">
        <f>IF('Twenty-Second'!D172="", "",'Twenty-Second'!D172)</f>
        <v/>
      </c>
      <c r="E5419" s="66" t="str">
        <f>IF('Twenty-Second'!E172="", "",'Twenty-Second'!E172)</f>
        <v/>
      </c>
      <c r="F5419" s="66" t="str">
        <f>IF('Twenty-Second'!F172="", "",'Twenty-Second'!F172)</f>
        <v/>
      </c>
      <c r="G5419" s="66" t="str">
        <f>IF('Twenty-Second'!G172="", "",'Twenty-Second'!G172)</f>
        <v/>
      </c>
      <c r="H5419" s="66" t="str">
        <f>IF('Twenty-Second'!H172="", "",'Twenty-Second'!H172)</f>
        <v/>
      </c>
      <c r="I5419" s="66" t="str">
        <f>IF('Twenty-Second'!I172="", "",'Twenty-Second'!I172)</f>
        <v/>
      </c>
      <c r="J5419" s="66" t="str">
        <f>IF('Twenty-Second'!J172="", "",'Twenty-Second'!J172)</f>
        <v/>
      </c>
      <c r="K5419" s="86" t="str">
        <f>IF('Twenty-Second'!K172="", "",'Twenty-Second'!K172)</f>
        <v/>
      </c>
      <c r="M5419" s="67" t="str">
        <f t="shared" si="258"/>
        <v/>
      </c>
      <c r="N5419" s="76" t="str">
        <f t="shared" si="259"/>
        <v/>
      </c>
      <c r="O5419" s="33">
        <f t="shared" si="257"/>
        <v>0</v>
      </c>
    </row>
    <row r="5420" spans="1:15" x14ac:dyDescent="0.25">
      <c r="A5420" s="93" t="s">
        <v>191</v>
      </c>
      <c r="B5420" s="79" t="str">
        <f>IF('Twenty-Second'!B173="", "",'Twenty-Second'!B173)</f>
        <v/>
      </c>
      <c r="C5420" s="66" t="str">
        <f>IF('Twenty-Second'!C173="", "",'Twenty-Second'!C173)</f>
        <v/>
      </c>
      <c r="D5420" s="66" t="str">
        <f>IF('Twenty-Second'!D173="", "",'Twenty-Second'!D173)</f>
        <v/>
      </c>
      <c r="E5420" s="66" t="str">
        <f>IF('Twenty-Second'!E173="", "",'Twenty-Second'!E173)</f>
        <v/>
      </c>
      <c r="F5420" s="66" t="str">
        <f>IF('Twenty-Second'!F173="", "",'Twenty-Second'!F173)</f>
        <v/>
      </c>
      <c r="G5420" s="66" t="str">
        <f>IF('Twenty-Second'!G173="", "",'Twenty-Second'!G173)</f>
        <v/>
      </c>
      <c r="H5420" s="66" t="str">
        <f>IF('Twenty-Second'!H173="", "",'Twenty-Second'!H173)</f>
        <v/>
      </c>
      <c r="I5420" s="66" t="str">
        <f>IF('Twenty-Second'!I173="", "",'Twenty-Second'!I173)</f>
        <v/>
      </c>
      <c r="J5420" s="66" t="str">
        <f>IF('Twenty-Second'!J173="", "",'Twenty-Second'!J173)</f>
        <v/>
      </c>
      <c r="K5420" s="86" t="str">
        <f>IF('Twenty-Second'!K173="", "",'Twenty-Second'!K173)</f>
        <v/>
      </c>
      <c r="M5420" s="67" t="str">
        <f t="shared" si="258"/>
        <v/>
      </c>
      <c r="N5420" s="76" t="str">
        <f t="shared" si="259"/>
        <v/>
      </c>
      <c r="O5420" s="33">
        <f t="shared" si="257"/>
        <v>0</v>
      </c>
    </row>
    <row r="5421" spans="1:15" x14ac:dyDescent="0.25">
      <c r="A5421" s="93" t="s">
        <v>191</v>
      </c>
      <c r="B5421" s="79" t="str">
        <f>IF('Twenty-Second'!B174="", "",'Twenty-Second'!B174)</f>
        <v/>
      </c>
      <c r="C5421" s="66" t="str">
        <f>IF('Twenty-Second'!C174="", "",'Twenty-Second'!C174)</f>
        <v/>
      </c>
      <c r="D5421" s="66" t="str">
        <f>IF('Twenty-Second'!D174="", "",'Twenty-Second'!D174)</f>
        <v/>
      </c>
      <c r="E5421" s="66" t="str">
        <f>IF('Twenty-Second'!E174="", "",'Twenty-Second'!E174)</f>
        <v/>
      </c>
      <c r="F5421" s="66" t="str">
        <f>IF('Twenty-Second'!F174="", "",'Twenty-Second'!F174)</f>
        <v/>
      </c>
      <c r="G5421" s="66" t="str">
        <f>IF('Twenty-Second'!G174="", "",'Twenty-Second'!G174)</f>
        <v/>
      </c>
      <c r="H5421" s="66" t="str">
        <f>IF('Twenty-Second'!H174="", "",'Twenty-Second'!H174)</f>
        <v/>
      </c>
      <c r="I5421" s="66" t="str">
        <f>IF('Twenty-Second'!I174="", "",'Twenty-Second'!I174)</f>
        <v/>
      </c>
      <c r="J5421" s="66" t="str">
        <f>IF('Twenty-Second'!J174="", "",'Twenty-Second'!J174)</f>
        <v/>
      </c>
      <c r="K5421" s="86" t="str">
        <f>IF('Twenty-Second'!K174="", "",'Twenty-Second'!K174)</f>
        <v/>
      </c>
      <c r="M5421" s="67" t="str">
        <f t="shared" si="258"/>
        <v/>
      </c>
      <c r="N5421" s="76" t="str">
        <f t="shared" si="259"/>
        <v/>
      </c>
      <c r="O5421" s="33">
        <f t="shared" si="257"/>
        <v>0</v>
      </c>
    </row>
    <row r="5422" spans="1:15" x14ac:dyDescent="0.25">
      <c r="A5422" s="93" t="s">
        <v>191</v>
      </c>
      <c r="B5422" s="79" t="str">
        <f>IF('Twenty-Second'!B175="", "",'Twenty-Second'!B175)</f>
        <v/>
      </c>
      <c r="C5422" s="66" t="str">
        <f>IF('Twenty-Second'!C175="", "",'Twenty-Second'!C175)</f>
        <v/>
      </c>
      <c r="D5422" s="66" t="str">
        <f>IF('Twenty-Second'!D175="", "",'Twenty-Second'!D175)</f>
        <v/>
      </c>
      <c r="E5422" s="66" t="str">
        <f>IF('Twenty-Second'!E175="", "",'Twenty-Second'!E175)</f>
        <v/>
      </c>
      <c r="F5422" s="66" t="str">
        <f>IF('Twenty-Second'!F175="", "",'Twenty-Second'!F175)</f>
        <v/>
      </c>
      <c r="G5422" s="66" t="str">
        <f>IF('Twenty-Second'!G175="", "",'Twenty-Second'!G175)</f>
        <v/>
      </c>
      <c r="H5422" s="66" t="str">
        <f>IF('Twenty-Second'!H175="", "",'Twenty-Second'!H175)</f>
        <v/>
      </c>
      <c r="I5422" s="66" t="str">
        <f>IF('Twenty-Second'!I175="", "",'Twenty-Second'!I175)</f>
        <v/>
      </c>
      <c r="J5422" s="66" t="str">
        <f>IF('Twenty-Second'!J175="", "",'Twenty-Second'!J175)</f>
        <v/>
      </c>
      <c r="K5422" s="86" t="str">
        <f>IF('Twenty-Second'!K175="", "",'Twenty-Second'!K175)</f>
        <v/>
      </c>
      <c r="M5422" s="67" t="str">
        <f t="shared" si="258"/>
        <v/>
      </c>
      <c r="N5422" s="76" t="str">
        <f t="shared" si="259"/>
        <v/>
      </c>
      <c r="O5422" s="33">
        <f t="shared" si="257"/>
        <v>0</v>
      </c>
    </row>
    <row r="5423" spans="1:15" x14ac:dyDescent="0.25">
      <c r="A5423" s="93" t="s">
        <v>191</v>
      </c>
      <c r="B5423" s="79" t="str">
        <f>IF('Twenty-Second'!B176="", "",'Twenty-Second'!B176)</f>
        <v/>
      </c>
      <c r="C5423" s="66" t="str">
        <f>IF('Twenty-Second'!C176="", "",'Twenty-Second'!C176)</f>
        <v/>
      </c>
      <c r="D5423" s="66" t="str">
        <f>IF('Twenty-Second'!D176="", "",'Twenty-Second'!D176)</f>
        <v/>
      </c>
      <c r="E5423" s="66" t="str">
        <f>IF('Twenty-Second'!E176="", "",'Twenty-Second'!E176)</f>
        <v/>
      </c>
      <c r="F5423" s="66" t="str">
        <f>IF('Twenty-Second'!F176="", "",'Twenty-Second'!F176)</f>
        <v/>
      </c>
      <c r="G5423" s="66" t="str">
        <f>IF('Twenty-Second'!G176="", "",'Twenty-Second'!G176)</f>
        <v/>
      </c>
      <c r="H5423" s="66" t="str">
        <f>IF('Twenty-Second'!H176="", "",'Twenty-Second'!H176)</f>
        <v/>
      </c>
      <c r="I5423" s="66" t="str">
        <f>IF('Twenty-Second'!I176="", "",'Twenty-Second'!I176)</f>
        <v/>
      </c>
      <c r="J5423" s="66" t="str">
        <f>IF('Twenty-Second'!J176="", "",'Twenty-Second'!J176)</f>
        <v/>
      </c>
      <c r="K5423" s="86" t="str">
        <f>IF('Twenty-Second'!K176="", "",'Twenty-Second'!K176)</f>
        <v/>
      </c>
      <c r="M5423" s="67" t="str">
        <f t="shared" si="258"/>
        <v/>
      </c>
      <c r="N5423" s="76" t="str">
        <f t="shared" si="259"/>
        <v/>
      </c>
      <c r="O5423" s="33">
        <f t="shared" si="257"/>
        <v>0</v>
      </c>
    </row>
    <row r="5424" spans="1:15" x14ac:dyDescent="0.25">
      <c r="A5424" s="93" t="s">
        <v>191</v>
      </c>
      <c r="B5424" s="79" t="str">
        <f>IF('Twenty-Second'!B177="", "",'Twenty-Second'!B177)</f>
        <v/>
      </c>
      <c r="C5424" s="66" t="str">
        <f>IF('Twenty-Second'!C177="", "",'Twenty-Second'!C177)</f>
        <v/>
      </c>
      <c r="D5424" s="66" t="str">
        <f>IF('Twenty-Second'!D177="", "",'Twenty-Second'!D177)</f>
        <v/>
      </c>
      <c r="E5424" s="66" t="str">
        <f>IF('Twenty-Second'!E177="", "",'Twenty-Second'!E177)</f>
        <v/>
      </c>
      <c r="F5424" s="66" t="str">
        <f>IF('Twenty-Second'!F177="", "",'Twenty-Second'!F177)</f>
        <v/>
      </c>
      <c r="G5424" s="66" t="str">
        <f>IF('Twenty-Second'!G177="", "",'Twenty-Second'!G177)</f>
        <v/>
      </c>
      <c r="H5424" s="66" t="str">
        <f>IF('Twenty-Second'!H177="", "",'Twenty-Second'!H177)</f>
        <v/>
      </c>
      <c r="I5424" s="66" t="str">
        <f>IF('Twenty-Second'!I177="", "",'Twenty-Second'!I177)</f>
        <v/>
      </c>
      <c r="J5424" s="66" t="str">
        <f>IF('Twenty-Second'!J177="", "",'Twenty-Second'!J177)</f>
        <v/>
      </c>
      <c r="K5424" s="86" t="str">
        <f>IF('Twenty-Second'!K177="", "",'Twenty-Second'!K177)</f>
        <v/>
      </c>
      <c r="M5424" s="67" t="str">
        <f t="shared" si="258"/>
        <v/>
      </c>
      <c r="N5424" s="76" t="str">
        <f t="shared" si="259"/>
        <v/>
      </c>
      <c r="O5424" s="33">
        <f t="shared" si="257"/>
        <v>0</v>
      </c>
    </row>
    <row r="5425" spans="1:15" x14ac:dyDescent="0.25">
      <c r="A5425" s="93" t="s">
        <v>191</v>
      </c>
      <c r="B5425" s="79" t="str">
        <f>IF('Twenty-Second'!B178="", "",'Twenty-Second'!B178)</f>
        <v/>
      </c>
      <c r="C5425" s="66" t="str">
        <f>IF('Twenty-Second'!C178="", "",'Twenty-Second'!C178)</f>
        <v/>
      </c>
      <c r="D5425" s="66" t="str">
        <f>IF('Twenty-Second'!D178="", "",'Twenty-Second'!D178)</f>
        <v/>
      </c>
      <c r="E5425" s="66" t="str">
        <f>IF('Twenty-Second'!E178="", "",'Twenty-Second'!E178)</f>
        <v/>
      </c>
      <c r="F5425" s="66" t="str">
        <f>IF('Twenty-Second'!F178="", "",'Twenty-Second'!F178)</f>
        <v/>
      </c>
      <c r="G5425" s="66" t="str">
        <f>IF('Twenty-Second'!G178="", "",'Twenty-Second'!G178)</f>
        <v/>
      </c>
      <c r="H5425" s="66" t="str">
        <f>IF('Twenty-Second'!H178="", "",'Twenty-Second'!H178)</f>
        <v/>
      </c>
      <c r="I5425" s="66" t="str">
        <f>IF('Twenty-Second'!I178="", "",'Twenty-Second'!I178)</f>
        <v/>
      </c>
      <c r="J5425" s="66" t="str">
        <f>IF('Twenty-Second'!J178="", "",'Twenty-Second'!J178)</f>
        <v/>
      </c>
      <c r="K5425" s="86" t="str">
        <f>IF('Twenty-Second'!K178="", "",'Twenty-Second'!K178)</f>
        <v/>
      </c>
      <c r="M5425" s="67" t="str">
        <f t="shared" si="258"/>
        <v/>
      </c>
      <c r="N5425" s="76" t="str">
        <f t="shared" si="259"/>
        <v/>
      </c>
      <c r="O5425" s="33">
        <f t="shared" si="257"/>
        <v>0</v>
      </c>
    </row>
    <row r="5426" spans="1:15" x14ac:dyDescent="0.25">
      <c r="A5426" s="93" t="s">
        <v>191</v>
      </c>
      <c r="B5426" s="79" t="str">
        <f>IF('Twenty-Second'!B179="", "",'Twenty-Second'!B179)</f>
        <v/>
      </c>
      <c r="C5426" s="66" t="str">
        <f>IF('Twenty-Second'!C179="", "",'Twenty-Second'!C179)</f>
        <v/>
      </c>
      <c r="D5426" s="66" t="str">
        <f>IF('Twenty-Second'!D179="", "",'Twenty-Second'!D179)</f>
        <v/>
      </c>
      <c r="E5426" s="66" t="str">
        <f>IF('Twenty-Second'!E179="", "",'Twenty-Second'!E179)</f>
        <v/>
      </c>
      <c r="F5426" s="66" t="str">
        <f>IF('Twenty-Second'!F179="", "",'Twenty-Second'!F179)</f>
        <v/>
      </c>
      <c r="G5426" s="66" t="str">
        <f>IF('Twenty-Second'!G179="", "",'Twenty-Second'!G179)</f>
        <v/>
      </c>
      <c r="H5426" s="66" t="str">
        <f>IF('Twenty-Second'!H179="", "",'Twenty-Second'!H179)</f>
        <v/>
      </c>
      <c r="I5426" s="66" t="str">
        <f>IF('Twenty-Second'!I179="", "",'Twenty-Second'!I179)</f>
        <v/>
      </c>
      <c r="J5426" s="66" t="str">
        <f>IF('Twenty-Second'!J179="", "",'Twenty-Second'!J179)</f>
        <v/>
      </c>
      <c r="K5426" s="86" t="str">
        <f>IF('Twenty-Second'!K179="", "",'Twenty-Second'!K179)</f>
        <v/>
      </c>
      <c r="M5426" s="67" t="str">
        <f t="shared" si="258"/>
        <v/>
      </c>
      <c r="N5426" s="76" t="str">
        <f t="shared" si="259"/>
        <v/>
      </c>
      <c r="O5426" s="33">
        <f t="shared" si="257"/>
        <v>0</v>
      </c>
    </row>
    <row r="5427" spans="1:15" x14ac:dyDescent="0.25">
      <c r="A5427" s="93" t="s">
        <v>191</v>
      </c>
      <c r="B5427" s="79" t="str">
        <f>IF('Twenty-Second'!B180="", "",'Twenty-Second'!B180)</f>
        <v/>
      </c>
      <c r="C5427" s="66" t="str">
        <f>IF('Twenty-Second'!C180="", "",'Twenty-Second'!C180)</f>
        <v/>
      </c>
      <c r="D5427" s="66" t="str">
        <f>IF('Twenty-Second'!D180="", "",'Twenty-Second'!D180)</f>
        <v/>
      </c>
      <c r="E5427" s="66" t="str">
        <f>IF('Twenty-Second'!E180="", "",'Twenty-Second'!E180)</f>
        <v/>
      </c>
      <c r="F5427" s="66" t="str">
        <f>IF('Twenty-Second'!F180="", "",'Twenty-Second'!F180)</f>
        <v/>
      </c>
      <c r="G5427" s="66" t="str">
        <f>IF('Twenty-Second'!G180="", "",'Twenty-Second'!G180)</f>
        <v/>
      </c>
      <c r="H5427" s="66" t="str">
        <f>IF('Twenty-Second'!H180="", "",'Twenty-Second'!H180)</f>
        <v/>
      </c>
      <c r="I5427" s="66" t="str">
        <f>IF('Twenty-Second'!I180="", "",'Twenty-Second'!I180)</f>
        <v/>
      </c>
      <c r="J5427" s="66" t="str">
        <f>IF('Twenty-Second'!J180="", "",'Twenty-Second'!J180)</f>
        <v/>
      </c>
      <c r="K5427" s="86" t="str">
        <f>IF('Twenty-Second'!K180="", "",'Twenty-Second'!K180)</f>
        <v/>
      </c>
      <c r="M5427" s="67" t="str">
        <f t="shared" si="258"/>
        <v/>
      </c>
      <c r="N5427" s="76" t="str">
        <f t="shared" si="259"/>
        <v/>
      </c>
      <c r="O5427" s="33">
        <f t="shared" si="257"/>
        <v>0</v>
      </c>
    </row>
    <row r="5428" spans="1:15" x14ac:dyDescent="0.25">
      <c r="A5428" s="93" t="s">
        <v>191</v>
      </c>
      <c r="B5428" s="79" t="str">
        <f>IF('Twenty-Second'!B181="", "",'Twenty-Second'!B181)</f>
        <v/>
      </c>
      <c r="C5428" s="66" t="str">
        <f>IF('Twenty-Second'!C181="", "",'Twenty-Second'!C181)</f>
        <v/>
      </c>
      <c r="D5428" s="66" t="str">
        <f>IF('Twenty-Second'!D181="", "",'Twenty-Second'!D181)</f>
        <v/>
      </c>
      <c r="E5428" s="66" t="str">
        <f>IF('Twenty-Second'!E181="", "",'Twenty-Second'!E181)</f>
        <v/>
      </c>
      <c r="F5428" s="66" t="str">
        <f>IF('Twenty-Second'!F181="", "",'Twenty-Second'!F181)</f>
        <v/>
      </c>
      <c r="G5428" s="66" t="str">
        <f>IF('Twenty-Second'!G181="", "",'Twenty-Second'!G181)</f>
        <v/>
      </c>
      <c r="H5428" s="66" t="str">
        <f>IF('Twenty-Second'!H181="", "",'Twenty-Second'!H181)</f>
        <v/>
      </c>
      <c r="I5428" s="66" t="str">
        <f>IF('Twenty-Second'!I181="", "",'Twenty-Second'!I181)</f>
        <v/>
      </c>
      <c r="J5428" s="66" t="str">
        <f>IF('Twenty-Second'!J181="", "",'Twenty-Second'!J181)</f>
        <v/>
      </c>
      <c r="K5428" s="86" t="str">
        <f>IF('Twenty-Second'!K181="", "",'Twenty-Second'!K181)</f>
        <v/>
      </c>
      <c r="M5428" s="67" t="str">
        <f t="shared" si="258"/>
        <v/>
      </c>
      <c r="N5428" s="76" t="str">
        <f t="shared" si="259"/>
        <v/>
      </c>
      <c r="O5428" s="33">
        <f t="shared" si="257"/>
        <v>0</v>
      </c>
    </row>
    <row r="5429" spans="1:15" x14ac:dyDescent="0.25">
      <c r="A5429" s="93" t="s">
        <v>191</v>
      </c>
      <c r="B5429" s="79" t="str">
        <f>IF('Twenty-Second'!B182="", "",'Twenty-Second'!B182)</f>
        <v/>
      </c>
      <c r="C5429" s="66" t="str">
        <f>IF('Twenty-Second'!C182="", "",'Twenty-Second'!C182)</f>
        <v/>
      </c>
      <c r="D5429" s="66" t="str">
        <f>IF('Twenty-Second'!D182="", "",'Twenty-Second'!D182)</f>
        <v/>
      </c>
      <c r="E5429" s="66" t="str">
        <f>IF('Twenty-Second'!E182="", "",'Twenty-Second'!E182)</f>
        <v/>
      </c>
      <c r="F5429" s="66" t="str">
        <f>IF('Twenty-Second'!F182="", "",'Twenty-Second'!F182)</f>
        <v/>
      </c>
      <c r="G5429" s="66" t="str">
        <f>IF('Twenty-Second'!G182="", "",'Twenty-Second'!G182)</f>
        <v/>
      </c>
      <c r="H5429" s="66" t="str">
        <f>IF('Twenty-Second'!H182="", "",'Twenty-Second'!H182)</f>
        <v/>
      </c>
      <c r="I5429" s="66" t="str">
        <f>IF('Twenty-Second'!I182="", "",'Twenty-Second'!I182)</f>
        <v/>
      </c>
      <c r="J5429" s="66" t="str">
        <f>IF('Twenty-Second'!J182="", "",'Twenty-Second'!J182)</f>
        <v/>
      </c>
      <c r="K5429" s="86" t="str">
        <f>IF('Twenty-Second'!K182="", "",'Twenty-Second'!K182)</f>
        <v/>
      </c>
      <c r="M5429" s="67" t="str">
        <f t="shared" si="258"/>
        <v/>
      </c>
      <c r="N5429" s="76" t="str">
        <f t="shared" si="259"/>
        <v/>
      </c>
      <c r="O5429" s="33">
        <f t="shared" si="257"/>
        <v>0</v>
      </c>
    </row>
    <row r="5430" spans="1:15" x14ac:dyDescent="0.25">
      <c r="A5430" s="93" t="s">
        <v>191</v>
      </c>
      <c r="B5430" s="79" t="str">
        <f>IF('Twenty-Second'!B183="", "",'Twenty-Second'!B183)</f>
        <v/>
      </c>
      <c r="C5430" s="66" t="str">
        <f>IF('Twenty-Second'!C183="", "",'Twenty-Second'!C183)</f>
        <v/>
      </c>
      <c r="D5430" s="66" t="str">
        <f>IF('Twenty-Second'!D183="", "",'Twenty-Second'!D183)</f>
        <v/>
      </c>
      <c r="E5430" s="66" t="str">
        <f>IF('Twenty-Second'!E183="", "",'Twenty-Second'!E183)</f>
        <v/>
      </c>
      <c r="F5430" s="66" t="str">
        <f>IF('Twenty-Second'!F183="", "",'Twenty-Second'!F183)</f>
        <v/>
      </c>
      <c r="G5430" s="66" t="str">
        <f>IF('Twenty-Second'!G183="", "",'Twenty-Second'!G183)</f>
        <v/>
      </c>
      <c r="H5430" s="66" t="str">
        <f>IF('Twenty-Second'!H183="", "",'Twenty-Second'!H183)</f>
        <v/>
      </c>
      <c r="I5430" s="66" t="str">
        <f>IF('Twenty-Second'!I183="", "",'Twenty-Second'!I183)</f>
        <v/>
      </c>
      <c r="J5430" s="66" t="str">
        <f>IF('Twenty-Second'!J183="", "",'Twenty-Second'!J183)</f>
        <v/>
      </c>
      <c r="K5430" s="86" t="str">
        <f>IF('Twenty-Second'!K183="", "",'Twenty-Second'!K183)</f>
        <v/>
      </c>
      <c r="M5430" s="67" t="str">
        <f t="shared" si="258"/>
        <v/>
      </c>
      <c r="N5430" s="76" t="str">
        <f t="shared" si="259"/>
        <v/>
      </c>
      <c r="O5430" s="33">
        <f t="shared" si="257"/>
        <v>0</v>
      </c>
    </row>
    <row r="5431" spans="1:15" x14ac:dyDescent="0.25">
      <c r="A5431" s="93" t="s">
        <v>191</v>
      </c>
      <c r="B5431" s="79" t="str">
        <f>IF('Twenty-Second'!B184="", "",'Twenty-Second'!B184)</f>
        <v/>
      </c>
      <c r="C5431" s="66" t="str">
        <f>IF('Twenty-Second'!C184="", "",'Twenty-Second'!C184)</f>
        <v/>
      </c>
      <c r="D5431" s="66" t="str">
        <f>IF('Twenty-Second'!D184="", "",'Twenty-Second'!D184)</f>
        <v/>
      </c>
      <c r="E5431" s="66" t="str">
        <f>IF('Twenty-Second'!E184="", "",'Twenty-Second'!E184)</f>
        <v/>
      </c>
      <c r="F5431" s="66" t="str">
        <f>IF('Twenty-Second'!F184="", "",'Twenty-Second'!F184)</f>
        <v/>
      </c>
      <c r="G5431" s="66" t="str">
        <f>IF('Twenty-Second'!G184="", "",'Twenty-Second'!G184)</f>
        <v/>
      </c>
      <c r="H5431" s="66" t="str">
        <f>IF('Twenty-Second'!H184="", "",'Twenty-Second'!H184)</f>
        <v/>
      </c>
      <c r="I5431" s="66" t="str">
        <f>IF('Twenty-Second'!I184="", "",'Twenty-Second'!I184)</f>
        <v/>
      </c>
      <c r="J5431" s="66" t="str">
        <f>IF('Twenty-Second'!J184="", "",'Twenty-Second'!J184)</f>
        <v/>
      </c>
      <c r="K5431" s="86" t="str">
        <f>IF('Twenty-Second'!K184="", "",'Twenty-Second'!K184)</f>
        <v/>
      </c>
      <c r="M5431" s="67" t="str">
        <f t="shared" si="258"/>
        <v/>
      </c>
      <c r="N5431" s="76" t="str">
        <f t="shared" si="259"/>
        <v/>
      </c>
      <c r="O5431" s="33">
        <f t="shared" si="257"/>
        <v>0</v>
      </c>
    </row>
    <row r="5432" spans="1:15" x14ac:dyDescent="0.25">
      <c r="A5432" s="93" t="s">
        <v>191</v>
      </c>
      <c r="B5432" s="79" t="str">
        <f>IF('Twenty-Second'!B185="", "",'Twenty-Second'!B185)</f>
        <v/>
      </c>
      <c r="C5432" s="66" t="str">
        <f>IF('Twenty-Second'!C185="", "",'Twenty-Second'!C185)</f>
        <v/>
      </c>
      <c r="D5432" s="66" t="str">
        <f>IF('Twenty-Second'!D185="", "",'Twenty-Second'!D185)</f>
        <v/>
      </c>
      <c r="E5432" s="66" t="str">
        <f>IF('Twenty-Second'!E185="", "",'Twenty-Second'!E185)</f>
        <v/>
      </c>
      <c r="F5432" s="66" t="str">
        <f>IF('Twenty-Second'!F185="", "",'Twenty-Second'!F185)</f>
        <v/>
      </c>
      <c r="G5432" s="66" t="str">
        <f>IF('Twenty-Second'!G185="", "",'Twenty-Second'!G185)</f>
        <v/>
      </c>
      <c r="H5432" s="66" t="str">
        <f>IF('Twenty-Second'!H185="", "",'Twenty-Second'!H185)</f>
        <v/>
      </c>
      <c r="I5432" s="66" t="str">
        <f>IF('Twenty-Second'!I185="", "",'Twenty-Second'!I185)</f>
        <v/>
      </c>
      <c r="J5432" s="66" t="str">
        <f>IF('Twenty-Second'!J185="", "",'Twenty-Second'!J185)</f>
        <v/>
      </c>
      <c r="K5432" s="86" t="str">
        <f>IF('Twenty-Second'!K185="", "",'Twenty-Second'!K185)</f>
        <v/>
      </c>
      <c r="M5432" s="67" t="str">
        <f t="shared" si="258"/>
        <v/>
      </c>
      <c r="N5432" s="76" t="str">
        <f t="shared" si="259"/>
        <v/>
      </c>
      <c r="O5432" s="33">
        <f t="shared" si="257"/>
        <v>0</v>
      </c>
    </row>
    <row r="5433" spans="1:15" x14ac:dyDescent="0.25">
      <c r="A5433" s="93" t="s">
        <v>191</v>
      </c>
      <c r="B5433" s="79" t="str">
        <f>IF('Twenty-Second'!B186="", "",'Twenty-Second'!B186)</f>
        <v/>
      </c>
      <c r="C5433" s="66" t="str">
        <f>IF('Twenty-Second'!C186="", "",'Twenty-Second'!C186)</f>
        <v/>
      </c>
      <c r="D5433" s="66" t="str">
        <f>IF('Twenty-Second'!D186="", "",'Twenty-Second'!D186)</f>
        <v/>
      </c>
      <c r="E5433" s="66" t="str">
        <f>IF('Twenty-Second'!E186="", "",'Twenty-Second'!E186)</f>
        <v/>
      </c>
      <c r="F5433" s="66" t="str">
        <f>IF('Twenty-Second'!F186="", "",'Twenty-Second'!F186)</f>
        <v/>
      </c>
      <c r="G5433" s="66" t="str">
        <f>IF('Twenty-Second'!G186="", "",'Twenty-Second'!G186)</f>
        <v/>
      </c>
      <c r="H5433" s="66" t="str">
        <f>IF('Twenty-Second'!H186="", "",'Twenty-Second'!H186)</f>
        <v/>
      </c>
      <c r="I5433" s="66" t="str">
        <f>IF('Twenty-Second'!I186="", "",'Twenty-Second'!I186)</f>
        <v/>
      </c>
      <c r="J5433" s="66" t="str">
        <f>IF('Twenty-Second'!J186="", "",'Twenty-Second'!J186)</f>
        <v/>
      </c>
      <c r="K5433" s="86" t="str">
        <f>IF('Twenty-Second'!K186="", "",'Twenty-Second'!K186)</f>
        <v/>
      </c>
      <c r="M5433" s="67" t="str">
        <f t="shared" si="258"/>
        <v/>
      </c>
      <c r="N5433" s="76" t="str">
        <f t="shared" si="259"/>
        <v/>
      </c>
      <c r="O5433" s="33">
        <f t="shared" si="257"/>
        <v>0</v>
      </c>
    </row>
    <row r="5434" spans="1:15" x14ac:dyDescent="0.25">
      <c r="A5434" s="93" t="s">
        <v>191</v>
      </c>
      <c r="B5434" s="79" t="str">
        <f>IF('Twenty-Second'!B187="", "",'Twenty-Second'!B187)</f>
        <v/>
      </c>
      <c r="C5434" s="66" t="str">
        <f>IF('Twenty-Second'!C187="", "",'Twenty-Second'!C187)</f>
        <v/>
      </c>
      <c r="D5434" s="66" t="str">
        <f>IF('Twenty-Second'!D187="", "",'Twenty-Second'!D187)</f>
        <v/>
      </c>
      <c r="E5434" s="66" t="str">
        <f>IF('Twenty-Second'!E187="", "",'Twenty-Second'!E187)</f>
        <v/>
      </c>
      <c r="F5434" s="66" t="str">
        <f>IF('Twenty-Second'!F187="", "",'Twenty-Second'!F187)</f>
        <v/>
      </c>
      <c r="G5434" s="66" t="str">
        <f>IF('Twenty-Second'!G187="", "",'Twenty-Second'!G187)</f>
        <v/>
      </c>
      <c r="H5434" s="66" t="str">
        <f>IF('Twenty-Second'!H187="", "",'Twenty-Second'!H187)</f>
        <v/>
      </c>
      <c r="I5434" s="66" t="str">
        <f>IF('Twenty-Second'!I187="", "",'Twenty-Second'!I187)</f>
        <v/>
      </c>
      <c r="J5434" s="66" t="str">
        <f>IF('Twenty-Second'!J187="", "",'Twenty-Second'!J187)</f>
        <v/>
      </c>
      <c r="K5434" s="86" t="str">
        <f>IF('Twenty-Second'!K187="", "",'Twenty-Second'!K187)</f>
        <v/>
      </c>
      <c r="M5434" s="67" t="str">
        <f t="shared" si="258"/>
        <v/>
      </c>
      <c r="N5434" s="76" t="str">
        <f t="shared" si="259"/>
        <v/>
      </c>
      <c r="O5434" s="33">
        <f t="shared" si="257"/>
        <v>0</v>
      </c>
    </row>
    <row r="5435" spans="1:15" x14ac:dyDescent="0.25">
      <c r="A5435" s="93" t="s">
        <v>191</v>
      </c>
      <c r="B5435" s="79" t="str">
        <f>IF('Twenty-Second'!B188="", "",'Twenty-Second'!B188)</f>
        <v/>
      </c>
      <c r="C5435" s="66" t="str">
        <f>IF('Twenty-Second'!C188="", "",'Twenty-Second'!C188)</f>
        <v/>
      </c>
      <c r="D5435" s="66" t="str">
        <f>IF('Twenty-Second'!D188="", "",'Twenty-Second'!D188)</f>
        <v/>
      </c>
      <c r="E5435" s="66" t="str">
        <f>IF('Twenty-Second'!E188="", "",'Twenty-Second'!E188)</f>
        <v/>
      </c>
      <c r="F5435" s="66" t="str">
        <f>IF('Twenty-Second'!F188="", "",'Twenty-Second'!F188)</f>
        <v/>
      </c>
      <c r="G5435" s="66" t="str">
        <f>IF('Twenty-Second'!G188="", "",'Twenty-Second'!G188)</f>
        <v/>
      </c>
      <c r="H5435" s="66" t="str">
        <f>IF('Twenty-Second'!H188="", "",'Twenty-Second'!H188)</f>
        <v/>
      </c>
      <c r="I5435" s="66" t="str">
        <f>IF('Twenty-Second'!I188="", "",'Twenty-Second'!I188)</f>
        <v/>
      </c>
      <c r="J5435" s="66" t="str">
        <f>IF('Twenty-Second'!J188="", "",'Twenty-Second'!J188)</f>
        <v/>
      </c>
      <c r="K5435" s="86" t="str">
        <f>IF('Twenty-Second'!K188="", "",'Twenty-Second'!K188)</f>
        <v/>
      </c>
      <c r="M5435" s="67" t="str">
        <f t="shared" si="258"/>
        <v/>
      </c>
      <c r="N5435" s="76" t="str">
        <f t="shared" si="259"/>
        <v/>
      </c>
      <c r="O5435" s="33">
        <f t="shared" si="257"/>
        <v>0</v>
      </c>
    </row>
    <row r="5436" spans="1:15" x14ac:dyDescent="0.25">
      <c r="A5436" s="93" t="s">
        <v>191</v>
      </c>
      <c r="B5436" s="79" t="str">
        <f>IF('Twenty-Second'!B189="", "",'Twenty-Second'!B189)</f>
        <v/>
      </c>
      <c r="C5436" s="66" t="str">
        <f>IF('Twenty-Second'!C189="", "",'Twenty-Second'!C189)</f>
        <v/>
      </c>
      <c r="D5436" s="66" t="str">
        <f>IF('Twenty-Second'!D189="", "",'Twenty-Second'!D189)</f>
        <v/>
      </c>
      <c r="E5436" s="66" t="str">
        <f>IF('Twenty-Second'!E189="", "",'Twenty-Second'!E189)</f>
        <v/>
      </c>
      <c r="F5436" s="66" t="str">
        <f>IF('Twenty-Second'!F189="", "",'Twenty-Second'!F189)</f>
        <v/>
      </c>
      <c r="G5436" s="66" t="str">
        <f>IF('Twenty-Second'!G189="", "",'Twenty-Second'!G189)</f>
        <v/>
      </c>
      <c r="H5436" s="66" t="str">
        <f>IF('Twenty-Second'!H189="", "",'Twenty-Second'!H189)</f>
        <v/>
      </c>
      <c r="I5436" s="66" t="str">
        <f>IF('Twenty-Second'!I189="", "",'Twenty-Second'!I189)</f>
        <v/>
      </c>
      <c r="J5436" s="66" t="str">
        <f>IF('Twenty-Second'!J189="", "",'Twenty-Second'!J189)</f>
        <v/>
      </c>
      <c r="K5436" s="86" t="str">
        <f>IF('Twenty-Second'!K189="", "",'Twenty-Second'!K189)</f>
        <v/>
      </c>
      <c r="M5436" s="67" t="str">
        <f t="shared" si="258"/>
        <v/>
      </c>
      <c r="N5436" s="76" t="str">
        <f t="shared" si="259"/>
        <v/>
      </c>
      <c r="O5436" s="33">
        <f t="shared" si="257"/>
        <v>0</v>
      </c>
    </row>
    <row r="5437" spans="1:15" x14ac:dyDescent="0.25">
      <c r="A5437" s="93" t="s">
        <v>191</v>
      </c>
      <c r="B5437" s="79" t="str">
        <f>IF('Twenty-Second'!B190="", "",'Twenty-Second'!B190)</f>
        <v/>
      </c>
      <c r="C5437" s="66" t="str">
        <f>IF('Twenty-Second'!C190="", "",'Twenty-Second'!C190)</f>
        <v/>
      </c>
      <c r="D5437" s="66" t="str">
        <f>IF('Twenty-Second'!D190="", "",'Twenty-Second'!D190)</f>
        <v/>
      </c>
      <c r="E5437" s="66" t="str">
        <f>IF('Twenty-Second'!E190="", "",'Twenty-Second'!E190)</f>
        <v/>
      </c>
      <c r="F5437" s="66" t="str">
        <f>IF('Twenty-Second'!F190="", "",'Twenty-Second'!F190)</f>
        <v/>
      </c>
      <c r="G5437" s="66" t="str">
        <f>IF('Twenty-Second'!G190="", "",'Twenty-Second'!G190)</f>
        <v/>
      </c>
      <c r="H5437" s="66" t="str">
        <f>IF('Twenty-Second'!H190="", "",'Twenty-Second'!H190)</f>
        <v/>
      </c>
      <c r="I5437" s="66" t="str">
        <f>IF('Twenty-Second'!I190="", "",'Twenty-Second'!I190)</f>
        <v/>
      </c>
      <c r="J5437" s="66" t="str">
        <f>IF('Twenty-Second'!J190="", "",'Twenty-Second'!J190)</f>
        <v/>
      </c>
      <c r="K5437" s="86" t="str">
        <f>IF('Twenty-Second'!K190="", "",'Twenty-Second'!K190)</f>
        <v/>
      </c>
      <c r="M5437" s="67" t="str">
        <f t="shared" si="258"/>
        <v/>
      </c>
      <c r="N5437" s="76" t="str">
        <f t="shared" si="259"/>
        <v/>
      </c>
      <c r="O5437" s="33">
        <f t="shared" si="257"/>
        <v>0</v>
      </c>
    </row>
    <row r="5438" spans="1:15" x14ac:dyDescent="0.25">
      <c r="A5438" s="93" t="s">
        <v>191</v>
      </c>
      <c r="B5438" s="79" t="str">
        <f>IF('Twenty-Second'!B191="", "",'Twenty-Second'!B191)</f>
        <v/>
      </c>
      <c r="C5438" s="66" t="str">
        <f>IF('Twenty-Second'!C191="", "",'Twenty-Second'!C191)</f>
        <v/>
      </c>
      <c r="D5438" s="66" t="str">
        <f>IF('Twenty-Second'!D191="", "",'Twenty-Second'!D191)</f>
        <v/>
      </c>
      <c r="E5438" s="66" t="str">
        <f>IF('Twenty-Second'!E191="", "",'Twenty-Second'!E191)</f>
        <v/>
      </c>
      <c r="F5438" s="66" t="str">
        <f>IF('Twenty-Second'!F191="", "",'Twenty-Second'!F191)</f>
        <v/>
      </c>
      <c r="G5438" s="66" t="str">
        <f>IF('Twenty-Second'!G191="", "",'Twenty-Second'!G191)</f>
        <v/>
      </c>
      <c r="H5438" s="66" t="str">
        <f>IF('Twenty-Second'!H191="", "",'Twenty-Second'!H191)</f>
        <v/>
      </c>
      <c r="I5438" s="66" t="str">
        <f>IF('Twenty-Second'!I191="", "",'Twenty-Second'!I191)</f>
        <v/>
      </c>
      <c r="J5438" s="66" t="str">
        <f>IF('Twenty-Second'!J191="", "",'Twenty-Second'!J191)</f>
        <v/>
      </c>
      <c r="K5438" s="86" t="str">
        <f>IF('Twenty-Second'!K191="", "",'Twenty-Second'!K191)</f>
        <v/>
      </c>
      <c r="M5438" s="67" t="str">
        <f t="shared" si="258"/>
        <v/>
      </c>
      <c r="N5438" s="76" t="str">
        <f t="shared" si="259"/>
        <v/>
      </c>
      <c r="O5438" s="33">
        <f t="shared" si="257"/>
        <v>0</v>
      </c>
    </row>
    <row r="5439" spans="1:15" x14ac:dyDescent="0.25">
      <c r="A5439" s="93" t="s">
        <v>191</v>
      </c>
      <c r="B5439" s="79" t="str">
        <f>IF('Twenty-Second'!B192="", "",'Twenty-Second'!B192)</f>
        <v/>
      </c>
      <c r="C5439" s="66" t="str">
        <f>IF('Twenty-Second'!C192="", "",'Twenty-Second'!C192)</f>
        <v/>
      </c>
      <c r="D5439" s="66" t="str">
        <f>IF('Twenty-Second'!D192="", "",'Twenty-Second'!D192)</f>
        <v/>
      </c>
      <c r="E5439" s="66" t="str">
        <f>IF('Twenty-Second'!E192="", "",'Twenty-Second'!E192)</f>
        <v/>
      </c>
      <c r="F5439" s="66" t="str">
        <f>IF('Twenty-Second'!F192="", "",'Twenty-Second'!F192)</f>
        <v/>
      </c>
      <c r="G5439" s="66" t="str">
        <f>IF('Twenty-Second'!G192="", "",'Twenty-Second'!G192)</f>
        <v/>
      </c>
      <c r="H5439" s="66" t="str">
        <f>IF('Twenty-Second'!H192="", "",'Twenty-Second'!H192)</f>
        <v/>
      </c>
      <c r="I5439" s="66" t="str">
        <f>IF('Twenty-Second'!I192="", "",'Twenty-Second'!I192)</f>
        <v/>
      </c>
      <c r="J5439" s="66" t="str">
        <f>IF('Twenty-Second'!J192="", "",'Twenty-Second'!J192)</f>
        <v/>
      </c>
      <c r="K5439" s="86" t="str">
        <f>IF('Twenty-Second'!K192="", "",'Twenty-Second'!K192)</f>
        <v/>
      </c>
      <c r="M5439" s="67" t="str">
        <f t="shared" si="258"/>
        <v/>
      </c>
      <c r="N5439" s="76" t="str">
        <f t="shared" si="259"/>
        <v/>
      </c>
      <c r="O5439" s="33">
        <f t="shared" si="257"/>
        <v>0</v>
      </c>
    </row>
    <row r="5440" spans="1:15" x14ac:dyDescent="0.25">
      <c r="A5440" s="93" t="s">
        <v>191</v>
      </c>
      <c r="B5440" s="79" t="str">
        <f>IF('Twenty-Second'!B193="", "",'Twenty-Second'!B193)</f>
        <v/>
      </c>
      <c r="C5440" s="66" t="str">
        <f>IF('Twenty-Second'!C193="", "",'Twenty-Second'!C193)</f>
        <v/>
      </c>
      <c r="D5440" s="66" t="str">
        <f>IF('Twenty-Second'!D193="", "",'Twenty-Second'!D193)</f>
        <v/>
      </c>
      <c r="E5440" s="66" t="str">
        <f>IF('Twenty-Second'!E193="", "",'Twenty-Second'!E193)</f>
        <v/>
      </c>
      <c r="F5440" s="66" t="str">
        <f>IF('Twenty-Second'!F193="", "",'Twenty-Second'!F193)</f>
        <v/>
      </c>
      <c r="G5440" s="66" t="str">
        <f>IF('Twenty-Second'!G193="", "",'Twenty-Second'!G193)</f>
        <v/>
      </c>
      <c r="H5440" s="66" t="str">
        <f>IF('Twenty-Second'!H193="", "",'Twenty-Second'!H193)</f>
        <v/>
      </c>
      <c r="I5440" s="66" t="str">
        <f>IF('Twenty-Second'!I193="", "",'Twenty-Second'!I193)</f>
        <v/>
      </c>
      <c r="J5440" s="66" t="str">
        <f>IF('Twenty-Second'!J193="", "",'Twenty-Second'!J193)</f>
        <v/>
      </c>
      <c r="K5440" s="86" t="str">
        <f>IF('Twenty-Second'!K193="", "",'Twenty-Second'!K193)</f>
        <v/>
      </c>
      <c r="M5440" s="67" t="str">
        <f t="shared" si="258"/>
        <v/>
      </c>
      <c r="N5440" s="76" t="str">
        <f t="shared" si="259"/>
        <v/>
      </c>
      <c r="O5440" s="33">
        <f t="shared" si="257"/>
        <v>0</v>
      </c>
    </row>
    <row r="5441" spans="1:15" x14ac:dyDescent="0.25">
      <c r="A5441" s="93" t="s">
        <v>191</v>
      </c>
      <c r="B5441" s="79" t="str">
        <f>IF('Twenty-Second'!B194="", "",'Twenty-Second'!B194)</f>
        <v/>
      </c>
      <c r="C5441" s="66" t="str">
        <f>IF('Twenty-Second'!C194="", "",'Twenty-Second'!C194)</f>
        <v/>
      </c>
      <c r="D5441" s="66" t="str">
        <f>IF('Twenty-Second'!D194="", "",'Twenty-Second'!D194)</f>
        <v/>
      </c>
      <c r="E5441" s="66" t="str">
        <f>IF('Twenty-Second'!E194="", "",'Twenty-Second'!E194)</f>
        <v/>
      </c>
      <c r="F5441" s="66" t="str">
        <f>IF('Twenty-Second'!F194="", "",'Twenty-Second'!F194)</f>
        <v/>
      </c>
      <c r="G5441" s="66" t="str">
        <f>IF('Twenty-Second'!G194="", "",'Twenty-Second'!G194)</f>
        <v/>
      </c>
      <c r="H5441" s="66" t="str">
        <f>IF('Twenty-Second'!H194="", "",'Twenty-Second'!H194)</f>
        <v/>
      </c>
      <c r="I5441" s="66" t="str">
        <f>IF('Twenty-Second'!I194="", "",'Twenty-Second'!I194)</f>
        <v/>
      </c>
      <c r="J5441" s="66" t="str">
        <f>IF('Twenty-Second'!J194="", "",'Twenty-Second'!J194)</f>
        <v/>
      </c>
      <c r="K5441" s="86" t="str">
        <f>IF('Twenty-Second'!K194="", "",'Twenty-Second'!K194)</f>
        <v/>
      </c>
      <c r="M5441" s="67" t="str">
        <f t="shared" si="258"/>
        <v/>
      </c>
      <c r="N5441" s="76" t="str">
        <f t="shared" si="259"/>
        <v/>
      </c>
      <c r="O5441" s="33">
        <f t="shared" si="257"/>
        <v>0</v>
      </c>
    </row>
    <row r="5442" spans="1:15" x14ac:dyDescent="0.25">
      <c r="A5442" s="93" t="s">
        <v>191</v>
      </c>
      <c r="B5442" s="79" t="str">
        <f>IF('Twenty-Second'!B195="", "",'Twenty-Second'!B195)</f>
        <v/>
      </c>
      <c r="C5442" s="66" t="str">
        <f>IF('Twenty-Second'!C195="", "",'Twenty-Second'!C195)</f>
        <v/>
      </c>
      <c r="D5442" s="66" t="str">
        <f>IF('Twenty-Second'!D195="", "",'Twenty-Second'!D195)</f>
        <v/>
      </c>
      <c r="E5442" s="66" t="str">
        <f>IF('Twenty-Second'!E195="", "",'Twenty-Second'!E195)</f>
        <v/>
      </c>
      <c r="F5442" s="66" t="str">
        <f>IF('Twenty-Second'!F195="", "",'Twenty-Second'!F195)</f>
        <v/>
      </c>
      <c r="G5442" s="66" t="str">
        <f>IF('Twenty-Second'!G195="", "",'Twenty-Second'!G195)</f>
        <v/>
      </c>
      <c r="H5442" s="66" t="str">
        <f>IF('Twenty-Second'!H195="", "",'Twenty-Second'!H195)</f>
        <v/>
      </c>
      <c r="I5442" s="66" t="str">
        <f>IF('Twenty-Second'!I195="", "",'Twenty-Second'!I195)</f>
        <v/>
      </c>
      <c r="J5442" s="66" t="str">
        <f>IF('Twenty-Second'!J195="", "",'Twenty-Second'!J195)</f>
        <v/>
      </c>
      <c r="K5442" s="86" t="str">
        <f>IF('Twenty-Second'!K195="", "",'Twenty-Second'!K195)</f>
        <v/>
      </c>
      <c r="M5442" s="67" t="str">
        <f t="shared" si="258"/>
        <v/>
      </c>
      <c r="N5442" s="76" t="str">
        <f t="shared" si="259"/>
        <v/>
      </c>
      <c r="O5442" s="33">
        <f t="shared" si="257"/>
        <v>0</v>
      </c>
    </row>
    <row r="5443" spans="1:15" x14ac:dyDescent="0.25">
      <c r="A5443" s="93" t="s">
        <v>191</v>
      </c>
      <c r="B5443" s="79" t="str">
        <f>IF('Twenty-Second'!B196="", "",'Twenty-Second'!B196)</f>
        <v/>
      </c>
      <c r="C5443" s="66" t="str">
        <f>IF('Twenty-Second'!C196="", "",'Twenty-Second'!C196)</f>
        <v/>
      </c>
      <c r="D5443" s="66" t="str">
        <f>IF('Twenty-Second'!D196="", "",'Twenty-Second'!D196)</f>
        <v/>
      </c>
      <c r="E5443" s="66" t="str">
        <f>IF('Twenty-Second'!E196="", "",'Twenty-Second'!E196)</f>
        <v/>
      </c>
      <c r="F5443" s="66" t="str">
        <f>IF('Twenty-Second'!F196="", "",'Twenty-Second'!F196)</f>
        <v/>
      </c>
      <c r="G5443" s="66" t="str">
        <f>IF('Twenty-Second'!G196="", "",'Twenty-Second'!G196)</f>
        <v/>
      </c>
      <c r="H5443" s="66" t="str">
        <f>IF('Twenty-Second'!H196="", "",'Twenty-Second'!H196)</f>
        <v/>
      </c>
      <c r="I5443" s="66" t="str">
        <f>IF('Twenty-Second'!I196="", "",'Twenty-Second'!I196)</f>
        <v/>
      </c>
      <c r="J5443" s="66" t="str">
        <f>IF('Twenty-Second'!J196="", "",'Twenty-Second'!J196)</f>
        <v/>
      </c>
      <c r="K5443" s="86" t="str">
        <f>IF('Twenty-Second'!K196="", "",'Twenty-Second'!K196)</f>
        <v/>
      </c>
      <c r="M5443" s="67" t="str">
        <f t="shared" si="258"/>
        <v/>
      </c>
      <c r="N5443" s="76" t="str">
        <f t="shared" si="259"/>
        <v/>
      </c>
      <c r="O5443" s="33">
        <f t="shared" si="257"/>
        <v>0</v>
      </c>
    </row>
    <row r="5444" spans="1:15" x14ac:dyDescent="0.25">
      <c r="A5444" s="93" t="s">
        <v>191</v>
      </c>
      <c r="B5444" s="79" t="str">
        <f>IF('Twenty-Second'!B197="", "",'Twenty-Second'!B197)</f>
        <v/>
      </c>
      <c r="C5444" s="66" t="str">
        <f>IF('Twenty-Second'!C197="", "",'Twenty-Second'!C197)</f>
        <v/>
      </c>
      <c r="D5444" s="66" t="str">
        <f>IF('Twenty-Second'!D197="", "",'Twenty-Second'!D197)</f>
        <v/>
      </c>
      <c r="E5444" s="66" t="str">
        <f>IF('Twenty-Second'!E197="", "",'Twenty-Second'!E197)</f>
        <v/>
      </c>
      <c r="F5444" s="66" t="str">
        <f>IF('Twenty-Second'!F197="", "",'Twenty-Second'!F197)</f>
        <v/>
      </c>
      <c r="G5444" s="66" t="str">
        <f>IF('Twenty-Second'!G197="", "",'Twenty-Second'!G197)</f>
        <v/>
      </c>
      <c r="H5444" s="66" t="str">
        <f>IF('Twenty-Second'!H197="", "",'Twenty-Second'!H197)</f>
        <v/>
      </c>
      <c r="I5444" s="66" t="str">
        <f>IF('Twenty-Second'!I197="", "",'Twenty-Second'!I197)</f>
        <v/>
      </c>
      <c r="J5444" s="66" t="str">
        <f>IF('Twenty-Second'!J197="", "",'Twenty-Second'!J197)</f>
        <v/>
      </c>
      <c r="K5444" s="86" t="str">
        <f>IF('Twenty-Second'!K197="", "",'Twenty-Second'!K197)</f>
        <v/>
      </c>
      <c r="M5444" s="67" t="str">
        <f t="shared" si="258"/>
        <v/>
      </c>
      <c r="N5444" s="76" t="str">
        <f t="shared" si="259"/>
        <v/>
      </c>
      <c r="O5444" s="33">
        <f t="shared" si="257"/>
        <v>0</v>
      </c>
    </row>
    <row r="5445" spans="1:15" x14ac:dyDescent="0.25">
      <c r="A5445" s="93" t="s">
        <v>191</v>
      </c>
      <c r="B5445" s="79" t="str">
        <f>IF('Twenty-Second'!B198="", "",'Twenty-Second'!B198)</f>
        <v/>
      </c>
      <c r="C5445" s="66" t="str">
        <f>IF('Twenty-Second'!C198="", "",'Twenty-Second'!C198)</f>
        <v/>
      </c>
      <c r="D5445" s="66" t="str">
        <f>IF('Twenty-Second'!D198="", "",'Twenty-Second'!D198)</f>
        <v/>
      </c>
      <c r="E5445" s="66" t="str">
        <f>IF('Twenty-Second'!E198="", "",'Twenty-Second'!E198)</f>
        <v/>
      </c>
      <c r="F5445" s="66" t="str">
        <f>IF('Twenty-Second'!F198="", "",'Twenty-Second'!F198)</f>
        <v/>
      </c>
      <c r="G5445" s="66" t="str">
        <f>IF('Twenty-Second'!G198="", "",'Twenty-Second'!G198)</f>
        <v/>
      </c>
      <c r="H5445" s="66" t="str">
        <f>IF('Twenty-Second'!H198="", "",'Twenty-Second'!H198)</f>
        <v/>
      </c>
      <c r="I5445" s="66" t="str">
        <f>IF('Twenty-Second'!I198="", "",'Twenty-Second'!I198)</f>
        <v/>
      </c>
      <c r="J5445" s="66" t="str">
        <f>IF('Twenty-Second'!J198="", "",'Twenty-Second'!J198)</f>
        <v/>
      </c>
      <c r="K5445" s="86" t="str">
        <f>IF('Twenty-Second'!K198="", "",'Twenty-Second'!K198)</f>
        <v/>
      </c>
      <c r="M5445" s="67" t="str">
        <f t="shared" si="258"/>
        <v/>
      </c>
      <c r="N5445" s="76" t="str">
        <f t="shared" si="259"/>
        <v/>
      </c>
      <c r="O5445" s="33">
        <f t="shared" si="257"/>
        <v>0</v>
      </c>
    </row>
    <row r="5446" spans="1:15" x14ac:dyDescent="0.25">
      <c r="A5446" s="93" t="s">
        <v>191</v>
      </c>
      <c r="B5446" s="79" t="str">
        <f>IF('Twenty-Second'!B199="", "",'Twenty-Second'!B199)</f>
        <v/>
      </c>
      <c r="C5446" s="66" t="str">
        <f>IF('Twenty-Second'!C199="", "",'Twenty-Second'!C199)</f>
        <v/>
      </c>
      <c r="D5446" s="66" t="str">
        <f>IF('Twenty-Second'!D199="", "",'Twenty-Second'!D199)</f>
        <v/>
      </c>
      <c r="E5446" s="66" t="str">
        <f>IF('Twenty-Second'!E199="", "",'Twenty-Second'!E199)</f>
        <v/>
      </c>
      <c r="F5446" s="66" t="str">
        <f>IF('Twenty-Second'!F199="", "",'Twenty-Second'!F199)</f>
        <v/>
      </c>
      <c r="G5446" s="66" t="str">
        <f>IF('Twenty-Second'!G199="", "",'Twenty-Second'!G199)</f>
        <v/>
      </c>
      <c r="H5446" s="66" t="str">
        <f>IF('Twenty-Second'!H199="", "",'Twenty-Second'!H199)</f>
        <v/>
      </c>
      <c r="I5446" s="66" t="str">
        <f>IF('Twenty-Second'!I199="", "",'Twenty-Second'!I199)</f>
        <v/>
      </c>
      <c r="J5446" s="66" t="str">
        <f>IF('Twenty-Second'!J199="", "",'Twenty-Second'!J199)</f>
        <v/>
      </c>
      <c r="K5446" s="86" t="str">
        <f>IF('Twenty-Second'!K199="", "",'Twenty-Second'!K199)</f>
        <v/>
      </c>
      <c r="M5446" s="67" t="str">
        <f t="shared" si="258"/>
        <v/>
      </c>
      <c r="N5446" s="76" t="str">
        <f t="shared" si="259"/>
        <v/>
      </c>
      <c r="O5446" s="33">
        <f t="shared" si="257"/>
        <v>0</v>
      </c>
    </row>
    <row r="5447" spans="1:15" x14ac:dyDescent="0.25">
      <c r="A5447" s="93" t="s">
        <v>191</v>
      </c>
      <c r="B5447" s="79" t="str">
        <f>IF('Twenty-Second'!B200="", "",'Twenty-Second'!B200)</f>
        <v/>
      </c>
      <c r="C5447" s="66" t="str">
        <f>IF('Twenty-Second'!C200="", "",'Twenty-Second'!C200)</f>
        <v/>
      </c>
      <c r="D5447" s="66" t="str">
        <f>IF('Twenty-Second'!D200="", "",'Twenty-Second'!D200)</f>
        <v/>
      </c>
      <c r="E5447" s="66" t="str">
        <f>IF('Twenty-Second'!E200="", "",'Twenty-Second'!E200)</f>
        <v/>
      </c>
      <c r="F5447" s="66" t="str">
        <f>IF('Twenty-Second'!F200="", "",'Twenty-Second'!F200)</f>
        <v/>
      </c>
      <c r="G5447" s="66" t="str">
        <f>IF('Twenty-Second'!G200="", "",'Twenty-Second'!G200)</f>
        <v/>
      </c>
      <c r="H5447" s="66" t="str">
        <f>IF('Twenty-Second'!H200="", "",'Twenty-Second'!H200)</f>
        <v/>
      </c>
      <c r="I5447" s="66" t="str">
        <f>IF('Twenty-Second'!I200="", "",'Twenty-Second'!I200)</f>
        <v/>
      </c>
      <c r="J5447" s="66" t="str">
        <f>IF('Twenty-Second'!J200="", "",'Twenty-Second'!J200)</f>
        <v/>
      </c>
      <c r="K5447" s="86" t="str">
        <f>IF('Twenty-Second'!K200="", "",'Twenty-Second'!K200)</f>
        <v/>
      </c>
      <c r="M5447" s="67" t="str">
        <f t="shared" si="258"/>
        <v/>
      </c>
      <c r="N5447" s="76" t="str">
        <f t="shared" si="259"/>
        <v/>
      </c>
      <c r="O5447" s="33">
        <f t="shared" si="257"/>
        <v>0</v>
      </c>
    </row>
    <row r="5448" spans="1:15" x14ac:dyDescent="0.25">
      <c r="A5448" s="93" t="s">
        <v>191</v>
      </c>
      <c r="B5448" s="79" t="str">
        <f>IF('Twenty-Second'!B201="", "",'Twenty-Second'!B201)</f>
        <v/>
      </c>
      <c r="C5448" s="66" t="str">
        <f>IF('Twenty-Second'!C201="", "",'Twenty-Second'!C201)</f>
        <v/>
      </c>
      <c r="D5448" s="66" t="str">
        <f>IF('Twenty-Second'!D201="", "",'Twenty-Second'!D201)</f>
        <v/>
      </c>
      <c r="E5448" s="66" t="str">
        <f>IF('Twenty-Second'!E201="", "",'Twenty-Second'!E201)</f>
        <v/>
      </c>
      <c r="F5448" s="66" t="str">
        <f>IF('Twenty-Second'!F201="", "",'Twenty-Second'!F201)</f>
        <v/>
      </c>
      <c r="G5448" s="66" t="str">
        <f>IF('Twenty-Second'!G201="", "",'Twenty-Second'!G201)</f>
        <v/>
      </c>
      <c r="H5448" s="66" t="str">
        <f>IF('Twenty-Second'!H201="", "",'Twenty-Second'!H201)</f>
        <v/>
      </c>
      <c r="I5448" s="66" t="str">
        <f>IF('Twenty-Second'!I201="", "",'Twenty-Second'!I201)</f>
        <v/>
      </c>
      <c r="J5448" s="66" t="str">
        <f>IF('Twenty-Second'!J201="", "",'Twenty-Second'!J201)</f>
        <v/>
      </c>
      <c r="K5448" s="86" t="str">
        <f>IF('Twenty-Second'!K201="", "",'Twenty-Second'!K201)</f>
        <v/>
      </c>
      <c r="M5448" s="67" t="str">
        <f t="shared" si="258"/>
        <v/>
      </c>
      <c r="N5448" s="76" t="str">
        <f t="shared" si="259"/>
        <v/>
      </c>
      <c r="O5448" s="33">
        <f t="shared" si="257"/>
        <v>0</v>
      </c>
    </row>
    <row r="5449" spans="1:15" x14ac:dyDescent="0.25">
      <c r="A5449" s="93" t="s">
        <v>191</v>
      </c>
      <c r="B5449" s="79" t="str">
        <f>IF('Twenty-Second'!B202="", "",'Twenty-Second'!B202)</f>
        <v/>
      </c>
      <c r="C5449" s="66" t="str">
        <f>IF('Twenty-Second'!C202="", "",'Twenty-Second'!C202)</f>
        <v/>
      </c>
      <c r="D5449" s="66" t="str">
        <f>IF('Twenty-Second'!D202="", "",'Twenty-Second'!D202)</f>
        <v/>
      </c>
      <c r="E5449" s="66" t="str">
        <f>IF('Twenty-Second'!E202="", "",'Twenty-Second'!E202)</f>
        <v/>
      </c>
      <c r="F5449" s="66" t="str">
        <f>IF('Twenty-Second'!F202="", "",'Twenty-Second'!F202)</f>
        <v/>
      </c>
      <c r="G5449" s="66" t="str">
        <f>IF('Twenty-Second'!G202="", "",'Twenty-Second'!G202)</f>
        <v/>
      </c>
      <c r="H5449" s="66" t="str">
        <f>IF('Twenty-Second'!H202="", "",'Twenty-Second'!H202)</f>
        <v/>
      </c>
      <c r="I5449" s="66" t="str">
        <f>IF('Twenty-Second'!I202="", "",'Twenty-Second'!I202)</f>
        <v/>
      </c>
      <c r="J5449" s="66" t="str">
        <f>IF('Twenty-Second'!J202="", "",'Twenty-Second'!J202)</f>
        <v/>
      </c>
      <c r="K5449" s="86" t="str">
        <f>IF('Twenty-Second'!K202="", "",'Twenty-Second'!K202)</f>
        <v/>
      </c>
      <c r="M5449" s="67" t="str">
        <f t="shared" si="258"/>
        <v/>
      </c>
      <c r="N5449" s="76" t="str">
        <f t="shared" si="259"/>
        <v/>
      </c>
      <c r="O5449" s="33">
        <f t="shared" si="257"/>
        <v>0</v>
      </c>
    </row>
    <row r="5450" spans="1:15" x14ac:dyDescent="0.25">
      <c r="A5450" s="93" t="s">
        <v>191</v>
      </c>
      <c r="B5450" s="79" t="str">
        <f>IF('Twenty-Second'!B203="", "",'Twenty-Second'!B203)</f>
        <v/>
      </c>
      <c r="C5450" s="66" t="str">
        <f>IF('Twenty-Second'!C203="", "",'Twenty-Second'!C203)</f>
        <v/>
      </c>
      <c r="D5450" s="66" t="str">
        <f>IF('Twenty-Second'!D203="", "",'Twenty-Second'!D203)</f>
        <v/>
      </c>
      <c r="E5450" s="66" t="str">
        <f>IF('Twenty-Second'!E203="", "",'Twenty-Second'!E203)</f>
        <v/>
      </c>
      <c r="F5450" s="66" t="str">
        <f>IF('Twenty-Second'!F203="", "",'Twenty-Second'!F203)</f>
        <v/>
      </c>
      <c r="G5450" s="66" t="str">
        <f>IF('Twenty-Second'!G203="", "",'Twenty-Second'!G203)</f>
        <v/>
      </c>
      <c r="H5450" s="66" t="str">
        <f>IF('Twenty-Second'!H203="", "",'Twenty-Second'!H203)</f>
        <v/>
      </c>
      <c r="I5450" s="66" t="str">
        <f>IF('Twenty-Second'!I203="", "",'Twenty-Second'!I203)</f>
        <v/>
      </c>
      <c r="J5450" s="66" t="str">
        <f>IF('Twenty-Second'!J203="", "",'Twenty-Second'!J203)</f>
        <v/>
      </c>
      <c r="K5450" s="86" t="str">
        <f>IF('Twenty-Second'!K203="", "",'Twenty-Second'!K203)</f>
        <v/>
      </c>
      <c r="M5450" s="67" t="str">
        <f t="shared" si="258"/>
        <v/>
      </c>
      <c r="N5450" s="76" t="str">
        <f t="shared" si="259"/>
        <v/>
      </c>
      <c r="O5450" s="33">
        <f t="shared" ref="O5450:O5513" si="260">SUM(M5450:N5450)</f>
        <v>0</v>
      </c>
    </row>
    <row r="5451" spans="1:15" x14ac:dyDescent="0.25">
      <c r="A5451" s="93" t="s">
        <v>191</v>
      </c>
      <c r="B5451" s="79" t="str">
        <f>IF('Twenty-Second'!B204="", "",'Twenty-Second'!B204)</f>
        <v/>
      </c>
      <c r="C5451" s="66" t="str">
        <f>IF('Twenty-Second'!C204="", "",'Twenty-Second'!C204)</f>
        <v/>
      </c>
      <c r="D5451" s="66" t="str">
        <f>IF('Twenty-Second'!D204="", "",'Twenty-Second'!D204)</f>
        <v/>
      </c>
      <c r="E5451" s="66" t="str">
        <f>IF('Twenty-Second'!E204="", "",'Twenty-Second'!E204)</f>
        <v/>
      </c>
      <c r="F5451" s="66" t="str">
        <f>IF('Twenty-Second'!F204="", "",'Twenty-Second'!F204)</f>
        <v/>
      </c>
      <c r="G5451" s="66" t="str">
        <f>IF('Twenty-Second'!G204="", "",'Twenty-Second'!G204)</f>
        <v/>
      </c>
      <c r="H5451" s="66" t="str">
        <f>IF('Twenty-Second'!H204="", "",'Twenty-Second'!H204)</f>
        <v/>
      </c>
      <c r="I5451" s="66" t="str">
        <f>IF('Twenty-Second'!I204="", "",'Twenty-Second'!I204)</f>
        <v/>
      </c>
      <c r="J5451" s="66" t="str">
        <f>IF('Twenty-Second'!J204="", "",'Twenty-Second'!J204)</f>
        <v/>
      </c>
      <c r="K5451" s="86" t="str">
        <f>IF('Twenty-Second'!K204="", "",'Twenty-Second'!K204)</f>
        <v/>
      </c>
      <c r="M5451" s="67" t="str">
        <f t="shared" ref="M5451:M5501" si="261">IF(C5451="PwC",(7-COUNTIF(B5451:H5451,"")),"")</f>
        <v/>
      </c>
      <c r="N5451" s="76" t="str">
        <f t="shared" ref="N5451:N5501" si="262">IF(C5451="Carer",(7-COUNTIF(B5451:H5451,"")),"")</f>
        <v/>
      </c>
      <c r="O5451" s="33">
        <f t="shared" si="260"/>
        <v>0</v>
      </c>
    </row>
    <row r="5452" spans="1:15" x14ac:dyDescent="0.25">
      <c r="A5452" s="93" t="s">
        <v>191</v>
      </c>
      <c r="B5452" s="79" t="str">
        <f>IF('Twenty-Second'!B205="", "",'Twenty-Second'!B205)</f>
        <v/>
      </c>
      <c r="C5452" s="66" t="str">
        <f>IF('Twenty-Second'!C205="", "",'Twenty-Second'!C205)</f>
        <v/>
      </c>
      <c r="D5452" s="66" t="str">
        <f>IF('Twenty-Second'!D205="", "",'Twenty-Second'!D205)</f>
        <v/>
      </c>
      <c r="E5452" s="66" t="str">
        <f>IF('Twenty-Second'!E205="", "",'Twenty-Second'!E205)</f>
        <v/>
      </c>
      <c r="F5452" s="66" t="str">
        <f>IF('Twenty-Second'!F205="", "",'Twenty-Second'!F205)</f>
        <v/>
      </c>
      <c r="G5452" s="66" t="str">
        <f>IF('Twenty-Second'!G205="", "",'Twenty-Second'!G205)</f>
        <v/>
      </c>
      <c r="H5452" s="66" t="str">
        <f>IF('Twenty-Second'!H205="", "",'Twenty-Second'!H205)</f>
        <v/>
      </c>
      <c r="I5452" s="66" t="str">
        <f>IF('Twenty-Second'!I205="", "",'Twenty-Second'!I205)</f>
        <v/>
      </c>
      <c r="J5452" s="66" t="str">
        <f>IF('Twenty-Second'!J205="", "",'Twenty-Second'!J205)</f>
        <v/>
      </c>
      <c r="K5452" s="86" t="str">
        <f>IF('Twenty-Second'!K205="", "",'Twenty-Second'!K205)</f>
        <v/>
      </c>
      <c r="M5452" s="67" t="str">
        <f t="shared" si="261"/>
        <v/>
      </c>
      <c r="N5452" s="76" t="str">
        <f t="shared" si="262"/>
        <v/>
      </c>
      <c r="O5452" s="33">
        <f t="shared" si="260"/>
        <v>0</v>
      </c>
    </row>
    <row r="5453" spans="1:15" x14ac:dyDescent="0.25">
      <c r="A5453" s="93" t="s">
        <v>191</v>
      </c>
      <c r="B5453" s="79" t="str">
        <f>IF('Twenty-Second'!B206="", "",'Twenty-Second'!B206)</f>
        <v/>
      </c>
      <c r="C5453" s="66" t="str">
        <f>IF('Twenty-Second'!C206="", "",'Twenty-Second'!C206)</f>
        <v/>
      </c>
      <c r="D5453" s="66" t="str">
        <f>IF('Twenty-Second'!D206="", "",'Twenty-Second'!D206)</f>
        <v/>
      </c>
      <c r="E5453" s="66" t="str">
        <f>IF('Twenty-Second'!E206="", "",'Twenty-Second'!E206)</f>
        <v/>
      </c>
      <c r="F5453" s="66" t="str">
        <f>IF('Twenty-Second'!F206="", "",'Twenty-Second'!F206)</f>
        <v/>
      </c>
      <c r="G5453" s="66" t="str">
        <f>IF('Twenty-Second'!G206="", "",'Twenty-Second'!G206)</f>
        <v/>
      </c>
      <c r="H5453" s="66" t="str">
        <f>IF('Twenty-Second'!H206="", "",'Twenty-Second'!H206)</f>
        <v/>
      </c>
      <c r="I5453" s="66" t="str">
        <f>IF('Twenty-Second'!I206="", "",'Twenty-Second'!I206)</f>
        <v/>
      </c>
      <c r="J5453" s="66" t="str">
        <f>IF('Twenty-Second'!J206="", "",'Twenty-Second'!J206)</f>
        <v/>
      </c>
      <c r="K5453" s="86" t="str">
        <f>IF('Twenty-Second'!K206="", "",'Twenty-Second'!K206)</f>
        <v/>
      </c>
      <c r="M5453" s="67" t="str">
        <f t="shared" si="261"/>
        <v/>
      </c>
      <c r="N5453" s="76" t="str">
        <f t="shared" si="262"/>
        <v/>
      </c>
      <c r="O5453" s="33">
        <f t="shared" si="260"/>
        <v>0</v>
      </c>
    </row>
    <row r="5454" spans="1:15" x14ac:dyDescent="0.25">
      <c r="A5454" s="93" t="s">
        <v>191</v>
      </c>
      <c r="B5454" s="79" t="str">
        <f>IF('Twenty-Second'!B207="", "",'Twenty-Second'!B207)</f>
        <v/>
      </c>
      <c r="C5454" s="66" t="str">
        <f>IF('Twenty-Second'!C207="", "",'Twenty-Second'!C207)</f>
        <v/>
      </c>
      <c r="D5454" s="66" t="str">
        <f>IF('Twenty-Second'!D207="", "",'Twenty-Second'!D207)</f>
        <v/>
      </c>
      <c r="E5454" s="66" t="str">
        <f>IF('Twenty-Second'!E207="", "",'Twenty-Second'!E207)</f>
        <v/>
      </c>
      <c r="F5454" s="66" t="str">
        <f>IF('Twenty-Second'!F207="", "",'Twenty-Second'!F207)</f>
        <v/>
      </c>
      <c r="G5454" s="66" t="str">
        <f>IF('Twenty-Second'!G207="", "",'Twenty-Second'!G207)</f>
        <v/>
      </c>
      <c r="H5454" s="66" t="str">
        <f>IF('Twenty-Second'!H207="", "",'Twenty-Second'!H207)</f>
        <v/>
      </c>
      <c r="I5454" s="66" t="str">
        <f>IF('Twenty-Second'!I207="", "",'Twenty-Second'!I207)</f>
        <v/>
      </c>
      <c r="J5454" s="66" t="str">
        <f>IF('Twenty-Second'!J207="", "",'Twenty-Second'!J207)</f>
        <v/>
      </c>
      <c r="K5454" s="86" t="str">
        <f>IF('Twenty-Second'!K207="", "",'Twenty-Second'!K207)</f>
        <v/>
      </c>
      <c r="M5454" s="67" t="str">
        <f t="shared" si="261"/>
        <v/>
      </c>
      <c r="N5454" s="76" t="str">
        <f t="shared" si="262"/>
        <v/>
      </c>
      <c r="O5454" s="33">
        <f t="shared" si="260"/>
        <v>0</v>
      </c>
    </row>
    <row r="5455" spans="1:15" x14ac:dyDescent="0.25">
      <c r="A5455" s="93" t="s">
        <v>191</v>
      </c>
      <c r="B5455" s="79" t="str">
        <f>IF('Twenty-Second'!B208="", "",'Twenty-Second'!B208)</f>
        <v/>
      </c>
      <c r="C5455" s="66" t="str">
        <f>IF('Twenty-Second'!C208="", "",'Twenty-Second'!C208)</f>
        <v/>
      </c>
      <c r="D5455" s="66" t="str">
        <f>IF('Twenty-Second'!D208="", "",'Twenty-Second'!D208)</f>
        <v/>
      </c>
      <c r="E5455" s="66" t="str">
        <f>IF('Twenty-Second'!E208="", "",'Twenty-Second'!E208)</f>
        <v/>
      </c>
      <c r="F5455" s="66" t="str">
        <f>IF('Twenty-Second'!F208="", "",'Twenty-Second'!F208)</f>
        <v/>
      </c>
      <c r="G5455" s="66" t="str">
        <f>IF('Twenty-Second'!G208="", "",'Twenty-Second'!G208)</f>
        <v/>
      </c>
      <c r="H5455" s="66" t="str">
        <f>IF('Twenty-Second'!H208="", "",'Twenty-Second'!H208)</f>
        <v/>
      </c>
      <c r="I5455" s="66" t="str">
        <f>IF('Twenty-Second'!I208="", "",'Twenty-Second'!I208)</f>
        <v/>
      </c>
      <c r="J5455" s="66" t="str">
        <f>IF('Twenty-Second'!J208="", "",'Twenty-Second'!J208)</f>
        <v/>
      </c>
      <c r="K5455" s="86" t="str">
        <f>IF('Twenty-Second'!K208="", "",'Twenty-Second'!K208)</f>
        <v/>
      </c>
      <c r="M5455" s="67" t="str">
        <f t="shared" si="261"/>
        <v/>
      </c>
      <c r="N5455" s="76" t="str">
        <f t="shared" si="262"/>
        <v/>
      </c>
      <c r="O5455" s="33">
        <f t="shared" si="260"/>
        <v>0</v>
      </c>
    </row>
    <row r="5456" spans="1:15" x14ac:dyDescent="0.25">
      <c r="A5456" s="93" t="s">
        <v>191</v>
      </c>
      <c r="B5456" s="79" t="str">
        <f>IF('Twenty-Second'!B209="", "",'Twenty-Second'!B209)</f>
        <v/>
      </c>
      <c r="C5456" s="66" t="str">
        <f>IF('Twenty-Second'!C209="", "",'Twenty-Second'!C209)</f>
        <v/>
      </c>
      <c r="D5456" s="66" t="str">
        <f>IF('Twenty-Second'!D209="", "",'Twenty-Second'!D209)</f>
        <v/>
      </c>
      <c r="E5456" s="66" t="str">
        <f>IF('Twenty-Second'!E209="", "",'Twenty-Second'!E209)</f>
        <v/>
      </c>
      <c r="F5456" s="66" t="str">
        <f>IF('Twenty-Second'!F209="", "",'Twenty-Second'!F209)</f>
        <v/>
      </c>
      <c r="G5456" s="66" t="str">
        <f>IF('Twenty-Second'!G209="", "",'Twenty-Second'!G209)</f>
        <v/>
      </c>
      <c r="H5456" s="66" t="str">
        <f>IF('Twenty-Second'!H209="", "",'Twenty-Second'!H209)</f>
        <v/>
      </c>
      <c r="I5456" s="66" t="str">
        <f>IF('Twenty-Second'!I209="", "",'Twenty-Second'!I209)</f>
        <v/>
      </c>
      <c r="J5456" s="66" t="str">
        <f>IF('Twenty-Second'!J209="", "",'Twenty-Second'!J209)</f>
        <v/>
      </c>
      <c r="K5456" s="86" t="str">
        <f>IF('Twenty-Second'!K209="", "",'Twenty-Second'!K209)</f>
        <v/>
      </c>
      <c r="M5456" s="67" t="str">
        <f t="shared" si="261"/>
        <v/>
      </c>
      <c r="N5456" s="76" t="str">
        <f t="shared" si="262"/>
        <v/>
      </c>
      <c r="O5456" s="33">
        <f t="shared" si="260"/>
        <v>0</v>
      </c>
    </row>
    <row r="5457" spans="1:15" x14ac:dyDescent="0.25">
      <c r="A5457" s="93" t="s">
        <v>191</v>
      </c>
      <c r="B5457" s="79" t="str">
        <f>IF('Twenty-Second'!B210="", "",'Twenty-Second'!B210)</f>
        <v/>
      </c>
      <c r="C5457" s="66" t="str">
        <f>IF('Twenty-Second'!C210="", "",'Twenty-Second'!C210)</f>
        <v/>
      </c>
      <c r="D5457" s="66" t="str">
        <f>IF('Twenty-Second'!D210="", "",'Twenty-Second'!D210)</f>
        <v/>
      </c>
      <c r="E5457" s="66" t="str">
        <f>IF('Twenty-Second'!E210="", "",'Twenty-Second'!E210)</f>
        <v/>
      </c>
      <c r="F5457" s="66" t="str">
        <f>IF('Twenty-Second'!F210="", "",'Twenty-Second'!F210)</f>
        <v/>
      </c>
      <c r="G5457" s="66" t="str">
        <f>IF('Twenty-Second'!G210="", "",'Twenty-Second'!G210)</f>
        <v/>
      </c>
      <c r="H5457" s="66" t="str">
        <f>IF('Twenty-Second'!H210="", "",'Twenty-Second'!H210)</f>
        <v/>
      </c>
      <c r="I5457" s="66" t="str">
        <f>IF('Twenty-Second'!I210="", "",'Twenty-Second'!I210)</f>
        <v/>
      </c>
      <c r="J5457" s="66" t="str">
        <f>IF('Twenty-Second'!J210="", "",'Twenty-Second'!J210)</f>
        <v/>
      </c>
      <c r="K5457" s="86" t="str">
        <f>IF('Twenty-Second'!K210="", "",'Twenty-Second'!K210)</f>
        <v/>
      </c>
      <c r="M5457" s="67" t="str">
        <f t="shared" si="261"/>
        <v/>
      </c>
      <c r="N5457" s="76" t="str">
        <f t="shared" si="262"/>
        <v/>
      </c>
      <c r="O5457" s="33">
        <f t="shared" si="260"/>
        <v>0</v>
      </c>
    </row>
    <row r="5458" spans="1:15" x14ac:dyDescent="0.25">
      <c r="A5458" s="93" t="s">
        <v>191</v>
      </c>
      <c r="B5458" s="79" t="str">
        <f>IF('Twenty-Second'!B211="", "",'Twenty-Second'!B211)</f>
        <v/>
      </c>
      <c r="C5458" s="66" t="str">
        <f>IF('Twenty-Second'!C211="", "",'Twenty-Second'!C211)</f>
        <v/>
      </c>
      <c r="D5458" s="66" t="str">
        <f>IF('Twenty-Second'!D211="", "",'Twenty-Second'!D211)</f>
        <v/>
      </c>
      <c r="E5458" s="66" t="str">
        <f>IF('Twenty-Second'!E211="", "",'Twenty-Second'!E211)</f>
        <v/>
      </c>
      <c r="F5458" s="66" t="str">
        <f>IF('Twenty-Second'!F211="", "",'Twenty-Second'!F211)</f>
        <v/>
      </c>
      <c r="G5458" s="66" t="str">
        <f>IF('Twenty-Second'!G211="", "",'Twenty-Second'!G211)</f>
        <v/>
      </c>
      <c r="H5458" s="66" t="str">
        <f>IF('Twenty-Second'!H211="", "",'Twenty-Second'!H211)</f>
        <v/>
      </c>
      <c r="I5458" s="66" t="str">
        <f>IF('Twenty-Second'!I211="", "",'Twenty-Second'!I211)</f>
        <v/>
      </c>
      <c r="J5458" s="66" t="str">
        <f>IF('Twenty-Second'!J211="", "",'Twenty-Second'!J211)</f>
        <v/>
      </c>
      <c r="K5458" s="86" t="str">
        <f>IF('Twenty-Second'!K211="", "",'Twenty-Second'!K211)</f>
        <v/>
      </c>
      <c r="M5458" s="67" t="str">
        <f t="shared" si="261"/>
        <v/>
      </c>
      <c r="N5458" s="76" t="str">
        <f t="shared" si="262"/>
        <v/>
      </c>
      <c r="O5458" s="33">
        <f t="shared" si="260"/>
        <v>0</v>
      </c>
    </row>
    <row r="5459" spans="1:15" x14ac:dyDescent="0.25">
      <c r="A5459" s="93" t="s">
        <v>191</v>
      </c>
      <c r="B5459" s="79" t="str">
        <f>IF('Twenty-Second'!B212="", "",'Twenty-Second'!B212)</f>
        <v/>
      </c>
      <c r="C5459" s="66" t="str">
        <f>IF('Twenty-Second'!C212="", "",'Twenty-Second'!C212)</f>
        <v/>
      </c>
      <c r="D5459" s="66" t="str">
        <f>IF('Twenty-Second'!D212="", "",'Twenty-Second'!D212)</f>
        <v/>
      </c>
      <c r="E5459" s="66" t="str">
        <f>IF('Twenty-Second'!E212="", "",'Twenty-Second'!E212)</f>
        <v/>
      </c>
      <c r="F5459" s="66" t="str">
        <f>IF('Twenty-Second'!F212="", "",'Twenty-Second'!F212)</f>
        <v/>
      </c>
      <c r="G5459" s="66" t="str">
        <f>IF('Twenty-Second'!G212="", "",'Twenty-Second'!G212)</f>
        <v/>
      </c>
      <c r="H5459" s="66" t="str">
        <f>IF('Twenty-Second'!H212="", "",'Twenty-Second'!H212)</f>
        <v/>
      </c>
      <c r="I5459" s="66" t="str">
        <f>IF('Twenty-Second'!I212="", "",'Twenty-Second'!I212)</f>
        <v/>
      </c>
      <c r="J5459" s="66" t="str">
        <f>IF('Twenty-Second'!J212="", "",'Twenty-Second'!J212)</f>
        <v/>
      </c>
      <c r="K5459" s="86" t="str">
        <f>IF('Twenty-Second'!K212="", "",'Twenty-Second'!K212)</f>
        <v/>
      </c>
      <c r="M5459" s="67" t="str">
        <f t="shared" si="261"/>
        <v/>
      </c>
      <c r="N5459" s="76" t="str">
        <f t="shared" si="262"/>
        <v/>
      </c>
      <c r="O5459" s="33">
        <f t="shared" si="260"/>
        <v>0</v>
      </c>
    </row>
    <row r="5460" spans="1:15" x14ac:dyDescent="0.25">
      <c r="A5460" s="93" t="s">
        <v>191</v>
      </c>
      <c r="B5460" s="79" t="str">
        <f>IF('Twenty-Second'!B213="", "",'Twenty-Second'!B213)</f>
        <v/>
      </c>
      <c r="C5460" s="66" t="str">
        <f>IF('Twenty-Second'!C213="", "",'Twenty-Second'!C213)</f>
        <v/>
      </c>
      <c r="D5460" s="66" t="str">
        <f>IF('Twenty-Second'!D213="", "",'Twenty-Second'!D213)</f>
        <v/>
      </c>
      <c r="E5460" s="66" t="str">
        <f>IF('Twenty-Second'!E213="", "",'Twenty-Second'!E213)</f>
        <v/>
      </c>
      <c r="F5460" s="66" t="str">
        <f>IF('Twenty-Second'!F213="", "",'Twenty-Second'!F213)</f>
        <v/>
      </c>
      <c r="G5460" s="66" t="str">
        <f>IF('Twenty-Second'!G213="", "",'Twenty-Second'!G213)</f>
        <v/>
      </c>
      <c r="H5460" s="66" t="str">
        <f>IF('Twenty-Second'!H213="", "",'Twenty-Second'!H213)</f>
        <v/>
      </c>
      <c r="I5460" s="66" t="str">
        <f>IF('Twenty-Second'!I213="", "",'Twenty-Second'!I213)</f>
        <v/>
      </c>
      <c r="J5460" s="66" t="str">
        <f>IF('Twenty-Second'!J213="", "",'Twenty-Second'!J213)</f>
        <v/>
      </c>
      <c r="K5460" s="86" t="str">
        <f>IF('Twenty-Second'!K213="", "",'Twenty-Second'!K213)</f>
        <v/>
      </c>
      <c r="M5460" s="67" t="str">
        <f t="shared" si="261"/>
        <v/>
      </c>
      <c r="N5460" s="76" t="str">
        <f t="shared" si="262"/>
        <v/>
      </c>
      <c r="O5460" s="33">
        <f t="shared" si="260"/>
        <v>0</v>
      </c>
    </row>
    <row r="5461" spans="1:15" x14ac:dyDescent="0.25">
      <c r="A5461" s="93" t="s">
        <v>191</v>
      </c>
      <c r="B5461" s="79" t="str">
        <f>IF('Twenty-Second'!B214="", "",'Twenty-Second'!B214)</f>
        <v/>
      </c>
      <c r="C5461" s="66" t="str">
        <f>IF('Twenty-Second'!C214="", "",'Twenty-Second'!C214)</f>
        <v/>
      </c>
      <c r="D5461" s="66" t="str">
        <f>IF('Twenty-Second'!D214="", "",'Twenty-Second'!D214)</f>
        <v/>
      </c>
      <c r="E5461" s="66" t="str">
        <f>IF('Twenty-Second'!E214="", "",'Twenty-Second'!E214)</f>
        <v/>
      </c>
      <c r="F5461" s="66" t="str">
        <f>IF('Twenty-Second'!F214="", "",'Twenty-Second'!F214)</f>
        <v/>
      </c>
      <c r="G5461" s="66" t="str">
        <f>IF('Twenty-Second'!G214="", "",'Twenty-Second'!G214)</f>
        <v/>
      </c>
      <c r="H5461" s="66" t="str">
        <f>IF('Twenty-Second'!H214="", "",'Twenty-Second'!H214)</f>
        <v/>
      </c>
      <c r="I5461" s="66" t="str">
        <f>IF('Twenty-Second'!I214="", "",'Twenty-Second'!I214)</f>
        <v/>
      </c>
      <c r="J5461" s="66" t="str">
        <f>IF('Twenty-Second'!J214="", "",'Twenty-Second'!J214)</f>
        <v/>
      </c>
      <c r="K5461" s="86" t="str">
        <f>IF('Twenty-Second'!K214="", "",'Twenty-Second'!K214)</f>
        <v/>
      </c>
      <c r="M5461" s="67" t="str">
        <f t="shared" si="261"/>
        <v/>
      </c>
      <c r="N5461" s="76" t="str">
        <f t="shared" si="262"/>
        <v/>
      </c>
      <c r="O5461" s="33">
        <f t="shared" si="260"/>
        <v>0</v>
      </c>
    </row>
    <row r="5462" spans="1:15" x14ac:dyDescent="0.25">
      <c r="A5462" s="93" t="s">
        <v>191</v>
      </c>
      <c r="B5462" s="79" t="str">
        <f>IF('Twenty-Second'!B215="", "",'Twenty-Second'!B215)</f>
        <v/>
      </c>
      <c r="C5462" s="66" t="str">
        <f>IF('Twenty-Second'!C215="", "",'Twenty-Second'!C215)</f>
        <v/>
      </c>
      <c r="D5462" s="66" t="str">
        <f>IF('Twenty-Second'!D215="", "",'Twenty-Second'!D215)</f>
        <v/>
      </c>
      <c r="E5462" s="66" t="str">
        <f>IF('Twenty-Second'!E215="", "",'Twenty-Second'!E215)</f>
        <v/>
      </c>
      <c r="F5462" s="66" t="str">
        <f>IF('Twenty-Second'!F215="", "",'Twenty-Second'!F215)</f>
        <v/>
      </c>
      <c r="G5462" s="66" t="str">
        <f>IF('Twenty-Second'!G215="", "",'Twenty-Second'!G215)</f>
        <v/>
      </c>
      <c r="H5462" s="66" t="str">
        <f>IF('Twenty-Second'!H215="", "",'Twenty-Second'!H215)</f>
        <v/>
      </c>
      <c r="I5462" s="66" t="str">
        <f>IF('Twenty-Second'!I215="", "",'Twenty-Second'!I215)</f>
        <v/>
      </c>
      <c r="J5462" s="66" t="str">
        <f>IF('Twenty-Second'!J215="", "",'Twenty-Second'!J215)</f>
        <v/>
      </c>
      <c r="K5462" s="86" t="str">
        <f>IF('Twenty-Second'!K215="", "",'Twenty-Second'!K215)</f>
        <v/>
      </c>
      <c r="M5462" s="67" t="str">
        <f t="shared" si="261"/>
        <v/>
      </c>
      <c r="N5462" s="76" t="str">
        <f t="shared" si="262"/>
        <v/>
      </c>
      <c r="O5462" s="33">
        <f t="shared" si="260"/>
        <v>0</v>
      </c>
    </row>
    <row r="5463" spans="1:15" x14ac:dyDescent="0.25">
      <c r="A5463" s="93" t="s">
        <v>191</v>
      </c>
      <c r="B5463" s="79" t="str">
        <f>IF('Twenty-Second'!B216="", "",'Twenty-Second'!B216)</f>
        <v/>
      </c>
      <c r="C5463" s="66" t="str">
        <f>IF('Twenty-Second'!C216="", "",'Twenty-Second'!C216)</f>
        <v/>
      </c>
      <c r="D5463" s="66" t="str">
        <f>IF('Twenty-Second'!D216="", "",'Twenty-Second'!D216)</f>
        <v/>
      </c>
      <c r="E5463" s="66" t="str">
        <f>IF('Twenty-Second'!E216="", "",'Twenty-Second'!E216)</f>
        <v/>
      </c>
      <c r="F5463" s="66" t="str">
        <f>IF('Twenty-Second'!F216="", "",'Twenty-Second'!F216)</f>
        <v/>
      </c>
      <c r="G5463" s="66" t="str">
        <f>IF('Twenty-Second'!G216="", "",'Twenty-Second'!G216)</f>
        <v/>
      </c>
      <c r="H5463" s="66" t="str">
        <f>IF('Twenty-Second'!H216="", "",'Twenty-Second'!H216)</f>
        <v/>
      </c>
      <c r="I5463" s="66" t="str">
        <f>IF('Twenty-Second'!I216="", "",'Twenty-Second'!I216)</f>
        <v/>
      </c>
      <c r="J5463" s="66" t="str">
        <f>IF('Twenty-Second'!J216="", "",'Twenty-Second'!J216)</f>
        <v/>
      </c>
      <c r="K5463" s="86" t="str">
        <f>IF('Twenty-Second'!K216="", "",'Twenty-Second'!K216)</f>
        <v/>
      </c>
      <c r="M5463" s="67" t="str">
        <f t="shared" si="261"/>
        <v/>
      </c>
      <c r="N5463" s="76" t="str">
        <f t="shared" si="262"/>
        <v/>
      </c>
      <c r="O5463" s="33">
        <f t="shared" si="260"/>
        <v>0</v>
      </c>
    </row>
    <row r="5464" spans="1:15" x14ac:dyDescent="0.25">
      <c r="A5464" s="93" t="s">
        <v>191</v>
      </c>
      <c r="B5464" s="79" t="str">
        <f>IF('Twenty-Second'!B217="", "",'Twenty-Second'!B217)</f>
        <v/>
      </c>
      <c r="C5464" s="66" t="str">
        <f>IF('Twenty-Second'!C217="", "",'Twenty-Second'!C217)</f>
        <v/>
      </c>
      <c r="D5464" s="66" t="str">
        <f>IF('Twenty-Second'!D217="", "",'Twenty-Second'!D217)</f>
        <v/>
      </c>
      <c r="E5464" s="66" t="str">
        <f>IF('Twenty-Second'!E217="", "",'Twenty-Second'!E217)</f>
        <v/>
      </c>
      <c r="F5464" s="66" t="str">
        <f>IF('Twenty-Second'!F217="", "",'Twenty-Second'!F217)</f>
        <v/>
      </c>
      <c r="G5464" s="66" t="str">
        <f>IF('Twenty-Second'!G217="", "",'Twenty-Second'!G217)</f>
        <v/>
      </c>
      <c r="H5464" s="66" t="str">
        <f>IF('Twenty-Second'!H217="", "",'Twenty-Second'!H217)</f>
        <v/>
      </c>
      <c r="I5464" s="66" t="str">
        <f>IF('Twenty-Second'!I217="", "",'Twenty-Second'!I217)</f>
        <v/>
      </c>
      <c r="J5464" s="66" t="str">
        <f>IF('Twenty-Second'!J217="", "",'Twenty-Second'!J217)</f>
        <v/>
      </c>
      <c r="K5464" s="86" t="str">
        <f>IF('Twenty-Second'!K217="", "",'Twenty-Second'!K217)</f>
        <v/>
      </c>
      <c r="M5464" s="67" t="str">
        <f t="shared" si="261"/>
        <v/>
      </c>
      <c r="N5464" s="76" t="str">
        <f t="shared" si="262"/>
        <v/>
      </c>
      <c r="O5464" s="33">
        <f t="shared" si="260"/>
        <v>0</v>
      </c>
    </row>
    <row r="5465" spans="1:15" x14ac:dyDescent="0.25">
      <c r="A5465" s="93" t="s">
        <v>191</v>
      </c>
      <c r="B5465" s="79" t="str">
        <f>IF('Twenty-Second'!B218="", "",'Twenty-Second'!B218)</f>
        <v/>
      </c>
      <c r="C5465" s="66" t="str">
        <f>IF('Twenty-Second'!C218="", "",'Twenty-Second'!C218)</f>
        <v/>
      </c>
      <c r="D5465" s="66" t="str">
        <f>IF('Twenty-Second'!D218="", "",'Twenty-Second'!D218)</f>
        <v/>
      </c>
      <c r="E5465" s="66" t="str">
        <f>IF('Twenty-Second'!E218="", "",'Twenty-Second'!E218)</f>
        <v/>
      </c>
      <c r="F5465" s="66" t="str">
        <f>IF('Twenty-Second'!F218="", "",'Twenty-Second'!F218)</f>
        <v/>
      </c>
      <c r="G5465" s="66" t="str">
        <f>IF('Twenty-Second'!G218="", "",'Twenty-Second'!G218)</f>
        <v/>
      </c>
      <c r="H5465" s="66" t="str">
        <f>IF('Twenty-Second'!H218="", "",'Twenty-Second'!H218)</f>
        <v/>
      </c>
      <c r="I5465" s="66" t="str">
        <f>IF('Twenty-Second'!I218="", "",'Twenty-Second'!I218)</f>
        <v/>
      </c>
      <c r="J5465" s="66" t="str">
        <f>IF('Twenty-Second'!J218="", "",'Twenty-Second'!J218)</f>
        <v/>
      </c>
      <c r="K5465" s="86" t="str">
        <f>IF('Twenty-Second'!K218="", "",'Twenty-Second'!K218)</f>
        <v/>
      </c>
      <c r="M5465" s="67" t="str">
        <f t="shared" si="261"/>
        <v/>
      </c>
      <c r="N5465" s="76" t="str">
        <f t="shared" si="262"/>
        <v/>
      </c>
      <c r="O5465" s="33">
        <f t="shared" si="260"/>
        <v>0</v>
      </c>
    </row>
    <row r="5466" spans="1:15" x14ac:dyDescent="0.25">
      <c r="A5466" s="93" t="s">
        <v>191</v>
      </c>
      <c r="B5466" s="79" t="str">
        <f>IF('Twenty-Second'!B219="", "",'Twenty-Second'!B219)</f>
        <v/>
      </c>
      <c r="C5466" s="66" t="str">
        <f>IF('Twenty-Second'!C219="", "",'Twenty-Second'!C219)</f>
        <v/>
      </c>
      <c r="D5466" s="66" t="str">
        <f>IF('Twenty-Second'!D219="", "",'Twenty-Second'!D219)</f>
        <v/>
      </c>
      <c r="E5466" s="66" t="str">
        <f>IF('Twenty-Second'!E219="", "",'Twenty-Second'!E219)</f>
        <v/>
      </c>
      <c r="F5466" s="66" t="str">
        <f>IF('Twenty-Second'!F219="", "",'Twenty-Second'!F219)</f>
        <v/>
      </c>
      <c r="G5466" s="66" t="str">
        <f>IF('Twenty-Second'!G219="", "",'Twenty-Second'!G219)</f>
        <v/>
      </c>
      <c r="H5466" s="66" t="str">
        <f>IF('Twenty-Second'!H219="", "",'Twenty-Second'!H219)</f>
        <v/>
      </c>
      <c r="I5466" s="66" t="str">
        <f>IF('Twenty-Second'!I219="", "",'Twenty-Second'!I219)</f>
        <v/>
      </c>
      <c r="J5466" s="66" t="str">
        <f>IF('Twenty-Second'!J219="", "",'Twenty-Second'!J219)</f>
        <v/>
      </c>
      <c r="K5466" s="86" t="str">
        <f>IF('Twenty-Second'!K219="", "",'Twenty-Second'!K219)</f>
        <v/>
      </c>
      <c r="M5466" s="67" t="str">
        <f t="shared" si="261"/>
        <v/>
      </c>
      <c r="N5466" s="76" t="str">
        <f t="shared" si="262"/>
        <v/>
      </c>
      <c r="O5466" s="33">
        <f t="shared" si="260"/>
        <v>0</v>
      </c>
    </row>
    <row r="5467" spans="1:15" x14ac:dyDescent="0.25">
      <c r="A5467" s="93" t="s">
        <v>191</v>
      </c>
      <c r="B5467" s="79" t="str">
        <f>IF('Twenty-Second'!B220="", "",'Twenty-Second'!B220)</f>
        <v/>
      </c>
      <c r="C5467" s="66" t="str">
        <f>IF('Twenty-Second'!C220="", "",'Twenty-Second'!C220)</f>
        <v/>
      </c>
      <c r="D5467" s="66" t="str">
        <f>IF('Twenty-Second'!D220="", "",'Twenty-Second'!D220)</f>
        <v/>
      </c>
      <c r="E5467" s="66" t="str">
        <f>IF('Twenty-Second'!E220="", "",'Twenty-Second'!E220)</f>
        <v/>
      </c>
      <c r="F5467" s="66" t="str">
        <f>IF('Twenty-Second'!F220="", "",'Twenty-Second'!F220)</f>
        <v/>
      </c>
      <c r="G5467" s="66" t="str">
        <f>IF('Twenty-Second'!G220="", "",'Twenty-Second'!G220)</f>
        <v/>
      </c>
      <c r="H5467" s="66" t="str">
        <f>IF('Twenty-Second'!H220="", "",'Twenty-Second'!H220)</f>
        <v/>
      </c>
      <c r="I5467" s="66" t="str">
        <f>IF('Twenty-Second'!I220="", "",'Twenty-Second'!I220)</f>
        <v/>
      </c>
      <c r="J5467" s="66" t="str">
        <f>IF('Twenty-Second'!J220="", "",'Twenty-Second'!J220)</f>
        <v/>
      </c>
      <c r="K5467" s="86" t="str">
        <f>IF('Twenty-Second'!K220="", "",'Twenty-Second'!K220)</f>
        <v/>
      </c>
      <c r="M5467" s="67" t="str">
        <f t="shared" si="261"/>
        <v/>
      </c>
      <c r="N5467" s="76" t="str">
        <f t="shared" si="262"/>
        <v/>
      </c>
      <c r="O5467" s="33">
        <f t="shared" si="260"/>
        <v>0</v>
      </c>
    </row>
    <row r="5468" spans="1:15" x14ac:dyDescent="0.25">
      <c r="A5468" s="93" t="s">
        <v>191</v>
      </c>
      <c r="B5468" s="79" t="str">
        <f>IF('Twenty-Second'!B221="", "",'Twenty-Second'!B221)</f>
        <v/>
      </c>
      <c r="C5468" s="66" t="str">
        <f>IF('Twenty-Second'!C221="", "",'Twenty-Second'!C221)</f>
        <v/>
      </c>
      <c r="D5468" s="66" t="str">
        <f>IF('Twenty-Second'!D221="", "",'Twenty-Second'!D221)</f>
        <v/>
      </c>
      <c r="E5468" s="66" t="str">
        <f>IF('Twenty-Second'!E221="", "",'Twenty-Second'!E221)</f>
        <v/>
      </c>
      <c r="F5468" s="66" t="str">
        <f>IF('Twenty-Second'!F221="", "",'Twenty-Second'!F221)</f>
        <v/>
      </c>
      <c r="G5468" s="66" t="str">
        <f>IF('Twenty-Second'!G221="", "",'Twenty-Second'!G221)</f>
        <v/>
      </c>
      <c r="H5468" s="66" t="str">
        <f>IF('Twenty-Second'!H221="", "",'Twenty-Second'!H221)</f>
        <v/>
      </c>
      <c r="I5468" s="66" t="str">
        <f>IF('Twenty-Second'!I221="", "",'Twenty-Second'!I221)</f>
        <v/>
      </c>
      <c r="J5468" s="66" t="str">
        <f>IF('Twenty-Second'!J221="", "",'Twenty-Second'!J221)</f>
        <v/>
      </c>
      <c r="K5468" s="86" t="str">
        <f>IF('Twenty-Second'!K221="", "",'Twenty-Second'!K221)</f>
        <v/>
      </c>
      <c r="M5468" s="67" t="str">
        <f t="shared" si="261"/>
        <v/>
      </c>
      <c r="N5468" s="76" t="str">
        <f t="shared" si="262"/>
        <v/>
      </c>
      <c r="O5468" s="33">
        <f t="shared" si="260"/>
        <v>0</v>
      </c>
    </row>
    <row r="5469" spans="1:15" x14ac:dyDescent="0.25">
      <c r="A5469" s="93" t="s">
        <v>191</v>
      </c>
      <c r="B5469" s="79" t="str">
        <f>IF('Twenty-Second'!B222="", "",'Twenty-Second'!B222)</f>
        <v/>
      </c>
      <c r="C5469" s="66" t="str">
        <f>IF('Twenty-Second'!C222="", "",'Twenty-Second'!C222)</f>
        <v/>
      </c>
      <c r="D5469" s="66" t="str">
        <f>IF('Twenty-Second'!D222="", "",'Twenty-Second'!D222)</f>
        <v/>
      </c>
      <c r="E5469" s="66" t="str">
        <f>IF('Twenty-Second'!E222="", "",'Twenty-Second'!E222)</f>
        <v/>
      </c>
      <c r="F5469" s="66" t="str">
        <f>IF('Twenty-Second'!F222="", "",'Twenty-Second'!F222)</f>
        <v/>
      </c>
      <c r="G5469" s="66" t="str">
        <f>IF('Twenty-Second'!G222="", "",'Twenty-Second'!G222)</f>
        <v/>
      </c>
      <c r="H5469" s="66" t="str">
        <f>IF('Twenty-Second'!H222="", "",'Twenty-Second'!H222)</f>
        <v/>
      </c>
      <c r="I5469" s="66" t="str">
        <f>IF('Twenty-Second'!I222="", "",'Twenty-Second'!I222)</f>
        <v/>
      </c>
      <c r="J5469" s="66" t="str">
        <f>IF('Twenty-Second'!J222="", "",'Twenty-Second'!J222)</f>
        <v/>
      </c>
      <c r="K5469" s="86" t="str">
        <f>IF('Twenty-Second'!K222="", "",'Twenty-Second'!K222)</f>
        <v/>
      </c>
      <c r="M5469" s="67" t="str">
        <f t="shared" si="261"/>
        <v/>
      </c>
      <c r="N5469" s="76" t="str">
        <f t="shared" si="262"/>
        <v/>
      </c>
      <c r="O5469" s="33">
        <f t="shared" si="260"/>
        <v>0</v>
      </c>
    </row>
    <row r="5470" spans="1:15" x14ac:dyDescent="0.25">
      <c r="A5470" s="93" t="s">
        <v>191</v>
      </c>
      <c r="B5470" s="79" t="str">
        <f>IF('Twenty-Second'!B223="", "",'Twenty-Second'!B223)</f>
        <v/>
      </c>
      <c r="C5470" s="66" t="str">
        <f>IF('Twenty-Second'!C223="", "",'Twenty-Second'!C223)</f>
        <v/>
      </c>
      <c r="D5470" s="66" t="str">
        <f>IF('Twenty-Second'!D223="", "",'Twenty-Second'!D223)</f>
        <v/>
      </c>
      <c r="E5470" s="66" t="str">
        <f>IF('Twenty-Second'!E223="", "",'Twenty-Second'!E223)</f>
        <v/>
      </c>
      <c r="F5470" s="66" t="str">
        <f>IF('Twenty-Second'!F223="", "",'Twenty-Second'!F223)</f>
        <v/>
      </c>
      <c r="G5470" s="66" t="str">
        <f>IF('Twenty-Second'!G223="", "",'Twenty-Second'!G223)</f>
        <v/>
      </c>
      <c r="H5470" s="66" t="str">
        <f>IF('Twenty-Second'!H223="", "",'Twenty-Second'!H223)</f>
        <v/>
      </c>
      <c r="I5470" s="66" t="str">
        <f>IF('Twenty-Second'!I223="", "",'Twenty-Second'!I223)</f>
        <v/>
      </c>
      <c r="J5470" s="66" t="str">
        <f>IF('Twenty-Second'!J223="", "",'Twenty-Second'!J223)</f>
        <v/>
      </c>
      <c r="K5470" s="86" t="str">
        <f>IF('Twenty-Second'!K223="", "",'Twenty-Second'!K223)</f>
        <v/>
      </c>
      <c r="M5470" s="67" t="str">
        <f t="shared" si="261"/>
        <v/>
      </c>
      <c r="N5470" s="76" t="str">
        <f t="shared" si="262"/>
        <v/>
      </c>
      <c r="O5470" s="33">
        <f t="shared" si="260"/>
        <v>0</v>
      </c>
    </row>
    <row r="5471" spans="1:15" x14ac:dyDescent="0.25">
      <c r="A5471" s="93" t="s">
        <v>191</v>
      </c>
      <c r="B5471" s="79" t="str">
        <f>IF('Twenty-Second'!B224="", "",'Twenty-Second'!B224)</f>
        <v/>
      </c>
      <c r="C5471" s="66" t="str">
        <f>IF('Twenty-Second'!C224="", "",'Twenty-Second'!C224)</f>
        <v/>
      </c>
      <c r="D5471" s="66" t="str">
        <f>IF('Twenty-Second'!D224="", "",'Twenty-Second'!D224)</f>
        <v/>
      </c>
      <c r="E5471" s="66" t="str">
        <f>IF('Twenty-Second'!E224="", "",'Twenty-Second'!E224)</f>
        <v/>
      </c>
      <c r="F5471" s="66" t="str">
        <f>IF('Twenty-Second'!F224="", "",'Twenty-Second'!F224)</f>
        <v/>
      </c>
      <c r="G5471" s="66" t="str">
        <f>IF('Twenty-Second'!G224="", "",'Twenty-Second'!G224)</f>
        <v/>
      </c>
      <c r="H5471" s="66" t="str">
        <f>IF('Twenty-Second'!H224="", "",'Twenty-Second'!H224)</f>
        <v/>
      </c>
      <c r="I5471" s="66" t="str">
        <f>IF('Twenty-Second'!I224="", "",'Twenty-Second'!I224)</f>
        <v/>
      </c>
      <c r="J5471" s="66" t="str">
        <f>IF('Twenty-Second'!J224="", "",'Twenty-Second'!J224)</f>
        <v/>
      </c>
      <c r="K5471" s="86" t="str">
        <f>IF('Twenty-Second'!K224="", "",'Twenty-Second'!K224)</f>
        <v/>
      </c>
      <c r="M5471" s="67" t="str">
        <f t="shared" si="261"/>
        <v/>
      </c>
      <c r="N5471" s="76" t="str">
        <f t="shared" si="262"/>
        <v/>
      </c>
      <c r="O5471" s="33">
        <f t="shared" si="260"/>
        <v>0</v>
      </c>
    </row>
    <row r="5472" spans="1:15" x14ac:dyDescent="0.25">
      <c r="A5472" s="93" t="s">
        <v>191</v>
      </c>
      <c r="B5472" s="79" t="str">
        <f>IF('Twenty-Second'!B225="", "",'Twenty-Second'!B225)</f>
        <v/>
      </c>
      <c r="C5472" s="66" t="str">
        <f>IF('Twenty-Second'!C225="", "",'Twenty-Second'!C225)</f>
        <v/>
      </c>
      <c r="D5472" s="66" t="str">
        <f>IF('Twenty-Second'!D225="", "",'Twenty-Second'!D225)</f>
        <v/>
      </c>
      <c r="E5472" s="66" t="str">
        <f>IF('Twenty-Second'!E225="", "",'Twenty-Second'!E225)</f>
        <v/>
      </c>
      <c r="F5472" s="66" t="str">
        <f>IF('Twenty-Second'!F225="", "",'Twenty-Second'!F225)</f>
        <v/>
      </c>
      <c r="G5472" s="66" t="str">
        <f>IF('Twenty-Second'!G225="", "",'Twenty-Second'!G225)</f>
        <v/>
      </c>
      <c r="H5472" s="66" t="str">
        <f>IF('Twenty-Second'!H225="", "",'Twenty-Second'!H225)</f>
        <v/>
      </c>
      <c r="I5472" s="66" t="str">
        <f>IF('Twenty-Second'!I225="", "",'Twenty-Second'!I225)</f>
        <v/>
      </c>
      <c r="J5472" s="66" t="str">
        <f>IF('Twenty-Second'!J225="", "",'Twenty-Second'!J225)</f>
        <v/>
      </c>
      <c r="K5472" s="86" t="str">
        <f>IF('Twenty-Second'!K225="", "",'Twenty-Second'!K225)</f>
        <v/>
      </c>
      <c r="M5472" s="67" t="str">
        <f t="shared" si="261"/>
        <v/>
      </c>
      <c r="N5472" s="76" t="str">
        <f t="shared" si="262"/>
        <v/>
      </c>
      <c r="O5472" s="33">
        <f t="shared" si="260"/>
        <v>0</v>
      </c>
    </row>
    <row r="5473" spans="1:15" x14ac:dyDescent="0.25">
      <c r="A5473" s="93" t="s">
        <v>191</v>
      </c>
      <c r="B5473" s="79" t="str">
        <f>IF('Twenty-Second'!B226="", "",'Twenty-Second'!B226)</f>
        <v/>
      </c>
      <c r="C5473" s="66" t="str">
        <f>IF('Twenty-Second'!C226="", "",'Twenty-Second'!C226)</f>
        <v/>
      </c>
      <c r="D5473" s="66" t="str">
        <f>IF('Twenty-Second'!D226="", "",'Twenty-Second'!D226)</f>
        <v/>
      </c>
      <c r="E5473" s="66" t="str">
        <f>IF('Twenty-Second'!E226="", "",'Twenty-Second'!E226)</f>
        <v/>
      </c>
      <c r="F5473" s="66" t="str">
        <f>IF('Twenty-Second'!F226="", "",'Twenty-Second'!F226)</f>
        <v/>
      </c>
      <c r="G5473" s="66" t="str">
        <f>IF('Twenty-Second'!G226="", "",'Twenty-Second'!G226)</f>
        <v/>
      </c>
      <c r="H5473" s="66" t="str">
        <f>IF('Twenty-Second'!H226="", "",'Twenty-Second'!H226)</f>
        <v/>
      </c>
      <c r="I5473" s="66" t="str">
        <f>IF('Twenty-Second'!I226="", "",'Twenty-Second'!I226)</f>
        <v/>
      </c>
      <c r="J5473" s="66" t="str">
        <f>IF('Twenty-Second'!J226="", "",'Twenty-Second'!J226)</f>
        <v/>
      </c>
      <c r="K5473" s="86" t="str">
        <f>IF('Twenty-Second'!K226="", "",'Twenty-Second'!K226)</f>
        <v/>
      </c>
      <c r="M5473" s="67" t="str">
        <f t="shared" si="261"/>
        <v/>
      </c>
      <c r="N5473" s="76" t="str">
        <f t="shared" si="262"/>
        <v/>
      </c>
      <c r="O5473" s="33">
        <f t="shared" si="260"/>
        <v>0</v>
      </c>
    </row>
    <row r="5474" spans="1:15" x14ac:dyDescent="0.25">
      <c r="A5474" s="93" t="s">
        <v>191</v>
      </c>
      <c r="B5474" s="79" t="str">
        <f>IF('Twenty-Second'!B227="", "",'Twenty-Second'!B227)</f>
        <v/>
      </c>
      <c r="C5474" s="66" t="str">
        <f>IF('Twenty-Second'!C227="", "",'Twenty-Second'!C227)</f>
        <v/>
      </c>
      <c r="D5474" s="66" t="str">
        <f>IF('Twenty-Second'!D227="", "",'Twenty-Second'!D227)</f>
        <v/>
      </c>
      <c r="E5474" s="66" t="str">
        <f>IF('Twenty-Second'!E227="", "",'Twenty-Second'!E227)</f>
        <v/>
      </c>
      <c r="F5474" s="66" t="str">
        <f>IF('Twenty-Second'!F227="", "",'Twenty-Second'!F227)</f>
        <v/>
      </c>
      <c r="G5474" s="66" t="str">
        <f>IF('Twenty-Second'!G227="", "",'Twenty-Second'!G227)</f>
        <v/>
      </c>
      <c r="H5474" s="66" t="str">
        <f>IF('Twenty-Second'!H227="", "",'Twenty-Second'!H227)</f>
        <v/>
      </c>
      <c r="I5474" s="66" t="str">
        <f>IF('Twenty-Second'!I227="", "",'Twenty-Second'!I227)</f>
        <v/>
      </c>
      <c r="J5474" s="66" t="str">
        <f>IF('Twenty-Second'!J227="", "",'Twenty-Second'!J227)</f>
        <v/>
      </c>
      <c r="K5474" s="86" t="str">
        <f>IF('Twenty-Second'!K227="", "",'Twenty-Second'!K227)</f>
        <v/>
      </c>
      <c r="M5474" s="67" t="str">
        <f t="shared" si="261"/>
        <v/>
      </c>
      <c r="N5474" s="76" t="str">
        <f t="shared" si="262"/>
        <v/>
      </c>
      <c r="O5474" s="33">
        <f t="shared" si="260"/>
        <v>0</v>
      </c>
    </row>
    <row r="5475" spans="1:15" x14ac:dyDescent="0.25">
      <c r="A5475" s="93" t="s">
        <v>191</v>
      </c>
      <c r="B5475" s="79" t="str">
        <f>IF('Twenty-Second'!B228="", "",'Twenty-Second'!B228)</f>
        <v/>
      </c>
      <c r="C5475" s="66" t="str">
        <f>IF('Twenty-Second'!C228="", "",'Twenty-Second'!C228)</f>
        <v/>
      </c>
      <c r="D5475" s="66" t="str">
        <f>IF('Twenty-Second'!D228="", "",'Twenty-Second'!D228)</f>
        <v/>
      </c>
      <c r="E5475" s="66" t="str">
        <f>IF('Twenty-Second'!E228="", "",'Twenty-Second'!E228)</f>
        <v/>
      </c>
      <c r="F5475" s="66" t="str">
        <f>IF('Twenty-Second'!F228="", "",'Twenty-Second'!F228)</f>
        <v/>
      </c>
      <c r="G5475" s="66" t="str">
        <f>IF('Twenty-Second'!G228="", "",'Twenty-Second'!G228)</f>
        <v/>
      </c>
      <c r="H5475" s="66" t="str">
        <f>IF('Twenty-Second'!H228="", "",'Twenty-Second'!H228)</f>
        <v/>
      </c>
      <c r="I5475" s="66" t="str">
        <f>IF('Twenty-Second'!I228="", "",'Twenty-Second'!I228)</f>
        <v/>
      </c>
      <c r="J5475" s="66" t="str">
        <f>IF('Twenty-Second'!J228="", "",'Twenty-Second'!J228)</f>
        <v/>
      </c>
      <c r="K5475" s="86" t="str">
        <f>IF('Twenty-Second'!K228="", "",'Twenty-Second'!K228)</f>
        <v/>
      </c>
      <c r="M5475" s="67" t="str">
        <f t="shared" si="261"/>
        <v/>
      </c>
      <c r="N5475" s="76" t="str">
        <f t="shared" si="262"/>
        <v/>
      </c>
      <c r="O5475" s="33">
        <f t="shared" si="260"/>
        <v>0</v>
      </c>
    </row>
    <row r="5476" spans="1:15" x14ac:dyDescent="0.25">
      <c r="A5476" s="93" t="s">
        <v>191</v>
      </c>
      <c r="B5476" s="79" t="str">
        <f>IF('Twenty-Second'!B229="", "",'Twenty-Second'!B229)</f>
        <v/>
      </c>
      <c r="C5476" s="66" t="str">
        <f>IF('Twenty-Second'!C229="", "",'Twenty-Second'!C229)</f>
        <v/>
      </c>
      <c r="D5476" s="66" t="str">
        <f>IF('Twenty-Second'!D229="", "",'Twenty-Second'!D229)</f>
        <v/>
      </c>
      <c r="E5476" s="66" t="str">
        <f>IF('Twenty-Second'!E229="", "",'Twenty-Second'!E229)</f>
        <v/>
      </c>
      <c r="F5476" s="66" t="str">
        <f>IF('Twenty-Second'!F229="", "",'Twenty-Second'!F229)</f>
        <v/>
      </c>
      <c r="G5476" s="66" t="str">
        <f>IF('Twenty-Second'!G229="", "",'Twenty-Second'!G229)</f>
        <v/>
      </c>
      <c r="H5476" s="66" t="str">
        <f>IF('Twenty-Second'!H229="", "",'Twenty-Second'!H229)</f>
        <v/>
      </c>
      <c r="I5476" s="66" t="str">
        <f>IF('Twenty-Second'!I229="", "",'Twenty-Second'!I229)</f>
        <v/>
      </c>
      <c r="J5476" s="66" t="str">
        <f>IF('Twenty-Second'!J229="", "",'Twenty-Second'!J229)</f>
        <v/>
      </c>
      <c r="K5476" s="86" t="str">
        <f>IF('Twenty-Second'!K229="", "",'Twenty-Second'!K229)</f>
        <v/>
      </c>
      <c r="M5476" s="67" t="str">
        <f t="shared" si="261"/>
        <v/>
      </c>
      <c r="N5476" s="76" t="str">
        <f t="shared" si="262"/>
        <v/>
      </c>
      <c r="O5476" s="33">
        <f t="shared" si="260"/>
        <v>0</v>
      </c>
    </row>
    <row r="5477" spans="1:15" x14ac:dyDescent="0.25">
      <c r="A5477" s="93" t="s">
        <v>191</v>
      </c>
      <c r="B5477" s="79" t="str">
        <f>IF('Twenty-Second'!B230="", "",'Twenty-Second'!B230)</f>
        <v/>
      </c>
      <c r="C5477" s="66" t="str">
        <f>IF('Twenty-Second'!C230="", "",'Twenty-Second'!C230)</f>
        <v/>
      </c>
      <c r="D5477" s="66" t="str">
        <f>IF('Twenty-Second'!D230="", "",'Twenty-Second'!D230)</f>
        <v/>
      </c>
      <c r="E5477" s="66" t="str">
        <f>IF('Twenty-Second'!E230="", "",'Twenty-Second'!E230)</f>
        <v/>
      </c>
      <c r="F5477" s="66" t="str">
        <f>IF('Twenty-Second'!F230="", "",'Twenty-Second'!F230)</f>
        <v/>
      </c>
      <c r="G5477" s="66" t="str">
        <f>IF('Twenty-Second'!G230="", "",'Twenty-Second'!G230)</f>
        <v/>
      </c>
      <c r="H5477" s="66" t="str">
        <f>IF('Twenty-Second'!H230="", "",'Twenty-Second'!H230)</f>
        <v/>
      </c>
      <c r="I5477" s="66" t="str">
        <f>IF('Twenty-Second'!I230="", "",'Twenty-Second'!I230)</f>
        <v/>
      </c>
      <c r="J5477" s="66" t="str">
        <f>IF('Twenty-Second'!J230="", "",'Twenty-Second'!J230)</f>
        <v/>
      </c>
      <c r="K5477" s="86" t="str">
        <f>IF('Twenty-Second'!K230="", "",'Twenty-Second'!K230)</f>
        <v/>
      </c>
      <c r="M5477" s="67" t="str">
        <f t="shared" si="261"/>
        <v/>
      </c>
      <c r="N5477" s="76" t="str">
        <f t="shared" si="262"/>
        <v/>
      </c>
      <c r="O5477" s="33">
        <f t="shared" si="260"/>
        <v>0</v>
      </c>
    </row>
    <row r="5478" spans="1:15" x14ac:dyDescent="0.25">
      <c r="A5478" s="93" t="s">
        <v>191</v>
      </c>
      <c r="B5478" s="79" t="str">
        <f>IF('Twenty-Second'!B231="", "",'Twenty-Second'!B231)</f>
        <v/>
      </c>
      <c r="C5478" s="66" t="str">
        <f>IF('Twenty-Second'!C231="", "",'Twenty-Second'!C231)</f>
        <v/>
      </c>
      <c r="D5478" s="66" t="str">
        <f>IF('Twenty-Second'!D231="", "",'Twenty-Second'!D231)</f>
        <v/>
      </c>
      <c r="E5478" s="66" t="str">
        <f>IF('Twenty-Second'!E231="", "",'Twenty-Second'!E231)</f>
        <v/>
      </c>
      <c r="F5478" s="66" t="str">
        <f>IF('Twenty-Second'!F231="", "",'Twenty-Second'!F231)</f>
        <v/>
      </c>
      <c r="G5478" s="66" t="str">
        <f>IF('Twenty-Second'!G231="", "",'Twenty-Second'!G231)</f>
        <v/>
      </c>
      <c r="H5478" s="66" t="str">
        <f>IF('Twenty-Second'!H231="", "",'Twenty-Second'!H231)</f>
        <v/>
      </c>
      <c r="I5478" s="66" t="str">
        <f>IF('Twenty-Second'!I231="", "",'Twenty-Second'!I231)</f>
        <v/>
      </c>
      <c r="J5478" s="66" t="str">
        <f>IF('Twenty-Second'!J231="", "",'Twenty-Second'!J231)</f>
        <v/>
      </c>
      <c r="K5478" s="86" t="str">
        <f>IF('Twenty-Second'!K231="", "",'Twenty-Second'!K231)</f>
        <v/>
      </c>
      <c r="M5478" s="67" t="str">
        <f t="shared" si="261"/>
        <v/>
      </c>
      <c r="N5478" s="76" t="str">
        <f t="shared" si="262"/>
        <v/>
      </c>
      <c r="O5478" s="33">
        <f t="shared" si="260"/>
        <v>0</v>
      </c>
    </row>
    <row r="5479" spans="1:15" x14ac:dyDescent="0.25">
      <c r="A5479" s="93" t="s">
        <v>191</v>
      </c>
      <c r="B5479" s="79" t="str">
        <f>IF('Twenty-Second'!B232="", "",'Twenty-Second'!B232)</f>
        <v/>
      </c>
      <c r="C5479" s="66" t="str">
        <f>IF('Twenty-Second'!C232="", "",'Twenty-Second'!C232)</f>
        <v/>
      </c>
      <c r="D5479" s="66" t="str">
        <f>IF('Twenty-Second'!D232="", "",'Twenty-Second'!D232)</f>
        <v/>
      </c>
      <c r="E5479" s="66" t="str">
        <f>IF('Twenty-Second'!E232="", "",'Twenty-Second'!E232)</f>
        <v/>
      </c>
      <c r="F5479" s="66" t="str">
        <f>IF('Twenty-Second'!F232="", "",'Twenty-Second'!F232)</f>
        <v/>
      </c>
      <c r="G5479" s="66" t="str">
        <f>IF('Twenty-Second'!G232="", "",'Twenty-Second'!G232)</f>
        <v/>
      </c>
      <c r="H5479" s="66" t="str">
        <f>IF('Twenty-Second'!H232="", "",'Twenty-Second'!H232)</f>
        <v/>
      </c>
      <c r="I5479" s="66" t="str">
        <f>IF('Twenty-Second'!I232="", "",'Twenty-Second'!I232)</f>
        <v/>
      </c>
      <c r="J5479" s="66" t="str">
        <f>IF('Twenty-Second'!J232="", "",'Twenty-Second'!J232)</f>
        <v/>
      </c>
      <c r="K5479" s="86" t="str">
        <f>IF('Twenty-Second'!K232="", "",'Twenty-Second'!K232)</f>
        <v/>
      </c>
      <c r="M5479" s="67" t="str">
        <f t="shared" si="261"/>
        <v/>
      </c>
      <c r="N5479" s="76" t="str">
        <f t="shared" si="262"/>
        <v/>
      </c>
      <c r="O5479" s="33">
        <f t="shared" si="260"/>
        <v>0</v>
      </c>
    </row>
    <row r="5480" spans="1:15" x14ac:dyDescent="0.25">
      <c r="A5480" s="93" t="s">
        <v>191</v>
      </c>
      <c r="B5480" s="79" t="str">
        <f>IF('Twenty-Second'!B233="", "",'Twenty-Second'!B233)</f>
        <v/>
      </c>
      <c r="C5480" s="66" t="str">
        <f>IF('Twenty-Second'!C233="", "",'Twenty-Second'!C233)</f>
        <v/>
      </c>
      <c r="D5480" s="66" t="str">
        <f>IF('Twenty-Second'!D233="", "",'Twenty-Second'!D233)</f>
        <v/>
      </c>
      <c r="E5480" s="66" t="str">
        <f>IF('Twenty-Second'!E233="", "",'Twenty-Second'!E233)</f>
        <v/>
      </c>
      <c r="F5480" s="66" t="str">
        <f>IF('Twenty-Second'!F233="", "",'Twenty-Second'!F233)</f>
        <v/>
      </c>
      <c r="G5480" s="66" t="str">
        <f>IF('Twenty-Second'!G233="", "",'Twenty-Second'!G233)</f>
        <v/>
      </c>
      <c r="H5480" s="66" t="str">
        <f>IF('Twenty-Second'!H233="", "",'Twenty-Second'!H233)</f>
        <v/>
      </c>
      <c r="I5480" s="66" t="str">
        <f>IF('Twenty-Second'!I233="", "",'Twenty-Second'!I233)</f>
        <v/>
      </c>
      <c r="J5480" s="66" t="str">
        <f>IF('Twenty-Second'!J233="", "",'Twenty-Second'!J233)</f>
        <v/>
      </c>
      <c r="K5480" s="86" t="str">
        <f>IF('Twenty-Second'!K233="", "",'Twenty-Second'!K233)</f>
        <v/>
      </c>
      <c r="M5480" s="67" t="str">
        <f t="shared" si="261"/>
        <v/>
      </c>
      <c r="N5480" s="76" t="str">
        <f t="shared" si="262"/>
        <v/>
      </c>
      <c r="O5480" s="33">
        <f t="shared" si="260"/>
        <v>0</v>
      </c>
    </row>
    <row r="5481" spans="1:15" x14ac:dyDescent="0.25">
      <c r="A5481" s="93" t="s">
        <v>191</v>
      </c>
      <c r="B5481" s="79" t="str">
        <f>IF('Twenty-Second'!B234="", "",'Twenty-Second'!B234)</f>
        <v/>
      </c>
      <c r="C5481" s="66" t="str">
        <f>IF('Twenty-Second'!C234="", "",'Twenty-Second'!C234)</f>
        <v/>
      </c>
      <c r="D5481" s="66" t="str">
        <f>IF('Twenty-Second'!D234="", "",'Twenty-Second'!D234)</f>
        <v/>
      </c>
      <c r="E5481" s="66" t="str">
        <f>IF('Twenty-Second'!E234="", "",'Twenty-Second'!E234)</f>
        <v/>
      </c>
      <c r="F5481" s="66" t="str">
        <f>IF('Twenty-Second'!F234="", "",'Twenty-Second'!F234)</f>
        <v/>
      </c>
      <c r="G5481" s="66" t="str">
        <f>IF('Twenty-Second'!G234="", "",'Twenty-Second'!G234)</f>
        <v/>
      </c>
      <c r="H5481" s="66" t="str">
        <f>IF('Twenty-Second'!H234="", "",'Twenty-Second'!H234)</f>
        <v/>
      </c>
      <c r="I5481" s="66" t="str">
        <f>IF('Twenty-Second'!I234="", "",'Twenty-Second'!I234)</f>
        <v/>
      </c>
      <c r="J5481" s="66" t="str">
        <f>IF('Twenty-Second'!J234="", "",'Twenty-Second'!J234)</f>
        <v/>
      </c>
      <c r="K5481" s="86" t="str">
        <f>IF('Twenty-Second'!K234="", "",'Twenty-Second'!K234)</f>
        <v/>
      </c>
      <c r="M5481" s="67" t="str">
        <f t="shared" si="261"/>
        <v/>
      </c>
      <c r="N5481" s="76" t="str">
        <f t="shared" si="262"/>
        <v/>
      </c>
      <c r="O5481" s="33">
        <f t="shared" si="260"/>
        <v>0</v>
      </c>
    </row>
    <row r="5482" spans="1:15" x14ac:dyDescent="0.25">
      <c r="A5482" s="93" t="s">
        <v>191</v>
      </c>
      <c r="B5482" s="79" t="str">
        <f>IF('Twenty-Second'!B235="", "",'Twenty-Second'!B235)</f>
        <v/>
      </c>
      <c r="C5482" s="66" t="str">
        <f>IF('Twenty-Second'!C235="", "",'Twenty-Second'!C235)</f>
        <v/>
      </c>
      <c r="D5482" s="66" t="str">
        <f>IF('Twenty-Second'!D235="", "",'Twenty-Second'!D235)</f>
        <v/>
      </c>
      <c r="E5482" s="66" t="str">
        <f>IF('Twenty-Second'!E235="", "",'Twenty-Second'!E235)</f>
        <v/>
      </c>
      <c r="F5482" s="66" t="str">
        <f>IF('Twenty-Second'!F235="", "",'Twenty-Second'!F235)</f>
        <v/>
      </c>
      <c r="G5482" s="66" t="str">
        <f>IF('Twenty-Second'!G235="", "",'Twenty-Second'!G235)</f>
        <v/>
      </c>
      <c r="H5482" s="66" t="str">
        <f>IF('Twenty-Second'!H235="", "",'Twenty-Second'!H235)</f>
        <v/>
      </c>
      <c r="I5482" s="66" t="str">
        <f>IF('Twenty-Second'!I235="", "",'Twenty-Second'!I235)</f>
        <v/>
      </c>
      <c r="J5482" s="66" t="str">
        <f>IF('Twenty-Second'!J235="", "",'Twenty-Second'!J235)</f>
        <v/>
      </c>
      <c r="K5482" s="86" t="str">
        <f>IF('Twenty-Second'!K235="", "",'Twenty-Second'!K235)</f>
        <v/>
      </c>
      <c r="M5482" s="67" t="str">
        <f t="shared" si="261"/>
        <v/>
      </c>
      <c r="N5482" s="76" t="str">
        <f t="shared" si="262"/>
        <v/>
      </c>
      <c r="O5482" s="33">
        <f t="shared" si="260"/>
        <v>0</v>
      </c>
    </row>
    <row r="5483" spans="1:15" x14ac:dyDescent="0.25">
      <c r="A5483" s="93" t="s">
        <v>191</v>
      </c>
      <c r="B5483" s="79" t="str">
        <f>IF('Twenty-Second'!B236="", "",'Twenty-Second'!B236)</f>
        <v/>
      </c>
      <c r="C5483" s="66" t="str">
        <f>IF('Twenty-Second'!C236="", "",'Twenty-Second'!C236)</f>
        <v/>
      </c>
      <c r="D5483" s="66" t="str">
        <f>IF('Twenty-Second'!D236="", "",'Twenty-Second'!D236)</f>
        <v/>
      </c>
      <c r="E5483" s="66" t="str">
        <f>IF('Twenty-Second'!E236="", "",'Twenty-Second'!E236)</f>
        <v/>
      </c>
      <c r="F5483" s="66" t="str">
        <f>IF('Twenty-Second'!F236="", "",'Twenty-Second'!F236)</f>
        <v/>
      </c>
      <c r="G5483" s="66" t="str">
        <f>IF('Twenty-Second'!G236="", "",'Twenty-Second'!G236)</f>
        <v/>
      </c>
      <c r="H5483" s="66" t="str">
        <f>IF('Twenty-Second'!H236="", "",'Twenty-Second'!H236)</f>
        <v/>
      </c>
      <c r="I5483" s="66" t="str">
        <f>IF('Twenty-Second'!I236="", "",'Twenty-Second'!I236)</f>
        <v/>
      </c>
      <c r="J5483" s="66" t="str">
        <f>IF('Twenty-Second'!J236="", "",'Twenty-Second'!J236)</f>
        <v/>
      </c>
      <c r="K5483" s="86" t="str">
        <f>IF('Twenty-Second'!K236="", "",'Twenty-Second'!K236)</f>
        <v/>
      </c>
      <c r="M5483" s="67" t="str">
        <f t="shared" si="261"/>
        <v/>
      </c>
      <c r="N5483" s="76" t="str">
        <f t="shared" si="262"/>
        <v/>
      </c>
      <c r="O5483" s="33">
        <f t="shared" si="260"/>
        <v>0</v>
      </c>
    </row>
    <row r="5484" spans="1:15" x14ac:dyDescent="0.25">
      <c r="A5484" s="93" t="s">
        <v>191</v>
      </c>
      <c r="B5484" s="79" t="str">
        <f>IF('Twenty-Second'!B237="", "",'Twenty-Second'!B237)</f>
        <v/>
      </c>
      <c r="C5484" s="66" t="str">
        <f>IF('Twenty-Second'!C237="", "",'Twenty-Second'!C237)</f>
        <v/>
      </c>
      <c r="D5484" s="66" t="str">
        <f>IF('Twenty-Second'!D237="", "",'Twenty-Second'!D237)</f>
        <v/>
      </c>
      <c r="E5484" s="66" t="str">
        <f>IF('Twenty-Second'!E237="", "",'Twenty-Second'!E237)</f>
        <v/>
      </c>
      <c r="F5484" s="66" t="str">
        <f>IF('Twenty-Second'!F237="", "",'Twenty-Second'!F237)</f>
        <v/>
      </c>
      <c r="G5484" s="66" t="str">
        <f>IF('Twenty-Second'!G237="", "",'Twenty-Second'!G237)</f>
        <v/>
      </c>
      <c r="H5484" s="66" t="str">
        <f>IF('Twenty-Second'!H237="", "",'Twenty-Second'!H237)</f>
        <v/>
      </c>
      <c r="I5484" s="66" t="str">
        <f>IF('Twenty-Second'!I237="", "",'Twenty-Second'!I237)</f>
        <v/>
      </c>
      <c r="J5484" s="66" t="str">
        <f>IF('Twenty-Second'!J237="", "",'Twenty-Second'!J237)</f>
        <v/>
      </c>
      <c r="K5484" s="86" t="str">
        <f>IF('Twenty-Second'!K237="", "",'Twenty-Second'!K237)</f>
        <v/>
      </c>
      <c r="M5484" s="67" t="str">
        <f t="shared" si="261"/>
        <v/>
      </c>
      <c r="N5484" s="76" t="str">
        <f t="shared" si="262"/>
        <v/>
      </c>
      <c r="O5484" s="33">
        <f t="shared" si="260"/>
        <v>0</v>
      </c>
    </row>
    <row r="5485" spans="1:15" x14ac:dyDescent="0.25">
      <c r="A5485" s="93" t="s">
        <v>191</v>
      </c>
      <c r="B5485" s="79" t="str">
        <f>IF('Twenty-Second'!B238="", "",'Twenty-Second'!B238)</f>
        <v/>
      </c>
      <c r="C5485" s="66" t="str">
        <f>IF('Twenty-Second'!C238="", "",'Twenty-Second'!C238)</f>
        <v/>
      </c>
      <c r="D5485" s="66" t="str">
        <f>IF('Twenty-Second'!D238="", "",'Twenty-Second'!D238)</f>
        <v/>
      </c>
      <c r="E5485" s="66" t="str">
        <f>IF('Twenty-Second'!E238="", "",'Twenty-Second'!E238)</f>
        <v/>
      </c>
      <c r="F5485" s="66" t="str">
        <f>IF('Twenty-Second'!F238="", "",'Twenty-Second'!F238)</f>
        <v/>
      </c>
      <c r="G5485" s="66" t="str">
        <f>IF('Twenty-Second'!G238="", "",'Twenty-Second'!G238)</f>
        <v/>
      </c>
      <c r="H5485" s="66" t="str">
        <f>IF('Twenty-Second'!H238="", "",'Twenty-Second'!H238)</f>
        <v/>
      </c>
      <c r="I5485" s="66" t="str">
        <f>IF('Twenty-Second'!I238="", "",'Twenty-Second'!I238)</f>
        <v/>
      </c>
      <c r="J5485" s="66" t="str">
        <f>IF('Twenty-Second'!J238="", "",'Twenty-Second'!J238)</f>
        <v/>
      </c>
      <c r="K5485" s="86" t="str">
        <f>IF('Twenty-Second'!K238="", "",'Twenty-Second'!K238)</f>
        <v/>
      </c>
      <c r="M5485" s="67" t="str">
        <f t="shared" si="261"/>
        <v/>
      </c>
      <c r="N5485" s="76" t="str">
        <f t="shared" si="262"/>
        <v/>
      </c>
      <c r="O5485" s="33">
        <f t="shared" si="260"/>
        <v>0</v>
      </c>
    </row>
    <row r="5486" spans="1:15" x14ac:dyDescent="0.25">
      <c r="A5486" s="93" t="s">
        <v>191</v>
      </c>
      <c r="B5486" s="79" t="str">
        <f>IF('Twenty-Second'!B239="", "",'Twenty-Second'!B239)</f>
        <v/>
      </c>
      <c r="C5486" s="66" t="str">
        <f>IF('Twenty-Second'!C239="", "",'Twenty-Second'!C239)</f>
        <v/>
      </c>
      <c r="D5486" s="66" t="str">
        <f>IF('Twenty-Second'!D239="", "",'Twenty-Second'!D239)</f>
        <v/>
      </c>
      <c r="E5486" s="66" t="str">
        <f>IF('Twenty-Second'!E239="", "",'Twenty-Second'!E239)</f>
        <v/>
      </c>
      <c r="F5486" s="66" t="str">
        <f>IF('Twenty-Second'!F239="", "",'Twenty-Second'!F239)</f>
        <v/>
      </c>
      <c r="G5486" s="66" t="str">
        <f>IF('Twenty-Second'!G239="", "",'Twenty-Second'!G239)</f>
        <v/>
      </c>
      <c r="H5486" s="66" t="str">
        <f>IF('Twenty-Second'!H239="", "",'Twenty-Second'!H239)</f>
        <v/>
      </c>
      <c r="I5486" s="66" t="str">
        <f>IF('Twenty-Second'!I239="", "",'Twenty-Second'!I239)</f>
        <v/>
      </c>
      <c r="J5486" s="66" t="str">
        <f>IF('Twenty-Second'!J239="", "",'Twenty-Second'!J239)</f>
        <v/>
      </c>
      <c r="K5486" s="86" t="str">
        <f>IF('Twenty-Second'!K239="", "",'Twenty-Second'!K239)</f>
        <v/>
      </c>
      <c r="M5486" s="67" t="str">
        <f t="shared" si="261"/>
        <v/>
      </c>
      <c r="N5486" s="76" t="str">
        <f t="shared" si="262"/>
        <v/>
      </c>
      <c r="O5486" s="33">
        <f t="shared" si="260"/>
        <v>0</v>
      </c>
    </row>
    <row r="5487" spans="1:15" x14ac:dyDescent="0.25">
      <c r="A5487" s="93" t="s">
        <v>191</v>
      </c>
      <c r="B5487" s="79" t="str">
        <f>IF('Twenty-Second'!B240="", "",'Twenty-Second'!B240)</f>
        <v/>
      </c>
      <c r="C5487" s="66" t="str">
        <f>IF('Twenty-Second'!C240="", "",'Twenty-Second'!C240)</f>
        <v/>
      </c>
      <c r="D5487" s="66" t="str">
        <f>IF('Twenty-Second'!D240="", "",'Twenty-Second'!D240)</f>
        <v/>
      </c>
      <c r="E5487" s="66" t="str">
        <f>IF('Twenty-Second'!E240="", "",'Twenty-Second'!E240)</f>
        <v/>
      </c>
      <c r="F5487" s="66" t="str">
        <f>IF('Twenty-Second'!F240="", "",'Twenty-Second'!F240)</f>
        <v/>
      </c>
      <c r="G5487" s="66" t="str">
        <f>IF('Twenty-Second'!G240="", "",'Twenty-Second'!G240)</f>
        <v/>
      </c>
      <c r="H5487" s="66" t="str">
        <f>IF('Twenty-Second'!H240="", "",'Twenty-Second'!H240)</f>
        <v/>
      </c>
      <c r="I5487" s="66" t="str">
        <f>IF('Twenty-Second'!I240="", "",'Twenty-Second'!I240)</f>
        <v/>
      </c>
      <c r="J5487" s="66" t="str">
        <f>IF('Twenty-Second'!J240="", "",'Twenty-Second'!J240)</f>
        <v/>
      </c>
      <c r="K5487" s="86" t="str">
        <f>IF('Twenty-Second'!K240="", "",'Twenty-Second'!K240)</f>
        <v/>
      </c>
      <c r="M5487" s="67" t="str">
        <f t="shared" si="261"/>
        <v/>
      </c>
      <c r="N5487" s="76" t="str">
        <f t="shared" si="262"/>
        <v/>
      </c>
      <c r="O5487" s="33">
        <f t="shared" si="260"/>
        <v>0</v>
      </c>
    </row>
    <row r="5488" spans="1:15" x14ac:dyDescent="0.25">
      <c r="A5488" s="93" t="s">
        <v>191</v>
      </c>
      <c r="B5488" s="79" t="str">
        <f>IF('Twenty-Second'!B241="", "",'Twenty-Second'!B241)</f>
        <v/>
      </c>
      <c r="C5488" s="66" t="str">
        <f>IF('Twenty-Second'!C241="", "",'Twenty-Second'!C241)</f>
        <v/>
      </c>
      <c r="D5488" s="66" t="str">
        <f>IF('Twenty-Second'!D241="", "",'Twenty-Second'!D241)</f>
        <v/>
      </c>
      <c r="E5488" s="66" t="str">
        <f>IF('Twenty-Second'!E241="", "",'Twenty-Second'!E241)</f>
        <v/>
      </c>
      <c r="F5488" s="66" t="str">
        <f>IF('Twenty-Second'!F241="", "",'Twenty-Second'!F241)</f>
        <v/>
      </c>
      <c r="G5488" s="66" t="str">
        <f>IF('Twenty-Second'!G241="", "",'Twenty-Second'!G241)</f>
        <v/>
      </c>
      <c r="H5488" s="66" t="str">
        <f>IF('Twenty-Second'!H241="", "",'Twenty-Second'!H241)</f>
        <v/>
      </c>
      <c r="I5488" s="66" t="str">
        <f>IF('Twenty-Second'!I241="", "",'Twenty-Second'!I241)</f>
        <v/>
      </c>
      <c r="J5488" s="66" t="str">
        <f>IF('Twenty-Second'!J241="", "",'Twenty-Second'!J241)</f>
        <v/>
      </c>
      <c r="K5488" s="86" t="str">
        <f>IF('Twenty-Second'!K241="", "",'Twenty-Second'!K241)</f>
        <v/>
      </c>
      <c r="M5488" s="67" t="str">
        <f t="shared" si="261"/>
        <v/>
      </c>
      <c r="N5488" s="76" t="str">
        <f t="shared" si="262"/>
        <v/>
      </c>
      <c r="O5488" s="33">
        <f t="shared" si="260"/>
        <v>0</v>
      </c>
    </row>
    <row r="5489" spans="1:15" x14ac:dyDescent="0.25">
      <c r="A5489" s="93" t="s">
        <v>191</v>
      </c>
      <c r="B5489" s="79" t="str">
        <f>IF('Twenty-Second'!B242="", "",'Twenty-Second'!B242)</f>
        <v/>
      </c>
      <c r="C5489" s="66" t="str">
        <f>IF('Twenty-Second'!C242="", "",'Twenty-Second'!C242)</f>
        <v/>
      </c>
      <c r="D5489" s="66" t="str">
        <f>IF('Twenty-Second'!D242="", "",'Twenty-Second'!D242)</f>
        <v/>
      </c>
      <c r="E5489" s="66" t="str">
        <f>IF('Twenty-Second'!E242="", "",'Twenty-Second'!E242)</f>
        <v/>
      </c>
      <c r="F5489" s="66" t="str">
        <f>IF('Twenty-Second'!F242="", "",'Twenty-Second'!F242)</f>
        <v/>
      </c>
      <c r="G5489" s="66" t="str">
        <f>IF('Twenty-Second'!G242="", "",'Twenty-Second'!G242)</f>
        <v/>
      </c>
      <c r="H5489" s="66" t="str">
        <f>IF('Twenty-Second'!H242="", "",'Twenty-Second'!H242)</f>
        <v/>
      </c>
      <c r="I5489" s="66" t="str">
        <f>IF('Twenty-Second'!I242="", "",'Twenty-Second'!I242)</f>
        <v/>
      </c>
      <c r="J5489" s="66" t="str">
        <f>IF('Twenty-Second'!J242="", "",'Twenty-Second'!J242)</f>
        <v/>
      </c>
      <c r="K5489" s="86" t="str">
        <f>IF('Twenty-Second'!K242="", "",'Twenty-Second'!K242)</f>
        <v/>
      </c>
      <c r="M5489" s="67" t="str">
        <f t="shared" si="261"/>
        <v/>
      </c>
      <c r="N5489" s="76" t="str">
        <f t="shared" si="262"/>
        <v/>
      </c>
      <c r="O5489" s="33">
        <f t="shared" si="260"/>
        <v>0</v>
      </c>
    </row>
    <row r="5490" spans="1:15" x14ac:dyDescent="0.25">
      <c r="A5490" s="93" t="s">
        <v>191</v>
      </c>
      <c r="B5490" s="79" t="str">
        <f>IF('Twenty-Second'!B243="", "",'Twenty-Second'!B243)</f>
        <v/>
      </c>
      <c r="C5490" s="66" t="str">
        <f>IF('Twenty-Second'!C243="", "",'Twenty-Second'!C243)</f>
        <v/>
      </c>
      <c r="D5490" s="66" t="str">
        <f>IF('Twenty-Second'!D243="", "",'Twenty-Second'!D243)</f>
        <v/>
      </c>
      <c r="E5490" s="66" t="str">
        <f>IF('Twenty-Second'!E243="", "",'Twenty-Second'!E243)</f>
        <v/>
      </c>
      <c r="F5490" s="66" t="str">
        <f>IF('Twenty-Second'!F243="", "",'Twenty-Second'!F243)</f>
        <v/>
      </c>
      <c r="G5490" s="66" t="str">
        <f>IF('Twenty-Second'!G243="", "",'Twenty-Second'!G243)</f>
        <v/>
      </c>
      <c r="H5490" s="66" t="str">
        <f>IF('Twenty-Second'!H243="", "",'Twenty-Second'!H243)</f>
        <v/>
      </c>
      <c r="I5490" s="66" t="str">
        <f>IF('Twenty-Second'!I243="", "",'Twenty-Second'!I243)</f>
        <v/>
      </c>
      <c r="J5490" s="66" t="str">
        <f>IF('Twenty-Second'!J243="", "",'Twenty-Second'!J243)</f>
        <v/>
      </c>
      <c r="K5490" s="86" t="str">
        <f>IF('Twenty-Second'!K243="", "",'Twenty-Second'!K243)</f>
        <v/>
      </c>
      <c r="M5490" s="67" t="str">
        <f t="shared" si="261"/>
        <v/>
      </c>
      <c r="N5490" s="76" t="str">
        <f t="shared" si="262"/>
        <v/>
      </c>
      <c r="O5490" s="33">
        <f t="shared" si="260"/>
        <v>0</v>
      </c>
    </row>
    <row r="5491" spans="1:15" x14ac:dyDescent="0.25">
      <c r="A5491" s="93" t="s">
        <v>191</v>
      </c>
      <c r="B5491" s="79" t="str">
        <f>IF('Twenty-Second'!B244="", "",'Twenty-Second'!B244)</f>
        <v/>
      </c>
      <c r="C5491" s="66" t="str">
        <f>IF('Twenty-Second'!C244="", "",'Twenty-Second'!C244)</f>
        <v/>
      </c>
      <c r="D5491" s="66" t="str">
        <f>IF('Twenty-Second'!D244="", "",'Twenty-Second'!D244)</f>
        <v/>
      </c>
      <c r="E5491" s="66" t="str">
        <f>IF('Twenty-Second'!E244="", "",'Twenty-Second'!E244)</f>
        <v/>
      </c>
      <c r="F5491" s="66" t="str">
        <f>IF('Twenty-Second'!F244="", "",'Twenty-Second'!F244)</f>
        <v/>
      </c>
      <c r="G5491" s="66" t="str">
        <f>IF('Twenty-Second'!G244="", "",'Twenty-Second'!G244)</f>
        <v/>
      </c>
      <c r="H5491" s="66" t="str">
        <f>IF('Twenty-Second'!H244="", "",'Twenty-Second'!H244)</f>
        <v/>
      </c>
      <c r="I5491" s="66" t="str">
        <f>IF('Twenty-Second'!I244="", "",'Twenty-Second'!I244)</f>
        <v/>
      </c>
      <c r="J5491" s="66" t="str">
        <f>IF('Twenty-Second'!J244="", "",'Twenty-Second'!J244)</f>
        <v/>
      </c>
      <c r="K5491" s="86" t="str">
        <f>IF('Twenty-Second'!K244="", "",'Twenty-Second'!K244)</f>
        <v/>
      </c>
      <c r="M5491" s="67" t="str">
        <f t="shared" si="261"/>
        <v/>
      </c>
      <c r="N5491" s="76" t="str">
        <f t="shared" si="262"/>
        <v/>
      </c>
      <c r="O5491" s="33">
        <f t="shared" si="260"/>
        <v>0</v>
      </c>
    </row>
    <row r="5492" spans="1:15" x14ac:dyDescent="0.25">
      <c r="A5492" s="93" t="s">
        <v>191</v>
      </c>
      <c r="B5492" s="79" t="str">
        <f>IF('Twenty-Second'!B245="", "",'Twenty-Second'!B245)</f>
        <v/>
      </c>
      <c r="C5492" s="66" t="str">
        <f>IF('Twenty-Second'!C245="", "",'Twenty-Second'!C245)</f>
        <v/>
      </c>
      <c r="D5492" s="66" t="str">
        <f>IF('Twenty-Second'!D245="", "",'Twenty-Second'!D245)</f>
        <v/>
      </c>
      <c r="E5492" s="66" t="str">
        <f>IF('Twenty-Second'!E245="", "",'Twenty-Second'!E245)</f>
        <v/>
      </c>
      <c r="F5492" s="66" t="str">
        <f>IF('Twenty-Second'!F245="", "",'Twenty-Second'!F245)</f>
        <v/>
      </c>
      <c r="G5492" s="66" t="str">
        <f>IF('Twenty-Second'!G245="", "",'Twenty-Second'!G245)</f>
        <v/>
      </c>
      <c r="H5492" s="66" t="str">
        <f>IF('Twenty-Second'!H245="", "",'Twenty-Second'!H245)</f>
        <v/>
      </c>
      <c r="I5492" s="66" t="str">
        <f>IF('Twenty-Second'!I245="", "",'Twenty-Second'!I245)</f>
        <v/>
      </c>
      <c r="J5492" s="66" t="str">
        <f>IF('Twenty-Second'!J245="", "",'Twenty-Second'!J245)</f>
        <v/>
      </c>
      <c r="K5492" s="86" t="str">
        <f>IF('Twenty-Second'!K245="", "",'Twenty-Second'!K245)</f>
        <v/>
      </c>
      <c r="M5492" s="67" t="str">
        <f t="shared" si="261"/>
        <v/>
      </c>
      <c r="N5492" s="76" t="str">
        <f t="shared" si="262"/>
        <v/>
      </c>
      <c r="O5492" s="33">
        <f t="shared" si="260"/>
        <v>0</v>
      </c>
    </row>
    <row r="5493" spans="1:15" x14ac:dyDescent="0.25">
      <c r="A5493" s="93" t="s">
        <v>191</v>
      </c>
      <c r="B5493" s="79" t="str">
        <f>IF('Twenty-Second'!B246="", "",'Twenty-Second'!B246)</f>
        <v/>
      </c>
      <c r="C5493" s="66" t="str">
        <f>IF('Twenty-Second'!C246="", "",'Twenty-Second'!C246)</f>
        <v/>
      </c>
      <c r="D5493" s="66" t="str">
        <f>IF('Twenty-Second'!D246="", "",'Twenty-Second'!D246)</f>
        <v/>
      </c>
      <c r="E5493" s="66" t="str">
        <f>IF('Twenty-Second'!E246="", "",'Twenty-Second'!E246)</f>
        <v/>
      </c>
      <c r="F5493" s="66" t="str">
        <f>IF('Twenty-Second'!F246="", "",'Twenty-Second'!F246)</f>
        <v/>
      </c>
      <c r="G5493" s="66" t="str">
        <f>IF('Twenty-Second'!G246="", "",'Twenty-Second'!G246)</f>
        <v/>
      </c>
      <c r="H5493" s="66" t="str">
        <f>IF('Twenty-Second'!H246="", "",'Twenty-Second'!H246)</f>
        <v/>
      </c>
      <c r="I5493" s="66" t="str">
        <f>IF('Twenty-Second'!I246="", "",'Twenty-Second'!I246)</f>
        <v/>
      </c>
      <c r="J5493" s="66" t="str">
        <f>IF('Twenty-Second'!J246="", "",'Twenty-Second'!J246)</f>
        <v/>
      </c>
      <c r="K5493" s="86" t="str">
        <f>IF('Twenty-Second'!K246="", "",'Twenty-Second'!K246)</f>
        <v/>
      </c>
      <c r="M5493" s="67" t="str">
        <f t="shared" si="261"/>
        <v/>
      </c>
      <c r="N5493" s="76" t="str">
        <f t="shared" si="262"/>
        <v/>
      </c>
      <c r="O5493" s="33">
        <f t="shared" si="260"/>
        <v>0</v>
      </c>
    </row>
    <row r="5494" spans="1:15" x14ac:dyDescent="0.25">
      <c r="A5494" s="93" t="s">
        <v>191</v>
      </c>
      <c r="B5494" s="79" t="str">
        <f>IF('Twenty-Second'!B247="", "",'Twenty-Second'!B247)</f>
        <v/>
      </c>
      <c r="C5494" s="66" t="str">
        <f>IF('Twenty-Second'!C247="", "",'Twenty-Second'!C247)</f>
        <v/>
      </c>
      <c r="D5494" s="66" t="str">
        <f>IF('Twenty-Second'!D247="", "",'Twenty-Second'!D247)</f>
        <v/>
      </c>
      <c r="E5494" s="66" t="str">
        <f>IF('Twenty-Second'!E247="", "",'Twenty-Second'!E247)</f>
        <v/>
      </c>
      <c r="F5494" s="66" t="str">
        <f>IF('Twenty-Second'!F247="", "",'Twenty-Second'!F247)</f>
        <v/>
      </c>
      <c r="G5494" s="66" t="str">
        <f>IF('Twenty-Second'!G247="", "",'Twenty-Second'!G247)</f>
        <v/>
      </c>
      <c r="H5494" s="66" t="str">
        <f>IF('Twenty-Second'!H247="", "",'Twenty-Second'!H247)</f>
        <v/>
      </c>
      <c r="I5494" s="66" t="str">
        <f>IF('Twenty-Second'!I247="", "",'Twenty-Second'!I247)</f>
        <v/>
      </c>
      <c r="J5494" s="66" t="str">
        <f>IF('Twenty-Second'!J247="", "",'Twenty-Second'!J247)</f>
        <v/>
      </c>
      <c r="K5494" s="86" t="str">
        <f>IF('Twenty-Second'!K247="", "",'Twenty-Second'!K247)</f>
        <v/>
      </c>
      <c r="M5494" s="67" t="str">
        <f t="shared" si="261"/>
        <v/>
      </c>
      <c r="N5494" s="76" t="str">
        <f t="shared" si="262"/>
        <v/>
      </c>
      <c r="O5494" s="33">
        <f t="shared" si="260"/>
        <v>0</v>
      </c>
    </row>
    <row r="5495" spans="1:15" x14ac:dyDescent="0.25">
      <c r="A5495" s="93" t="s">
        <v>191</v>
      </c>
      <c r="B5495" s="79" t="str">
        <f>IF('Twenty-Second'!B248="", "",'Twenty-Second'!B248)</f>
        <v/>
      </c>
      <c r="C5495" s="66" t="str">
        <f>IF('Twenty-Second'!C248="", "",'Twenty-Second'!C248)</f>
        <v/>
      </c>
      <c r="D5495" s="66" t="str">
        <f>IF('Twenty-Second'!D248="", "",'Twenty-Second'!D248)</f>
        <v/>
      </c>
      <c r="E5495" s="66" t="str">
        <f>IF('Twenty-Second'!E248="", "",'Twenty-Second'!E248)</f>
        <v/>
      </c>
      <c r="F5495" s="66" t="str">
        <f>IF('Twenty-Second'!F248="", "",'Twenty-Second'!F248)</f>
        <v/>
      </c>
      <c r="G5495" s="66" t="str">
        <f>IF('Twenty-Second'!G248="", "",'Twenty-Second'!G248)</f>
        <v/>
      </c>
      <c r="H5495" s="66" t="str">
        <f>IF('Twenty-Second'!H248="", "",'Twenty-Second'!H248)</f>
        <v/>
      </c>
      <c r="I5495" s="66" t="str">
        <f>IF('Twenty-Second'!I248="", "",'Twenty-Second'!I248)</f>
        <v/>
      </c>
      <c r="J5495" s="66" t="str">
        <f>IF('Twenty-Second'!J248="", "",'Twenty-Second'!J248)</f>
        <v/>
      </c>
      <c r="K5495" s="86" t="str">
        <f>IF('Twenty-Second'!K248="", "",'Twenty-Second'!K248)</f>
        <v/>
      </c>
      <c r="M5495" s="67" t="str">
        <f t="shared" si="261"/>
        <v/>
      </c>
      <c r="N5495" s="76" t="str">
        <f t="shared" si="262"/>
        <v/>
      </c>
      <c r="O5495" s="33">
        <f t="shared" si="260"/>
        <v>0</v>
      </c>
    </row>
    <row r="5496" spans="1:15" x14ac:dyDescent="0.25">
      <c r="A5496" s="93" t="s">
        <v>191</v>
      </c>
      <c r="B5496" s="79" t="str">
        <f>IF('Twenty-Second'!B249="", "",'Twenty-Second'!B249)</f>
        <v/>
      </c>
      <c r="C5496" s="66" t="str">
        <f>IF('Twenty-Second'!C249="", "",'Twenty-Second'!C249)</f>
        <v/>
      </c>
      <c r="D5496" s="66" t="str">
        <f>IF('Twenty-Second'!D249="", "",'Twenty-Second'!D249)</f>
        <v/>
      </c>
      <c r="E5496" s="66" t="str">
        <f>IF('Twenty-Second'!E249="", "",'Twenty-Second'!E249)</f>
        <v/>
      </c>
      <c r="F5496" s="66" t="str">
        <f>IF('Twenty-Second'!F249="", "",'Twenty-Second'!F249)</f>
        <v/>
      </c>
      <c r="G5496" s="66" t="str">
        <f>IF('Twenty-Second'!G249="", "",'Twenty-Second'!G249)</f>
        <v/>
      </c>
      <c r="H5496" s="66" t="str">
        <f>IF('Twenty-Second'!H249="", "",'Twenty-Second'!H249)</f>
        <v/>
      </c>
      <c r="I5496" s="66" t="str">
        <f>IF('Twenty-Second'!I249="", "",'Twenty-Second'!I249)</f>
        <v/>
      </c>
      <c r="J5496" s="66" t="str">
        <f>IF('Twenty-Second'!J249="", "",'Twenty-Second'!J249)</f>
        <v/>
      </c>
      <c r="K5496" s="86" t="str">
        <f>IF('Twenty-Second'!K249="", "",'Twenty-Second'!K249)</f>
        <v/>
      </c>
      <c r="M5496" s="67" t="str">
        <f t="shared" si="261"/>
        <v/>
      </c>
      <c r="N5496" s="76" t="str">
        <f t="shared" si="262"/>
        <v/>
      </c>
      <c r="O5496" s="33">
        <f t="shared" si="260"/>
        <v>0</v>
      </c>
    </row>
    <row r="5497" spans="1:15" x14ac:dyDescent="0.25">
      <c r="A5497" s="93" t="s">
        <v>191</v>
      </c>
      <c r="B5497" s="79" t="str">
        <f>IF('Twenty-Second'!B250="", "",'Twenty-Second'!B250)</f>
        <v/>
      </c>
      <c r="C5497" s="66" t="str">
        <f>IF('Twenty-Second'!C250="", "",'Twenty-Second'!C250)</f>
        <v/>
      </c>
      <c r="D5497" s="66" t="str">
        <f>IF('Twenty-Second'!D250="", "",'Twenty-Second'!D250)</f>
        <v/>
      </c>
      <c r="E5497" s="66" t="str">
        <f>IF('Twenty-Second'!E250="", "",'Twenty-Second'!E250)</f>
        <v/>
      </c>
      <c r="F5497" s="66" t="str">
        <f>IF('Twenty-Second'!F250="", "",'Twenty-Second'!F250)</f>
        <v/>
      </c>
      <c r="G5497" s="66" t="str">
        <f>IF('Twenty-Second'!G250="", "",'Twenty-Second'!G250)</f>
        <v/>
      </c>
      <c r="H5497" s="66" t="str">
        <f>IF('Twenty-Second'!H250="", "",'Twenty-Second'!H250)</f>
        <v/>
      </c>
      <c r="I5497" s="66" t="str">
        <f>IF('Twenty-Second'!I250="", "",'Twenty-Second'!I250)</f>
        <v/>
      </c>
      <c r="J5497" s="66" t="str">
        <f>IF('Twenty-Second'!J250="", "",'Twenty-Second'!J250)</f>
        <v/>
      </c>
      <c r="K5497" s="86" t="str">
        <f>IF('Twenty-Second'!K250="", "",'Twenty-Second'!K250)</f>
        <v/>
      </c>
      <c r="M5497" s="67" t="str">
        <f t="shared" si="261"/>
        <v/>
      </c>
      <c r="N5497" s="76" t="str">
        <f t="shared" si="262"/>
        <v/>
      </c>
      <c r="O5497" s="33">
        <f t="shared" si="260"/>
        <v>0</v>
      </c>
    </row>
    <row r="5498" spans="1:15" x14ac:dyDescent="0.25">
      <c r="A5498" s="93" t="s">
        <v>191</v>
      </c>
      <c r="B5498" s="79" t="str">
        <f>IF('Twenty-Second'!B251="", "",'Twenty-Second'!B251)</f>
        <v/>
      </c>
      <c r="C5498" s="66" t="str">
        <f>IF('Twenty-Second'!C251="", "",'Twenty-Second'!C251)</f>
        <v/>
      </c>
      <c r="D5498" s="66" t="str">
        <f>IF('Twenty-Second'!D251="", "",'Twenty-Second'!D251)</f>
        <v/>
      </c>
      <c r="E5498" s="66" t="str">
        <f>IF('Twenty-Second'!E251="", "",'Twenty-Second'!E251)</f>
        <v/>
      </c>
      <c r="F5498" s="66" t="str">
        <f>IF('Twenty-Second'!F251="", "",'Twenty-Second'!F251)</f>
        <v/>
      </c>
      <c r="G5498" s="66" t="str">
        <f>IF('Twenty-Second'!G251="", "",'Twenty-Second'!G251)</f>
        <v/>
      </c>
      <c r="H5498" s="66" t="str">
        <f>IF('Twenty-Second'!H251="", "",'Twenty-Second'!H251)</f>
        <v/>
      </c>
      <c r="I5498" s="66" t="str">
        <f>IF('Twenty-Second'!I251="", "",'Twenty-Second'!I251)</f>
        <v/>
      </c>
      <c r="J5498" s="66" t="str">
        <f>IF('Twenty-Second'!J251="", "",'Twenty-Second'!J251)</f>
        <v/>
      </c>
      <c r="K5498" s="86" t="str">
        <f>IF('Twenty-Second'!K251="", "",'Twenty-Second'!K251)</f>
        <v/>
      </c>
      <c r="M5498" s="67" t="str">
        <f t="shared" si="261"/>
        <v/>
      </c>
      <c r="N5498" s="76" t="str">
        <f t="shared" si="262"/>
        <v/>
      </c>
      <c r="O5498" s="33">
        <f t="shared" si="260"/>
        <v>0</v>
      </c>
    </row>
    <row r="5499" spans="1:15" x14ac:dyDescent="0.25">
      <c r="A5499" s="93" t="s">
        <v>191</v>
      </c>
      <c r="B5499" s="79" t="str">
        <f>IF('Twenty-Second'!B252="", "",'Twenty-Second'!B252)</f>
        <v/>
      </c>
      <c r="C5499" s="66" t="str">
        <f>IF('Twenty-Second'!C252="", "",'Twenty-Second'!C252)</f>
        <v/>
      </c>
      <c r="D5499" s="66" t="str">
        <f>IF('Twenty-Second'!D252="", "",'Twenty-Second'!D252)</f>
        <v/>
      </c>
      <c r="E5499" s="66" t="str">
        <f>IF('Twenty-Second'!E252="", "",'Twenty-Second'!E252)</f>
        <v/>
      </c>
      <c r="F5499" s="66" t="str">
        <f>IF('Twenty-Second'!F252="", "",'Twenty-Second'!F252)</f>
        <v/>
      </c>
      <c r="G5499" s="66" t="str">
        <f>IF('Twenty-Second'!G252="", "",'Twenty-Second'!G252)</f>
        <v/>
      </c>
      <c r="H5499" s="66" t="str">
        <f>IF('Twenty-Second'!H252="", "",'Twenty-Second'!H252)</f>
        <v/>
      </c>
      <c r="I5499" s="66" t="str">
        <f>IF('Twenty-Second'!I252="", "",'Twenty-Second'!I252)</f>
        <v/>
      </c>
      <c r="J5499" s="66" t="str">
        <f>IF('Twenty-Second'!J252="", "",'Twenty-Second'!J252)</f>
        <v/>
      </c>
      <c r="K5499" s="86" t="str">
        <f>IF('Twenty-Second'!K252="", "",'Twenty-Second'!K252)</f>
        <v/>
      </c>
      <c r="M5499" s="67" t="str">
        <f t="shared" si="261"/>
        <v/>
      </c>
      <c r="N5499" s="76" t="str">
        <f t="shared" si="262"/>
        <v/>
      </c>
      <c r="O5499" s="33">
        <f t="shared" si="260"/>
        <v>0</v>
      </c>
    </row>
    <row r="5500" spans="1:15" x14ac:dyDescent="0.25">
      <c r="A5500" s="93" t="s">
        <v>191</v>
      </c>
      <c r="B5500" s="79" t="str">
        <f>IF('Twenty-Second'!B253="", "",'Twenty-Second'!B253)</f>
        <v/>
      </c>
      <c r="C5500" s="66" t="str">
        <f>IF('Twenty-Second'!C253="", "",'Twenty-Second'!C253)</f>
        <v/>
      </c>
      <c r="D5500" s="66" t="str">
        <f>IF('Twenty-Second'!D253="", "",'Twenty-Second'!D253)</f>
        <v/>
      </c>
      <c r="E5500" s="66" t="str">
        <f>IF('Twenty-Second'!E253="", "",'Twenty-Second'!E253)</f>
        <v/>
      </c>
      <c r="F5500" s="66" t="str">
        <f>IF('Twenty-Second'!F253="", "",'Twenty-Second'!F253)</f>
        <v/>
      </c>
      <c r="G5500" s="66" t="str">
        <f>IF('Twenty-Second'!G253="", "",'Twenty-Second'!G253)</f>
        <v/>
      </c>
      <c r="H5500" s="66" t="str">
        <f>IF('Twenty-Second'!H253="", "",'Twenty-Second'!H253)</f>
        <v/>
      </c>
      <c r="I5500" s="66" t="str">
        <f>IF('Twenty-Second'!I253="", "",'Twenty-Second'!I253)</f>
        <v/>
      </c>
      <c r="J5500" s="66" t="str">
        <f>IF('Twenty-Second'!J253="", "",'Twenty-Second'!J253)</f>
        <v/>
      </c>
      <c r="K5500" s="86" t="str">
        <f>IF('Twenty-Second'!K253="", "",'Twenty-Second'!K253)</f>
        <v/>
      </c>
      <c r="M5500" s="67" t="str">
        <f t="shared" si="261"/>
        <v/>
      </c>
      <c r="N5500" s="76" t="str">
        <f t="shared" si="262"/>
        <v/>
      </c>
      <c r="O5500" s="33">
        <f t="shared" si="260"/>
        <v>0</v>
      </c>
    </row>
    <row r="5501" spans="1:15" ht="15.75" thickBot="1" x14ac:dyDescent="0.3">
      <c r="A5501" s="68" t="s">
        <v>191</v>
      </c>
      <c r="B5501" s="80" t="str">
        <f>IF('Twenty-Second'!B254="", "",'Twenty-Second'!B254)</f>
        <v/>
      </c>
      <c r="C5501" s="70" t="str">
        <f>IF('Twenty-Second'!C254="", "",'Twenty-Second'!C254)</f>
        <v/>
      </c>
      <c r="D5501" s="70" t="str">
        <f>IF('Twenty-Second'!D254="", "",'Twenty-Second'!D254)</f>
        <v/>
      </c>
      <c r="E5501" s="70" t="str">
        <f>IF('Twenty-Second'!E254="", "",'Twenty-Second'!E254)</f>
        <v/>
      </c>
      <c r="F5501" s="70" t="str">
        <f>IF('Twenty-Second'!F254="", "",'Twenty-Second'!F254)</f>
        <v/>
      </c>
      <c r="G5501" s="70" t="str">
        <f>IF('Twenty-Second'!G254="", "",'Twenty-Second'!G254)</f>
        <v/>
      </c>
      <c r="H5501" s="70" t="str">
        <f>IF('Twenty-Second'!H254="", "",'Twenty-Second'!H254)</f>
        <v/>
      </c>
      <c r="I5501" s="70" t="str">
        <f>IF('Twenty-Second'!I254="", "",'Twenty-Second'!I254)</f>
        <v/>
      </c>
      <c r="J5501" s="70" t="str">
        <f>IF('Twenty-Second'!J254="", "",'Twenty-Second'!J254)</f>
        <v/>
      </c>
      <c r="K5501" s="90" t="str">
        <f>IF('Twenty-Second'!K254="", "",'Twenty-Second'!K254)</f>
        <v/>
      </c>
      <c r="L5501" s="91"/>
      <c r="M5501" s="71" t="str">
        <f t="shared" si="261"/>
        <v/>
      </c>
      <c r="N5501" s="77" t="str">
        <f t="shared" si="262"/>
        <v/>
      </c>
      <c r="O5501" s="33">
        <f t="shared" si="260"/>
        <v>0</v>
      </c>
    </row>
    <row r="5502" spans="1:15" x14ac:dyDescent="0.25">
      <c r="A5502" s="64" t="s">
        <v>192</v>
      </c>
      <c r="B5502" s="79" t="str">
        <f>IF('Twenty-Third'!B5="", "",'Twenty-Third'!B5)</f>
        <v/>
      </c>
      <c r="C5502" s="66" t="str">
        <f>IF('Twenty-Third'!C5="", "",'Twenty-Third'!C5)</f>
        <v/>
      </c>
      <c r="D5502" s="66" t="str">
        <f>IF('Twenty-Third'!D5="", "",'Twenty-Third'!D5)</f>
        <v/>
      </c>
      <c r="E5502" s="66" t="str">
        <f>IF('Twenty-Third'!E5="", "",'Twenty-Third'!E5)</f>
        <v/>
      </c>
      <c r="F5502" s="66" t="str">
        <f>IF('Twenty-Third'!F5="", "",'Twenty-Third'!F5)</f>
        <v/>
      </c>
      <c r="G5502" s="66" t="str">
        <f>IF('Twenty-Third'!G5="", "",'Twenty-Third'!G5)</f>
        <v/>
      </c>
      <c r="H5502" s="66" t="str">
        <f>IF('Twenty-Third'!H5="", "",'Twenty-Third'!H5)</f>
        <v/>
      </c>
      <c r="I5502" s="66" t="str">
        <f>IF('Twenty-Third'!I5="", "",'Twenty-Third'!I5)</f>
        <v/>
      </c>
      <c r="J5502" s="66" t="str">
        <f>IF('Twenty-Third'!J5="", "",'Twenty-Third'!J5)</f>
        <v/>
      </c>
      <c r="K5502" s="86" t="str">
        <f>IF('Twenty-Third'!K5="", "",'Twenty-Third'!K5)</f>
        <v/>
      </c>
      <c r="M5502" s="67" t="str">
        <f>IF(C5502="PwC",(7-COUNTIF(B5502:H5502,"")),"")</f>
        <v/>
      </c>
      <c r="N5502" s="76" t="str">
        <f>IF(C5502="Carer",(7-COUNTIF(B5502:H5502,"")),"")</f>
        <v/>
      </c>
      <c r="O5502" s="33">
        <f t="shared" si="260"/>
        <v>0</v>
      </c>
    </row>
    <row r="5503" spans="1:15" x14ac:dyDescent="0.25">
      <c r="A5503" s="64" t="s">
        <v>192</v>
      </c>
      <c r="B5503" s="79" t="str">
        <f>IF('Twenty-Third'!B6="", "",'Twenty-Third'!B6)</f>
        <v/>
      </c>
      <c r="C5503" s="66" t="str">
        <f>IF('Twenty-Third'!C6="", "",'Twenty-Third'!C6)</f>
        <v/>
      </c>
      <c r="D5503" s="66" t="str">
        <f>IF('Twenty-Third'!D6="", "",'Twenty-Third'!D6)</f>
        <v/>
      </c>
      <c r="E5503" s="66" t="str">
        <f>IF('Twenty-Third'!E6="", "",'Twenty-Third'!E6)</f>
        <v/>
      </c>
      <c r="F5503" s="66" t="str">
        <f>IF('Twenty-Third'!F6="", "",'Twenty-Third'!F6)</f>
        <v/>
      </c>
      <c r="G5503" s="66" t="str">
        <f>IF('Twenty-Third'!G6="", "",'Twenty-Third'!G6)</f>
        <v/>
      </c>
      <c r="H5503" s="66" t="str">
        <f>IF('Twenty-Third'!H6="", "",'Twenty-Third'!H6)</f>
        <v/>
      </c>
      <c r="I5503" s="66" t="str">
        <f>IF('Twenty-Third'!I6="", "",'Twenty-Third'!I6)</f>
        <v/>
      </c>
      <c r="J5503" s="66" t="str">
        <f>IF('Twenty-Third'!J6="", "",'Twenty-Third'!J6)</f>
        <v/>
      </c>
      <c r="K5503" s="86" t="str">
        <f>IF('Twenty-Third'!K6="", "",'Twenty-Third'!K6)</f>
        <v/>
      </c>
      <c r="M5503" s="67" t="str">
        <f t="shared" ref="M5503:M5566" si="263">IF(C5503="PwC",(7-COUNTIF(B5503:H5503,"")),"")</f>
        <v/>
      </c>
      <c r="N5503" s="76" t="str">
        <f t="shared" ref="N5503:N5566" si="264">IF(C5503="Carer",(7-COUNTIF(B5503:H5503,"")),"")</f>
        <v/>
      </c>
      <c r="O5503" s="33">
        <f t="shared" si="260"/>
        <v>0</v>
      </c>
    </row>
    <row r="5504" spans="1:15" x14ac:dyDescent="0.25">
      <c r="A5504" s="64" t="s">
        <v>192</v>
      </c>
      <c r="B5504" s="79" t="str">
        <f>IF('Twenty-Third'!B7="", "",'Twenty-Third'!B7)</f>
        <v/>
      </c>
      <c r="C5504" s="66" t="str">
        <f>IF('Twenty-Third'!C7="", "",'Twenty-Third'!C7)</f>
        <v/>
      </c>
      <c r="D5504" s="66" t="str">
        <f>IF('Twenty-Third'!D7="", "",'Twenty-Third'!D7)</f>
        <v/>
      </c>
      <c r="E5504" s="66" t="str">
        <f>IF('Twenty-Third'!E7="", "",'Twenty-Third'!E7)</f>
        <v/>
      </c>
      <c r="F5504" s="66" t="str">
        <f>IF('Twenty-Third'!F7="", "",'Twenty-Third'!F7)</f>
        <v/>
      </c>
      <c r="G5504" s="66" t="str">
        <f>IF('Twenty-Third'!G7="", "",'Twenty-Third'!G7)</f>
        <v/>
      </c>
      <c r="H5504" s="66" t="str">
        <f>IF('Twenty-Third'!H7="", "",'Twenty-Third'!H7)</f>
        <v/>
      </c>
      <c r="I5504" s="66" t="str">
        <f>IF('Twenty-Third'!I7="", "",'Twenty-Third'!I7)</f>
        <v/>
      </c>
      <c r="J5504" s="66" t="str">
        <f>IF('Twenty-Third'!J7="", "",'Twenty-Third'!J7)</f>
        <v/>
      </c>
      <c r="K5504" s="86" t="str">
        <f>IF('Twenty-Third'!K7="", "",'Twenty-Third'!K7)</f>
        <v/>
      </c>
      <c r="M5504" s="67" t="str">
        <f t="shared" si="263"/>
        <v/>
      </c>
      <c r="N5504" s="76" t="str">
        <f t="shared" si="264"/>
        <v/>
      </c>
      <c r="O5504" s="33">
        <f t="shared" si="260"/>
        <v>0</v>
      </c>
    </row>
    <row r="5505" spans="1:15" x14ac:dyDescent="0.25">
      <c r="A5505" s="64" t="s">
        <v>192</v>
      </c>
      <c r="B5505" s="79" t="str">
        <f>IF('Twenty-Third'!B8="", "",'Twenty-Third'!B8)</f>
        <v/>
      </c>
      <c r="C5505" s="66" t="str">
        <f>IF('Twenty-Third'!C8="", "",'Twenty-Third'!C8)</f>
        <v/>
      </c>
      <c r="D5505" s="66" t="str">
        <f>IF('Twenty-Third'!D8="", "",'Twenty-Third'!D8)</f>
        <v/>
      </c>
      <c r="E5505" s="66" t="str">
        <f>IF('Twenty-Third'!E8="", "",'Twenty-Third'!E8)</f>
        <v/>
      </c>
      <c r="F5505" s="66" t="str">
        <f>IF('Twenty-Third'!F8="", "",'Twenty-Third'!F8)</f>
        <v/>
      </c>
      <c r="G5505" s="66" t="str">
        <f>IF('Twenty-Third'!G8="", "",'Twenty-Third'!G8)</f>
        <v/>
      </c>
      <c r="H5505" s="66" t="str">
        <f>IF('Twenty-Third'!H8="", "",'Twenty-Third'!H8)</f>
        <v/>
      </c>
      <c r="I5505" s="66" t="str">
        <f>IF('Twenty-Third'!I8="", "",'Twenty-Third'!I8)</f>
        <v/>
      </c>
      <c r="J5505" s="66" t="str">
        <f>IF('Twenty-Third'!J8="", "",'Twenty-Third'!J8)</f>
        <v/>
      </c>
      <c r="K5505" s="86" t="str">
        <f>IF('Twenty-Third'!K8="", "",'Twenty-Third'!K8)</f>
        <v/>
      </c>
      <c r="M5505" s="67" t="str">
        <f t="shared" si="263"/>
        <v/>
      </c>
      <c r="N5505" s="76" t="str">
        <f t="shared" si="264"/>
        <v/>
      </c>
      <c r="O5505" s="33">
        <f t="shared" si="260"/>
        <v>0</v>
      </c>
    </row>
    <row r="5506" spans="1:15" x14ac:dyDescent="0.25">
      <c r="A5506" s="64" t="s">
        <v>192</v>
      </c>
      <c r="B5506" s="79" t="str">
        <f>IF('Twenty-Third'!B9="", "",'Twenty-Third'!B9)</f>
        <v/>
      </c>
      <c r="C5506" s="66" t="str">
        <f>IF('Twenty-Third'!C9="", "",'Twenty-Third'!C9)</f>
        <v/>
      </c>
      <c r="D5506" s="66" t="str">
        <f>IF('Twenty-Third'!D9="", "",'Twenty-Third'!D9)</f>
        <v/>
      </c>
      <c r="E5506" s="66" t="str">
        <f>IF('Twenty-Third'!E9="", "",'Twenty-Third'!E9)</f>
        <v/>
      </c>
      <c r="F5506" s="66" t="str">
        <f>IF('Twenty-Third'!F9="", "",'Twenty-Third'!F9)</f>
        <v/>
      </c>
      <c r="G5506" s="66" t="str">
        <f>IF('Twenty-Third'!G9="", "",'Twenty-Third'!G9)</f>
        <v/>
      </c>
      <c r="H5506" s="66" t="str">
        <f>IF('Twenty-Third'!H9="", "",'Twenty-Third'!H9)</f>
        <v/>
      </c>
      <c r="I5506" s="66" t="str">
        <f>IF('Twenty-Third'!I9="", "",'Twenty-Third'!I9)</f>
        <v/>
      </c>
      <c r="J5506" s="66" t="str">
        <f>IF('Twenty-Third'!J9="", "",'Twenty-Third'!J9)</f>
        <v/>
      </c>
      <c r="K5506" s="86" t="str">
        <f>IF('Twenty-Third'!K9="", "",'Twenty-Third'!K9)</f>
        <v/>
      </c>
      <c r="M5506" s="67" t="str">
        <f t="shared" si="263"/>
        <v/>
      </c>
      <c r="N5506" s="76" t="str">
        <f t="shared" si="264"/>
        <v/>
      </c>
      <c r="O5506" s="33">
        <f t="shared" si="260"/>
        <v>0</v>
      </c>
    </row>
    <row r="5507" spans="1:15" x14ac:dyDescent="0.25">
      <c r="A5507" s="64" t="s">
        <v>192</v>
      </c>
      <c r="B5507" s="79" t="str">
        <f>IF('Twenty-Third'!B10="", "",'Twenty-Third'!B10)</f>
        <v/>
      </c>
      <c r="C5507" s="66" t="str">
        <f>IF('Twenty-Third'!C10="", "",'Twenty-Third'!C10)</f>
        <v/>
      </c>
      <c r="D5507" s="66" t="str">
        <f>IF('Twenty-Third'!D10="", "",'Twenty-Third'!D10)</f>
        <v/>
      </c>
      <c r="E5507" s="66" t="str">
        <f>IF('Twenty-Third'!E10="", "",'Twenty-Third'!E10)</f>
        <v/>
      </c>
      <c r="F5507" s="66" t="str">
        <f>IF('Twenty-Third'!F10="", "",'Twenty-Third'!F10)</f>
        <v/>
      </c>
      <c r="G5507" s="66" t="str">
        <f>IF('Twenty-Third'!G10="", "",'Twenty-Third'!G10)</f>
        <v/>
      </c>
      <c r="H5507" s="66" t="str">
        <f>IF('Twenty-Third'!H10="", "",'Twenty-Third'!H10)</f>
        <v/>
      </c>
      <c r="I5507" s="66" t="str">
        <f>IF('Twenty-Third'!I10="", "",'Twenty-Third'!I10)</f>
        <v/>
      </c>
      <c r="J5507" s="66" t="str">
        <f>IF('Twenty-Third'!J10="", "",'Twenty-Third'!J10)</f>
        <v/>
      </c>
      <c r="K5507" s="86" t="str">
        <f>IF('Twenty-Third'!K10="", "",'Twenty-Third'!K10)</f>
        <v/>
      </c>
      <c r="M5507" s="67" t="str">
        <f t="shared" si="263"/>
        <v/>
      </c>
      <c r="N5507" s="76" t="str">
        <f t="shared" si="264"/>
        <v/>
      </c>
      <c r="O5507" s="33">
        <f t="shared" si="260"/>
        <v>0</v>
      </c>
    </row>
    <row r="5508" spans="1:15" x14ac:dyDescent="0.25">
      <c r="A5508" s="64" t="s">
        <v>192</v>
      </c>
      <c r="B5508" s="79" t="str">
        <f>IF('Twenty-Third'!B11="", "",'Twenty-Third'!B11)</f>
        <v/>
      </c>
      <c r="C5508" s="66" t="str">
        <f>IF('Twenty-Third'!C11="", "",'Twenty-Third'!C11)</f>
        <v/>
      </c>
      <c r="D5508" s="66" t="str">
        <f>IF('Twenty-Third'!D11="", "",'Twenty-Third'!D11)</f>
        <v/>
      </c>
      <c r="E5508" s="66" t="str">
        <f>IF('Twenty-Third'!E11="", "",'Twenty-Third'!E11)</f>
        <v/>
      </c>
      <c r="F5508" s="66" t="str">
        <f>IF('Twenty-Third'!F11="", "",'Twenty-Third'!F11)</f>
        <v/>
      </c>
      <c r="G5508" s="66" t="str">
        <f>IF('Twenty-Third'!G11="", "",'Twenty-Third'!G11)</f>
        <v/>
      </c>
      <c r="H5508" s="66" t="str">
        <f>IF('Twenty-Third'!H11="", "",'Twenty-Third'!H11)</f>
        <v/>
      </c>
      <c r="I5508" s="66" t="str">
        <f>IF('Twenty-Third'!I11="", "",'Twenty-Third'!I11)</f>
        <v/>
      </c>
      <c r="J5508" s="66" t="str">
        <f>IF('Twenty-Third'!J11="", "",'Twenty-Third'!J11)</f>
        <v/>
      </c>
      <c r="K5508" s="86" t="str">
        <f>IF('Twenty-Third'!K11="", "",'Twenty-Third'!K11)</f>
        <v/>
      </c>
      <c r="M5508" s="67" t="str">
        <f t="shared" si="263"/>
        <v/>
      </c>
      <c r="N5508" s="76" t="str">
        <f t="shared" si="264"/>
        <v/>
      </c>
      <c r="O5508" s="33">
        <f t="shared" si="260"/>
        <v>0</v>
      </c>
    </row>
    <row r="5509" spans="1:15" x14ac:dyDescent="0.25">
      <c r="A5509" s="64" t="s">
        <v>192</v>
      </c>
      <c r="B5509" s="79" t="str">
        <f>IF('Twenty-Third'!B12="", "",'Twenty-Third'!B12)</f>
        <v/>
      </c>
      <c r="C5509" s="66" t="str">
        <f>IF('Twenty-Third'!C12="", "",'Twenty-Third'!C12)</f>
        <v/>
      </c>
      <c r="D5509" s="66" t="str">
        <f>IF('Twenty-Third'!D12="", "",'Twenty-Third'!D12)</f>
        <v/>
      </c>
      <c r="E5509" s="66" t="str">
        <f>IF('Twenty-Third'!E12="", "",'Twenty-Third'!E12)</f>
        <v/>
      </c>
      <c r="F5509" s="66" t="str">
        <f>IF('Twenty-Third'!F12="", "",'Twenty-Third'!F12)</f>
        <v/>
      </c>
      <c r="G5509" s="66" t="str">
        <f>IF('Twenty-Third'!G12="", "",'Twenty-Third'!G12)</f>
        <v/>
      </c>
      <c r="H5509" s="66" t="str">
        <f>IF('Twenty-Third'!H12="", "",'Twenty-Third'!H12)</f>
        <v/>
      </c>
      <c r="I5509" s="66" t="str">
        <f>IF('Twenty-Third'!I12="", "",'Twenty-Third'!I12)</f>
        <v/>
      </c>
      <c r="J5509" s="66" t="str">
        <f>IF('Twenty-Third'!J12="", "",'Twenty-Third'!J12)</f>
        <v/>
      </c>
      <c r="K5509" s="86" t="str">
        <f>IF('Twenty-Third'!K12="", "",'Twenty-Third'!K12)</f>
        <v/>
      </c>
      <c r="M5509" s="67" t="str">
        <f t="shared" si="263"/>
        <v/>
      </c>
      <c r="N5509" s="76" t="str">
        <f t="shared" si="264"/>
        <v/>
      </c>
      <c r="O5509" s="33">
        <f t="shared" si="260"/>
        <v>0</v>
      </c>
    </row>
    <row r="5510" spans="1:15" x14ac:dyDescent="0.25">
      <c r="A5510" s="64" t="s">
        <v>192</v>
      </c>
      <c r="B5510" s="79" t="str">
        <f>IF('Twenty-Third'!B13="", "",'Twenty-Third'!B13)</f>
        <v/>
      </c>
      <c r="C5510" s="66" t="str">
        <f>IF('Twenty-Third'!C13="", "",'Twenty-Third'!C13)</f>
        <v/>
      </c>
      <c r="D5510" s="66" t="str">
        <f>IF('Twenty-Third'!D13="", "",'Twenty-Third'!D13)</f>
        <v/>
      </c>
      <c r="E5510" s="66" t="str">
        <f>IF('Twenty-Third'!E13="", "",'Twenty-Third'!E13)</f>
        <v/>
      </c>
      <c r="F5510" s="66" t="str">
        <f>IF('Twenty-Third'!F13="", "",'Twenty-Third'!F13)</f>
        <v/>
      </c>
      <c r="G5510" s="66" t="str">
        <f>IF('Twenty-Third'!G13="", "",'Twenty-Third'!G13)</f>
        <v/>
      </c>
      <c r="H5510" s="66" t="str">
        <f>IF('Twenty-Third'!H13="", "",'Twenty-Third'!H13)</f>
        <v/>
      </c>
      <c r="I5510" s="66" t="str">
        <f>IF('Twenty-Third'!I13="", "",'Twenty-Third'!I13)</f>
        <v/>
      </c>
      <c r="J5510" s="66" t="str">
        <f>IF('Twenty-Third'!J13="", "",'Twenty-Third'!J13)</f>
        <v/>
      </c>
      <c r="K5510" s="86" t="str">
        <f>IF('Twenty-Third'!K13="", "",'Twenty-Third'!K13)</f>
        <v/>
      </c>
      <c r="M5510" s="67" t="str">
        <f t="shared" si="263"/>
        <v/>
      </c>
      <c r="N5510" s="76" t="str">
        <f t="shared" si="264"/>
        <v/>
      </c>
      <c r="O5510" s="33">
        <f t="shared" si="260"/>
        <v>0</v>
      </c>
    </row>
    <row r="5511" spans="1:15" x14ac:dyDescent="0.25">
      <c r="A5511" s="64" t="s">
        <v>192</v>
      </c>
      <c r="B5511" s="79" t="str">
        <f>IF('Twenty-Third'!B14="", "",'Twenty-Third'!B14)</f>
        <v/>
      </c>
      <c r="C5511" s="66" t="str">
        <f>IF('Twenty-Third'!C14="", "",'Twenty-Third'!C14)</f>
        <v/>
      </c>
      <c r="D5511" s="66" t="str">
        <f>IF('Twenty-Third'!D14="", "",'Twenty-Third'!D14)</f>
        <v/>
      </c>
      <c r="E5511" s="66" t="str">
        <f>IF('Twenty-Third'!E14="", "",'Twenty-Third'!E14)</f>
        <v/>
      </c>
      <c r="F5511" s="66" t="str">
        <f>IF('Twenty-Third'!F14="", "",'Twenty-Third'!F14)</f>
        <v/>
      </c>
      <c r="G5511" s="66" t="str">
        <f>IF('Twenty-Third'!G14="", "",'Twenty-Third'!G14)</f>
        <v/>
      </c>
      <c r="H5511" s="66" t="str">
        <f>IF('Twenty-Third'!H14="", "",'Twenty-Third'!H14)</f>
        <v/>
      </c>
      <c r="I5511" s="66" t="str">
        <f>IF('Twenty-Third'!I14="", "",'Twenty-Third'!I14)</f>
        <v/>
      </c>
      <c r="J5511" s="66" t="str">
        <f>IF('Twenty-Third'!J14="", "",'Twenty-Third'!J14)</f>
        <v/>
      </c>
      <c r="K5511" s="86" t="str">
        <f>IF('Twenty-Third'!K14="", "",'Twenty-Third'!K14)</f>
        <v/>
      </c>
      <c r="M5511" s="67" t="str">
        <f t="shared" si="263"/>
        <v/>
      </c>
      <c r="N5511" s="76" t="str">
        <f t="shared" si="264"/>
        <v/>
      </c>
      <c r="O5511" s="33">
        <f t="shared" si="260"/>
        <v>0</v>
      </c>
    </row>
    <row r="5512" spans="1:15" x14ac:dyDescent="0.25">
      <c r="A5512" s="64" t="s">
        <v>192</v>
      </c>
      <c r="B5512" s="79" t="str">
        <f>IF('Twenty-Third'!B15="", "",'Twenty-Third'!B15)</f>
        <v/>
      </c>
      <c r="C5512" s="66" t="str">
        <f>IF('Twenty-Third'!C15="", "",'Twenty-Third'!C15)</f>
        <v/>
      </c>
      <c r="D5512" s="66" t="str">
        <f>IF('Twenty-Third'!D15="", "",'Twenty-Third'!D15)</f>
        <v/>
      </c>
      <c r="E5512" s="66" t="str">
        <f>IF('Twenty-Third'!E15="", "",'Twenty-Third'!E15)</f>
        <v/>
      </c>
      <c r="F5512" s="66" t="str">
        <f>IF('Twenty-Third'!F15="", "",'Twenty-Third'!F15)</f>
        <v/>
      </c>
      <c r="G5512" s="66" t="str">
        <f>IF('Twenty-Third'!G15="", "",'Twenty-Third'!G15)</f>
        <v/>
      </c>
      <c r="H5512" s="66" t="str">
        <f>IF('Twenty-Third'!H15="", "",'Twenty-Third'!H15)</f>
        <v/>
      </c>
      <c r="I5512" s="66" t="str">
        <f>IF('Twenty-Third'!I15="", "",'Twenty-Third'!I15)</f>
        <v/>
      </c>
      <c r="J5512" s="66" t="str">
        <f>IF('Twenty-Third'!J15="", "",'Twenty-Third'!J15)</f>
        <v/>
      </c>
      <c r="K5512" s="86" t="str">
        <f>IF('Twenty-Third'!K15="", "",'Twenty-Third'!K15)</f>
        <v/>
      </c>
      <c r="M5512" s="67" t="str">
        <f t="shared" si="263"/>
        <v/>
      </c>
      <c r="N5512" s="76" t="str">
        <f t="shared" si="264"/>
        <v/>
      </c>
      <c r="O5512" s="33">
        <f t="shared" si="260"/>
        <v>0</v>
      </c>
    </row>
    <row r="5513" spans="1:15" x14ac:dyDescent="0.25">
      <c r="A5513" s="64" t="s">
        <v>192</v>
      </c>
      <c r="B5513" s="79" t="str">
        <f>IF('Twenty-Third'!B16="", "",'Twenty-Third'!B16)</f>
        <v/>
      </c>
      <c r="C5513" s="66" t="str">
        <f>IF('Twenty-Third'!C16="", "",'Twenty-Third'!C16)</f>
        <v/>
      </c>
      <c r="D5513" s="66" t="str">
        <f>IF('Twenty-Third'!D16="", "",'Twenty-Third'!D16)</f>
        <v/>
      </c>
      <c r="E5513" s="66" t="str">
        <f>IF('Twenty-Third'!E16="", "",'Twenty-Third'!E16)</f>
        <v/>
      </c>
      <c r="F5513" s="66" t="str">
        <f>IF('Twenty-Third'!F16="", "",'Twenty-Third'!F16)</f>
        <v/>
      </c>
      <c r="G5513" s="66" t="str">
        <f>IF('Twenty-Third'!G16="", "",'Twenty-Third'!G16)</f>
        <v/>
      </c>
      <c r="H5513" s="66" t="str">
        <f>IF('Twenty-Third'!H16="", "",'Twenty-Third'!H16)</f>
        <v/>
      </c>
      <c r="I5513" s="66" t="str">
        <f>IF('Twenty-Third'!I16="", "",'Twenty-Third'!I16)</f>
        <v/>
      </c>
      <c r="J5513" s="66" t="str">
        <f>IF('Twenty-Third'!J16="", "",'Twenty-Third'!J16)</f>
        <v/>
      </c>
      <c r="K5513" s="86" t="str">
        <f>IF('Twenty-Third'!K16="", "",'Twenty-Third'!K16)</f>
        <v/>
      </c>
      <c r="M5513" s="67" t="str">
        <f t="shared" si="263"/>
        <v/>
      </c>
      <c r="N5513" s="76" t="str">
        <f t="shared" si="264"/>
        <v/>
      </c>
      <c r="O5513" s="33">
        <f t="shared" si="260"/>
        <v>0</v>
      </c>
    </row>
    <row r="5514" spans="1:15" x14ac:dyDescent="0.25">
      <c r="A5514" s="64" t="s">
        <v>192</v>
      </c>
      <c r="B5514" s="79" t="str">
        <f>IF('Twenty-Third'!B17="", "",'Twenty-Third'!B17)</f>
        <v/>
      </c>
      <c r="C5514" s="66" t="str">
        <f>IF('Twenty-Third'!C17="", "",'Twenty-Third'!C17)</f>
        <v/>
      </c>
      <c r="D5514" s="66" t="str">
        <f>IF('Twenty-Third'!D17="", "",'Twenty-Third'!D17)</f>
        <v/>
      </c>
      <c r="E5514" s="66" t="str">
        <f>IF('Twenty-Third'!E17="", "",'Twenty-Third'!E17)</f>
        <v/>
      </c>
      <c r="F5514" s="66" t="str">
        <f>IF('Twenty-Third'!F17="", "",'Twenty-Third'!F17)</f>
        <v/>
      </c>
      <c r="G5514" s="66" t="str">
        <f>IF('Twenty-Third'!G17="", "",'Twenty-Third'!G17)</f>
        <v/>
      </c>
      <c r="H5514" s="66" t="str">
        <f>IF('Twenty-Third'!H17="", "",'Twenty-Third'!H17)</f>
        <v/>
      </c>
      <c r="I5514" s="66" t="str">
        <f>IF('Twenty-Third'!I17="", "",'Twenty-Third'!I17)</f>
        <v/>
      </c>
      <c r="J5514" s="66" t="str">
        <f>IF('Twenty-Third'!J17="", "",'Twenty-Third'!J17)</f>
        <v/>
      </c>
      <c r="K5514" s="86" t="str">
        <f>IF('Twenty-Third'!K17="", "",'Twenty-Third'!K17)</f>
        <v/>
      </c>
      <c r="M5514" s="67" t="str">
        <f t="shared" si="263"/>
        <v/>
      </c>
      <c r="N5514" s="76" t="str">
        <f t="shared" si="264"/>
        <v/>
      </c>
      <c r="O5514" s="33">
        <f t="shared" ref="O5514:O5577" si="265">SUM(M5514:N5514)</f>
        <v>0</v>
      </c>
    </row>
    <row r="5515" spans="1:15" x14ac:dyDescent="0.25">
      <c r="A5515" s="64" t="s">
        <v>192</v>
      </c>
      <c r="B5515" s="79" t="str">
        <f>IF('Twenty-Third'!B18="", "",'Twenty-Third'!B18)</f>
        <v/>
      </c>
      <c r="C5515" s="66" t="str">
        <f>IF('Twenty-Third'!C18="", "",'Twenty-Third'!C18)</f>
        <v/>
      </c>
      <c r="D5515" s="66" t="str">
        <f>IF('Twenty-Third'!D18="", "",'Twenty-Third'!D18)</f>
        <v/>
      </c>
      <c r="E5515" s="66" t="str">
        <f>IF('Twenty-Third'!E18="", "",'Twenty-Third'!E18)</f>
        <v/>
      </c>
      <c r="F5515" s="66" t="str">
        <f>IF('Twenty-Third'!F18="", "",'Twenty-Third'!F18)</f>
        <v/>
      </c>
      <c r="G5515" s="66" t="str">
        <f>IF('Twenty-Third'!G18="", "",'Twenty-Third'!G18)</f>
        <v/>
      </c>
      <c r="H5515" s="66" t="str">
        <f>IF('Twenty-Third'!H18="", "",'Twenty-Third'!H18)</f>
        <v/>
      </c>
      <c r="I5515" s="66" t="str">
        <f>IF('Twenty-Third'!I18="", "",'Twenty-Third'!I18)</f>
        <v/>
      </c>
      <c r="J5515" s="66" t="str">
        <f>IF('Twenty-Third'!J18="", "",'Twenty-Third'!J18)</f>
        <v/>
      </c>
      <c r="K5515" s="86" t="str">
        <f>IF('Twenty-Third'!K18="", "",'Twenty-Third'!K18)</f>
        <v/>
      </c>
      <c r="M5515" s="67" t="str">
        <f t="shared" si="263"/>
        <v/>
      </c>
      <c r="N5515" s="76" t="str">
        <f t="shared" si="264"/>
        <v/>
      </c>
      <c r="O5515" s="33">
        <f t="shared" si="265"/>
        <v>0</v>
      </c>
    </row>
    <row r="5516" spans="1:15" x14ac:dyDescent="0.25">
      <c r="A5516" s="64" t="s">
        <v>192</v>
      </c>
      <c r="B5516" s="79" t="str">
        <f>IF('Twenty-Third'!B19="", "",'Twenty-Third'!B19)</f>
        <v/>
      </c>
      <c r="C5516" s="66" t="str">
        <f>IF('Twenty-Third'!C19="", "",'Twenty-Third'!C19)</f>
        <v/>
      </c>
      <c r="D5516" s="66" t="str">
        <f>IF('Twenty-Third'!D19="", "",'Twenty-Third'!D19)</f>
        <v/>
      </c>
      <c r="E5516" s="66" t="str">
        <f>IF('Twenty-Third'!E19="", "",'Twenty-Third'!E19)</f>
        <v/>
      </c>
      <c r="F5516" s="66" t="str">
        <f>IF('Twenty-Third'!F19="", "",'Twenty-Third'!F19)</f>
        <v/>
      </c>
      <c r="G5516" s="66" t="str">
        <f>IF('Twenty-Third'!G19="", "",'Twenty-Third'!G19)</f>
        <v/>
      </c>
      <c r="H5516" s="66" t="str">
        <f>IF('Twenty-Third'!H19="", "",'Twenty-Third'!H19)</f>
        <v/>
      </c>
      <c r="I5516" s="66" t="str">
        <f>IF('Twenty-Third'!I19="", "",'Twenty-Third'!I19)</f>
        <v/>
      </c>
      <c r="J5516" s="66" t="str">
        <f>IF('Twenty-Third'!J19="", "",'Twenty-Third'!J19)</f>
        <v/>
      </c>
      <c r="K5516" s="86" t="str">
        <f>IF('Twenty-Third'!K19="", "",'Twenty-Third'!K19)</f>
        <v/>
      </c>
      <c r="M5516" s="67" t="str">
        <f t="shared" si="263"/>
        <v/>
      </c>
      <c r="N5516" s="76" t="str">
        <f t="shared" si="264"/>
        <v/>
      </c>
      <c r="O5516" s="33">
        <f t="shared" si="265"/>
        <v>0</v>
      </c>
    </row>
    <row r="5517" spans="1:15" x14ac:dyDescent="0.25">
      <c r="A5517" s="64" t="s">
        <v>192</v>
      </c>
      <c r="B5517" s="79" t="str">
        <f>IF('Twenty-Third'!B20="", "",'Twenty-Third'!B20)</f>
        <v/>
      </c>
      <c r="C5517" s="66" t="str">
        <f>IF('Twenty-Third'!C20="", "",'Twenty-Third'!C20)</f>
        <v/>
      </c>
      <c r="D5517" s="66" t="str">
        <f>IF('Twenty-Third'!D20="", "",'Twenty-Third'!D20)</f>
        <v/>
      </c>
      <c r="E5517" s="66" t="str">
        <f>IF('Twenty-Third'!E20="", "",'Twenty-Third'!E20)</f>
        <v/>
      </c>
      <c r="F5517" s="66" t="str">
        <f>IF('Twenty-Third'!F20="", "",'Twenty-Third'!F20)</f>
        <v/>
      </c>
      <c r="G5517" s="66" t="str">
        <f>IF('Twenty-Third'!G20="", "",'Twenty-Third'!G20)</f>
        <v/>
      </c>
      <c r="H5517" s="66" t="str">
        <f>IF('Twenty-Third'!H20="", "",'Twenty-Third'!H20)</f>
        <v/>
      </c>
      <c r="I5517" s="66" t="str">
        <f>IF('Twenty-Third'!I20="", "",'Twenty-Third'!I20)</f>
        <v/>
      </c>
      <c r="J5517" s="66" t="str">
        <f>IF('Twenty-Third'!J20="", "",'Twenty-Third'!J20)</f>
        <v/>
      </c>
      <c r="K5517" s="86" t="str">
        <f>IF('Twenty-Third'!K20="", "",'Twenty-Third'!K20)</f>
        <v/>
      </c>
      <c r="M5517" s="67" t="str">
        <f t="shared" si="263"/>
        <v/>
      </c>
      <c r="N5517" s="76" t="str">
        <f t="shared" si="264"/>
        <v/>
      </c>
      <c r="O5517" s="33">
        <f t="shared" si="265"/>
        <v>0</v>
      </c>
    </row>
    <row r="5518" spans="1:15" x14ac:dyDescent="0.25">
      <c r="A5518" s="64" t="s">
        <v>192</v>
      </c>
      <c r="B5518" s="79" t="str">
        <f>IF('Twenty-Third'!B21="", "",'Twenty-Third'!B21)</f>
        <v/>
      </c>
      <c r="C5518" s="66" t="str">
        <f>IF('Twenty-Third'!C21="", "",'Twenty-Third'!C21)</f>
        <v/>
      </c>
      <c r="D5518" s="66" t="str">
        <f>IF('Twenty-Third'!D21="", "",'Twenty-Third'!D21)</f>
        <v/>
      </c>
      <c r="E5518" s="66" t="str">
        <f>IF('Twenty-Third'!E21="", "",'Twenty-Third'!E21)</f>
        <v/>
      </c>
      <c r="F5518" s="66" t="str">
        <f>IF('Twenty-Third'!F21="", "",'Twenty-Third'!F21)</f>
        <v/>
      </c>
      <c r="G5518" s="66" t="str">
        <f>IF('Twenty-Third'!G21="", "",'Twenty-Third'!G21)</f>
        <v/>
      </c>
      <c r="H5518" s="66" t="str">
        <f>IF('Twenty-Third'!H21="", "",'Twenty-Third'!H21)</f>
        <v/>
      </c>
      <c r="I5518" s="66" t="str">
        <f>IF('Twenty-Third'!I21="", "",'Twenty-Third'!I21)</f>
        <v/>
      </c>
      <c r="J5518" s="66" t="str">
        <f>IF('Twenty-Third'!J21="", "",'Twenty-Third'!J21)</f>
        <v/>
      </c>
      <c r="K5518" s="86" t="str">
        <f>IF('Twenty-Third'!K21="", "",'Twenty-Third'!K21)</f>
        <v/>
      </c>
      <c r="M5518" s="67" t="str">
        <f t="shared" si="263"/>
        <v/>
      </c>
      <c r="N5518" s="76" t="str">
        <f t="shared" si="264"/>
        <v/>
      </c>
      <c r="O5518" s="33">
        <f t="shared" si="265"/>
        <v>0</v>
      </c>
    </row>
    <row r="5519" spans="1:15" x14ac:dyDescent="0.25">
      <c r="A5519" s="64" t="s">
        <v>192</v>
      </c>
      <c r="B5519" s="79" t="str">
        <f>IF('Twenty-Third'!B22="", "",'Twenty-Third'!B22)</f>
        <v/>
      </c>
      <c r="C5519" s="66" t="str">
        <f>IF('Twenty-Third'!C22="", "",'Twenty-Third'!C22)</f>
        <v/>
      </c>
      <c r="D5519" s="66" t="str">
        <f>IF('Twenty-Third'!D22="", "",'Twenty-Third'!D22)</f>
        <v/>
      </c>
      <c r="E5519" s="66" t="str">
        <f>IF('Twenty-Third'!E22="", "",'Twenty-Third'!E22)</f>
        <v/>
      </c>
      <c r="F5519" s="66" t="str">
        <f>IF('Twenty-Third'!F22="", "",'Twenty-Third'!F22)</f>
        <v/>
      </c>
      <c r="G5519" s="66" t="str">
        <f>IF('Twenty-Third'!G22="", "",'Twenty-Third'!G22)</f>
        <v/>
      </c>
      <c r="H5519" s="66" t="str">
        <f>IF('Twenty-Third'!H22="", "",'Twenty-Third'!H22)</f>
        <v/>
      </c>
      <c r="I5519" s="66" t="str">
        <f>IF('Twenty-Third'!I22="", "",'Twenty-Third'!I22)</f>
        <v/>
      </c>
      <c r="J5519" s="66" t="str">
        <f>IF('Twenty-Third'!J22="", "",'Twenty-Third'!J22)</f>
        <v/>
      </c>
      <c r="K5519" s="86" t="str">
        <f>IF('Twenty-Third'!K22="", "",'Twenty-Third'!K22)</f>
        <v/>
      </c>
      <c r="M5519" s="67" t="str">
        <f t="shared" si="263"/>
        <v/>
      </c>
      <c r="N5519" s="76" t="str">
        <f t="shared" si="264"/>
        <v/>
      </c>
      <c r="O5519" s="33">
        <f t="shared" si="265"/>
        <v>0</v>
      </c>
    </row>
    <row r="5520" spans="1:15" x14ac:dyDescent="0.25">
      <c r="A5520" s="64" t="s">
        <v>192</v>
      </c>
      <c r="B5520" s="79" t="str">
        <f>IF('Twenty-Third'!B23="", "",'Twenty-Third'!B23)</f>
        <v/>
      </c>
      <c r="C5520" s="66" t="str">
        <f>IF('Twenty-Third'!C23="", "",'Twenty-Third'!C23)</f>
        <v/>
      </c>
      <c r="D5520" s="66" t="str">
        <f>IF('Twenty-Third'!D23="", "",'Twenty-Third'!D23)</f>
        <v/>
      </c>
      <c r="E5520" s="66" t="str">
        <f>IF('Twenty-Third'!E23="", "",'Twenty-Third'!E23)</f>
        <v/>
      </c>
      <c r="F5520" s="66" t="str">
        <f>IF('Twenty-Third'!F23="", "",'Twenty-Third'!F23)</f>
        <v/>
      </c>
      <c r="G5520" s="66" t="str">
        <f>IF('Twenty-Third'!G23="", "",'Twenty-Third'!G23)</f>
        <v/>
      </c>
      <c r="H5520" s="66" t="str">
        <f>IF('Twenty-Third'!H23="", "",'Twenty-Third'!H23)</f>
        <v/>
      </c>
      <c r="I5520" s="66" t="str">
        <f>IF('Twenty-Third'!I23="", "",'Twenty-Third'!I23)</f>
        <v/>
      </c>
      <c r="J5520" s="66" t="str">
        <f>IF('Twenty-Third'!J23="", "",'Twenty-Third'!J23)</f>
        <v/>
      </c>
      <c r="K5520" s="86" t="str">
        <f>IF('Twenty-Third'!K23="", "",'Twenty-Third'!K23)</f>
        <v/>
      </c>
      <c r="M5520" s="67" t="str">
        <f t="shared" si="263"/>
        <v/>
      </c>
      <c r="N5520" s="76" t="str">
        <f t="shared" si="264"/>
        <v/>
      </c>
      <c r="O5520" s="33">
        <f t="shared" si="265"/>
        <v>0</v>
      </c>
    </row>
    <row r="5521" spans="1:15" x14ac:dyDescent="0.25">
      <c r="A5521" s="64" t="s">
        <v>192</v>
      </c>
      <c r="B5521" s="79" t="str">
        <f>IF('Twenty-Third'!B24="", "",'Twenty-Third'!B24)</f>
        <v/>
      </c>
      <c r="C5521" s="66" t="str">
        <f>IF('Twenty-Third'!C24="", "",'Twenty-Third'!C24)</f>
        <v/>
      </c>
      <c r="D5521" s="66" t="str">
        <f>IF('Twenty-Third'!D24="", "",'Twenty-Third'!D24)</f>
        <v/>
      </c>
      <c r="E5521" s="66" t="str">
        <f>IF('Twenty-Third'!E24="", "",'Twenty-Third'!E24)</f>
        <v/>
      </c>
      <c r="F5521" s="66" t="str">
        <f>IF('Twenty-Third'!F24="", "",'Twenty-Third'!F24)</f>
        <v/>
      </c>
      <c r="G5521" s="66" t="str">
        <f>IF('Twenty-Third'!G24="", "",'Twenty-Third'!G24)</f>
        <v/>
      </c>
      <c r="H5521" s="66" t="str">
        <f>IF('Twenty-Third'!H24="", "",'Twenty-Third'!H24)</f>
        <v/>
      </c>
      <c r="I5521" s="66" t="str">
        <f>IF('Twenty-Third'!I24="", "",'Twenty-Third'!I24)</f>
        <v/>
      </c>
      <c r="J5521" s="66" t="str">
        <f>IF('Twenty-Third'!J24="", "",'Twenty-Third'!J24)</f>
        <v/>
      </c>
      <c r="K5521" s="86" t="str">
        <f>IF('Twenty-Third'!K24="", "",'Twenty-Third'!K24)</f>
        <v/>
      </c>
      <c r="M5521" s="67" t="str">
        <f t="shared" si="263"/>
        <v/>
      </c>
      <c r="N5521" s="76" t="str">
        <f t="shared" si="264"/>
        <v/>
      </c>
      <c r="O5521" s="33">
        <f t="shared" si="265"/>
        <v>0</v>
      </c>
    </row>
    <row r="5522" spans="1:15" x14ac:dyDescent="0.25">
      <c r="A5522" s="64" t="s">
        <v>192</v>
      </c>
      <c r="B5522" s="79" t="str">
        <f>IF('Twenty-Third'!B25="", "",'Twenty-Third'!B25)</f>
        <v/>
      </c>
      <c r="C5522" s="66" t="str">
        <f>IF('Twenty-Third'!C25="", "",'Twenty-Third'!C25)</f>
        <v/>
      </c>
      <c r="D5522" s="66" t="str">
        <f>IF('Twenty-Third'!D25="", "",'Twenty-Third'!D25)</f>
        <v/>
      </c>
      <c r="E5522" s="66" t="str">
        <f>IF('Twenty-Third'!E25="", "",'Twenty-Third'!E25)</f>
        <v/>
      </c>
      <c r="F5522" s="66" t="str">
        <f>IF('Twenty-Third'!F25="", "",'Twenty-Third'!F25)</f>
        <v/>
      </c>
      <c r="G5522" s="66" t="str">
        <f>IF('Twenty-Third'!G25="", "",'Twenty-Third'!G25)</f>
        <v/>
      </c>
      <c r="H5522" s="66" t="str">
        <f>IF('Twenty-Third'!H25="", "",'Twenty-Third'!H25)</f>
        <v/>
      </c>
      <c r="I5522" s="66" t="str">
        <f>IF('Twenty-Third'!I25="", "",'Twenty-Third'!I25)</f>
        <v/>
      </c>
      <c r="J5522" s="66" t="str">
        <f>IF('Twenty-Third'!J25="", "",'Twenty-Third'!J25)</f>
        <v/>
      </c>
      <c r="K5522" s="86" t="str">
        <f>IF('Twenty-Third'!K25="", "",'Twenty-Third'!K25)</f>
        <v/>
      </c>
      <c r="M5522" s="67" t="str">
        <f t="shared" si="263"/>
        <v/>
      </c>
      <c r="N5522" s="76" t="str">
        <f t="shared" si="264"/>
        <v/>
      </c>
      <c r="O5522" s="33">
        <f t="shared" si="265"/>
        <v>0</v>
      </c>
    </row>
    <row r="5523" spans="1:15" x14ac:dyDescent="0.25">
      <c r="A5523" s="64" t="s">
        <v>192</v>
      </c>
      <c r="B5523" s="79" t="str">
        <f>IF('Twenty-Third'!B26="", "",'Twenty-Third'!B26)</f>
        <v/>
      </c>
      <c r="C5523" s="66" t="str">
        <f>IF('Twenty-Third'!C26="", "",'Twenty-Third'!C26)</f>
        <v/>
      </c>
      <c r="D5523" s="66" t="str">
        <f>IF('Twenty-Third'!D26="", "",'Twenty-Third'!D26)</f>
        <v/>
      </c>
      <c r="E5523" s="66" t="str">
        <f>IF('Twenty-Third'!E26="", "",'Twenty-Third'!E26)</f>
        <v/>
      </c>
      <c r="F5523" s="66" t="str">
        <f>IF('Twenty-Third'!F26="", "",'Twenty-Third'!F26)</f>
        <v/>
      </c>
      <c r="G5523" s="66" t="str">
        <f>IF('Twenty-Third'!G26="", "",'Twenty-Third'!G26)</f>
        <v/>
      </c>
      <c r="H5523" s="66" t="str">
        <f>IF('Twenty-Third'!H26="", "",'Twenty-Third'!H26)</f>
        <v/>
      </c>
      <c r="I5523" s="66" t="str">
        <f>IF('Twenty-Third'!I26="", "",'Twenty-Third'!I26)</f>
        <v/>
      </c>
      <c r="J5523" s="66" t="str">
        <f>IF('Twenty-Third'!J26="", "",'Twenty-Third'!J26)</f>
        <v/>
      </c>
      <c r="K5523" s="86" t="str">
        <f>IF('Twenty-Third'!K26="", "",'Twenty-Third'!K26)</f>
        <v/>
      </c>
      <c r="M5523" s="67" t="str">
        <f t="shared" si="263"/>
        <v/>
      </c>
      <c r="N5523" s="76" t="str">
        <f t="shared" si="264"/>
        <v/>
      </c>
      <c r="O5523" s="33">
        <f t="shared" si="265"/>
        <v>0</v>
      </c>
    </row>
    <row r="5524" spans="1:15" x14ac:dyDescent="0.25">
      <c r="A5524" s="64" t="s">
        <v>192</v>
      </c>
      <c r="B5524" s="79" t="str">
        <f>IF('Twenty-Third'!B27="", "",'Twenty-Third'!B27)</f>
        <v/>
      </c>
      <c r="C5524" s="66" t="str">
        <f>IF('Twenty-Third'!C27="", "",'Twenty-Third'!C27)</f>
        <v/>
      </c>
      <c r="D5524" s="66" t="str">
        <f>IF('Twenty-Third'!D27="", "",'Twenty-Third'!D27)</f>
        <v/>
      </c>
      <c r="E5524" s="66" t="str">
        <f>IF('Twenty-Third'!E27="", "",'Twenty-Third'!E27)</f>
        <v/>
      </c>
      <c r="F5524" s="66" t="str">
        <f>IF('Twenty-Third'!F27="", "",'Twenty-Third'!F27)</f>
        <v/>
      </c>
      <c r="G5524" s="66" t="str">
        <f>IF('Twenty-Third'!G27="", "",'Twenty-Third'!G27)</f>
        <v/>
      </c>
      <c r="H5524" s="66" t="str">
        <f>IF('Twenty-Third'!H27="", "",'Twenty-Third'!H27)</f>
        <v/>
      </c>
      <c r="I5524" s="66" t="str">
        <f>IF('Twenty-Third'!I27="", "",'Twenty-Third'!I27)</f>
        <v/>
      </c>
      <c r="J5524" s="66" t="str">
        <f>IF('Twenty-Third'!J27="", "",'Twenty-Third'!J27)</f>
        <v/>
      </c>
      <c r="K5524" s="86" t="str">
        <f>IF('Twenty-Third'!K27="", "",'Twenty-Third'!K27)</f>
        <v/>
      </c>
      <c r="M5524" s="67" t="str">
        <f t="shared" si="263"/>
        <v/>
      </c>
      <c r="N5524" s="76" t="str">
        <f t="shared" si="264"/>
        <v/>
      </c>
      <c r="O5524" s="33">
        <f t="shared" si="265"/>
        <v>0</v>
      </c>
    </row>
    <row r="5525" spans="1:15" x14ac:dyDescent="0.25">
      <c r="A5525" s="64" t="s">
        <v>192</v>
      </c>
      <c r="B5525" s="79" t="str">
        <f>IF('Twenty-Third'!B28="", "",'Twenty-Third'!B28)</f>
        <v/>
      </c>
      <c r="C5525" s="66" t="str">
        <f>IF('Twenty-Third'!C28="", "",'Twenty-Third'!C28)</f>
        <v/>
      </c>
      <c r="D5525" s="66" t="str">
        <f>IF('Twenty-Third'!D28="", "",'Twenty-Third'!D28)</f>
        <v/>
      </c>
      <c r="E5525" s="66" t="str">
        <f>IF('Twenty-Third'!E28="", "",'Twenty-Third'!E28)</f>
        <v/>
      </c>
      <c r="F5525" s="66" t="str">
        <f>IF('Twenty-Third'!F28="", "",'Twenty-Third'!F28)</f>
        <v/>
      </c>
      <c r="G5525" s="66" t="str">
        <f>IF('Twenty-Third'!G28="", "",'Twenty-Third'!G28)</f>
        <v/>
      </c>
      <c r="H5525" s="66" t="str">
        <f>IF('Twenty-Third'!H28="", "",'Twenty-Third'!H28)</f>
        <v/>
      </c>
      <c r="I5525" s="66" t="str">
        <f>IF('Twenty-Third'!I28="", "",'Twenty-Third'!I28)</f>
        <v/>
      </c>
      <c r="J5525" s="66" t="str">
        <f>IF('Twenty-Third'!J28="", "",'Twenty-Third'!J28)</f>
        <v/>
      </c>
      <c r="K5525" s="86" t="str">
        <f>IF('Twenty-Third'!K28="", "",'Twenty-Third'!K28)</f>
        <v/>
      </c>
      <c r="M5525" s="67" t="str">
        <f t="shared" si="263"/>
        <v/>
      </c>
      <c r="N5525" s="76" t="str">
        <f t="shared" si="264"/>
        <v/>
      </c>
      <c r="O5525" s="33">
        <f t="shared" si="265"/>
        <v>0</v>
      </c>
    </row>
    <row r="5526" spans="1:15" x14ac:dyDescent="0.25">
      <c r="A5526" s="64" t="s">
        <v>192</v>
      </c>
      <c r="B5526" s="79" t="str">
        <f>IF('Twenty-Third'!B29="", "",'Twenty-Third'!B29)</f>
        <v/>
      </c>
      <c r="C5526" s="66" t="str">
        <f>IF('Twenty-Third'!C29="", "",'Twenty-Third'!C29)</f>
        <v/>
      </c>
      <c r="D5526" s="66" t="str">
        <f>IF('Twenty-Third'!D29="", "",'Twenty-Third'!D29)</f>
        <v/>
      </c>
      <c r="E5526" s="66" t="str">
        <f>IF('Twenty-Third'!E29="", "",'Twenty-Third'!E29)</f>
        <v/>
      </c>
      <c r="F5526" s="66" t="str">
        <f>IF('Twenty-Third'!F29="", "",'Twenty-Third'!F29)</f>
        <v/>
      </c>
      <c r="G5526" s="66" t="str">
        <f>IF('Twenty-Third'!G29="", "",'Twenty-Third'!G29)</f>
        <v/>
      </c>
      <c r="H5526" s="66" t="str">
        <f>IF('Twenty-Third'!H29="", "",'Twenty-Third'!H29)</f>
        <v/>
      </c>
      <c r="I5526" s="66" t="str">
        <f>IF('Twenty-Third'!I29="", "",'Twenty-Third'!I29)</f>
        <v/>
      </c>
      <c r="J5526" s="66" t="str">
        <f>IF('Twenty-Third'!J29="", "",'Twenty-Third'!J29)</f>
        <v/>
      </c>
      <c r="K5526" s="86" t="str">
        <f>IF('Twenty-Third'!K29="", "",'Twenty-Third'!K29)</f>
        <v/>
      </c>
      <c r="M5526" s="67" t="str">
        <f t="shared" si="263"/>
        <v/>
      </c>
      <c r="N5526" s="76" t="str">
        <f t="shared" si="264"/>
        <v/>
      </c>
      <c r="O5526" s="33">
        <f t="shared" si="265"/>
        <v>0</v>
      </c>
    </row>
    <row r="5527" spans="1:15" x14ac:dyDescent="0.25">
      <c r="A5527" s="64" t="s">
        <v>192</v>
      </c>
      <c r="B5527" s="79" t="str">
        <f>IF('Twenty-Third'!B30="", "",'Twenty-Third'!B30)</f>
        <v/>
      </c>
      <c r="C5527" s="66" t="str">
        <f>IF('Twenty-Third'!C30="", "",'Twenty-Third'!C30)</f>
        <v/>
      </c>
      <c r="D5527" s="66" t="str">
        <f>IF('Twenty-Third'!D30="", "",'Twenty-Third'!D30)</f>
        <v/>
      </c>
      <c r="E5527" s="66" t="str">
        <f>IF('Twenty-Third'!E30="", "",'Twenty-Third'!E30)</f>
        <v/>
      </c>
      <c r="F5527" s="66" t="str">
        <f>IF('Twenty-Third'!F30="", "",'Twenty-Third'!F30)</f>
        <v/>
      </c>
      <c r="G5527" s="66" t="str">
        <f>IF('Twenty-Third'!G30="", "",'Twenty-Third'!G30)</f>
        <v/>
      </c>
      <c r="H5527" s="66" t="str">
        <f>IF('Twenty-Third'!H30="", "",'Twenty-Third'!H30)</f>
        <v/>
      </c>
      <c r="I5527" s="66" t="str">
        <f>IF('Twenty-Third'!I30="", "",'Twenty-Third'!I30)</f>
        <v/>
      </c>
      <c r="J5527" s="66" t="str">
        <f>IF('Twenty-Third'!J30="", "",'Twenty-Third'!J30)</f>
        <v/>
      </c>
      <c r="K5527" s="86" t="str">
        <f>IF('Twenty-Third'!K30="", "",'Twenty-Third'!K30)</f>
        <v/>
      </c>
      <c r="M5527" s="67" t="str">
        <f t="shared" si="263"/>
        <v/>
      </c>
      <c r="N5527" s="76" t="str">
        <f t="shared" si="264"/>
        <v/>
      </c>
      <c r="O5527" s="33">
        <f t="shared" si="265"/>
        <v>0</v>
      </c>
    </row>
    <row r="5528" spans="1:15" x14ac:dyDescent="0.25">
      <c r="A5528" s="64" t="s">
        <v>192</v>
      </c>
      <c r="B5528" s="79" t="str">
        <f>IF('Twenty-Third'!B31="", "",'Twenty-Third'!B31)</f>
        <v/>
      </c>
      <c r="C5528" s="66" t="str">
        <f>IF('Twenty-Third'!C31="", "",'Twenty-Third'!C31)</f>
        <v/>
      </c>
      <c r="D5528" s="66" t="str">
        <f>IF('Twenty-Third'!D31="", "",'Twenty-Third'!D31)</f>
        <v/>
      </c>
      <c r="E5528" s="66" t="str">
        <f>IF('Twenty-Third'!E31="", "",'Twenty-Third'!E31)</f>
        <v/>
      </c>
      <c r="F5528" s="66" t="str">
        <f>IF('Twenty-Third'!F31="", "",'Twenty-Third'!F31)</f>
        <v/>
      </c>
      <c r="G5528" s="66" t="str">
        <f>IF('Twenty-Third'!G31="", "",'Twenty-Third'!G31)</f>
        <v/>
      </c>
      <c r="H5528" s="66" t="str">
        <f>IF('Twenty-Third'!H31="", "",'Twenty-Third'!H31)</f>
        <v/>
      </c>
      <c r="I5528" s="66" t="str">
        <f>IF('Twenty-Third'!I31="", "",'Twenty-Third'!I31)</f>
        <v/>
      </c>
      <c r="J5528" s="66" t="str">
        <f>IF('Twenty-Third'!J31="", "",'Twenty-Third'!J31)</f>
        <v/>
      </c>
      <c r="K5528" s="86" t="str">
        <f>IF('Twenty-Third'!K31="", "",'Twenty-Third'!K31)</f>
        <v/>
      </c>
      <c r="M5528" s="67" t="str">
        <f t="shared" si="263"/>
        <v/>
      </c>
      <c r="N5528" s="76" t="str">
        <f t="shared" si="264"/>
        <v/>
      </c>
      <c r="O5528" s="33">
        <f t="shared" si="265"/>
        <v>0</v>
      </c>
    </row>
    <row r="5529" spans="1:15" x14ac:dyDescent="0.25">
      <c r="A5529" s="64" t="s">
        <v>192</v>
      </c>
      <c r="B5529" s="79" t="str">
        <f>IF('Twenty-Third'!B32="", "",'Twenty-Third'!B32)</f>
        <v/>
      </c>
      <c r="C5529" s="66" t="str">
        <f>IF('Twenty-Third'!C32="", "",'Twenty-Third'!C32)</f>
        <v/>
      </c>
      <c r="D5529" s="66" t="str">
        <f>IF('Twenty-Third'!D32="", "",'Twenty-Third'!D32)</f>
        <v/>
      </c>
      <c r="E5529" s="66" t="str">
        <f>IF('Twenty-Third'!E32="", "",'Twenty-Third'!E32)</f>
        <v/>
      </c>
      <c r="F5529" s="66" t="str">
        <f>IF('Twenty-Third'!F32="", "",'Twenty-Third'!F32)</f>
        <v/>
      </c>
      <c r="G5529" s="66" t="str">
        <f>IF('Twenty-Third'!G32="", "",'Twenty-Third'!G32)</f>
        <v/>
      </c>
      <c r="H5529" s="66" t="str">
        <f>IF('Twenty-Third'!H32="", "",'Twenty-Third'!H32)</f>
        <v/>
      </c>
      <c r="I5529" s="66" t="str">
        <f>IF('Twenty-Third'!I32="", "",'Twenty-Third'!I32)</f>
        <v/>
      </c>
      <c r="J5529" s="66" t="str">
        <f>IF('Twenty-Third'!J32="", "",'Twenty-Third'!J32)</f>
        <v/>
      </c>
      <c r="K5529" s="86" t="str">
        <f>IF('Twenty-Third'!K32="", "",'Twenty-Third'!K32)</f>
        <v/>
      </c>
      <c r="M5529" s="67" t="str">
        <f t="shared" si="263"/>
        <v/>
      </c>
      <c r="N5529" s="76" t="str">
        <f t="shared" si="264"/>
        <v/>
      </c>
      <c r="O5529" s="33">
        <f t="shared" si="265"/>
        <v>0</v>
      </c>
    </row>
    <row r="5530" spans="1:15" x14ac:dyDescent="0.25">
      <c r="A5530" s="64" t="s">
        <v>192</v>
      </c>
      <c r="B5530" s="79" t="str">
        <f>IF('Twenty-Third'!B33="", "",'Twenty-Third'!B33)</f>
        <v/>
      </c>
      <c r="C5530" s="66" t="str">
        <f>IF('Twenty-Third'!C33="", "",'Twenty-Third'!C33)</f>
        <v/>
      </c>
      <c r="D5530" s="66" t="str">
        <f>IF('Twenty-Third'!D33="", "",'Twenty-Third'!D33)</f>
        <v/>
      </c>
      <c r="E5530" s="66" t="str">
        <f>IF('Twenty-Third'!E33="", "",'Twenty-Third'!E33)</f>
        <v/>
      </c>
      <c r="F5530" s="66" t="str">
        <f>IF('Twenty-Third'!F33="", "",'Twenty-Third'!F33)</f>
        <v/>
      </c>
      <c r="G5530" s="66" t="str">
        <f>IF('Twenty-Third'!G33="", "",'Twenty-Third'!G33)</f>
        <v/>
      </c>
      <c r="H5530" s="66" t="str">
        <f>IF('Twenty-Third'!H33="", "",'Twenty-Third'!H33)</f>
        <v/>
      </c>
      <c r="I5530" s="66" t="str">
        <f>IF('Twenty-Third'!I33="", "",'Twenty-Third'!I33)</f>
        <v/>
      </c>
      <c r="J5530" s="66" t="str">
        <f>IF('Twenty-Third'!J33="", "",'Twenty-Third'!J33)</f>
        <v/>
      </c>
      <c r="K5530" s="86" t="str">
        <f>IF('Twenty-Third'!K33="", "",'Twenty-Third'!K33)</f>
        <v/>
      </c>
      <c r="M5530" s="67" t="str">
        <f t="shared" si="263"/>
        <v/>
      </c>
      <c r="N5530" s="76" t="str">
        <f t="shared" si="264"/>
        <v/>
      </c>
      <c r="O5530" s="33">
        <f t="shared" si="265"/>
        <v>0</v>
      </c>
    </row>
    <row r="5531" spans="1:15" x14ac:dyDescent="0.25">
      <c r="A5531" s="64" t="s">
        <v>192</v>
      </c>
      <c r="B5531" s="79" t="str">
        <f>IF('Twenty-Third'!B34="", "",'Twenty-Third'!B34)</f>
        <v/>
      </c>
      <c r="C5531" s="66" t="str">
        <f>IF('Twenty-Third'!C34="", "",'Twenty-Third'!C34)</f>
        <v/>
      </c>
      <c r="D5531" s="66" t="str">
        <f>IF('Twenty-Third'!D34="", "",'Twenty-Third'!D34)</f>
        <v/>
      </c>
      <c r="E5531" s="66" t="str">
        <f>IF('Twenty-Third'!E34="", "",'Twenty-Third'!E34)</f>
        <v/>
      </c>
      <c r="F5531" s="66" t="str">
        <f>IF('Twenty-Third'!F34="", "",'Twenty-Third'!F34)</f>
        <v/>
      </c>
      <c r="G5531" s="66" t="str">
        <f>IF('Twenty-Third'!G34="", "",'Twenty-Third'!G34)</f>
        <v/>
      </c>
      <c r="H5531" s="66" t="str">
        <f>IF('Twenty-Third'!H34="", "",'Twenty-Third'!H34)</f>
        <v/>
      </c>
      <c r="I5531" s="66" t="str">
        <f>IF('Twenty-Third'!I34="", "",'Twenty-Third'!I34)</f>
        <v/>
      </c>
      <c r="J5531" s="66" t="str">
        <f>IF('Twenty-Third'!J34="", "",'Twenty-Third'!J34)</f>
        <v/>
      </c>
      <c r="K5531" s="86" t="str">
        <f>IF('Twenty-Third'!K34="", "",'Twenty-Third'!K34)</f>
        <v/>
      </c>
      <c r="M5531" s="67" t="str">
        <f t="shared" si="263"/>
        <v/>
      </c>
      <c r="N5531" s="76" t="str">
        <f t="shared" si="264"/>
        <v/>
      </c>
      <c r="O5531" s="33">
        <f t="shared" si="265"/>
        <v>0</v>
      </c>
    </row>
    <row r="5532" spans="1:15" x14ac:dyDescent="0.25">
      <c r="A5532" s="64" t="s">
        <v>192</v>
      </c>
      <c r="B5532" s="79" t="str">
        <f>IF('Twenty-Third'!B35="", "",'Twenty-Third'!B35)</f>
        <v/>
      </c>
      <c r="C5532" s="66" t="str">
        <f>IF('Twenty-Third'!C35="", "",'Twenty-Third'!C35)</f>
        <v/>
      </c>
      <c r="D5532" s="66" t="str">
        <f>IF('Twenty-Third'!D35="", "",'Twenty-Third'!D35)</f>
        <v/>
      </c>
      <c r="E5532" s="66" t="str">
        <f>IF('Twenty-Third'!E35="", "",'Twenty-Third'!E35)</f>
        <v/>
      </c>
      <c r="F5532" s="66" t="str">
        <f>IF('Twenty-Third'!F35="", "",'Twenty-Third'!F35)</f>
        <v/>
      </c>
      <c r="G5532" s="66" t="str">
        <f>IF('Twenty-Third'!G35="", "",'Twenty-Third'!G35)</f>
        <v/>
      </c>
      <c r="H5532" s="66" t="str">
        <f>IF('Twenty-Third'!H35="", "",'Twenty-Third'!H35)</f>
        <v/>
      </c>
      <c r="I5532" s="66" t="str">
        <f>IF('Twenty-Third'!I35="", "",'Twenty-Third'!I35)</f>
        <v/>
      </c>
      <c r="J5532" s="66" t="str">
        <f>IF('Twenty-Third'!J35="", "",'Twenty-Third'!J35)</f>
        <v/>
      </c>
      <c r="K5532" s="86" t="str">
        <f>IF('Twenty-Third'!K35="", "",'Twenty-Third'!K35)</f>
        <v/>
      </c>
      <c r="M5532" s="67" t="str">
        <f t="shared" si="263"/>
        <v/>
      </c>
      <c r="N5532" s="76" t="str">
        <f t="shared" si="264"/>
        <v/>
      </c>
      <c r="O5532" s="33">
        <f t="shared" si="265"/>
        <v>0</v>
      </c>
    </row>
    <row r="5533" spans="1:15" x14ac:dyDescent="0.25">
      <c r="A5533" s="64" t="s">
        <v>192</v>
      </c>
      <c r="B5533" s="79" t="str">
        <f>IF('Twenty-Third'!B36="", "",'Twenty-Third'!B36)</f>
        <v/>
      </c>
      <c r="C5533" s="66" t="str">
        <f>IF('Twenty-Third'!C36="", "",'Twenty-Third'!C36)</f>
        <v/>
      </c>
      <c r="D5533" s="66" t="str">
        <f>IF('Twenty-Third'!D36="", "",'Twenty-Third'!D36)</f>
        <v/>
      </c>
      <c r="E5533" s="66" t="str">
        <f>IF('Twenty-Third'!E36="", "",'Twenty-Third'!E36)</f>
        <v/>
      </c>
      <c r="F5533" s="66" t="str">
        <f>IF('Twenty-Third'!F36="", "",'Twenty-Third'!F36)</f>
        <v/>
      </c>
      <c r="G5533" s="66" t="str">
        <f>IF('Twenty-Third'!G36="", "",'Twenty-Third'!G36)</f>
        <v/>
      </c>
      <c r="H5533" s="66" t="str">
        <f>IF('Twenty-Third'!H36="", "",'Twenty-Third'!H36)</f>
        <v/>
      </c>
      <c r="I5533" s="66" t="str">
        <f>IF('Twenty-Third'!I36="", "",'Twenty-Third'!I36)</f>
        <v/>
      </c>
      <c r="J5533" s="66" t="str">
        <f>IF('Twenty-Third'!J36="", "",'Twenty-Third'!J36)</f>
        <v/>
      </c>
      <c r="K5533" s="86" t="str">
        <f>IF('Twenty-Third'!K36="", "",'Twenty-Third'!K36)</f>
        <v/>
      </c>
      <c r="M5533" s="67" t="str">
        <f t="shared" si="263"/>
        <v/>
      </c>
      <c r="N5533" s="76" t="str">
        <f t="shared" si="264"/>
        <v/>
      </c>
      <c r="O5533" s="33">
        <f t="shared" si="265"/>
        <v>0</v>
      </c>
    </row>
    <row r="5534" spans="1:15" x14ac:dyDescent="0.25">
      <c r="A5534" s="64" t="s">
        <v>192</v>
      </c>
      <c r="B5534" s="79" t="str">
        <f>IF('Twenty-Third'!B37="", "",'Twenty-Third'!B37)</f>
        <v/>
      </c>
      <c r="C5534" s="66" t="str">
        <f>IF('Twenty-Third'!C37="", "",'Twenty-Third'!C37)</f>
        <v/>
      </c>
      <c r="D5534" s="66" t="str">
        <f>IF('Twenty-Third'!D37="", "",'Twenty-Third'!D37)</f>
        <v/>
      </c>
      <c r="E5534" s="66" t="str">
        <f>IF('Twenty-Third'!E37="", "",'Twenty-Third'!E37)</f>
        <v/>
      </c>
      <c r="F5534" s="66" t="str">
        <f>IF('Twenty-Third'!F37="", "",'Twenty-Third'!F37)</f>
        <v/>
      </c>
      <c r="G5534" s="66" t="str">
        <f>IF('Twenty-Third'!G37="", "",'Twenty-Third'!G37)</f>
        <v/>
      </c>
      <c r="H5534" s="66" t="str">
        <f>IF('Twenty-Third'!H37="", "",'Twenty-Third'!H37)</f>
        <v/>
      </c>
      <c r="I5534" s="66" t="str">
        <f>IF('Twenty-Third'!I37="", "",'Twenty-Third'!I37)</f>
        <v/>
      </c>
      <c r="J5534" s="66" t="str">
        <f>IF('Twenty-Third'!J37="", "",'Twenty-Third'!J37)</f>
        <v/>
      </c>
      <c r="K5534" s="86" t="str">
        <f>IF('Twenty-Third'!K37="", "",'Twenty-Third'!K37)</f>
        <v/>
      </c>
      <c r="M5534" s="67" t="str">
        <f t="shared" si="263"/>
        <v/>
      </c>
      <c r="N5534" s="76" t="str">
        <f t="shared" si="264"/>
        <v/>
      </c>
      <c r="O5534" s="33">
        <f t="shared" si="265"/>
        <v>0</v>
      </c>
    </row>
    <row r="5535" spans="1:15" x14ac:dyDescent="0.25">
      <c r="A5535" s="64" t="s">
        <v>192</v>
      </c>
      <c r="B5535" s="79" t="str">
        <f>IF('Twenty-Third'!B38="", "",'Twenty-Third'!B38)</f>
        <v/>
      </c>
      <c r="C5535" s="66" t="str">
        <f>IF('Twenty-Third'!C38="", "",'Twenty-Third'!C38)</f>
        <v/>
      </c>
      <c r="D5535" s="66" t="str">
        <f>IF('Twenty-Third'!D38="", "",'Twenty-Third'!D38)</f>
        <v/>
      </c>
      <c r="E5535" s="66" t="str">
        <f>IF('Twenty-Third'!E38="", "",'Twenty-Third'!E38)</f>
        <v/>
      </c>
      <c r="F5535" s="66" t="str">
        <f>IF('Twenty-Third'!F38="", "",'Twenty-Third'!F38)</f>
        <v/>
      </c>
      <c r="G5535" s="66" t="str">
        <f>IF('Twenty-Third'!G38="", "",'Twenty-Third'!G38)</f>
        <v/>
      </c>
      <c r="H5535" s="66" t="str">
        <f>IF('Twenty-Third'!H38="", "",'Twenty-Third'!H38)</f>
        <v/>
      </c>
      <c r="I5535" s="66" t="str">
        <f>IF('Twenty-Third'!I38="", "",'Twenty-Third'!I38)</f>
        <v/>
      </c>
      <c r="J5535" s="66" t="str">
        <f>IF('Twenty-Third'!J38="", "",'Twenty-Third'!J38)</f>
        <v/>
      </c>
      <c r="K5535" s="86" t="str">
        <f>IF('Twenty-Third'!K38="", "",'Twenty-Third'!K38)</f>
        <v/>
      </c>
      <c r="M5535" s="67" t="str">
        <f t="shared" si="263"/>
        <v/>
      </c>
      <c r="N5535" s="76" t="str">
        <f t="shared" si="264"/>
        <v/>
      </c>
      <c r="O5535" s="33">
        <f t="shared" si="265"/>
        <v>0</v>
      </c>
    </row>
    <row r="5536" spans="1:15" x14ac:dyDescent="0.25">
      <c r="A5536" s="64" t="s">
        <v>192</v>
      </c>
      <c r="B5536" s="79" t="str">
        <f>IF('Twenty-Third'!B39="", "",'Twenty-Third'!B39)</f>
        <v/>
      </c>
      <c r="C5536" s="66" t="str">
        <f>IF('Twenty-Third'!C39="", "",'Twenty-Third'!C39)</f>
        <v/>
      </c>
      <c r="D5536" s="66" t="str">
        <f>IF('Twenty-Third'!D39="", "",'Twenty-Third'!D39)</f>
        <v/>
      </c>
      <c r="E5536" s="66" t="str">
        <f>IF('Twenty-Third'!E39="", "",'Twenty-Third'!E39)</f>
        <v/>
      </c>
      <c r="F5536" s="66" t="str">
        <f>IF('Twenty-Third'!F39="", "",'Twenty-Third'!F39)</f>
        <v/>
      </c>
      <c r="G5536" s="66" t="str">
        <f>IF('Twenty-Third'!G39="", "",'Twenty-Third'!G39)</f>
        <v/>
      </c>
      <c r="H5536" s="66" t="str">
        <f>IF('Twenty-Third'!H39="", "",'Twenty-Third'!H39)</f>
        <v/>
      </c>
      <c r="I5536" s="66" t="str">
        <f>IF('Twenty-Third'!I39="", "",'Twenty-Third'!I39)</f>
        <v/>
      </c>
      <c r="J5536" s="66" t="str">
        <f>IF('Twenty-Third'!J39="", "",'Twenty-Third'!J39)</f>
        <v/>
      </c>
      <c r="K5536" s="86" t="str">
        <f>IF('Twenty-Third'!K39="", "",'Twenty-Third'!K39)</f>
        <v/>
      </c>
      <c r="M5536" s="67" t="str">
        <f t="shared" si="263"/>
        <v/>
      </c>
      <c r="N5536" s="76" t="str">
        <f t="shared" si="264"/>
        <v/>
      </c>
      <c r="O5536" s="33">
        <f t="shared" si="265"/>
        <v>0</v>
      </c>
    </row>
    <row r="5537" spans="1:15" x14ac:dyDescent="0.25">
      <c r="A5537" s="64" t="s">
        <v>192</v>
      </c>
      <c r="B5537" s="79" t="str">
        <f>IF('Twenty-Third'!B40="", "",'Twenty-Third'!B40)</f>
        <v/>
      </c>
      <c r="C5537" s="66" t="str">
        <f>IF('Twenty-Third'!C40="", "",'Twenty-Third'!C40)</f>
        <v/>
      </c>
      <c r="D5537" s="66" t="str">
        <f>IF('Twenty-Third'!D40="", "",'Twenty-Third'!D40)</f>
        <v/>
      </c>
      <c r="E5537" s="66" t="str">
        <f>IF('Twenty-Third'!E40="", "",'Twenty-Third'!E40)</f>
        <v/>
      </c>
      <c r="F5537" s="66" t="str">
        <f>IF('Twenty-Third'!F40="", "",'Twenty-Third'!F40)</f>
        <v/>
      </c>
      <c r="G5537" s="66" t="str">
        <f>IF('Twenty-Third'!G40="", "",'Twenty-Third'!G40)</f>
        <v/>
      </c>
      <c r="H5537" s="66" t="str">
        <f>IF('Twenty-Third'!H40="", "",'Twenty-Third'!H40)</f>
        <v/>
      </c>
      <c r="I5537" s="66" t="str">
        <f>IF('Twenty-Third'!I40="", "",'Twenty-Third'!I40)</f>
        <v/>
      </c>
      <c r="J5537" s="66" t="str">
        <f>IF('Twenty-Third'!J40="", "",'Twenty-Third'!J40)</f>
        <v/>
      </c>
      <c r="K5537" s="86" t="str">
        <f>IF('Twenty-Third'!K40="", "",'Twenty-Third'!K40)</f>
        <v/>
      </c>
      <c r="M5537" s="67" t="str">
        <f t="shared" si="263"/>
        <v/>
      </c>
      <c r="N5537" s="76" t="str">
        <f t="shared" si="264"/>
        <v/>
      </c>
      <c r="O5537" s="33">
        <f t="shared" si="265"/>
        <v>0</v>
      </c>
    </row>
    <row r="5538" spans="1:15" x14ac:dyDescent="0.25">
      <c r="A5538" s="64" t="s">
        <v>192</v>
      </c>
      <c r="B5538" s="79" t="str">
        <f>IF('Twenty-Third'!B41="", "",'Twenty-Third'!B41)</f>
        <v/>
      </c>
      <c r="C5538" s="66" t="str">
        <f>IF('Twenty-Third'!C41="", "",'Twenty-Third'!C41)</f>
        <v/>
      </c>
      <c r="D5538" s="66" t="str">
        <f>IF('Twenty-Third'!D41="", "",'Twenty-Third'!D41)</f>
        <v/>
      </c>
      <c r="E5538" s="66" t="str">
        <f>IF('Twenty-Third'!E41="", "",'Twenty-Third'!E41)</f>
        <v/>
      </c>
      <c r="F5538" s="66" t="str">
        <f>IF('Twenty-Third'!F41="", "",'Twenty-Third'!F41)</f>
        <v/>
      </c>
      <c r="G5538" s="66" t="str">
        <f>IF('Twenty-Third'!G41="", "",'Twenty-Third'!G41)</f>
        <v/>
      </c>
      <c r="H5538" s="66" t="str">
        <f>IF('Twenty-Third'!H41="", "",'Twenty-Third'!H41)</f>
        <v/>
      </c>
      <c r="I5538" s="66" t="str">
        <f>IF('Twenty-Third'!I41="", "",'Twenty-Third'!I41)</f>
        <v/>
      </c>
      <c r="J5538" s="66" t="str">
        <f>IF('Twenty-Third'!J41="", "",'Twenty-Third'!J41)</f>
        <v/>
      </c>
      <c r="K5538" s="86" t="str">
        <f>IF('Twenty-Third'!K41="", "",'Twenty-Third'!K41)</f>
        <v/>
      </c>
      <c r="M5538" s="67" t="str">
        <f t="shared" si="263"/>
        <v/>
      </c>
      <c r="N5538" s="76" t="str">
        <f t="shared" si="264"/>
        <v/>
      </c>
      <c r="O5538" s="33">
        <f t="shared" si="265"/>
        <v>0</v>
      </c>
    </row>
    <row r="5539" spans="1:15" x14ac:dyDescent="0.25">
      <c r="A5539" s="64" t="s">
        <v>192</v>
      </c>
      <c r="B5539" s="79" t="str">
        <f>IF('Twenty-Third'!B42="", "",'Twenty-Third'!B42)</f>
        <v/>
      </c>
      <c r="C5539" s="66" t="str">
        <f>IF('Twenty-Third'!C42="", "",'Twenty-Third'!C42)</f>
        <v/>
      </c>
      <c r="D5539" s="66" t="str">
        <f>IF('Twenty-Third'!D42="", "",'Twenty-Third'!D42)</f>
        <v/>
      </c>
      <c r="E5539" s="66" t="str">
        <f>IF('Twenty-Third'!E42="", "",'Twenty-Third'!E42)</f>
        <v/>
      </c>
      <c r="F5539" s="66" t="str">
        <f>IF('Twenty-Third'!F42="", "",'Twenty-Third'!F42)</f>
        <v/>
      </c>
      <c r="G5539" s="66" t="str">
        <f>IF('Twenty-Third'!G42="", "",'Twenty-Third'!G42)</f>
        <v/>
      </c>
      <c r="H5539" s="66" t="str">
        <f>IF('Twenty-Third'!H42="", "",'Twenty-Third'!H42)</f>
        <v/>
      </c>
      <c r="I5539" s="66" t="str">
        <f>IF('Twenty-Third'!I42="", "",'Twenty-Third'!I42)</f>
        <v/>
      </c>
      <c r="J5539" s="66" t="str">
        <f>IF('Twenty-Third'!J42="", "",'Twenty-Third'!J42)</f>
        <v/>
      </c>
      <c r="K5539" s="86" t="str">
        <f>IF('Twenty-Third'!K42="", "",'Twenty-Third'!K42)</f>
        <v/>
      </c>
      <c r="M5539" s="67" t="str">
        <f t="shared" si="263"/>
        <v/>
      </c>
      <c r="N5539" s="76" t="str">
        <f t="shared" si="264"/>
        <v/>
      </c>
      <c r="O5539" s="33">
        <f t="shared" si="265"/>
        <v>0</v>
      </c>
    </row>
    <row r="5540" spans="1:15" x14ac:dyDescent="0.25">
      <c r="A5540" s="64" t="s">
        <v>192</v>
      </c>
      <c r="B5540" s="79" t="str">
        <f>IF('Twenty-Third'!B43="", "",'Twenty-Third'!B43)</f>
        <v/>
      </c>
      <c r="C5540" s="66" t="str">
        <f>IF('Twenty-Third'!C43="", "",'Twenty-Third'!C43)</f>
        <v/>
      </c>
      <c r="D5540" s="66" t="str">
        <f>IF('Twenty-Third'!D43="", "",'Twenty-Third'!D43)</f>
        <v/>
      </c>
      <c r="E5540" s="66" t="str">
        <f>IF('Twenty-Third'!E43="", "",'Twenty-Third'!E43)</f>
        <v/>
      </c>
      <c r="F5540" s="66" t="str">
        <f>IF('Twenty-Third'!F43="", "",'Twenty-Third'!F43)</f>
        <v/>
      </c>
      <c r="G5540" s="66" t="str">
        <f>IF('Twenty-Third'!G43="", "",'Twenty-Third'!G43)</f>
        <v/>
      </c>
      <c r="H5540" s="66" t="str">
        <f>IF('Twenty-Third'!H43="", "",'Twenty-Third'!H43)</f>
        <v/>
      </c>
      <c r="I5540" s="66" t="str">
        <f>IF('Twenty-Third'!I43="", "",'Twenty-Third'!I43)</f>
        <v/>
      </c>
      <c r="J5540" s="66" t="str">
        <f>IF('Twenty-Third'!J43="", "",'Twenty-Third'!J43)</f>
        <v/>
      </c>
      <c r="K5540" s="86" t="str">
        <f>IF('Twenty-Third'!K43="", "",'Twenty-Third'!K43)</f>
        <v/>
      </c>
      <c r="M5540" s="67" t="str">
        <f t="shared" si="263"/>
        <v/>
      </c>
      <c r="N5540" s="76" t="str">
        <f t="shared" si="264"/>
        <v/>
      </c>
      <c r="O5540" s="33">
        <f t="shared" si="265"/>
        <v>0</v>
      </c>
    </row>
    <row r="5541" spans="1:15" x14ac:dyDescent="0.25">
      <c r="A5541" s="64" t="s">
        <v>192</v>
      </c>
      <c r="B5541" s="79" t="str">
        <f>IF('Twenty-Third'!B44="", "",'Twenty-Third'!B44)</f>
        <v/>
      </c>
      <c r="C5541" s="66" t="str">
        <f>IF('Twenty-Third'!C44="", "",'Twenty-Third'!C44)</f>
        <v/>
      </c>
      <c r="D5541" s="66" t="str">
        <f>IF('Twenty-Third'!D44="", "",'Twenty-Third'!D44)</f>
        <v/>
      </c>
      <c r="E5541" s="66" t="str">
        <f>IF('Twenty-Third'!E44="", "",'Twenty-Third'!E44)</f>
        <v/>
      </c>
      <c r="F5541" s="66" t="str">
        <f>IF('Twenty-Third'!F44="", "",'Twenty-Third'!F44)</f>
        <v/>
      </c>
      <c r="G5541" s="66" t="str">
        <f>IF('Twenty-Third'!G44="", "",'Twenty-Third'!G44)</f>
        <v/>
      </c>
      <c r="H5541" s="66" t="str">
        <f>IF('Twenty-Third'!H44="", "",'Twenty-Third'!H44)</f>
        <v/>
      </c>
      <c r="I5541" s="66" t="str">
        <f>IF('Twenty-Third'!I44="", "",'Twenty-Third'!I44)</f>
        <v/>
      </c>
      <c r="J5541" s="66" t="str">
        <f>IF('Twenty-Third'!J44="", "",'Twenty-Third'!J44)</f>
        <v/>
      </c>
      <c r="K5541" s="86" t="str">
        <f>IF('Twenty-Third'!K44="", "",'Twenty-Third'!K44)</f>
        <v/>
      </c>
      <c r="M5541" s="67" t="str">
        <f t="shared" si="263"/>
        <v/>
      </c>
      <c r="N5541" s="76" t="str">
        <f t="shared" si="264"/>
        <v/>
      </c>
      <c r="O5541" s="33">
        <f t="shared" si="265"/>
        <v>0</v>
      </c>
    </row>
    <row r="5542" spans="1:15" x14ac:dyDescent="0.25">
      <c r="A5542" s="64" t="s">
        <v>192</v>
      </c>
      <c r="B5542" s="79" t="str">
        <f>IF('Twenty-Third'!B45="", "",'Twenty-Third'!B45)</f>
        <v/>
      </c>
      <c r="C5542" s="66" t="str">
        <f>IF('Twenty-Third'!C45="", "",'Twenty-Third'!C45)</f>
        <v/>
      </c>
      <c r="D5542" s="66" t="str">
        <f>IF('Twenty-Third'!D45="", "",'Twenty-Third'!D45)</f>
        <v/>
      </c>
      <c r="E5542" s="66" t="str">
        <f>IF('Twenty-Third'!E45="", "",'Twenty-Third'!E45)</f>
        <v/>
      </c>
      <c r="F5542" s="66" t="str">
        <f>IF('Twenty-Third'!F45="", "",'Twenty-Third'!F45)</f>
        <v/>
      </c>
      <c r="G5542" s="66" t="str">
        <f>IF('Twenty-Third'!G45="", "",'Twenty-Third'!G45)</f>
        <v/>
      </c>
      <c r="H5542" s="66" t="str">
        <f>IF('Twenty-Third'!H45="", "",'Twenty-Third'!H45)</f>
        <v/>
      </c>
      <c r="I5542" s="66" t="str">
        <f>IF('Twenty-Third'!I45="", "",'Twenty-Third'!I45)</f>
        <v/>
      </c>
      <c r="J5542" s="66" t="str">
        <f>IF('Twenty-Third'!J45="", "",'Twenty-Third'!J45)</f>
        <v/>
      </c>
      <c r="K5542" s="86" t="str">
        <f>IF('Twenty-Third'!K45="", "",'Twenty-Third'!K45)</f>
        <v/>
      </c>
      <c r="M5542" s="67" t="str">
        <f t="shared" si="263"/>
        <v/>
      </c>
      <c r="N5542" s="76" t="str">
        <f t="shared" si="264"/>
        <v/>
      </c>
      <c r="O5542" s="33">
        <f t="shared" si="265"/>
        <v>0</v>
      </c>
    </row>
    <row r="5543" spans="1:15" x14ac:dyDescent="0.25">
      <c r="A5543" s="64" t="s">
        <v>192</v>
      </c>
      <c r="B5543" s="79" t="str">
        <f>IF('Twenty-Third'!B46="", "",'Twenty-Third'!B46)</f>
        <v/>
      </c>
      <c r="C5543" s="66" t="str">
        <f>IF('Twenty-Third'!C46="", "",'Twenty-Third'!C46)</f>
        <v/>
      </c>
      <c r="D5543" s="66" t="str">
        <f>IF('Twenty-Third'!D46="", "",'Twenty-Third'!D46)</f>
        <v/>
      </c>
      <c r="E5543" s="66" t="str">
        <f>IF('Twenty-Third'!E46="", "",'Twenty-Third'!E46)</f>
        <v/>
      </c>
      <c r="F5543" s="66" t="str">
        <f>IF('Twenty-Third'!F46="", "",'Twenty-Third'!F46)</f>
        <v/>
      </c>
      <c r="G5543" s="66" t="str">
        <f>IF('Twenty-Third'!G46="", "",'Twenty-Third'!G46)</f>
        <v/>
      </c>
      <c r="H5543" s="66" t="str">
        <f>IF('Twenty-Third'!H46="", "",'Twenty-Third'!H46)</f>
        <v/>
      </c>
      <c r="I5543" s="66" t="str">
        <f>IF('Twenty-Third'!I46="", "",'Twenty-Third'!I46)</f>
        <v/>
      </c>
      <c r="J5543" s="66" t="str">
        <f>IF('Twenty-Third'!J46="", "",'Twenty-Third'!J46)</f>
        <v/>
      </c>
      <c r="K5543" s="86" t="str">
        <f>IF('Twenty-Third'!K46="", "",'Twenty-Third'!K46)</f>
        <v/>
      </c>
      <c r="M5543" s="67" t="str">
        <f t="shared" si="263"/>
        <v/>
      </c>
      <c r="N5543" s="76" t="str">
        <f t="shared" si="264"/>
        <v/>
      </c>
      <c r="O5543" s="33">
        <f t="shared" si="265"/>
        <v>0</v>
      </c>
    </row>
    <row r="5544" spans="1:15" x14ac:dyDescent="0.25">
      <c r="A5544" s="64" t="s">
        <v>192</v>
      </c>
      <c r="B5544" s="79" t="str">
        <f>IF('Twenty-Third'!B47="", "",'Twenty-Third'!B47)</f>
        <v/>
      </c>
      <c r="C5544" s="66" t="str">
        <f>IF('Twenty-Third'!C47="", "",'Twenty-Third'!C47)</f>
        <v/>
      </c>
      <c r="D5544" s="66" t="str">
        <f>IF('Twenty-Third'!D47="", "",'Twenty-Third'!D47)</f>
        <v/>
      </c>
      <c r="E5544" s="66" t="str">
        <f>IF('Twenty-Third'!E47="", "",'Twenty-Third'!E47)</f>
        <v/>
      </c>
      <c r="F5544" s="66" t="str">
        <f>IF('Twenty-Third'!F47="", "",'Twenty-Third'!F47)</f>
        <v/>
      </c>
      <c r="G5544" s="66" t="str">
        <f>IF('Twenty-Third'!G47="", "",'Twenty-Third'!G47)</f>
        <v/>
      </c>
      <c r="H5544" s="66" t="str">
        <f>IF('Twenty-Third'!H47="", "",'Twenty-Third'!H47)</f>
        <v/>
      </c>
      <c r="I5544" s="66" t="str">
        <f>IF('Twenty-Third'!I47="", "",'Twenty-Third'!I47)</f>
        <v/>
      </c>
      <c r="J5544" s="66" t="str">
        <f>IF('Twenty-Third'!J47="", "",'Twenty-Third'!J47)</f>
        <v/>
      </c>
      <c r="K5544" s="86" t="str">
        <f>IF('Twenty-Third'!K47="", "",'Twenty-Third'!K47)</f>
        <v/>
      </c>
      <c r="M5544" s="67" t="str">
        <f t="shared" si="263"/>
        <v/>
      </c>
      <c r="N5544" s="76" t="str">
        <f t="shared" si="264"/>
        <v/>
      </c>
      <c r="O5544" s="33">
        <f t="shared" si="265"/>
        <v>0</v>
      </c>
    </row>
    <row r="5545" spans="1:15" x14ac:dyDescent="0.25">
      <c r="A5545" s="64" t="s">
        <v>192</v>
      </c>
      <c r="B5545" s="79" t="str">
        <f>IF('Twenty-Third'!B48="", "",'Twenty-Third'!B48)</f>
        <v/>
      </c>
      <c r="C5545" s="66" t="str">
        <f>IF('Twenty-Third'!C48="", "",'Twenty-Third'!C48)</f>
        <v/>
      </c>
      <c r="D5545" s="66" t="str">
        <f>IF('Twenty-Third'!D48="", "",'Twenty-Third'!D48)</f>
        <v/>
      </c>
      <c r="E5545" s="66" t="str">
        <f>IF('Twenty-Third'!E48="", "",'Twenty-Third'!E48)</f>
        <v/>
      </c>
      <c r="F5545" s="66" t="str">
        <f>IF('Twenty-Third'!F48="", "",'Twenty-Third'!F48)</f>
        <v/>
      </c>
      <c r="G5545" s="66" t="str">
        <f>IF('Twenty-Third'!G48="", "",'Twenty-Third'!G48)</f>
        <v/>
      </c>
      <c r="H5545" s="66" t="str">
        <f>IF('Twenty-Third'!H48="", "",'Twenty-Third'!H48)</f>
        <v/>
      </c>
      <c r="I5545" s="66" t="str">
        <f>IF('Twenty-Third'!I48="", "",'Twenty-Third'!I48)</f>
        <v/>
      </c>
      <c r="J5545" s="66" t="str">
        <f>IF('Twenty-Third'!J48="", "",'Twenty-Third'!J48)</f>
        <v/>
      </c>
      <c r="K5545" s="86" t="str">
        <f>IF('Twenty-Third'!K48="", "",'Twenty-Third'!K48)</f>
        <v/>
      </c>
      <c r="M5545" s="67" t="str">
        <f t="shared" si="263"/>
        <v/>
      </c>
      <c r="N5545" s="76" t="str">
        <f t="shared" si="264"/>
        <v/>
      </c>
      <c r="O5545" s="33">
        <f t="shared" si="265"/>
        <v>0</v>
      </c>
    </row>
    <row r="5546" spans="1:15" x14ac:dyDescent="0.25">
      <c r="A5546" s="64" t="s">
        <v>192</v>
      </c>
      <c r="B5546" s="79" t="str">
        <f>IF('Twenty-Third'!B49="", "",'Twenty-Third'!B49)</f>
        <v/>
      </c>
      <c r="C5546" s="66" t="str">
        <f>IF('Twenty-Third'!C49="", "",'Twenty-Third'!C49)</f>
        <v/>
      </c>
      <c r="D5546" s="66" t="str">
        <f>IF('Twenty-Third'!D49="", "",'Twenty-Third'!D49)</f>
        <v/>
      </c>
      <c r="E5546" s="66" t="str">
        <f>IF('Twenty-Third'!E49="", "",'Twenty-Third'!E49)</f>
        <v/>
      </c>
      <c r="F5546" s="66" t="str">
        <f>IF('Twenty-Third'!F49="", "",'Twenty-Third'!F49)</f>
        <v/>
      </c>
      <c r="G5546" s="66" t="str">
        <f>IF('Twenty-Third'!G49="", "",'Twenty-Third'!G49)</f>
        <v/>
      </c>
      <c r="H5546" s="66" t="str">
        <f>IF('Twenty-Third'!H49="", "",'Twenty-Third'!H49)</f>
        <v/>
      </c>
      <c r="I5546" s="66" t="str">
        <f>IF('Twenty-Third'!I49="", "",'Twenty-Third'!I49)</f>
        <v/>
      </c>
      <c r="J5546" s="66" t="str">
        <f>IF('Twenty-Third'!J49="", "",'Twenty-Third'!J49)</f>
        <v/>
      </c>
      <c r="K5546" s="86" t="str">
        <f>IF('Twenty-Third'!K49="", "",'Twenty-Third'!K49)</f>
        <v/>
      </c>
      <c r="M5546" s="67" t="str">
        <f t="shared" si="263"/>
        <v/>
      </c>
      <c r="N5546" s="76" t="str">
        <f t="shared" si="264"/>
        <v/>
      </c>
      <c r="O5546" s="33">
        <f t="shared" si="265"/>
        <v>0</v>
      </c>
    </row>
    <row r="5547" spans="1:15" x14ac:dyDescent="0.25">
      <c r="A5547" s="64" t="s">
        <v>192</v>
      </c>
      <c r="B5547" s="79" t="str">
        <f>IF('Twenty-Third'!B50="", "",'Twenty-Third'!B50)</f>
        <v/>
      </c>
      <c r="C5547" s="66" t="str">
        <f>IF('Twenty-Third'!C50="", "",'Twenty-Third'!C50)</f>
        <v/>
      </c>
      <c r="D5547" s="66" t="str">
        <f>IF('Twenty-Third'!D50="", "",'Twenty-Third'!D50)</f>
        <v/>
      </c>
      <c r="E5547" s="66" t="str">
        <f>IF('Twenty-Third'!E50="", "",'Twenty-Third'!E50)</f>
        <v/>
      </c>
      <c r="F5547" s="66" t="str">
        <f>IF('Twenty-Third'!F50="", "",'Twenty-Third'!F50)</f>
        <v/>
      </c>
      <c r="G5547" s="66" t="str">
        <f>IF('Twenty-Third'!G50="", "",'Twenty-Third'!G50)</f>
        <v/>
      </c>
      <c r="H5547" s="66" t="str">
        <f>IF('Twenty-Third'!H50="", "",'Twenty-Third'!H50)</f>
        <v/>
      </c>
      <c r="I5547" s="66" t="str">
        <f>IF('Twenty-Third'!I50="", "",'Twenty-Third'!I50)</f>
        <v/>
      </c>
      <c r="J5547" s="66" t="str">
        <f>IF('Twenty-Third'!J50="", "",'Twenty-Third'!J50)</f>
        <v/>
      </c>
      <c r="K5547" s="86" t="str">
        <f>IF('Twenty-Third'!K50="", "",'Twenty-Third'!K50)</f>
        <v/>
      </c>
      <c r="M5547" s="67" t="str">
        <f t="shared" si="263"/>
        <v/>
      </c>
      <c r="N5547" s="76" t="str">
        <f t="shared" si="264"/>
        <v/>
      </c>
      <c r="O5547" s="33">
        <f t="shared" si="265"/>
        <v>0</v>
      </c>
    </row>
    <row r="5548" spans="1:15" x14ac:dyDescent="0.25">
      <c r="A5548" s="64" t="s">
        <v>192</v>
      </c>
      <c r="B5548" s="79" t="str">
        <f>IF('Twenty-Third'!B51="", "",'Twenty-Third'!B51)</f>
        <v/>
      </c>
      <c r="C5548" s="66" t="str">
        <f>IF('Twenty-Third'!C51="", "",'Twenty-Third'!C51)</f>
        <v/>
      </c>
      <c r="D5548" s="66" t="str">
        <f>IF('Twenty-Third'!D51="", "",'Twenty-Third'!D51)</f>
        <v/>
      </c>
      <c r="E5548" s="66" t="str">
        <f>IF('Twenty-Third'!E51="", "",'Twenty-Third'!E51)</f>
        <v/>
      </c>
      <c r="F5548" s="66" t="str">
        <f>IF('Twenty-Third'!F51="", "",'Twenty-Third'!F51)</f>
        <v/>
      </c>
      <c r="G5548" s="66" t="str">
        <f>IF('Twenty-Third'!G51="", "",'Twenty-Third'!G51)</f>
        <v/>
      </c>
      <c r="H5548" s="66" t="str">
        <f>IF('Twenty-Third'!H51="", "",'Twenty-Third'!H51)</f>
        <v/>
      </c>
      <c r="I5548" s="66" t="str">
        <f>IF('Twenty-Third'!I51="", "",'Twenty-Third'!I51)</f>
        <v/>
      </c>
      <c r="J5548" s="66" t="str">
        <f>IF('Twenty-Third'!J51="", "",'Twenty-Third'!J51)</f>
        <v/>
      </c>
      <c r="K5548" s="86" t="str">
        <f>IF('Twenty-Third'!K51="", "",'Twenty-Third'!K51)</f>
        <v/>
      </c>
      <c r="M5548" s="67" t="str">
        <f t="shared" si="263"/>
        <v/>
      </c>
      <c r="N5548" s="76" t="str">
        <f t="shared" si="264"/>
        <v/>
      </c>
      <c r="O5548" s="33">
        <f t="shared" si="265"/>
        <v>0</v>
      </c>
    </row>
    <row r="5549" spans="1:15" x14ac:dyDescent="0.25">
      <c r="A5549" s="64" t="s">
        <v>192</v>
      </c>
      <c r="B5549" s="79" t="str">
        <f>IF('Twenty-Third'!B52="", "",'Twenty-Third'!B52)</f>
        <v/>
      </c>
      <c r="C5549" s="66" t="str">
        <f>IF('Twenty-Third'!C52="", "",'Twenty-Third'!C52)</f>
        <v/>
      </c>
      <c r="D5549" s="66" t="str">
        <f>IF('Twenty-Third'!D52="", "",'Twenty-Third'!D52)</f>
        <v/>
      </c>
      <c r="E5549" s="66" t="str">
        <f>IF('Twenty-Third'!E52="", "",'Twenty-Third'!E52)</f>
        <v/>
      </c>
      <c r="F5549" s="66" t="str">
        <f>IF('Twenty-Third'!F52="", "",'Twenty-Third'!F52)</f>
        <v/>
      </c>
      <c r="G5549" s="66" t="str">
        <f>IF('Twenty-Third'!G52="", "",'Twenty-Third'!G52)</f>
        <v/>
      </c>
      <c r="H5549" s="66" t="str">
        <f>IF('Twenty-Third'!H52="", "",'Twenty-Third'!H52)</f>
        <v/>
      </c>
      <c r="I5549" s="66" t="str">
        <f>IF('Twenty-Third'!I52="", "",'Twenty-Third'!I52)</f>
        <v/>
      </c>
      <c r="J5549" s="66" t="str">
        <f>IF('Twenty-Third'!J52="", "",'Twenty-Third'!J52)</f>
        <v/>
      </c>
      <c r="K5549" s="86" t="str">
        <f>IF('Twenty-Third'!K52="", "",'Twenty-Third'!K52)</f>
        <v/>
      </c>
      <c r="M5549" s="67" t="str">
        <f t="shared" si="263"/>
        <v/>
      </c>
      <c r="N5549" s="76" t="str">
        <f t="shared" si="264"/>
        <v/>
      </c>
      <c r="O5549" s="33">
        <f t="shared" si="265"/>
        <v>0</v>
      </c>
    </row>
    <row r="5550" spans="1:15" x14ac:dyDescent="0.25">
      <c r="A5550" s="64" t="s">
        <v>192</v>
      </c>
      <c r="B5550" s="79" t="str">
        <f>IF('Twenty-Third'!B53="", "",'Twenty-Third'!B53)</f>
        <v/>
      </c>
      <c r="C5550" s="66" t="str">
        <f>IF('Twenty-Third'!C53="", "",'Twenty-Third'!C53)</f>
        <v/>
      </c>
      <c r="D5550" s="66" t="str">
        <f>IF('Twenty-Third'!D53="", "",'Twenty-Third'!D53)</f>
        <v/>
      </c>
      <c r="E5550" s="66" t="str">
        <f>IF('Twenty-Third'!E53="", "",'Twenty-Third'!E53)</f>
        <v/>
      </c>
      <c r="F5550" s="66" t="str">
        <f>IF('Twenty-Third'!F53="", "",'Twenty-Third'!F53)</f>
        <v/>
      </c>
      <c r="G5550" s="66" t="str">
        <f>IF('Twenty-Third'!G53="", "",'Twenty-Third'!G53)</f>
        <v/>
      </c>
      <c r="H5550" s="66" t="str">
        <f>IF('Twenty-Third'!H53="", "",'Twenty-Third'!H53)</f>
        <v/>
      </c>
      <c r="I5550" s="66" t="str">
        <f>IF('Twenty-Third'!I53="", "",'Twenty-Third'!I53)</f>
        <v/>
      </c>
      <c r="J5550" s="66" t="str">
        <f>IF('Twenty-Third'!J53="", "",'Twenty-Third'!J53)</f>
        <v/>
      </c>
      <c r="K5550" s="86" t="str">
        <f>IF('Twenty-Third'!K53="", "",'Twenty-Third'!K53)</f>
        <v/>
      </c>
      <c r="M5550" s="67" t="str">
        <f t="shared" si="263"/>
        <v/>
      </c>
      <c r="N5550" s="76" t="str">
        <f t="shared" si="264"/>
        <v/>
      </c>
      <c r="O5550" s="33">
        <f t="shared" si="265"/>
        <v>0</v>
      </c>
    </row>
    <row r="5551" spans="1:15" x14ac:dyDescent="0.25">
      <c r="A5551" s="64" t="s">
        <v>192</v>
      </c>
      <c r="B5551" s="79" t="str">
        <f>IF('Twenty-Third'!B54="", "",'Twenty-Third'!B54)</f>
        <v/>
      </c>
      <c r="C5551" s="66" t="str">
        <f>IF('Twenty-Third'!C54="", "",'Twenty-Third'!C54)</f>
        <v/>
      </c>
      <c r="D5551" s="66" t="str">
        <f>IF('Twenty-Third'!D54="", "",'Twenty-Third'!D54)</f>
        <v/>
      </c>
      <c r="E5551" s="66" t="str">
        <f>IF('Twenty-Third'!E54="", "",'Twenty-Third'!E54)</f>
        <v/>
      </c>
      <c r="F5551" s="66" t="str">
        <f>IF('Twenty-Third'!F54="", "",'Twenty-Third'!F54)</f>
        <v/>
      </c>
      <c r="G5551" s="66" t="str">
        <f>IF('Twenty-Third'!G54="", "",'Twenty-Third'!G54)</f>
        <v/>
      </c>
      <c r="H5551" s="66" t="str">
        <f>IF('Twenty-Third'!H54="", "",'Twenty-Third'!H54)</f>
        <v/>
      </c>
      <c r="I5551" s="66" t="str">
        <f>IF('Twenty-Third'!I54="", "",'Twenty-Third'!I54)</f>
        <v/>
      </c>
      <c r="J5551" s="66" t="str">
        <f>IF('Twenty-Third'!J54="", "",'Twenty-Third'!J54)</f>
        <v/>
      </c>
      <c r="K5551" s="86" t="str">
        <f>IF('Twenty-Third'!K54="", "",'Twenty-Third'!K54)</f>
        <v/>
      </c>
      <c r="M5551" s="67" t="str">
        <f t="shared" si="263"/>
        <v/>
      </c>
      <c r="N5551" s="76" t="str">
        <f t="shared" si="264"/>
        <v/>
      </c>
      <c r="O5551" s="33">
        <f t="shared" si="265"/>
        <v>0</v>
      </c>
    </row>
    <row r="5552" spans="1:15" x14ac:dyDescent="0.25">
      <c r="A5552" s="64" t="s">
        <v>192</v>
      </c>
      <c r="B5552" s="79" t="str">
        <f>IF('Twenty-Third'!B55="", "",'Twenty-Third'!B55)</f>
        <v/>
      </c>
      <c r="C5552" s="66" t="str">
        <f>IF('Twenty-Third'!C55="", "",'Twenty-Third'!C55)</f>
        <v/>
      </c>
      <c r="D5552" s="66" t="str">
        <f>IF('Twenty-Third'!D55="", "",'Twenty-Third'!D55)</f>
        <v/>
      </c>
      <c r="E5552" s="66" t="str">
        <f>IF('Twenty-Third'!E55="", "",'Twenty-Third'!E55)</f>
        <v/>
      </c>
      <c r="F5552" s="66" t="str">
        <f>IF('Twenty-Third'!F55="", "",'Twenty-Third'!F55)</f>
        <v/>
      </c>
      <c r="G5552" s="66" t="str">
        <f>IF('Twenty-Third'!G55="", "",'Twenty-Third'!G55)</f>
        <v/>
      </c>
      <c r="H5552" s="66" t="str">
        <f>IF('Twenty-Third'!H55="", "",'Twenty-Third'!H55)</f>
        <v/>
      </c>
      <c r="I5552" s="66" t="str">
        <f>IF('Twenty-Third'!I55="", "",'Twenty-Third'!I55)</f>
        <v/>
      </c>
      <c r="J5552" s="66" t="str">
        <f>IF('Twenty-Third'!J55="", "",'Twenty-Third'!J55)</f>
        <v/>
      </c>
      <c r="K5552" s="86" t="str">
        <f>IF('Twenty-Third'!K55="", "",'Twenty-Third'!K55)</f>
        <v/>
      </c>
      <c r="M5552" s="67" t="str">
        <f t="shared" si="263"/>
        <v/>
      </c>
      <c r="N5552" s="76" t="str">
        <f t="shared" si="264"/>
        <v/>
      </c>
      <c r="O5552" s="33">
        <f t="shared" si="265"/>
        <v>0</v>
      </c>
    </row>
    <row r="5553" spans="1:15" x14ac:dyDescent="0.25">
      <c r="A5553" s="64" t="s">
        <v>192</v>
      </c>
      <c r="B5553" s="79" t="str">
        <f>IF('Twenty-Third'!B56="", "",'Twenty-Third'!B56)</f>
        <v/>
      </c>
      <c r="C5553" s="66" t="str">
        <f>IF('Twenty-Third'!C56="", "",'Twenty-Third'!C56)</f>
        <v/>
      </c>
      <c r="D5553" s="66" t="str">
        <f>IF('Twenty-Third'!D56="", "",'Twenty-Third'!D56)</f>
        <v/>
      </c>
      <c r="E5553" s="66" t="str">
        <f>IF('Twenty-Third'!E56="", "",'Twenty-Third'!E56)</f>
        <v/>
      </c>
      <c r="F5553" s="66" t="str">
        <f>IF('Twenty-Third'!F56="", "",'Twenty-Third'!F56)</f>
        <v/>
      </c>
      <c r="G5553" s="66" t="str">
        <f>IF('Twenty-Third'!G56="", "",'Twenty-Third'!G56)</f>
        <v/>
      </c>
      <c r="H5553" s="66" t="str">
        <f>IF('Twenty-Third'!H56="", "",'Twenty-Third'!H56)</f>
        <v/>
      </c>
      <c r="I5553" s="66" t="str">
        <f>IF('Twenty-Third'!I56="", "",'Twenty-Third'!I56)</f>
        <v/>
      </c>
      <c r="J5553" s="66" t="str">
        <f>IF('Twenty-Third'!J56="", "",'Twenty-Third'!J56)</f>
        <v/>
      </c>
      <c r="K5553" s="86" t="str">
        <f>IF('Twenty-Third'!K56="", "",'Twenty-Third'!K56)</f>
        <v/>
      </c>
      <c r="M5553" s="67" t="str">
        <f t="shared" si="263"/>
        <v/>
      </c>
      <c r="N5553" s="76" t="str">
        <f t="shared" si="264"/>
        <v/>
      </c>
      <c r="O5553" s="33">
        <f t="shared" si="265"/>
        <v>0</v>
      </c>
    </row>
    <row r="5554" spans="1:15" x14ac:dyDescent="0.25">
      <c r="A5554" s="64" t="s">
        <v>192</v>
      </c>
      <c r="B5554" s="79" t="str">
        <f>IF('Twenty-Third'!B57="", "",'Twenty-Third'!B57)</f>
        <v/>
      </c>
      <c r="C5554" s="66" t="str">
        <f>IF('Twenty-Third'!C57="", "",'Twenty-Third'!C57)</f>
        <v/>
      </c>
      <c r="D5554" s="66" t="str">
        <f>IF('Twenty-Third'!D57="", "",'Twenty-Third'!D57)</f>
        <v/>
      </c>
      <c r="E5554" s="66" t="str">
        <f>IF('Twenty-Third'!E57="", "",'Twenty-Third'!E57)</f>
        <v/>
      </c>
      <c r="F5554" s="66" t="str">
        <f>IF('Twenty-Third'!F57="", "",'Twenty-Third'!F57)</f>
        <v/>
      </c>
      <c r="G5554" s="66" t="str">
        <f>IF('Twenty-Third'!G57="", "",'Twenty-Third'!G57)</f>
        <v/>
      </c>
      <c r="H5554" s="66" t="str">
        <f>IF('Twenty-Third'!H57="", "",'Twenty-Third'!H57)</f>
        <v/>
      </c>
      <c r="I5554" s="66" t="str">
        <f>IF('Twenty-Third'!I57="", "",'Twenty-Third'!I57)</f>
        <v/>
      </c>
      <c r="J5554" s="66" t="str">
        <f>IF('Twenty-Third'!J57="", "",'Twenty-Third'!J57)</f>
        <v/>
      </c>
      <c r="K5554" s="86" t="str">
        <f>IF('Twenty-Third'!K57="", "",'Twenty-Third'!K57)</f>
        <v/>
      </c>
      <c r="M5554" s="67" t="str">
        <f t="shared" si="263"/>
        <v/>
      </c>
      <c r="N5554" s="76" t="str">
        <f t="shared" si="264"/>
        <v/>
      </c>
      <c r="O5554" s="33">
        <f t="shared" si="265"/>
        <v>0</v>
      </c>
    </row>
    <row r="5555" spans="1:15" x14ac:dyDescent="0.25">
      <c r="A5555" s="64" t="s">
        <v>192</v>
      </c>
      <c r="B5555" s="79" t="str">
        <f>IF('Twenty-Third'!B58="", "",'Twenty-Third'!B58)</f>
        <v/>
      </c>
      <c r="C5555" s="66" t="str">
        <f>IF('Twenty-Third'!C58="", "",'Twenty-Third'!C58)</f>
        <v/>
      </c>
      <c r="D5555" s="66" t="str">
        <f>IF('Twenty-Third'!D58="", "",'Twenty-Third'!D58)</f>
        <v/>
      </c>
      <c r="E5555" s="66" t="str">
        <f>IF('Twenty-Third'!E58="", "",'Twenty-Third'!E58)</f>
        <v/>
      </c>
      <c r="F5555" s="66" t="str">
        <f>IF('Twenty-Third'!F58="", "",'Twenty-Third'!F58)</f>
        <v/>
      </c>
      <c r="G5555" s="66" t="str">
        <f>IF('Twenty-Third'!G58="", "",'Twenty-Third'!G58)</f>
        <v/>
      </c>
      <c r="H5555" s="66" t="str">
        <f>IF('Twenty-Third'!H58="", "",'Twenty-Third'!H58)</f>
        <v/>
      </c>
      <c r="I5555" s="66" t="str">
        <f>IF('Twenty-Third'!I58="", "",'Twenty-Third'!I58)</f>
        <v/>
      </c>
      <c r="J5555" s="66" t="str">
        <f>IF('Twenty-Third'!J58="", "",'Twenty-Third'!J58)</f>
        <v/>
      </c>
      <c r="K5555" s="86" t="str">
        <f>IF('Twenty-Third'!K58="", "",'Twenty-Third'!K58)</f>
        <v/>
      </c>
      <c r="M5555" s="67" t="str">
        <f t="shared" si="263"/>
        <v/>
      </c>
      <c r="N5555" s="76" t="str">
        <f t="shared" si="264"/>
        <v/>
      </c>
      <c r="O5555" s="33">
        <f t="shared" si="265"/>
        <v>0</v>
      </c>
    </row>
    <row r="5556" spans="1:15" x14ac:dyDescent="0.25">
      <c r="A5556" s="64" t="s">
        <v>192</v>
      </c>
      <c r="B5556" s="79" t="str">
        <f>IF('Twenty-Third'!B59="", "",'Twenty-Third'!B59)</f>
        <v/>
      </c>
      <c r="C5556" s="66" t="str">
        <f>IF('Twenty-Third'!C59="", "",'Twenty-Third'!C59)</f>
        <v/>
      </c>
      <c r="D5556" s="66" t="str">
        <f>IF('Twenty-Third'!D59="", "",'Twenty-Third'!D59)</f>
        <v/>
      </c>
      <c r="E5556" s="66" t="str">
        <f>IF('Twenty-Third'!E59="", "",'Twenty-Third'!E59)</f>
        <v/>
      </c>
      <c r="F5556" s="66" t="str">
        <f>IF('Twenty-Third'!F59="", "",'Twenty-Third'!F59)</f>
        <v/>
      </c>
      <c r="G5556" s="66" t="str">
        <f>IF('Twenty-Third'!G59="", "",'Twenty-Third'!G59)</f>
        <v/>
      </c>
      <c r="H5556" s="66" t="str">
        <f>IF('Twenty-Third'!H59="", "",'Twenty-Third'!H59)</f>
        <v/>
      </c>
      <c r="I5556" s="66" t="str">
        <f>IF('Twenty-Third'!I59="", "",'Twenty-Third'!I59)</f>
        <v/>
      </c>
      <c r="J5556" s="66" t="str">
        <f>IF('Twenty-Third'!J59="", "",'Twenty-Third'!J59)</f>
        <v/>
      </c>
      <c r="K5556" s="86" t="str">
        <f>IF('Twenty-Third'!K59="", "",'Twenty-Third'!K59)</f>
        <v/>
      </c>
      <c r="M5556" s="67" t="str">
        <f t="shared" si="263"/>
        <v/>
      </c>
      <c r="N5556" s="76" t="str">
        <f t="shared" si="264"/>
        <v/>
      </c>
      <c r="O5556" s="33">
        <f t="shared" si="265"/>
        <v>0</v>
      </c>
    </row>
    <row r="5557" spans="1:15" x14ac:dyDescent="0.25">
      <c r="A5557" s="64" t="s">
        <v>192</v>
      </c>
      <c r="B5557" s="79" t="str">
        <f>IF('Twenty-Third'!B60="", "",'Twenty-Third'!B60)</f>
        <v/>
      </c>
      <c r="C5557" s="66" t="str">
        <f>IF('Twenty-Third'!C60="", "",'Twenty-Third'!C60)</f>
        <v/>
      </c>
      <c r="D5557" s="66" t="str">
        <f>IF('Twenty-Third'!D60="", "",'Twenty-Third'!D60)</f>
        <v/>
      </c>
      <c r="E5557" s="66" t="str">
        <f>IF('Twenty-Third'!E60="", "",'Twenty-Third'!E60)</f>
        <v/>
      </c>
      <c r="F5557" s="66" t="str">
        <f>IF('Twenty-Third'!F60="", "",'Twenty-Third'!F60)</f>
        <v/>
      </c>
      <c r="G5557" s="66" t="str">
        <f>IF('Twenty-Third'!G60="", "",'Twenty-Third'!G60)</f>
        <v/>
      </c>
      <c r="H5557" s="66" t="str">
        <f>IF('Twenty-Third'!H60="", "",'Twenty-Third'!H60)</f>
        <v/>
      </c>
      <c r="I5557" s="66" t="str">
        <f>IF('Twenty-Third'!I60="", "",'Twenty-Third'!I60)</f>
        <v/>
      </c>
      <c r="J5557" s="66" t="str">
        <f>IF('Twenty-Third'!J60="", "",'Twenty-Third'!J60)</f>
        <v/>
      </c>
      <c r="K5557" s="86" t="str">
        <f>IF('Twenty-Third'!K60="", "",'Twenty-Third'!K60)</f>
        <v/>
      </c>
      <c r="M5557" s="67" t="str">
        <f t="shared" si="263"/>
        <v/>
      </c>
      <c r="N5557" s="76" t="str">
        <f t="shared" si="264"/>
        <v/>
      </c>
      <c r="O5557" s="33">
        <f t="shared" si="265"/>
        <v>0</v>
      </c>
    </row>
    <row r="5558" spans="1:15" x14ac:dyDescent="0.25">
      <c r="A5558" s="64" t="s">
        <v>192</v>
      </c>
      <c r="B5558" s="79" t="str">
        <f>IF('Twenty-Third'!B61="", "",'Twenty-Third'!B61)</f>
        <v/>
      </c>
      <c r="C5558" s="66" t="str">
        <f>IF('Twenty-Third'!C61="", "",'Twenty-Third'!C61)</f>
        <v/>
      </c>
      <c r="D5558" s="66" t="str">
        <f>IF('Twenty-Third'!D61="", "",'Twenty-Third'!D61)</f>
        <v/>
      </c>
      <c r="E5558" s="66" t="str">
        <f>IF('Twenty-Third'!E61="", "",'Twenty-Third'!E61)</f>
        <v/>
      </c>
      <c r="F5558" s="66" t="str">
        <f>IF('Twenty-Third'!F61="", "",'Twenty-Third'!F61)</f>
        <v/>
      </c>
      <c r="G5558" s="66" t="str">
        <f>IF('Twenty-Third'!G61="", "",'Twenty-Third'!G61)</f>
        <v/>
      </c>
      <c r="H5558" s="66" t="str">
        <f>IF('Twenty-Third'!H61="", "",'Twenty-Third'!H61)</f>
        <v/>
      </c>
      <c r="I5558" s="66" t="str">
        <f>IF('Twenty-Third'!I61="", "",'Twenty-Third'!I61)</f>
        <v/>
      </c>
      <c r="J5558" s="66" t="str">
        <f>IF('Twenty-Third'!J61="", "",'Twenty-Third'!J61)</f>
        <v/>
      </c>
      <c r="K5558" s="86" t="str">
        <f>IF('Twenty-Third'!K61="", "",'Twenty-Third'!K61)</f>
        <v/>
      </c>
      <c r="M5558" s="67" t="str">
        <f t="shared" si="263"/>
        <v/>
      </c>
      <c r="N5558" s="76" t="str">
        <f t="shared" si="264"/>
        <v/>
      </c>
      <c r="O5558" s="33">
        <f t="shared" si="265"/>
        <v>0</v>
      </c>
    </row>
    <row r="5559" spans="1:15" x14ac:dyDescent="0.25">
      <c r="A5559" s="64" t="s">
        <v>192</v>
      </c>
      <c r="B5559" s="79" t="str">
        <f>IF('Twenty-Third'!B62="", "",'Twenty-Third'!B62)</f>
        <v/>
      </c>
      <c r="C5559" s="66" t="str">
        <f>IF('Twenty-Third'!C62="", "",'Twenty-Third'!C62)</f>
        <v/>
      </c>
      <c r="D5559" s="66" t="str">
        <f>IF('Twenty-Third'!D62="", "",'Twenty-Third'!D62)</f>
        <v/>
      </c>
      <c r="E5559" s="66" t="str">
        <f>IF('Twenty-Third'!E62="", "",'Twenty-Third'!E62)</f>
        <v/>
      </c>
      <c r="F5559" s="66" t="str">
        <f>IF('Twenty-Third'!F62="", "",'Twenty-Third'!F62)</f>
        <v/>
      </c>
      <c r="G5559" s="66" t="str">
        <f>IF('Twenty-Third'!G62="", "",'Twenty-Third'!G62)</f>
        <v/>
      </c>
      <c r="H5559" s="66" t="str">
        <f>IF('Twenty-Third'!H62="", "",'Twenty-Third'!H62)</f>
        <v/>
      </c>
      <c r="I5559" s="66" t="str">
        <f>IF('Twenty-Third'!I62="", "",'Twenty-Third'!I62)</f>
        <v/>
      </c>
      <c r="J5559" s="66" t="str">
        <f>IF('Twenty-Third'!J62="", "",'Twenty-Third'!J62)</f>
        <v/>
      </c>
      <c r="K5559" s="86" t="str">
        <f>IF('Twenty-Third'!K62="", "",'Twenty-Third'!K62)</f>
        <v/>
      </c>
      <c r="M5559" s="67" t="str">
        <f t="shared" si="263"/>
        <v/>
      </c>
      <c r="N5559" s="76" t="str">
        <f t="shared" si="264"/>
        <v/>
      </c>
      <c r="O5559" s="33">
        <f t="shared" si="265"/>
        <v>0</v>
      </c>
    </row>
    <row r="5560" spans="1:15" x14ac:dyDescent="0.25">
      <c r="A5560" s="64" t="s">
        <v>192</v>
      </c>
      <c r="B5560" s="79" t="str">
        <f>IF('Twenty-Third'!B63="", "",'Twenty-Third'!B63)</f>
        <v/>
      </c>
      <c r="C5560" s="66" t="str">
        <f>IF('Twenty-Third'!C63="", "",'Twenty-Third'!C63)</f>
        <v/>
      </c>
      <c r="D5560" s="66" t="str">
        <f>IF('Twenty-Third'!D63="", "",'Twenty-Third'!D63)</f>
        <v/>
      </c>
      <c r="E5560" s="66" t="str">
        <f>IF('Twenty-Third'!E63="", "",'Twenty-Third'!E63)</f>
        <v/>
      </c>
      <c r="F5560" s="66" t="str">
        <f>IF('Twenty-Third'!F63="", "",'Twenty-Third'!F63)</f>
        <v/>
      </c>
      <c r="G5560" s="66" t="str">
        <f>IF('Twenty-Third'!G63="", "",'Twenty-Third'!G63)</f>
        <v/>
      </c>
      <c r="H5560" s="66" t="str">
        <f>IF('Twenty-Third'!H63="", "",'Twenty-Third'!H63)</f>
        <v/>
      </c>
      <c r="I5560" s="66" t="str">
        <f>IF('Twenty-Third'!I63="", "",'Twenty-Third'!I63)</f>
        <v/>
      </c>
      <c r="J5560" s="66" t="str">
        <f>IF('Twenty-Third'!J63="", "",'Twenty-Third'!J63)</f>
        <v/>
      </c>
      <c r="K5560" s="86" t="str">
        <f>IF('Twenty-Third'!K63="", "",'Twenty-Third'!K63)</f>
        <v/>
      </c>
      <c r="M5560" s="67" t="str">
        <f t="shared" si="263"/>
        <v/>
      </c>
      <c r="N5560" s="76" t="str">
        <f t="shared" si="264"/>
        <v/>
      </c>
      <c r="O5560" s="33">
        <f t="shared" si="265"/>
        <v>0</v>
      </c>
    </row>
    <row r="5561" spans="1:15" x14ac:dyDescent="0.25">
      <c r="A5561" s="64" t="s">
        <v>192</v>
      </c>
      <c r="B5561" s="79" t="str">
        <f>IF('Twenty-Third'!B64="", "",'Twenty-Third'!B64)</f>
        <v/>
      </c>
      <c r="C5561" s="66" t="str">
        <f>IF('Twenty-Third'!C64="", "",'Twenty-Third'!C64)</f>
        <v/>
      </c>
      <c r="D5561" s="66" t="str">
        <f>IF('Twenty-Third'!D64="", "",'Twenty-Third'!D64)</f>
        <v/>
      </c>
      <c r="E5561" s="66" t="str">
        <f>IF('Twenty-Third'!E64="", "",'Twenty-Third'!E64)</f>
        <v/>
      </c>
      <c r="F5561" s="66" t="str">
        <f>IF('Twenty-Third'!F64="", "",'Twenty-Third'!F64)</f>
        <v/>
      </c>
      <c r="G5561" s="66" t="str">
        <f>IF('Twenty-Third'!G64="", "",'Twenty-Third'!G64)</f>
        <v/>
      </c>
      <c r="H5561" s="66" t="str">
        <f>IF('Twenty-Third'!H64="", "",'Twenty-Third'!H64)</f>
        <v/>
      </c>
      <c r="I5561" s="66" t="str">
        <f>IF('Twenty-Third'!I64="", "",'Twenty-Third'!I64)</f>
        <v/>
      </c>
      <c r="J5561" s="66" t="str">
        <f>IF('Twenty-Third'!J64="", "",'Twenty-Third'!J64)</f>
        <v/>
      </c>
      <c r="K5561" s="86" t="str">
        <f>IF('Twenty-Third'!K64="", "",'Twenty-Third'!K64)</f>
        <v/>
      </c>
      <c r="M5561" s="67" t="str">
        <f t="shared" si="263"/>
        <v/>
      </c>
      <c r="N5561" s="76" t="str">
        <f t="shared" si="264"/>
        <v/>
      </c>
      <c r="O5561" s="33">
        <f t="shared" si="265"/>
        <v>0</v>
      </c>
    </row>
    <row r="5562" spans="1:15" x14ac:dyDescent="0.25">
      <c r="A5562" s="64" t="s">
        <v>192</v>
      </c>
      <c r="B5562" s="79" t="str">
        <f>IF('Twenty-Third'!B65="", "",'Twenty-Third'!B65)</f>
        <v/>
      </c>
      <c r="C5562" s="66" t="str">
        <f>IF('Twenty-Third'!C65="", "",'Twenty-Third'!C65)</f>
        <v/>
      </c>
      <c r="D5562" s="66" t="str">
        <f>IF('Twenty-Third'!D65="", "",'Twenty-Third'!D65)</f>
        <v/>
      </c>
      <c r="E5562" s="66" t="str">
        <f>IF('Twenty-Third'!E65="", "",'Twenty-Third'!E65)</f>
        <v/>
      </c>
      <c r="F5562" s="66" t="str">
        <f>IF('Twenty-Third'!F65="", "",'Twenty-Third'!F65)</f>
        <v/>
      </c>
      <c r="G5562" s="66" t="str">
        <f>IF('Twenty-Third'!G65="", "",'Twenty-Third'!G65)</f>
        <v/>
      </c>
      <c r="H5562" s="66" t="str">
        <f>IF('Twenty-Third'!H65="", "",'Twenty-Third'!H65)</f>
        <v/>
      </c>
      <c r="I5562" s="66" t="str">
        <f>IF('Twenty-Third'!I65="", "",'Twenty-Third'!I65)</f>
        <v/>
      </c>
      <c r="J5562" s="66" t="str">
        <f>IF('Twenty-Third'!J65="", "",'Twenty-Third'!J65)</f>
        <v/>
      </c>
      <c r="K5562" s="86" t="str">
        <f>IF('Twenty-Third'!K65="", "",'Twenty-Third'!K65)</f>
        <v/>
      </c>
      <c r="M5562" s="67" t="str">
        <f t="shared" si="263"/>
        <v/>
      </c>
      <c r="N5562" s="76" t="str">
        <f t="shared" si="264"/>
        <v/>
      </c>
      <c r="O5562" s="33">
        <f t="shared" si="265"/>
        <v>0</v>
      </c>
    </row>
    <row r="5563" spans="1:15" x14ac:dyDescent="0.25">
      <c r="A5563" s="64" t="s">
        <v>192</v>
      </c>
      <c r="B5563" s="79" t="str">
        <f>IF('Twenty-Third'!B66="", "",'Twenty-Third'!B66)</f>
        <v/>
      </c>
      <c r="C5563" s="66" t="str">
        <f>IF('Twenty-Third'!C66="", "",'Twenty-Third'!C66)</f>
        <v/>
      </c>
      <c r="D5563" s="66" t="str">
        <f>IF('Twenty-Third'!D66="", "",'Twenty-Third'!D66)</f>
        <v/>
      </c>
      <c r="E5563" s="66" t="str">
        <f>IF('Twenty-Third'!E66="", "",'Twenty-Third'!E66)</f>
        <v/>
      </c>
      <c r="F5563" s="66" t="str">
        <f>IF('Twenty-Third'!F66="", "",'Twenty-Third'!F66)</f>
        <v/>
      </c>
      <c r="G5563" s="66" t="str">
        <f>IF('Twenty-Third'!G66="", "",'Twenty-Third'!G66)</f>
        <v/>
      </c>
      <c r="H5563" s="66" t="str">
        <f>IF('Twenty-Third'!H66="", "",'Twenty-Third'!H66)</f>
        <v/>
      </c>
      <c r="I5563" s="66" t="str">
        <f>IF('Twenty-Third'!I66="", "",'Twenty-Third'!I66)</f>
        <v/>
      </c>
      <c r="J5563" s="66" t="str">
        <f>IF('Twenty-Third'!J66="", "",'Twenty-Third'!J66)</f>
        <v/>
      </c>
      <c r="K5563" s="86" t="str">
        <f>IF('Twenty-Third'!K66="", "",'Twenty-Third'!K66)</f>
        <v/>
      </c>
      <c r="M5563" s="67" t="str">
        <f t="shared" si="263"/>
        <v/>
      </c>
      <c r="N5563" s="76" t="str">
        <f t="shared" si="264"/>
        <v/>
      </c>
      <c r="O5563" s="33">
        <f t="shared" si="265"/>
        <v>0</v>
      </c>
    </row>
    <row r="5564" spans="1:15" x14ac:dyDescent="0.25">
      <c r="A5564" s="64" t="s">
        <v>192</v>
      </c>
      <c r="B5564" s="79" t="str">
        <f>IF('Twenty-Third'!B67="", "",'Twenty-Third'!B67)</f>
        <v/>
      </c>
      <c r="C5564" s="66" t="str">
        <f>IF('Twenty-Third'!C67="", "",'Twenty-Third'!C67)</f>
        <v/>
      </c>
      <c r="D5564" s="66" t="str">
        <f>IF('Twenty-Third'!D67="", "",'Twenty-Third'!D67)</f>
        <v/>
      </c>
      <c r="E5564" s="66" t="str">
        <f>IF('Twenty-Third'!E67="", "",'Twenty-Third'!E67)</f>
        <v/>
      </c>
      <c r="F5564" s="66" t="str">
        <f>IF('Twenty-Third'!F67="", "",'Twenty-Third'!F67)</f>
        <v/>
      </c>
      <c r="G5564" s="66" t="str">
        <f>IF('Twenty-Third'!G67="", "",'Twenty-Third'!G67)</f>
        <v/>
      </c>
      <c r="H5564" s="66" t="str">
        <f>IF('Twenty-Third'!H67="", "",'Twenty-Third'!H67)</f>
        <v/>
      </c>
      <c r="I5564" s="66" t="str">
        <f>IF('Twenty-Third'!I67="", "",'Twenty-Third'!I67)</f>
        <v/>
      </c>
      <c r="J5564" s="66" t="str">
        <f>IF('Twenty-Third'!J67="", "",'Twenty-Third'!J67)</f>
        <v/>
      </c>
      <c r="K5564" s="86" t="str">
        <f>IF('Twenty-Third'!K67="", "",'Twenty-Third'!K67)</f>
        <v/>
      </c>
      <c r="M5564" s="67" t="str">
        <f t="shared" si="263"/>
        <v/>
      </c>
      <c r="N5564" s="76" t="str">
        <f t="shared" si="264"/>
        <v/>
      </c>
      <c r="O5564" s="33">
        <f t="shared" si="265"/>
        <v>0</v>
      </c>
    </row>
    <row r="5565" spans="1:15" x14ac:dyDescent="0.25">
      <c r="A5565" s="64" t="s">
        <v>192</v>
      </c>
      <c r="B5565" s="79" t="str">
        <f>IF('Twenty-Third'!B68="", "",'Twenty-Third'!B68)</f>
        <v/>
      </c>
      <c r="C5565" s="66" t="str">
        <f>IF('Twenty-Third'!C68="", "",'Twenty-Third'!C68)</f>
        <v/>
      </c>
      <c r="D5565" s="66" t="str">
        <f>IF('Twenty-Third'!D68="", "",'Twenty-Third'!D68)</f>
        <v/>
      </c>
      <c r="E5565" s="66" t="str">
        <f>IF('Twenty-Third'!E68="", "",'Twenty-Third'!E68)</f>
        <v/>
      </c>
      <c r="F5565" s="66" t="str">
        <f>IF('Twenty-Third'!F68="", "",'Twenty-Third'!F68)</f>
        <v/>
      </c>
      <c r="G5565" s="66" t="str">
        <f>IF('Twenty-Third'!G68="", "",'Twenty-Third'!G68)</f>
        <v/>
      </c>
      <c r="H5565" s="66" t="str">
        <f>IF('Twenty-Third'!H68="", "",'Twenty-Third'!H68)</f>
        <v/>
      </c>
      <c r="I5565" s="66" t="str">
        <f>IF('Twenty-Third'!I68="", "",'Twenty-Third'!I68)</f>
        <v/>
      </c>
      <c r="J5565" s="66" t="str">
        <f>IF('Twenty-Third'!J68="", "",'Twenty-Third'!J68)</f>
        <v/>
      </c>
      <c r="K5565" s="86" t="str">
        <f>IF('Twenty-Third'!K68="", "",'Twenty-Third'!K68)</f>
        <v/>
      </c>
      <c r="M5565" s="67" t="str">
        <f t="shared" si="263"/>
        <v/>
      </c>
      <c r="N5565" s="76" t="str">
        <f t="shared" si="264"/>
        <v/>
      </c>
      <c r="O5565" s="33">
        <f t="shared" si="265"/>
        <v>0</v>
      </c>
    </row>
    <row r="5566" spans="1:15" x14ac:dyDescent="0.25">
      <c r="A5566" s="64" t="s">
        <v>192</v>
      </c>
      <c r="B5566" s="79" t="str">
        <f>IF('Twenty-Third'!B69="", "",'Twenty-Third'!B69)</f>
        <v/>
      </c>
      <c r="C5566" s="66" t="str">
        <f>IF('Twenty-Third'!C69="", "",'Twenty-Third'!C69)</f>
        <v/>
      </c>
      <c r="D5566" s="66" t="str">
        <f>IF('Twenty-Third'!D69="", "",'Twenty-Third'!D69)</f>
        <v/>
      </c>
      <c r="E5566" s="66" t="str">
        <f>IF('Twenty-Third'!E69="", "",'Twenty-Third'!E69)</f>
        <v/>
      </c>
      <c r="F5566" s="66" t="str">
        <f>IF('Twenty-Third'!F69="", "",'Twenty-Third'!F69)</f>
        <v/>
      </c>
      <c r="G5566" s="66" t="str">
        <f>IF('Twenty-Third'!G69="", "",'Twenty-Third'!G69)</f>
        <v/>
      </c>
      <c r="H5566" s="66" t="str">
        <f>IF('Twenty-Third'!H69="", "",'Twenty-Third'!H69)</f>
        <v/>
      </c>
      <c r="I5566" s="66" t="str">
        <f>IF('Twenty-Third'!I69="", "",'Twenty-Third'!I69)</f>
        <v/>
      </c>
      <c r="J5566" s="66" t="str">
        <f>IF('Twenty-Third'!J69="", "",'Twenty-Third'!J69)</f>
        <v/>
      </c>
      <c r="K5566" s="86" t="str">
        <f>IF('Twenty-Third'!K69="", "",'Twenty-Third'!K69)</f>
        <v/>
      </c>
      <c r="M5566" s="67" t="str">
        <f t="shared" si="263"/>
        <v/>
      </c>
      <c r="N5566" s="76" t="str">
        <f t="shared" si="264"/>
        <v/>
      </c>
      <c r="O5566" s="33">
        <f t="shared" si="265"/>
        <v>0</v>
      </c>
    </row>
    <row r="5567" spans="1:15" x14ac:dyDescent="0.25">
      <c r="A5567" s="64" t="s">
        <v>192</v>
      </c>
      <c r="B5567" s="79" t="str">
        <f>IF('Twenty-Third'!B70="", "",'Twenty-Third'!B70)</f>
        <v/>
      </c>
      <c r="C5567" s="66" t="str">
        <f>IF('Twenty-Third'!C70="", "",'Twenty-Third'!C70)</f>
        <v/>
      </c>
      <c r="D5567" s="66" t="str">
        <f>IF('Twenty-Third'!D70="", "",'Twenty-Third'!D70)</f>
        <v/>
      </c>
      <c r="E5567" s="66" t="str">
        <f>IF('Twenty-Third'!E70="", "",'Twenty-Third'!E70)</f>
        <v/>
      </c>
      <c r="F5567" s="66" t="str">
        <f>IF('Twenty-Third'!F70="", "",'Twenty-Third'!F70)</f>
        <v/>
      </c>
      <c r="G5567" s="66" t="str">
        <f>IF('Twenty-Third'!G70="", "",'Twenty-Third'!G70)</f>
        <v/>
      </c>
      <c r="H5567" s="66" t="str">
        <f>IF('Twenty-Third'!H70="", "",'Twenty-Third'!H70)</f>
        <v/>
      </c>
      <c r="I5567" s="66" t="str">
        <f>IF('Twenty-Third'!I70="", "",'Twenty-Third'!I70)</f>
        <v/>
      </c>
      <c r="J5567" s="66" t="str">
        <f>IF('Twenty-Third'!J70="", "",'Twenty-Third'!J70)</f>
        <v/>
      </c>
      <c r="K5567" s="86" t="str">
        <f>IF('Twenty-Third'!K70="", "",'Twenty-Third'!K70)</f>
        <v/>
      </c>
      <c r="M5567" s="67" t="str">
        <f t="shared" ref="M5567:M5630" si="266">IF(C5567="PwC",(7-COUNTIF(B5567:H5567,"")),"")</f>
        <v/>
      </c>
      <c r="N5567" s="76" t="str">
        <f t="shared" ref="N5567:N5630" si="267">IF(C5567="Carer",(7-COUNTIF(B5567:H5567,"")),"")</f>
        <v/>
      </c>
      <c r="O5567" s="33">
        <f t="shared" si="265"/>
        <v>0</v>
      </c>
    </row>
    <row r="5568" spans="1:15" x14ac:dyDescent="0.25">
      <c r="A5568" s="64" t="s">
        <v>192</v>
      </c>
      <c r="B5568" s="79" t="str">
        <f>IF('Twenty-Third'!B71="", "",'Twenty-Third'!B71)</f>
        <v/>
      </c>
      <c r="C5568" s="66" t="str">
        <f>IF('Twenty-Third'!C71="", "",'Twenty-Third'!C71)</f>
        <v/>
      </c>
      <c r="D5568" s="66" t="str">
        <f>IF('Twenty-Third'!D71="", "",'Twenty-Third'!D71)</f>
        <v/>
      </c>
      <c r="E5568" s="66" t="str">
        <f>IF('Twenty-Third'!E71="", "",'Twenty-Third'!E71)</f>
        <v/>
      </c>
      <c r="F5568" s="66" t="str">
        <f>IF('Twenty-Third'!F71="", "",'Twenty-Third'!F71)</f>
        <v/>
      </c>
      <c r="G5568" s="66" t="str">
        <f>IF('Twenty-Third'!G71="", "",'Twenty-Third'!G71)</f>
        <v/>
      </c>
      <c r="H5568" s="66" t="str">
        <f>IF('Twenty-Third'!H71="", "",'Twenty-Third'!H71)</f>
        <v/>
      </c>
      <c r="I5568" s="66" t="str">
        <f>IF('Twenty-Third'!I71="", "",'Twenty-Third'!I71)</f>
        <v/>
      </c>
      <c r="J5568" s="66" t="str">
        <f>IF('Twenty-Third'!J71="", "",'Twenty-Third'!J71)</f>
        <v/>
      </c>
      <c r="K5568" s="86" t="str">
        <f>IF('Twenty-Third'!K71="", "",'Twenty-Third'!K71)</f>
        <v/>
      </c>
      <c r="M5568" s="67" t="str">
        <f t="shared" si="266"/>
        <v/>
      </c>
      <c r="N5568" s="76" t="str">
        <f t="shared" si="267"/>
        <v/>
      </c>
      <c r="O5568" s="33">
        <f t="shared" si="265"/>
        <v>0</v>
      </c>
    </row>
    <row r="5569" spans="1:15" x14ac:dyDescent="0.25">
      <c r="A5569" s="64" t="s">
        <v>192</v>
      </c>
      <c r="B5569" s="79" t="str">
        <f>IF('Twenty-Third'!B72="", "",'Twenty-Third'!B72)</f>
        <v/>
      </c>
      <c r="C5569" s="66" t="str">
        <f>IF('Twenty-Third'!C72="", "",'Twenty-Third'!C72)</f>
        <v/>
      </c>
      <c r="D5569" s="66" t="str">
        <f>IF('Twenty-Third'!D72="", "",'Twenty-Third'!D72)</f>
        <v/>
      </c>
      <c r="E5569" s="66" t="str">
        <f>IF('Twenty-Third'!E72="", "",'Twenty-Third'!E72)</f>
        <v/>
      </c>
      <c r="F5569" s="66" t="str">
        <f>IF('Twenty-Third'!F72="", "",'Twenty-Third'!F72)</f>
        <v/>
      </c>
      <c r="G5569" s="66" t="str">
        <f>IF('Twenty-Third'!G72="", "",'Twenty-Third'!G72)</f>
        <v/>
      </c>
      <c r="H5569" s="66" t="str">
        <f>IF('Twenty-Third'!H72="", "",'Twenty-Third'!H72)</f>
        <v/>
      </c>
      <c r="I5569" s="66" t="str">
        <f>IF('Twenty-Third'!I72="", "",'Twenty-Third'!I72)</f>
        <v/>
      </c>
      <c r="J5569" s="66" t="str">
        <f>IF('Twenty-Third'!J72="", "",'Twenty-Third'!J72)</f>
        <v/>
      </c>
      <c r="K5569" s="86" t="str">
        <f>IF('Twenty-Third'!K72="", "",'Twenty-Third'!K72)</f>
        <v/>
      </c>
      <c r="M5569" s="67" t="str">
        <f t="shared" si="266"/>
        <v/>
      </c>
      <c r="N5569" s="76" t="str">
        <f t="shared" si="267"/>
        <v/>
      </c>
      <c r="O5569" s="33">
        <f t="shared" si="265"/>
        <v>0</v>
      </c>
    </row>
    <row r="5570" spans="1:15" x14ac:dyDescent="0.25">
      <c r="A5570" s="64" t="s">
        <v>192</v>
      </c>
      <c r="B5570" s="79" t="str">
        <f>IF('Twenty-Third'!B73="", "",'Twenty-Third'!B73)</f>
        <v/>
      </c>
      <c r="C5570" s="66" t="str">
        <f>IF('Twenty-Third'!C73="", "",'Twenty-Third'!C73)</f>
        <v/>
      </c>
      <c r="D5570" s="66" t="str">
        <f>IF('Twenty-Third'!D73="", "",'Twenty-Third'!D73)</f>
        <v/>
      </c>
      <c r="E5570" s="66" t="str">
        <f>IF('Twenty-Third'!E73="", "",'Twenty-Third'!E73)</f>
        <v/>
      </c>
      <c r="F5570" s="66" t="str">
        <f>IF('Twenty-Third'!F73="", "",'Twenty-Third'!F73)</f>
        <v/>
      </c>
      <c r="G5570" s="66" t="str">
        <f>IF('Twenty-Third'!G73="", "",'Twenty-Third'!G73)</f>
        <v/>
      </c>
      <c r="H5570" s="66" t="str">
        <f>IF('Twenty-Third'!H73="", "",'Twenty-Third'!H73)</f>
        <v/>
      </c>
      <c r="I5570" s="66" t="str">
        <f>IF('Twenty-Third'!I73="", "",'Twenty-Third'!I73)</f>
        <v/>
      </c>
      <c r="J5570" s="66" t="str">
        <f>IF('Twenty-Third'!J73="", "",'Twenty-Third'!J73)</f>
        <v/>
      </c>
      <c r="K5570" s="86" t="str">
        <f>IF('Twenty-Third'!K73="", "",'Twenty-Third'!K73)</f>
        <v/>
      </c>
      <c r="M5570" s="67" t="str">
        <f t="shared" si="266"/>
        <v/>
      </c>
      <c r="N5570" s="76" t="str">
        <f t="shared" si="267"/>
        <v/>
      </c>
      <c r="O5570" s="33">
        <f t="shared" si="265"/>
        <v>0</v>
      </c>
    </row>
    <row r="5571" spans="1:15" x14ac:dyDescent="0.25">
      <c r="A5571" s="64" t="s">
        <v>192</v>
      </c>
      <c r="B5571" s="79" t="str">
        <f>IF('Twenty-Third'!B74="", "",'Twenty-Third'!B74)</f>
        <v/>
      </c>
      <c r="C5571" s="66" t="str">
        <f>IF('Twenty-Third'!C74="", "",'Twenty-Third'!C74)</f>
        <v/>
      </c>
      <c r="D5571" s="66" t="str">
        <f>IF('Twenty-Third'!D74="", "",'Twenty-Third'!D74)</f>
        <v/>
      </c>
      <c r="E5571" s="66" t="str">
        <f>IF('Twenty-Third'!E74="", "",'Twenty-Third'!E74)</f>
        <v/>
      </c>
      <c r="F5571" s="66" t="str">
        <f>IF('Twenty-Third'!F74="", "",'Twenty-Third'!F74)</f>
        <v/>
      </c>
      <c r="G5571" s="66" t="str">
        <f>IF('Twenty-Third'!G74="", "",'Twenty-Third'!G74)</f>
        <v/>
      </c>
      <c r="H5571" s="66" t="str">
        <f>IF('Twenty-Third'!H74="", "",'Twenty-Third'!H74)</f>
        <v/>
      </c>
      <c r="I5571" s="66" t="str">
        <f>IF('Twenty-Third'!I74="", "",'Twenty-Third'!I74)</f>
        <v/>
      </c>
      <c r="J5571" s="66" t="str">
        <f>IF('Twenty-Third'!J74="", "",'Twenty-Third'!J74)</f>
        <v/>
      </c>
      <c r="K5571" s="86" t="str">
        <f>IF('Twenty-Third'!K74="", "",'Twenty-Third'!K74)</f>
        <v/>
      </c>
      <c r="M5571" s="67" t="str">
        <f t="shared" si="266"/>
        <v/>
      </c>
      <c r="N5571" s="76" t="str">
        <f t="shared" si="267"/>
        <v/>
      </c>
      <c r="O5571" s="33">
        <f t="shared" si="265"/>
        <v>0</v>
      </c>
    </row>
    <row r="5572" spans="1:15" x14ac:dyDescent="0.25">
      <c r="A5572" s="64" t="s">
        <v>192</v>
      </c>
      <c r="B5572" s="79" t="str">
        <f>IF('Twenty-Third'!B75="", "",'Twenty-Third'!B75)</f>
        <v/>
      </c>
      <c r="C5572" s="66" t="str">
        <f>IF('Twenty-Third'!C75="", "",'Twenty-Third'!C75)</f>
        <v/>
      </c>
      <c r="D5572" s="66" t="str">
        <f>IF('Twenty-Third'!D75="", "",'Twenty-Third'!D75)</f>
        <v/>
      </c>
      <c r="E5572" s="66" t="str">
        <f>IF('Twenty-Third'!E75="", "",'Twenty-Third'!E75)</f>
        <v/>
      </c>
      <c r="F5572" s="66" t="str">
        <f>IF('Twenty-Third'!F75="", "",'Twenty-Third'!F75)</f>
        <v/>
      </c>
      <c r="G5572" s="66" t="str">
        <f>IF('Twenty-Third'!G75="", "",'Twenty-Third'!G75)</f>
        <v/>
      </c>
      <c r="H5572" s="66" t="str">
        <f>IF('Twenty-Third'!H75="", "",'Twenty-Third'!H75)</f>
        <v/>
      </c>
      <c r="I5572" s="66" t="str">
        <f>IF('Twenty-Third'!I75="", "",'Twenty-Third'!I75)</f>
        <v/>
      </c>
      <c r="J5572" s="66" t="str">
        <f>IF('Twenty-Third'!J75="", "",'Twenty-Third'!J75)</f>
        <v/>
      </c>
      <c r="K5572" s="86" t="str">
        <f>IF('Twenty-Third'!K75="", "",'Twenty-Third'!K75)</f>
        <v/>
      </c>
      <c r="M5572" s="67" t="str">
        <f t="shared" si="266"/>
        <v/>
      </c>
      <c r="N5572" s="76" t="str">
        <f t="shared" si="267"/>
        <v/>
      </c>
      <c r="O5572" s="33">
        <f t="shared" si="265"/>
        <v>0</v>
      </c>
    </row>
    <row r="5573" spans="1:15" x14ac:dyDescent="0.25">
      <c r="A5573" s="64" t="s">
        <v>192</v>
      </c>
      <c r="B5573" s="79" t="str">
        <f>IF('Twenty-Third'!B76="", "",'Twenty-Third'!B76)</f>
        <v/>
      </c>
      <c r="C5573" s="66" t="str">
        <f>IF('Twenty-Third'!C76="", "",'Twenty-Third'!C76)</f>
        <v/>
      </c>
      <c r="D5573" s="66" t="str">
        <f>IF('Twenty-Third'!D76="", "",'Twenty-Third'!D76)</f>
        <v/>
      </c>
      <c r="E5573" s="66" t="str">
        <f>IF('Twenty-Third'!E76="", "",'Twenty-Third'!E76)</f>
        <v/>
      </c>
      <c r="F5573" s="66" t="str">
        <f>IF('Twenty-Third'!F76="", "",'Twenty-Third'!F76)</f>
        <v/>
      </c>
      <c r="G5573" s="66" t="str">
        <f>IF('Twenty-Third'!G76="", "",'Twenty-Third'!G76)</f>
        <v/>
      </c>
      <c r="H5573" s="66" t="str">
        <f>IF('Twenty-Third'!H76="", "",'Twenty-Third'!H76)</f>
        <v/>
      </c>
      <c r="I5573" s="66" t="str">
        <f>IF('Twenty-Third'!I76="", "",'Twenty-Third'!I76)</f>
        <v/>
      </c>
      <c r="J5573" s="66" t="str">
        <f>IF('Twenty-Third'!J76="", "",'Twenty-Third'!J76)</f>
        <v/>
      </c>
      <c r="K5573" s="86" t="str">
        <f>IF('Twenty-Third'!K76="", "",'Twenty-Third'!K76)</f>
        <v/>
      </c>
      <c r="M5573" s="67" t="str">
        <f t="shared" si="266"/>
        <v/>
      </c>
      <c r="N5573" s="76" t="str">
        <f t="shared" si="267"/>
        <v/>
      </c>
      <c r="O5573" s="33">
        <f t="shared" si="265"/>
        <v>0</v>
      </c>
    </row>
    <row r="5574" spans="1:15" x14ac:dyDescent="0.25">
      <c r="A5574" s="64" t="s">
        <v>192</v>
      </c>
      <c r="B5574" s="79" t="str">
        <f>IF('Twenty-Third'!B77="", "",'Twenty-Third'!B77)</f>
        <v/>
      </c>
      <c r="C5574" s="66" t="str">
        <f>IF('Twenty-Third'!C77="", "",'Twenty-Third'!C77)</f>
        <v/>
      </c>
      <c r="D5574" s="66" t="str">
        <f>IF('Twenty-Third'!D77="", "",'Twenty-Third'!D77)</f>
        <v/>
      </c>
      <c r="E5574" s="66" t="str">
        <f>IF('Twenty-Third'!E77="", "",'Twenty-Third'!E77)</f>
        <v/>
      </c>
      <c r="F5574" s="66" t="str">
        <f>IF('Twenty-Third'!F77="", "",'Twenty-Third'!F77)</f>
        <v/>
      </c>
      <c r="G5574" s="66" t="str">
        <f>IF('Twenty-Third'!G77="", "",'Twenty-Third'!G77)</f>
        <v/>
      </c>
      <c r="H5574" s="66" t="str">
        <f>IF('Twenty-Third'!H77="", "",'Twenty-Third'!H77)</f>
        <v/>
      </c>
      <c r="I5574" s="66" t="str">
        <f>IF('Twenty-Third'!I77="", "",'Twenty-Third'!I77)</f>
        <v/>
      </c>
      <c r="J5574" s="66" t="str">
        <f>IF('Twenty-Third'!J77="", "",'Twenty-Third'!J77)</f>
        <v/>
      </c>
      <c r="K5574" s="86" t="str">
        <f>IF('Twenty-Third'!K77="", "",'Twenty-Third'!K77)</f>
        <v/>
      </c>
      <c r="M5574" s="67" t="str">
        <f t="shared" si="266"/>
        <v/>
      </c>
      <c r="N5574" s="76" t="str">
        <f t="shared" si="267"/>
        <v/>
      </c>
      <c r="O5574" s="33">
        <f t="shared" si="265"/>
        <v>0</v>
      </c>
    </row>
    <row r="5575" spans="1:15" x14ac:dyDescent="0.25">
      <c r="A5575" s="64" t="s">
        <v>192</v>
      </c>
      <c r="B5575" s="79" t="str">
        <f>IF('Twenty-Third'!B78="", "",'Twenty-Third'!B78)</f>
        <v/>
      </c>
      <c r="C5575" s="66" t="str">
        <f>IF('Twenty-Third'!C78="", "",'Twenty-Third'!C78)</f>
        <v/>
      </c>
      <c r="D5575" s="66" t="str">
        <f>IF('Twenty-Third'!D78="", "",'Twenty-Third'!D78)</f>
        <v/>
      </c>
      <c r="E5575" s="66" t="str">
        <f>IF('Twenty-Third'!E78="", "",'Twenty-Third'!E78)</f>
        <v/>
      </c>
      <c r="F5575" s="66" t="str">
        <f>IF('Twenty-Third'!F78="", "",'Twenty-Third'!F78)</f>
        <v/>
      </c>
      <c r="G5575" s="66" t="str">
        <f>IF('Twenty-Third'!G78="", "",'Twenty-Third'!G78)</f>
        <v/>
      </c>
      <c r="H5575" s="66" t="str">
        <f>IF('Twenty-Third'!H78="", "",'Twenty-Third'!H78)</f>
        <v/>
      </c>
      <c r="I5575" s="66" t="str">
        <f>IF('Twenty-Third'!I78="", "",'Twenty-Third'!I78)</f>
        <v/>
      </c>
      <c r="J5575" s="66" t="str">
        <f>IF('Twenty-Third'!J78="", "",'Twenty-Third'!J78)</f>
        <v/>
      </c>
      <c r="K5575" s="86" t="str">
        <f>IF('Twenty-Third'!K78="", "",'Twenty-Third'!K78)</f>
        <v/>
      </c>
      <c r="M5575" s="67" t="str">
        <f t="shared" si="266"/>
        <v/>
      </c>
      <c r="N5575" s="76" t="str">
        <f t="shared" si="267"/>
        <v/>
      </c>
      <c r="O5575" s="33">
        <f t="shared" si="265"/>
        <v>0</v>
      </c>
    </row>
    <row r="5576" spans="1:15" x14ac:dyDescent="0.25">
      <c r="A5576" s="64" t="s">
        <v>192</v>
      </c>
      <c r="B5576" s="79" t="str">
        <f>IF('Twenty-Third'!B79="", "",'Twenty-Third'!B79)</f>
        <v/>
      </c>
      <c r="C5576" s="66" t="str">
        <f>IF('Twenty-Third'!C79="", "",'Twenty-Third'!C79)</f>
        <v/>
      </c>
      <c r="D5576" s="66" t="str">
        <f>IF('Twenty-Third'!D79="", "",'Twenty-Third'!D79)</f>
        <v/>
      </c>
      <c r="E5576" s="66" t="str">
        <f>IF('Twenty-Third'!E79="", "",'Twenty-Third'!E79)</f>
        <v/>
      </c>
      <c r="F5576" s="66" t="str">
        <f>IF('Twenty-Third'!F79="", "",'Twenty-Third'!F79)</f>
        <v/>
      </c>
      <c r="G5576" s="66" t="str">
        <f>IF('Twenty-Third'!G79="", "",'Twenty-Third'!G79)</f>
        <v/>
      </c>
      <c r="H5576" s="66" t="str">
        <f>IF('Twenty-Third'!H79="", "",'Twenty-Third'!H79)</f>
        <v/>
      </c>
      <c r="I5576" s="66" t="str">
        <f>IF('Twenty-Third'!I79="", "",'Twenty-Third'!I79)</f>
        <v/>
      </c>
      <c r="J5576" s="66" t="str">
        <f>IF('Twenty-Third'!J79="", "",'Twenty-Third'!J79)</f>
        <v/>
      </c>
      <c r="K5576" s="86" t="str">
        <f>IF('Twenty-Third'!K79="", "",'Twenty-Third'!K79)</f>
        <v/>
      </c>
      <c r="M5576" s="67" t="str">
        <f t="shared" si="266"/>
        <v/>
      </c>
      <c r="N5576" s="76" t="str">
        <f t="shared" si="267"/>
        <v/>
      </c>
      <c r="O5576" s="33">
        <f t="shared" si="265"/>
        <v>0</v>
      </c>
    </row>
    <row r="5577" spans="1:15" x14ac:dyDescent="0.25">
      <c r="A5577" s="64" t="s">
        <v>192</v>
      </c>
      <c r="B5577" s="79" t="str">
        <f>IF('Twenty-Third'!B80="", "",'Twenty-Third'!B80)</f>
        <v/>
      </c>
      <c r="C5577" s="66" t="str">
        <f>IF('Twenty-Third'!C80="", "",'Twenty-Third'!C80)</f>
        <v/>
      </c>
      <c r="D5577" s="66" t="str">
        <f>IF('Twenty-Third'!D80="", "",'Twenty-Third'!D80)</f>
        <v/>
      </c>
      <c r="E5577" s="66" t="str">
        <f>IF('Twenty-Third'!E80="", "",'Twenty-Third'!E80)</f>
        <v/>
      </c>
      <c r="F5577" s="66" t="str">
        <f>IF('Twenty-Third'!F80="", "",'Twenty-Third'!F80)</f>
        <v/>
      </c>
      <c r="G5577" s="66" t="str">
        <f>IF('Twenty-Third'!G80="", "",'Twenty-Third'!G80)</f>
        <v/>
      </c>
      <c r="H5577" s="66" t="str">
        <f>IF('Twenty-Third'!H80="", "",'Twenty-Third'!H80)</f>
        <v/>
      </c>
      <c r="I5577" s="66" t="str">
        <f>IF('Twenty-Third'!I80="", "",'Twenty-Third'!I80)</f>
        <v/>
      </c>
      <c r="J5577" s="66" t="str">
        <f>IF('Twenty-Third'!J80="", "",'Twenty-Third'!J80)</f>
        <v/>
      </c>
      <c r="K5577" s="86" t="str">
        <f>IF('Twenty-Third'!K80="", "",'Twenty-Third'!K80)</f>
        <v/>
      </c>
      <c r="M5577" s="67" t="str">
        <f t="shared" si="266"/>
        <v/>
      </c>
      <c r="N5577" s="76" t="str">
        <f t="shared" si="267"/>
        <v/>
      </c>
      <c r="O5577" s="33">
        <f t="shared" si="265"/>
        <v>0</v>
      </c>
    </row>
    <row r="5578" spans="1:15" x14ac:dyDescent="0.25">
      <c r="A5578" s="64" t="s">
        <v>192</v>
      </c>
      <c r="B5578" s="79" t="str">
        <f>IF('Twenty-Third'!B81="", "",'Twenty-Third'!B81)</f>
        <v/>
      </c>
      <c r="C5578" s="66" t="str">
        <f>IF('Twenty-Third'!C81="", "",'Twenty-Third'!C81)</f>
        <v/>
      </c>
      <c r="D5578" s="66" t="str">
        <f>IF('Twenty-Third'!D81="", "",'Twenty-Third'!D81)</f>
        <v/>
      </c>
      <c r="E5578" s="66" t="str">
        <f>IF('Twenty-Third'!E81="", "",'Twenty-Third'!E81)</f>
        <v/>
      </c>
      <c r="F5578" s="66" t="str">
        <f>IF('Twenty-Third'!F81="", "",'Twenty-Third'!F81)</f>
        <v/>
      </c>
      <c r="G5578" s="66" t="str">
        <f>IF('Twenty-Third'!G81="", "",'Twenty-Third'!G81)</f>
        <v/>
      </c>
      <c r="H5578" s="66" t="str">
        <f>IF('Twenty-Third'!H81="", "",'Twenty-Third'!H81)</f>
        <v/>
      </c>
      <c r="I5578" s="66" t="str">
        <f>IF('Twenty-Third'!I81="", "",'Twenty-Third'!I81)</f>
        <v/>
      </c>
      <c r="J5578" s="66" t="str">
        <f>IF('Twenty-Third'!J81="", "",'Twenty-Third'!J81)</f>
        <v/>
      </c>
      <c r="K5578" s="86" t="str">
        <f>IF('Twenty-Third'!K81="", "",'Twenty-Third'!K81)</f>
        <v/>
      </c>
      <c r="M5578" s="67" t="str">
        <f t="shared" si="266"/>
        <v/>
      </c>
      <c r="N5578" s="76" t="str">
        <f t="shared" si="267"/>
        <v/>
      </c>
      <c r="O5578" s="33">
        <f t="shared" ref="O5578:O5641" si="268">SUM(M5578:N5578)</f>
        <v>0</v>
      </c>
    </row>
    <row r="5579" spans="1:15" x14ac:dyDescent="0.25">
      <c r="A5579" s="64" t="s">
        <v>192</v>
      </c>
      <c r="B5579" s="79" t="str">
        <f>IF('Twenty-Third'!B82="", "",'Twenty-Third'!B82)</f>
        <v/>
      </c>
      <c r="C5579" s="66" t="str">
        <f>IF('Twenty-Third'!C82="", "",'Twenty-Third'!C82)</f>
        <v/>
      </c>
      <c r="D5579" s="66" t="str">
        <f>IF('Twenty-Third'!D82="", "",'Twenty-Third'!D82)</f>
        <v/>
      </c>
      <c r="E5579" s="66" t="str">
        <f>IF('Twenty-Third'!E82="", "",'Twenty-Third'!E82)</f>
        <v/>
      </c>
      <c r="F5579" s="66" t="str">
        <f>IF('Twenty-Third'!F82="", "",'Twenty-Third'!F82)</f>
        <v/>
      </c>
      <c r="G5579" s="66" t="str">
        <f>IF('Twenty-Third'!G82="", "",'Twenty-Third'!G82)</f>
        <v/>
      </c>
      <c r="H5579" s="66" t="str">
        <f>IF('Twenty-Third'!H82="", "",'Twenty-Third'!H82)</f>
        <v/>
      </c>
      <c r="I5579" s="66" t="str">
        <f>IF('Twenty-Third'!I82="", "",'Twenty-Third'!I82)</f>
        <v/>
      </c>
      <c r="J5579" s="66" t="str">
        <f>IF('Twenty-Third'!J82="", "",'Twenty-Third'!J82)</f>
        <v/>
      </c>
      <c r="K5579" s="86" t="str">
        <f>IF('Twenty-Third'!K82="", "",'Twenty-Third'!K82)</f>
        <v/>
      </c>
      <c r="M5579" s="67" t="str">
        <f t="shared" si="266"/>
        <v/>
      </c>
      <c r="N5579" s="76" t="str">
        <f t="shared" si="267"/>
        <v/>
      </c>
      <c r="O5579" s="33">
        <f t="shared" si="268"/>
        <v>0</v>
      </c>
    </row>
    <row r="5580" spans="1:15" x14ac:dyDescent="0.25">
      <c r="A5580" s="64" t="s">
        <v>192</v>
      </c>
      <c r="B5580" s="79" t="str">
        <f>IF('Twenty-Third'!B83="", "",'Twenty-Third'!B83)</f>
        <v/>
      </c>
      <c r="C5580" s="66" t="str">
        <f>IF('Twenty-Third'!C83="", "",'Twenty-Third'!C83)</f>
        <v/>
      </c>
      <c r="D5580" s="66" t="str">
        <f>IF('Twenty-Third'!D83="", "",'Twenty-Third'!D83)</f>
        <v/>
      </c>
      <c r="E5580" s="66" t="str">
        <f>IF('Twenty-Third'!E83="", "",'Twenty-Third'!E83)</f>
        <v/>
      </c>
      <c r="F5580" s="66" t="str">
        <f>IF('Twenty-Third'!F83="", "",'Twenty-Third'!F83)</f>
        <v/>
      </c>
      <c r="G5580" s="66" t="str">
        <f>IF('Twenty-Third'!G83="", "",'Twenty-Third'!G83)</f>
        <v/>
      </c>
      <c r="H5580" s="66" t="str">
        <f>IF('Twenty-Third'!H83="", "",'Twenty-Third'!H83)</f>
        <v/>
      </c>
      <c r="I5580" s="66" t="str">
        <f>IF('Twenty-Third'!I83="", "",'Twenty-Third'!I83)</f>
        <v/>
      </c>
      <c r="J5580" s="66" t="str">
        <f>IF('Twenty-Third'!J83="", "",'Twenty-Third'!J83)</f>
        <v/>
      </c>
      <c r="K5580" s="86" t="str">
        <f>IF('Twenty-Third'!K83="", "",'Twenty-Third'!K83)</f>
        <v/>
      </c>
      <c r="M5580" s="67" t="str">
        <f t="shared" si="266"/>
        <v/>
      </c>
      <c r="N5580" s="76" t="str">
        <f t="shared" si="267"/>
        <v/>
      </c>
      <c r="O5580" s="33">
        <f t="shared" si="268"/>
        <v>0</v>
      </c>
    </row>
    <row r="5581" spans="1:15" x14ac:dyDescent="0.25">
      <c r="A5581" s="64" t="s">
        <v>192</v>
      </c>
      <c r="B5581" s="79" t="str">
        <f>IF('Twenty-Third'!B84="", "",'Twenty-Third'!B84)</f>
        <v/>
      </c>
      <c r="C5581" s="66" t="str">
        <f>IF('Twenty-Third'!C84="", "",'Twenty-Third'!C84)</f>
        <v/>
      </c>
      <c r="D5581" s="66" t="str">
        <f>IF('Twenty-Third'!D84="", "",'Twenty-Third'!D84)</f>
        <v/>
      </c>
      <c r="E5581" s="66" t="str">
        <f>IF('Twenty-Third'!E84="", "",'Twenty-Third'!E84)</f>
        <v/>
      </c>
      <c r="F5581" s="66" t="str">
        <f>IF('Twenty-Third'!F84="", "",'Twenty-Third'!F84)</f>
        <v/>
      </c>
      <c r="G5581" s="66" t="str">
        <f>IF('Twenty-Third'!G84="", "",'Twenty-Third'!G84)</f>
        <v/>
      </c>
      <c r="H5581" s="66" t="str">
        <f>IF('Twenty-Third'!H84="", "",'Twenty-Third'!H84)</f>
        <v/>
      </c>
      <c r="I5581" s="66" t="str">
        <f>IF('Twenty-Third'!I84="", "",'Twenty-Third'!I84)</f>
        <v/>
      </c>
      <c r="J5581" s="66" t="str">
        <f>IF('Twenty-Third'!J84="", "",'Twenty-Third'!J84)</f>
        <v/>
      </c>
      <c r="K5581" s="86" t="str">
        <f>IF('Twenty-Third'!K84="", "",'Twenty-Third'!K84)</f>
        <v/>
      </c>
      <c r="M5581" s="67" t="str">
        <f t="shared" si="266"/>
        <v/>
      </c>
      <c r="N5581" s="76" t="str">
        <f t="shared" si="267"/>
        <v/>
      </c>
      <c r="O5581" s="33">
        <f t="shared" si="268"/>
        <v>0</v>
      </c>
    </row>
    <row r="5582" spans="1:15" x14ac:dyDescent="0.25">
      <c r="A5582" s="64" t="s">
        <v>192</v>
      </c>
      <c r="B5582" s="79" t="str">
        <f>IF('Twenty-Third'!B85="", "",'Twenty-Third'!B85)</f>
        <v/>
      </c>
      <c r="C5582" s="66" t="str">
        <f>IF('Twenty-Third'!C85="", "",'Twenty-Third'!C85)</f>
        <v/>
      </c>
      <c r="D5582" s="66" t="str">
        <f>IF('Twenty-Third'!D85="", "",'Twenty-Third'!D85)</f>
        <v/>
      </c>
      <c r="E5582" s="66" t="str">
        <f>IF('Twenty-Third'!E85="", "",'Twenty-Third'!E85)</f>
        <v/>
      </c>
      <c r="F5582" s="66" t="str">
        <f>IF('Twenty-Third'!F85="", "",'Twenty-Third'!F85)</f>
        <v/>
      </c>
      <c r="G5582" s="66" t="str">
        <f>IF('Twenty-Third'!G85="", "",'Twenty-Third'!G85)</f>
        <v/>
      </c>
      <c r="H5582" s="66" t="str">
        <f>IF('Twenty-Third'!H85="", "",'Twenty-Third'!H85)</f>
        <v/>
      </c>
      <c r="I5582" s="66" t="str">
        <f>IF('Twenty-Third'!I85="", "",'Twenty-Third'!I85)</f>
        <v/>
      </c>
      <c r="J5582" s="66" t="str">
        <f>IF('Twenty-Third'!J85="", "",'Twenty-Third'!J85)</f>
        <v/>
      </c>
      <c r="K5582" s="86" t="str">
        <f>IF('Twenty-Third'!K85="", "",'Twenty-Third'!K85)</f>
        <v/>
      </c>
      <c r="M5582" s="67" t="str">
        <f t="shared" si="266"/>
        <v/>
      </c>
      <c r="N5582" s="76" t="str">
        <f t="shared" si="267"/>
        <v/>
      </c>
      <c r="O5582" s="33">
        <f t="shared" si="268"/>
        <v>0</v>
      </c>
    </row>
    <row r="5583" spans="1:15" x14ac:dyDescent="0.25">
      <c r="A5583" s="64" t="s">
        <v>192</v>
      </c>
      <c r="B5583" s="79" t="str">
        <f>IF('Twenty-Third'!B86="", "",'Twenty-Third'!B86)</f>
        <v/>
      </c>
      <c r="C5583" s="66" t="str">
        <f>IF('Twenty-Third'!C86="", "",'Twenty-Third'!C86)</f>
        <v/>
      </c>
      <c r="D5583" s="66" t="str">
        <f>IF('Twenty-Third'!D86="", "",'Twenty-Third'!D86)</f>
        <v/>
      </c>
      <c r="E5583" s="66" t="str">
        <f>IF('Twenty-Third'!E86="", "",'Twenty-Third'!E86)</f>
        <v/>
      </c>
      <c r="F5583" s="66" t="str">
        <f>IF('Twenty-Third'!F86="", "",'Twenty-Third'!F86)</f>
        <v/>
      </c>
      <c r="G5583" s="66" t="str">
        <f>IF('Twenty-Third'!G86="", "",'Twenty-Third'!G86)</f>
        <v/>
      </c>
      <c r="H5583" s="66" t="str">
        <f>IF('Twenty-Third'!H86="", "",'Twenty-Third'!H86)</f>
        <v/>
      </c>
      <c r="I5583" s="66" t="str">
        <f>IF('Twenty-Third'!I86="", "",'Twenty-Third'!I86)</f>
        <v/>
      </c>
      <c r="J5583" s="66" t="str">
        <f>IF('Twenty-Third'!J86="", "",'Twenty-Third'!J86)</f>
        <v/>
      </c>
      <c r="K5583" s="86" t="str">
        <f>IF('Twenty-Third'!K86="", "",'Twenty-Third'!K86)</f>
        <v/>
      </c>
      <c r="M5583" s="67" t="str">
        <f t="shared" si="266"/>
        <v/>
      </c>
      <c r="N5583" s="76" t="str">
        <f t="shared" si="267"/>
        <v/>
      </c>
      <c r="O5583" s="33">
        <f t="shared" si="268"/>
        <v>0</v>
      </c>
    </row>
    <row r="5584" spans="1:15" x14ac:dyDescent="0.25">
      <c r="A5584" s="64" t="s">
        <v>192</v>
      </c>
      <c r="B5584" s="79" t="str">
        <f>IF('Twenty-Third'!B87="", "",'Twenty-Third'!B87)</f>
        <v/>
      </c>
      <c r="C5584" s="66" t="str">
        <f>IF('Twenty-Third'!C87="", "",'Twenty-Third'!C87)</f>
        <v/>
      </c>
      <c r="D5584" s="66" t="str">
        <f>IF('Twenty-Third'!D87="", "",'Twenty-Third'!D87)</f>
        <v/>
      </c>
      <c r="E5584" s="66" t="str">
        <f>IF('Twenty-Third'!E87="", "",'Twenty-Third'!E87)</f>
        <v/>
      </c>
      <c r="F5584" s="66" t="str">
        <f>IF('Twenty-Third'!F87="", "",'Twenty-Third'!F87)</f>
        <v/>
      </c>
      <c r="G5584" s="66" t="str">
        <f>IF('Twenty-Third'!G87="", "",'Twenty-Third'!G87)</f>
        <v/>
      </c>
      <c r="H5584" s="66" t="str">
        <f>IF('Twenty-Third'!H87="", "",'Twenty-Third'!H87)</f>
        <v/>
      </c>
      <c r="I5584" s="66" t="str">
        <f>IF('Twenty-Third'!I87="", "",'Twenty-Third'!I87)</f>
        <v/>
      </c>
      <c r="J5584" s="66" t="str">
        <f>IF('Twenty-Third'!J87="", "",'Twenty-Third'!J87)</f>
        <v/>
      </c>
      <c r="K5584" s="86" t="str">
        <f>IF('Twenty-Third'!K87="", "",'Twenty-Third'!K87)</f>
        <v/>
      </c>
      <c r="M5584" s="67" t="str">
        <f t="shared" si="266"/>
        <v/>
      </c>
      <c r="N5584" s="76" t="str">
        <f t="shared" si="267"/>
        <v/>
      </c>
      <c r="O5584" s="33">
        <f t="shared" si="268"/>
        <v>0</v>
      </c>
    </row>
    <row r="5585" spans="1:15" x14ac:dyDescent="0.25">
      <c r="A5585" s="64" t="s">
        <v>192</v>
      </c>
      <c r="B5585" s="79" t="str">
        <f>IF('Twenty-Third'!B88="", "",'Twenty-Third'!B88)</f>
        <v/>
      </c>
      <c r="C5585" s="66" t="str">
        <f>IF('Twenty-Third'!C88="", "",'Twenty-Third'!C88)</f>
        <v/>
      </c>
      <c r="D5585" s="66" t="str">
        <f>IF('Twenty-Third'!D88="", "",'Twenty-Third'!D88)</f>
        <v/>
      </c>
      <c r="E5585" s="66" t="str">
        <f>IF('Twenty-Third'!E88="", "",'Twenty-Third'!E88)</f>
        <v/>
      </c>
      <c r="F5585" s="66" t="str">
        <f>IF('Twenty-Third'!F88="", "",'Twenty-Third'!F88)</f>
        <v/>
      </c>
      <c r="G5585" s="66" t="str">
        <f>IF('Twenty-Third'!G88="", "",'Twenty-Third'!G88)</f>
        <v/>
      </c>
      <c r="H5585" s="66" t="str">
        <f>IF('Twenty-Third'!H88="", "",'Twenty-Third'!H88)</f>
        <v/>
      </c>
      <c r="I5585" s="66" t="str">
        <f>IF('Twenty-Third'!I88="", "",'Twenty-Third'!I88)</f>
        <v/>
      </c>
      <c r="J5585" s="66" t="str">
        <f>IF('Twenty-Third'!J88="", "",'Twenty-Third'!J88)</f>
        <v/>
      </c>
      <c r="K5585" s="86" t="str">
        <f>IF('Twenty-Third'!K88="", "",'Twenty-Third'!K88)</f>
        <v/>
      </c>
      <c r="M5585" s="67" t="str">
        <f t="shared" si="266"/>
        <v/>
      </c>
      <c r="N5585" s="76" t="str">
        <f t="shared" si="267"/>
        <v/>
      </c>
      <c r="O5585" s="33">
        <f t="shared" si="268"/>
        <v>0</v>
      </c>
    </row>
    <row r="5586" spans="1:15" x14ac:dyDescent="0.25">
      <c r="A5586" s="64" t="s">
        <v>192</v>
      </c>
      <c r="B5586" s="79" t="str">
        <f>IF('Twenty-Third'!B89="", "",'Twenty-Third'!B89)</f>
        <v/>
      </c>
      <c r="C5586" s="66" t="str">
        <f>IF('Twenty-Third'!C89="", "",'Twenty-Third'!C89)</f>
        <v/>
      </c>
      <c r="D5586" s="66" t="str">
        <f>IF('Twenty-Third'!D89="", "",'Twenty-Third'!D89)</f>
        <v/>
      </c>
      <c r="E5586" s="66" t="str">
        <f>IF('Twenty-Third'!E89="", "",'Twenty-Third'!E89)</f>
        <v/>
      </c>
      <c r="F5586" s="66" t="str">
        <f>IF('Twenty-Third'!F89="", "",'Twenty-Third'!F89)</f>
        <v/>
      </c>
      <c r="G5586" s="66" t="str">
        <f>IF('Twenty-Third'!G89="", "",'Twenty-Third'!G89)</f>
        <v/>
      </c>
      <c r="H5586" s="66" t="str">
        <f>IF('Twenty-Third'!H89="", "",'Twenty-Third'!H89)</f>
        <v/>
      </c>
      <c r="I5586" s="66" t="str">
        <f>IF('Twenty-Third'!I89="", "",'Twenty-Third'!I89)</f>
        <v/>
      </c>
      <c r="J5586" s="66" t="str">
        <f>IF('Twenty-Third'!J89="", "",'Twenty-Third'!J89)</f>
        <v/>
      </c>
      <c r="K5586" s="86" t="str">
        <f>IF('Twenty-Third'!K89="", "",'Twenty-Third'!K89)</f>
        <v/>
      </c>
      <c r="M5586" s="67" t="str">
        <f t="shared" si="266"/>
        <v/>
      </c>
      <c r="N5586" s="76" t="str">
        <f t="shared" si="267"/>
        <v/>
      </c>
      <c r="O5586" s="33">
        <f t="shared" si="268"/>
        <v>0</v>
      </c>
    </row>
    <row r="5587" spans="1:15" x14ac:dyDescent="0.25">
      <c r="A5587" s="64" t="s">
        <v>192</v>
      </c>
      <c r="B5587" s="79" t="str">
        <f>IF('Twenty-Third'!B90="", "",'Twenty-Third'!B90)</f>
        <v/>
      </c>
      <c r="C5587" s="66" t="str">
        <f>IF('Twenty-Third'!C90="", "",'Twenty-Third'!C90)</f>
        <v/>
      </c>
      <c r="D5587" s="66" t="str">
        <f>IF('Twenty-Third'!D90="", "",'Twenty-Third'!D90)</f>
        <v/>
      </c>
      <c r="E5587" s="66" t="str">
        <f>IF('Twenty-Third'!E90="", "",'Twenty-Third'!E90)</f>
        <v/>
      </c>
      <c r="F5587" s="66" t="str">
        <f>IF('Twenty-Third'!F90="", "",'Twenty-Third'!F90)</f>
        <v/>
      </c>
      <c r="G5587" s="66" t="str">
        <f>IF('Twenty-Third'!G90="", "",'Twenty-Third'!G90)</f>
        <v/>
      </c>
      <c r="H5587" s="66" t="str">
        <f>IF('Twenty-Third'!H90="", "",'Twenty-Third'!H90)</f>
        <v/>
      </c>
      <c r="I5587" s="66" t="str">
        <f>IF('Twenty-Third'!I90="", "",'Twenty-Third'!I90)</f>
        <v/>
      </c>
      <c r="J5587" s="66" t="str">
        <f>IF('Twenty-Third'!J90="", "",'Twenty-Third'!J90)</f>
        <v/>
      </c>
      <c r="K5587" s="86" t="str">
        <f>IF('Twenty-Third'!K90="", "",'Twenty-Third'!K90)</f>
        <v/>
      </c>
      <c r="M5587" s="67" t="str">
        <f t="shared" si="266"/>
        <v/>
      </c>
      <c r="N5587" s="76" t="str">
        <f t="shared" si="267"/>
        <v/>
      </c>
      <c r="O5587" s="33">
        <f t="shared" si="268"/>
        <v>0</v>
      </c>
    </row>
    <row r="5588" spans="1:15" x14ac:dyDescent="0.25">
      <c r="A5588" s="64" t="s">
        <v>192</v>
      </c>
      <c r="B5588" s="79" t="str">
        <f>IF('Twenty-Third'!B91="", "",'Twenty-Third'!B91)</f>
        <v/>
      </c>
      <c r="C5588" s="66" t="str">
        <f>IF('Twenty-Third'!C91="", "",'Twenty-Third'!C91)</f>
        <v/>
      </c>
      <c r="D5588" s="66" t="str">
        <f>IF('Twenty-Third'!D91="", "",'Twenty-Third'!D91)</f>
        <v/>
      </c>
      <c r="E5588" s="66" t="str">
        <f>IF('Twenty-Third'!E91="", "",'Twenty-Third'!E91)</f>
        <v/>
      </c>
      <c r="F5588" s="66" t="str">
        <f>IF('Twenty-Third'!F91="", "",'Twenty-Third'!F91)</f>
        <v/>
      </c>
      <c r="G5588" s="66" t="str">
        <f>IF('Twenty-Third'!G91="", "",'Twenty-Third'!G91)</f>
        <v/>
      </c>
      <c r="H5588" s="66" t="str">
        <f>IF('Twenty-Third'!H91="", "",'Twenty-Third'!H91)</f>
        <v/>
      </c>
      <c r="I5588" s="66" t="str">
        <f>IF('Twenty-Third'!I91="", "",'Twenty-Third'!I91)</f>
        <v/>
      </c>
      <c r="J5588" s="66" t="str">
        <f>IF('Twenty-Third'!J91="", "",'Twenty-Third'!J91)</f>
        <v/>
      </c>
      <c r="K5588" s="86" t="str">
        <f>IF('Twenty-Third'!K91="", "",'Twenty-Third'!K91)</f>
        <v/>
      </c>
      <c r="M5588" s="67" t="str">
        <f t="shared" si="266"/>
        <v/>
      </c>
      <c r="N5588" s="76" t="str">
        <f t="shared" si="267"/>
        <v/>
      </c>
      <c r="O5588" s="33">
        <f t="shared" si="268"/>
        <v>0</v>
      </c>
    </row>
    <row r="5589" spans="1:15" x14ac:dyDescent="0.25">
      <c r="A5589" s="64" t="s">
        <v>192</v>
      </c>
      <c r="B5589" s="79" t="str">
        <f>IF('Twenty-Third'!B92="", "",'Twenty-Third'!B92)</f>
        <v/>
      </c>
      <c r="C5589" s="66" t="str">
        <f>IF('Twenty-Third'!C92="", "",'Twenty-Third'!C92)</f>
        <v/>
      </c>
      <c r="D5589" s="66" t="str">
        <f>IF('Twenty-Third'!D92="", "",'Twenty-Third'!D92)</f>
        <v/>
      </c>
      <c r="E5589" s="66" t="str">
        <f>IF('Twenty-Third'!E92="", "",'Twenty-Third'!E92)</f>
        <v/>
      </c>
      <c r="F5589" s="66" t="str">
        <f>IF('Twenty-Third'!F92="", "",'Twenty-Third'!F92)</f>
        <v/>
      </c>
      <c r="G5589" s="66" t="str">
        <f>IF('Twenty-Third'!G92="", "",'Twenty-Third'!G92)</f>
        <v/>
      </c>
      <c r="H5589" s="66" t="str">
        <f>IF('Twenty-Third'!H92="", "",'Twenty-Third'!H92)</f>
        <v/>
      </c>
      <c r="I5589" s="66" t="str">
        <f>IF('Twenty-Third'!I92="", "",'Twenty-Third'!I92)</f>
        <v/>
      </c>
      <c r="J5589" s="66" t="str">
        <f>IF('Twenty-Third'!J92="", "",'Twenty-Third'!J92)</f>
        <v/>
      </c>
      <c r="K5589" s="86" t="str">
        <f>IF('Twenty-Third'!K92="", "",'Twenty-Third'!K92)</f>
        <v/>
      </c>
      <c r="M5589" s="67" t="str">
        <f t="shared" si="266"/>
        <v/>
      </c>
      <c r="N5589" s="76" t="str">
        <f t="shared" si="267"/>
        <v/>
      </c>
      <c r="O5589" s="33">
        <f t="shared" si="268"/>
        <v>0</v>
      </c>
    </row>
    <row r="5590" spans="1:15" x14ac:dyDescent="0.25">
      <c r="A5590" s="64" t="s">
        <v>192</v>
      </c>
      <c r="B5590" s="79" t="str">
        <f>IF('Twenty-Third'!B93="", "",'Twenty-Third'!B93)</f>
        <v/>
      </c>
      <c r="C5590" s="66" t="str">
        <f>IF('Twenty-Third'!C93="", "",'Twenty-Third'!C93)</f>
        <v/>
      </c>
      <c r="D5590" s="66" t="str">
        <f>IF('Twenty-Third'!D93="", "",'Twenty-Third'!D93)</f>
        <v/>
      </c>
      <c r="E5590" s="66" t="str">
        <f>IF('Twenty-Third'!E93="", "",'Twenty-Third'!E93)</f>
        <v/>
      </c>
      <c r="F5590" s="66" t="str">
        <f>IF('Twenty-Third'!F93="", "",'Twenty-Third'!F93)</f>
        <v/>
      </c>
      <c r="G5590" s="66" t="str">
        <f>IF('Twenty-Third'!G93="", "",'Twenty-Third'!G93)</f>
        <v/>
      </c>
      <c r="H5590" s="66" t="str">
        <f>IF('Twenty-Third'!H93="", "",'Twenty-Third'!H93)</f>
        <v/>
      </c>
      <c r="I5590" s="66" t="str">
        <f>IF('Twenty-Third'!I93="", "",'Twenty-Third'!I93)</f>
        <v/>
      </c>
      <c r="J5590" s="66" t="str">
        <f>IF('Twenty-Third'!J93="", "",'Twenty-Third'!J93)</f>
        <v/>
      </c>
      <c r="K5590" s="86" t="str">
        <f>IF('Twenty-Third'!K93="", "",'Twenty-Third'!K93)</f>
        <v/>
      </c>
      <c r="M5590" s="67" t="str">
        <f t="shared" si="266"/>
        <v/>
      </c>
      <c r="N5590" s="76" t="str">
        <f t="shared" si="267"/>
        <v/>
      </c>
      <c r="O5590" s="33">
        <f t="shared" si="268"/>
        <v>0</v>
      </c>
    </row>
    <row r="5591" spans="1:15" x14ac:dyDescent="0.25">
      <c r="A5591" s="64" t="s">
        <v>192</v>
      </c>
      <c r="B5591" s="79" t="str">
        <f>IF('Twenty-Third'!B94="", "",'Twenty-Third'!B94)</f>
        <v/>
      </c>
      <c r="C5591" s="66" t="str">
        <f>IF('Twenty-Third'!C94="", "",'Twenty-Third'!C94)</f>
        <v/>
      </c>
      <c r="D5591" s="66" t="str">
        <f>IF('Twenty-Third'!D94="", "",'Twenty-Third'!D94)</f>
        <v/>
      </c>
      <c r="E5591" s="66" t="str">
        <f>IF('Twenty-Third'!E94="", "",'Twenty-Third'!E94)</f>
        <v/>
      </c>
      <c r="F5591" s="66" t="str">
        <f>IF('Twenty-Third'!F94="", "",'Twenty-Third'!F94)</f>
        <v/>
      </c>
      <c r="G5591" s="66" t="str">
        <f>IF('Twenty-Third'!G94="", "",'Twenty-Third'!G94)</f>
        <v/>
      </c>
      <c r="H5591" s="66" t="str">
        <f>IF('Twenty-Third'!H94="", "",'Twenty-Third'!H94)</f>
        <v/>
      </c>
      <c r="I5591" s="66" t="str">
        <f>IF('Twenty-Third'!I94="", "",'Twenty-Third'!I94)</f>
        <v/>
      </c>
      <c r="J5591" s="66" t="str">
        <f>IF('Twenty-Third'!J94="", "",'Twenty-Third'!J94)</f>
        <v/>
      </c>
      <c r="K5591" s="86" t="str">
        <f>IF('Twenty-Third'!K94="", "",'Twenty-Third'!K94)</f>
        <v/>
      </c>
      <c r="M5591" s="67" t="str">
        <f t="shared" si="266"/>
        <v/>
      </c>
      <c r="N5591" s="76" t="str">
        <f t="shared" si="267"/>
        <v/>
      </c>
      <c r="O5591" s="33">
        <f t="shared" si="268"/>
        <v>0</v>
      </c>
    </row>
    <row r="5592" spans="1:15" x14ac:dyDescent="0.25">
      <c r="A5592" s="64" t="s">
        <v>192</v>
      </c>
      <c r="B5592" s="79" t="str">
        <f>IF('Twenty-Third'!B95="", "",'Twenty-Third'!B95)</f>
        <v/>
      </c>
      <c r="C5592" s="66" t="str">
        <f>IF('Twenty-Third'!C95="", "",'Twenty-Third'!C95)</f>
        <v/>
      </c>
      <c r="D5592" s="66" t="str">
        <f>IF('Twenty-Third'!D95="", "",'Twenty-Third'!D95)</f>
        <v/>
      </c>
      <c r="E5592" s="66" t="str">
        <f>IF('Twenty-Third'!E95="", "",'Twenty-Third'!E95)</f>
        <v/>
      </c>
      <c r="F5592" s="66" t="str">
        <f>IF('Twenty-Third'!F95="", "",'Twenty-Third'!F95)</f>
        <v/>
      </c>
      <c r="G5592" s="66" t="str">
        <f>IF('Twenty-Third'!G95="", "",'Twenty-Third'!G95)</f>
        <v/>
      </c>
      <c r="H5592" s="66" t="str">
        <f>IF('Twenty-Third'!H95="", "",'Twenty-Third'!H95)</f>
        <v/>
      </c>
      <c r="I5592" s="66" t="str">
        <f>IF('Twenty-Third'!I95="", "",'Twenty-Third'!I95)</f>
        <v/>
      </c>
      <c r="J5592" s="66" t="str">
        <f>IF('Twenty-Third'!J95="", "",'Twenty-Third'!J95)</f>
        <v/>
      </c>
      <c r="K5592" s="86" t="str">
        <f>IF('Twenty-Third'!K95="", "",'Twenty-Third'!K95)</f>
        <v/>
      </c>
      <c r="M5592" s="67" t="str">
        <f t="shared" si="266"/>
        <v/>
      </c>
      <c r="N5592" s="76" t="str">
        <f t="shared" si="267"/>
        <v/>
      </c>
      <c r="O5592" s="33">
        <f t="shared" si="268"/>
        <v>0</v>
      </c>
    </row>
    <row r="5593" spans="1:15" x14ac:dyDescent="0.25">
      <c r="A5593" s="64" t="s">
        <v>192</v>
      </c>
      <c r="B5593" s="79" t="str">
        <f>IF('Twenty-Third'!B96="", "",'Twenty-Third'!B96)</f>
        <v/>
      </c>
      <c r="C5593" s="66" t="str">
        <f>IF('Twenty-Third'!C96="", "",'Twenty-Third'!C96)</f>
        <v/>
      </c>
      <c r="D5593" s="66" t="str">
        <f>IF('Twenty-Third'!D96="", "",'Twenty-Third'!D96)</f>
        <v/>
      </c>
      <c r="E5593" s="66" t="str">
        <f>IF('Twenty-Third'!E96="", "",'Twenty-Third'!E96)</f>
        <v/>
      </c>
      <c r="F5593" s="66" t="str">
        <f>IF('Twenty-Third'!F96="", "",'Twenty-Third'!F96)</f>
        <v/>
      </c>
      <c r="G5593" s="66" t="str">
        <f>IF('Twenty-Third'!G96="", "",'Twenty-Third'!G96)</f>
        <v/>
      </c>
      <c r="H5593" s="66" t="str">
        <f>IF('Twenty-Third'!H96="", "",'Twenty-Third'!H96)</f>
        <v/>
      </c>
      <c r="I5593" s="66" t="str">
        <f>IF('Twenty-Third'!I96="", "",'Twenty-Third'!I96)</f>
        <v/>
      </c>
      <c r="J5593" s="66" t="str">
        <f>IF('Twenty-Third'!J96="", "",'Twenty-Third'!J96)</f>
        <v/>
      </c>
      <c r="K5593" s="86" t="str">
        <f>IF('Twenty-Third'!K96="", "",'Twenty-Third'!K96)</f>
        <v/>
      </c>
      <c r="M5593" s="67" t="str">
        <f t="shared" si="266"/>
        <v/>
      </c>
      <c r="N5593" s="76" t="str">
        <f t="shared" si="267"/>
        <v/>
      </c>
      <c r="O5593" s="33">
        <f t="shared" si="268"/>
        <v>0</v>
      </c>
    </row>
    <row r="5594" spans="1:15" x14ac:dyDescent="0.25">
      <c r="A5594" s="64" t="s">
        <v>192</v>
      </c>
      <c r="B5594" s="79" t="str">
        <f>IF('Twenty-Third'!B97="", "",'Twenty-Third'!B97)</f>
        <v/>
      </c>
      <c r="C5594" s="66" t="str">
        <f>IF('Twenty-Third'!C97="", "",'Twenty-Third'!C97)</f>
        <v/>
      </c>
      <c r="D5594" s="66" t="str">
        <f>IF('Twenty-Third'!D97="", "",'Twenty-Third'!D97)</f>
        <v/>
      </c>
      <c r="E5594" s="66" t="str">
        <f>IF('Twenty-Third'!E97="", "",'Twenty-Third'!E97)</f>
        <v/>
      </c>
      <c r="F5594" s="66" t="str">
        <f>IF('Twenty-Third'!F97="", "",'Twenty-Third'!F97)</f>
        <v/>
      </c>
      <c r="G5594" s="66" t="str">
        <f>IF('Twenty-Third'!G97="", "",'Twenty-Third'!G97)</f>
        <v/>
      </c>
      <c r="H5594" s="66" t="str">
        <f>IF('Twenty-Third'!H97="", "",'Twenty-Third'!H97)</f>
        <v/>
      </c>
      <c r="I5594" s="66" t="str">
        <f>IF('Twenty-Third'!I97="", "",'Twenty-Third'!I97)</f>
        <v/>
      </c>
      <c r="J5594" s="66" t="str">
        <f>IF('Twenty-Third'!J97="", "",'Twenty-Third'!J97)</f>
        <v/>
      </c>
      <c r="K5594" s="86" t="str">
        <f>IF('Twenty-Third'!K97="", "",'Twenty-Third'!K97)</f>
        <v/>
      </c>
      <c r="M5594" s="67" t="str">
        <f t="shared" si="266"/>
        <v/>
      </c>
      <c r="N5594" s="76" t="str">
        <f t="shared" si="267"/>
        <v/>
      </c>
      <c r="O5594" s="33">
        <f t="shared" si="268"/>
        <v>0</v>
      </c>
    </row>
    <row r="5595" spans="1:15" x14ac:dyDescent="0.25">
      <c r="A5595" s="64" t="s">
        <v>192</v>
      </c>
      <c r="B5595" s="79" t="str">
        <f>IF('Twenty-Third'!B98="", "",'Twenty-Third'!B98)</f>
        <v/>
      </c>
      <c r="C5595" s="66" t="str">
        <f>IF('Twenty-Third'!C98="", "",'Twenty-Third'!C98)</f>
        <v/>
      </c>
      <c r="D5595" s="66" t="str">
        <f>IF('Twenty-Third'!D98="", "",'Twenty-Third'!D98)</f>
        <v/>
      </c>
      <c r="E5595" s="66" t="str">
        <f>IF('Twenty-Third'!E98="", "",'Twenty-Third'!E98)</f>
        <v/>
      </c>
      <c r="F5595" s="66" t="str">
        <f>IF('Twenty-Third'!F98="", "",'Twenty-Third'!F98)</f>
        <v/>
      </c>
      <c r="G5595" s="66" t="str">
        <f>IF('Twenty-Third'!G98="", "",'Twenty-Third'!G98)</f>
        <v/>
      </c>
      <c r="H5595" s="66" t="str">
        <f>IF('Twenty-Third'!H98="", "",'Twenty-Third'!H98)</f>
        <v/>
      </c>
      <c r="I5595" s="66" t="str">
        <f>IF('Twenty-Third'!I98="", "",'Twenty-Third'!I98)</f>
        <v/>
      </c>
      <c r="J5595" s="66" t="str">
        <f>IF('Twenty-Third'!J98="", "",'Twenty-Third'!J98)</f>
        <v/>
      </c>
      <c r="K5595" s="86" t="str">
        <f>IF('Twenty-Third'!K98="", "",'Twenty-Third'!K98)</f>
        <v/>
      </c>
      <c r="M5595" s="67" t="str">
        <f t="shared" si="266"/>
        <v/>
      </c>
      <c r="N5595" s="76" t="str">
        <f t="shared" si="267"/>
        <v/>
      </c>
      <c r="O5595" s="33">
        <f t="shared" si="268"/>
        <v>0</v>
      </c>
    </row>
    <row r="5596" spans="1:15" x14ac:dyDescent="0.25">
      <c r="A5596" s="64" t="s">
        <v>192</v>
      </c>
      <c r="B5596" s="79" t="str">
        <f>IF('Twenty-Third'!B99="", "",'Twenty-Third'!B99)</f>
        <v/>
      </c>
      <c r="C5596" s="66" t="str">
        <f>IF('Twenty-Third'!C99="", "",'Twenty-Third'!C99)</f>
        <v/>
      </c>
      <c r="D5596" s="66" t="str">
        <f>IF('Twenty-Third'!D99="", "",'Twenty-Third'!D99)</f>
        <v/>
      </c>
      <c r="E5596" s="66" t="str">
        <f>IF('Twenty-Third'!E99="", "",'Twenty-Third'!E99)</f>
        <v/>
      </c>
      <c r="F5596" s="66" t="str">
        <f>IF('Twenty-Third'!F99="", "",'Twenty-Third'!F99)</f>
        <v/>
      </c>
      <c r="G5596" s="66" t="str">
        <f>IF('Twenty-Third'!G99="", "",'Twenty-Third'!G99)</f>
        <v/>
      </c>
      <c r="H5596" s="66" t="str">
        <f>IF('Twenty-Third'!H99="", "",'Twenty-Third'!H99)</f>
        <v/>
      </c>
      <c r="I5596" s="66" t="str">
        <f>IF('Twenty-Third'!I99="", "",'Twenty-Third'!I99)</f>
        <v/>
      </c>
      <c r="J5596" s="66" t="str">
        <f>IF('Twenty-Third'!J99="", "",'Twenty-Third'!J99)</f>
        <v/>
      </c>
      <c r="K5596" s="86" t="str">
        <f>IF('Twenty-Third'!K99="", "",'Twenty-Third'!K99)</f>
        <v/>
      </c>
      <c r="M5596" s="67" t="str">
        <f t="shared" si="266"/>
        <v/>
      </c>
      <c r="N5596" s="76" t="str">
        <f t="shared" si="267"/>
        <v/>
      </c>
      <c r="O5596" s="33">
        <f t="shared" si="268"/>
        <v>0</v>
      </c>
    </row>
    <row r="5597" spans="1:15" x14ac:dyDescent="0.25">
      <c r="A5597" s="64" t="s">
        <v>192</v>
      </c>
      <c r="B5597" s="79" t="str">
        <f>IF('Twenty-Third'!B100="", "",'Twenty-Third'!B100)</f>
        <v/>
      </c>
      <c r="C5597" s="66" t="str">
        <f>IF('Twenty-Third'!C100="", "",'Twenty-Third'!C100)</f>
        <v/>
      </c>
      <c r="D5597" s="66" t="str">
        <f>IF('Twenty-Third'!D100="", "",'Twenty-Third'!D100)</f>
        <v/>
      </c>
      <c r="E5597" s="66" t="str">
        <f>IF('Twenty-Third'!E100="", "",'Twenty-Third'!E100)</f>
        <v/>
      </c>
      <c r="F5597" s="66" t="str">
        <f>IF('Twenty-Third'!F100="", "",'Twenty-Third'!F100)</f>
        <v/>
      </c>
      <c r="G5597" s="66" t="str">
        <f>IF('Twenty-Third'!G100="", "",'Twenty-Third'!G100)</f>
        <v/>
      </c>
      <c r="H5597" s="66" t="str">
        <f>IF('Twenty-Third'!H100="", "",'Twenty-Third'!H100)</f>
        <v/>
      </c>
      <c r="I5597" s="66" t="str">
        <f>IF('Twenty-Third'!I100="", "",'Twenty-Third'!I100)</f>
        <v/>
      </c>
      <c r="J5597" s="66" t="str">
        <f>IF('Twenty-Third'!J100="", "",'Twenty-Third'!J100)</f>
        <v/>
      </c>
      <c r="K5597" s="86" t="str">
        <f>IF('Twenty-Third'!K100="", "",'Twenty-Third'!K100)</f>
        <v/>
      </c>
      <c r="M5597" s="67" t="str">
        <f t="shared" si="266"/>
        <v/>
      </c>
      <c r="N5597" s="76" t="str">
        <f t="shared" si="267"/>
        <v/>
      </c>
      <c r="O5597" s="33">
        <f t="shared" si="268"/>
        <v>0</v>
      </c>
    </row>
    <row r="5598" spans="1:15" x14ac:dyDescent="0.25">
      <c r="A5598" s="64" t="s">
        <v>192</v>
      </c>
      <c r="B5598" s="79" t="str">
        <f>IF('Twenty-Third'!B101="", "",'Twenty-Third'!B101)</f>
        <v/>
      </c>
      <c r="C5598" s="66" t="str">
        <f>IF('Twenty-Third'!C101="", "",'Twenty-Third'!C101)</f>
        <v/>
      </c>
      <c r="D5598" s="66" t="str">
        <f>IF('Twenty-Third'!D101="", "",'Twenty-Third'!D101)</f>
        <v/>
      </c>
      <c r="E5598" s="66" t="str">
        <f>IF('Twenty-Third'!E101="", "",'Twenty-Third'!E101)</f>
        <v/>
      </c>
      <c r="F5598" s="66" t="str">
        <f>IF('Twenty-Third'!F101="", "",'Twenty-Third'!F101)</f>
        <v/>
      </c>
      <c r="G5598" s="66" t="str">
        <f>IF('Twenty-Third'!G101="", "",'Twenty-Third'!G101)</f>
        <v/>
      </c>
      <c r="H5598" s="66" t="str">
        <f>IF('Twenty-Third'!H101="", "",'Twenty-Third'!H101)</f>
        <v/>
      </c>
      <c r="I5598" s="66" t="str">
        <f>IF('Twenty-Third'!I101="", "",'Twenty-Third'!I101)</f>
        <v/>
      </c>
      <c r="J5598" s="66" t="str">
        <f>IF('Twenty-Third'!J101="", "",'Twenty-Third'!J101)</f>
        <v/>
      </c>
      <c r="K5598" s="86" t="str">
        <f>IF('Twenty-Third'!K101="", "",'Twenty-Third'!K101)</f>
        <v/>
      </c>
      <c r="M5598" s="67" t="str">
        <f t="shared" si="266"/>
        <v/>
      </c>
      <c r="N5598" s="76" t="str">
        <f t="shared" si="267"/>
        <v/>
      </c>
      <c r="O5598" s="33">
        <f t="shared" si="268"/>
        <v>0</v>
      </c>
    </row>
    <row r="5599" spans="1:15" x14ac:dyDescent="0.25">
      <c r="A5599" s="64" t="s">
        <v>192</v>
      </c>
      <c r="B5599" s="79" t="str">
        <f>IF('Twenty-Third'!B102="", "",'Twenty-Third'!B102)</f>
        <v/>
      </c>
      <c r="C5599" s="66" t="str">
        <f>IF('Twenty-Third'!C102="", "",'Twenty-Third'!C102)</f>
        <v/>
      </c>
      <c r="D5599" s="66" t="str">
        <f>IF('Twenty-Third'!D102="", "",'Twenty-Third'!D102)</f>
        <v/>
      </c>
      <c r="E5599" s="66" t="str">
        <f>IF('Twenty-Third'!E102="", "",'Twenty-Third'!E102)</f>
        <v/>
      </c>
      <c r="F5599" s="66" t="str">
        <f>IF('Twenty-Third'!F102="", "",'Twenty-Third'!F102)</f>
        <v/>
      </c>
      <c r="G5599" s="66" t="str">
        <f>IF('Twenty-Third'!G102="", "",'Twenty-Third'!G102)</f>
        <v/>
      </c>
      <c r="H5599" s="66" t="str">
        <f>IF('Twenty-Third'!H102="", "",'Twenty-Third'!H102)</f>
        <v/>
      </c>
      <c r="I5599" s="66" t="str">
        <f>IF('Twenty-Third'!I102="", "",'Twenty-Third'!I102)</f>
        <v/>
      </c>
      <c r="J5599" s="66" t="str">
        <f>IF('Twenty-Third'!J102="", "",'Twenty-Third'!J102)</f>
        <v/>
      </c>
      <c r="K5599" s="86" t="str">
        <f>IF('Twenty-Third'!K102="", "",'Twenty-Third'!K102)</f>
        <v/>
      </c>
      <c r="M5599" s="67" t="str">
        <f t="shared" si="266"/>
        <v/>
      </c>
      <c r="N5599" s="76" t="str">
        <f t="shared" si="267"/>
        <v/>
      </c>
      <c r="O5599" s="33">
        <f t="shared" si="268"/>
        <v>0</v>
      </c>
    </row>
    <row r="5600" spans="1:15" x14ac:dyDescent="0.25">
      <c r="A5600" s="64" t="s">
        <v>192</v>
      </c>
      <c r="B5600" s="79" t="str">
        <f>IF('Twenty-Third'!B103="", "",'Twenty-Third'!B103)</f>
        <v/>
      </c>
      <c r="C5600" s="66" t="str">
        <f>IF('Twenty-Third'!C103="", "",'Twenty-Third'!C103)</f>
        <v/>
      </c>
      <c r="D5600" s="66" t="str">
        <f>IF('Twenty-Third'!D103="", "",'Twenty-Third'!D103)</f>
        <v/>
      </c>
      <c r="E5600" s="66" t="str">
        <f>IF('Twenty-Third'!E103="", "",'Twenty-Third'!E103)</f>
        <v/>
      </c>
      <c r="F5600" s="66" t="str">
        <f>IF('Twenty-Third'!F103="", "",'Twenty-Third'!F103)</f>
        <v/>
      </c>
      <c r="G5600" s="66" t="str">
        <f>IF('Twenty-Third'!G103="", "",'Twenty-Third'!G103)</f>
        <v/>
      </c>
      <c r="H5600" s="66" t="str">
        <f>IF('Twenty-Third'!H103="", "",'Twenty-Third'!H103)</f>
        <v/>
      </c>
      <c r="I5600" s="66" t="str">
        <f>IF('Twenty-Third'!I103="", "",'Twenty-Third'!I103)</f>
        <v/>
      </c>
      <c r="J5600" s="66" t="str">
        <f>IF('Twenty-Third'!J103="", "",'Twenty-Third'!J103)</f>
        <v/>
      </c>
      <c r="K5600" s="86" t="str">
        <f>IF('Twenty-Third'!K103="", "",'Twenty-Third'!K103)</f>
        <v/>
      </c>
      <c r="M5600" s="67" t="str">
        <f t="shared" si="266"/>
        <v/>
      </c>
      <c r="N5600" s="76" t="str">
        <f t="shared" si="267"/>
        <v/>
      </c>
      <c r="O5600" s="33">
        <f t="shared" si="268"/>
        <v>0</v>
      </c>
    </row>
    <row r="5601" spans="1:15" x14ac:dyDescent="0.25">
      <c r="A5601" s="64" t="s">
        <v>192</v>
      </c>
      <c r="B5601" s="79" t="str">
        <f>IF('Twenty-Third'!B104="", "",'Twenty-Third'!B104)</f>
        <v/>
      </c>
      <c r="C5601" s="66" t="str">
        <f>IF('Twenty-Third'!C104="", "",'Twenty-Third'!C104)</f>
        <v/>
      </c>
      <c r="D5601" s="66" t="str">
        <f>IF('Twenty-Third'!D104="", "",'Twenty-Third'!D104)</f>
        <v/>
      </c>
      <c r="E5601" s="66" t="str">
        <f>IF('Twenty-Third'!E104="", "",'Twenty-Third'!E104)</f>
        <v/>
      </c>
      <c r="F5601" s="66" t="str">
        <f>IF('Twenty-Third'!F104="", "",'Twenty-Third'!F104)</f>
        <v/>
      </c>
      <c r="G5601" s="66" t="str">
        <f>IF('Twenty-Third'!G104="", "",'Twenty-Third'!G104)</f>
        <v/>
      </c>
      <c r="H5601" s="66" t="str">
        <f>IF('Twenty-Third'!H104="", "",'Twenty-Third'!H104)</f>
        <v/>
      </c>
      <c r="I5601" s="66" t="str">
        <f>IF('Twenty-Third'!I104="", "",'Twenty-Third'!I104)</f>
        <v/>
      </c>
      <c r="J5601" s="66" t="str">
        <f>IF('Twenty-Third'!J104="", "",'Twenty-Third'!J104)</f>
        <v/>
      </c>
      <c r="K5601" s="86" t="str">
        <f>IF('Twenty-Third'!K104="", "",'Twenty-Third'!K104)</f>
        <v/>
      </c>
      <c r="M5601" s="67" t="str">
        <f t="shared" si="266"/>
        <v/>
      </c>
      <c r="N5601" s="76" t="str">
        <f t="shared" si="267"/>
        <v/>
      </c>
      <c r="O5601" s="33">
        <f t="shared" si="268"/>
        <v>0</v>
      </c>
    </row>
    <row r="5602" spans="1:15" x14ac:dyDescent="0.25">
      <c r="A5602" s="64" t="s">
        <v>192</v>
      </c>
      <c r="B5602" s="79" t="str">
        <f>IF('Twenty-Third'!B105="", "",'Twenty-Third'!B105)</f>
        <v/>
      </c>
      <c r="C5602" s="66" t="str">
        <f>IF('Twenty-Third'!C105="", "",'Twenty-Third'!C105)</f>
        <v/>
      </c>
      <c r="D5602" s="66" t="str">
        <f>IF('Twenty-Third'!D105="", "",'Twenty-Third'!D105)</f>
        <v/>
      </c>
      <c r="E5602" s="66" t="str">
        <f>IF('Twenty-Third'!E105="", "",'Twenty-Third'!E105)</f>
        <v/>
      </c>
      <c r="F5602" s="66" t="str">
        <f>IF('Twenty-Third'!F105="", "",'Twenty-Third'!F105)</f>
        <v/>
      </c>
      <c r="G5602" s="66" t="str">
        <f>IF('Twenty-Third'!G105="", "",'Twenty-Third'!G105)</f>
        <v/>
      </c>
      <c r="H5602" s="66" t="str">
        <f>IF('Twenty-Third'!H105="", "",'Twenty-Third'!H105)</f>
        <v/>
      </c>
      <c r="I5602" s="66" t="str">
        <f>IF('Twenty-Third'!I105="", "",'Twenty-Third'!I105)</f>
        <v/>
      </c>
      <c r="J5602" s="66" t="str">
        <f>IF('Twenty-Third'!J105="", "",'Twenty-Third'!J105)</f>
        <v/>
      </c>
      <c r="K5602" s="86" t="str">
        <f>IF('Twenty-Third'!K105="", "",'Twenty-Third'!K105)</f>
        <v/>
      </c>
      <c r="M5602" s="67" t="str">
        <f t="shared" si="266"/>
        <v/>
      </c>
      <c r="N5602" s="76" t="str">
        <f t="shared" si="267"/>
        <v/>
      </c>
      <c r="O5602" s="33">
        <f t="shared" si="268"/>
        <v>0</v>
      </c>
    </row>
    <row r="5603" spans="1:15" x14ac:dyDescent="0.25">
      <c r="A5603" s="64" t="s">
        <v>192</v>
      </c>
      <c r="B5603" s="79" t="str">
        <f>IF('Twenty-Third'!B106="", "",'Twenty-Third'!B106)</f>
        <v/>
      </c>
      <c r="C5603" s="66" t="str">
        <f>IF('Twenty-Third'!C106="", "",'Twenty-Third'!C106)</f>
        <v/>
      </c>
      <c r="D5603" s="66" t="str">
        <f>IF('Twenty-Third'!D106="", "",'Twenty-Third'!D106)</f>
        <v/>
      </c>
      <c r="E5603" s="66" t="str">
        <f>IF('Twenty-Third'!E106="", "",'Twenty-Third'!E106)</f>
        <v/>
      </c>
      <c r="F5603" s="66" t="str">
        <f>IF('Twenty-Third'!F106="", "",'Twenty-Third'!F106)</f>
        <v/>
      </c>
      <c r="G5603" s="66" t="str">
        <f>IF('Twenty-Third'!G106="", "",'Twenty-Third'!G106)</f>
        <v/>
      </c>
      <c r="H5603" s="66" t="str">
        <f>IF('Twenty-Third'!H106="", "",'Twenty-Third'!H106)</f>
        <v/>
      </c>
      <c r="I5603" s="66" t="str">
        <f>IF('Twenty-Third'!I106="", "",'Twenty-Third'!I106)</f>
        <v/>
      </c>
      <c r="J5603" s="66" t="str">
        <f>IF('Twenty-Third'!J106="", "",'Twenty-Third'!J106)</f>
        <v/>
      </c>
      <c r="K5603" s="86" t="str">
        <f>IF('Twenty-Third'!K106="", "",'Twenty-Third'!K106)</f>
        <v/>
      </c>
      <c r="M5603" s="67" t="str">
        <f t="shared" si="266"/>
        <v/>
      </c>
      <c r="N5603" s="76" t="str">
        <f t="shared" si="267"/>
        <v/>
      </c>
      <c r="O5603" s="33">
        <f t="shared" si="268"/>
        <v>0</v>
      </c>
    </row>
    <row r="5604" spans="1:15" x14ac:dyDescent="0.25">
      <c r="A5604" s="64" t="s">
        <v>192</v>
      </c>
      <c r="B5604" s="79" t="str">
        <f>IF('Twenty-Third'!B107="", "",'Twenty-Third'!B107)</f>
        <v/>
      </c>
      <c r="C5604" s="66" t="str">
        <f>IF('Twenty-Third'!C107="", "",'Twenty-Third'!C107)</f>
        <v/>
      </c>
      <c r="D5604" s="66" t="str">
        <f>IF('Twenty-Third'!D107="", "",'Twenty-Third'!D107)</f>
        <v/>
      </c>
      <c r="E5604" s="66" t="str">
        <f>IF('Twenty-Third'!E107="", "",'Twenty-Third'!E107)</f>
        <v/>
      </c>
      <c r="F5604" s="66" t="str">
        <f>IF('Twenty-Third'!F107="", "",'Twenty-Third'!F107)</f>
        <v/>
      </c>
      <c r="G5604" s="66" t="str">
        <f>IF('Twenty-Third'!G107="", "",'Twenty-Third'!G107)</f>
        <v/>
      </c>
      <c r="H5604" s="66" t="str">
        <f>IF('Twenty-Third'!H107="", "",'Twenty-Third'!H107)</f>
        <v/>
      </c>
      <c r="I5604" s="66" t="str">
        <f>IF('Twenty-Third'!I107="", "",'Twenty-Third'!I107)</f>
        <v/>
      </c>
      <c r="J5604" s="66" t="str">
        <f>IF('Twenty-Third'!J107="", "",'Twenty-Third'!J107)</f>
        <v/>
      </c>
      <c r="K5604" s="86" t="str">
        <f>IF('Twenty-Third'!K107="", "",'Twenty-Third'!K107)</f>
        <v/>
      </c>
      <c r="M5604" s="67" t="str">
        <f t="shared" si="266"/>
        <v/>
      </c>
      <c r="N5604" s="76" t="str">
        <f t="shared" si="267"/>
        <v/>
      </c>
      <c r="O5604" s="33">
        <f t="shared" si="268"/>
        <v>0</v>
      </c>
    </row>
    <row r="5605" spans="1:15" x14ac:dyDescent="0.25">
      <c r="A5605" s="64" t="s">
        <v>192</v>
      </c>
      <c r="B5605" s="79" t="str">
        <f>IF('Twenty-Third'!B108="", "",'Twenty-Third'!B108)</f>
        <v/>
      </c>
      <c r="C5605" s="66" t="str">
        <f>IF('Twenty-Third'!C108="", "",'Twenty-Third'!C108)</f>
        <v/>
      </c>
      <c r="D5605" s="66" t="str">
        <f>IF('Twenty-Third'!D108="", "",'Twenty-Third'!D108)</f>
        <v/>
      </c>
      <c r="E5605" s="66" t="str">
        <f>IF('Twenty-Third'!E108="", "",'Twenty-Third'!E108)</f>
        <v/>
      </c>
      <c r="F5605" s="66" t="str">
        <f>IF('Twenty-Third'!F108="", "",'Twenty-Third'!F108)</f>
        <v/>
      </c>
      <c r="G5605" s="66" t="str">
        <f>IF('Twenty-Third'!G108="", "",'Twenty-Third'!G108)</f>
        <v/>
      </c>
      <c r="H5605" s="66" t="str">
        <f>IF('Twenty-Third'!H108="", "",'Twenty-Third'!H108)</f>
        <v/>
      </c>
      <c r="I5605" s="66" t="str">
        <f>IF('Twenty-Third'!I108="", "",'Twenty-Third'!I108)</f>
        <v/>
      </c>
      <c r="J5605" s="66" t="str">
        <f>IF('Twenty-Third'!J108="", "",'Twenty-Third'!J108)</f>
        <v/>
      </c>
      <c r="K5605" s="86" t="str">
        <f>IF('Twenty-Third'!K108="", "",'Twenty-Third'!K108)</f>
        <v/>
      </c>
      <c r="M5605" s="67" t="str">
        <f t="shared" si="266"/>
        <v/>
      </c>
      <c r="N5605" s="76" t="str">
        <f t="shared" si="267"/>
        <v/>
      </c>
      <c r="O5605" s="33">
        <f t="shared" si="268"/>
        <v>0</v>
      </c>
    </row>
    <row r="5606" spans="1:15" x14ac:dyDescent="0.25">
      <c r="A5606" s="64" t="s">
        <v>192</v>
      </c>
      <c r="B5606" s="79" t="str">
        <f>IF('Twenty-Third'!B109="", "",'Twenty-Third'!B109)</f>
        <v/>
      </c>
      <c r="C5606" s="66" t="str">
        <f>IF('Twenty-Third'!C109="", "",'Twenty-Third'!C109)</f>
        <v/>
      </c>
      <c r="D5606" s="66" t="str">
        <f>IF('Twenty-Third'!D109="", "",'Twenty-Third'!D109)</f>
        <v/>
      </c>
      <c r="E5606" s="66" t="str">
        <f>IF('Twenty-Third'!E109="", "",'Twenty-Third'!E109)</f>
        <v/>
      </c>
      <c r="F5606" s="66" t="str">
        <f>IF('Twenty-Third'!F109="", "",'Twenty-Third'!F109)</f>
        <v/>
      </c>
      <c r="G5606" s="66" t="str">
        <f>IF('Twenty-Third'!G109="", "",'Twenty-Third'!G109)</f>
        <v/>
      </c>
      <c r="H5606" s="66" t="str">
        <f>IF('Twenty-Third'!H109="", "",'Twenty-Third'!H109)</f>
        <v/>
      </c>
      <c r="I5606" s="66" t="str">
        <f>IF('Twenty-Third'!I109="", "",'Twenty-Third'!I109)</f>
        <v/>
      </c>
      <c r="J5606" s="66" t="str">
        <f>IF('Twenty-Third'!J109="", "",'Twenty-Third'!J109)</f>
        <v/>
      </c>
      <c r="K5606" s="86" t="str">
        <f>IF('Twenty-Third'!K109="", "",'Twenty-Third'!K109)</f>
        <v/>
      </c>
      <c r="M5606" s="67" t="str">
        <f t="shared" si="266"/>
        <v/>
      </c>
      <c r="N5606" s="76" t="str">
        <f t="shared" si="267"/>
        <v/>
      </c>
      <c r="O5606" s="33">
        <f t="shared" si="268"/>
        <v>0</v>
      </c>
    </row>
    <row r="5607" spans="1:15" x14ac:dyDescent="0.25">
      <c r="A5607" s="64" t="s">
        <v>192</v>
      </c>
      <c r="B5607" s="79" t="str">
        <f>IF('Twenty-Third'!B110="", "",'Twenty-Third'!B110)</f>
        <v/>
      </c>
      <c r="C5607" s="66" t="str">
        <f>IF('Twenty-Third'!C110="", "",'Twenty-Third'!C110)</f>
        <v/>
      </c>
      <c r="D5607" s="66" t="str">
        <f>IF('Twenty-Third'!D110="", "",'Twenty-Third'!D110)</f>
        <v/>
      </c>
      <c r="E5607" s="66" t="str">
        <f>IF('Twenty-Third'!E110="", "",'Twenty-Third'!E110)</f>
        <v/>
      </c>
      <c r="F5607" s="66" t="str">
        <f>IF('Twenty-Third'!F110="", "",'Twenty-Third'!F110)</f>
        <v/>
      </c>
      <c r="G5607" s="66" t="str">
        <f>IF('Twenty-Third'!G110="", "",'Twenty-Third'!G110)</f>
        <v/>
      </c>
      <c r="H5607" s="66" t="str">
        <f>IF('Twenty-Third'!H110="", "",'Twenty-Third'!H110)</f>
        <v/>
      </c>
      <c r="I5607" s="66" t="str">
        <f>IF('Twenty-Third'!I110="", "",'Twenty-Third'!I110)</f>
        <v/>
      </c>
      <c r="J5607" s="66" t="str">
        <f>IF('Twenty-Third'!J110="", "",'Twenty-Third'!J110)</f>
        <v/>
      </c>
      <c r="K5607" s="86" t="str">
        <f>IF('Twenty-Third'!K110="", "",'Twenty-Third'!K110)</f>
        <v/>
      </c>
      <c r="M5607" s="67" t="str">
        <f t="shared" si="266"/>
        <v/>
      </c>
      <c r="N5607" s="76" t="str">
        <f t="shared" si="267"/>
        <v/>
      </c>
      <c r="O5607" s="33">
        <f t="shared" si="268"/>
        <v>0</v>
      </c>
    </row>
    <row r="5608" spans="1:15" x14ac:dyDescent="0.25">
      <c r="A5608" s="64" t="s">
        <v>192</v>
      </c>
      <c r="B5608" s="79" t="str">
        <f>IF('Twenty-Third'!B111="", "",'Twenty-Third'!B111)</f>
        <v/>
      </c>
      <c r="C5608" s="66" t="str">
        <f>IF('Twenty-Third'!C111="", "",'Twenty-Third'!C111)</f>
        <v/>
      </c>
      <c r="D5608" s="66" t="str">
        <f>IF('Twenty-Third'!D111="", "",'Twenty-Third'!D111)</f>
        <v/>
      </c>
      <c r="E5608" s="66" t="str">
        <f>IF('Twenty-Third'!E111="", "",'Twenty-Third'!E111)</f>
        <v/>
      </c>
      <c r="F5608" s="66" t="str">
        <f>IF('Twenty-Third'!F111="", "",'Twenty-Third'!F111)</f>
        <v/>
      </c>
      <c r="G5608" s="66" t="str">
        <f>IF('Twenty-Third'!G111="", "",'Twenty-Third'!G111)</f>
        <v/>
      </c>
      <c r="H5608" s="66" t="str">
        <f>IF('Twenty-Third'!H111="", "",'Twenty-Third'!H111)</f>
        <v/>
      </c>
      <c r="I5608" s="66" t="str">
        <f>IF('Twenty-Third'!I111="", "",'Twenty-Third'!I111)</f>
        <v/>
      </c>
      <c r="J5608" s="66" t="str">
        <f>IF('Twenty-Third'!J111="", "",'Twenty-Third'!J111)</f>
        <v/>
      </c>
      <c r="K5608" s="86" t="str">
        <f>IF('Twenty-Third'!K111="", "",'Twenty-Third'!K111)</f>
        <v/>
      </c>
      <c r="M5608" s="67" t="str">
        <f t="shared" si="266"/>
        <v/>
      </c>
      <c r="N5608" s="76" t="str">
        <f t="shared" si="267"/>
        <v/>
      </c>
      <c r="O5608" s="33">
        <f t="shared" si="268"/>
        <v>0</v>
      </c>
    </row>
    <row r="5609" spans="1:15" x14ac:dyDescent="0.25">
      <c r="A5609" s="64" t="s">
        <v>192</v>
      </c>
      <c r="B5609" s="79" t="str">
        <f>IF('Twenty-Third'!B112="", "",'Twenty-Third'!B112)</f>
        <v/>
      </c>
      <c r="C5609" s="66" t="str">
        <f>IF('Twenty-Third'!C112="", "",'Twenty-Third'!C112)</f>
        <v/>
      </c>
      <c r="D5609" s="66" t="str">
        <f>IF('Twenty-Third'!D112="", "",'Twenty-Third'!D112)</f>
        <v/>
      </c>
      <c r="E5609" s="66" t="str">
        <f>IF('Twenty-Third'!E112="", "",'Twenty-Third'!E112)</f>
        <v/>
      </c>
      <c r="F5609" s="66" t="str">
        <f>IF('Twenty-Third'!F112="", "",'Twenty-Third'!F112)</f>
        <v/>
      </c>
      <c r="G5609" s="66" t="str">
        <f>IF('Twenty-Third'!G112="", "",'Twenty-Third'!G112)</f>
        <v/>
      </c>
      <c r="H5609" s="66" t="str">
        <f>IF('Twenty-Third'!H112="", "",'Twenty-Third'!H112)</f>
        <v/>
      </c>
      <c r="I5609" s="66" t="str">
        <f>IF('Twenty-Third'!I112="", "",'Twenty-Third'!I112)</f>
        <v/>
      </c>
      <c r="J5609" s="66" t="str">
        <f>IF('Twenty-Third'!J112="", "",'Twenty-Third'!J112)</f>
        <v/>
      </c>
      <c r="K5609" s="86" t="str">
        <f>IF('Twenty-Third'!K112="", "",'Twenty-Third'!K112)</f>
        <v/>
      </c>
      <c r="M5609" s="67" t="str">
        <f t="shared" si="266"/>
        <v/>
      </c>
      <c r="N5609" s="76" t="str">
        <f t="shared" si="267"/>
        <v/>
      </c>
      <c r="O5609" s="33">
        <f t="shared" si="268"/>
        <v>0</v>
      </c>
    </row>
    <row r="5610" spans="1:15" x14ac:dyDescent="0.25">
      <c r="A5610" s="64" t="s">
        <v>192</v>
      </c>
      <c r="B5610" s="79" t="str">
        <f>IF('Twenty-Third'!B113="", "",'Twenty-Third'!B113)</f>
        <v/>
      </c>
      <c r="C5610" s="66" t="str">
        <f>IF('Twenty-Third'!C113="", "",'Twenty-Third'!C113)</f>
        <v/>
      </c>
      <c r="D5610" s="66" t="str">
        <f>IF('Twenty-Third'!D113="", "",'Twenty-Third'!D113)</f>
        <v/>
      </c>
      <c r="E5610" s="66" t="str">
        <f>IF('Twenty-Third'!E113="", "",'Twenty-Third'!E113)</f>
        <v/>
      </c>
      <c r="F5610" s="66" t="str">
        <f>IF('Twenty-Third'!F113="", "",'Twenty-Third'!F113)</f>
        <v/>
      </c>
      <c r="G5610" s="66" t="str">
        <f>IF('Twenty-Third'!G113="", "",'Twenty-Third'!G113)</f>
        <v/>
      </c>
      <c r="H5610" s="66" t="str">
        <f>IF('Twenty-Third'!H113="", "",'Twenty-Third'!H113)</f>
        <v/>
      </c>
      <c r="I5610" s="66" t="str">
        <f>IF('Twenty-Third'!I113="", "",'Twenty-Third'!I113)</f>
        <v/>
      </c>
      <c r="J5610" s="66" t="str">
        <f>IF('Twenty-Third'!J113="", "",'Twenty-Third'!J113)</f>
        <v/>
      </c>
      <c r="K5610" s="86" t="str">
        <f>IF('Twenty-Third'!K113="", "",'Twenty-Third'!K113)</f>
        <v/>
      </c>
      <c r="M5610" s="67" t="str">
        <f t="shared" si="266"/>
        <v/>
      </c>
      <c r="N5610" s="76" t="str">
        <f t="shared" si="267"/>
        <v/>
      </c>
      <c r="O5610" s="33">
        <f t="shared" si="268"/>
        <v>0</v>
      </c>
    </row>
    <row r="5611" spans="1:15" x14ac:dyDescent="0.25">
      <c r="A5611" s="64" t="s">
        <v>192</v>
      </c>
      <c r="B5611" s="79" t="str">
        <f>IF('Twenty-Third'!B114="", "",'Twenty-Third'!B114)</f>
        <v/>
      </c>
      <c r="C5611" s="66" t="str">
        <f>IF('Twenty-Third'!C114="", "",'Twenty-Third'!C114)</f>
        <v/>
      </c>
      <c r="D5611" s="66" t="str">
        <f>IF('Twenty-Third'!D114="", "",'Twenty-Third'!D114)</f>
        <v/>
      </c>
      <c r="E5611" s="66" t="str">
        <f>IF('Twenty-Third'!E114="", "",'Twenty-Third'!E114)</f>
        <v/>
      </c>
      <c r="F5611" s="66" t="str">
        <f>IF('Twenty-Third'!F114="", "",'Twenty-Third'!F114)</f>
        <v/>
      </c>
      <c r="G5611" s="66" t="str">
        <f>IF('Twenty-Third'!G114="", "",'Twenty-Third'!G114)</f>
        <v/>
      </c>
      <c r="H5611" s="66" t="str">
        <f>IF('Twenty-Third'!H114="", "",'Twenty-Third'!H114)</f>
        <v/>
      </c>
      <c r="I5611" s="66" t="str">
        <f>IF('Twenty-Third'!I114="", "",'Twenty-Third'!I114)</f>
        <v/>
      </c>
      <c r="J5611" s="66" t="str">
        <f>IF('Twenty-Third'!J114="", "",'Twenty-Third'!J114)</f>
        <v/>
      </c>
      <c r="K5611" s="86" t="str">
        <f>IF('Twenty-Third'!K114="", "",'Twenty-Third'!K114)</f>
        <v/>
      </c>
      <c r="M5611" s="67" t="str">
        <f t="shared" si="266"/>
        <v/>
      </c>
      <c r="N5611" s="76" t="str">
        <f t="shared" si="267"/>
        <v/>
      </c>
      <c r="O5611" s="33">
        <f t="shared" si="268"/>
        <v>0</v>
      </c>
    </row>
    <row r="5612" spans="1:15" x14ac:dyDescent="0.25">
      <c r="A5612" s="64" t="s">
        <v>192</v>
      </c>
      <c r="B5612" s="79" t="str">
        <f>IF('Twenty-Third'!B115="", "",'Twenty-Third'!B115)</f>
        <v/>
      </c>
      <c r="C5612" s="66" t="str">
        <f>IF('Twenty-Third'!C115="", "",'Twenty-Third'!C115)</f>
        <v/>
      </c>
      <c r="D5612" s="66" t="str">
        <f>IF('Twenty-Third'!D115="", "",'Twenty-Third'!D115)</f>
        <v/>
      </c>
      <c r="E5612" s="66" t="str">
        <f>IF('Twenty-Third'!E115="", "",'Twenty-Third'!E115)</f>
        <v/>
      </c>
      <c r="F5612" s="66" t="str">
        <f>IF('Twenty-Third'!F115="", "",'Twenty-Third'!F115)</f>
        <v/>
      </c>
      <c r="G5612" s="66" t="str">
        <f>IF('Twenty-Third'!G115="", "",'Twenty-Third'!G115)</f>
        <v/>
      </c>
      <c r="H5612" s="66" t="str">
        <f>IF('Twenty-Third'!H115="", "",'Twenty-Third'!H115)</f>
        <v/>
      </c>
      <c r="I5612" s="66" t="str">
        <f>IF('Twenty-Third'!I115="", "",'Twenty-Third'!I115)</f>
        <v/>
      </c>
      <c r="J5612" s="66" t="str">
        <f>IF('Twenty-Third'!J115="", "",'Twenty-Third'!J115)</f>
        <v/>
      </c>
      <c r="K5612" s="86" t="str">
        <f>IF('Twenty-Third'!K115="", "",'Twenty-Third'!K115)</f>
        <v/>
      </c>
      <c r="M5612" s="67" t="str">
        <f t="shared" si="266"/>
        <v/>
      </c>
      <c r="N5612" s="76" t="str">
        <f t="shared" si="267"/>
        <v/>
      </c>
      <c r="O5612" s="33">
        <f t="shared" si="268"/>
        <v>0</v>
      </c>
    </row>
    <row r="5613" spans="1:15" x14ac:dyDescent="0.25">
      <c r="A5613" s="64" t="s">
        <v>192</v>
      </c>
      <c r="B5613" s="79" t="str">
        <f>IF('Twenty-Third'!B116="", "",'Twenty-Third'!B116)</f>
        <v/>
      </c>
      <c r="C5613" s="66" t="str">
        <f>IF('Twenty-Third'!C116="", "",'Twenty-Third'!C116)</f>
        <v/>
      </c>
      <c r="D5613" s="66" t="str">
        <f>IF('Twenty-Third'!D116="", "",'Twenty-Third'!D116)</f>
        <v/>
      </c>
      <c r="E5613" s="66" t="str">
        <f>IF('Twenty-Third'!E116="", "",'Twenty-Third'!E116)</f>
        <v/>
      </c>
      <c r="F5613" s="66" t="str">
        <f>IF('Twenty-Third'!F116="", "",'Twenty-Third'!F116)</f>
        <v/>
      </c>
      <c r="G5613" s="66" t="str">
        <f>IF('Twenty-Third'!G116="", "",'Twenty-Third'!G116)</f>
        <v/>
      </c>
      <c r="H5613" s="66" t="str">
        <f>IF('Twenty-Third'!H116="", "",'Twenty-Third'!H116)</f>
        <v/>
      </c>
      <c r="I5613" s="66" t="str">
        <f>IF('Twenty-Third'!I116="", "",'Twenty-Third'!I116)</f>
        <v/>
      </c>
      <c r="J5613" s="66" t="str">
        <f>IF('Twenty-Third'!J116="", "",'Twenty-Third'!J116)</f>
        <v/>
      </c>
      <c r="K5613" s="86" t="str">
        <f>IF('Twenty-Third'!K116="", "",'Twenty-Third'!K116)</f>
        <v/>
      </c>
      <c r="M5613" s="67" t="str">
        <f t="shared" si="266"/>
        <v/>
      </c>
      <c r="N5613" s="76" t="str">
        <f t="shared" si="267"/>
        <v/>
      </c>
      <c r="O5613" s="33">
        <f t="shared" si="268"/>
        <v>0</v>
      </c>
    </row>
    <row r="5614" spans="1:15" x14ac:dyDescent="0.25">
      <c r="A5614" s="64" t="s">
        <v>192</v>
      </c>
      <c r="B5614" s="79" t="str">
        <f>IF('Twenty-Third'!B117="", "",'Twenty-Third'!B117)</f>
        <v/>
      </c>
      <c r="C5614" s="66" t="str">
        <f>IF('Twenty-Third'!C117="", "",'Twenty-Third'!C117)</f>
        <v/>
      </c>
      <c r="D5614" s="66" t="str">
        <f>IF('Twenty-Third'!D117="", "",'Twenty-Third'!D117)</f>
        <v/>
      </c>
      <c r="E5614" s="66" t="str">
        <f>IF('Twenty-Third'!E117="", "",'Twenty-Third'!E117)</f>
        <v/>
      </c>
      <c r="F5614" s="66" t="str">
        <f>IF('Twenty-Third'!F117="", "",'Twenty-Third'!F117)</f>
        <v/>
      </c>
      <c r="G5614" s="66" t="str">
        <f>IF('Twenty-Third'!G117="", "",'Twenty-Third'!G117)</f>
        <v/>
      </c>
      <c r="H5614" s="66" t="str">
        <f>IF('Twenty-Third'!H117="", "",'Twenty-Third'!H117)</f>
        <v/>
      </c>
      <c r="I5614" s="66" t="str">
        <f>IF('Twenty-Third'!I117="", "",'Twenty-Third'!I117)</f>
        <v/>
      </c>
      <c r="J5614" s="66" t="str">
        <f>IF('Twenty-Third'!J117="", "",'Twenty-Third'!J117)</f>
        <v/>
      </c>
      <c r="K5614" s="86" t="str">
        <f>IF('Twenty-Third'!K117="", "",'Twenty-Third'!K117)</f>
        <v/>
      </c>
      <c r="M5614" s="67" t="str">
        <f t="shared" si="266"/>
        <v/>
      </c>
      <c r="N5614" s="76" t="str">
        <f t="shared" si="267"/>
        <v/>
      </c>
      <c r="O5614" s="33">
        <f t="shared" si="268"/>
        <v>0</v>
      </c>
    </row>
    <row r="5615" spans="1:15" x14ac:dyDescent="0.25">
      <c r="A5615" s="64" t="s">
        <v>192</v>
      </c>
      <c r="B5615" s="79" t="str">
        <f>IF('Twenty-Third'!B118="", "",'Twenty-Third'!B118)</f>
        <v/>
      </c>
      <c r="C5615" s="66" t="str">
        <f>IF('Twenty-Third'!C118="", "",'Twenty-Third'!C118)</f>
        <v/>
      </c>
      <c r="D5615" s="66" t="str">
        <f>IF('Twenty-Third'!D118="", "",'Twenty-Third'!D118)</f>
        <v/>
      </c>
      <c r="E5615" s="66" t="str">
        <f>IF('Twenty-Third'!E118="", "",'Twenty-Third'!E118)</f>
        <v/>
      </c>
      <c r="F5615" s="66" t="str">
        <f>IF('Twenty-Third'!F118="", "",'Twenty-Third'!F118)</f>
        <v/>
      </c>
      <c r="G5615" s="66" t="str">
        <f>IF('Twenty-Third'!G118="", "",'Twenty-Third'!G118)</f>
        <v/>
      </c>
      <c r="H5615" s="66" t="str">
        <f>IF('Twenty-Third'!H118="", "",'Twenty-Third'!H118)</f>
        <v/>
      </c>
      <c r="I5615" s="66" t="str">
        <f>IF('Twenty-Third'!I118="", "",'Twenty-Third'!I118)</f>
        <v/>
      </c>
      <c r="J5615" s="66" t="str">
        <f>IF('Twenty-Third'!J118="", "",'Twenty-Third'!J118)</f>
        <v/>
      </c>
      <c r="K5615" s="86" t="str">
        <f>IF('Twenty-Third'!K118="", "",'Twenty-Third'!K118)</f>
        <v/>
      </c>
      <c r="M5615" s="67" t="str">
        <f t="shared" si="266"/>
        <v/>
      </c>
      <c r="N5615" s="76" t="str">
        <f t="shared" si="267"/>
        <v/>
      </c>
      <c r="O5615" s="33">
        <f t="shared" si="268"/>
        <v>0</v>
      </c>
    </row>
    <row r="5616" spans="1:15" x14ac:dyDescent="0.25">
      <c r="A5616" s="64" t="s">
        <v>192</v>
      </c>
      <c r="B5616" s="79" t="str">
        <f>IF('Twenty-Third'!B119="", "",'Twenty-Third'!B119)</f>
        <v/>
      </c>
      <c r="C5616" s="66" t="str">
        <f>IF('Twenty-Third'!C119="", "",'Twenty-Third'!C119)</f>
        <v/>
      </c>
      <c r="D5616" s="66" t="str">
        <f>IF('Twenty-Third'!D119="", "",'Twenty-Third'!D119)</f>
        <v/>
      </c>
      <c r="E5616" s="66" t="str">
        <f>IF('Twenty-Third'!E119="", "",'Twenty-Third'!E119)</f>
        <v/>
      </c>
      <c r="F5616" s="66" t="str">
        <f>IF('Twenty-Third'!F119="", "",'Twenty-Third'!F119)</f>
        <v/>
      </c>
      <c r="G5616" s="66" t="str">
        <f>IF('Twenty-Third'!G119="", "",'Twenty-Third'!G119)</f>
        <v/>
      </c>
      <c r="H5616" s="66" t="str">
        <f>IF('Twenty-Third'!H119="", "",'Twenty-Third'!H119)</f>
        <v/>
      </c>
      <c r="I5616" s="66" t="str">
        <f>IF('Twenty-Third'!I119="", "",'Twenty-Third'!I119)</f>
        <v/>
      </c>
      <c r="J5616" s="66" t="str">
        <f>IF('Twenty-Third'!J119="", "",'Twenty-Third'!J119)</f>
        <v/>
      </c>
      <c r="K5616" s="86" t="str">
        <f>IF('Twenty-Third'!K119="", "",'Twenty-Third'!K119)</f>
        <v/>
      </c>
      <c r="M5616" s="67" t="str">
        <f t="shared" si="266"/>
        <v/>
      </c>
      <c r="N5616" s="76" t="str">
        <f t="shared" si="267"/>
        <v/>
      </c>
      <c r="O5616" s="33">
        <f t="shared" si="268"/>
        <v>0</v>
      </c>
    </row>
    <row r="5617" spans="1:15" x14ac:dyDescent="0.25">
      <c r="A5617" s="64" t="s">
        <v>192</v>
      </c>
      <c r="B5617" s="79" t="str">
        <f>IF('Twenty-Third'!B120="", "",'Twenty-Third'!B120)</f>
        <v/>
      </c>
      <c r="C5617" s="66" t="str">
        <f>IF('Twenty-Third'!C120="", "",'Twenty-Third'!C120)</f>
        <v/>
      </c>
      <c r="D5617" s="66" t="str">
        <f>IF('Twenty-Third'!D120="", "",'Twenty-Third'!D120)</f>
        <v/>
      </c>
      <c r="E5617" s="66" t="str">
        <f>IF('Twenty-Third'!E120="", "",'Twenty-Third'!E120)</f>
        <v/>
      </c>
      <c r="F5617" s="66" t="str">
        <f>IF('Twenty-Third'!F120="", "",'Twenty-Third'!F120)</f>
        <v/>
      </c>
      <c r="G5617" s="66" t="str">
        <f>IF('Twenty-Third'!G120="", "",'Twenty-Third'!G120)</f>
        <v/>
      </c>
      <c r="H5617" s="66" t="str">
        <f>IF('Twenty-Third'!H120="", "",'Twenty-Third'!H120)</f>
        <v/>
      </c>
      <c r="I5617" s="66" t="str">
        <f>IF('Twenty-Third'!I120="", "",'Twenty-Third'!I120)</f>
        <v/>
      </c>
      <c r="J5617" s="66" t="str">
        <f>IF('Twenty-Third'!J120="", "",'Twenty-Third'!J120)</f>
        <v/>
      </c>
      <c r="K5617" s="86" t="str">
        <f>IF('Twenty-Third'!K120="", "",'Twenty-Third'!K120)</f>
        <v/>
      </c>
      <c r="M5617" s="67" t="str">
        <f t="shared" si="266"/>
        <v/>
      </c>
      <c r="N5617" s="76" t="str">
        <f t="shared" si="267"/>
        <v/>
      </c>
      <c r="O5617" s="33">
        <f t="shared" si="268"/>
        <v>0</v>
      </c>
    </row>
    <row r="5618" spans="1:15" x14ac:dyDescent="0.25">
      <c r="A5618" s="64" t="s">
        <v>192</v>
      </c>
      <c r="B5618" s="79" t="str">
        <f>IF('Twenty-Third'!B121="", "",'Twenty-Third'!B121)</f>
        <v/>
      </c>
      <c r="C5618" s="66" t="str">
        <f>IF('Twenty-Third'!C121="", "",'Twenty-Third'!C121)</f>
        <v/>
      </c>
      <c r="D5618" s="66" t="str">
        <f>IF('Twenty-Third'!D121="", "",'Twenty-Third'!D121)</f>
        <v/>
      </c>
      <c r="E5618" s="66" t="str">
        <f>IF('Twenty-Third'!E121="", "",'Twenty-Third'!E121)</f>
        <v/>
      </c>
      <c r="F5618" s="66" t="str">
        <f>IF('Twenty-Third'!F121="", "",'Twenty-Third'!F121)</f>
        <v/>
      </c>
      <c r="G5618" s="66" t="str">
        <f>IF('Twenty-Third'!G121="", "",'Twenty-Third'!G121)</f>
        <v/>
      </c>
      <c r="H5618" s="66" t="str">
        <f>IF('Twenty-Third'!H121="", "",'Twenty-Third'!H121)</f>
        <v/>
      </c>
      <c r="I5618" s="66" t="str">
        <f>IF('Twenty-Third'!I121="", "",'Twenty-Third'!I121)</f>
        <v/>
      </c>
      <c r="J5618" s="66" t="str">
        <f>IF('Twenty-Third'!J121="", "",'Twenty-Third'!J121)</f>
        <v/>
      </c>
      <c r="K5618" s="86" t="str">
        <f>IF('Twenty-Third'!K121="", "",'Twenty-Third'!K121)</f>
        <v/>
      </c>
      <c r="M5618" s="67" t="str">
        <f t="shared" si="266"/>
        <v/>
      </c>
      <c r="N5618" s="76" t="str">
        <f t="shared" si="267"/>
        <v/>
      </c>
      <c r="O5618" s="33">
        <f t="shared" si="268"/>
        <v>0</v>
      </c>
    </row>
    <row r="5619" spans="1:15" x14ac:dyDescent="0.25">
      <c r="A5619" s="64" t="s">
        <v>192</v>
      </c>
      <c r="B5619" s="79" t="str">
        <f>IF('Twenty-Third'!B122="", "",'Twenty-Third'!B122)</f>
        <v/>
      </c>
      <c r="C5619" s="66" t="str">
        <f>IF('Twenty-Third'!C122="", "",'Twenty-Third'!C122)</f>
        <v/>
      </c>
      <c r="D5619" s="66" t="str">
        <f>IF('Twenty-Third'!D122="", "",'Twenty-Third'!D122)</f>
        <v/>
      </c>
      <c r="E5619" s="66" t="str">
        <f>IF('Twenty-Third'!E122="", "",'Twenty-Third'!E122)</f>
        <v/>
      </c>
      <c r="F5619" s="66" t="str">
        <f>IF('Twenty-Third'!F122="", "",'Twenty-Third'!F122)</f>
        <v/>
      </c>
      <c r="G5619" s="66" t="str">
        <f>IF('Twenty-Third'!G122="", "",'Twenty-Third'!G122)</f>
        <v/>
      </c>
      <c r="H5619" s="66" t="str">
        <f>IF('Twenty-Third'!H122="", "",'Twenty-Third'!H122)</f>
        <v/>
      </c>
      <c r="I5619" s="66" t="str">
        <f>IF('Twenty-Third'!I122="", "",'Twenty-Third'!I122)</f>
        <v/>
      </c>
      <c r="J5619" s="66" t="str">
        <f>IF('Twenty-Third'!J122="", "",'Twenty-Third'!J122)</f>
        <v/>
      </c>
      <c r="K5619" s="86" t="str">
        <f>IF('Twenty-Third'!K122="", "",'Twenty-Third'!K122)</f>
        <v/>
      </c>
      <c r="M5619" s="67" t="str">
        <f t="shared" si="266"/>
        <v/>
      </c>
      <c r="N5619" s="76" t="str">
        <f t="shared" si="267"/>
        <v/>
      </c>
      <c r="O5619" s="33">
        <f t="shared" si="268"/>
        <v>0</v>
      </c>
    </row>
    <row r="5620" spans="1:15" x14ac:dyDescent="0.25">
      <c r="A5620" s="64" t="s">
        <v>192</v>
      </c>
      <c r="B5620" s="79" t="str">
        <f>IF('Twenty-Third'!B123="", "",'Twenty-Third'!B123)</f>
        <v/>
      </c>
      <c r="C5620" s="66" t="str">
        <f>IF('Twenty-Third'!C123="", "",'Twenty-Third'!C123)</f>
        <v/>
      </c>
      <c r="D5620" s="66" t="str">
        <f>IF('Twenty-Third'!D123="", "",'Twenty-Third'!D123)</f>
        <v/>
      </c>
      <c r="E5620" s="66" t="str">
        <f>IF('Twenty-Third'!E123="", "",'Twenty-Third'!E123)</f>
        <v/>
      </c>
      <c r="F5620" s="66" t="str">
        <f>IF('Twenty-Third'!F123="", "",'Twenty-Third'!F123)</f>
        <v/>
      </c>
      <c r="G5620" s="66" t="str">
        <f>IF('Twenty-Third'!G123="", "",'Twenty-Third'!G123)</f>
        <v/>
      </c>
      <c r="H5620" s="66" t="str">
        <f>IF('Twenty-Third'!H123="", "",'Twenty-Third'!H123)</f>
        <v/>
      </c>
      <c r="I5620" s="66" t="str">
        <f>IF('Twenty-Third'!I123="", "",'Twenty-Third'!I123)</f>
        <v/>
      </c>
      <c r="J5620" s="66" t="str">
        <f>IF('Twenty-Third'!J123="", "",'Twenty-Third'!J123)</f>
        <v/>
      </c>
      <c r="K5620" s="86" t="str">
        <f>IF('Twenty-Third'!K123="", "",'Twenty-Third'!K123)</f>
        <v/>
      </c>
      <c r="M5620" s="67" t="str">
        <f t="shared" si="266"/>
        <v/>
      </c>
      <c r="N5620" s="76" t="str">
        <f t="shared" si="267"/>
        <v/>
      </c>
      <c r="O5620" s="33">
        <f t="shared" si="268"/>
        <v>0</v>
      </c>
    </row>
    <row r="5621" spans="1:15" x14ac:dyDescent="0.25">
      <c r="A5621" s="64" t="s">
        <v>192</v>
      </c>
      <c r="B5621" s="79" t="str">
        <f>IF('Twenty-Third'!B124="", "",'Twenty-Third'!B124)</f>
        <v/>
      </c>
      <c r="C5621" s="66" t="str">
        <f>IF('Twenty-Third'!C124="", "",'Twenty-Third'!C124)</f>
        <v/>
      </c>
      <c r="D5621" s="66" t="str">
        <f>IF('Twenty-Third'!D124="", "",'Twenty-Third'!D124)</f>
        <v/>
      </c>
      <c r="E5621" s="66" t="str">
        <f>IF('Twenty-Third'!E124="", "",'Twenty-Third'!E124)</f>
        <v/>
      </c>
      <c r="F5621" s="66" t="str">
        <f>IF('Twenty-Third'!F124="", "",'Twenty-Third'!F124)</f>
        <v/>
      </c>
      <c r="G5621" s="66" t="str">
        <f>IF('Twenty-Third'!G124="", "",'Twenty-Third'!G124)</f>
        <v/>
      </c>
      <c r="H5621" s="66" t="str">
        <f>IF('Twenty-Third'!H124="", "",'Twenty-Third'!H124)</f>
        <v/>
      </c>
      <c r="I5621" s="66" t="str">
        <f>IF('Twenty-Third'!I124="", "",'Twenty-Third'!I124)</f>
        <v/>
      </c>
      <c r="J5621" s="66" t="str">
        <f>IF('Twenty-Third'!J124="", "",'Twenty-Third'!J124)</f>
        <v/>
      </c>
      <c r="K5621" s="86" t="str">
        <f>IF('Twenty-Third'!K124="", "",'Twenty-Third'!K124)</f>
        <v/>
      </c>
      <c r="M5621" s="67" t="str">
        <f t="shared" si="266"/>
        <v/>
      </c>
      <c r="N5621" s="76" t="str">
        <f t="shared" si="267"/>
        <v/>
      </c>
      <c r="O5621" s="33">
        <f t="shared" si="268"/>
        <v>0</v>
      </c>
    </row>
    <row r="5622" spans="1:15" x14ac:dyDescent="0.25">
      <c r="A5622" s="64" t="s">
        <v>192</v>
      </c>
      <c r="B5622" s="79" t="str">
        <f>IF('Twenty-Third'!B125="", "",'Twenty-Third'!B125)</f>
        <v/>
      </c>
      <c r="C5622" s="66" t="str">
        <f>IF('Twenty-Third'!C125="", "",'Twenty-Third'!C125)</f>
        <v/>
      </c>
      <c r="D5622" s="66" t="str">
        <f>IF('Twenty-Third'!D125="", "",'Twenty-Third'!D125)</f>
        <v/>
      </c>
      <c r="E5622" s="66" t="str">
        <f>IF('Twenty-Third'!E125="", "",'Twenty-Third'!E125)</f>
        <v/>
      </c>
      <c r="F5622" s="66" t="str">
        <f>IF('Twenty-Third'!F125="", "",'Twenty-Third'!F125)</f>
        <v/>
      </c>
      <c r="G5622" s="66" t="str">
        <f>IF('Twenty-Third'!G125="", "",'Twenty-Third'!G125)</f>
        <v/>
      </c>
      <c r="H5622" s="66" t="str">
        <f>IF('Twenty-Third'!H125="", "",'Twenty-Third'!H125)</f>
        <v/>
      </c>
      <c r="I5622" s="66" t="str">
        <f>IF('Twenty-Third'!I125="", "",'Twenty-Third'!I125)</f>
        <v/>
      </c>
      <c r="J5622" s="66" t="str">
        <f>IF('Twenty-Third'!J125="", "",'Twenty-Third'!J125)</f>
        <v/>
      </c>
      <c r="K5622" s="86" t="str">
        <f>IF('Twenty-Third'!K125="", "",'Twenty-Third'!K125)</f>
        <v/>
      </c>
      <c r="M5622" s="67" t="str">
        <f t="shared" si="266"/>
        <v/>
      </c>
      <c r="N5622" s="76" t="str">
        <f t="shared" si="267"/>
        <v/>
      </c>
      <c r="O5622" s="33">
        <f t="shared" si="268"/>
        <v>0</v>
      </c>
    </row>
    <row r="5623" spans="1:15" x14ac:dyDescent="0.25">
      <c r="A5623" s="64" t="s">
        <v>192</v>
      </c>
      <c r="B5623" s="79" t="str">
        <f>IF('Twenty-Third'!B126="", "",'Twenty-Third'!B126)</f>
        <v/>
      </c>
      <c r="C5623" s="66" t="str">
        <f>IF('Twenty-Third'!C126="", "",'Twenty-Third'!C126)</f>
        <v/>
      </c>
      <c r="D5623" s="66" t="str">
        <f>IF('Twenty-Third'!D126="", "",'Twenty-Third'!D126)</f>
        <v/>
      </c>
      <c r="E5623" s="66" t="str">
        <f>IF('Twenty-Third'!E126="", "",'Twenty-Third'!E126)</f>
        <v/>
      </c>
      <c r="F5623" s="66" t="str">
        <f>IF('Twenty-Third'!F126="", "",'Twenty-Third'!F126)</f>
        <v/>
      </c>
      <c r="G5623" s="66" t="str">
        <f>IF('Twenty-Third'!G126="", "",'Twenty-Third'!G126)</f>
        <v/>
      </c>
      <c r="H5623" s="66" t="str">
        <f>IF('Twenty-Third'!H126="", "",'Twenty-Third'!H126)</f>
        <v/>
      </c>
      <c r="I5623" s="66" t="str">
        <f>IF('Twenty-Third'!I126="", "",'Twenty-Third'!I126)</f>
        <v/>
      </c>
      <c r="J5623" s="66" t="str">
        <f>IF('Twenty-Third'!J126="", "",'Twenty-Third'!J126)</f>
        <v/>
      </c>
      <c r="K5623" s="86" t="str">
        <f>IF('Twenty-Third'!K126="", "",'Twenty-Third'!K126)</f>
        <v/>
      </c>
      <c r="M5623" s="67" t="str">
        <f t="shared" si="266"/>
        <v/>
      </c>
      <c r="N5623" s="76" t="str">
        <f t="shared" si="267"/>
        <v/>
      </c>
      <c r="O5623" s="33">
        <f t="shared" si="268"/>
        <v>0</v>
      </c>
    </row>
    <row r="5624" spans="1:15" x14ac:dyDescent="0.25">
      <c r="A5624" s="64" t="s">
        <v>192</v>
      </c>
      <c r="B5624" s="79" t="str">
        <f>IF('Twenty-Third'!B127="", "",'Twenty-Third'!B127)</f>
        <v/>
      </c>
      <c r="C5624" s="66" t="str">
        <f>IF('Twenty-Third'!C127="", "",'Twenty-Third'!C127)</f>
        <v/>
      </c>
      <c r="D5624" s="66" t="str">
        <f>IF('Twenty-Third'!D127="", "",'Twenty-Third'!D127)</f>
        <v/>
      </c>
      <c r="E5624" s="66" t="str">
        <f>IF('Twenty-Third'!E127="", "",'Twenty-Third'!E127)</f>
        <v/>
      </c>
      <c r="F5624" s="66" t="str">
        <f>IF('Twenty-Third'!F127="", "",'Twenty-Third'!F127)</f>
        <v/>
      </c>
      <c r="G5624" s="66" t="str">
        <f>IF('Twenty-Third'!G127="", "",'Twenty-Third'!G127)</f>
        <v/>
      </c>
      <c r="H5624" s="66" t="str">
        <f>IF('Twenty-Third'!H127="", "",'Twenty-Third'!H127)</f>
        <v/>
      </c>
      <c r="I5624" s="66" t="str">
        <f>IF('Twenty-Third'!I127="", "",'Twenty-Third'!I127)</f>
        <v/>
      </c>
      <c r="J5624" s="66" t="str">
        <f>IF('Twenty-Third'!J127="", "",'Twenty-Third'!J127)</f>
        <v/>
      </c>
      <c r="K5624" s="86" t="str">
        <f>IF('Twenty-Third'!K127="", "",'Twenty-Third'!K127)</f>
        <v/>
      </c>
      <c r="M5624" s="67" t="str">
        <f t="shared" si="266"/>
        <v/>
      </c>
      <c r="N5624" s="76" t="str">
        <f t="shared" si="267"/>
        <v/>
      </c>
      <c r="O5624" s="33">
        <f t="shared" si="268"/>
        <v>0</v>
      </c>
    </row>
    <row r="5625" spans="1:15" x14ac:dyDescent="0.25">
      <c r="A5625" s="64" t="s">
        <v>192</v>
      </c>
      <c r="B5625" s="79" t="str">
        <f>IF('Twenty-Third'!B128="", "",'Twenty-Third'!B128)</f>
        <v/>
      </c>
      <c r="C5625" s="66" t="str">
        <f>IF('Twenty-Third'!C128="", "",'Twenty-Third'!C128)</f>
        <v/>
      </c>
      <c r="D5625" s="66" t="str">
        <f>IF('Twenty-Third'!D128="", "",'Twenty-Third'!D128)</f>
        <v/>
      </c>
      <c r="E5625" s="66" t="str">
        <f>IF('Twenty-Third'!E128="", "",'Twenty-Third'!E128)</f>
        <v/>
      </c>
      <c r="F5625" s="66" t="str">
        <f>IF('Twenty-Third'!F128="", "",'Twenty-Third'!F128)</f>
        <v/>
      </c>
      <c r="G5625" s="66" t="str">
        <f>IF('Twenty-Third'!G128="", "",'Twenty-Third'!G128)</f>
        <v/>
      </c>
      <c r="H5625" s="66" t="str">
        <f>IF('Twenty-Third'!H128="", "",'Twenty-Third'!H128)</f>
        <v/>
      </c>
      <c r="I5625" s="66" t="str">
        <f>IF('Twenty-Third'!I128="", "",'Twenty-Third'!I128)</f>
        <v/>
      </c>
      <c r="J5625" s="66" t="str">
        <f>IF('Twenty-Third'!J128="", "",'Twenty-Third'!J128)</f>
        <v/>
      </c>
      <c r="K5625" s="86" t="str">
        <f>IF('Twenty-Third'!K128="", "",'Twenty-Third'!K128)</f>
        <v/>
      </c>
      <c r="M5625" s="67" t="str">
        <f t="shared" si="266"/>
        <v/>
      </c>
      <c r="N5625" s="76" t="str">
        <f t="shared" si="267"/>
        <v/>
      </c>
      <c r="O5625" s="33">
        <f t="shared" si="268"/>
        <v>0</v>
      </c>
    </row>
    <row r="5626" spans="1:15" x14ac:dyDescent="0.25">
      <c r="A5626" s="64" t="s">
        <v>192</v>
      </c>
      <c r="B5626" s="79" t="str">
        <f>IF('Twenty-Third'!B129="", "",'Twenty-Third'!B129)</f>
        <v/>
      </c>
      <c r="C5626" s="66" t="str">
        <f>IF('Twenty-Third'!C129="", "",'Twenty-Third'!C129)</f>
        <v/>
      </c>
      <c r="D5626" s="66" t="str">
        <f>IF('Twenty-Third'!D129="", "",'Twenty-Third'!D129)</f>
        <v/>
      </c>
      <c r="E5626" s="66" t="str">
        <f>IF('Twenty-Third'!E129="", "",'Twenty-Third'!E129)</f>
        <v/>
      </c>
      <c r="F5626" s="66" t="str">
        <f>IF('Twenty-Third'!F129="", "",'Twenty-Third'!F129)</f>
        <v/>
      </c>
      <c r="G5626" s="66" t="str">
        <f>IF('Twenty-Third'!G129="", "",'Twenty-Third'!G129)</f>
        <v/>
      </c>
      <c r="H5626" s="66" t="str">
        <f>IF('Twenty-Third'!H129="", "",'Twenty-Third'!H129)</f>
        <v/>
      </c>
      <c r="I5626" s="66" t="str">
        <f>IF('Twenty-Third'!I129="", "",'Twenty-Third'!I129)</f>
        <v/>
      </c>
      <c r="J5626" s="66" t="str">
        <f>IF('Twenty-Third'!J129="", "",'Twenty-Third'!J129)</f>
        <v/>
      </c>
      <c r="K5626" s="86" t="str">
        <f>IF('Twenty-Third'!K129="", "",'Twenty-Third'!K129)</f>
        <v/>
      </c>
      <c r="M5626" s="67" t="str">
        <f t="shared" si="266"/>
        <v/>
      </c>
      <c r="N5626" s="76" t="str">
        <f t="shared" si="267"/>
        <v/>
      </c>
      <c r="O5626" s="33">
        <f t="shared" si="268"/>
        <v>0</v>
      </c>
    </row>
    <row r="5627" spans="1:15" x14ac:dyDescent="0.25">
      <c r="A5627" s="64" t="s">
        <v>192</v>
      </c>
      <c r="B5627" s="79" t="str">
        <f>IF('Twenty-Third'!B130="", "",'Twenty-Third'!B130)</f>
        <v/>
      </c>
      <c r="C5627" s="66" t="str">
        <f>IF('Twenty-Third'!C130="", "",'Twenty-Third'!C130)</f>
        <v/>
      </c>
      <c r="D5627" s="66" t="str">
        <f>IF('Twenty-Third'!D130="", "",'Twenty-Third'!D130)</f>
        <v/>
      </c>
      <c r="E5627" s="66" t="str">
        <f>IF('Twenty-Third'!E130="", "",'Twenty-Third'!E130)</f>
        <v/>
      </c>
      <c r="F5627" s="66" t="str">
        <f>IF('Twenty-Third'!F130="", "",'Twenty-Third'!F130)</f>
        <v/>
      </c>
      <c r="G5627" s="66" t="str">
        <f>IF('Twenty-Third'!G130="", "",'Twenty-Third'!G130)</f>
        <v/>
      </c>
      <c r="H5627" s="66" t="str">
        <f>IF('Twenty-Third'!H130="", "",'Twenty-Third'!H130)</f>
        <v/>
      </c>
      <c r="I5627" s="66" t="str">
        <f>IF('Twenty-Third'!I130="", "",'Twenty-Third'!I130)</f>
        <v/>
      </c>
      <c r="J5627" s="66" t="str">
        <f>IF('Twenty-Third'!J130="", "",'Twenty-Third'!J130)</f>
        <v/>
      </c>
      <c r="K5627" s="86" t="str">
        <f>IF('Twenty-Third'!K130="", "",'Twenty-Third'!K130)</f>
        <v/>
      </c>
      <c r="M5627" s="67" t="str">
        <f t="shared" si="266"/>
        <v/>
      </c>
      <c r="N5627" s="76" t="str">
        <f t="shared" si="267"/>
        <v/>
      </c>
      <c r="O5627" s="33">
        <f t="shared" si="268"/>
        <v>0</v>
      </c>
    </row>
    <row r="5628" spans="1:15" x14ac:dyDescent="0.25">
      <c r="A5628" s="64" t="s">
        <v>192</v>
      </c>
      <c r="B5628" s="79" t="str">
        <f>IF('Twenty-Third'!B131="", "",'Twenty-Third'!B131)</f>
        <v/>
      </c>
      <c r="C5628" s="66" t="str">
        <f>IF('Twenty-Third'!C131="", "",'Twenty-Third'!C131)</f>
        <v/>
      </c>
      <c r="D5628" s="66" t="str">
        <f>IF('Twenty-Third'!D131="", "",'Twenty-Third'!D131)</f>
        <v/>
      </c>
      <c r="E5628" s="66" t="str">
        <f>IF('Twenty-Third'!E131="", "",'Twenty-Third'!E131)</f>
        <v/>
      </c>
      <c r="F5628" s="66" t="str">
        <f>IF('Twenty-Third'!F131="", "",'Twenty-Third'!F131)</f>
        <v/>
      </c>
      <c r="G5628" s="66" t="str">
        <f>IF('Twenty-Third'!G131="", "",'Twenty-Third'!G131)</f>
        <v/>
      </c>
      <c r="H5628" s="66" t="str">
        <f>IF('Twenty-Third'!H131="", "",'Twenty-Third'!H131)</f>
        <v/>
      </c>
      <c r="I5628" s="66" t="str">
        <f>IF('Twenty-Third'!I131="", "",'Twenty-Third'!I131)</f>
        <v/>
      </c>
      <c r="J5628" s="66" t="str">
        <f>IF('Twenty-Third'!J131="", "",'Twenty-Third'!J131)</f>
        <v/>
      </c>
      <c r="K5628" s="86" t="str">
        <f>IF('Twenty-Third'!K131="", "",'Twenty-Third'!K131)</f>
        <v/>
      </c>
      <c r="M5628" s="67" t="str">
        <f t="shared" si="266"/>
        <v/>
      </c>
      <c r="N5628" s="76" t="str">
        <f t="shared" si="267"/>
        <v/>
      </c>
      <c r="O5628" s="33">
        <f t="shared" si="268"/>
        <v>0</v>
      </c>
    </row>
    <row r="5629" spans="1:15" x14ac:dyDescent="0.25">
      <c r="A5629" s="64" t="s">
        <v>192</v>
      </c>
      <c r="B5629" s="79" t="str">
        <f>IF('Twenty-Third'!B132="", "",'Twenty-Third'!B132)</f>
        <v/>
      </c>
      <c r="C5629" s="66" t="str">
        <f>IF('Twenty-Third'!C132="", "",'Twenty-Third'!C132)</f>
        <v/>
      </c>
      <c r="D5629" s="66" t="str">
        <f>IF('Twenty-Third'!D132="", "",'Twenty-Third'!D132)</f>
        <v/>
      </c>
      <c r="E5629" s="66" t="str">
        <f>IF('Twenty-Third'!E132="", "",'Twenty-Third'!E132)</f>
        <v/>
      </c>
      <c r="F5629" s="66" t="str">
        <f>IF('Twenty-Third'!F132="", "",'Twenty-Third'!F132)</f>
        <v/>
      </c>
      <c r="G5629" s="66" t="str">
        <f>IF('Twenty-Third'!G132="", "",'Twenty-Third'!G132)</f>
        <v/>
      </c>
      <c r="H5629" s="66" t="str">
        <f>IF('Twenty-Third'!H132="", "",'Twenty-Third'!H132)</f>
        <v/>
      </c>
      <c r="I5629" s="66" t="str">
        <f>IF('Twenty-Third'!I132="", "",'Twenty-Third'!I132)</f>
        <v/>
      </c>
      <c r="J5629" s="66" t="str">
        <f>IF('Twenty-Third'!J132="", "",'Twenty-Third'!J132)</f>
        <v/>
      </c>
      <c r="K5629" s="86" t="str">
        <f>IF('Twenty-Third'!K132="", "",'Twenty-Third'!K132)</f>
        <v/>
      </c>
      <c r="M5629" s="67" t="str">
        <f t="shared" si="266"/>
        <v/>
      </c>
      <c r="N5629" s="76" t="str">
        <f t="shared" si="267"/>
        <v/>
      </c>
      <c r="O5629" s="33">
        <f t="shared" si="268"/>
        <v>0</v>
      </c>
    </row>
    <row r="5630" spans="1:15" x14ac:dyDescent="0.25">
      <c r="A5630" s="64" t="s">
        <v>192</v>
      </c>
      <c r="B5630" s="79" t="str">
        <f>IF('Twenty-Third'!B133="", "",'Twenty-Third'!B133)</f>
        <v/>
      </c>
      <c r="C5630" s="66" t="str">
        <f>IF('Twenty-Third'!C133="", "",'Twenty-Third'!C133)</f>
        <v/>
      </c>
      <c r="D5630" s="66" t="str">
        <f>IF('Twenty-Third'!D133="", "",'Twenty-Third'!D133)</f>
        <v/>
      </c>
      <c r="E5630" s="66" t="str">
        <f>IF('Twenty-Third'!E133="", "",'Twenty-Third'!E133)</f>
        <v/>
      </c>
      <c r="F5630" s="66" t="str">
        <f>IF('Twenty-Third'!F133="", "",'Twenty-Third'!F133)</f>
        <v/>
      </c>
      <c r="G5630" s="66" t="str">
        <f>IF('Twenty-Third'!G133="", "",'Twenty-Third'!G133)</f>
        <v/>
      </c>
      <c r="H5630" s="66" t="str">
        <f>IF('Twenty-Third'!H133="", "",'Twenty-Third'!H133)</f>
        <v/>
      </c>
      <c r="I5630" s="66" t="str">
        <f>IF('Twenty-Third'!I133="", "",'Twenty-Third'!I133)</f>
        <v/>
      </c>
      <c r="J5630" s="66" t="str">
        <f>IF('Twenty-Third'!J133="", "",'Twenty-Third'!J133)</f>
        <v/>
      </c>
      <c r="K5630" s="86" t="str">
        <f>IF('Twenty-Third'!K133="", "",'Twenty-Third'!K133)</f>
        <v/>
      </c>
      <c r="M5630" s="67" t="str">
        <f t="shared" si="266"/>
        <v/>
      </c>
      <c r="N5630" s="76" t="str">
        <f t="shared" si="267"/>
        <v/>
      </c>
      <c r="O5630" s="33">
        <f t="shared" si="268"/>
        <v>0</v>
      </c>
    </row>
    <row r="5631" spans="1:15" x14ac:dyDescent="0.25">
      <c r="A5631" s="64" t="s">
        <v>192</v>
      </c>
      <c r="B5631" s="79" t="str">
        <f>IF('Twenty-Third'!B134="", "",'Twenty-Third'!B134)</f>
        <v/>
      </c>
      <c r="C5631" s="66" t="str">
        <f>IF('Twenty-Third'!C134="", "",'Twenty-Third'!C134)</f>
        <v/>
      </c>
      <c r="D5631" s="66" t="str">
        <f>IF('Twenty-Third'!D134="", "",'Twenty-Third'!D134)</f>
        <v/>
      </c>
      <c r="E5631" s="66" t="str">
        <f>IF('Twenty-Third'!E134="", "",'Twenty-Third'!E134)</f>
        <v/>
      </c>
      <c r="F5631" s="66" t="str">
        <f>IF('Twenty-Third'!F134="", "",'Twenty-Third'!F134)</f>
        <v/>
      </c>
      <c r="G5631" s="66" t="str">
        <f>IF('Twenty-Third'!G134="", "",'Twenty-Third'!G134)</f>
        <v/>
      </c>
      <c r="H5631" s="66" t="str">
        <f>IF('Twenty-Third'!H134="", "",'Twenty-Third'!H134)</f>
        <v/>
      </c>
      <c r="I5631" s="66" t="str">
        <f>IF('Twenty-Third'!I134="", "",'Twenty-Third'!I134)</f>
        <v/>
      </c>
      <c r="J5631" s="66" t="str">
        <f>IF('Twenty-Third'!J134="", "",'Twenty-Third'!J134)</f>
        <v/>
      </c>
      <c r="K5631" s="86" t="str">
        <f>IF('Twenty-Third'!K134="", "",'Twenty-Third'!K134)</f>
        <v/>
      </c>
      <c r="M5631" s="67" t="str">
        <f t="shared" ref="M5631:M5694" si="269">IF(C5631="PwC",(7-COUNTIF(B5631:H5631,"")),"")</f>
        <v/>
      </c>
      <c r="N5631" s="76" t="str">
        <f t="shared" ref="N5631:N5694" si="270">IF(C5631="Carer",(7-COUNTIF(B5631:H5631,"")),"")</f>
        <v/>
      </c>
      <c r="O5631" s="33">
        <f t="shared" si="268"/>
        <v>0</v>
      </c>
    </row>
    <row r="5632" spans="1:15" x14ac:dyDescent="0.25">
      <c r="A5632" s="64" t="s">
        <v>192</v>
      </c>
      <c r="B5632" s="79" t="str">
        <f>IF('Twenty-Third'!B135="", "",'Twenty-Third'!B135)</f>
        <v/>
      </c>
      <c r="C5632" s="66" t="str">
        <f>IF('Twenty-Third'!C135="", "",'Twenty-Third'!C135)</f>
        <v/>
      </c>
      <c r="D5632" s="66" t="str">
        <f>IF('Twenty-Third'!D135="", "",'Twenty-Third'!D135)</f>
        <v/>
      </c>
      <c r="E5632" s="66" t="str">
        <f>IF('Twenty-Third'!E135="", "",'Twenty-Third'!E135)</f>
        <v/>
      </c>
      <c r="F5632" s="66" t="str">
        <f>IF('Twenty-Third'!F135="", "",'Twenty-Third'!F135)</f>
        <v/>
      </c>
      <c r="G5632" s="66" t="str">
        <f>IF('Twenty-Third'!G135="", "",'Twenty-Third'!G135)</f>
        <v/>
      </c>
      <c r="H5632" s="66" t="str">
        <f>IF('Twenty-Third'!H135="", "",'Twenty-Third'!H135)</f>
        <v/>
      </c>
      <c r="I5632" s="66" t="str">
        <f>IF('Twenty-Third'!I135="", "",'Twenty-Third'!I135)</f>
        <v/>
      </c>
      <c r="J5632" s="66" t="str">
        <f>IF('Twenty-Third'!J135="", "",'Twenty-Third'!J135)</f>
        <v/>
      </c>
      <c r="K5632" s="86" t="str">
        <f>IF('Twenty-Third'!K135="", "",'Twenty-Third'!K135)</f>
        <v/>
      </c>
      <c r="M5632" s="67" t="str">
        <f t="shared" si="269"/>
        <v/>
      </c>
      <c r="N5632" s="76" t="str">
        <f t="shared" si="270"/>
        <v/>
      </c>
      <c r="O5632" s="33">
        <f t="shared" si="268"/>
        <v>0</v>
      </c>
    </row>
    <row r="5633" spans="1:15" x14ac:dyDescent="0.25">
      <c r="A5633" s="64" t="s">
        <v>192</v>
      </c>
      <c r="B5633" s="79" t="str">
        <f>IF('Twenty-Third'!B136="", "",'Twenty-Third'!B136)</f>
        <v/>
      </c>
      <c r="C5633" s="66" t="str">
        <f>IF('Twenty-Third'!C136="", "",'Twenty-Third'!C136)</f>
        <v/>
      </c>
      <c r="D5633" s="66" t="str">
        <f>IF('Twenty-Third'!D136="", "",'Twenty-Third'!D136)</f>
        <v/>
      </c>
      <c r="E5633" s="66" t="str">
        <f>IF('Twenty-Third'!E136="", "",'Twenty-Third'!E136)</f>
        <v/>
      </c>
      <c r="F5633" s="66" t="str">
        <f>IF('Twenty-Third'!F136="", "",'Twenty-Third'!F136)</f>
        <v/>
      </c>
      <c r="G5633" s="66" t="str">
        <f>IF('Twenty-Third'!G136="", "",'Twenty-Third'!G136)</f>
        <v/>
      </c>
      <c r="H5633" s="66" t="str">
        <f>IF('Twenty-Third'!H136="", "",'Twenty-Third'!H136)</f>
        <v/>
      </c>
      <c r="I5633" s="66" t="str">
        <f>IF('Twenty-Third'!I136="", "",'Twenty-Third'!I136)</f>
        <v/>
      </c>
      <c r="J5633" s="66" t="str">
        <f>IF('Twenty-Third'!J136="", "",'Twenty-Third'!J136)</f>
        <v/>
      </c>
      <c r="K5633" s="86" t="str">
        <f>IF('Twenty-Third'!K136="", "",'Twenty-Third'!K136)</f>
        <v/>
      </c>
      <c r="M5633" s="67" t="str">
        <f t="shared" si="269"/>
        <v/>
      </c>
      <c r="N5633" s="76" t="str">
        <f t="shared" si="270"/>
        <v/>
      </c>
      <c r="O5633" s="33">
        <f t="shared" si="268"/>
        <v>0</v>
      </c>
    </row>
    <row r="5634" spans="1:15" x14ac:dyDescent="0.25">
      <c r="A5634" s="64" t="s">
        <v>192</v>
      </c>
      <c r="B5634" s="79" t="str">
        <f>IF('Twenty-Third'!B137="", "",'Twenty-Third'!B137)</f>
        <v/>
      </c>
      <c r="C5634" s="66" t="str">
        <f>IF('Twenty-Third'!C137="", "",'Twenty-Third'!C137)</f>
        <v/>
      </c>
      <c r="D5634" s="66" t="str">
        <f>IF('Twenty-Third'!D137="", "",'Twenty-Third'!D137)</f>
        <v/>
      </c>
      <c r="E5634" s="66" t="str">
        <f>IF('Twenty-Third'!E137="", "",'Twenty-Third'!E137)</f>
        <v/>
      </c>
      <c r="F5634" s="66" t="str">
        <f>IF('Twenty-Third'!F137="", "",'Twenty-Third'!F137)</f>
        <v/>
      </c>
      <c r="G5634" s="66" t="str">
        <f>IF('Twenty-Third'!G137="", "",'Twenty-Third'!G137)</f>
        <v/>
      </c>
      <c r="H5634" s="66" t="str">
        <f>IF('Twenty-Third'!H137="", "",'Twenty-Third'!H137)</f>
        <v/>
      </c>
      <c r="I5634" s="66" t="str">
        <f>IF('Twenty-Third'!I137="", "",'Twenty-Third'!I137)</f>
        <v/>
      </c>
      <c r="J5634" s="66" t="str">
        <f>IF('Twenty-Third'!J137="", "",'Twenty-Third'!J137)</f>
        <v/>
      </c>
      <c r="K5634" s="86" t="str">
        <f>IF('Twenty-Third'!K137="", "",'Twenty-Third'!K137)</f>
        <v/>
      </c>
      <c r="M5634" s="67" t="str">
        <f t="shared" si="269"/>
        <v/>
      </c>
      <c r="N5634" s="76" t="str">
        <f t="shared" si="270"/>
        <v/>
      </c>
      <c r="O5634" s="33">
        <f t="shared" si="268"/>
        <v>0</v>
      </c>
    </row>
    <row r="5635" spans="1:15" x14ac:dyDescent="0.25">
      <c r="A5635" s="64" t="s">
        <v>192</v>
      </c>
      <c r="B5635" s="79" t="str">
        <f>IF('Twenty-Third'!B138="", "",'Twenty-Third'!B138)</f>
        <v/>
      </c>
      <c r="C5635" s="66" t="str">
        <f>IF('Twenty-Third'!C138="", "",'Twenty-Third'!C138)</f>
        <v/>
      </c>
      <c r="D5635" s="66" t="str">
        <f>IF('Twenty-Third'!D138="", "",'Twenty-Third'!D138)</f>
        <v/>
      </c>
      <c r="E5635" s="66" t="str">
        <f>IF('Twenty-Third'!E138="", "",'Twenty-Third'!E138)</f>
        <v/>
      </c>
      <c r="F5635" s="66" t="str">
        <f>IF('Twenty-Third'!F138="", "",'Twenty-Third'!F138)</f>
        <v/>
      </c>
      <c r="G5635" s="66" t="str">
        <f>IF('Twenty-Third'!G138="", "",'Twenty-Third'!G138)</f>
        <v/>
      </c>
      <c r="H5635" s="66" t="str">
        <f>IF('Twenty-Third'!H138="", "",'Twenty-Third'!H138)</f>
        <v/>
      </c>
      <c r="I5635" s="66" t="str">
        <f>IF('Twenty-Third'!I138="", "",'Twenty-Third'!I138)</f>
        <v/>
      </c>
      <c r="J5635" s="66" t="str">
        <f>IF('Twenty-Third'!J138="", "",'Twenty-Third'!J138)</f>
        <v/>
      </c>
      <c r="K5635" s="86" t="str">
        <f>IF('Twenty-Third'!K138="", "",'Twenty-Third'!K138)</f>
        <v/>
      </c>
      <c r="M5635" s="67" t="str">
        <f t="shared" si="269"/>
        <v/>
      </c>
      <c r="N5635" s="76" t="str">
        <f t="shared" si="270"/>
        <v/>
      </c>
      <c r="O5635" s="33">
        <f t="shared" si="268"/>
        <v>0</v>
      </c>
    </row>
    <row r="5636" spans="1:15" x14ac:dyDescent="0.25">
      <c r="A5636" s="64" t="s">
        <v>192</v>
      </c>
      <c r="B5636" s="79" t="str">
        <f>IF('Twenty-Third'!B139="", "",'Twenty-Third'!B139)</f>
        <v/>
      </c>
      <c r="C5636" s="66" t="str">
        <f>IF('Twenty-Third'!C139="", "",'Twenty-Third'!C139)</f>
        <v/>
      </c>
      <c r="D5636" s="66" t="str">
        <f>IF('Twenty-Third'!D139="", "",'Twenty-Third'!D139)</f>
        <v/>
      </c>
      <c r="E5636" s="66" t="str">
        <f>IF('Twenty-Third'!E139="", "",'Twenty-Third'!E139)</f>
        <v/>
      </c>
      <c r="F5636" s="66" t="str">
        <f>IF('Twenty-Third'!F139="", "",'Twenty-Third'!F139)</f>
        <v/>
      </c>
      <c r="G5636" s="66" t="str">
        <f>IF('Twenty-Third'!G139="", "",'Twenty-Third'!G139)</f>
        <v/>
      </c>
      <c r="H5636" s="66" t="str">
        <f>IF('Twenty-Third'!H139="", "",'Twenty-Third'!H139)</f>
        <v/>
      </c>
      <c r="I5636" s="66" t="str">
        <f>IF('Twenty-Third'!I139="", "",'Twenty-Third'!I139)</f>
        <v/>
      </c>
      <c r="J5636" s="66" t="str">
        <f>IF('Twenty-Third'!J139="", "",'Twenty-Third'!J139)</f>
        <v/>
      </c>
      <c r="K5636" s="86" t="str">
        <f>IF('Twenty-Third'!K139="", "",'Twenty-Third'!K139)</f>
        <v/>
      </c>
      <c r="M5636" s="67" t="str">
        <f t="shared" si="269"/>
        <v/>
      </c>
      <c r="N5636" s="76" t="str">
        <f t="shared" si="270"/>
        <v/>
      </c>
      <c r="O5636" s="33">
        <f t="shared" si="268"/>
        <v>0</v>
      </c>
    </row>
    <row r="5637" spans="1:15" x14ac:dyDescent="0.25">
      <c r="A5637" s="64" t="s">
        <v>192</v>
      </c>
      <c r="B5637" s="79" t="str">
        <f>IF('Twenty-Third'!B140="", "",'Twenty-Third'!B140)</f>
        <v/>
      </c>
      <c r="C5637" s="66" t="str">
        <f>IF('Twenty-Third'!C140="", "",'Twenty-Third'!C140)</f>
        <v/>
      </c>
      <c r="D5637" s="66" t="str">
        <f>IF('Twenty-Third'!D140="", "",'Twenty-Third'!D140)</f>
        <v/>
      </c>
      <c r="E5637" s="66" t="str">
        <f>IF('Twenty-Third'!E140="", "",'Twenty-Third'!E140)</f>
        <v/>
      </c>
      <c r="F5637" s="66" t="str">
        <f>IF('Twenty-Third'!F140="", "",'Twenty-Third'!F140)</f>
        <v/>
      </c>
      <c r="G5637" s="66" t="str">
        <f>IF('Twenty-Third'!G140="", "",'Twenty-Third'!G140)</f>
        <v/>
      </c>
      <c r="H5637" s="66" t="str">
        <f>IF('Twenty-Third'!H140="", "",'Twenty-Third'!H140)</f>
        <v/>
      </c>
      <c r="I5637" s="66" t="str">
        <f>IF('Twenty-Third'!I140="", "",'Twenty-Third'!I140)</f>
        <v/>
      </c>
      <c r="J5637" s="66" t="str">
        <f>IF('Twenty-Third'!J140="", "",'Twenty-Third'!J140)</f>
        <v/>
      </c>
      <c r="K5637" s="86" t="str">
        <f>IF('Twenty-Third'!K140="", "",'Twenty-Third'!K140)</f>
        <v/>
      </c>
      <c r="M5637" s="67" t="str">
        <f t="shared" si="269"/>
        <v/>
      </c>
      <c r="N5637" s="76" t="str">
        <f t="shared" si="270"/>
        <v/>
      </c>
      <c r="O5637" s="33">
        <f t="shared" si="268"/>
        <v>0</v>
      </c>
    </row>
    <row r="5638" spans="1:15" x14ac:dyDescent="0.25">
      <c r="A5638" s="64" t="s">
        <v>192</v>
      </c>
      <c r="B5638" s="79" t="str">
        <f>IF('Twenty-Third'!B141="", "",'Twenty-Third'!B141)</f>
        <v/>
      </c>
      <c r="C5638" s="66" t="str">
        <f>IF('Twenty-Third'!C141="", "",'Twenty-Third'!C141)</f>
        <v/>
      </c>
      <c r="D5638" s="66" t="str">
        <f>IF('Twenty-Third'!D141="", "",'Twenty-Third'!D141)</f>
        <v/>
      </c>
      <c r="E5638" s="66" t="str">
        <f>IF('Twenty-Third'!E141="", "",'Twenty-Third'!E141)</f>
        <v/>
      </c>
      <c r="F5638" s="66" t="str">
        <f>IF('Twenty-Third'!F141="", "",'Twenty-Third'!F141)</f>
        <v/>
      </c>
      <c r="G5638" s="66" t="str">
        <f>IF('Twenty-Third'!G141="", "",'Twenty-Third'!G141)</f>
        <v/>
      </c>
      <c r="H5638" s="66" t="str">
        <f>IF('Twenty-Third'!H141="", "",'Twenty-Third'!H141)</f>
        <v/>
      </c>
      <c r="I5638" s="66" t="str">
        <f>IF('Twenty-Third'!I141="", "",'Twenty-Third'!I141)</f>
        <v/>
      </c>
      <c r="J5638" s="66" t="str">
        <f>IF('Twenty-Third'!J141="", "",'Twenty-Third'!J141)</f>
        <v/>
      </c>
      <c r="K5638" s="86" t="str">
        <f>IF('Twenty-Third'!K141="", "",'Twenty-Third'!K141)</f>
        <v/>
      </c>
      <c r="M5638" s="67" t="str">
        <f t="shared" si="269"/>
        <v/>
      </c>
      <c r="N5638" s="76" t="str">
        <f t="shared" si="270"/>
        <v/>
      </c>
      <c r="O5638" s="33">
        <f t="shared" si="268"/>
        <v>0</v>
      </c>
    </row>
    <row r="5639" spans="1:15" x14ac:dyDescent="0.25">
      <c r="A5639" s="64" t="s">
        <v>192</v>
      </c>
      <c r="B5639" s="79" t="str">
        <f>IF('Twenty-Third'!B142="", "",'Twenty-Third'!B142)</f>
        <v/>
      </c>
      <c r="C5639" s="66" t="str">
        <f>IF('Twenty-Third'!C142="", "",'Twenty-Third'!C142)</f>
        <v/>
      </c>
      <c r="D5639" s="66" t="str">
        <f>IF('Twenty-Third'!D142="", "",'Twenty-Third'!D142)</f>
        <v/>
      </c>
      <c r="E5639" s="66" t="str">
        <f>IF('Twenty-Third'!E142="", "",'Twenty-Third'!E142)</f>
        <v/>
      </c>
      <c r="F5639" s="66" t="str">
        <f>IF('Twenty-Third'!F142="", "",'Twenty-Third'!F142)</f>
        <v/>
      </c>
      <c r="G5639" s="66" t="str">
        <f>IF('Twenty-Third'!G142="", "",'Twenty-Third'!G142)</f>
        <v/>
      </c>
      <c r="H5639" s="66" t="str">
        <f>IF('Twenty-Third'!H142="", "",'Twenty-Third'!H142)</f>
        <v/>
      </c>
      <c r="I5639" s="66" t="str">
        <f>IF('Twenty-Third'!I142="", "",'Twenty-Third'!I142)</f>
        <v/>
      </c>
      <c r="J5639" s="66" t="str">
        <f>IF('Twenty-Third'!J142="", "",'Twenty-Third'!J142)</f>
        <v/>
      </c>
      <c r="K5639" s="86" t="str">
        <f>IF('Twenty-Third'!K142="", "",'Twenty-Third'!K142)</f>
        <v/>
      </c>
      <c r="M5639" s="67" t="str">
        <f t="shared" si="269"/>
        <v/>
      </c>
      <c r="N5639" s="76" t="str">
        <f t="shared" si="270"/>
        <v/>
      </c>
      <c r="O5639" s="33">
        <f t="shared" si="268"/>
        <v>0</v>
      </c>
    </row>
    <row r="5640" spans="1:15" x14ac:dyDescent="0.25">
      <c r="A5640" s="64" t="s">
        <v>192</v>
      </c>
      <c r="B5640" s="79" t="str">
        <f>IF('Twenty-Third'!B143="", "",'Twenty-Third'!B143)</f>
        <v/>
      </c>
      <c r="C5640" s="66" t="str">
        <f>IF('Twenty-Third'!C143="", "",'Twenty-Third'!C143)</f>
        <v/>
      </c>
      <c r="D5640" s="66" t="str">
        <f>IF('Twenty-Third'!D143="", "",'Twenty-Third'!D143)</f>
        <v/>
      </c>
      <c r="E5640" s="66" t="str">
        <f>IF('Twenty-Third'!E143="", "",'Twenty-Third'!E143)</f>
        <v/>
      </c>
      <c r="F5640" s="66" t="str">
        <f>IF('Twenty-Third'!F143="", "",'Twenty-Third'!F143)</f>
        <v/>
      </c>
      <c r="G5640" s="66" t="str">
        <f>IF('Twenty-Third'!G143="", "",'Twenty-Third'!G143)</f>
        <v/>
      </c>
      <c r="H5640" s="66" t="str">
        <f>IF('Twenty-Third'!H143="", "",'Twenty-Third'!H143)</f>
        <v/>
      </c>
      <c r="I5640" s="66" t="str">
        <f>IF('Twenty-Third'!I143="", "",'Twenty-Third'!I143)</f>
        <v/>
      </c>
      <c r="J5640" s="66" t="str">
        <f>IF('Twenty-Third'!J143="", "",'Twenty-Third'!J143)</f>
        <v/>
      </c>
      <c r="K5640" s="86" t="str">
        <f>IF('Twenty-Third'!K143="", "",'Twenty-Third'!K143)</f>
        <v/>
      </c>
      <c r="M5640" s="67" t="str">
        <f t="shared" si="269"/>
        <v/>
      </c>
      <c r="N5640" s="76" t="str">
        <f t="shared" si="270"/>
        <v/>
      </c>
      <c r="O5640" s="33">
        <f t="shared" si="268"/>
        <v>0</v>
      </c>
    </row>
    <row r="5641" spans="1:15" x14ac:dyDescent="0.25">
      <c r="A5641" s="64" t="s">
        <v>192</v>
      </c>
      <c r="B5641" s="79" t="str">
        <f>IF('Twenty-Third'!B144="", "",'Twenty-Third'!B144)</f>
        <v/>
      </c>
      <c r="C5641" s="66" t="str">
        <f>IF('Twenty-Third'!C144="", "",'Twenty-Third'!C144)</f>
        <v/>
      </c>
      <c r="D5641" s="66" t="str">
        <f>IF('Twenty-Third'!D144="", "",'Twenty-Third'!D144)</f>
        <v/>
      </c>
      <c r="E5641" s="66" t="str">
        <f>IF('Twenty-Third'!E144="", "",'Twenty-Third'!E144)</f>
        <v/>
      </c>
      <c r="F5641" s="66" t="str">
        <f>IF('Twenty-Third'!F144="", "",'Twenty-Third'!F144)</f>
        <v/>
      </c>
      <c r="G5641" s="66" t="str">
        <f>IF('Twenty-Third'!G144="", "",'Twenty-Third'!G144)</f>
        <v/>
      </c>
      <c r="H5641" s="66" t="str">
        <f>IF('Twenty-Third'!H144="", "",'Twenty-Third'!H144)</f>
        <v/>
      </c>
      <c r="I5641" s="66" t="str">
        <f>IF('Twenty-Third'!I144="", "",'Twenty-Third'!I144)</f>
        <v/>
      </c>
      <c r="J5641" s="66" t="str">
        <f>IF('Twenty-Third'!J144="", "",'Twenty-Third'!J144)</f>
        <v/>
      </c>
      <c r="K5641" s="86" t="str">
        <f>IF('Twenty-Third'!K144="", "",'Twenty-Third'!K144)</f>
        <v/>
      </c>
      <c r="M5641" s="67" t="str">
        <f t="shared" si="269"/>
        <v/>
      </c>
      <c r="N5641" s="76" t="str">
        <f t="shared" si="270"/>
        <v/>
      </c>
      <c r="O5641" s="33">
        <f t="shared" si="268"/>
        <v>0</v>
      </c>
    </row>
    <row r="5642" spans="1:15" x14ac:dyDescent="0.25">
      <c r="A5642" s="64" t="s">
        <v>192</v>
      </c>
      <c r="B5642" s="79" t="str">
        <f>IF('Twenty-Third'!B145="", "",'Twenty-Third'!B145)</f>
        <v/>
      </c>
      <c r="C5642" s="66" t="str">
        <f>IF('Twenty-Third'!C145="", "",'Twenty-Third'!C145)</f>
        <v/>
      </c>
      <c r="D5642" s="66" t="str">
        <f>IF('Twenty-Third'!D145="", "",'Twenty-Third'!D145)</f>
        <v/>
      </c>
      <c r="E5642" s="66" t="str">
        <f>IF('Twenty-Third'!E145="", "",'Twenty-Third'!E145)</f>
        <v/>
      </c>
      <c r="F5642" s="66" t="str">
        <f>IF('Twenty-Third'!F145="", "",'Twenty-Third'!F145)</f>
        <v/>
      </c>
      <c r="G5642" s="66" t="str">
        <f>IF('Twenty-Third'!G145="", "",'Twenty-Third'!G145)</f>
        <v/>
      </c>
      <c r="H5642" s="66" t="str">
        <f>IF('Twenty-Third'!H145="", "",'Twenty-Third'!H145)</f>
        <v/>
      </c>
      <c r="I5642" s="66" t="str">
        <f>IF('Twenty-Third'!I145="", "",'Twenty-Third'!I145)</f>
        <v/>
      </c>
      <c r="J5642" s="66" t="str">
        <f>IF('Twenty-Third'!J145="", "",'Twenty-Third'!J145)</f>
        <v/>
      </c>
      <c r="K5642" s="86" t="str">
        <f>IF('Twenty-Third'!K145="", "",'Twenty-Third'!K145)</f>
        <v/>
      </c>
      <c r="M5642" s="67" t="str">
        <f t="shared" si="269"/>
        <v/>
      </c>
      <c r="N5642" s="76" t="str">
        <f t="shared" si="270"/>
        <v/>
      </c>
      <c r="O5642" s="33">
        <f t="shared" ref="O5642:O5705" si="271">SUM(M5642:N5642)</f>
        <v>0</v>
      </c>
    </row>
    <row r="5643" spans="1:15" x14ac:dyDescent="0.25">
      <c r="A5643" s="64" t="s">
        <v>192</v>
      </c>
      <c r="B5643" s="79" t="str">
        <f>IF('Twenty-Third'!B146="", "",'Twenty-Third'!B146)</f>
        <v/>
      </c>
      <c r="C5643" s="66" t="str">
        <f>IF('Twenty-Third'!C146="", "",'Twenty-Third'!C146)</f>
        <v/>
      </c>
      <c r="D5643" s="66" t="str">
        <f>IF('Twenty-Third'!D146="", "",'Twenty-Third'!D146)</f>
        <v/>
      </c>
      <c r="E5643" s="66" t="str">
        <f>IF('Twenty-Third'!E146="", "",'Twenty-Third'!E146)</f>
        <v/>
      </c>
      <c r="F5643" s="66" t="str">
        <f>IF('Twenty-Third'!F146="", "",'Twenty-Third'!F146)</f>
        <v/>
      </c>
      <c r="G5643" s="66" t="str">
        <f>IF('Twenty-Third'!G146="", "",'Twenty-Third'!G146)</f>
        <v/>
      </c>
      <c r="H5643" s="66" t="str">
        <f>IF('Twenty-Third'!H146="", "",'Twenty-Third'!H146)</f>
        <v/>
      </c>
      <c r="I5643" s="66" t="str">
        <f>IF('Twenty-Third'!I146="", "",'Twenty-Third'!I146)</f>
        <v/>
      </c>
      <c r="J5643" s="66" t="str">
        <f>IF('Twenty-Third'!J146="", "",'Twenty-Third'!J146)</f>
        <v/>
      </c>
      <c r="K5643" s="86" t="str">
        <f>IF('Twenty-Third'!K146="", "",'Twenty-Third'!K146)</f>
        <v/>
      </c>
      <c r="M5643" s="67" t="str">
        <f t="shared" si="269"/>
        <v/>
      </c>
      <c r="N5643" s="76" t="str">
        <f t="shared" si="270"/>
        <v/>
      </c>
      <c r="O5643" s="33">
        <f t="shared" si="271"/>
        <v>0</v>
      </c>
    </row>
    <row r="5644" spans="1:15" x14ac:dyDescent="0.25">
      <c r="A5644" s="64" t="s">
        <v>192</v>
      </c>
      <c r="B5644" s="79" t="str">
        <f>IF('Twenty-Third'!B147="", "",'Twenty-Third'!B147)</f>
        <v/>
      </c>
      <c r="C5644" s="66" t="str">
        <f>IF('Twenty-Third'!C147="", "",'Twenty-Third'!C147)</f>
        <v/>
      </c>
      <c r="D5644" s="66" t="str">
        <f>IF('Twenty-Third'!D147="", "",'Twenty-Third'!D147)</f>
        <v/>
      </c>
      <c r="E5644" s="66" t="str">
        <f>IF('Twenty-Third'!E147="", "",'Twenty-Third'!E147)</f>
        <v/>
      </c>
      <c r="F5644" s="66" t="str">
        <f>IF('Twenty-Third'!F147="", "",'Twenty-Third'!F147)</f>
        <v/>
      </c>
      <c r="G5644" s="66" t="str">
        <f>IF('Twenty-Third'!G147="", "",'Twenty-Third'!G147)</f>
        <v/>
      </c>
      <c r="H5644" s="66" t="str">
        <f>IF('Twenty-Third'!H147="", "",'Twenty-Third'!H147)</f>
        <v/>
      </c>
      <c r="I5644" s="66" t="str">
        <f>IF('Twenty-Third'!I147="", "",'Twenty-Third'!I147)</f>
        <v/>
      </c>
      <c r="J5644" s="66" t="str">
        <f>IF('Twenty-Third'!J147="", "",'Twenty-Third'!J147)</f>
        <v/>
      </c>
      <c r="K5644" s="86" t="str">
        <f>IF('Twenty-Third'!K147="", "",'Twenty-Third'!K147)</f>
        <v/>
      </c>
      <c r="M5644" s="67" t="str">
        <f t="shared" si="269"/>
        <v/>
      </c>
      <c r="N5644" s="76" t="str">
        <f t="shared" si="270"/>
        <v/>
      </c>
      <c r="O5644" s="33">
        <f t="shared" si="271"/>
        <v>0</v>
      </c>
    </row>
    <row r="5645" spans="1:15" x14ac:dyDescent="0.25">
      <c r="A5645" s="64" t="s">
        <v>192</v>
      </c>
      <c r="B5645" s="79" t="str">
        <f>IF('Twenty-Third'!B148="", "",'Twenty-Third'!B148)</f>
        <v/>
      </c>
      <c r="C5645" s="66" t="str">
        <f>IF('Twenty-Third'!C148="", "",'Twenty-Third'!C148)</f>
        <v/>
      </c>
      <c r="D5645" s="66" t="str">
        <f>IF('Twenty-Third'!D148="", "",'Twenty-Third'!D148)</f>
        <v/>
      </c>
      <c r="E5645" s="66" t="str">
        <f>IF('Twenty-Third'!E148="", "",'Twenty-Third'!E148)</f>
        <v/>
      </c>
      <c r="F5645" s="66" t="str">
        <f>IF('Twenty-Third'!F148="", "",'Twenty-Third'!F148)</f>
        <v/>
      </c>
      <c r="G5645" s="66" t="str">
        <f>IF('Twenty-Third'!G148="", "",'Twenty-Third'!G148)</f>
        <v/>
      </c>
      <c r="H5645" s="66" t="str">
        <f>IF('Twenty-Third'!H148="", "",'Twenty-Third'!H148)</f>
        <v/>
      </c>
      <c r="I5645" s="66" t="str">
        <f>IF('Twenty-Third'!I148="", "",'Twenty-Third'!I148)</f>
        <v/>
      </c>
      <c r="J5645" s="66" t="str">
        <f>IF('Twenty-Third'!J148="", "",'Twenty-Third'!J148)</f>
        <v/>
      </c>
      <c r="K5645" s="86" t="str">
        <f>IF('Twenty-Third'!K148="", "",'Twenty-Third'!K148)</f>
        <v/>
      </c>
      <c r="M5645" s="67" t="str">
        <f t="shared" si="269"/>
        <v/>
      </c>
      <c r="N5645" s="76" t="str">
        <f t="shared" si="270"/>
        <v/>
      </c>
      <c r="O5645" s="33">
        <f t="shared" si="271"/>
        <v>0</v>
      </c>
    </row>
    <row r="5646" spans="1:15" x14ac:dyDescent="0.25">
      <c r="A5646" s="64" t="s">
        <v>192</v>
      </c>
      <c r="B5646" s="79" t="str">
        <f>IF('Twenty-Third'!B149="", "",'Twenty-Third'!B149)</f>
        <v/>
      </c>
      <c r="C5646" s="66" t="str">
        <f>IF('Twenty-Third'!C149="", "",'Twenty-Third'!C149)</f>
        <v/>
      </c>
      <c r="D5646" s="66" t="str">
        <f>IF('Twenty-Third'!D149="", "",'Twenty-Third'!D149)</f>
        <v/>
      </c>
      <c r="E5646" s="66" t="str">
        <f>IF('Twenty-Third'!E149="", "",'Twenty-Third'!E149)</f>
        <v/>
      </c>
      <c r="F5646" s="66" t="str">
        <f>IF('Twenty-Third'!F149="", "",'Twenty-Third'!F149)</f>
        <v/>
      </c>
      <c r="G5646" s="66" t="str">
        <f>IF('Twenty-Third'!G149="", "",'Twenty-Third'!G149)</f>
        <v/>
      </c>
      <c r="H5646" s="66" t="str">
        <f>IF('Twenty-Third'!H149="", "",'Twenty-Third'!H149)</f>
        <v/>
      </c>
      <c r="I5646" s="66" t="str">
        <f>IF('Twenty-Third'!I149="", "",'Twenty-Third'!I149)</f>
        <v/>
      </c>
      <c r="J5646" s="66" t="str">
        <f>IF('Twenty-Third'!J149="", "",'Twenty-Third'!J149)</f>
        <v/>
      </c>
      <c r="K5646" s="86" t="str">
        <f>IF('Twenty-Third'!K149="", "",'Twenty-Third'!K149)</f>
        <v/>
      </c>
      <c r="M5646" s="67" t="str">
        <f t="shared" si="269"/>
        <v/>
      </c>
      <c r="N5646" s="76" t="str">
        <f t="shared" si="270"/>
        <v/>
      </c>
      <c r="O5646" s="33">
        <f t="shared" si="271"/>
        <v>0</v>
      </c>
    </row>
    <row r="5647" spans="1:15" x14ac:dyDescent="0.25">
      <c r="A5647" s="64" t="s">
        <v>192</v>
      </c>
      <c r="B5647" s="79" t="str">
        <f>IF('Twenty-Third'!B150="", "",'Twenty-Third'!B150)</f>
        <v/>
      </c>
      <c r="C5647" s="66" t="str">
        <f>IF('Twenty-Third'!C150="", "",'Twenty-Third'!C150)</f>
        <v/>
      </c>
      <c r="D5647" s="66" t="str">
        <f>IF('Twenty-Third'!D150="", "",'Twenty-Third'!D150)</f>
        <v/>
      </c>
      <c r="E5647" s="66" t="str">
        <f>IF('Twenty-Third'!E150="", "",'Twenty-Third'!E150)</f>
        <v/>
      </c>
      <c r="F5647" s="66" t="str">
        <f>IF('Twenty-Third'!F150="", "",'Twenty-Third'!F150)</f>
        <v/>
      </c>
      <c r="G5647" s="66" t="str">
        <f>IF('Twenty-Third'!G150="", "",'Twenty-Third'!G150)</f>
        <v/>
      </c>
      <c r="H5647" s="66" t="str">
        <f>IF('Twenty-Third'!H150="", "",'Twenty-Third'!H150)</f>
        <v/>
      </c>
      <c r="I5647" s="66" t="str">
        <f>IF('Twenty-Third'!I150="", "",'Twenty-Third'!I150)</f>
        <v/>
      </c>
      <c r="J5647" s="66" t="str">
        <f>IF('Twenty-Third'!J150="", "",'Twenty-Third'!J150)</f>
        <v/>
      </c>
      <c r="K5647" s="86" t="str">
        <f>IF('Twenty-Third'!K150="", "",'Twenty-Third'!K150)</f>
        <v/>
      </c>
      <c r="M5647" s="67" t="str">
        <f t="shared" si="269"/>
        <v/>
      </c>
      <c r="N5647" s="76" t="str">
        <f t="shared" si="270"/>
        <v/>
      </c>
      <c r="O5647" s="33">
        <f t="shared" si="271"/>
        <v>0</v>
      </c>
    </row>
    <row r="5648" spans="1:15" x14ac:dyDescent="0.25">
      <c r="A5648" s="64" t="s">
        <v>192</v>
      </c>
      <c r="B5648" s="79" t="str">
        <f>IF('Twenty-Third'!B151="", "",'Twenty-Third'!B151)</f>
        <v/>
      </c>
      <c r="C5648" s="66" t="str">
        <f>IF('Twenty-Third'!C151="", "",'Twenty-Third'!C151)</f>
        <v/>
      </c>
      <c r="D5648" s="66" t="str">
        <f>IF('Twenty-Third'!D151="", "",'Twenty-Third'!D151)</f>
        <v/>
      </c>
      <c r="E5648" s="66" t="str">
        <f>IF('Twenty-Third'!E151="", "",'Twenty-Third'!E151)</f>
        <v/>
      </c>
      <c r="F5648" s="66" t="str">
        <f>IF('Twenty-Third'!F151="", "",'Twenty-Third'!F151)</f>
        <v/>
      </c>
      <c r="G5648" s="66" t="str">
        <f>IF('Twenty-Third'!G151="", "",'Twenty-Third'!G151)</f>
        <v/>
      </c>
      <c r="H5648" s="66" t="str">
        <f>IF('Twenty-Third'!H151="", "",'Twenty-Third'!H151)</f>
        <v/>
      </c>
      <c r="I5648" s="66" t="str">
        <f>IF('Twenty-Third'!I151="", "",'Twenty-Third'!I151)</f>
        <v/>
      </c>
      <c r="J5648" s="66" t="str">
        <f>IF('Twenty-Third'!J151="", "",'Twenty-Third'!J151)</f>
        <v/>
      </c>
      <c r="K5648" s="86" t="str">
        <f>IF('Twenty-Third'!K151="", "",'Twenty-Third'!K151)</f>
        <v/>
      </c>
      <c r="M5648" s="67" t="str">
        <f t="shared" si="269"/>
        <v/>
      </c>
      <c r="N5648" s="76" t="str">
        <f t="shared" si="270"/>
        <v/>
      </c>
      <c r="O5648" s="33">
        <f t="shared" si="271"/>
        <v>0</v>
      </c>
    </row>
    <row r="5649" spans="1:15" x14ac:dyDescent="0.25">
      <c r="A5649" s="64" t="s">
        <v>192</v>
      </c>
      <c r="B5649" s="79" t="str">
        <f>IF('Twenty-Third'!B152="", "",'Twenty-Third'!B152)</f>
        <v/>
      </c>
      <c r="C5649" s="66" t="str">
        <f>IF('Twenty-Third'!C152="", "",'Twenty-Third'!C152)</f>
        <v/>
      </c>
      <c r="D5649" s="66" t="str">
        <f>IF('Twenty-Third'!D152="", "",'Twenty-Third'!D152)</f>
        <v/>
      </c>
      <c r="E5649" s="66" t="str">
        <f>IF('Twenty-Third'!E152="", "",'Twenty-Third'!E152)</f>
        <v/>
      </c>
      <c r="F5649" s="66" t="str">
        <f>IF('Twenty-Third'!F152="", "",'Twenty-Third'!F152)</f>
        <v/>
      </c>
      <c r="G5649" s="66" t="str">
        <f>IF('Twenty-Third'!G152="", "",'Twenty-Third'!G152)</f>
        <v/>
      </c>
      <c r="H5649" s="66" t="str">
        <f>IF('Twenty-Third'!H152="", "",'Twenty-Third'!H152)</f>
        <v/>
      </c>
      <c r="I5649" s="66" t="str">
        <f>IF('Twenty-Third'!I152="", "",'Twenty-Third'!I152)</f>
        <v/>
      </c>
      <c r="J5649" s="66" t="str">
        <f>IF('Twenty-Third'!J152="", "",'Twenty-Third'!J152)</f>
        <v/>
      </c>
      <c r="K5649" s="86" t="str">
        <f>IF('Twenty-Third'!K152="", "",'Twenty-Third'!K152)</f>
        <v/>
      </c>
      <c r="M5649" s="67" t="str">
        <f t="shared" si="269"/>
        <v/>
      </c>
      <c r="N5649" s="76" t="str">
        <f t="shared" si="270"/>
        <v/>
      </c>
      <c r="O5649" s="33">
        <f t="shared" si="271"/>
        <v>0</v>
      </c>
    </row>
    <row r="5650" spans="1:15" x14ac:dyDescent="0.25">
      <c r="A5650" s="64" t="s">
        <v>192</v>
      </c>
      <c r="B5650" s="79" t="str">
        <f>IF('Twenty-Third'!B153="", "",'Twenty-Third'!B153)</f>
        <v/>
      </c>
      <c r="C5650" s="66" t="str">
        <f>IF('Twenty-Third'!C153="", "",'Twenty-Third'!C153)</f>
        <v/>
      </c>
      <c r="D5650" s="66" t="str">
        <f>IF('Twenty-Third'!D153="", "",'Twenty-Third'!D153)</f>
        <v/>
      </c>
      <c r="E5650" s="66" t="str">
        <f>IF('Twenty-Third'!E153="", "",'Twenty-Third'!E153)</f>
        <v/>
      </c>
      <c r="F5650" s="66" t="str">
        <f>IF('Twenty-Third'!F153="", "",'Twenty-Third'!F153)</f>
        <v/>
      </c>
      <c r="G5650" s="66" t="str">
        <f>IF('Twenty-Third'!G153="", "",'Twenty-Third'!G153)</f>
        <v/>
      </c>
      <c r="H5650" s="66" t="str">
        <f>IF('Twenty-Third'!H153="", "",'Twenty-Third'!H153)</f>
        <v/>
      </c>
      <c r="I5650" s="66" t="str">
        <f>IF('Twenty-Third'!I153="", "",'Twenty-Third'!I153)</f>
        <v/>
      </c>
      <c r="J5650" s="66" t="str">
        <f>IF('Twenty-Third'!J153="", "",'Twenty-Third'!J153)</f>
        <v/>
      </c>
      <c r="K5650" s="86" t="str">
        <f>IF('Twenty-Third'!K153="", "",'Twenty-Third'!K153)</f>
        <v/>
      </c>
      <c r="M5650" s="67" t="str">
        <f t="shared" si="269"/>
        <v/>
      </c>
      <c r="N5650" s="76" t="str">
        <f t="shared" si="270"/>
        <v/>
      </c>
      <c r="O5650" s="33">
        <f t="shared" si="271"/>
        <v>0</v>
      </c>
    </row>
    <row r="5651" spans="1:15" x14ac:dyDescent="0.25">
      <c r="A5651" s="64" t="s">
        <v>192</v>
      </c>
      <c r="B5651" s="79" t="str">
        <f>IF('Twenty-Third'!B154="", "",'Twenty-Third'!B154)</f>
        <v/>
      </c>
      <c r="C5651" s="66" t="str">
        <f>IF('Twenty-Third'!C154="", "",'Twenty-Third'!C154)</f>
        <v/>
      </c>
      <c r="D5651" s="66" t="str">
        <f>IF('Twenty-Third'!D154="", "",'Twenty-Third'!D154)</f>
        <v/>
      </c>
      <c r="E5651" s="66" t="str">
        <f>IF('Twenty-Third'!E154="", "",'Twenty-Third'!E154)</f>
        <v/>
      </c>
      <c r="F5651" s="66" t="str">
        <f>IF('Twenty-Third'!F154="", "",'Twenty-Third'!F154)</f>
        <v/>
      </c>
      <c r="G5651" s="66" t="str">
        <f>IF('Twenty-Third'!G154="", "",'Twenty-Third'!G154)</f>
        <v/>
      </c>
      <c r="H5651" s="66" t="str">
        <f>IF('Twenty-Third'!H154="", "",'Twenty-Third'!H154)</f>
        <v/>
      </c>
      <c r="I5651" s="66" t="str">
        <f>IF('Twenty-Third'!I154="", "",'Twenty-Third'!I154)</f>
        <v/>
      </c>
      <c r="J5651" s="66" t="str">
        <f>IF('Twenty-Third'!J154="", "",'Twenty-Third'!J154)</f>
        <v/>
      </c>
      <c r="K5651" s="86" t="str">
        <f>IF('Twenty-Third'!K154="", "",'Twenty-Third'!K154)</f>
        <v/>
      </c>
      <c r="M5651" s="67" t="str">
        <f t="shared" si="269"/>
        <v/>
      </c>
      <c r="N5651" s="76" t="str">
        <f t="shared" si="270"/>
        <v/>
      </c>
      <c r="O5651" s="33">
        <f t="shared" si="271"/>
        <v>0</v>
      </c>
    </row>
    <row r="5652" spans="1:15" x14ac:dyDescent="0.25">
      <c r="A5652" s="64" t="s">
        <v>192</v>
      </c>
      <c r="B5652" s="79" t="str">
        <f>IF('Twenty-Third'!B155="", "",'Twenty-Third'!B155)</f>
        <v/>
      </c>
      <c r="C5652" s="66" t="str">
        <f>IF('Twenty-Third'!C155="", "",'Twenty-Third'!C155)</f>
        <v/>
      </c>
      <c r="D5652" s="66" t="str">
        <f>IF('Twenty-Third'!D155="", "",'Twenty-Third'!D155)</f>
        <v/>
      </c>
      <c r="E5652" s="66" t="str">
        <f>IF('Twenty-Third'!E155="", "",'Twenty-Third'!E155)</f>
        <v/>
      </c>
      <c r="F5652" s="66" t="str">
        <f>IF('Twenty-Third'!F155="", "",'Twenty-Third'!F155)</f>
        <v/>
      </c>
      <c r="G5652" s="66" t="str">
        <f>IF('Twenty-Third'!G155="", "",'Twenty-Third'!G155)</f>
        <v/>
      </c>
      <c r="H5652" s="66" t="str">
        <f>IF('Twenty-Third'!H155="", "",'Twenty-Third'!H155)</f>
        <v/>
      </c>
      <c r="I5652" s="66" t="str">
        <f>IF('Twenty-Third'!I155="", "",'Twenty-Third'!I155)</f>
        <v/>
      </c>
      <c r="J5652" s="66" t="str">
        <f>IF('Twenty-Third'!J155="", "",'Twenty-Third'!J155)</f>
        <v/>
      </c>
      <c r="K5652" s="86" t="str">
        <f>IF('Twenty-Third'!K155="", "",'Twenty-Third'!K155)</f>
        <v/>
      </c>
      <c r="M5652" s="67" t="str">
        <f t="shared" si="269"/>
        <v/>
      </c>
      <c r="N5652" s="76" t="str">
        <f t="shared" si="270"/>
        <v/>
      </c>
      <c r="O5652" s="33">
        <f t="shared" si="271"/>
        <v>0</v>
      </c>
    </row>
    <row r="5653" spans="1:15" x14ac:dyDescent="0.25">
      <c r="A5653" s="64" t="s">
        <v>192</v>
      </c>
      <c r="B5653" s="79" t="str">
        <f>IF('Twenty-Third'!B156="", "",'Twenty-Third'!B156)</f>
        <v/>
      </c>
      <c r="C5653" s="66" t="str">
        <f>IF('Twenty-Third'!C156="", "",'Twenty-Third'!C156)</f>
        <v/>
      </c>
      <c r="D5653" s="66" t="str">
        <f>IF('Twenty-Third'!D156="", "",'Twenty-Third'!D156)</f>
        <v/>
      </c>
      <c r="E5653" s="66" t="str">
        <f>IF('Twenty-Third'!E156="", "",'Twenty-Third'!E156)</f>
        <v/>
      </c>
      <c r="F5653" s="66" t="str">
        <f>IF('Twenty-Third'!F156="", "",'Twenty-Third'!F156)</f>
        <v/>
      </c>
      <c r="G5653" s="66" t="str">
        <f>IF('Twenty-Third'!G156="", "",'Twenty-Third'!G156)</f>
        <v/>
      </c>
      <c r="H5653" s="66" t="str">
        <f>IF('Twenty-Third'!H156="", "",'Twenty-Third'!H156)</f>
        <v/>
      </c>
      <c r="I5653" s="66" t="str">
        <f>IF('Twenty-Third'!I156="", "",'Twenty-Third'!I156)</f>
        <v/>
      </c>
      <c r="J5653" s="66" t="str">
        <f>IF('Twenty-Third'!J156="", "",'Twenty-Third'!J156)</f>
        <v/>
      </c>
      <c r="K5653" s="86" t="str">
        <f>IF('Twenty-Third'!K156="", "",'Twenty-Third'!K156)</f>
        <v/>
      </c>
      <c r="M5653" s="67" t="str">
        <f t="shared" si="269"/>
        <v/>
      </c>
      <c r="N5653" s="76" t="str">
        <f t="shared" si="270"/>
        <v/>
      </c>
      <c r="O5653" s="33">
        <f t="shared" si="271"/>
        <v>0</v>
      </c>
    </row>
    <row r="5654" spans="1:15" x14ac:dyDescent="0.25">
      <c r="A5654" s="64" t="s">
        <v>192</v>
      </c>
      <c r="B5654" s="79" t="str">
        <f>IF('Twenty-Third'!B157="", "",'Twenty-Third'!B157)</f>
        <v/>
      </c>
      <c r="C5654" s="66" t="str">
        <f>IF('Twenty-Third'!C157="", "",'Twenty-Third'!C157)</f>
        <v/>
      </c>
      <c r="D5654" s="66" t="str">
        <f>IF('Twenty-Third'!D157="", "",'Twenty-Third'!D157)</f>
        <v/>
      </c>
      <c r="E5654" s="66" t="str">
        <f>IF('Twenty-Third'!E157="", "",'Twenty-Third'!E157)</f>
        <v/>
      </c>
      <c r="F5654" s="66" t="str">
        <f>IF('Twenty-Third'!F157="", "",'Twenty-Third'!F157)</f>
        <v/>
      </c>
      <c r="G5654" s="66" t="str">
        <f>IF('Twenty-Third'!G157="", "",'Twenty-Third'!G157)</f>
        <v/>
      </c>
      <c r="H5654" s="66" t="str">
        <f>IF('Twenty-Third'!H157="", "",'Twenty-Third'!H157)</f>
        <v/>
      </c>
      <c r="I5654" s="66" t="str">
        <f>IF('Twenty-Third'!I157="", "",'Twenty-Third'!I157)</f>
        <v/>
      </c>
      <c r="J5654" s="66" t="str">
        <f>IF('Twenty-Third'!J157="", "",'Twenty-Third'!J157)</f>
        <v/>
      </c>
      <c r="K5654" s="86" t="str">
        <f>IF('Twenty-Third'!K157="", "",'Twenty-Third'!K157)</f>
        <v/>
      </c>
      <c r="M5654" s="67" t="str">
        <f t="shared" si="269"/>
        <v/>
      </c>
      <c r="N5654" s="76" t="str">
        <f t="shared" si="270"/>
        <v/>
      </c>
      <c r="O5654" s="33">
        <f t="shared" si="271"/>
        <v>0</v>
      </c>
    </row>
    <row r="5655" spans="1:15" x14ac:dyDescent="0.25">
      <c r="A5655" s="64" t="s">
        <v>192</v>
      </c>
      <c r="B5655" s="79" t="str">
        <f>IF('Twenty-Third'!B158="", "",'Twenty-Third'!B158)</f>
        <v/>
      </c>
      <c r="C5655" s="66" t="str">
        <f>IF('Twenty-Third'!C158="", "",'Twenty-Third'!C158)</f>
        <v/>
      </c>
      <c r="D5655" s="66" t="str">
        <f>IF('Twenty-Third'!D158="", "",'Twenty-Third'!D158)</f>
        <v/>
      </c>
      <c r="E5655" s="66" t="str">
        <f>IF('Twenty-Third'!E158="", "",'Twenty-Third'!E158)</f>
        <v/>
      </c>
      <c r="F5655" s="66" t="str">
        <f>IF('Twenty-Third'!F158="", "",'Twenty-Third'!F158)</f>
        <v/>
      </c>
      <c r="G5655" s="66" t="str">
        <f>IF('Twenty-Third'!G158="", "",'Twenty-Third'!G158)</f>
        <v/>
      </c>
      <c r="H5655" s="66" t="str">
        <f>IF('Twenty-Third'!H158="", "",'Twenty-Third'!H158)</f>
        <v/>
      </c>
      <c r="I5655" s="66" t="str">
        <f>IF('Twenty-Third'!I158="", "",'Twenty-Third'!I158)</f>
        <v/>
      </c>
      <c r="J5655" s="66" t="str">
        <f>IF('Twenty-Third'!J158="", "",'Twenty-Third'!J158)</f>
        <v/>
      </c>
      <c r="K5655" s="86" t="str">
        <f>IF('Twenty-Third'!K158="", "",'Twenty-Third'!K158)</f>
        <v/>
      </c>
      <c r="M5655" s="67" t="str">
        <f t="shared" si="269"/>
        <v/>
      </c>
      <c r="N5655" s="76" t="str">
        <f t="shared" si="270"/>
        <v/>
      </c>
      <c r="O5655" s="33">
        <f t="shared" si="271"/>
        <v>0</v>
      </c>
    </row>
    <row r="5656" spans="1:15" x14ac:dyDescent="0.25">
      <c r="A5656" s="64" t="s">
        <v>192</v>
      </c>
      <c r="B5656" s="79" t="str">
        <f>IF('Twenty-Third'!B159="", "",'Twenty-Third'!B159)</f>
        <v/>
      </c>
      <c r="C5656" s="66" t="str">
        <f>IF('Twenty-Third'!C159="", "",'Twenty-Third'!C159)</f>
        <v/>
      </c>
      <c r="D5656" s="66" t="str">
        <f>IF('Twenty-Third'!D159="", "",'Twenty-Third'!D159)</f>
        <v/>
      </c>
      <c r="E5656" s="66" t="str">
        <f>IF('Twenty-Third'!E159="", "",'Twenty-Third'!E159)</f>
        <v/>
      </c>
      <c r="F5656" s="66" t="str">
        <f>IF('Twenty-Third'!F159="", "",'Twenty-Third'!F159)</f>
        <v/>
      </c>
      <c r="G5656" s="66" t="str">
        <f>IF('Twenty-Third'!G159="", "",'Twenty-Third'!G159)</f>
        <v/>
      </c>
      <c r="H5656" s="66" t="str">
        <f>IF('Twenty-Third'!H159="", "",'Twenty-Third'!H159)</f>
        <v/>
      </c>
      <c r="I5656" s="66" t="str">
        <f>IF('Twenty-Third'!I159="", "",'Twenty-Third'!I159)</f>
        <v/>
      </c>
      <c r="J5656" s="66" t="str">
        <f>IF('Twenty-Third'!J159="", "",'Twenty-Third'!J159)</f>
        <v/>
      </c>
      <c r="K5656" s="86" t="str">
        <f>IF('Twenty-Third'!K159="", "",'Twenty-Third'!K159)</f>
        <v/>
      </c>
      <c r="M5656" s="67" t="str">
        <f t="shared" si="269"/>
        <v/>
      </c>
      <c r="N5656" s="76" t="str">
        <f t="shared" si="270"/>
        <v/>
      </c>
      <c r="O5656" s="33">
        <f t="shared" si="271"/>
        <v>0</v>
      </c>
    </row>
    <row r="5657" spans="1:15" x14ac:dyDescent="0.25">
      <c r="A5657" s="64" t="s">
        <v>192</v>
      </c>
      <c r="B5657" s="79" t="str">
        <f>IF('Twenty-Third'!B160="", "",'Twenty-Third'!B160)</f>
        <v/>
      </c>
      <c r="C5657" s="66" t="str">
        <f>IF('Twenty-Third'!C160="", "",'Twenty-Third'!C160)</f>
        <v/>
      </c>
      <c r="D5657" s="66" t="str">
        <f>IF('Twenty-Third'!D160="", "",'Twenty-Third'!D160)</f>
        <v/>
      </c>
      <c r="E5657" s="66" t="str">
        <f>IF('Twenty-Third'!E160="", "",'Twenty-Third'!E160)</f>
        <v/>
      </c>
      <c r="F5657" s="66" t="str">
        <f>IF('Twenty-Third'!F160="", "",'Twenty-Third'!F160)</f>
        <v/>
      </c>
      <c r="G5657" s="66" t="str">
        <f>IF('Twenty-Third'!G160="", "",'Twenty-Third'!G160)</f>
        <v/>
      </c>
      <c r="H5657" s="66" t="str">
        <f>IF('Twenty-Third'!H160="", "",'Twenty-Third'!H160)</f>
        <v/>
      </c>
      <c r="I5657" s="66" t="str">
        <f>IF('Twenty-Third'!I160="", "",'Twenty-Third'!I160)</f>
        <v/>
      </c>
      <c r="J5657" s="66" t="str">
        <f>IF('Twenty-Third'!J160="", "",'Twenty-Third'!J160)</f>
        <v/>
      </c>
      <c r="K5657" s="86" t="str">
        <f>IF('Twenty-Third'!K160="", "",'Twenty-Third'!K160)</f>
        <v/>
      </c>
      <c r="M5657" s="67" t="str">
        <f t="shared" si="269"/>
        <v/>
      </c>
      <c r="N5657" s="76" t="str">
        <f t="shared" si="270"/>
        <v/>
      </c>
      <c r="O5657" s="33">
        <f t="shared" si="271"/>
        <v>0</v>
      </c>
    </row>
    <row r="5658" spans="1:15" x14ac:dyDescent="0.25">
      <c r="A5658" s="64" t="s">
        <v>192</v>
      </c>
      <c r="B5658" s="79" t="str">
        <f>IF('Twenty-Third'!B161="", "",'Twenty-Third'!B161)</f>
        <v/>
      </c>
      <c r="C5658" s="66" t="str">
        <f>IF('Twenty-Third'!C161="", "",'Twenty-Third'!C161)</f>
        <v/>
      </c>
      <c r="D5658" s="66" t="str">
        <f>IF('Twenty-Third'!D161="", "",'Twenty-Third'!D161)</f>
        <v/>
      </c>
      <c r="E5658" s="66" t="str">
        <f>IF('Twenty-Third'!E161="", "",'Twenty-Third'!E161)</f>
        <v/>
      </c>
      <c r="F5658" s="66" t="str">
        <f>IF('Twenty-Third'!F161="", "",'Twenty-Third'!F161)</f>
        <v/>
      </c>
      <c r="G5658" s="66" t="str">
        <f>IF('Twenty-Third'!G161="", "",'Twenty-Third'!G161)</f>
        <v/>
      </c>
      <c r="H5658" s="66" t="str">
        <f>IF('Twenty-Third'!H161="", "",'Twenty-Third'!H161)</f>
        <v/>
      </c>
      <c r="I5658" s="66" t="str">
        <f>IF('Twenty-Third'!I161="", "",'Twenty-Third'!I161)</f>
        <v/>
      </c>
      <c r="J5658" s="66" t="str">
        <f>IF('Twenty-Third'!J161="", "",'Twenty-Third'!J161)</f>
        <v/>
      </c>
      <c r="K5658" s="86" t="str">
        <f>IF('Twenty-Third'!K161="", "",'Twenty-Third'!K161)</f>
        <v/>
      </c>
      <c r="M5658" s="67" t="str">
        <f t="shared" si="269"/>
        <v/>
      </c>
      <c r="N5658" s="76" t="str">
        <f t="shared" si="270"/>
        <v/>
      </c>
      <c r="O5658" s="33">
        <f t="shared" si="271"/>
        <v>0</v>
      </c>
    </row>
    <row r="5659" spans="1:15" x14ac:dyDescent="0.25">
      <c r="A5659" s="64" t="s">
        <v>192</v>
      </c>
      <c r="B5659" s="79" t="str">
        <f>IF('Twenty-Third'!B162="", "",'Twenty-Third'!B162)</f>
        <v/>
      </c>
      <c r="C5659" s="66" t="str">
        <f>IF('Twenty-Third'!C162="", "",'Twenty-Third'!C162)</f>
        <v/>
      </c>
      <c r="D5659" s="66" t="str">
        <f>IF('Twenty-Third'!D162="", "",'Twenty-Third'!D162)</f>
        <v/>
      </c>
      <c r="E5659" s="66" t="str">
        <f>IF('Twenty-Third'!E162="", "",'Twenty-Third'!E162)</f>
        <v/>
      </c>
      <c r="F5659" s="66" t="str">
        <f>IF('Twenty-Third'!F162="", "",'Twenty-Third'!F162)</f>
        <v/>
      </c>
      <c r="G5659" s="66" t="str">
        <f>IF('Twenty-Third'!G162="", "",'Twenty-Third'!G162)</f>
        <v/>
      </c>
      <c r="H5659" s="66" t="str">
        <f>IF('Twenty-Third'!H162="", "",'Twenty-Third'!H162)</f>
        <v/>
      </c>
      <c r="I5659" s="66" t="str">
        <f>IF('Twenty-Third'!I162="", "",'Twenty-Third'!I162)</f>
        <v/>
      </c>
      <c r="J5659" s="66" t="str">
        <f>IF('Twenty-Third'!J162="", "",'Twenty-Third'!J162)</f>
        <v/>
      </c>
      <c r="K5659" s="86" t="str">
        <f>IF('Twenty-Third'!K162="", "",'Twenty-Third'!K162)</f>
        <v/>
      </c>
      <c r="M5659" s="67" t="str">
        <f t="shared" si="269"/>
        <v/>
      </c>
      <c r="N5659" s="76" t="str">
        <f t="shared" si="270"/>
        <v/>
      </c>
      <c r="O5659" s="33">
        <f t="shared" si="271"/>
        <v>0</v>
      </c>
    </row>
    <row r="5660" spans="1:15" x14ac:dyDescent="0.25">
      <c r="A5660" s="64" t="s">
        <v>192</v>
      </c>
      <c r="B5660" s="79" t="str">
        <f>IF('Twenty-Third'!B163="", "",'Twenty-Third'!B163)</f>
        <v/>
      </c>
      <c r="C5660" s="66" t="str">
        <f>IF('Twenty-Third'!C163="", "",'Twenty-Third'!C163)</f>
        <v/>
      </c>
      <c r="D5660" s="66" t="str">
        <f>IF('Twenty-Third'!D163="", "",'Twenty-Third'!D163)</f>
        <v/>
      </c>
      <c r="E5660" s="66" t="str">
        <f>IF('Twenty-Third'!E163="", "",'Twenty-Third'!E163)</f>
        <v/>
      </c>
      <c r="F5660" s="66" t="str">
        <f>IF('Twenty-Third'!F163="", "",'Twenty-Third'!F163)</f>
        <v/>
      </c>
      <c r="G5660" s="66" t="str">
        <f>IF('Twenty-Third'!G163="", "",'Twenty-Third'!G163)</f>
        <v/>
      </c>
      <c r="H5660" s="66" t="str">
        <f>IF('Twenty-Third'!H163="", "",'Twenty-Third'!H163)</f>
        <v/>
      </c>
      <c r="I5660" s="66" t="str">
        <f>IF('Twenty-Third'!I163="", "",'Twenty-Third'!I163)</f>
        <v/>
      </c>
      <c r="J5660" s="66" t="str">
        <f>IF('Twenty-Third'!J163="", "",'Twenty-Third'!J163)</f>
        <v/>
      </c>
      <c r="K5660" s="86" t="str">
        <f>IF('Twenty-Third'!K163="", "",'Twenty-Third'!K163)</f>
        <v/>
      </c>
      <c r="M5660" s="67" t="str">
        <f t="shared" si="269"/>
        <v/>
      </c>
      <c r="N5660" s="76" t="str">
        <f t="shared" si="270"/>
        <v/>
      </c>
      <c r="O5660" s="33">
        <f t="shared" si="271"/>
        <v>0</v>
      </c>
    </row>
    <row r="5661" spans="1:15" x14ac:dyDescent="0.25">
      <c r="A5661" s="64" t="s">
        <v>192</v>
      </c>
      <c r="B5661" s="79" t="str">
        <f>IF('Twenty-Third'!B164="", "",'Twenty-Third'!B164)</f>
        <v/>
      </c>
      <c r="C5661" s="66" t="str">
        <f>IF('Twenty-Third'!C164="", "",'Twenty-Third'!C164)</f>
        <v/>
      </c>
      <c r="D5661" s="66" t="str">
        <f>IF('Twenty-Third'!D164="", "",'Twenty-Third'!D164)</f>
        <v/>
      </c>
      <c r="E5661" s="66" t="str">
        <f>IF('Twenty-Third'!E164="", "",'Twenty-Third'!E164)</f>
        <v/>
      </c>
      <c r="F5661" s="66" t="str">
        <f>IF('Twenty-Third'!F164="", "",'Twenty-Third'!F164)</f>
        <v/>
      </c>
      <c r="G5661" s="66" t="str">
        <f>IF('Twenty-Third'!G164="", "",'Twenty-Third'!G164)</f>
        <v/>
      </c>
      <c r="H5661" s="66" t="str">
        <f>IF('Twenty-Third'!H164="", "",'Twenty-Third'!H164)</f>
        <v/>
      </c>
      <c r="I5661" s="66" t="str">
        <f>IF('Twenty-Third'!I164="", "",'Twenty-Third'!I164)</f>
        <v/>
      </c>
      <c r="J5661" s="66" t="str">
        <f>IF('Twenty-Third'!J164="", "",'Twenty-Third'!J164)</f>
        <v/>
      </c>
      <c r="K5661" s="86" t="str">
        <f>IF('Twenty-Third'!K164="", "",'Twenty-Third'!K164)</f>
        <v/>
      </c>
      <c r="M5661" s="67" t="str">
        <f t="shared" si="269"/>
        <v/>
      </c>
      <c r="N5661" s="76" t="str">
        <f t="shared" si="270"/>
        <v/>
      </c>
      <c r="O5661" s="33">
        <f t="shared" si="271"/>
        <v>0</v>
      </c>
    </row>
    <row r="5662" spans="1:15" x14ac:dyDescent="0.25">
      <c r="A5662" s="64" t="s">
        <v>192</v>
      </c>
      <c r="B5662" s="79" t="str">
        <f>IF('Twenty-Third'!B165="", "",'Twenty-Third'!B165)</f>
        <v/>
      </c>
      <c r="C5662" s="66" t="str">
        <f>IF('Twenty-Third'!C165="", "",'Twenty-Third'!C165)</f>
        <v/>
      </c>
      <c r="D5662" s="66" t="str">
        <f>IF('Twenty-Third'!D165="", "",'Twenty-Third'!D165)</f>
        <v/>
      </c>
      <c r="E5662" s="66" t="str">
        <f>IF('Twenty-Third'!E165="", "",'Twenty-Third'!E165)</f>
        <v/>
      </c>
      <c r="F5662" s="66" t="str">
        <f>IF('Twenty-Third'!F165="", "",'Twenty-Third'!F165)</f>
        <v/>
      </c>
      <c r="G5662" s="66" t="str">
        <f>IF('Twenty-Third'!G165="", "",'Twenty-Third'!G165)</f>
        <v/>
      </c>
      <c r="H5662" s="66" t="str">
        <f>IF('Twenty-Third'!H165="", "",'Twenty-Third'!H165)</f>
        <v/>
      </c>
      <c r="I5662" s="66" t="str">
        <f>IF('Twenty-Third'!I165="", "",'Twenty-Third'!I165)</f>
        <v/>
      </c>
      <c r="J5662" s="66" t="str">
        <f>IF('Twenty-Third'!J165="", "",'Twenty-Third'!J165)</f>
        <v/>
      </c>
      <c r="K5662" s="86" t="str">
        <f>IF('Twenty-Third'!K165="", "",'Twenty-Third'!K165)</f>
        <v/>
      </c>
      <c r="M5662" s="67" t="str">
        <f t="shared" si="269"/>
        <v/>
      </c>
      <c r="N5662" s="76" t="str">
        <f t="shared" si="270"/>
        <v/>
      </c>
      <c r="O5662" s="33">
        <f t="shared" si="271"/>
        <v>0</v>
      </c>
    </row>
    <row r="5663" spans="1:15" x14ac:dyDescent="0.25">
      <c r="A5663" s="64" t="s">
        <v>192</v>
      </c>
      <c r="B5663" s="79" t="str">
        <f>IF('Twenty-Third'!B166="", "",'Twenty-Third'!B166)</f>
        <v/>
      </c>
      <c r="C5663" s="66" t="str">
        <f>IF('Twenty-Third'!C166="", "",'Twenty-Third'!C166)</f>
        <v/>
      </c>
      <c r="D5663" s="66" t="str">
        <f>IF('Twenty-Third'!D166="", "",'Twenty-Third'!D166)</f>
        <v/>
      </c>
      <c r="E5663" s="66" t="str">
        <f>IF('Twenty-Third'!E166="", "",'Twenty-Third'!E166)</f>
        <v/>
      </c>
      <c r="F5663" s="66" t="str">
        <f>IF('Twenty-Third'!F166="", "",'Twenty-Third'!F166)</f>
        <v/>
      </c>
      <c r="G5663" s="66" t="str">
        <f>IF('Twenty-Third'!G166="", "",'Twenty-Third'!G166)</f>
        <v/>
      </c>
      <c r="H5663" s="66" t="str">
        <f>IF('Twenty-Third'!H166="", "",'Twenty-Third'!H166)</f>
        <v/>
      </c>
      <c r="I5663" s="66" t="str">
        <f>IF('Twenty-Third'!I166="", "",'Twenty-Third'!I166)</f>
        <v/>
      </c>
      <c r="J5663" s="66" t="str">
        <f>IF('Twenty-Third'!J166="", "",'Twenty-Third'!J166)</f>
        <v/>
      </c>
      <c r="K5663" s="86" t="str">
        <f>IF('Twenty-Third'!K166="", "",'Twenty-Third'!K166)</f>
        <v/>
      </c>
      <c r="M5663" s="67" t="str">
        <f t="shared" si="269"/>
        <v/>
      </c>
      <c r="N5663" s="76" t="str">
        <f t="shared" si="270"/>
        <v/>
      </c>
      <c r="O5663" s="33">
        <f t="shared" si="271"/>
        <v>0</v>
      </c>
    </row>
    <row r="5664" spans="1:15" x14ac:dyDescent="0.25">
      <c r="A5664" s="64" t="s">
        <v>192</v>
      </c>
      <c r="B5664" s="79" t="str">
        <f>IF('Twenty-Third'!B167="", "",'Twenty-Third'!B167)</f>
        <v/>
      </c>
      <c r="C5664" s="66" t="str">
        <f>IF('Twenty-Third'!C167="", "",'Twenty-Third'!C167)</f>
        <v/>
      </c>
      <c r="D5664" s="66" t="str">
        <f>IF('Twenty-Third'!D167="", "",'Twenty-Third'!D167)</f>
        <v/>
      </c>
      <c r="E5664" s="66" t="str">
        <f>IF('Twenty-Third'!E167="", "",'Twenty-Third'!E167)</f>
        <v/>
      </c>
      <c r="F5664" s="66" t="str">
        <f>IF('Twenty-Third'!F167="", "",'Twenty-Third'!F167)</f>
        <v/>
      </c>
      <c r="G5664" s="66" t="str">
        <f>IF('Twenty-Third'!G167="", "",'Twenty-Third'!G167)</f>
        <v/>
      </c>
      <c r="H5664" s="66" t="str">
        <f>IF('Twenty-Third'!H167="", "",'Twenty-Third'!H167)</f>
        <v/>
      </c>
      <c r="I5664" s="66" t="str">
        <f>IF('Twenty-Third'!I167="", "",'Twenty-Third'!I167)</f>
        <v/>
      </c>
      <c r="J5664" s="66" t="str">
        <f>IF('Twenty-Third'!J167="", "",'Twenty-Third'!J167)</f>
        <v/>
      </c>
      <c r="K5664" s="86" t="str">
        <f>IF('Twenty-Third'!K167="", "",'Twenty-Third'!K167)</f>
        <v/>
      </c>
      <c r="M5664" s="67" t="str">
        <f t="shared" si="269"/>
        <v/>
      </c>
      <c r="N5664" s="76" t="str">
        <f t="shared" si="270"/>
        <v/>
      </c>
      <c r="O5664" s="33">
        <f t="shared" si="271"/>
        <v>0</v>
      </c>
    </row>
    <row r="5665" spans="1:15" x14ac:dyDescent="0.25">
      <c r="A5665" s="64" t="s">
        <v>192</v>
      </c>
      <c r="B5665" s="79" t="str">
        <f>IF('Twenty-Third'!B168="", "",'Twenty-Third'!B168)</f>
        <v/>
      </c>
      <c r="C5665" s="66" t="str">
        <f>IF('Twenty-Third'!C168="", "",'Twenty-Third'!C168)</f>
        <v/>
      </c>
      <c r="D5665" s="66" t="str">
        <f>IF('Twenty-Third'!D168="", "",'Twenty-Third'!D168)</f>
        <v/>
      </c>
      <c r="E5665" s="66" t="str">
        <f>IF('Twenty-Third'!E168="", "",'Twenty-Third'!E168)</f>
        <v/>
      </c>
      <c r="F5665" s="66" t="str">
        <f>IF('Twenty-Third'!F168="", "",'Twenty-Third'!F168)</f>
        <v/>
      </c>
      <c r="G5665" s="66" t="str">
        <f>IF('Twenty-Third'!G168="", "",'Twenty-Third'!G168)</f>
        <v/>
      </c>
      <c r="H5665" s="66" t="str">
        <f>IF('Twenty-Third'!H168="", "",'Twenty-Third'!H168)</f>
        <v/>
      </c>
      <c r="I5665" s="66" t="str">
        <f>IF('Twenty-Third'!I168="", "",'Twenty-Third'!I168)</f>
        <v/>
      </c>
      <c r="J5665" s="66" t="str">
        <f>IF('Twenty-Third'!J168="", "",'Twenty-Third'!J168)</f>
        <v/>
      </c>
      <c r="K5665" s="86" t="str">
        <f>IF('Twenty-Third'!K168="", "",'Twenty-Third'!K168)</f>
        <v/>
      </c>
      <c r="M5665" s="67" t="str">
        <f t="shared" si="269"/>
        <v/>
      </c>
      <c r="N5665" s="76" t="str">
        <f t="shared" si="270"/>
        <v/>
      </c>
      <c r="O5665" s="33">
        <f t="shared" si="271"/>
        <v>0</v>
      </c>
    </row>
    <row r="5666" spans="1:15" x14ac:dyDescent="0.25">
      <c r="A5666" s="64" t="s">
        <v>192</v>
      </c>
      <c r="B5666" s="79" t="str">
        <f>IF('Twenty-Third'!B169="", "",'Twenty-Third'!B169)</f>
        <v/>
      </c>
      <c r="C5666" s="66" t="str">
        <f>IF('Twenty-Third'!C169="", "",'Twenty-Third'!C169)</f>
        <v/>
      </c>
      <c r="D5666" s="66" t="str">
        <f>IF('Twenty-Third'!D169="", "",'Twenty-Third'!D169)</f>
        <v/>
      </c>
      <c r="E5666" s="66" t="str">
        <f>IF('Twenty-Third'!E169="", "",'Twenty-Third'!E169)</f>
        <v/>
      </c>
      <c r="F5666" s="66" t="str">
        <f>IF('Twenty-Third'!F169="", "",'Twenty-Third'!F169)</f>
        <v/>
      </c>
      <c r="G5666" s="66" t="str">
        <f>IF('Twenty-Third'!G169="", "",'Twenty-Third'!G169)</f>
        <v/>
      </c>
      <c r="H5666" s="66" t="str">
        <f>IF('Twenty-Third'!H169="", "",'Twenty-Third'!H169)</f>
        <v/>
      </c>
      <c r="I5666" s="66" t="str">
        <f>IF('Twenty-Third'!I169="", "",'Twenty-Third'!I169)</f>
        <v/>
      </c>
      <c r="J5666" s="66" t="str">
        <f>IF('Twenty-Third'!J169="", "",'Twenty-Third'!J169)</f>
        <v/>
      </c>
      <c r="K5666" s="86" t="str">
        <f>IF('Twenty-Third'!K169="", "",'Twenty-Third'!K169)</f>
        <v/>
      </c>
      <c r="M5666" s="67" t="str">
        <f t="shared" si="269"/>
        <v/>
      </c>
      <c r="N5666" s="76" t="str">
        <f t="shared" si="270"/>
        <v/>
      </c>
      <c r="O5666" s="33">
        <f t="shared" si="271"/>
        <v>0</v>
      </c>
    </row>
    <row r="5667" spans="1:15" x14ac:dyDescent="0.25">
      <c r="A5667" s="64" t="s">
        <v>192</v>
      </c>
      <c r="B5667" s="79" t="str">
        <f>IF('Twenty-Third'!B170="", "",'Twenty-Third'!B170)</f>
        <v/>
      </c>
      <c r="C5667" s="66" t="str">
        <f>IF('Twenty-Third'!C170="", "",'Twenty-Third'!C170)</f>
        <v/>
      </c>
      <c r="D5667" s="66" t="str">
        <f>IF('Twenty-Third'!D170="", "",'Twenty-Third'!D170)</f>
        <v/>
      </c>
      <c r="E5667" s="66" t="str">
        <f>IF('Twenty-Third'!E170="", "",'Twenty-Third'!E170)</f>
        <v/>
      </c>
      <c r="F5667" s="66" t="str">
        <f>IF('Twenty-Third'!F170="", "",'Twenty-Third'!F170)</f>
        <v/>
      </c>
      <c r="G5667" s="66" t="str">
        <f>IF('Twenty-Third'!G170="", "",'Twenty-Third'!G170)</f>
        <v/>
      </c>
      <c r="H5667" s="66" t="str">
        <f>IF('Twenty-Third'!H170="", "",'Twenty-Third'!H170)</f>
        <v/>
      </c>
      <c r="I5667" s="66" t="str">
        <f>IF('Twenty-Third'!I170="", "",'Twenty-Third'!I170)</f>
        <v/>
      </c>
      <c r="J5667" s="66" t="str">
        <f>IF('Twenty-Third'!J170="", "",'Twenty-Third'!J170)</f>
        <v/>
      </c>
      <c r="K5667" s="86" t="str">
        <f>IF('Twenty-Third'!K170="", "",'Twenty-Third'!K170)</f>
        <v/>
      </c>
      <c r="M5667" s="67" t="str">
        <f t="shared" si="269"/>
        <v/>
      </c>
      <c r="N5667" s="76" t="str">
        <f t="shared" si="270"/>
        <v/>
      </c>
      <c r="O5667" s="33">
        <f t="shared" si="271"/>
        <v>0</v>
      </c>
    </row>
    <row r="5668" spans="1:15" x14ac:dyDescent="0.25">
      <c r="A5668" s="64" t="s">
        <v>192</v>
      </c>
      <c r="B5668" s="79" t="str">
        <f>IF('Twenty-Third'!B171="", "",'Twenty-Third'!B171)</f>
        <v/>
      </c>
      <c r="C5668" s="66" t="str">
        <f>IF('Twenty-Third'!C171="", "",'Twenty-Third'!C171)</f>
        <v/>
      </c>
      <c r="D5668" s="66" t="str">
        <f>IF('Twenty-Third'!D171="", "",'Twenty-Third'!D171)</f>
        <v/>
      </c>
      <c r="E5668" s="66" t="str">
        <f>IF('Twenty-Third'!E171="", "",'Twenty-Third'!E171)</f>
        <v/>
      </c>
      <c r="F5668" s="66" t="str">
        <f>IF('Twenty-Third'!F171="", "",'Twenty-Third'!F171)</f>
        <v/>
      </c>
      <c r="G5668" s="66" t="str">
        <f>IF('Twenty-Third'!G171="", "",'Twenty-Third'!G171)</f>
        <v/>
      </c>
      <c r="H5668" s="66" t="str">
        <f>IF('Twenty-Third'!H171="", "",'Twenty-Third'!H171)</f>
        <v/>
      </c>
      <c r="I5668" s="66" t="str">
        <f>IF('Twenty-Third'!I171="", "",'Twenty-Third'!I171)</f>
        <v/>
      </c>
      <c r="J5668" s="66" t="str">
        <f>IF('Twenty-Third'!J171="", "",'Twenty-Third'!J171)</f>
        <v/>
      </c>
      <c r="K5668" s="86" t="str">
        <f>IF('Twenty-Third'!K171="", "",'Twenty-Third'!K171)</f>
        <v/>
      </c>
      <c r="M5668" s="67" t="str">
        <f t="shared" si="269"/>
        <v/>
      </c>
      <c r="N5668" s="76" t="str">
        <f t="shared" si="270"/>
        <v/>
      </c>
      <c r="O5668" s="33">
        <f t="shared" si="271"/>
        <v>0</v>
      </c>
    </row>
    <row r="5669" spans="1:15" x14ac:dyDescent="0.25">
      <c r="A5669" s="64" t="s">
        <v>192</v>
      </c>
      <c r="B5669" s="79" t="str">
        <f>IF('Twenty-Third'!B172="", "",'Twenty-Third'!B172)</f>
        <v/>
      </c>
      <c r="C5669" s="66" t="str">
        <f>IF('Twenty-Third'!C172="", "",'Twenty-Third'!C172)</f>
        <v/>
      </c>
      <c r="D5669" s="66" t="str">
        <f>IF('Twenty-Third'!D172="", "",'Twenty-Third'!D172)</f>
        <v/>
      </c>
      <c r="E5669" s="66" t="str">
        <f>IF('Twenty-Third'!E172="", "",'Twenty-Third'!E172)</f>
        <v/>
      </c>
      <c r="F5669" s="66" t="str">
        <f>IF('Twenty-Third'!F172="", "",'Twenty-Third'!F172)</f>
        <v/>
      </c>
      <c r="G5669" s="66" t="str">
        <f>IF('Twenty-Third'!G172="", "",'Twenty-Third'!G172)</f>
        <v/>
      </c>
      <c r="H5669" s="66" t="str">
        <f>IF('Twenty-Third'!H172="", "",'Twenty-Third'!H172)</f>
        <v/>
      </c>
      <c r="I5669" s="66" t="str">
        <f>IF('Twenty-Third'!I172="", "",'Twenty-Third'!I172)</f>
        <v/>
      </c>
      <c r="J5669" s="66" t="str">
        <f>IF('Twenty-Third'!J172="", "",'Twenty-Third'!J172)</f>
        <v/>
      </c>
      <c r="K5669" s="86" t="str">
        <f>IF('Twenty-Third'!K172="", "",'Twenty-Third'!K172)</f>
        <v/>
      </c>
      <c r="M5669" s="67" t="str">
        <f t="shared" si="269"/>
        <v/>
      </c>
      <c r="N5669" s="76" t="str">
        <f t="shared" si="270"/>
        <v/>
      </c>
      <c r="O5669" s="33">
        <f t="shared" si="271"/>
        <v>0</v>
      </c>
    </row>
    <row r="5670" spans="1:15" x14ac:dyDescent="0.25">
      <c r="A5670" s="64" t="s">
        <v>192</v>
      </c>
      <c r="B5670" s="79" t="str">
        <f>IF('Twenty-Third'!B173="", "",'Twenty-Third'!B173)</f>
        <v/>
      </c>
      <c r="C5670" s="66" t="str">
        <f>IF('Twenty-Third'!C173="", "",'Twenty-Third'!C173)</f>
        <v/>
      </c>
      <c r="D5670" s="66" t="str">
        <f>IF('Twenty-Third'!D173="", "",'Twenty-Third'!D173)</f>
        <v/>
      </c>
      <c r="E5670" s="66" t="str">
        <f>IF('Twenty-Third'!E173="", "",'Twenty-Third'!E173)</f>
        <v/>
      </c>
      <c r="F5670" s="66" t="str">
        <f>IF('Twenty-Third'!F173="", "",'Twenty-Third'!F173)</f>
        <v/>
      </c>
      <c r="G5670" s="66" t="str">
        <f>IF('Twenty-Third'!G173="", "",'Twenty-Third'!G173)</f>
        <v/>
      </c>
      <c r="H5670" s="66" t="str">
        <f>IF('Twenty-Third'!H173="", "",'Twenty-Third'!H173)</f>
        <v/>
      </c>
      <c r="I5670" s="66" t="str">
        <f>IF('Twenty-Third'!I173="", "",'Twenty-Third'!I173)</f>
        <v/>
      </c>
      <c r="J5670" s="66" t="str">
        <f>IF('Twenty-Third'!J173="", "",'Twenty-Third'!J173)</f>
        <v/>
      </c>
      <c r="K5670" s="86" t="str">
        <f>IF('Twenty-Third'!K173="", "",'Twenty-Third'!K173)</f>
        <v/>
      </c>
      <c r="M5670" s="67" t="str">
        <f t="shared" si="269"/>
        <v/>
      </c>
      <c r="N5670" s="76" t="str">
        <f t="shared" si="270"/>
        <v/>
      </c>
      <c r="O5670" s="33">
        <f t="shared" si="271"/>
        <v>0</v>
      </c>
    </row>
    <row r="5671" spans="1:15" x14ac:dyDescent="0.25">
      <c r="A5671" s="64" t="s">
        <v>192</v>
      </c>
      <c r="B5671" s="79" t="str">
        <f>IF('Twenty-Third'!B174="", "",'Twenty-Third'!B174)</f>
        <v/>
      </c>
      <c r="C5671" s="66" t="str">
        <f>IF('Twenty-Third'!C174="", "",'Twenty-Third'!C174)</f>
        <v/>
      </c>
      <c r="D5671" s="66" t="str">
        <f>IF('Twenty-Third'!D174="", "",'Twenty-Third'!D174)</f>
        <v/>
      </c>
      <c r="E5671" s="66" t="str">
        <f>IF('Twenty-Third'!E174="", "",'Twenty-Third'!E174)</f>
        <v/>
      </c>
      <c r="F5671" s="66" t="str">
        <f>IF('Twenty-Third'!F174="", "",'Twenty-Third'!F174)</f>
        <v/>
      </c>
      <c r="G5671" s="66" t="str">
        <f>IF('Twenty-Third'!G174="", "",'Twenty-Third'!G174)</f>
        <v/>
      </c>
      <c r="H5671" s="66" t="str">
        <f>IF('Twenty-Third'!H174="", "",'Twenty-Third'!H174)</f>
        <v/>
      </c>
      <c r="I5671" s="66" t="str">
        <f>IF('Twenty-Third'!I174="", "",'Twenty-Third'!I174)</f>
        <v/>
      </c>
      <c r="J5671" s="66" t="str">
        <f>IF('Twenty-Third'!J174="", "",'Twenty-Third'!J174)</f>
        <v/>
      </c>
      <c r="K5671" s="86" t="str">
        <f>IF('Twenty-Third'!K174="", "",'Twenty-Third'!K174)</f>
        <v/>
      </c>
      <c r="M5671" s="67" t="str">
        <f t="shared" si="269"/>
        <v/>
      </c>
      <c r="N5671" s="76" t="str">
        <f t="shared" si="270"/>
        <v/>
      </c>
      <c r="O5671" s="33">
        <f t="shared" si="271"/>
        <v>0</v>
      </c>
    </row>
    <row r="5672" spans="1:15" x14ac:dyDescent="0.25">
      <c r="A5672" s="64" t="s">
        <v>192</v>
      </c>
      <c r="B5672" s="79" t="str">
        <f>IF('Twenty-Third'!B175="", "",'Twenty-Third'!B175)</f>
        <v/>
      </c>
      <c r="C5672" s="66" t="str">
        <f>IF('Twenty-Third'!C175="", "",'Twenty-Third'!C175)</f>
        <v/>
      </c>
      <c r="D5672" s="66" t="str">
        <f>IF('Twenty-Third'!D175="", "",'Twenty-Third'!D175)</f>
        <v/>
      </c>
      <c r="E5672" s="66" t="str">
        <f>IF('Twenty-Third'!E175="", "",'Twenty-Third'!E175)</f>
        <v/>
      </c>
      <c r="F5672" s="66" t="str">
        <f>IF('Twenty-Third'!F175="", "",'Twenty-Third'!F175)</f>
        <v/>
      </c>
      <c r="G5672" s="66" t="str">
        <f>IF('Twenty-Third'!G175="", "",'Twenty-Third'!G175)</f>
        <v/>
      </c>
      <c r="H5672" s="66" t="str">
        <f>IF('Twenty-Third'!H175="", "",'Twenty-Third'!H175)</f>
        <v/>
      </c>
      <c r="I5672" s="66" t="str">
        <f>IF('Twenty-Third'!I175="", "",'Twenty-Third'!I175)</f>
        <v/>
      </c>
      <c r="J5672" s="66" t="str">
        <f>IF('Twenty-Third'!J175="", "",'Twenty-Third'!J175)</f>
        <v/>
      </c>
      <c r="K5672" s="86" t="str">
        <f>IF('Twenty-Third'!K175="", "",'Twenty-Third'!K175)</f>
        <v/>
      </c>
      <c r="M5672" s="67" t="str">
        <f t="shared" si="269"/>
        <v/>
      </c>
      <c r="N5672" s="76" t="str">
        <f t="shared" si="270"/>
        <v/>
      </c>
      <c r="O5672" s="33">
        <f t="shared" si="271"/>
        <v>0</v>
      </c>
    </row>
    <row r="5673" spans="1:15" x14ac:dyDescent="0.25">
      <c r="A5673" s="64" t="s">
        <v>192</v>
      </c>
      <c r="B5673" s="79" t="str">
        <f>IF('Twenty-Third'!B176="", "",'Twenty-Third'!B176)</f>
        <v/>
      </c>
      <c r="C5673" s="66" t="str">
        <f>IF('Twenty-Third'!C176="", "",'Twenty-Third'!C176)</f>
        <v/>
      </c>
      <c r="D5673" s="66" t="str">
        <f>IF('Twenty-Third'!D176="", "",'Twenty-Third'!D176)</f>
        <v/>
      </c>
      <c r="E5673" s="66" t="str">
        <f>IF('Twenty-Third'!E176="", "",'Twenty-Third'!E176)</f>
        <v/>
      </c>
      <c r="F5673" s="66" t="str">
        <f>IF('Twenty-Third'!F176="", "",'Twenty-Third'!F176)</f>
        <v/>
      </c>
      <c r="G5673" s="66" t="str">
        <f>IF('Twenty-Third'!G176="", "",'Twenty-Third'!G176)</f>
        <v/>
      </c>
      <c r="H5673" s="66" t="str">
        <f>IF('Twenty-Third'!H176="", "",'Twenty-Third'!H176)</f>
        <v/>
      </c>
      <c r="I5673" s="66" t="str">
        <f>IF('Twenty-Third'!I176="", "",'Twenty-Third'!I176)</f>
        <v/>
      </c>
      <c r="J5673" s="66" t="str">
        <f>IF('Twenty-Third'!J176="", "",'Twenty-Third'!J176)</f>
        <v/>
      </c>
      <c r="K5673" s="86" t="str">
        <f>IF('Twenty-Third'!K176="", "",'Twenty-Third'!K176)</f>
        <v/>
      </c>
      <c r="M5673" s="67" t="str">
        <f t="shared" si="269"/>
        <v/>
      </c>
      <c r="N5673" s="76" t="str">
        <f t="shared" si="270"/>
        <v/>
      </c>
      <c r="O5673" s="33">
        <f t="shared" si="271"/>
        <v>0</v>
      </c>
    </row>
    <row r="5674" spans="1:15" x14ac:dyDescent="0.25">
      <c r="A5674" s="64" t="s">
        <v>192</v>
      </c>
      <c r="B5674" s="79" t="str">
        <f>IF('Twenty-Third'!B177="", "",'Twenty-Third'!B177)</f>
        <v/>
      </c>
      <c r="C5674" s="66" t="str">
        <f>IF('Twenty-Third'!C177="", "",'Twenty-Third'!C177)</f>
        <v/>
      </c>
      <c r="D5674" s="66" t="str">
        <f>IF('Twenty-Third'!D177="", "",'Twenty-Third'!D177)</f>
        <v/>
      </c>
      <c r="E5674" s="66" t="str">
        <f>IF('Twenty-Third'!E177="", "",'Twenty-Third'!E177)</f>
        <v/>
      </c>
      <c r="F5674" s="66" t="str">
        <f>IF('Twenty-Third'!F177="", "",'Twenty-Third'!F177)</f>
        <v/>
      </c>
      <c r="G5674" s="66" t="str">
        <f>IF('Twenty-Third'!G177="", "",'Twenty-Third'!G177)</f>
        <v/>
      </c>
      <c r="H5674" s="66" t="str">
        <f>IF('Twenty-Third'!H177="", "",'Twenty-Third'!H177)</f>
        <v/>
      </c>
      <c r="I5674" s="66" t="str">
        <f>IF('Twenty-Third'!I177="", "",'Twenty-Third'!I177)</f>
        <v/>
      </c>
      <c r="J5674" s="66" t="str">
        <f>IF('Twenty-Third'!J177="", "",'Twenty-Third'!J177)</f>
        <v/>
      </c>
      <c r="K5674" s="86" t="str">
        <f>IF('Twenty-Third'!K177="", "",'Twenty-Third'!K177)</f>
        <v/>
      </c>
      <c r="M5674" s="67" t="str">
        <f t="shared" si="269"/>
        <v/>
      </c>
      <c r="N5674" s="76" t="str">
        <f t="shared" si="270"/>
        <v/>
      </c>
      <c r="O5674" s="33">
        <f t="shared" si="271"/>
        <v>0</v>
      </c>
    </row>
    <row r="5675" spans="1:15" x14ac:dyDescent="0.25">
      <c r="A5675" s="64" t="s">
        <v>192</v>
      </c>
      <c r="B5675" s="79" t="str">
        <f>IF('Twenty-Third'!B178="", "",'Twenty-Third'!B178)</f>
        <v/>
      </c>
      <c r="C5675" s="66" t="str">
        <f>IF('Twenty-Third'!C178="", "",'Twenty-Third'!C178)</f>
        <v/>
      </c>
      <c r="D5675" s="66" t="str">
        <f>IF('Twenty-Third'!D178="", "",'Twenty-Third'!D178)</f>
        <v/>
      </c>
      <c r="E5675" s="66" t="str">
        <f>IF('Twenty-Third'!E178="", "",'Twenty-Third'!E178)</f>
        <v/>
      </c>
      <c r="F5675" s="66" t="str">
        <f>IF('Twenty-Third'!F178="", "",'Twenty-Third'!F178)</f>
        <v/>
      </c>
      <c r="G5675" s="66" t="str">
        <f>IF('Twenty-Third'!G178="", "",'Twenty-Third'!G178)</f>
        <v/>
      </c>
      <c r="H5675" s="66" t="str">
        <f>IF('Twenty-Third'!H178="", "",'Twenty-Third'!H178)</f>
        <v/>
      </c>
      <c r="I5675" s="66" t="str">
        <f>IF('Twenty-Third'!I178="", "",'Twenty-Third'!I178)</f>
        <v/>
      </c>
      <c r="J5675" s="66" t="str">
        <f>IF('Twenty-Third'!J178="", "",'Twenty-Third'!J178)</f>
        <v/>
      </c>
      <c r="K5675" s="86" t="str">
        <f>IF('Twenty-Third'!K178="", "",'Twenty-Third'!K178)</f>
        <v/>
      </c>
      <c r="M5675" s="67" t="str">
        <f t="shared" si="269"/>
        <v/>
      </c>
      <c r="N5675" s="76" t="str">
        <f t="shared" si="270"/>
        <v/>
      </c>
      <c r="O5675" s="33">
        <f t="shared" si="271"/>
        <v>0</v>
      </c>
    </row>
    <row r="5676" spans="1:15" x14ac:dyDescent="0.25">
      <c r="A5676" s="64" t="s">
        <v>192</v>
      </c>
      <c r="B5676" s="79" t="str">
        <f>IF('Twenty-Third'!B179="", "",'Twenty-Third'!B179)</f>
        <v/>
      </c>
      <c r="C5676" s="66" t="str">
        <f>IF('Twenty-Third'!C179="", "",'Twenty-Third'!C179)</f>
        <v/>
      </c>
      <c r="D5676" s="66" t="str">
        <f>IF('Twenty-Third'!D179="", "",'Twenty-Third'!D179)</f>
        <v/>
      </c>
      <c r="E5676" s="66" t="str">
        <f>IF('Twenty-Third'!E179="", "",'Twenty-Third'!E179)</f>
        <v/>
      </c>
      <c r="F5676" s="66" t="str">
        <f>IF('Twenty-Third'!F179="", "",'Twenty-Third'!F179)</f>
        <v/>
      </c>
      <c r="G5676" s="66" t="str">
        <f>IF('Twenty-Third'!G179="", "",'Twenty-Third'!G179)</f>
        <v/>
      </c>
      <c r="H5676" s="66" t="str">
        <f>IF('Twenty-Third'!H179="", "",'Twenty-Third'!H179)</f>
        <v/>
      </c>
      <c r="I5676" s="66" t="str">
        <f>IF('Twenty-Third'!I179="", "",'Twenty-Third'!I179)</f>
        <v/>
      </c>
      <c r="J5676" s="66" t="str">
        <f>IF('Twenty-Third'!J179="", "",'Twenty-Third'!J179)</f>
        <v/>
      </c>
      <c r="K5676" s="86" t="str">
        <f>IF('Twenty-Third'!K179="", "",'Twenty-Third'!K179)</f>
        <v/>
      </c>
      <c r="M5676" s="67" t="str">
        <f t="shared" si="269"/>
        <v/>
      </c>
      <c r="N5676" s="76" t="str">
        <f t="shared" si="270"/>
        <v/>
      </c>
      <c r="O5676" s="33">
        <f t="shared" si="271"/>
        <v>0</v>
      </c>
    </row>
    <row r="5677" spans="1:15" x14ac:dyDescent="0.25">
      <c r="A5677" s="64" t="s">
        <v>192</v>
      </c>
      <c r="B5677" s="79" t="str">
        <f>IF('Twenty-Third'!B180="", "",'Twenty-Third'!B180)</f>
        <v/>
      </c>
      <c r="C5677" s="66" t="str">
        <f>IF('Twenty-Third'!C180="", "",'Twenty-Third'!C180)</f>
        <v/>
      </c>
      <c r="D5677" s="66" t="str">
        <f>IF('Twenty-Third'!D180="", "",'Twenty-Third'!D180)</f>
        <v/>
      </c>
      <c r="E5677" s="66" t="str">
        <f>IF('Twenty-Third'!E180="", "",'Twenty-Third'!E180)</f>
        <v/>
      </c>
      <c r="F5677" s="66" t="str">
        <f>IF('Twenty-Third'!F180="", "",'Twenty-Third'!F180)</f>
        <v/>
      </c>
      <c r="G5677" s="66" t="str">
        <f>IF('Twenty-Third'!G180="", "",'Twenty-Third'!G180)</f>
        <v/>
      </c>
      <c r="H5677" s="66" t="str">
        <f>IF('Twenty-Third'!H180="", "",'Twenty-Third'!H180)</f>
        <v/>
      </c>
      <c r="I5677" s="66" t="str">
        <f>IF('Twenty-Third'!I180="", "",'Twenty-Third'!I180)</f>
        <v/>
      </c>
      <c r="J5677" s="66" t="str">
        <f>IF('Twenty-Third'!J180="", "",'Twenty-Third'!J180)</f>
        <v/>
      </c>
      <c r="K5677" s="86" t="str">
        <f>IF('Twenty-Third'!K180="", "",'Twenty-Third'!K180)</f>
        <v/>
      </c>
      <c r="M5677" s="67" t="str">
        <f t="shared" si="269"/>
        <v/>
      </c>
      <c r="N5677" s="76" t="str">
        <f t="shared" si="270"/>
        <v/>
      </c>
      <c r="O5677" s="33">
        <f t="shared" si="271"/>
        <v>0</v>
      </c>
    </row>
    <row r="5678" spans="1:15" x14ac:dyDescent="0.25">
      <c r="A5678" s="64" t="s">
        <v>192</v>
      </c>
      <c r="B5678" s="79" t="str">
        <f>IF('Twenty-Third'!B181="", "",'Twenty-Third'!B181)</f>
        <v/>
      </c>
      <c r="C5678" s="66" t="str">
        <f>IF('Twenty-Third'!C181="", "",'Twenty-Third'!C181)</f>
        <v/>
      </c>
      <c r="D5678" s="66" t="str">
        <f>IF('Twenty-Third'!D181="", "",'Twenty-Third'!D181)</f>
        <v/>
      </c>
      <c r="E5678" s="66" t="str">
        <f>IF('Twenty-Third'!E181="", "",'Twenty-Third'!E181)</f>
        <v/>
      </c>
      <c r="F5678" s="66" t="str">
        <f>IF('Twenty-Third'!F181="", "",'Twenty-Third'!F181)</f>
        <v/>
      </c>
      <c r="G5678" s="66" t="str">
        <f>IF('Twenty-Third'!G181="", "",'Twenty-Third'!G181)</f>
        <v/>
      </c>
      <c r="H5678" s="66" t="str">
        <f>IF('Twenty-Third'!H181="", "",'Twenty-Third'!H181)</f>
        <v/>
      </c>
      <c r="I5678" s="66" t="str">
        <f>IF('Twenty-Third'!I181="", "",'Twenty-Third'!I181)</f>
        <v/>
      </c>
      <c r="J5678" s="66" t="str">
        <f>IF('Twenty-Third'!J181="", "",'Twenty-Third'!J181)</f>
        <v/>
      </c>
      <c r="K5678" s="86" t="str">
        <f>IF('Twenty-Third'!K181="", "",'Twenty-Third'!K181)</f>
        <v/>
      </c>
      <c r="M5678" s="67" t="str">
        <f t="shared" si="269"/>
        <v/>
      </c>
      <c r="N5678" s="76" t="str">
        <f t="shared" si="270"/>
        <v/>
      </c>
      <c r="O5678" s="33">
        <f t="shared" si="271"/>
        <v>0</v>
      </c>
    </row>
    <row r="5679" spans="1:15" x14ac:dyDescent="0.25">
      <c r="A5679" s="64" t="s">
        <v>192</v>
      </c>
      <c r="B5679" s="79" t="str">
        <f>IF('Twenty-Third'!B182="", "",'Twenty-Third'!B182)</f>
        <v/>
      </c>
      <c r="C5679" s="66" t="str">
        <f>IF('Twenty-Third'!C182="", "",'Twenty-Third'!C182)</f>
        <v/>
      </c>
      <c r="D5679" s="66" t="str">
        <f>IF('Twenty-Third'!D182="", "",'Twenty-Third'!D182)</f>
        <v/>
      </c>
      <c r="E5679" s="66" t="str">
        <f>IF('Twenty-Third'!E182="", "",'Twenty-Third'!E182)</f>
        <v/>
      </c>
      <c r="F5679" s="66" t="str">
        <f>IF('Twenty-Third'!F182="", "",'Twenty-Third'!F182)</f>
        <v/>
      </c>
      <c r="G5679" s="66" t="str">
        <f>IF('Twenty-Third'!G182="", "",'Twenty-Third'!G182)</f>
        <v/>
      </c>
      <c r="H5679" s="66" t="str">
        <f>IF('Twenty-Third'!H182="", "",'Twenty-Third'!H182)</f>
        <v/>
      </c>
      <c r="I5679" s="66" t="str">
        <f>IF('Twenty-Third'!I182="", "",'Twenty-Third'!I182)</f>
        <v/>
      </c>
      <c r="J5679" s="66" t="str">
        <f>IF('Twenty-Third'!J182="", "",'Twenty-Third'!J182)</f>
        <v/>
      </c>
      <c r="K5679" s="86" t="str">
        <f>IF('Twenty-Third'!K182="", "",'Twenty-Third'!K182)</f>
        <v/>
      </c>
      <c r="M5679" s="67" t="str">
        <f t="shared" si="269"/>
        <v/>
      </c>
      <c r="N5679" s="76" t="str">
        <f t="shared" si="270"/>
        <v/>
      </c>
      <c r="O5679" s="33">
        <f t="shared" si="271"/>
        <v>0</v>
      </c>
    </row>
    <row r="5680" spans="1:15" x14ac:dyDescent="0.25">
      <c r="A5680" s="64" t="s">
        <v>192</v>
      </c>
      <c r="B5680" s="79" t="str">
        <f>IF('Twenty-Third'!B183="", "",'Twenty-Third'!B183)</f>
        <v/>
      </c>
      <c r="C5680" s="66" t="str">
        <f>IF('Twenty-Third'!C183="", "",'Twenty-Third'!C183)</f>
        <v/>
      </c>
      <c r="D5680" s="66" t="str">
        <f>IF('Twenty-Third'!D183="", "",'Twenty-Third'!D183)</f>
        <v/>
      </c>
      <c r="E5680" s="66" t="str">
        <f>IF('Twenty-Third'!E183="", "",'Twenty-Third'!E183)</f>
        <v/>
      </c>
      <c r="F5680" s="66" t="str">
        <f>IF('Twenty-Third'!F183="", "",'Twenty-Third'!F183)</f>
        <v/>
      </c>
      <c r="G5680" s="66" t="str">
        <f>IF('Twenty-Third'!G183="", "",'Twenty-Third'!G183)</f>
        <v/>
      </c>
      <c r="H5680" s="66" t="str">
        <f>IF('Twenty-Third'!H183="", "",'Twenty-Third'!H183)</f>
        <v/>
      </c>
      <c r="I5680" s="66" t="str">
        <f>IF('Twenty-Third'!I183="", "",'Twenty-Third'!I183)</f>
        <v/>
      </c>
      <c r="J5680" s="66" t="str">
        <f>IF('Twenty-Third'!J183="", "",'Twenty-Third'!J183)</f>
        <v/>
      </c>
      <c r="K5680" s="86" t="str">
        <f>IF('Twenty-Third'!K183="", "",'Twenty-Third'!K183)</f>
        <v/>
      </c>
      <c r="M5680" s="67" t="str">
        <f t="shared" si="269"/>
        <v/>
      </c>
      <c r="N5680" s="76" t="str">
        <f t="shared" si="270"/>
        <v/>
      </c>
      <c r="O5680" s="33">
        <f t="shared" si="271"/>
        <v>0</v>
      </c>
    </row>
    <row r="5681" spans="1:15" x14ac:dyDescent="0.25">
      <c r="A5681" s="64" t="s">
        <v>192</v>
      </c>
      <c r="B5681" s="79" t="str">
        <f>IF('Twenty-Third'!B184="", "",'Twenty-Third'!B184)</f>
        <v/>
      </c>
      <c r="C5681" s="66" t="str">
        <f>IF('Twenty-Third'!C184="", "",'Twenty-Third'!C184)</f>
        <v/>
      </c>
      <c r="D5681" s="66" t="str">
        <f>IF('Twenty-Third'!D184="", "",'Twenty-Third'!D184)</f>
        <v/>
      </c>
      <c r="E5681" s="66" t="str">
        <f>IF('Twenty-Third'!E184="", "",'Twenty-Third'!E184)</f>
        <v/>
      </c>
      <c r="F5681" s="66" t="str">
        <f>IF('Twenty-Third'!F184="", "",'Twenty-Third'!F184)</f>
        <v/>
      </c>
      <c r="G5681" s="66" t="str">
        <f>IF('Twenty-Third'!G184="", "",'Twenty-Third'!G184)</f>
        <v/>
      </c>
      <c r="H5681" s="66" t="str">
        <f>IF('Twenty-Third'!H184="", "",'Twenty-Third'!H184)</f>
        <v/>
      </c>
      <c r="I5681" s="66" t="str">
        <f>IF('Twenty-Third'!I184="", "",'Twenty-Third'!I184)</f>
        <v/>
      </c>
      <c r="J5681" s="66" t="str">
        <f>IF('Twenty-Third'!J184="", "",'Twenty-Third'!J184)</f>
        <v/>
      </c>
      <c r="K5681" s="86" t="str">
        <f>IF('Twenty-Third'!K184="", "",'Twenty-Third'!K184)</f>
        <v/>
      </c>
      <c r="M5681" s="67" t="str">
        <f t="shared" si="269"/>
        <v/>
      </c>
      <c r="N5681" s="76" t="str">
        <f t="shared" si="270"/>
        <v/>
      </c>
      <c r="O5681" s="33">
        <f t="shared" si="271"/>
        <v>0</v>
      </c>
    </row>
    <row r="5682" spans="1:15" x14ac:dyDescent="0.25">
      <c r="A5682" s="64" t="s">
        <v>192</v>
      </c>
      <c r="B5682" s="79" t="str">
        <f>IF('Twenty-Third'!B185="", "",'Twenty-Third'!B185)</f>
        <v/>
      </c>
      <c r="C5682" s="66" t="str">
        <f>IF('Twenty-Third'!C185="", "",'Twenty-Third'!C185)</f>
        <v/>
      </c>
      <c r="D5682" s="66" t="str">
        <f>IF('Twenty-Third'!D185="", "",'Twenty-Third'!D185)</f>
        <v/>
      </c>
      <c r="E5682" s="66" t="str">
        <f>IF('Twenty-Third'!E185="", "",'Twenty-Third'!E185)</f>
        <v/>
      </c>
      <c r="F5682" s="66" t="str">
        <f>IF('Twenty-Third'!F185="", "",'Twenty-Third'!F185)</f>
        <v/>
      </c>
      <c r="G5682" s="66" t="str">
        <f>IF('Twenty-Third'!G185="", "",'Twenty-Third'!G185)</f>
        <v/>
      </c>
      <c r="H5682" s="66" t="str">
        <f>IF('Twenty-Third'!H185="", "",'Twenty-Third'!H185)</f>
        <v/>
      </c>
      <c r="I5682" s="66" t="str">
        <f>IF('Twenty-Third'!I185="", "",'Twenty-Third'!I185)</f>
        <v/>
      </c>
      <c r="J5682" s="66" t="str">
        <f>IF('Twenty-Third'!J185="", "",'Twenty-Third'!J185)</f>
        <v/>
      </c>
      <c r="K5682" s="86" t="str">
        <f>IF('Twenty-Third'!K185="", "",'Twenty-Third'!K185)</f>
        <v/>
      </c>
      <c r="M5682" s="67" t="str">
        <f t="shared" si="269"/>
        <v/>
      </c>
      <c r="N5682" s="76" t="str">
        <f t="shared" si="270"/>
        <v/>
      </c>
      <c r="O5682" s="33">
        <f t="shared" si="271"/>
        <v>0</v>
      </c>
    </row>
    <row r="5683" spans="1:15" x14ac:dyDescent="0.25">
      <c r="A5683" s="64" t="s">
        <v>192</v>
      </c>
      <c r="B5683" s="79" t="str">
        <f>IF('Twenty-Third'!B186="", "",'Twenty-Third'!B186)</f>
        <v/>
      </c>
      <c r="C5683" s="66" t="str">
        <f>IF('Twenty-Third'!C186="", "",'Twenty-Third'!C186)</f>
        <v/>
      </c>
      <c r="D5683" s="66" t="str">
        <f>IF('Twenty-Third'!D186="", "",'Twenty-Third'!D186)</f>
        <v/>
      </c>
      <c r="E5683" s="66" t="str">
        <f>IF('Twenty-Third'!E186="", "",'Twenty-Third'!E186)</f>
        <v/>
      </c>
      <c r="F5683" s="66" t="str">
        <f>IF('Twenty-Third'!F186="", "",'Twenty-Third'!F186)</f>
        <v/>
      </c>
      <c r="G5683" s="66" t="str">
        <f>IF('Twenty-Third'!G186="", "",'Twenty-Third'!G186)</f>
        <v/>
      </c>
      <c r="H5683" s="66" t="str">
        <f>IF('Twenty-Third'!H186="", "",'Twenty-Third'!H186)</f>
        <v/>
      </c>
      <c r="I5683" s="66" t="str">
        <f>IF('Twenty-Third'!I186="", "",'Twenty-Third'!I186)</f>
        <v/>
      </c>
      <c r="J5683" s="66" t="str">
        <f>IF('Twenty-Third'!J186="", "",'Twenty-Third'!J186)</f>
        <v/>
      </c>
      <c r="K5683" s="86" t="str">
        <f>IF('Twenty-Third'!K186="", "",'Twenty-Third'!K186)</f>
        <v/>
      </c>
      <c r="M5683" s="67" t="str">
        <f t="shared" si="269"/>
        <v/>
      </c>
      <c r="N5683" s="76" t="str">
        <f t="shared" si="270"/>
        <v/>
      </c>
      <c r="O5683" s="33">
        <f t="shared" si="271"/>
        <v>0</v>
      </c>
    </row>
    <row r="5684" spans="1:15" x14ac:dyDescent="0.25">
      <c r="A5684" s="64" t="s">
        <v>192</v>
      </c>
      <c r="B5684" s="79" t="str">
        <f>IF('Twenty-Third'!B187="", "",'Twenty-Third'!B187)</f>
        <v/>
      </c>
      <c r="C5684" s="66" t="str">
        <f>IF('Twenty-Third'!C187="", "",'Twenty-Third'!C187)</f>
        <v/>
      </c>
      <c r="D5684" s="66" t="str">
        <f>IF('Twenty-Third'!D187="", "",'Twenty-Third'!D187)</f>
        <v/>
      </c>
      <c r="E5684" s="66" t="str">
        <f>IF('Twenty-Third'!E187="", "",'Twenty-Third'!E187)</f>
        <v/>
      </c>
      <c r="F5684" s="66" t="str">
        <f>IF('Twenty-Third'!F187="", "",'Twenty-Third'!F187)</f>
        <v/>
      </c>
      <c r="G5684" s="66" t="str">
        <f>IF('Twenty-Third'!G187="", "",'Twenty-Third'!G187)</f>
        <v/>
      </c>
      <c r="H5684" s="66" t="str">
        <f>IF('Twenty-Third'!H187="", "",'Twenty-Third'!H187)</f>
        <v/>
      </c>
      <c r="I5684" s="66" t="str">
        <f>IF('Twenty-Third'!I187="", "",'Twenty-Third'!I187)</f>
        <v/>
      </c>
      <c r="J5684" s="66" t="str">
        <f>IF('Twenty-Third'!J187="", "",'Twenty-Third'!J187)</f>
        <v/>
      </c>
      <c r="K5684" s="86" t="str">
        <f>IF('Twenty-Third'!K187="", "",'Twenty-Third'!K187)</f>
        <v/>
      </c>
      <c r="M5684" s="67" t="str">
        <f t="shared" si="269"/>
        <v/>
      </c>
      <c r="N5684" s="76" t="str">
        <f t="shared" si="270"/>
        <v/>
      </c>
      <c r="O5684" s="33">
        <f t="shared" si="271"/>
        <v>0</v>
      </c>
    </row>
    <row r="5685" spans="1:15" x14ac:dyDescent="0.25">
      <c r="A5685" s="64" t="s">
        <v>192</v>
      </c>
      <c r="B5685" s="79" t="str">
        <f>IF('Twenty-Third'!B188="", "",'Twenty-Third'!B188)</f>
        <v/>
      </c>
      <c r="C5685" s="66" t="str">
        <f>IF('Twenty-Third'!C188="", "",'Twenty-Third'!C188)</f>
        <v/>
      </c>
      <c r="D5685" s="66" t="str">
        <f>IF('Twenty-Third'!D188="", "",'Twenty-Third'!D188)</f>
        <v/>
      </c>
      <c r="E5685" s="66" t="str">
        <f>IF('Twenty-Third'!E188="", "",'Twenty-Third'!E188)</f>
        <v/>
      </c>
      <c r="F5685" s="66" t="str">
        <f>IF('Twenty-Third'!F188="", "",'Twenty-Third'!F188)</f>
        <v/>
      </c>
      <c r="G5685" s="66" t="str">
        <f>IF('Twenty-Third'!G188="", "",'Twenty-Third'!G188)</f>
        <v/>
      </c>
      <c r="H5685" s="66" t="str">
        <f>IF('Twenty-Third'!H188="", "",'Twenty-Third'!H188)</f>
        <v/>
      </c>
      <c r="I5685" s="66" t="str">
        <f>IF('Twenty-Third'!I188="", "",'Twenty-Third'!I188)</f>
        <v/>
      </c>
      <c r="J5685" s="66" t="str">
        <f>IF('Twenty-Third'!J188="", "",'Twenty-Third'!J188)</f>
        <v/>
      </c>
      <c r="K5685" s="86" t="str">
        <f>IF('Twenty-Third'!K188="", "",'Twenty-Third'!K188)</f>
        <v/>
      </c>
      <c r="M5685" s="67" t="str">
        <f t="shared" si="269"/>
        <v/>
      </c>
      <c r="N5685" s="76" t="str">
        <f t="shared" si="270"/>
        <v/>
      </c>
      <c r="O5685" s="33">
        <f t="shared" si="271"/>
        <v>0</v>
      </c>
    </row>
    <row r="5686" spans="1:15" x14ac:dyDescent="0.25">
      <c r="A5686" s="64" t="s">
        <v>192</v>
      </c>
      <c r="B5686" s="79" t="str">
        <f>IF('Twenty-Third'!B189="", "",'Twenty-Third'!B189)</f>
        <v/>
      </c>
      <c r="C5686" s="66" t="str">
        <f>IF('Twenty-Third'!C189="", "",'Twenty-Third'!C189)</f>
        <v/>
      </c>
      <c r="D5686" s="66" t="str">
        <f>IF('Twenty-Third'!D189="", "",'Twenty-Third'!D189)</f>
        <v/>
      </c>
      <c r="E5686" s="66" t="str">
        <f>IF('Twenty-Third'!E189="", "",'Twenty-Third'!E189)</f>
        <v/>
      </c>
      <c r="F5686" s="66" t="str">
        <f>IF('Twenty-Third'!F189="", "",'Twenty-Third'!F189)</f>
        <v/>
      </c>
      <c r="G5686" s="66" t="str">
        <f>IF('Twenty-Third'!G189="", "",'Twenty-Third'!G189)</f>
        <v/>
      </c>
      <c r="H5686" s="66" t="str">
        <f>IF('Twenty-Third'!H189="", "",'Twenty-Third'!H189)</f>
        <v/>
      </c>
      <c r="I5686" s="66" t="str">
        <f>IF('Twenty-Third'!I189="", "",'Twenty-Third'!I189)</f>
        <v/>
      </c>
      <c r="J5686" s="66" t="str">
        <f>IF('Twenty-Third'!J189="", "",'Twenty-Third'!J189)</f>
        <v/>
      </c>
      <c r="K5686" s="86" t="str">
        <f>IF('Twenty-Third'!K189="", "",'Twenty-Third'!K189)</f>
        <v/>
      </c>
      <c r="M5686" s="67" t="str">
        <f t="shared" si="269"/>
        <v/>
      </c>
      <c r="N5686" s="76" t="str">
        <f t="shared" si="270"/>
        <v/>
      </c>
      <c r="O5686" s="33">
        <f t="shared" si="271"/>
        <v>0</v>
      </c>
    </row>
    <row r="5687" spans="1:15" x14ac:dyDescent="0.25">
      <c r="A5687" s="64" t="s">
        <v>192</v>
      </c>
      <c r="B5687" s="79" t="str">
        <f>IF('Twenty-Third'!B190="", "",'Twenty-Third'!B190)</f>
        <v/>
      </c>
      <c r="C5687" s="66" t="str">
        <f>IF('Twenty-Third'!C190="", "",'Twenty-Third'!C190)</f>
        <v/>
      </c>
      <c r="D5687" s="66" t="str">
        <f>IF('Twenty-Third'!D190="", "",'Twenty-Third'!D190)</f>
        <v/>
      </c>
      <c r="E5687" s="66" t="str">
        <f>IF('Twenty-Third'!E190="", "",'Twenty-Third'!E190)</f>
        <v/>
      </c>
      <c r="F5687" s="66" t="str">
        <f>IF('Twenty-Third'!F190="", "",'Twenty-Third'!F190)</f>
        <v/>
      </c>
      <c r="G5687" s="66" t="str">
        <f>IF('Twenty-Third'!G190="", "",'Twenty-Third'!G190)</f>
        <v/>
      </c>
      <c r="H5687" s="66" t="str">
        <f>IF('Twenty-Third'!H190="", "",'Twenty-Third'!H190)</f>
        <v/>
      </c>
      <c r="I5687" s="66" t="str">
        <f>IF('Twenty-Third'!I190="", "",'Twenty-Third'!I190)</f>
        <v/>
      </c>
      <c r="J5687" s="66" t="str">
        <f>IF('Twenty-Third'!J190="", "",'Twenty-Third'!J190)</f>
        <v/>
      </c>
      <c r="K5687" s="86" t="str">
        <f>IF('Twenty-Third'!K190="", "",'Twenty-Third'!K190)</f>
        <v/>
      </c>
      <c r="M5687" s="67" t="str">
        <f t="shared" si="269"/>
        <v/>
      </c>
      <c r="N5687" s="76" t="str">
        <f t="shared" si="270"/>
        <v/>
      </c>
      <c r="O5687" s="33">
        <f t="shared" si="271"/>
        <v>0</v>
      </c>
    </row>
    <row r="5688" spans="1:15" x14ac:dyDescent="0.25">
      <c r="A5688" s="64" t="s">
        <v>192</v>
      </c>
      <c r="B5688" s="79" t="str">
        <f>IF('Twenty-Third'!B191="", "",'Twenty-Third'!B191)</f>
        <v/>
      </c>
      <c r="C5688" s="66" t="str">
        <f>IF('Twenty-Third'!C191="", "",'Twenty-Third'!C191)</f>
        <v/>
      </c>
      <c r="D5688" s="66" t="str">
        <f>IF('Twenty-Third'!D191="", "",'Twenty-Third'!D191)</f>
        <v/>
      </c>
      <c r="E5688" s="66" t="str">
        <f>IF('Twenty-Third'!E191="", "",'Twenty-Third'!E191)</f>
        <v/>
      </c>
      <c r="F5688" s="66" t="str">
        <f>IF('Twenty-Third'!F191="", "",'Twenty-Third'!F191)</f>
        <v/>
      </c>
      <c r="G5688" s="66" t="str">
        <f>IF('Twenty-Third'!G191="", "",'Twenty-Third'!G191)</f>
        <v/>
      </c>
      <c r="H5688" s="66" t="str">
        <f>IF('Twenty-Third'!H191="", "",'Twenty-Third'!H191)</f>
        <v/>
      </c>
      <c r="I5688" s="66" t="str">
        <f>IF('Twenty-Third'!I191="", "",'Twenty-Third'!I191)</f>
        <v/>
      </c>
      <c r="J5688" s="66" t="str">
        <f>IF('Twenty-Third'!J191="", "",'Twenty-Third'!J191)</f>
        <v/>
      </c>
      <c r="K5688" s="86" t="str">
        <f>IF('Twenty-Third'!K191="", "",'Twenty-Third'!K191)</f>
        <v/>
      </c>
      <c r="M5688" s="67" t="str">
        <f t="shared" si="269"/>
        <v/>
      </c>
      <c r="N5688" s="76" t="str">
        <f t="shared" si="270"/>
        <v/>
      </c>
      <c r="O5688" s="33">
        <f t="shared" si="271"/>
        <v>0</v>
      </c>
    </row>
    <row r="5689" spans="1:15" x14ac:dyDescent="0.25">
      <c r="A5689" s="64" t="s">
        <v>192</v>
      </c>
      <c r="B5689" s="79" t="str">
        <f>IF('Twenty-Third'!B192="", "",'Twenty-Third'!B192)</f>
        <v/>
      </c>
      <c r="C5689" s="66" t="str">
        <f>IF('Twenty-Third'!C192="", "",'Twenty-Third'!C192)</f>
        <v/>
      </c>
      <c r="D5689" s="66" t="str">
        <f>IF('Twenty-Third'!D192="", "",'Twenty-Third'!D192)</f>
        <v/>
      </c>
      <c r="E5689" s="66" t="str">
        <f>IF('Twenty-Third'!E192="", "",'Twenty-Third'!E192)</f>
        <v/>
      </c>
      <c r="F5689" s="66" t="str">
        <f>IF('Twenty-Third'!F192="", "",'Twenty-Third'!F192)</f>
        <v/>
      </c>
      <c r="G5689" s="66" t="str">
        <f>IF('Twenty-Third'!G192="", "",'Twenty-Third'!G192)</f>
        <v/>
      </c>
      <c r="H5689" s="66" t="str">
        <f>IF('Twenty-Third'!H192="", "",'Twenty-Third'!H192)</f>
        <v/>
      </c>
      <c r="I5689" s="66" t="str">
        <f>IF('Twenty-Third'!I192="", "",'Twenty-Third'!I192)</f>
        <v/>
      </c>
      <c r="J5689" s="66" t="str">
        <f>IF('Twenty-Third'!J192="", "",'Twenty-Third'!J192)</f>
        <v/>
      </c>
      <c r="K5689" s="86" t="str">
        <f>IF('Twenty-Third'!K192="", "",'Twenty-Third'!K192)</f>
        <v/>
      </c>
      <c r="M5689" s="67" t="str">
        <f t="shared" si="269"/>
        <v/>
      </c>
      <c r="N5689" s="76" t="str">
        <f t="shared" si="270"/>
        <v/>
      </c>
      <c r="O5689" s="33">
        <f t="shared" si="271"/>
        <v>0</v>
      </c>
    </row>
    <row r="5690" spans="1:15" x14ac:dyDescent="0.25">
      <c r="A5690" s="64" t="s">
        <v>192</v>
      </c>
      <c r="B5690" s="79" t="str">
        <f>IF('Twenty-Third'!B193="", "",'Twenty-Third'!B193)</f>
        <v/>
      </c>
      <c r="C5690" s="66" t="str">
        <f>IF('Twenty-Third'!C193="", "",'Twenty-Third'!C193)</f>
        <v/>
      </c>
      <c r="D5690" s="66" t="str">
        <f>IF('Twenty-Third'!D193="", "",'Twenty-Third'!D193)</f>
        <v/>
      </c>
      <c r="E5690" s="66" t="str">
        <f>IF('Twenty-Third'!E193="", "",'Twenty-Third'!E193)</f>
        <v/>
      </c>
      <c r="F5690" s="66" t="str">
        <f>IF('Twenty-Third'!F193="", "",'Twenty-Third'!F193)</f>
        <v/>
      </c>
      <c r="G5690" s="66" t="str">
        <f>IF('Twenty-Third'!G193="", "",'Twenty-Third'!G193)</f>
        <v/>
      </c>
      <c r="H5690" s="66" t="str">
        <f>IF('Twenty-Third'!H193="", "",'Twenty-Third'!H193)</f>
        <v/>
      </c>
      <c r="I5690" s="66" t="str">
        <f>IF('Twenty-Third'!I193="", "",'Twenty-Third'!I193)</f>
        <v/>
      </c>
      <c r="J5690" s="66" t="str">
        <f>IF('Twenty-Third'!J193="", "",'Twenty-Third'!J193)</f>
        <v/>
      </c>
      <c r="K5690" s="86" t="str">
        <f>IF('Twenty-Third'!K193="", "",'Twenty-Third'!K193)</f>
        <v/>
      </c>
      <c r="M5690" s="67" t="str">
        <f t="shared" si="269"/>
        <v/>
      </c>
      <c r="N5690" s="76" t="str">
        <f t="shared" si="270"/>
        <v/>
      </c>
      <c r="O5690" s="33">
        <f t="shared" si="271"/>
        <v>0</v>
      </c>
    </row>
    <row r="5691" spans="1:15" x14ac:dyDescent="0.25">
      <c r="A5691" s="64" t="s">
        <v>192</v>
      </c>
      <c r="B5691" s="79" t="str">
        <f>IF('Twenty-Third'!B194="", "",'Twenty-Third'!B194)</f>
        <v/>
      </c>
      <c r="C5691" s="66" t="str">
        <f>IF('Twenty-Third'!C194="", "",'Twenty-Third'!C194)</f>
        <v/>
      </c>
      <c r="D5691" s="66" t="str">
        <f>IF('Twenty-Third'!D194="", "",'Twenty-Third'!D194)</f>
        <v/>
      </c>
      <c r="E5691" s="66" t="str">
        <f>IF('Twenty-Third'!E194="", "",'Twenty-Third'!E194)</f>
        <v/>
      </c>
      <c r="F5691" s="66" t="str">
        <f>IF('Twenty-Third'!F194="", "",'Twenty-Third'!F194)</f>
        <v/>
      </c>
      <c r="G5691" s="66" t="str">
        <f>IF('Twenty-Third'!G194="", "",'Twenty-Third'!G194)</f>
        <v/>
      </c>
      <c r="H5691" s="66" t="str">
        <f>IF('Twenty-Third'!H194="", "",'Twenty-Third'!H194)</f>
        <v/>
      </c>
      <c r="I5691" s="66" t="str">
        <f>IF('Twenty-Third'!I194="", "",'Twenty-Third'!I194)</f>
        <v/>
      </c>
      <c r="J5691" s="66" t="str">
        <f>IF('Twenty-Third'!J194="", "",'Twenty-Third'!J194)</f>
        <v/>
      </c>
      <c r="K5691" s="86" t="str">
        <f>IF('Twenty-Third'!K194="", "",'Twenty-Third'!K194)</f>
        <v/>
      </c>
      <c r="M5691" s="67" t="str">
        <f t="shared" si="269"/>
        <v/>
      </c>
      <c r="N5691" s="76" t="str">
        <f t="shared" si="270"/>
        <v/>
      </c>
      <c r="O5691" s="33">
        <f t="shared" si="271"/>
        <v>0</v>
      </c>
    </row>
    <row r="5692" spans="1:15" x14ac:dyDescent="0.25">
      <c r="A5692" s="64" t="s">
        <v>192</v>
      </c>
      <c r="B5692" s="79" t="str">
        <f>IF('Twenty-Third'!B195="", "",'Twenty-Third'!B195)</f>
        <v/>
      </c>
      <c r="C5692" s="66" t="str">
        <f>IF('Twenty-Third'!C195="", "",'Twenty-Third'!C195)</f>
        <v/>
      </c>
      <c r="D5692" s="66" t="str">
        <f>IF('Twenty-Third'!D195="", "",'Twenty-Third'!D195)</f>
        <v/>
      </c>
      <c r="E5692" s="66" t="str">
        <f>IF('Twenty-Third'!E195="", "",'Twenty-Third'!E195)</f>
        <v/>
      </c>
      <c r="F5692" s="66" t="str">
        <f>IF('Twenty-Third'!F195="", "",'Twenty-Third'!F195)</f>
        <v/>
      </c>
      <c r="G5692" s="66" t="str">
        <f>IF('Twenty-Third'!G195="", "",'Twenty-Third'!G195)</f>
        <v/>
      </c>
      <c r="H5692" s="66" t="str">
        <f>IF('Twenty-Third'!H195="", "",'Twenty-Third'!H195)</f>
        <v/>
      </c>
      <c r="I5692" s="66" t="str">
        <f>IF('Twenty-Third'!I195="", "",'Twenty-Third'!I195)</f>
        <v/>
      </c>
      <c r="J5692" s="66" t="str">
        <f>IF('Twenty-Third'!J195="", "",'Twenty-Third'!J195)</f>
        <v/>
      </c>
      <c r="K5692" s="86" t="str">
        <f>IF('Twenty-Third'!K195="", "",'Twenty-Third'!K195)</f>
        <v/>
      </c>
      <c r="M5692" s="67" t="str">
        <f t="shared" si="269"/>
        <v/>
      </c>
      <c r="N5692" s="76" t="str">
        <f t="shared" si="270"/>
        <v/>
      </c>
      <c r="O5692" s="33">
        <f t="shared" si="271"/>
        <v>0</v>
      </c>
    </row>
    <row r="5693" spans="1:15" x14ac:dyDescent="0.25">
      <c r="A5693" s="64" t="s">
        <v>192</v>
      </c>
      <c r="B5693" s="79" t="str">
        <f>IF('Twenty-Third'!B196="", "",'Twenty-Third'!B196)</f>
        <v/>
      </c>
      <c r="C5693" s="66" t="str">
        <f>IF('Twenty-Third'!C196="", "",'Twenty-Third'!C196)</f>
        <v/>
      </c>
      <c r="D5693" s="66" t="str">
        <f>IF('Twenty-Third'!D196="", "",'Twenty-Third'!D196)</f>
        <v/>
      </c>
      <c r="E5693" s="66" t="str">
        <f>IF('Twenty-Third'!E196="", "",'Twenty-Third'!E196)</f>
        <v/>
      </c>
      <c r="F5693" s="66" t="str">
        <f>IF('Twenty-Third'!F196="", "",'Twenty-Third'!F196)</f>
        <v/>
      </c>
      <c r="G5693" s="66" t="str">
        <f>IF('Twenty-Third'!G196="", "",'Twenty-Third'!G196)</f>
        <v/>
      </c>
      <c r="H5693" s="66" t="str">
        <f>IF('Twenty-Third'!H196="", "",'Twenty-Third'!H196)</f>
        <v/>
      </c>
      <c r="I5693" s="66" t="str">
        <f>IF('Twenty-Third'!I196="", "",'Twenty-Third'!I196)</f>
        <v/>
      </c>
      <c r="J5693" s="66" t="str">
        <f>IF('Twenty-Third'!J196="", "",'Twenty-Third'!J196)</f>
        <v/>
      </c>
      <c r="K5693" s="86" t="str">
        <f>IF('Twenty-Third'!K196="", "",'Twenty-Third'!K196)</f>
        <v/>
      </c>
      <c r="M5693" s="67" t="str">
        <f t="shared" si="269"/>
        <v/>
      </c>
      <c r="N5693" s="76" t="str">
        <f t="shared" si="270"/>
        <v/>
      </c>
      <c r="O5693" s="33">
        <f t="shared" si="271"/>
        <v>0</v>
      </c>
    </row>
    <row r="5694" spans="1:15" x14ac:dyDescent="0.25">
      <c r="A5694" s="64" t="s">
        <v>192</v>
      </c>
      <c r="B5694" s="79" t="str">
        <f>IF('Twenty-Third'!B197="", "",'Twenty-Third'!B197)</f>
        <v/>
      </c>
      <c r="C5694" s="66" t="str">
        <f>IF('Twenty-Third'!C197="", "",'Twenty-Third'!C197)</f>
        <v/>
      </c>
      <c r="D5694" s="66" t="str">
        <f>IF('Twenty-Third'!D197="", "",'Twenty-Third'!D197)</f>
        <v/>
      </c>
      <c r="E5694" s="66" t="str">
        <f>IF('Twenty-Third'!E197="", "",'Twenty-Third'!E197)</f>
        <v/>
      </c>
      <c r="F5694" s="66" t="str">
        <f>IF('Twenty-Third'!F197="", "",'Twenty-Third'!F197)</f>
        <v/>
      </c>
      <c r="G5694" s="66" t="str">
        <f>IF('Twenty-Third'!G197="", "",'Twenty-Third'!G197)</f>
        <v/>
      </c>
      <c r="H5694" s="66" t="str">
        <f>IF('Twenty-Third'!H197="", "",'Twenty-Third'!H197)</f>
        <v/>
      </c>
      <c r="I5694" s="66" t="str">
        <f>IF('Twenty-Third'!I197="", "",'Twenty-Third'!I197)</f>
        <v/>
      </c>
      <c r="J5694" s="66" t="str">
        <f>IF('Twenty-Third'!J197="", "",'Twenty-Third'!J197)</f>
        <v/>
      </c>
      <c r="K5694" s="86" t="str">
        <f>IF('Twenty-Third'!K197="", "",'Twenty-Third'!K197)</f>
        <v/>
      </c>
      <c r="M5694" s="67" t="str">
        <f t="shared" si="269"/>
        <v/>
      </c>
      <c r="N5694" s="76" t="str">
        <f t="shared" si="270"/>
        <v/>
      </c>
      <c r="O5694" s="33">
        <f t="shared" si="271"/>
        <v>0</v>
      </c>
    </row>
    <row r="5695" spans="1:15" x14ac:dyDescent="0.25">
      <c r="A5695" s="64" t="s">
        <v>192</v>
      </c>
      <c r="B5695" s="79" t="str">
        <f>IF('Twenty-Third'!B198="", "",'Twenty-Third'!B198)</f>
        <v/>
      </c>
      <c r="C5695" s="66" t="str">
        <f>IF('Twenty-Third'!C198="", "",'Twenty-Third'!C198)</f>
        <v/>
      </c>
      <c r="D5695" s="66" t="str">
        <f>IF('Twenty-Third'!D198="", "",'Twenty-Third'!D198)</f>
        <v/>
      </c>
      <c r="E5695" s="66" t="str">
        <f>IF('Twenty-Third'!E198="", "",'Twenty-Third'!E198)</f>
        <v/>
      </c>
      <c r="F5695" s="66" t="str">
        <f>IF('Twenty-Third'!F198="", "",'Twenty-Third'!F198)</f>
        <v/>
      </c>
      <c r="G5695" s="66" t="str">
        <f>IF('Twenty-Third'!G198="", "",'Twenty-Third'!G198)</f>
        <v/>
      </c>
      <c r="H5695" s="66" t="str">
        <f>IF('Twenty-Third'!H198="", "",'Twenty-Third'!H198)</f>
        <v/>
      </c>
      <c r="I5695" s="66" t="str">
        <f>IF('Twenty-Third'!I198="", "",'Twenty-Third'!I198)</f>
        <v/>
      </c>
      <c r="J5695" s="66" t="str">
        <f>IF('Twenty-Third'!J198="", "",'Twenty-Third'!J198)</f>
        <v/>
      </c>
      <c r="K5695" s="86" t="str">
        <f>IF('Twenty-Third'!K198="", "",'Twenty-Third'!K198)</f>
        <v/>
      </c>
      <c r="M5695" s="67" t="str">
        <f t="shared" ref="M5695:M5758" si="272">IF(C5695="PwC",(7-COUNTIF(B5695:H5695,"")),"")</f>
        <v/>
      </c>
      <c r="N5695" s="76" t="str">
        <f t="shared" ref="N5695:N5758" si="273">IF(C5695="Carer",(7-COUNTIF(B5695:H5695,"")),"")</f>
        <v/>
      </c>
      <c r="O5695" s="33">
        <f t="shared" si="271"/>
        <v>0</v>
      </c>
    </row>
    <row r="5696" spans="1:15" x14ac:dyDescent="0.25">
      <c r="A5696" s="64" t="s">
        <v>192</v>
      </c>
      <c r="B5696" s="79" t="str">
        <f>IF('Twenty-Third'!B199="", "",'Twenty-Third'!B199)</f>
        <v/>
      </c>
      <c r="C5696" s="66" t="str">
        <f>IF('Twenty-Third'!C199="", "",'Twenty-Third'!C199)</f>
        <v/>
      </c>
      <c r="D5696" s="66" t="str">
        <f>IF('Twenty-Third'!D199="", "",'Twenty-Third'!D199)</f>
        <v/>
      </c>
      <c r="E5696" s="66" t="str">
        <f>IF('Twenty-Third'!E199="", "",'Twenty-Third'!E199)</f>
        <v/>
      </c>
      <c r="F5696" s="66" t="str">
        <f>IF('Twenty-Third'!F199="", "",'Twenty-Third'!F199)</f>
        <v/>
      </c>
      <c r="G5696" s="66" t="str">
        <f>IF('Twenty-Third'!G199="", "",'Twenty-Third'!G199)</f>
        <v/>
      </c>
      <c r="H5696" s="66" t="str">
        <f>IF('Twenty-Third'!H199="", "",'Twenty-Third'!H199)</f>
        <v/>
      </c>
      <c r="I5696" s="66" t="str">
        <f>IF('Twenty-Third'!I199="", "",'Twenty-Third'!I199)</f>
        <v/>
      </c>
      <c r="J5696" s="66" t="str">
        <f>IF('Twenty-Third'!J199="", "",'Twenty-Third'!J199)</f>
        <v/>
      </c>
      <c r="K5696" s="86" t="str">
        <f>IF('Twenty-Third'!K199="", "",'Twenty-Third'!K199)</f>
        <v/>
      </c>
      <c r="M5696" s="67" t="str">
        <f t="shared" si="272"/>
        <v/>
      </c>
      <c r="N5696" s="76" t="str">
        <f t="shared" si="273"/>
        <v/>
      </c>
      <c r="O5696" s="33">
        <f t="shared" si="271"/>
        <v>0</v>
      </c>
    </row>
    <row r="5697" spans="1:15" x14ac:dyDescent="0.25">
      <c r="A5697" s="64" t="s">
        <v>192</v>
      </c>
      <c r="B5697" s="79" t="str">
        <f>IF('Twenty-Third'!B200="", "",'Twenty-Third'!B200)</f>
        <v/>
      </c>
      <c r="C5697" s="66" t="str">
        <f>IF('Twenty-Third'!C200="", "",'Twenty-Third'!C200)</f>
        <v/>
      </c>
      <c r="D5697" s="66" t="str">
        <f>IF('Twenty-Third'!D200="", "",'Twenty-Third'!D200)</f>
        <v/>
      </c>
      <c r="E5697" s="66" t="str">
        <f>IF('Twenty-Third'!E200="", "",'Twenty-Third'!E200)</f>
        <v/>
      </c>
      <c r="F5697" s="66" t="str">
        <f>IF('Twenty-Third'!F200="", "",'Twenty-Third'!F200)</f>
        <v/>
      </c>
      <c r="G5697" s="66" t="str">
        <f>IF('Twenty-Third'!G200="", "",'Twenty-Third'!G200)</f>
        <v/>
      </c>
      <c r="H5697" s="66" t="str">
        <f>IF('Twenty-Third'!H200="", "",'Twenty-Third'!H200)</f>
        <v/>
      </c>
      <c r="I5697" s="66" t="str">
        <f>IF('Twenty-Third'!I200="", "",'Twenty-Third'!I200)</f>
        <v/>
      </c>
      <c r="J5697" s="66" t="str">
        <f>IF('Twenty-Third'!J200="", "",'Twenty-Third'!J200)</f>
        <v/>
      </c>
      <c r="K5697" s="86" t="str">
        <f>IF('Twenty-Third'!K200="", "",'Twenty-Third'!K200)</f>
        <v/>
      </c>
      <c r="M5697" s="67" t="str">
        <f t="shared" si="272"/>
        <v/>
      </c>
      <c r="N5697" s="76" t="str">
        <f t="shared" si="273"/>
        <v/>
      </c>
      <c r="O5697" s="33">
        <f t="shared" si="271"/>
        <v>0</v>
      </c>
    </row>
    <row r="5698" spans="1:15" x14ac:dyDescent="0.25">
      <c r="A5698" s="64" t="s">
        <v>192</v>
      </c>
      <c r="B5698" s="79" t="str">
        <f>IF('Twenty-Third'!B201="", "",'Twenty-Third'!B201)</f>
        <v/>
      </c>
      <c r="C5698" s="66" t="str">
        <f>IF('Twenty-Third'!C201="", "",'Twenty-Third'!C201)</f>
        <v/>
      </c>
      <c r="D5698" s="66" t="str">
        <f>IF('Twenty-Third'!D201="", "",'Twenty-Third'!D201)</f>
        <v/>
      </c>
      <c r="E5698" s="66" t="str">
        <f>IF('Twenty-Third'!E201="", "",'Twenty-Third'!E201)</f>
        <v/>
      </c>
      <c r="F5698" s="66" t="str">
        <f>IF('Twenty-Third'!F201="", "",'Twenty-Third'!F201)</f>
        <v/>
      </c>
      <c r="G5698" s="66" t="str">
        <f>IF('Twenty-Third'!G201="", "",'Twenty-Third'!G201)</f>
        <v/>
      </c>
      <c r="H5698" s="66" t="str">
        <f>IF('Twenty-Third'!H201="", "",'Twenty-Third'!H201)</f>
        <v/>
      </c>
      <c r="I5698" s="66" t="str">
        <f>IF('Twenty-Third'!I201="", "",'Twenty-Third'!I201)</f>
        <v/>
      </c>
      <c r="J5698" s="66" t="str">
        <f>IF('Twenty-Third'!J201="", "",'Twenty-Third'!J201)</f>
        <v/>
      </c>
      <c r="K5698" s="86" t="str">
        <f>IF('Twenty-Third'!K201="", "",'Twenty-Third'!K201)</f>
        <v/>
      </c>
      <c r="M5698" s="67" t="str">
        <f t="shared" si="272"/>
        <v/>
      </c>
      <c r="N5698" s="76" t="str">
        <f t="shared" si="273"/>
        <v/>
      </c>
      <c r="O5698" s="33">
        <f t="shared" si="271"/>
        <v>0</v>
      </c>
    </row>
    <row r="5699" spans="1:15" x14ac:dyDescent="0.25">
      <c r="A5699" s="64" t="s">
        <v>192</v>
      </c>
      <c r="B5699" s="79" t="str">
        <f>IF('Twenty-Third'!B202="", "",'Twenty-Third'!B202)</f>
        <v/>
      </c>
      <c r="C5699" s="66" t="str">
        <f>IF('Twenty-Third'!C202="", "",'Twenty-Third'!C202)</f>
        <v/>
      </c>
      <c r="D5699" s="66" t="str">
        <f>IF('Twenty-Third'!D202="", "",'Twenty-Third'!D202)</f>
        <v/>
      </c>
      <c r="E5699" s="66" t="str">
        <f>IF('Twenty-Third'!E202="", "",'Twenty-Third'!E202)</f>
        <v/>
      </c>
      <c r="F5699" s="66" t="str">
        <f>IF('Twenty-Third'!F202="", "",'Twenty-Third'!F202)</f>
        <v/>
      </c>
      <c r="G5699" s="66" t="str">
        <f>IF('Twenty-Third'!G202="", "",'Twenty-Third'!G202)</f>
        <v/>
      </c>
      <c r="H5699" s="66" t="str">
        <f>IF('Twenty-Third'!H202="", "",'Twenty-Third'!H202)</f>
        <v/>
      </c>
      <c r="I5699" s="66" t="str">
        <f>IF('Twenty-Third'!I202="", "",'Twenty-Third'!I202)</f>
        <v/>
      </c>
      <c r="J5699" s="66" t="str">
        <f>IF('Twenty-Third'!J202="", "",'Twenty-Third'!J202)</f>
        <v/>
      </c>
      <c r="K5699" s="86" t="str">
        <f>IF('Twenty-Third'!K202="", "",'Twenty-Third'!K202)</f>
        <v/>
      </c>
      <c r="M5699" s="67" t="str">
        <f t="shared" si="272"/>
        <v/>
      </c>
      <c r="N5699" s="76" t="str">
        <f t="shared" si="273"/>
        <v/>
      </c>
      <c r="O5699" s="33">
        <f t="shared" si="271"/>
        <v>0</v>
      </c>
    </row>
    <row r="5700" spans="1:15" x14ac:dyDescent="0.25">
      <c r="A5700" s="64" t="s">
        <v>192</v>
      </c>
      <c r="B5700" s="79" t="str">
        <f>IF('Twenty-Third'!B203="", "",'Twenty-Third'!B203)</f>
        <v/>
      </c>
      <c r="C5700" s="66" t="str">
        <f>IF('Twenty-Third'!C203="", "",'Twenty-Third'!C203)</f>
        <v/>
      </c>
      <c r="D5700" s="66" t="str">
        <f>IF('Twenty-Third'!D203="", "",'Twenty-Third'!D203)</f>
        <v/>
      </c>
      <c r="E5700" s="66" t="str">
        <f>IF('Twenty-Third'!E203="", "",'Twenty-Third'!E203)</f>
        <v/>
      </c>
      <c r="F5700" s="66" t="str">
        <f>IF('Twenty-Third'!F203="", "",'Twenty-Third'!F203)</f>
        <v/>
      </c>
      <c r="G5700" s="66" t="str">
        <f>IF('Twenty-Third'!G203="", "",'Twenty-Third'!G203)</f>
        <v/>
      </c>
      <c r="H5700" s="66" t="str">
        <f>IF('Twenty-Third'!H203="", "",'Twenty-Third'!H203)</f>
        <v/>
      </c>
      <c r="I5700" s="66" t="str">
        <f>IF('Twenty-Third'!I203="", "",'Twenty-Third'!I203)</f>
        <v/>
      </c>
      <c r="J5700" s="66" t="str">
        <f>IF('Twenty-Third'!J203="", "",'Twenty-Third'!J203)</f>
        <v/>
      </c>
      <c r="K5700" s="86" t="str">
        <f>IF('Twenty-Third'!K203="", "",'Twenty-Third'!K203)</f>
        <v/>
      </c>
      <c r="M5700" s="67" t="str">
        <f t="shared" si="272"/>
        <v/>
      </c>
      <c r="N5700" s="76" t="str">
        <f t="shared" si="273"/>
        <v/>
      </c>
      <c r="O5700" s="33">
        <f t="shared" si="271"/>
        <v>0</v>
      </c>
    </row>
    <row r="5701" spans="1:15" x14ac:dyDescent="0.25">
      <c r="A5701" s="64" t="s">
        <v>192</v>
      </c>
      <c r="B5701" s="79" t="str">
        <f>IF('Twenty-Third'!B204="", "",'Twenty-Third'!B204)</f>
        <v/>
      </c>
      <c r="C5701" s="66" t="str">
        <f>IF('Twenty-Third'!C204="", "",'Twenty-Third'!C204)</f>
        <v/>
      </c>
      <c r="D5701" s="66" t="str">
        <f>IF('Twenty-Third'!D204="", "",'Twenty-Third'!D204)</f>
        <v/>
      </c>
      <c r="E5701" s="66" t="str">
        <f>IF('Twenty-Third'!E204="", "",'Twenty-Third'!E204)</f>
        <v/>
      </c>
      <c r="F5701" s="66" t="str">
        <f>IF('Twenty-Third'!F204="", "",'Twenty-Third'!F204)</f>
        <v/>
      </c>
      <c r="G5701" s="66" t="str">
        <f>IF('Twenty-Third'!G204="", "",'Twenty-Third'!G204)</f>
        <v/>
      </c>
      <c r="H5701" s="66" t="str">
        <f>IF('Twenty-Third'!H204="", "",'Twenty-Third'!H204)</f>
        <v/>
      </c>
      <c r="I5701" s="66" t="str">
        <f>IF('Twenty-Third'!I204="", "",'Twenty-Third'!I204)</f>
        <v/>
      </c>
      <c r="J5701" s="66" t="str">
        <f>IF('Twenty-Third'!J204="", "",'Twenty-Third'!J204)</f>
        <v/>
      </c>
      <c r="K5701" s="86" t="str">
        <f>IF('Twenty-Third'!K204="", "",'Twenty-Third'!K204)</f>
        <v/>
      </c>
      <c r="M5701" s="67" t="str">
        <f t="shared" si="272"/>
        <v/>
      </c>
      <c r="N5701" s="76" t="str">
        <f t="shared" si="273"/>
        <v/>
      </c>
      <c r="O5701" s="33">
        <f t="shared" si="271"/>
        <v>0</v>
      </c>
    </row>
    <row r="5702" spans="1:15" x14ac:dyDescent="0.25">
      <c r="A5702" s="64" t="s">
        <v>192</v>
      </c>
      <c r="B5702" s="79" t="str">
        <f>IF('Twenty-Third'!B205="", "",'Twenty-Third'!B205)</f>
        <v/>
      </c>
      <c r="C5702" s="66" t="str">
        <f>IF('Twenty-Third'!C205="", "",'Twenty-Third'!C205)</f>
        <v/>
      </c>
      <c r="D5702" s="66" t="str">
        <f>IF('Twenty-Third'!D205="", "",'Twenty-Third'!D205)</f>
        <v/>
      </c>
      <c r="E5702" s="66" t="str">
        <f>IF('Twenty-Third'!E205="", "",'Twenty-Third'!E205)</f>
        <v/>
      </c>
      <c r="F5702" s="66" t="str">
        <f>IF('Twenty-Third'!F205="", "",'Twenty-Third'!F205)</f>
        <v/>
      </c>
      <c r="G5702" s="66" t="str">
        <f>IF('Twenty-Third'!G205="", "",'Twenty-Third'!G205)</f>
        <v/>
      </c>
      <c r="H5702" s="66" t="str">
        <f>IF('Twenty-Third'!H205="", "",'Twenty-Third'!H205)</f>
        <v/>
      </c>
      <c r="I5702" s="66" t="str">
        <f>IF('Twenty-Third'!I205="", "",'Twenty-Third'!I205)</f>
        <v/>
      </c>
      <c r="J5702" s="66" t="str">
        <f>IF('Twenty-Third'!J205="", "",'Twenty-Third'!J205)</f>
        <v/>
      </c>
      <c r="K5702" s="86" t="str">
        <f>IF('Twenty-Third'!K205="", "",'Twenty-Third'!K205)</f>
        <v/>
      </c>
      <c r="M5702" s="67" t="str">
        <f t="shared" si="272"/>
        <v/>
      </c>
      <c r="N5702" s="76" t="str">
        <f t="shared" si="273"/>
        <v/>
      </c>
      <c r="O5702" s="33">
        <f t="shared" si="271"/>
        <v>0</v>
      </c>
    </row>
    <row r="5703" spans="1:15" x14ac:dyDescent="0.25">
      <c r="A5703" s="64" t="s">
        <v>192</v>
      </c>
      <c r="B5703" s="79" t="str">
        <f>IF('Twenty-Third'!B206="", "",'Twenty-Third'!B206)</f>
        <v/>
      </c>
      <c r="C5703" s="66" t="str">
        <f>IF('Twenty-Third'!C206="", "",'Twenty-Third'!C206)</f>
        <v/>
      </c>
      <c r="D5703" s="66" t="str">
        <f>IF('Twenty-Third'!D206="", "",'Twenty-Third'!D206)</f>
        <v/>
      </c>
      <c r="E5703" s="66" t="str">
        <f>IF('Twenty-Third'!E206="", "",'Twenty-Third'!E206)</f>
        <v/>
      </c>
      <c r="F5703" s="66" t="str">
        <f>IF('Twenty-Third'!F206="", "",'Twenty-Third'!F206)</f>
        <v/>
      </c>
      <c r="G5703" s="66" t="str">
        <f>IF('Twenty-Third'!G206="", "",'Twenty-Third'!G206)</f>
        <v/>
      </c>
      <c r="H5703" s="66" t="str">
        <f>IF('Twenty-Third'!H206="", "",'Twenty-Third'!H206)</f>
        <v/>
      </c>
      <c r="I5703" s="66" t="str">
        <f>IF('Twenty-Third'!I206="", "",'Twenty-Third'!I206)</f>
        <v/>
      </c>
      <c r="J5703" s="66" t="str">
        <f>IF('Twenty-Third'!J206="", "",'Twenty-Third'!J206)</f>
        <v/>
      </c>
      <c r="K5703" s="86" t="str">
        <f>IF('Twenty-Third'!K206="", "",'Twenty-Third'!K206)</f>
        <v/>
      </c>
      <c r="M5703" s="67" t="str">
        <f t="shared" si="272"/>
        <v/>
      </c>
      <c r="N5703" s="76" t="str">
        <f t="shared" si="273"/>
        <v/>
      </c>
      <c r="O5703" s="33">
        <f t="shared" si="271"/>
        <v>0</v>
      </c>
    </row>
    <row r="5704" spans="1:15" x14ac:dyDescent="0.25">
      <c r="A5704" s="64" t="s">
        <v>192</v>
      </c>
      <c r="B5704" s="79" t="str">
        <f>IF('Twenty-Third'!B207="", "",'Twenty-Third'!B207)</f>
        <v/>
      </c>
      <c r="C5704" s="66" t="str">
        <f>IF('Twenty-Third'!C207="", "",'Twenty-Third'!C207)</f>
        <v/>
      </c>
      <c r="D5704" s="66" t="str">
        <f>IF('Twenty-Third'!D207="", "",'Twenty-Third'!D207)</f>
        <v/>
      </c>
      <c r="E5704" s="66" t="str">
        <f>IF('Twenty-Third'!E207="", "",'Twenty-Third'!E207)</f>
        <v/>
      </c>
      <c r="F5704" s="66" t="str">
        <f>IF('Twenty-Third'!F207="", "",'Twenty-Third'!F207)</f>
        <v/>
      </c>
      <c r="G5704" s="66" t="str">
        <f>IF('Twenty-Third'!G207="", "",'Twenty-Third'!G207)</f>
        <v/>
      </c>
      <c r="H5704" s="66" t="str">
        <f>IF('Twenty-Third'!H207="", "",'Twenty-Third'!H207)</f>
        <v/>
      </c>
      <c r="I5704" s="66" t="str">
        <f>IF('Twenty-Third'!I207="", "",'Twenty-Third'!I207)</f>
        <v/>
      </c>
      <c r="J5704" s="66" t="str">
        <f>IF('Twenty-Third'!J207="", "",'Twenty-Third'!J207)</f>
        <v/>
      </c>
      <c r="K5704" s="86" t="str">
        <f>IF('Twenty-Third'!K207="", "",'Twenty-Third'!K207)</f>
        <v/>
      </c>
      <c r="M5704" s="67" t="str">
        <f t="shared" si="272"/>
        <v/>
      </c>
      <c r="N5704" s="76" t="str">
        <f t="shared" si="273"/>
        <v/>
      </c>
      <c r="O5704" s="33">
        <f t="shared" si="271"/>
        <v>0</v>
      </c>
    </row>
    <row r="5705" spans="1:15" x14ac:dyDescent="0.25">
      <c r="A5705" s="64" t="s">
        <v>192</v>
      </c>
      <c r="B5705" s="79" t="str">
        <f>IF('Twenty-Third'!B208="", "",'Twenty-Third'!B208)</f>
        <v/>
      </c>
      <c r="C5705" s="66" t="str">
        <f>IF('Twenty-Third'!C208="", "",'Twenty-Third'!C208)</f>
        <v/>
      </c>
      <c r="D5705" s="66" t="str">
        <f>IF('Twenty-Third'!D208="", "",'Twenty-Third'!D208)</f>
        <v/>
      </c>
      <c r="E5705" s="66" t="str">
        <f>IF('Twenty-Third'!E208="", "",'Twenty-Third'!E208)</f>
        <v/>
      </c>
      <c r="F5705" s="66" t="str">
        <f>IF('Twenty-Third'!F208="", "",'Twenty-Third'!F208)</f>
        <v/>
      </c>
      <c r="G5705" s="66" t="str">
        <f>IF('Twenty-Third'!G208="", "",'Twenty-Third'!G208)</f>
        <v/>
      </c>
      <c r="H5705" s="66" t="str">
        <f>IF('Twenty-Third'!H208="", "",'Twenty-Third'!H208)</f>
        <v/>
      </c>
      <c r="I5705" s="66" t="str">
        <f>IF('Twenty-Third'!I208="", "",'Twenty-Third'!I208)</f>
        <v/>
      </c>
      <c r="J5705" s="66" t="str">
        <f>IF('Twenty-Third'!J208="", "",'Twenty-Third'!J208)</f>
        <v/>
      </c>
      <c r="K5705" s="86" t="str">
        <f>IF('Twenty-Third'!K208="", "",'Twenty-Third'!K208)</f>
        <v/>
      </c>
      <c r="M5705" s="67" t="str">
        <f t="shared" si="272"/>
        <v/>
      </c>
      <c r="N5705" s="76" t="str">
        <f t="shared" si="273"/>
        <v/>
      </c>
      <c r="O5705" s="33">
        <f t="shared" si="271"/>
        <v>0</v>
      </c>
    </row>
    <row r="5706" spans="1:15" x14ac:dyDescent="0.25">
      <c r="A5706" s="64" t="s">
        <v>192</v>
      </c>
      <c r="B5706" s="79" t="str">
        <f>IF('Twenty-Third'!B209="", "",'Twenty-Third'!B209)</f>
        <v/>
      </c>
      <c r="C5706" s="66" t="str">
        <f>IF('Twenty-Third'!C209="", "",'Twenty-Third'!C209)</f>
        <v/>
      </c>
      <c r="D5706" s="66" t="str">
        <f>IF('Twenty-Third'!D209="", "",'Twenty-Third'!D209)</f>
        <v/>
      </c>
      <c r="E5706" s="66" t="str">
        <f>IF('Twenty-Third'!E209="", "",'Twenty-Third'!E209)</f>
        <v/>
      </c>
      <c r="F5706" s="66" t="str">
        <f>IF('Twenty-Third'!F209="", "",'Twenty-Third'!F209)</f>
        <v/>
      </c>
      <c r="G5706" s="66" t="str">
        <f>IF('Twenty-Third'!G209="", "",'Twenty-Third'!G209)</f>
        <v/>
      </c>
      <c r="H5706" s="66" t="str">
        <f>IF('Twenty-Third'!H209="", "",'Twenty-Third'!H209)</f>
        <v/>
      </c>
      <c r="I5706" s="66" t="str">
        <f>IF('Twenty-Third'!I209="", "",'Twenty-Third'!I209)</f>
        <v/>
      </c>
      <c r="J5706" s="66" t="str">
        <f>IF('Twenty-Third'!J209="", "",'Twenty-Third'!J209)</f>
        <v/>
      </c>
      <c r="K5706" s="86" t="str">
        <f>IF('Twenty-Third'!K209="", "",'Twenty-Third'!K209)</f>
        <v/>
      </c>
      <c r="M5706" s="67" t="str">
        <f t="shared" si="272"/>
        <v/>
      </c>
      <c r="N5706" s="76" t="str">
        <f t="shared" si="273"/>
        <v/>
      </c>
      <c r="O5706" s="33">
        <f t="shared" ref="O5706:O5769" si="274">SUM(M5706:N5706)</f>
        <v>0</v>
      </c>
    </row>
    <row r="5707" spans="1:15" x14ac:dyDescent="0.25">
      <c r="A5707" s="64" t="s">
        <v>192</v>
      </c>
      <c r="B5707" s="79" t="str">
        <f>IF('Twenty-Third'!B210="", "",'Twenty-Third'!B210)</f>
        <v/>
      </c>
      <c r="C5707" s="66" t="str">
        <f>IF('Twenty-Third'!C210="", "",'Twenty-Third'!C210)</f>
        <v/>
      </c>
      <c r="D5707" s="66" t="str">
        <f>IF('Twenty-Third'!D210="", "",'Twenty-Third'!D210)</f>
        <v/>
      </c>
      <c r="E5707" s="66" t="str">
        <f>IF('Twenty-Third'!E210="", "",'Twenty-Third'!E210)</f>
        <v/>
      </c>
      <c r="F5707" s="66" t="str">
        <f>IF('Twenty-Third'!F210="", "",'Twenty-Third'!F210)</f>
        <v/>
      </c>
      <c r="G5707" s="66" t="str">
        <f>IF('Twenty-Third'!G210="", "",'Twenty-Third'!G210)</f>
        <v/>
      </c>
      <c r="H5707" s="66" t="str">
        <f>IF('Twenty-Third'!H210="", "",'Twenty-Third'!H210)</f>
        <v/>
      </c>
      <c r="I5707" s="66" t="str">
        <f>IF('Twenty-Third'!I210="", "",'Twenty-Third'!I210)</f>
        <v/>
      </c>
      <c r="J5707" s="66" t="str">
        <f>IF('Twenty-Third'!J210="", "",'Twenty-Third'!J210)</f>
        <v/>
      </c>
      <c r="K5707" s="86" t="str">
        <f>IF('Twenty-Third'!K210="", "",'Twenty-Third'!K210)</f>
        <v/>
      </c>
      <c r="M5707" s="67" t="str">
        <f t="shared" si="272"/>
        <v/>
      </c>
      <c r="N5707" s="76" t="str">
        <f t="shared" si="273"/>
        <v/>
      </c>
      <c r="O5707" s="33">
        <f t="shared" si="274"/>
        <v>0</v>
      </c>
    </row>
    <row r="5708" spans="1:15" x14ac:dyDescent="0.25">
      <c r="A5708" s="64" t="s">
        <v>192</v>
      </c>
      <c r="B5708" s="79" t="str">
        <f>IF('Twenty-Third'!B211="", "",'Twenty-Third'!B211)</f>
        <v/>
      </c>
      <c r="C5708" s="66" t="str">
        <f>IF('Twenty-Third'!C211="", "",'Twenty-Third'!C211)</f>
        <v/>
      </c>
      <c r="D5708" s="66" t="str">
        <f>IF('Twenty-Third'!D211="", "",'Twenty-Third'!D211)</f>
        <v/>
      </c>
      <c r="E5708" s="66" t="str">
        <f>IF('Twenty-Third'!E211="", "",'Twenty-Third'!E211)</f>
        <v/>
      </c>
      <c r="F5708" s="66" t="str">
        <f>IF('Twenty-Third'!F211="", "",'Twenty-Third'!F211)</f>
        <v/>
      </c>
      <c r="G5708" s="66" t="str">
        <f>IF('Twenty-Third'!G211="", "",'Twenty-Third'!G211)</f>
        <v/>
      </c>
      <c r="H5708" s="66" t="str">
        <f>IF('Twenty-Third'!H211="", "",'Twenty-Third'!H211)</f>
        <v/>
      </c>
      <c r="I5708" s="66" t="str">
        <f>IF('Twenty-Third'!I211="", "",'Twenty-Third'!I211)</f>
        <v/>
      </c>
      <c r="J5708" s="66" t="str">
        <f>IF('Twenty-Third'!J211="", "",'Twenty-Third'!J211)</f>
        <v/>
      </c>
      <c r="K5708" s="86" t="str">
        <f>IF('Twenty-Third'!K211="", "",'Twenty-Third'!K211)</f>
        <v/>
      </c>
      <c r="M5708" s="67" t="str">
        <f t="shared" si="272"/>
        <v/>
      </c>
      <c r="N5708" s="76" t="str">
        <f t="shared" si="273"/>
        <v/>
      </c>
      <c r="O5708" s="33">
        <f t="shared" si="274"/>
        <v>0</v>
      </c>
    </row>
    <row r="5709" spans="1:15" x14ac:dyDescent="0.25">
      <c r="A5709" s="64" t="s">
        <v>192</v>
      </c>
      <c r="B5709" s="79" t="str">
        <f>IF('Twenty-Third'!B212="", "",'Twenty-Third'!B212)</f>
        <v/>
      </c>
      <c r="C5709" s="66" t="str">
        <f>IF('Twenty-Third'!C212="", "",'Twenty-Third'!C212)</f>
        <v/>
      </c>
      <c r="D5709" s="66" t="str">
        <f>IF('Twenty-Third'!D212="", "",'Twenty-Third'!D212)</f>
        <v/>
      </c>
      <c r="E5709" s="66" t="str">
        <f>IF('Twenty-Third'!E212="", "",'Twenty-Third'!E212)</f>
        <v/>
      </c>
      <c r="F5709" s="66" t="str">
        <f>IF('Twenty-Third'!F212="", "",'Twenty-Third'!F212)</f>
        <v/>
      </c>
      <c r="G5709" s="66" t="str">
        <f>IF('Twenty-Third'!G212="", "",'Twenty-Third'!G212)</f>
        <v/>
      </c>
      <c r="H5709" s="66" t="str">
        <f>IF('Twenty-Third'!H212="", "",'Twenty-Third'!H212)</f>
        <v/>
      </c>
      <c r="I5709" s="66" t="str">
        <f>IF('Twenty-Third'!I212="", "",'Twenty-Third'!I212)</f>
        <v/>
      </c>
      <c r="J5709" s="66" t="str">
        <f>IF('Twenty-Third'!J212="", "",'Twenty-Third'!J212)</f>
        <v/>
      </c>
      <c r="K5709" s="86" t="str">
        <f>IF('Twenty-Third'!K212="", "",'Twenty-Third'!K212)</f>
        <v/>
      </c>
      <c r="M5709" s="67" t="str">
        <f t="shared" si="272"/>
        <v/>
      </c>
      <c r="N5709" s="76" t="str">
        <f t="shared" si="273"/>
        <v/>
      </c>
      <c r="O5709" s="33">
        <f t="shared" si="274"/>
        <v>0</v>
      </c>
    </row>
    <row r="5710" spans="1:15" x14ac:dyDescent="0.25">
      <c r="A5710" s="64" t="s">
        <v>192</v>
      </c>
      <c r="B5710" s="79" t="str">
        <f>IF('Twenty-Third'!B213="", "",'Twenty-Third'!B213)</f>
        <v/>
      </c>
      <c r="C5710" s="66" t="str">
        <f>IF('Twenty-Third'!C213="", "",'Twenty-Third'!C213)</f>
        <v/>
      </c>
      <c r="D5710" s="66" t="str">
        <f>IF('Twenty-Third'!D213="", "",'Twenty-Third'!D213)</f>
        <v/>
      </c>
      <c r="E5710" s="66" t="str">
        <f>IF('Twenty-Third'!E213="", "",'Twenty-Third'!E213)</f>
        <v/>
      </c>
      <c r="F5710" s="66" t="str">
        <f>IF('Twenty-Third'!F213="", "",'Twenty-Third'!F213)</f>
        <v/>
      </c>
      <c r="G5710" s="66" t="str">
        <f>IF('Twenty-Third'!G213="", "",'Twenty-Third'!G213)</f>
        <v/>
      </c>
      <c r="H5710" s="66" t="str">
        <f>IF('Twenty-Third'!H213="", "",'Twenty-Third'!H213)</f>
        <v/>
      </c>
      <c r="I5710" s="66" t="str">
        <f>IF('Twenty-Third'!I213="", "",'Twenty-Third'!I213)</f>
        <v/>
      </c>
      <c r="J5710" s="66" t="str">
        <f>IF('Twenty-Third'!J213="", "",'Twenty-Third'!J213)</f>
        <v/>
      </c>
      <c r="K5710" s="86" t="str">
        <f>IF('Twenty-Third'!K213="", "",'Twenty-Third'!K213)</f>
        <v/>
      </c>
      <c r="M5710" s="67" t="str">
        <f t="shared" si="272"/>
        <v/>
      </c>
      <c r="N5710" s="76" t="str">
        <f t="shared" si="273"/>
        <v/>
      </c>
      <c r="O5710" s="33">
        <f t="shared" si="274"/>
        <v>0</v>
      </c>
    </row>
    <row r="5711" spans="1:15" x14ac:dyDescent="0.25">
      <c r="A5711" s="64" t="s">
        <v>192</v>
      </c>
      <c r="B5711" s="79" t="str">
        <f>IF('Twenty-Third'!B214="", "",'Twenty-Third'!B214)</f>
        <v/>
      </c>
      <c r="C5711" s="66" t="str">
        <f>IF('Twenty-Third'!C214="", "",'Twenty-Third'!C214)</f>
        <v/>
      </c>
      <c r="D5711" s="66" t="str">
        <f>IF('Twenty-Third'!D214="", "",'Twenty-Third'!D214)</f>
        <v/>
      </c>
      <c r="E5711" s="66" t="str">
        <f>IF('Twenty-Third'!E214="", "",'Twenty-Third'!E214)</f>
        <v/>
      </c>
      <c r="F5711" s="66" t="str">
        <f>IF('Twenty-Third'!F214="", "",'Twenty-Third'!F214)</f>
        <v/>
      </c>
      <c r="G5711" s="66" t="str">
        <f>IF('Twenty-Third'!G214="", "",'Twenty-Third'!G214)</f>
        <v/>
      </c>
      <c r="H5711" s="66" t="str">
        <f>IF('Twenty-Third'!H214="", "",'Twenty-Third'!H214)</f>
        <v/>
      </c>
      <c r="I5711" s="66" t="str">
        <f>IF('Twenty-Third'!I214="", "",'Twenty-Third'!I214)</f>
        <v/>
      </c>
      <c r="J5711" s="66" t="str">
        <f>IF('Twenty-Third'!J214="", "",'Twenty-Third'!J214)</f>
        <v/>
      </c>
      <c r="K5711" s="86" t="str">
        <f>IF('Twenty-Third'!K214="", "",'Twenty-Third'!K214)</f>
        <v/>
      </c>
      <c r="M5711" s="67" t="str">
        <f t="shared" si="272"/>
        <v/>
      </c>
      <c r="N5711" s="76" t="str">
        <f t="shared" si="273"/>
        <v/>
      </c>
      <c r="O5711" s="33">
        <f t="shared" si="274"/>
        <v>0</v>
      </c>
    </row>
    <row r="5712" spans="1:15" x14ac:dyDescent="0.25">
      <c r="A5712" s="64" t="s">
        <v>192</v>
      </c>
      <c r="B5712" s="79" t="str">
        <f>IF('Twenty-Third'!B215="", "",'Twenty-Third'!B215)</f>
        <v/>
      </c>
      <c r="C5712" s="66" t="str">
        <f>IF('Twenty-Third'!C215="", "",'Twenty-Third'!C215)</f>
        <v/>
      </c>
      <c r="D5712" s="66" t="str">
        <f>IF('Twenty-Third'!D215="", "",'Twenty-Third'!D215)</f>
        <v/>
      </c>
      <c r="E5712" s="66" t="str">
        <f>IF('Twenty-Third'!E215="", "",'Twenty-Third'!E215)</f>
        <v/>
      </c>
      <c r="F5712" s="66" t="str">
        <f>IF('Twenty-Third'!F215="", "",'Twenty-Third'!F215)</f>
        <v/>
      </c>
      <c r="G5712" s="66" t="str">
        <f>IF('Twenty-Third'!G215="", "",'Twenty-Third'!G215)</f>
        <v/>
      </c>
      <c r="H5712" s="66" t="str">
        <f>IF('Twenty-Third'!H215="", "",'Twenty-Third'!H215)</f>
        <v/>
      </c>
      <c r="I5712" s="66" t="str">
        <f>IF('Twenty-Third'!I215="", "",'Twenty-Third'!I215)</f>
        <v/>
      </c>
      <c r="J5712" s="66" t="str">
        <f>IF('Twenty-Third'!J215="", "",'Twenty-Third'!J215)</f>
        <v/>
      </c>
      <c r="K5712" s="86" t="str">
        <f>IF('Twenty-Third'!K215="", "",'Twenty-Third'!K215)</f>
        <v/>
      </c>
      <c r="M5712" s="67" t="str">
        <f t="shared" si="272"/>
        <v/>
      </c>
      <c r="N5712" s="76" t="str">
        <f t="shared" si="273"/>
        <v/>
      </c>
      <c r="O5712" s="33">
        <f t="shared" si="274"/>
        <v>0</v>
      </c>
    </row>
    <row r="5713" spans="1:15" x14ac:dyDescent="0.25">
      <c r="A5713" s="64" t="s">
        <v>192</v>
      </c>
      <c r="B5713" s="79" t="str">
        <f>IF('Twenty-Third'!B216="", "",'Twenty-Third'!B216)</f>
        <v/>
      </c>
      <c r="C5713" s="66" t="str">
        <f>IF('Twenty-Third'!C216="", "",'Twenty-Third'!C216)</f>
        <v/>
      </c>
      <c r="D5713" s="66" t="str">
        <f>IF('Twenty-Third'!D216="", "",'Twenty-Third'!D216)</f>
        <v/>
      </c>
      <c r="E5713" s="66" t="str">
        <f>IF('Twenty-Third'!E216="", "",'Twenty-Third'!E216)</f>
        <v/>
      </c>
      <c r="F5713" s="66" t="str">
        <f>IF('Twenty-Third'!F216="", "",'Twenty-Third'!F216)</f>
        <v/>
      </c>
      <c r="G5713" s="66" t="str">
        <f>IF('Twenty-Third'!G216="", "",'Twenty-Third'!G216)</f>
        <v/>
      </c>
      <c r="H5713" s="66" t="str">
        <f>IF('Twenty-Third'!H216="", "",'Twenty-Third'!H216)</f>
        <v/>
      </c>
      <c r="I5713" s="66" t="str">
        <f>IF('Twenty-Third'!I216="", "",'Twenty-Third'!I216)</f>
        <v/>
      </c>
      <c r="J5713" s="66" t="str">
        <f>IF('Twenty-Third'!J216="", "",'Twenty-Third'!J216)</f>
        <v/>
      </c>
      <c r="K5713" s="86" t="str">
        <f>IF('Twenty-Third'!K216="", "",'Twenty-Third'!K216)</f>
        <v/>
      </c>
      <c r="M5713" s="67" t="str">
        <f t="shared" si="272"/>
        <v/>
      </c>
      <c r="N5713" s="76" t="str">
        <f t="shared" si="273"/>
        <v/>
      </c>
      <c r="O5713" s="33">
        <f t="shared" si="274"/>
        <v>0</v>
      </c>
    </row>
    <row r="5714" spans="1:15" x14ac:dyDescent="0.25">
      <c r="A5714" s="64" t="s">
        <v>192</v>
      </c>
      <c r="B5714" s="79" t="str">
        <f>IF('Twenty-Third'!B217="", "",'Twenty-Third'!B217)</f>
        <v/>
      </c>
      <c r="C5714" s="66" t="str">
        <f>IF('Twenty-Third'!C217="", "",'Twenty-Third'!C217)</f>
        <v/>
      </c>
      <c r="D5714" s="66" t="str">
        <f>IF('Twenty-Third'!D217="", "",'Twenty-Third'!D217)</f>
        <v/>
      </c>
      <c r="E5714" s="66" t="str">
        <f>IF('Twenty-Third'!E217="", "",'Twenty-Third'!E217)</f>
        <v/>
      </c>
      <c r="F5714" s="66" t="str">
        <f>IF('Twenty-Third'!F217="", "",'Twenty-Third'!F217)</f>
        <v/>
      </c>
      <c r="G5714" s="66" t="str">
        <f>IF('Twenty-Third'!G217="", "",'Twenty-Third'!G217)</f>
        <v/>
      </c>
      <c r="H5714" s="66" t="str">
        <f>IF('Twenty-Third'!H217="", "",'Twenty-Third'!H217)</f>
        <v/>
      </c>
      <c r="I5714" s="66" t="str">
        <f>IF('Twenty-Third'!I217="", "",'Twenty-Third'!I217)</f>
        <v/>
      </c>
      <c r="J5714" s="66" t="str">
        <f>IF('Twenty-Third'!J217="", "",'Twenty-Third'!J217)</f>
        <v/>
      </c>
      <c r="K5714" s="86" t="str">
        <f>IF('Twenty-Third'!K217="", "",'Twenty-Third'!K217)</f>
        <v/>
      </c>
      <c r="M5714" s="67" t="str">
        <f t="shared" si="272"/>
        <v/>
      </c>
      <c r="N5714" s="76" t="str">
        <f t="shared" si="273"/>
        <v/>
      </c>
      <c r="O5714" s="33">
        <f t="shared" si="274"/>
        <v>0</v>
      </c>
    </row>
    <row r="5715" spans="1:15" x14ac:dyDescent="0.25">
      <c r="A5715" s="64" t="s">
        <v>192</v>
      </c>
      <c r="B5715" s="79" t="str">
        <f>IF('Twenty-Third'!B218="", "",'Twenty-Third'!B218)</f>
        <v/>
      </c>
      <c r="C5715" s="66" t="str">
        <f>IF('Twenty-Third'!C218="", "",'Twenty-Third'!C218)</f>
        <v/>
      </c>
      <c r="D5715" s="66" t="str">
        <f>IF('Twenty-Third'!D218="", "",'Twenty-Third'!D218)</f>
        <v/>
      </c>
      <c r="E5715" s="66" t="str">
        <f>IF('Twenty-Third'!E218="", "",'Twenty-Third'!E218)</f>
        <v/>
      </c>
      <c r="F5715" s="66" t="str">
        <f>IF('Twenty-Third'!F218="", "",'Twenty-Third'!F218)</f>
        <v/>
      </c>
      <c r="G5715" s="66" t="str">
        <f>IF('Twenty-Third'!G218="", "",'Twenty-Third'!G218)</f>
        <v/>
      </c>
      <c r="H5715" s="66" t="str">
        <f>IF('Twenty-Third'!H218="", "",'Twenty-Third'!H218)</f>
        <v/>
      </c>
      <c r="I5715" s="66" t="str">
        <f>IF('Twenty-Third'!I218="", "",'Twenty-Third'!I218)</f>
        <v/>
      </c>
      <c r="J5715" s="66" t="str">
        <f>IF('Twenty-Third'!J218="", "",'Twenty-Third'!J218)</f>
        <v/>
      </c>
      <c r="K5715" s="86" t="str">
        <f>IF('Twenty-Third'!K218="", "",'Twenty-Third'!K218)</f>
        <v/>
      </c>
      <c r="M5715" s="67" t="str">
        <f t="shared" si="272"/>
        <v/>
      </c>
      <c r="N5715" s="76" t="str">
        <f t="shared" si="273"/>
        <v/>
      </c>
      <c r="O5715" s="33">
        <f t="shared" si="274"/>
        <v>0</v>
      </c>
    </row>
    <row r="5716" spans="1:15" x14ac:dyDescent="0.25">
      <c r="A5716" s="64" t="s">
        <v>192</v>
      </c>
      <c r="B5716" s="79" t="str">
        <f>IF('Twenty-Third'!B219="", "",'Twenty-Third'!B219)</f>
        <v/>
      </c>
      <c r="C5716" s="66" t="str">
        <f>IF('Twenty-Third'!C219="", "",'Twenty-Third'!C219)</f>
        <v/>
      </c>
      <c r="D5716" s="66" t="str">
        <f>IF('Twenty-Third'!D219="", "",'Twenty-Third'!D219)</f>
        <v/>
      </c>
      <c r="E5716" s="66" t="str">
        <f>IF('Twenty-Third'!E219="", "",'Twenty-Third'!E219)</f>
        <v/>
      </c>
      <c r="F5716" s="66" t="str">
        <f>IF('Twenty-Third'!F219="", "",'Twenty-Third'!F219)</f>
        <v/>
      </c>
      <c r="G5716" s="66" t="str">
        <f>IF('Twenty-Third'!G219="", "",'Twenty-Third'!G219)</f>
        <v/>
      </c>
      <c r="H5716" s="66" t="str">
        <f>IF('Twenty-Third'!H219="", "",'Twenty-Third'!H219)</f>
        <v/>
      </c>
      <c r="I5716" s="66" t="str">
        <f>IF('Twenty-Third'!I219="", "",'Twenty-Third'!I219)</f>
        <v/>
      </c>
      <c r="J5716" s="66" t="str">
        <f>IF('Twenty-Third'!J219="", "",'Twenty-Third'!J219)</f>
        <v/>
      </c>
      <c r="K5716" s="86" t="str">
        <f>IF('Twenty-Third'!K219="", "",'Twenty-Third'!K219)</f>
        <v/>
      </c>
      <c r="M5716" s="67" t="str">
        <f t="shared" si="272"/>
        <v/>
      </c>
      <c r="N5716" s="76" t="str">
        <f t="shared" si="273"/>
        <v/>
      </c>
      <c r="O5716" s="33">
        <f t="shared" si="274"/>
        <v>0</v>
      </c>
    </row>
    <row r="5717" spans="1:15" x14ac:dyDescent="0.25">
      <c r="A5717" s="64" t="s">
        <v>192</v>
      </c>
      <c r="B5717" s="79" t="str">
        <f>IF('Twenty-Third'!B220="", "",'Twenty-Third'!B220)</f>
        <v/>
      </c>
      <c r="C5717" s="66" t="str">
        <f>IF('Twenty-Third'!C220="", "",'Twenty-Third'!C220)</f>
        <v/>
      </c>
      <c r="D5717" s="66" t="str">
        <f>IF('Twenty-Third'!D220="", "",'Twenty-Third'!D220)</f>
        <v/>
      </c>
      <c r="E5717" s="66" t="str">
        <f>IF('Twenty-Third'!E220="", "",'Twenty-Third'!E220)</f>
        <v/>
      </c>
      <c r="F5717" s="66" t="str">
        <f>IF('Twenty-Third'!F220="", "",'Twenty-Third'!F220)</f>
        <v/>
      </c>
      <c r="G5717" s="66" t="str">
        <f>IF('Twenty-Third'!G220="", "",'Twenty-Third'!G220)</f>
        <v/>
      </c>
      <c r="H5717" s="66" t="str">
        <f>IF('Twenty-Third'!H220="", "",'Twenty-Third'!H220)</f>
        <v/>
      </c>
      <c r="I5717" s="66" t="str">
        <f>IF('Twenty-Third'!I220="", "",'Twenty-Third'!I220)</f>
        <v/>
      </c>
      <c r="J5717" s="66" t="str">
        <f>IF('Twenty-Third'!J220="", "",'Twenty-Third'!J220)</f>
        <v/>
      </c>
      <c r="K5717" s="86" t="str">
        <f>IF('Twenty-Third'!K220="", "",'Twenty-Third'!K220)</f>
        <v/>
      </c>
      <c r="M5717" s="67" t="str">
        <f t="shared" si="272"/>
        <v/>
      </c>
      <c r="N5717" s="76" t="str">
        <f t="shared" si="273"/>
        <v/>
      </c>
      <c r="O5717" s="33">
        <f t="shared" si="274"/>
        <v>0</v>
      </c>
    </row>
    <row r="5718" spans="1:15" x14ac:dyDescent="0.25">
      <c r="A5718" s="64" t="s">
        <v>192</v>
      </c>
      <c r="B5718" s="79" t="str">
        <f>IF('Twenty-Third'!B221="", "",'Twenty-Third'!B221)</f>
        <v/>
      </c>
      <c r="C5718" s="66" t="str">
        <f>IF('Twenty-Third'!C221="", "",'Twenty-Third'!C221)</f>
        <v/>
      </c>
      <c r="D5718" s="66" t="str">
        <f>IF('Twenty-Third'!D221="", "",'Twenty-Third'!D221)</f>
        <v/>
      </c>
      <c r="E5718" s="66" t="str">
        <f>IF('Twenty-Third'!E221="", "",'Twenty-Third'!E221)</f>
        <v/>
      </c>
      <c r="F5718" s="66" t="str">
        <f>IF('Twenty-Third'!F221="", "",'Twenty-Third'!F221)</f>
        <v/>
      </c>
      <c r="G5718" s="66" t="str">
        <f>IF('Twenty-Third'!G221="", "",'Twenty-Third'!G221)</f>
        <v/>
      </c>
      <c r="H5718" s="66" t="str">
        <f>IF('Twenty-Third'!H221="", "",'Twenty-Third'!H221)</f>
        <v/>
      </c>
      <c r="I5718" s="66" t="str">
        <f>IF('Twenty-Third'!I221="", "",'Twenty-Third'!I221)</f>
        <v/>
      </c>
      <c r="J5718" s="66" t="str">
        <f>IF('Twenty-Third'!J221="", "",'Twenty-Third'!J221)</f>
        <v/>
      </c>
      <c r="K5718" s="86" t="str">
        <f>IF('Twenty-Third'!K221="", "",'Twenty-Third'!K221)</f>
        <v/>
      </c>
      <c r="M5718" s="67" t="str">
        <f t="shared" si="272"/>
        <v/>
      </c>
      <c r="N5718" s="76" t="str">
        <f t="shared" si="273"/>
        <v/>
      </c>
      <c r="O5718" s="33">
        <f t="shared" si="274"/>
        <v>0</v>
      </c>
    </row>
    <row r="5719" spans="1:15" x14ac:dyDescent="0.25">
      <c r="A5719" s="64" t="s">
        <v>192</v>
      </c>
      <c r="B5719" s="79" t="str">
        <f>IF('Twenty-Third'!B222="", "",'Twenty-Third'!B222)</f>
        <v/>
      </c>
      <c r="C5719" s="66" t="str">
        <f>IF('Twenty-Third'!C222="", "",'Twenty-Third'!C222)</f>
        <v/>
      </c>
      <c r="D5719" s="66" t="str">
        <f>IF('Twenty-Third'!D222="", "",'Twenty-Third'!D222)</f>
        <v/>
      </c>
      <c r="E5719" s="66" t="str">
        <f>IF('Twenty-Third'!E222="", "",'Twenty-Third'!E222)</f>
        <v/>
      </c>
      <c r="F5719" s="66" t="str">
        <f>IF('Twenty-Third'!F222="", "",'Twenty-Third'!F222)</f>
        <v/>
      </c>
      <c r="G5719" s="66" t="str">
        <f>IF('Twenty-Third'!G222="", "",'Twenty-Third'!G222)</f>
        <v/>
      </c>
      <c r="H5719" s="66" t="str">
        <f>IF('Twenty-Third'!H222="", "",'Twenty-Third'!H222)</f>
        <v/>
      </c>
      <c r="I5719" s="66" t="str">
        <f>IF('Twenty-Third'!I222="", "",'Twenty-Third'!I222)</f>
        <v/>
      </c>
      <c r="J5719" s="66" t="str">
        <f>IF('Twenty-Third'!J222="", "",'Twenty-Third'!J222)</f>
        <v/>
      </c>
      <c r="K5719" s="86" t="str">
        <f>IF('Twenty-Third'!K222="", "",'Twenty-Third'!K222)</f>
        <v/>
      </c>
      <c r="M5719" s="67" t="str">
        <f t="shared" si="272"/>
        <v/>
      </c>
      <c r="N5719" s="76" t="str">
        <f t="shared" si="273"/>
        <v/>
      </c>
      <c r="O5719" s="33">
        <f t="shared" si="274"/>
        <v>0</v>
      </c>
    </row>
    <row r="5720" spans="1:15" x14ac:dyDescent="0.25">
      <c r="A5720" s="64" t="s">
        <v>192</v>
      </c>
      <c r="B5720" s="79" t="str">
        <f>IF('Twenty-Third'!B223="", "",'Twenty-Third'!B223)</f>
        <v/>
      </c>
      <c r="C5720" s="66" t="str">
        <f>IF('Twenty-Third'!C223="", "",'Twenty-Third'!C223)</f>
        <v/>
      </c>
      <c r="D5720" s="66" t="str">
        <f>IF('Twenty-Third'!D223="", "",'Twenty-Third'!D223)</f>
        <v/>
      </c>
      <c r="E5720" s="66" t="str">
        <f>IF('Twenty-Third'!E223="", "",'Twenty-Third'!E223)</f>
        <v/>
      </c>
      <c r="F5720" s="66" t="str">
        <f>IF('Twenty-Third'!F223="", "",'Twenty-Third'!F223)</f>
        <v/>
      </c>
      <c r="G5720" s="66" t="str">
        <f>IF('Twenty-Third'!G223="", "",'Twenty-Third'!G223)</f>
        <v/>
      </c>
      <c r="H5720" s="66" t="str">
        <f>IF('Twenty-Third'!H223="", "",'Twenty-Third'!H223)</f>
        <v/>
      </c>
      <c r="I5720" s="66" t="str">
        <f>IF('Twenty-Third'!I223="", "",'Twenty-Third'!I223)</f>
        <v/>
      </c>
      <c r="J5720" s="66" t="str">
        <f>IF('Twenty-Third'!J223="", "",'Twenty-Third'!J223)</f>
        <v/>
      </c>
      <c r="K5720" s="86" t="str">
        <f>IF('Twenty-Third'!K223="", "",'Twenty-Third'!K223)</f>
        <v/>
      </c>
      <c r="M5720" s="67" t="str">
        <f t="shared" si="272"/>
        <v/>
      </c>
      <c r="N5720" s="76" t="str">
        <f t="shared" si="273"/>
        <v/>
      </c>
      <c r="O5720" s="33">
        <f t="shared" si="274"/>
        <v>0</v>
      </c>
    </row>
    <row r="5721" spans="1:15" x14ac:dyDescent="0.25">
      <c r="A5721" s="64" t="s">
        <v>192</v>
      </c>
      <c r="B5721" s="79" t="str">
        <f>IF('Twenty-Third'!B224="", "",'Twenty-Third'!B224)</f>
        <v/>
      </c>
      <c r="C5721" s="66" t="str">
        <f>IF('Twenty-Third'!C224="", "",'Twenty-Third'!C224)</f>
        <v/>
      </c>
      <c r="D5721" s="66" t="str">
        <f>IF('Twenty-Third'!D224="", "",'Twenty-Third'!D224)</f>
        <v/>
      </c>
      <c r="E5721" s="66" t="str">
        <f>IF('Twenty-Third'!E224="", "",'Twenty-Third'!E224)</f>
        <v/>
      </c>
      <c r="F5721" s="66" t="str">
        <f>IF('Twenty-Third'!F224="", "",'Twenty-Third'!F224)</f>
        <v/>
      </c>
      <c r="G5721" s="66" t="str">
        <f>IF('Twenty-Third'!G224="", "",'Twenty-Third'!G224)</f>
        <v/>
      </c>
      <c r="H5721" s="66" t="str">
        <f>IF('Twenty-Third'!H224="", "",'Twenty-Third'!H224)</f>
        <v/>
      </c>
      <c r="I5721" s="66" t="str">
        <f>IF('Twenty-Third'!I224="", "",'Twenty-Third'!I224)</f>
        <v/>
      </c>
      <c r="J5721" s="66" t="str">
        <f>IF('Twenty-Third'!J224="", "",'Twenty-Third'!J224)</f>
        <v/>
      </c>
      <c r="K5721" s="86" t="str">
        <f>IF('Twenty-Third'!K224="", "",'Twenty-Third'!K224)</f>
        <v/>
      </c>
      <c r="M5721" s="67" t="str">
        <f t="shared" si="272"/>
        <v/>
      </c>
      <c r="N5721" s="76" t="str">
        <f t="shared" si="273"/>
        <v/>
      </c>
      <c r="O5721" s="33">
        <f t="shared" si="274"/>
        <v>0</v>
      </c>
    </row>
    <row r="5722" spans="1:15" x14ac:dyDescent="0.25">
      <c r="A5722" s="64" t="s">
        <v>192</v>
      </c>
      <c r="B5722" s="79" t="str">
        <f>IF('Twenty-Third'!B225="", "",'Twenty-Third'!B225)</f>
        <v/>
      </c>
      <c r="C5722" s="66" t="str">
        <f>IF('Twenty-Third'!C225="", "",'Twenty-Third'!C225)</f>
        <v/>
      </c>
      <c r="D5722" s="66" t="str">
        <f>IF('Twenty-Third'!D225="", "",'Twenty-Third'!D225)</f>
        <v/>
      </c>
      <c r="E5722" s="66" t="str">
        <f>IF('Twenty-Third'!E225="", "",'Twenty-Third'!E225)</f>
        <v/>
      </c>
      <c r="F5722" s="66" t="str">
        <f>IF('Twenty-Third'!F225="", "",'Twenty-Third'!F225)</f>
        <v/>
      </c>
      <c r="G5722" s="66" t="str">
        <f>IF('Twenty-Third'!G225="", "",'Twenty-Third'!G225)</f>
        <v/>
      </c>
      <c r="H5722" s="66" t="str">
        <f>IF('Twenty-Third'!H225="", "",'Twenty-Third'!H225)</f>
        <v/>
      </c>
      <c r="I5722" s="66" t="str">
        <f>IF('Twenty-Third'!I225="", "",'Twenty-Third'!I225)</f>
        <v/>
      </c>
      <c r="J5722" s="66" t="str">
        <f>IF('Twenty-Third'!J225="", "",'Twenty-Third'!J225)</f>
        <v/>
      </c>
      <c r="K5722" s="86" t="str">
        <f>IF('Twenty-Third'!K225="", "",'Twenty-Third'!K225)</f>
        <v/>
      </c>
      <c r="M5722" s="67" t="str">
        <f t="shared" si="272"/>
        <v/>
      </c>
      <c r="N5722" s="76" t="str">
        <f t="shared" si="273"/>
        <v/>
      </c>
      <c r="O5722" s="33">
        <f t="shared" si="274"/>
        <v>0</v>
      </c>
    </row>
    <row r="5723" spans="1:15" x14ac:dyDescent="0.25">
      <c r="A5723" s="64" t="s">
        <v>192</v>
      </c>
      <c r="B5723" s="79" t="str">
        <f>IF('Twenty-Third'!B226="", "",'Twenty-Third'!B226)</f>
        <v/>
      </c>
      <c r="C5723" s="66" t="str">
        <f>IF('Twenty-Third'!C226="", "",'Twenty-Third'!C226)</f>
        <v/>
      </c>
      <c r="D5723" s="66" t="str">
        <f>IF('Twenty-Third'!D226="", "",'Twenty-Third'!D226)</f>
        <v/>
      </c>
      <c r="E5723" s="66" t="str">
        <f>IF('Twenty-Third'!E226="", "",'Twenty-Third'!E226)</f>
        <v/>
      </c>
      <c r="F5723" s="66" t="str">
        <f>IF('Twenty-Third'!F226="", "",'Twenty-Third'!F226)</f>
        <v/>
      </c>
      <c r="G5723" s="66" t="str">
        <f>IF('Twenty-Third'!G226="", "",'Twenty-Third'!G226)</f>
        <v/>
      </c>
      <c r="H5723" s="66" t="str">
        <f>IF('Twenty-Third'!H226="", "",'Twenty-Third'!H226)</f>
        <v/>
      </c>
      <c r="I5723" s="66" t="str">
        <f>IF('Twenty-Third'!I226="", "",'Twenty-Third'!I226)</f>
        <v/>
      </c>
      <c r="J5723" s="66" t="str">
        <f>IF('Twenty-Third'!J226="", "",'Twenty-Third'!J226)</f>
        <v/>
      </c>
      <c r="K5723" s="86" t="str">
        <f>IF('Twenty-Third'!K226="", "",'Twenty-Third'!K226)</f>
        <v/>
      </c>
      <c r="M5723" s="67" t="str">
        <f t="shared" si="272"/>
        <v/>
      </c>
      <c r="N5723" s="76" t="str">
        <f t="shared" si="273"/>
        <v/>
      </c>
      <c r="O5723" s="33">
        <f t="shared" si="274"/>
        <v>0</v>
      </c>
    </row>
    <row r="5724" spans="1:15" x14ac:dyDescent="0.25">
      <c r="A5724" s="64" t="s">
        <v>192</v>
      </c>
      <c r="B5724" s="79" t="str">
        <f>IF('Twenty-Third'!B227="", "",'Twenty-Third'!B227)</f>
        <v/>
      </c>
      <c r="C5724" s="66" t="str">
        <f>IF('Twenty-Third'!C227="", "",'Twenty-Third'!C227)</f>
        <v/>
      </c>
      <c r="D5724" s="66" t="str">
        <f>IF('Twenty-Third'!D227="", "",'Twenty-Third'!D227)</f>
        <v/>
      </c>
      <c r="E5724" s="66" t="str">
        <f>IF('Twenty-Third'!E227="", "",'Twenty-Third'!E227)</f>
        <v/>
      </c>
      <c r="F5724" s="66" t="str">
        <f>IF('Twenty-Third'!F227="", "",'Twenty-Third'!F227)</f>
        <v/>
      </c>
      <c r="G5724" s="66" t="str">
        <f>IF('Twenty-Third'!G227="", "",'Twenty-Third'!G227)</f>
        <v/>
      </c>
      <c r="H5724" s="66" t="str">
        <f>IF('Twenty-Third'!H227="", "",'Twenty-Third'!H227)</f>
        <v/>
      </c>
      <c r="I5724" s="66" t="str">
        <f>IF('Twenty-Third'!I227="", "",'Twenty-Third'!I227)</f>
        <v/>
      </c>
      <c r="J5724" s="66" t="str">
        <f>IF('Twenty-Third'!J227="", "",'Twenty-Third'!J227)</f>
        <v/>
      </c>
      <c r="K5724" s="86" t="str">
        <f>IF('Twenty-Third'!K227="", "",'Twenty-Third'!K227)</f>
        <v/>
      </c>
      <c r="M5724" s="67" t="str">
        <f t="shared" si="272"/>
        <v/>
      </c>
      <c r="N5724" s="76" t="str">
        <f t="shared" si="273"/>
        <v/>
      </c>
      <c r="O5724" s="33">
        <f t="shared" si="274"/>
        <v>0</v>
      </c>
    </row>
    <row r="5725" spans="1:15" x14ac:dyDescent="0.25">
      <c r="A5725" s="64" t="s">
        <v>192</v>
      </c>
      <c r="B5725" s="79" t="str">
        <f>IF('Twenty-Third'!B228="", "",'Twenty-Third'!B228)</f>
        <v/>
      </c>
      <c r="C5725" s="66" t="str">
        <f>IF('Twenty-Third'!C228="", "",'Twenty-Third'!C228)</f>
        <v/>
      </c>
      <c r="D5725" s="66" t="str">
        <f>IF('Twenty-Third'!D228="", "",'Twenty-Third'!D228)</f>
        <v/>
      </c>
      <c r="E5725" s="66" t="str">
        <f>IF('Twenty-Third'!E228="", "",'Twenty-Third'!E228)</f>
        <v/>
      </c>
      <c r="F5725" s="66" t="str">
        <f>IF('Twenty-Third'!F228="", "",'Twenty-Third'!F228)</f>
        <v/>
      </c>
      <c r="G5725" s="66" t="str">
        <f>IF('Twenty-Third'!G228="", "",'Twenty-Third'!G228)</f>
        <v/>
      </c>
      <c r="H5725" s="66" t="str">
        <f>IF('Twenty-Third'!H228="", "",'Twenty-Third'!H228)</f>
        <v/>
      </c>
      <c r="I5725" s="66" t="str">
        <f>IF('Twenty-Third'!I228="", "",'Twenty-Third'!I228)</f>
        <v/>
      </c>
      <c r="J5725" s="66" t="str">
        <f>IF('Twenty-Third'!J228="", "",'Twenty-Third'!J228)</f>
        <v/>
      </c>
      <c r="K5725" s="86" t="str">
        <f>IF('Twenty-Third'!K228="", "",'Twenty-Third'!K228)</f>
        <v/>
      </c>
      <c r="M5725" s="67" t="str">
        <f t="shared" si="272"/>
        <v/>
      </c>
      <c r="N5725" s="76" t="str">
        <f t="shared" si="273"/>
        <v/>
      </c>
      <c r="O5725" s="33">
        <f t="shared" si="274"/>
        <v>0</v>
      </c>
    </row>
    <row r="5726" spans="1:15" x14ac:dyDescent="0.25">
      <c r="A5726" s="64" t="s">
        <v>192</v>
      </c>
      <c r="B5726" s="79" t="str">
        <f>IF('Twenty-Third'!B229="", "",'Twenty-Third'!B229)</f>
        <v/>
      </c>
      <c r="C5726" s="66" t="str">
        <f>IF('Twenty-Third'!C229="", "",'Twenty-Third'!C229)</f>
        <v/>
      </c>
      <c r="D5726" s="66" t="str">
        <f>IF('Twenty-Third'!D229="", "",'Twenty-Third'!D229)</f>
        <v/>
      </c>
      <c r="E5726" s="66" t="str">
        <f>IF('Twenty-Third'!E229="", "",'Twenty-Third'!E229)</f>
        <v/>
      </c>
      <c r="F5726" s="66" t="str">
        <f>IF('Twenty-Third'!F229="", "",'Twenty-Third'!F229)</f>
        <v/>
      </c>
      <c r="G5726" s="66" t="str">
        <f>IF('Twenty-Third'!G229="", "",'Twenty-Third'!G229)</f>
        <v/>
      </c>
      <c r="H5726" s="66" t="str">
        <f>IF('Twenty-Third'!H229="", "",'Twenty-Third'!H229)</f>
        <v/>
      </c>
      <c r="I5726" s="66" t="str">
        <f>IF('Twenty-Third'!I229="", "",'Twenty-Third'!I229)</f>
        <v/>
      </c>
      <c r="J5726" s="66" t="str">
        <f>IF('Twenty-Third'!J229="", "",'Twenty-Third'!J229)</f>
        <v/>
      </c>
      <c r="K5726" s="86" t="str">
        <f>IF('Twenty-Third'!K229="", "",'Twenty-Third'!K229)</f>
        <v/>
      </c>
      <c r="M5726" s="67" t="str">
        <f t="shared" si="272"/>
        <v/>
      </c>
      <c r="N5726" s="76" t="str">
        <f t="shared" si="273"/>
        <v/>
      </c>
      <c r="O5726" s="33">
        <f t="shared" si="274"/>
        <v>0</v>
      </c>
    </row>
    <row r="5727" spans="1:15" x14ac:dyDescent="0.25">
      <c r="A5727" s="64" t="s">
        <v>192</v>
      </c>
      <c r="B5727" s="79" t="str">
        <f>IF('Twenty-Third'!B230="", "",'Twenty-Third'!B230)</f>
        <v/>
      </c>
      <c r="C5727" s="66" t="str">
        <f>IF('Twenty-Third'!C230="", "",'Twenty-Third'!C230)</f>
        <v/>
      </c>
      <c r="D5727" s="66" t="str">
        <f>IF('Twenty-Third'!D230="", "",'Twenty-Third'!D230)</f>
        <v/>
      </c>
      <c r="E5727" s="66" t="str">
        <f>IF('Twenty-Third'!E230="", "",'Twenty-Third'!E230)</f>
        <v/>
      </c>
      <c r="F5727" s="66" t="str">
        <f>IF('Twenty-Third'!F230="", "",'Twenty-Third'!F230)</f>
        <v/>
      </c>
      <c r="G5727" s="66" t="str">
        <f>IF('Twenty-Third'!G230="", "",'Twenty-Third'!G230)</f>
        <v/>
      </c>
      <c r="H5727" s="66" t="str">
        <f>IF('Twenty-Third'!H230="", "",'Twenty-Third'!H230)</f>
        <v/>
      </c>
      <c r="I5727" s="66" t="str">
        <f>IF('Twenty-Third'!I230="", "",'Twenty-Third'!I230)</f>
        <v/>
      </c>
      <c r="J5727" s="66" t="str">
        <f>IF('Twenty-Third'!J230="", "",'Twenty-Third'!J230)</f>
        <v/>
      </c>
      <c r="K5727" s="86" t="str">
        <f>IF('Twenty-Third'!K230="", "",'Twenty-Third'!K230)</f>
        <v/>
      </c>
      <c r="M5727" s="67" t="str">
        <f t="shared" si="272"/>
        <v/>
      </c>
      <c r="N5727" s="76" t="str">
        <f t="shared" si="273"/>
        <v/>
      </c>
      <c r="O5727" s="33">
        <f t="shared" si="274"/>
        <v>0</v>
      </c>
    </row>
    <row r="5728" spans="1:15" x14ac:dyDescent="0.25">
      <c r="A5728" s="64" t="s">
        <v>192</v>
      </c>
      <c r="B5728" s="79" t="str">
        <f>IF('Twenty-Third'!B231="", "",'Twenty-Third'!B231)</f>
        <v/>
      </c>
      <c r="C5728" s="66" t="str">
        <f>IF('Twenty-Third'!C231="", "",'Twenty-Third'!C231)</f>
        <v/>
      </c>
      <c r="D5728" s="66" t="str">
        <f>IF('Twenty-Third'!D231="", "",'Twenty-Third'!D231)</f>
        <v/>
      </c>
      <c r="E5728" s="66" t="str">
        <f>IF('Twenty-Third'!E231="", "",'Twenty-Third'!E231)</f>
        <v/>
      </c>
      <c r="F5728" s="66" t="str">
        <f>IF('Twenty-Third'!F231="", "",'Twenty-Third'!F231)</f>
        <v/>
      </c>
      <c r="G5728" s="66" t="str">
        <f>IF('Twenty-Third'!G231="", "",'Twenty-Third'!G231)</f>
        <v/>
      </c>
      <c r="H5728" s="66" t="str">
        <f>IF('Twenty-Third'!H231="", "",'Twenty-Third'!H231)</f>
        <v/>
      </c>
      <c r="I5728" s="66" t="str">
        <f>IF('Twenty-Third'!I231="", "",'Twenty-Third'!I231)</f>
        <v/>
      </c>
      <c r="J5728" s="66" t="str">
        <f>IF('Twenty-Third'!J231="", "",'Twenty-Third'!J231)</f>
        <v/>
      </c>
      <c r="K5728" s="86" t="str">
        <f>IF('Twenty-Third'!K231="", "",'Twenty-Third'!K231)</f>
        <v/>
      </c>
      <c r="M5728" s="67" t="str">
        <f t="shared" si="272"/>
        <v/>
      </c>
      <c r="N5728" s="76" t="str">
        <f t="shared" si="273"/>
        <v/>
      </c>
      <c r="O5728" s="33">
        <f t="shared" si="274"/>
        <v>0</v>
      </c>
    </row>
    <row r="5729" spans="1:15" x14ac:dyDescent="0.25">
      <c r="A5729" s="64" t="s">
        <v>192</v>
      </c>
      <c r="B5729" s="79" t="str">
        <f>IF('Twenty-Third'!B232="", "",'Twenty-Third'!B232)</f>
        <v/>
      </c>
      <c r="C5729" s="66" t="str">
        <f>IF('Twenty-Third'!C232="", "",'Twenty-Third'!C232)</f>
        <v/>
      </c>
      <c r="D5729" s="66" t="str">
        <f>IF('Twenty-Third'!D232="", "",'Twenty-Third'!D232)</f>
        <v/>
      </c>
      <c r="E5729" s="66" t="str">
        <f>IF('Twenty-Third'!E232="", "",'Twenty-Third'!E232)</f>
        <v/>
      </c>
      <c r="F5729" s="66" t="str">
        <f>IF('Twenty-Third'!F232="", "",'Twenty-Third'!F232)</f>
        <v/>
      </c>
      <c r="G5729" s="66" t="str">
        <f>IF('Twenty-Third'!G232="", "",'Twenty-Third'!G232)</f>
        <v/>
      </c>
      <c r="H5729" s="66" t="str">
        <f>IF('Twenty-Third'!H232="", "",'Twenty-Third'!H232)</f>
        <v/>
      </c>
      <c r="I5729" s="66" t="str">
        <f>IF('Twenty-Third'!I232="", "",'Twenty-Third'!I232)</f>
        <v/>
      </c>
      <c r="J5729" s="66" t="str">
        <f>IF('Twenty-Third'!J232="", "",'Twenty-Third'!J232)</f>
        <v/>
      </c>
      <c r="K5729" s="86" t="str">
        <f>IF('Twenty-Third'!K232="", "",'Twenty-Third'!K232)</f>
        <v/>
      </c>
      <c r="M5729" s="67" t="str">
        <f t="shared" si="272"/>
        <v/>
      </c>
      <c r="N5729" s="76" t="str">
        <f t="shared" si="273"/>
        <v/>
      </c>
      <c r="O5729" s="33">
        <f t="shared" si="274"/>
        <v>0</v>
      </c>
    </row>
    <row r="5730" spans="1:15" x14ac:dyDescent="0.25">
      <c r="A5730" s="64" t="s">
        <v>192</v>
      </c>
      <c r="B5730" s="79" t="str">
        <f>IF('Twenty-Third'!B233="", "",'Twenty-Third'!B233)</f>
        <v/>
      </c>
      <c r="C5730" s="66" t="str">
        <f>IF('Twenty-Third'!C233="", "",'Twenty-Third'!C233)</f>
        <v/>
      </c>
      <c r="D5730" s="66" t="str">
        <f>IF('Twenty-Third'!D233="", "",'Twenty-Third'!D233)</f>
        <v/>
      </c>
      <c r="E5730" s="66" t="str">
        <f>IF('Twenty-Third'!E233="", "",'Twenty-Third'!E233)</f>
        <v/>
      </c>
      <c r="F5730" s="66" t="str">
        <f>IF('Twenty-Third'!F233="", "",'Twenty-Third'!F233)</f>
        <v/>
      </c>
      <c r="G5730" s="66" t="str">
        <f>IF('Twenty-Third'!G233="", "",'Twenty-Third'!G233)</f>
        <v/>
      </c>
      <c r="H5730" s="66" t="str">
        <f>IF('Twenty-Third'!H233="", "",'Twenty-Third'!H233)</f>
        <v/>
      </c>
      <c r="I5730" s="66" t="str">
        <f>IF('Twenty-Third'!I233="", "",'Twenty-Third'!I233)</f>
        <v/>
      </c>
      <c r="J5730" s="66" t="str">
        <f>IF('Twenty-Third'!J233="", "",'Twenty-Third'!J233)</f>
        <v/>
      </c>
      <c r="K5730" s="86" t="str">
        <f>IF('Twenty-Third'!K233="", "",'Twenty-Third'!K233)</f>
        <v/>
      </c>
      <c r="M5730" s="67" t="str">
        <f t="shared" si="272"/>
        <v/>
      </c>
      <c r="N5730" s="76" t="str">
        <f t="shared" si="273"/>
        <v/>
      </c>
      <c r="O5730" s="33">
        <f t="shared" si="274"/>
        <v>0</v>
      </c>
    </row>
    <row r="5731" spans="1:15" x14ac:dyDescent="0.25">
      <c r="A5731" s="64" t="s">
        <v>192</v>
      </c>
      <c r="B5731" s="79" t="str">
        <f>IF('Twenty-Third'!B234="", "",'Twenty-Third'!B234)</f>
        <v/>
      </c>
      <c r="C5731" s="66" t="str">
        <f>IF('Twenty-Third'!C234="", "",'Twenty-Third'!C234)</f>
        <v/>
      </c>
      <c r="D5731" s="66" t="str">
        <f>IF('Twenty-Third'!D234="", "",'Twenty-Third'!D234)</f>
        <v/>
      </c>
      <c r="E5731" s="66" t="str">
        <f>IF('Twenty-Third'!E234="", "",'Twenty-Third'!E234)</f>
        <v/>
      </c>
      <c r="F5731" s="66" t="str">
        <f>IF('Twenty-Third'!F234="", "",'Twenty-Third'!F234)</f>
        <v/>
      </c>
      <c r="G5731" s="66" t="str">
        <f>IF('Twenty-Third'!G234="", "",'Twenty-Third'!G234)</f>
        <v/>
      </c>
      <c r="H5731" s="66" t="str">
        <f>IF('Twenty-Third'!H234="", "",'Twenty-Third'!H234)</f>
        <v/>
      </c>
      <c r="I5731" s="66" t="str">
        <f>IF('Twenty-Third'!I234="", "",'Twenty-Third'!I234)</f>
        <v/>
      </c>
      <c r="J5731" s="66" t="str">
        <f>IF('Twenty-Third'!J234="", "",'Twenty-Third'!J234)</f>
        <v/>
      </c>
      <c r="K5731" s="86" t="str">
        <f>IF('Twenty-Third'!K234="", "",'Twenty-Third'!K234)</f>
        <v/>
      </c>
      <c r="M5731" s="67" t="str">
        <f t="shared" si="272"/>
        <v/>
      </c>
      <c r="N5731" s="76" t="str">
        <f t="shared" si="273"/>
        <v/>
      </c>
      <c r="O5731" s="33">
        <f t="shared" si="274"/>
        <v>0</v>
      </c>
    </row>
    <row r="5732" spans="1:15" x14ac:dyDescent="0.25">
      <c r="A5732" s="64" t="s">
        <v>192</v>
      </c>
      <c r="B5732" s="79" t="str">
        <f>IF('Twenty-Third'!B235="", "",'Twenty-Third'!B235)</f>
        <v/>
      </c>
      <c r="C5732" s="66" t="str">
        <f>IF('Twenty-Third'!C235="", "",'Twenty-Third'!C235)</f>
        <v/>
      </c>
      <c r="D5732" s="66" t="str">
        <f>IF('Twenty-Third'!D235="", "",'Twenty-Third'!D235)</f>
        <v/>
      </c>
      <c r="E5732" s="66" t="str">
        <f>IF('Twenty-Third'!E235="", "",'Twenty-Third'!E235)</f>
        <v/>
      </c>
      <c r="F5732" s="66" t="str">
        <f>IF('Twenty-Third'!F235="", "",'Twenty-Third'!F235)</f>
        <v/>
      </c>
      <c r="G5732" s="66" t="str">
        <f>IF('Twenty-Third'!G235="", "",'Twenty-Third'!G235)</f>
        <v/>
      </c>
      <c r="H5732" s="66" t="str">
        <f>IF('Twenty-Third'!H235="", "",'Twenty-Third'!H235)</f>
        <v/>
      </c>
      <c r="I5732" s="66" t="str">
        <f>IF('Twenty-Third'!I235="", "",'Twenty-Third'!I235)</f>
        <v/>
      </c>
      <c r="J5732" s="66" t="str">
        <f>IF('Twenty-Third'!J235="", "",'Twenty-Third'!J235)</f>
        <v/>
      </c>
      <c r="K5732" s="86" t="str">
        <f>IF('Twenty-Third'!K235="", "",'Twenty-Third'!K235)</f>
        <v/>
      </c>
      <c r="M5732" s="67" t="str">
        <f t="shared" si="272"/>
        <v/>
      </c>
      <c r="N5732" s="76" t="str">
        <f t="shared" si="273"/>
        <v/>
      </c>
      <c r="O5732" s="33">
        <f t="shared" si="274"/>
        <v>0</v>
      </c>
    </row>
    <row r="5733" spans="1:15" x14ac:dyDescent="0.25">
      <c r="A5733" s="64" t="s">
        <v>192</v>
      </c>
      <c r="B5733" s="79" t="str">
        <f>IF('Twenty-Third'!B236="", "",'Twenty-Third'!B236)</f>
        <v/>
      </c>
      <c r="C5733" s="66" t="str">
        <f>IF('Twenty-Third'!C236="", "",'Twenty-Third'!C236)</f>
        <v/>
      </c>
      <c r="D5733" s="66" t="str">
        <f>IF('Twenty-Third'!D236="", "",'Twenty-Third'!D236)</f>
        <v/>
      </c>
      <c r="E5733" s="66" t="str">
        <f>IF('Twenty-Third'!E236="", "",'Twenty-Third'!E236)</f>
        <v/>
      </c>
      <c r="F5733" s="66" t="str">
        <f>IF('Twenty-Third'!F236="", "",'Twenty-Third'!F236)</f>
        <v/>
      </c>
      <c r="G5733" s="66" t="str">
        <f>IF('Twenty-Third'!G236="", "",'Twenty-Third'!G236)</f>
        <v/>
      </c>
      <c r="H5733" s="66" t="str">
        <f>IF('Twenty-Third'!H236="", "",'Twenty-Third'!H236)</f>
        <v/>
      </c>
      <c r="I5733" s="66" t="str">
        <f>IF('Twenty-Third'!I236="", "",'Twenty-Third'!I236)</f>
        <v/>
      </c>
      <c r="J5733" s="66" t="str">
        <f>IF('Twenty-Third'!J236="", "",'Twenty-Third'!J236)</f>
        <v/>
      </c>
      <c r="K5733" s="86" t="str">
        <f>IF('Twenty-Third'!K236="", "",'Twenty-Third'!K236)</f>
        <v/>
      </c>
      <c r="M5733" s="67" t="str">
        <f t="shared" si="272"/>
        <v/>
      </c>
      <c r="N5733" s="76" t="str">
        <f t="shared" si="273"/>
        <v/>
      </c>
      <c r="O5733" s="33">
        <f t="shared" si="274"/>
        <v>0</v>
      </c>
    </row>
    <row r="5734" spans="1:15" x14ac:dyDescent="0.25">
      <c r="A5734" s="64" t="s">
        <v>192</v>
      </c>
      <c r="B5734" s="79" t="str">
        <f>IF('Twenty-Third'!B237="", "",'Twenty-Third'!B237)</f>
        <v/>
      </c>
      <c r="C5734" s="66" t="str">
        <f>IF('Twenty-Third'!C237="", "",'Twenty-Third'!C237)</f>
        <v/>
      </c>
      <c r="D5734" s="66" t="str">
        <f>IF('Twenty-Third'!D237="", "",'Twenty-Third'!D237)</f>
        <v/>
      </c>
      <c r="E5734" s="66" t="str">
        <f>IF('Twenty-Third'!E237="", "",'Twenty-Third'!E237)</f>
        <v/>
      </c>
      <c r="F5734" s="66" t="str">
        <f>IF('Twenty-Third'!F237="", "",'Twenty-Third'!F237)</f>
        <v/>
      </c>
      <c r="G5734" s="66" t="str">
        <f>IF('Twenty-Third'!G237="", "",'Twenty-Third'!G237)</f>
        <v/>
      </c>
      <c r="H5734" s="66" t="str">
        <f>IF('Twenty-Third'!H237="", "",'Twenty-Third'!H237)</f>
        <v/>
      </c>
      <c r="I5734" s="66" t="str">
        <f>IF('Twenty-Third'!I237="", "",'Twenty-Third'!I237)</f>
        <v/>
      </c>
      <c r="J5734" s="66" t="str">
        <f>IF('Twenty-Third'!J237="", "",'Twenty-Third'!J237)</f>
        <v/>
      </c>
      <c r="K5734" s="86" t="str">
        <f>IF('Twenty-Third'!K237="", "",'Twenty-Third'!K237)</f>
        <v/>
      </c>
      <c r="M5734" s="67" t="str">
        <f t="shared" si="272"/>
        <v/>
      </c>
      <c r="N5734" s="76" t="str">
        <f t="shared" si="273"/>
        <v/>
      </c>
      <c r="O5734" s="33">
        <f t="shared" si="274"/>
        <v>0</v>
      </c>
    </row>
    <row r="5735" spans="1:15" x14ac:dyDescent="0.25">
      <c r="A5735" s="64" t="s">
        <v>192</v>
      </c>
      <c r="B5735" s="79" t="str">
        <f>IF('Twenty-Third'!B238="", "",'Twenty-Third'!B238)</f>
        <v/>
      </c>
      <c r="C5735" s="66" t="str">
        <f>IF('Twenty-Third'!C238="", "",'Twenty-Third'!C238)</f>
        <v/>
      </c>
      <c r="D5735" s="66" t="str">
        <f>IF('Twenty-Third'!D238="", "",'Twenty-Third'!D238)</f>
        <v/>
      </c>
      <c r="E5735" s="66" t="str">
        <f>IF('Twenty-Third'!E238="", "",'Twenty-Third'!E238)</f>
        <v/>
      </c>
      <c r="F5735" s="66" t="str">
        <f>IF('Twenty-Third'!F238="", "",'Twenty-Third'!F238)</f>
        <v/>
      </c>
      <c r="G5735" s="66" t="str">
        <f>IF('Twenty-Third'!G238="", "",'Twenty-Third'!G238)</f>
        <v/>
      </c>
      <c r="H5735" s="66" t="str">
        <f>IF('Twenty-Third'!H238="", "",'Twenty-Third'!H238)</f>
        <v/>
      </c>
      <c r="I5735" s="66" t="str">
        <f>IF('Twenty-Third'!I238="", "",'Twenty-Third'!I238)</f>
        <v/>
      </c>
      <c r="J5735" s="66" t="str">
        <f>IF('Twenty-Third'!J238="", "",'Twenty-Third'!J238)</f>
        <v/>
      </c>
      <c r="K5735" s="86" t="str">
        <f>IF('Twenty-Third'!K238="", "",'Twenty-Third'!K238)</f>
        <v/>
      </c>
      <c r="M5735" s="67" t="str">
        <f t="shared" si="272"/>
        <v/>
      </c>
      <c r="N5735" s="76" t="str">
        <f t="shared" si="273"/>
        <v/>
      </c>
      <c r="O5735" s="33">
        <f t="shared" si="274"/>
        <v>0</v>
      </c>
    </row>
    <row r="5736" spans="1:15" x14ac:dyDescent="0.25">
      <c r="A5736" s="64" t="s">
        <v>192</v>
      </c>
      <c r="B5736" s="79" t="str">
        <f>IF('Twenty-Third'!B239="", "",'Twenty-Third'!B239)</f>
        <v/>
      </c>
      <c r="C5736" s="66" t="str">
        <f>IF('Twenty-Third'!C239="", "",'Twenty-Third'!C239)</f>
        <v/>
      </c>
      <c r="D5736" s="66" t="str">
        <f>IF('Twenty-Third'!D239="", "",'Twenty-Third'!D239)</f>
        <v/>
      </c>
      <c r="E5736" s="66" t="str">
        <f>IF('Twenty-Third'!E239="", "",'Twenty-Third'!E239)</f>
        <v/>
      </c>
      <c r="F5736" s="66" t="str">
        <f>IF('Twenty-Third'!F239="", "",'Twenty-Third'!F239)</f>
        <v/>
      </c>
      <c r="G5736" s="66" t="str">
        <f>IF('Twenty-Third'!G239="", "",'Twenty-Third'!G239)</f>
        <v/>
      </c>
      <c r="H5736" s="66" t="str">
        <f>IF('Twenty-Third'!H239="", "",'Twenty-Third'!H239)</f>
        <v/>
      </c>
      <c r="I5736" s="66" t="str">
        <f>IF('Twenty-Third'!I239="", "",'Twenty-Third'!I239)</f>
        <v/>
      </c>
      <c r="J5736" s="66" t="str">
        <f>IF('Twenty-Third'!J239="", "",'Twenty-Third'!J239)</f>
        <v/>
      </c>
      <c r="K5736" s="86" t="str">
        <f>IF('Twenty-Third'!K239="", "",'Twenty-Third'!K239)</f>
        <v/>
      </c>
      <c r="M5736" s="67" t="str">
        <f t="shared" si="272"/>
        <v/>
      </c>
      <c r="N5736" s="76" t="str">
        <f t="shared" si="273"/>
        <v/>
      </c>
      <c r="O5736" s="33">
        <f t="shared" si="274"/>
        <v>0</v>
      </c>
    </row>
    <row r="5737" spans="1:15" x14ac:dyDescent="0.25">
      <c r="A5737" s="64" t="s">
        <v>192</v>
      </c>
      <c r="B5737" s="79" t="str">
        <f>IF('Twenty-Third'!B240="", "",'Twenty-Third'!B240)</f>
        <v/>
      </c>
      <c r="C5737" s="66" t="str">
        <f>IF('Twenty-Third'!C240="", "",'Twenty-Third'!C240)</f>
        <v/>
      </c>
      <c r="D5737" s="66" t="str">
        <f>IF('Twenty-Third'!D240="", "",'Twenty-Third'!D240)</f>
        <v/>
      </c>
      <c r="E5737" s="66" t="str">
        <f>IF('Twenty-Third'!E240="", "",'Twenty-Third'!E240)</f>
        <v/>
      </c>
      <c r="F5737" s="66" t="str">
        <f>IF('Twenty-Third'!F240="", "",'Twenty-Third'!F240)</f>
        <v/>
      </c>
      <c r="G5737" s="66" t="str">
        <f>IF('Twenty-Third'!G240="", "",'Twenty-Third'!G240)</f>
        <v/>
      </c>
      <c r="H5737" s="66" t="str">
        <f>IF('Twenty-Third'!H240="", "",'Twenty-Third'!H240)</f>
        <v/>
      </c>
      <c r="I5737" s="66" t="str">
        <f>IF('Twenty-Third'!I240="", "",'Twenty-Third'!I240)</f>
        <v/>
      </c>
      <c r="J5737" s="66" t="str">
        <f>IF('Twenty-Third'!J240="", "",'Twenty-Third'!J240)</f>
        <v/>
      </c>
      <c r="K5737" s="86" t="str">
        <f>IF('Twenty-Third'!K240="", "",'Twenty-Third'!K240)</f>
        <v/>
      </c>
      <c r="M5737" s="67" t="str">
        <f t="shared" si="272"/>
        <v/>
      </c>
      <c r="N5737" s="76" t="str">
        <f t="shared" si="273"/>
        <v/>
      </c>
      <c r="O5737" s="33">
        <f t="shared" si="274"/>
        <v>0</v>
      </c>
    </row>
    <row r="5738" spans="1:15" x14ac:dyDescent="0.25">
      <c r="A5738" s="64" t="s">
        <v>192</v>
      </c>
      <c r="B5738" s="79" t="str">
        <f>IF('Twenty-Third'!B241="", "",'Twenty-Third'!B241)</f>
        <v/>
      </c>
      <c r="C5738" s="66" t="str">
        <f>IF('Twenty-Third'!C241="", "",'Twenty-Third'!C241)</f>
        <v/>
      </c>
      <c r="D5738" s="66" t="str">
        <f>IF('Twenty-Third'!D241="", "",'Twenty-Third'!D241)</f>
        <v/>
      </c>
      <c r="E5738" s="66" t="str">
        <f>IF('Twenty-Third'!E241="", "",'Twenty-Third'!E241)</f>
        <v/>
      </c>
      <c r="F5738" s="66" t="str">
        <f>IF('Twenty-Third'!F241="", "",'Twenty-Third'!F241)</f>
        <v/>
      </c>
      <c r="G5738" s="66" t="str">
        <f>IF('Twenty-Third'!G241="", "",'Twenty-Third'!G241)</f>
        <v/>
      </c>
      <c r="H5738" s="66" t="str">
        <f>IF('Twenty-Third'!H241="", "",'Twenty-Third'!H241)</f>
        <v/>
      </c>
      <c r="I5738" s="66" t="str">
        <f>IF('Twenty-Third'!I241="", "",'Twenty-Third'!I241)</f>
        <v/>
      </c>
      <c r="J5738" s="66" t="str">
        <f>IF('Twenty-Third'!J241="", "",'Twenty-Third'!J241)</f>
        <v/>
      </c>
      <c r="K5738" s="86" t="str">
        <f>IF('Twenty-Third'!K241="", "",'Twenty-Third'!K241)</f>
        <v/>
      </c>
      <c r="M5738" s="67" t="str">
        <f t="shared" si="272"/>
        <v/>
      </c>
      <c r="N5738" s="76" t="str">
        <f t="shared" si="273"/>
        <v/>
      </c>
      <c r="O5738" s="33">
        <f t="shared" si="274"/>
        <v>0</v>
      </c>
    </row>
    <row r="5739" spans="1:15" x14ac:dyDescent="0.25">
      <c r="A5739" s="64" t="s">
        <v>192</v>
      </c>
      <c r="B5739" s="79" t="str">
        <f>IF('Twenty-Third'!B242="", "",'Twenty-Third'!B242)</f>
        <v/>
      </c>
      <c r="C5739" s="66" t="str">
        <f>IF('Twenty-Third'!C242="", "",'Twenty-Third'!C242)</f>
        <v/>
      </c>
      <c r="D5739" s="66" t="str">
        <f>IF('Twenty-Third'!D242="", "",'Twenty-Third'!D242)</f>
        <v/>
      </c>
      <c r="E5739" s="66" t="str">
        <f>IF('Twenty-Third'!E242="", "",'Twenty-Third'!E242)</f>
        <v/>
      </c>
      <c r="F5739" s="66" t="str">
        <f>IF('Twenty-Third'!F242="", "",'Twenty-Third'!F242)</f>
        <v/>
      </c>
      <c r="G5739" s="66" t="str">
        <f>IF('Twenty-Third'!G242="", "",'Twenty-Third'!G242)</f>
        <v/>
      </c>
      <c r="H5739" s="66" t="str">
        <f>IF('Twenty-Third'!H242="", "",'Twenty-Third'!H242)</f>
        <v/>
      </c>
      <c r="I5739" s="66" t="str">
        <f>IF('Twenty-Third'!I242="", "",'Twenty-Third'!I242)</f>
        <v/>
      </c>
      <c r="J5739" s="66" t="str">
        <f>IF('Twenty-Third'!J242="", "",'Twenty-Third'!J242)</f>
        <v/>
      </c>
      <c r="K5739" s="86" t="str">
        <f>IF('Twenty-Third'!K242="", "",'Twenty-Third'!K242)</f>
        <v/>
      </c>
      <c r="M5739" s="67" t="str">
        <f t="shared" si="272"/>
        <v/>
      </c>
      <c r="N5739" s="76" t="str">
        <f t="shared" si="273"/>
        <v/>
      </c>
      <c r="O5739" s="33">
        <f t="shared" si="274"/>
        <v>0</v>
      </c>
    </row>
    <row r="5740" spans="1:15" x14ac:dyDescent="0.25">
      <c r="A5740" s="64" t="s">
        <v>192</v>
      </c>
      <c r="B5740" s="79" t="str">
        <f>IF('Twenty-Third'!B243="", "",'Twenty-Third'!B243)</f>
        <v/>
      </c>
      <c r="C5740" s="66" t="str">
        <f>IF('Twenty-Third'!C243="", "",'Twenty-Third'!C243)</f>
        <v/>
      </c>
      <c r="D5740" s="66" t="str">
        <f>IF('Twenty-Third'!D243="", "",'Twenty-Third'!D243)</f>
        <v/>
      </c>
      <c r="E5740" s="66" t="str">
        <f>IF('Twenty-Third'!E243="", "",'Twenty-Third'!E243)</f>
        <v/>
      </c>
      <c r="F5740" s="66" t="str">
        <f>IF('Twenty-Third'!F243="", "",'Twenty-Third'!F243)</f>
        <v/>
      </c>
      <c r="G5740" s="66" t="str">
        <f>IF('Twenty-Third'!G243="", "",'Twenty-Third'!G243)</f>
        <v/>
      </c>
      <c r="H5740" s="66" t="str">
        <f>IF('Twenty-Third'!H243="", "",'Twenty-Third'!H243)</f>
        <v/>
      </c>
      <c r="I5740" s="66" t="str">
        <f>IF('Twenty-Third'!I243="", "",'Twenty-Third'!I243)</f>
        <v/>
      </c>
      <c r="J5740" s="66" t="str">
        <f>IF('Twenty-Third'!J243="", "",'Twenty-Third'!J243)</f>
        <v/>
      </c>
      <c r="K5740" s="86" t="str">
        <f>IF('Twenty-Third'!K243="", "",'Twenty-Third'!K243)</f>
        <v/>
      </c>
      <c r="M5740" s="67" t="str">
        <f t="shared" si="272"/>
        <v/>
      </c>
      <c r="N5740" s="76" t="str">
        <f t="shared" si="273"/>
        <v/>
      </c>
      <c r="O5740" s="33">
        <f t="shared" si="274"/>
        <v>0</v>
      </c>
    </row>
    <row r="5741" spans="1:15" x14ac:dyDescent="0.25">
      <c r="A5741" s="64" t="s">
        <v>192</v>
      </c>
      <c r="B5741" s="79" t="str">
        <f>IF('Twenty-Third'!B244="", "",'Twenty-Third'!B244)</f>
        <v/>
      </c>
      <c r="C5741" s="66" t="str">
        <f>IF('Twenty-Third'!C244="", "",'Twenty-Third'!C244)</f>
        <v/>
      </c>
      <c r="D5741" s="66" t="str">
        <f>IF('Twenty-Third'!D244="", "",'Twenty-Third'!D244)</f>
        <v/>
      </c>
      <c r="E5741" s="66" t="str">
        <f>IF('Twenty-Third'!E244="", "",'Twenty-Third'!E244)</f>
        <v/>
      </c>
      <c r="F5741" s="66" t="str">
        <f>IF('Twenty-Third'!F244="", "",'Twenty-Third'!F244)</f>
        <v/>
      </c>
      <c r="G5741" s="66" t="str">
        <f>IF('Twenty-Third'!G244="", "",'Twenty-Third'!G244)</f>
        <v/>
      </c>
      <c r="H5741" s="66" t="str">
        <f>IF('Twenty-Third'!H244="", "",'Twenty-Third'!H244)</f>
        <v/>
      </c>
      <c r="I5741" s="66" t="str">
        <f>IF('Twenty-Third'!I244="", "",'Twenty-Third'!I244)</f>
        <v/>
      </c>
      <c r="J5741" s="66" t="str">
        <f>IF('Twenty-Third'!J244="", "",'Twenty-Third'!J244)</f>
        <v/>
      </c>
      <c r="K5741" s="86" t="str">
        <f>IF('Twenty-Third'!K244="", "",'Twenty-Third'!K244)</f>
        <v/>
      </c>
      <c r="M5741" s="67" t="str">
        <f t="shared" si="272"/>
        <v/>
      </c>
      <c r="N5741" s="76" t="str">
        <f t="shared" si="273"/>
        <v/>
      </c>
      <c r="O5741" s="33">
        <f t="shared" si="274"/>
        <v>0</v>
      </c>
    </row>
    <row r="5742" spans="1:15" x14ac:dyDescent="0.25">
      <c r="A5742" s="64" t="s">
        <v>192</v>
      </c>
      <c r="B5742" s="79" t="str">
        <f>IF('Twenty-Third'!B245="", "",'Twenty-Third'!B245)</f>
        <v/>
      </c>
      <c r="C5742" s="66" t="str">
        <f>IF('Twenty-Third'!C245="", "",'Twenty-Third'!C245)</f>
        <v/>
      </c>
      <c r="D5742" s="66" t="str">
        <f>IF('Twenty-Third'!D245="", "",'Twenty-Third'!D245)</f>
        <v/>
      </c>
      <c r="E5742" s="66" t="str">
        <f>IF('Twenty-Third'!E245="", "",'Twenty-Third'!E245)</f>
        <v/>
      </c>
      <c r="F5742" s="66" t="str">
        <f>IF('Twenty-Third'!F245="", "",'Twenty-Third'!F245)</f>
        <v/>
      </c>
      <c r="G5742" s="66" t="str">
        <f>IF('Twenty-Third'!G245="", "",'Twenty-Third'!G245)</f>
        <v/>
      </c>
      <c r="H5742" s="66" t="str">
        <f>IF('Twenty-Third'!H245="", "",'Twenty-Third'!H245)</f>
        <v/>
      </c>
      <c r="I5742" s="66" t="str">
        <f>IF('Twenty-Third'!I245="", "",'Twenty-Third'!I245)</f>
        <v/>
      </c>
      <c r="J5742" s="66" t="str">
        <f>IF('Twenty-Third'!J245="", "",'Twenty-Third'!J245)</f>
        <v/>
      </c>
      <c r="K5742" s="86" t="str">
        <f>IF('Twenty-Third'!K245="", "",'Twenty-Third'!K245)</f>
        <v/>
      </c>
      <c r="M5742" s="67" t="str">
        <f t="shared" si="272"/>
        <v/>
      </c>
      <c r="N5742" s="76" t="str">
        <f t="shared" si="273"/>
        <v/>
      </c>
      <c r="O5742" s="33">
        <f t="shared" si="274"/>
        <v>0</v>
      </c>
    </row>
    <row r="5743" spans="1:15" x14ac:dyDescent="0.25">
      <c r="A5743" s="64" t="s">
        <v>192</v>
      </c>
      <c r="B5743" s="79" t="str">
        <f>IF('Twenty-Third'!B246="", "",'Twenty-Third'!B246)</f>
        <v/>
      </c>
      <c r="C5743" s="66" t="str">
        <f>IF('Twenty-Third'!C246="", "",'Twenty-Third'!C246)</f>
        <v/>
      </c>
      <c r="D5743" s="66" t="str">
        <f>IF('Twenty-Third'!D246="", "",'Twenty-Third'!D246)</f>
        <v/>
      </c>
      <c r="E5743" s="66" t="str">
        <f>IF('Twenty-Third'!E246="", "",'Twenty-Third'!E246)</f>
        <v/>
      </c>
      <c r="F5743" s="66" t="str">
        <f>IF('Twenty-Third'!F246="", "",'Twenty-Third'!F246)</f>
        <v/>
      </c>
      <c r="G5743" s="66" t="str">
        <f>IF('Twenty-Third'!G246="", "",'Twenty-Third'!G246)</f>
        <v/>
      </c>
      <c r="H5743" s="66" t="str">
        <f>IF('Twenty-Third'!H246="", "",'Twenty-Third'!H246)</f>
        <v/>
      </c>
      <c r="I5743" s="66" t="str">
        <f>IF('Twenty-Third'!I246="", "",'Twenty-Third'!I246)</f>
        <v/>
      </c>
      <c r="J5743" s="66" t="str">
        <f>IF('Twenty-Third'!J246="", "",'Twenty-Third'!J246)</f>
        <v/>
      </c>
      <c r="K5743" s="86" t="str">
        <f>IF('Twenty-Third'!K246="", "",'Twenty-Third'!K246)</f>
        <v/>
      </c>
      <c r="M5743" s="67" t="str">
        <f t="shared" si="272"/>
        <v/>
      </c>
      <c r="N5743" s="76" t="str">
        <f t="shared" si="273"/>
        <v/>
      </c>
      <c r="O5743" s="33">
        <f t="shared" si="274"/>
        <v>0</v>
      </c>
    </row>
    <row r="5744" spans="1:15" x14ac:dyDescent="0.25">
      <c r="A5744" s="64" t="s">
        <v>192</v>
      </c>
      <c r="B5744" s="79" t="str">
        <f>IF('Twenty-Third'!B247="", "",'Twenty-Third'!B247)</f>
        <v/>
      </c>
      <c r="C5744" s="66" t="str">
        <f>IF('Twenty-Third'!C247="", "",'Twenty-Third'!C247)</f>
        <v/>
      </c>
      <c r="D5744" s="66" t="str">
        <f>IF('Twenty-Third'!D247="", "",'Twenty-Third'!D247)</f>
        <v/>
      </c>
      <c r="E5744" s="66" t="str">
        <f>IF('Twenty-Third'!E247="", "",'Twenty-Third'!E247)</f>
        <v/>
      </c>
      <c r="F5744" s="66" t="str">
        <f>IF('Twenty-Third'!F247="", "",'Twenty-Third'!F247)</f>
        <v/>
      </c>
      <c r="G5744" s="66" t="str">
        <f>IF('Twenty-Third'!G247="", "",'Twenty-Third'!G247)</f>
        <v/>
      </c>
      <c r="H5744" s="66" t="str">
        <f>IF('Twenty-Third'!H247="", "",'Twenty-Third'!H247)</f>
        <v/>
      </c>
      <c r="I5744" s="66" t="str">
        <f>IF('Twenty-Third'!I247="", "",'Twenty-Third'!I247)</f>
        <v/>
      </c>
      <c r="J5744" s="66" t="str">
        <f>IF('Twenty-Third'!J247="", "",'Twenty-Third'!J247)</f>
        <v/>
      </c>
      <c r="K5744" s="86" t="str">
        <f>IF('Twenty-Third'!K247="", "",'Twenty-Third'!K247)</f>
        <v/>
      </c>
      <c r="M5744" s="67" t="str">
        <f t="shared" si="272"/>
        <v/>
      </c>
      <c r="N5744" s="76" t="str">
        <f t="shared" si="273"/>
        <v/>
      </c>
      <c r="O5744" s="33">
        <f t="shared" si="274"/>
        <v>0</v>
      </c>
    </row>
    <row r="5745" spans="1:15" x14ac:dyDescent="0.25">
      <c r="A5745" s="64" t="s">
        <v>192</v>
      </c>
      <c r="B5745" s="79" t="str">
        <f>IF('Twenty-Third'!B248="", "",'Twenty-Third'!B248)</f>
        <v/>
      </c>
      <c r="C5745" s="66" t="str">
        <f>IF('Twenty-Third'!C248="", "",'Twenty-Third'!C248)</f>
        <v/>
      </c>
      <c r="D5745" s="66" t="str">
        <f>IF('Twenty-Third'!D248="", "",'Twenty-Third'!D248)</f>
        <v/>
      </c>
      <c r="E5745" s="66" t="str">
        <f>IF('Twenty-Third'!E248="", "",'Twenty-Third'!E248)</f>
        <v/>
      </c>
      <c r="F5745" s="66" t="str">
        <f>IF('Twenty-Third'!F248="", "",'Twenty-Third'!F248)</f>
        <v/>
      </c>
      <c r="G5745" s="66" t="str">
        <f>IF('Twenty-Third'!G248="", "",'Twenty-Third'!G248)</f>
        <v/>
      </c>
      <c r="H5745" s="66" t="str">
        <f>IF('Twenty-Third'!H248="", "",'Twenty-Third'!H248)</f>
        <v/>
      </c>
      <c r="I5745" s="66" t="str">
        <f>IF('Twenty-Third'!I248="", "",'Twenty-Third'!I248)</f>
        <v/>
      </c>
      <c r="J5745" s="66" t="str">
        <f>IF('Twenty-Third'!J248="", "",'Twenty-Third'!J248)</f>
        <v/>
      </c>
      <c r="K5745" s="86" t="str">
        <f>IF('Twenty-Third'!K248="", "",'Twenty-Third'!K248)</f>
        <v/>
      </c>
      <c r="M5745" s="67" t="str">
        <f t="shared" si="272"/>
        <v/>
      </c>
      <c r="N5745" s="76" t="str">
        <f t="shared" si="273"/>
        <v/>
      </c>
      <c r="O5745" s="33">
        <f t="shared" si="274"/>
        <v>0</v>
      </c>
    </row>
    <row r="5746" spans="1:15" x14ac:dyDescent="0.25">
      <c r="A5746" s="64" t="s">
        <v>192</v>
      </c>
      <c r="B5746" s="79" t="str">
        <f>IF('Twenty-Third'!B249="", "",'Twenty-Third'!B249)</f>
        <v/>
      </c>
      <c r="C5746" s="66" t="str">
        <f>IF('Twenty-Third'!C249="", "",'Twenty-Third'!C249)</f>
        <v/>
      </c>
      <c r="D5746" s="66" t="str">
        <f>IF('Twenty-Third'!D249="", "",'Twenty-Third'!D249)</f>
        <v/>
      </c>
      <c r="E5746" s="66" t="str">
        <f>IF('Twenty-Third'!E249="", "",'Twenty-Third'!E249)</f>
        <v/>
      </c>
      <c r="F5746" s="66" t="str">
        <f>IF('Twenty-Third'!F249="", "",'Twenty-Third'!F249)</f>
        <v/>
      </c>
      <c r="G5746" s="66" t="str">
        <f>IF('Twenty-Third'!G249="", "",'Twenty-Third'!G249)</f>
        <v/>
      </c>
      <c r="H5746" s="66" t="str">
        <f>IF('Twenty-Third'!H249="", "",'Twenty-Third'!H249)</f>
        <v/>
      </c>
      <c r="I5746" s="66" t="str">
        <f>IF('Twenty-Third'!I249="", "",'Twenty-Third'!I249)</f>
        <v/>
      </c>
      <c r="J5746" s="66" t="str">
        <f>IF('Twenty-Third'!J249="", "",'Twenty-Third'!J249)</f>
        <v/>
      </c>
      <c r="K5746" s="86" t="str">
        <f>IF('Twenty-Third'!K249="", "",'Twenty-Third'!K249)</f>
        <v/>
      </c>
      <c r="M5746" s="67" t="str">
        <f t="shared" si="272"/>
        <v/>
      </c>
      <c r="N5746" s="76" t="str">
        <f t="shared" si="273"/>
        <v/>
      </c>
      <c r="O5746" s="33">
        <f t="shared" si="274"/>
        <v>0</v>
      </c>
    </row>
    <row r="5747" spans="1:15" x14ac:dyDescent="0.25">
      <c r="A5747" s="64" t="s">
        <v>192</v>
      </c>
      <c r="B5747" s="79" t="str">
        <f>IF('Twenty-Third'!B250="", "",'Twenty-Third'!B250)</f>
        <v/>
      </c>
      <c r="C5747" s="66" t="str">
        <f>IF('Twenty-Third'!C250="", "",'Twenty-Third'!C250)</f>
        <v/>
      </c>
      <c r="D5747" s="66" t="str">
        <f>IF('Twenty-Third'!D250="", "",'Twenty-Third'!D250)</f>
        <v/>
      </c>
      <c r="E5747" s="66" t="str">
        <f>IF('Twenty-Third'!E250="", "",'Twenty-Third'!E250)</f>
        <v/>
      </c>
      <c r="F5747" s="66" t="str">
        <f>IF('Twenty-Third'!F250="", "",'Twenty-Third'!F250)</f>
        <v/>
      </c>
      <c r="G5747" s="66" t="str">
        <f>IF('Twenty-Third'!G250="", "",'Twenty-Third'!G250)</f>
        <v/>
      </c>
      <c r="H5747" s="66" t="str">
        <f>IF('Twenty-Third'!H250="", "",'Twenty-Third'!H250)</f>
        <v/>
      </c>
      <c r="I5747" s="66" t="str">
        <f>IF('Twenty-Third'!I250="", "",'Twenty-Third'!I250)</f>
        <v/>
      </c>
      <c r="J5747" s="66" t="str">
        <f>IF('Twenty-Third'!J250="", "",'Twenty-Third'!J250)</f>
        <v/>
      </c>
      <c r="K5747" s="86" t="str">
        <f>IF('Twenty-Third'!K250="", "",'Twenty-Third'!K250)</f>
        <v/>
      </c>
      <c r="M5747" s="67" t="str">
        <f t="shared" si="272"/>
        <v/>
      </c>
      <c r="N5747" s="76" t="str">
        <f t="shared" si="273"/>
        <v/>
      </c>
      <c r="O5747" s="33">
        <f t="shared" si="274"/>
        <v>0</v>
      </c>
    </row>
    <row r="5748" spans="1:15" x14ac:dyDescent="0.25">
      <c r="A5748" s="64" t="s">
        <v>192</v>
      </c>
      <c r="B5748" s="79" t="str">
        <f>IF('Twenty-Third'!B251="", "",'Twenty-Third'!B251)</f>
        <v/>
      </c>
      <c r="C5748" s="66" t="str">
        <f>IF('Twenty-Third'!C251="", "",'Twenty-Third'!C251)</f>
        <v/>
      </c>
      <c r="D5748" s="66" t="str">
        <f>IF('Twenty-Third'!D251="", "",'Twenty-Third'!D251)</f>
        <v/>
      </c>
      <c r="E5748" s="66" t="str">
        <f>IF('Twenty-Third'!E251="", "",'Twenty-Third'!E251)</f>
        <v/>
      </c>
      <c r="F5748" s="66" t="str">
        <f>IF('Twenty-Third'!F251="", "",'Twenty-Third'!F251)</f>
        <v/>
      </c>
      <c r="G5748" s="66" t="str">
        <f>IF('Twenty-Third'!G251="", "",'Twenty-Third'!G251)</f>
        <v/>
      </c>
      <c r="H5748" s="66" t="str">
        <f>IF('Twenty-Third'!H251="", "",'Twenty-Third'!H251)</f>
        <v/>
      </c>
      <c r="I5748" s="66" t="str">
        <f>IF('Twenty-Third'!I251="", "",'Twenty-Third'!I251)</f>
        <v/>
      </c>
      <c r="J5748" s="66" t="str">
        <f>IF('Twenty-Third'!J251="", "",'Twenty-Third'!J251)</f>
        <v/>
      </c>
      <c r="K5748" s="86" t="str">
        <f>IF('Twenty-Third'!K251="", "",'Twenty-Third'!K251)</f>
        <v/>
      </c>
      <c r="M5748" s="67" t="str">
        <f t="shared" si="272"/>
        <v/>
      </c>
      <c r="N5748" s="76" t="str">
        <f t="shared" si="273"/>
        <v/>
      </c>
      <c r="O5748" s="33">
        <f t="shared" si="274"/>
        <v>0</v>
      </c>
    </row>
    <row r="5749" spans="1:15" x14ac:dyDescent="0.25">
      <c r="A5749" s="64" t="s">
        <v>192</v>
      </c>
      <c r="B5749" s="79" t="str">
        <f>IF('Twenty-Third'!B252="", "",'Twenty-Third'!B252)</f>
        <v/>
      </c>
      <c r="C5749" s="66" t="str">
        <f>IF('Twenty-Third'!C252="", "",'Twenty-Third'!C252)</f>
        <v/>
      </c>
      <c r="D5749" s="66" t="str">
        <f>IF('Twenty-Third'!D252="", "",'Twenty-Third'!D252)</f>
        <v/>
      </c>
      <c r="E5749" s="66" t="str">
        <f>IF('Twenty-Third'!E252="", "",'Twenty-Third'!E252)</f>
        <v/>
      </c>
      <c r="F5749" s="66" t="str">
        <f>IF('Twenty-Third'!F252="", "",'Twenty-Third'!F252)</f>
        <v/>
      </c>
      <c r="G5749" s="66" t="str">
        <f>IF('Twenty-Third'!G252="", "",'Twenty-Third'!G252)</f>
        <v/>
      </c>
      <c r="H5749" s="66" t="str">
        <f>IF('Twenty-Third'!H252="", "",'Twenty-Third'!H252)</f>
        <v/>
      </c>
      <c r="I5749" s="66" t="str">
        <f>IF('Twenty-Third'!I252="", "",'Twenty-Third'!I252)</f>
        <v/>
      </c>
      <c r="J5749" s="66" t="str">
        <f>IF('Twenty-Third'!J252="", "",'Twenty-Third'!J252)</f>
        <v/>
      </c>
      <c r="K5749" s="86" t="str">
        <f>IF('Twenty-Third'!K252="", "",'Twenty-Third'!K252)</f>
        <v/>
      </c>
      <c r="M5749" s="67" t="str">
        <f t="shared" si="272"/>
        <v/>
      </c>
      <c r="N5749" s="76" t="str">
        <f t="shared" si="273"/>
        <v/>
      </c>
      <c r="O5749" s="33">
        <f t="shared" si="274"/>
        <v>0</v>
      </c>
    </row>
    <row r="5750" spans="1:15" x14ac:dyDescent="0.25">
      <c r="A5750" s="64" t="s">
        <v>192</v>
      </c>
      <c r="B5750" s="79" t="str">
        <f>IF('Twenty-Third'!B253="", "",'Twenty-Third'!B253)</f>
        <v/>
      </c>
      <c r="C5750" s="66" t="str">
        <f>IF('Twenty-Third'!C253="", "",'Twenty-Third'!C253)</f>
        <v/>
      </c>
      <c r="D5750" s="66" t="str">
        <f>IF('Twenty-Third'!D253="", "",'Twenty-Third'!D253)</f>
        <v/>
      </c>
      <c r="E5750" s="66" t="str">
        <f>IF('Twenty-Third'!E253="", "",'Twenty-Third'!E253)</f>
        <v/>
      </c>
      <c r="F5750" s="66" t="str">
        <f>IF('Twenty-Third'!F253="", "",'Twenty-Third'!F253)</f>
        <v/>
      </c>
      <c r="G5750" s="66" t="str">
        <f>IF('Twenty-Third'!G253="", "",'Twenty-Third'!G253)</f>
        <v/>
      </c>
      <c r="H5750" s="66" t="str">
        <f>IF('Twenty-Third'!H253="", "",'Twenty-Third'!H253)</f>
        <v/>
      </c>
      <c r="I5750" s="66" t="str">
        <f>IF('Twenty-Third'!I253="", "",'Twenty-Third'!I253)</f>
        <v/>
      </c>
      <c r="J5750" s="66" t="str">
        <f>IF('Twenty-Third'!J253="", "",'Twenty-Third'!J253)</f>
        <v/>
      </c>
      <c r="K5750" s="86" t="str">
        <f>IF('Twenty-Third'!K253="", "",'Twenty-Third'!K253)</f>
        <v/>
      </c>
      <c r="M5750" s="67" t="str">
        <f t="shared" si="272"/>
        <v/>
      </c>
      <c r="N5750" s="76" t="str">
        <f t="shared" si="273"/>
        <v/>
      </c>
      <c r="O5750" s="33">
        <f t="shared" si="274"/>
        <v>0</v>
      </c>
    </row>
    <row r="5751" spans="1:15" ht="15.75" thickBot="1" x14ac:dyDescent="0.3">
      <c r="A5751" s="68" t="s">
        <v>192</v>
      </c>
      <c r="B5751" s="80" t="str">
        <f>IF('Twenty-Third'!B254="", "",'Twenty-Third'!B254)</f>
        <v/>
      </c>
      <c r="C5751" s="70" t="str">
        <f>IF('Twenty-Third'!C254="", "",'Twenty-Third'!C254)</f>
        <v/>
      </c>
      <c r="D5751" s="70" t="str">
        <f>IF('Twenty-Third'!D254="", "",'Twenty-Third'!D254)</f>
        <v/>
      </c>
      <c r="E5751" s="70" t="str">
        <f>IF('Twenty-Third'!E254="", "",'Twenty-Third'!E254)</f>
        <v/>
      </c>
      <c r="F5751" s="70" t="str">
        <f>IF('Twenty-Third'!F254="", "",'Twenty-Third'!F254)</f>
        <v/>
      </c>
      <c r="G5751" s="70" t="str">
        <f>IF('Twenty-Third'!G254="", "",'Twenty-Third'!G254)</f>
        <v/>
      </c>
      <c r="H5751" s="70" t="str">
        <f>IF('Twenty-Third'!H254="", "",'Twenty-Third'!H254)</f>
        <v/>
      </c>
      <c r="I5751" s="70" t="str">
        <f>IF('Twenty-Third'!I254="", "",'Twenty-Third'!I254)</f>
        <v/>
      </c>
      <c r="J5751" s="70" t="str">
        <f>IF('Twenty-Third'!J254="", "",'Twenty-Third'!J254)</f>
        <v/>
      </c>
      <c r="K5751" s="90" t="str">
        <f>IF('Twenty-Third'!K254="", "",'Twenty-Third'!K254)</f>
        <v/>
      </c>
      <c r="L5751" s="91"/>
      <c r="M5751" s="71" t="str">
        <f t="shared" si="272"/>
        <v/>
      </c>
      <c r="N5751" s="77" t="str">
        <f t="shared" si="273"/>
        <v/>
      </c>
      <c r="O5751" s="33">
        <f t="shared" si="274"/>
        <v>0</v>
      </c>
    </row>
    <row r="5752" spans="1:15" x14ac:dyDescent="0.25">
      <c r="A5752" s="64" t="s">
        <v>193</v>
      </c>
      <c r="B5752" s="79" t="str">
        <f>IF('Twenty-Fourth'!B5="", "",'Twenty-Fourth'!B5)</f>
        <v/>
      </c>
      <c r="C5752" s="66" t="str">
        <f>IF('Twenty-Fourth'!C5="", "",'Twenty-Fourth'!C5)</f>
        <v/>
      </c>
      <c r="D5752" s="66" t="str">
        <f>IF('Twenty-Fourth'!D5="", "",'Twenty-Fourth'!D5)</f>
        <v/>
      </c>
      <c r="E5752" s="66" t="str">
        <f>IF('Twenty-Fourth'!E5="", "",'Twenty-Fourth'!E5)</f>
        <v/>
      </c>
      <c r="F5752" s="66" t="str">
        <f>IF('Twenty-Fourth'!F5="", "",'Twenty-Fourth'!F5)</f>
        <v/>
      </c>
      <c r="G5752" s="66" t="str">
        <f>IF('Twenty-Fourth'!G5="", "",'Twenty-Fourth'!G5)</f>
        <v/>
      </c>
      <c r="H5752" s="66" t="str">
        <f>IF('Twenty-Fourth'!H5="", "",'Twenty-Fourth'!H5)</f>
        <v/>
      </c>
      <c r="I5752" s="66" t="str">
        <f>IF('Twenty-Fourth'!I5="", "",'Twenty-Fourth'!I5)</f>
        <v/>
      </c>
      <c r="J5752" s="66" t="str">
        <f>IF('Twenty-Fourth'!J5="", "",'Twenty-Fourth'!J5)</f>
        <v/>
      </c>
      <c r="K5752" s="86" t="str">
        <f>IF('Twenty-Fourth'!K5="", "",'Twenty-Fourth'!K5)</f>
        <v/>
      </c>
      <c r="M5752" s="67" t="str">
        <f t="shared" si="272"/>
        <v/>
      </c>
      <c r="N5752" s="76" t="str">
        <f t="shared" si="273"/>
        <v/>
      </c>
      <c r="O5752" s="33">
        <f t="shared" si="274"/>
        <v>0</v>
      </c>
    </row>
    <row r="5753" spans="1:15" x14ac:dyDescent="0.25">
      <c r="A5753" s="64" t="s">
        <v>193</v>
      </c>
      <c r="B5753" s="79" t="str">
        <f>IF('Twenty-Fourth'!B6="", "",'Twenty-Fourth'!B6)</f>
        <v/>
      </c>
      <c r="C5753" s="66" t="str">
        <f>IF('Twenty-Fourth'!C6="", "",'Twenty-Fourth'!C6)</f>
        <v/>
      </c>
      <c r="D5753" s="66" t="str">
        <f>IF('Twenty-Fourth'!D6="", "",'Twenty-Fourth'!D6)</f>
        <v/>
      </c>
      <c r="E5753" s="66" t="str">
        <f>IF('Twenty-Fourth'!E6="", "",'Twenty-Fourth'!E6)</f>
        <v/>
      </c>
      <c r="F5753" s="66" t="str">
        <f>IF('Twenty-Fourth'!F6="", "",'Twenty-Fourth'!F6)</f>
        <v/>
      </c>
      <c r="G5753" s="66" t="str">
        <f>IF('Twenty-Fourth'!G6="", "",'Twenty-Fourth'!G6)</f>
        <v/>
      </c>
      <c r="H5753" s="66" t="str">
        <f>IF('Twenty-Fourth'!H6="", "",'Twenty-Fourth'!H6)</f>
        <v/>
      </c>
      <c r="I5753" s="66" t="str">
        <f>IF('Twenty-Fourth'!I6="", "",'Twenty-Fourth'!I6)</f>
        <v/>
      </c>
      <c r="J5753" s="66" t="str">
        <f>IF('Twenty-Fourth'!J6="", "",'Twenty-Fourth'!J6)</f>
        <v/>
      </c>
      <c r="K5753" s="86" t="str">
        <f>IF('Twenty-Fourth'!K6="", "",'Twenty-Fourth'!K6)</f>
        <v/>
      </c>
      <c r="M5753" s="67" t="str">
        <f t="shared" si="272"/>
        <v/>
      </c>
      <c r="N5753" s="76" t="str">
        <f t="shared" si="273"/>
        <v/>
      </c>
      <c r="O5753" s="33">
        <f t="shared" si="274"/>
        <v>0</v>
      </c>
    </row>
    <row r="5754" spans="1:15" x14ac:dyDescent="0.25">
      <c r="A5754" s="64" t="s">
        <v>193</v>
      </c>
      <c r="B5754" s="79" t="str">
        <f>IF('Twenty-Fourth'!B7="", "",'Twenty-Fourth'!B7)</f>
        <v/>
      </c>
      <c r="C5754" s="66" t="str">
        <f>IF('Twenty-Fourth'!C7="", "",'Twenty-Fourth'!C7)</f>
        <v/>
      </c>
      <c r="D5754" s="66" t="str">
        <f>IF('Twenty-Fourth'!D7="", "",'Twenty-Fourth'!D7)</f>
        <v/>
      </c>
      <c r="E5754" s="66" t="str">
        <f>IF('Twenty-Fourth'!E7="", "",'Twenty-Fourth'!E7)</f>
        <v/>
      </c>
      <c r="F5754" s="66" t="str">
        <f>IF('Twenty-Fourth'!F7="", "",'Twenty-Fourth'!F7)</f>
        <v/>
      </c>
      <c r="G5754" s="66" t="str">
        <f>IF('Twenty-Fourth'!G7="", "",'Twenty-Fourth'!G7)</f>
        <v/>
      </c>
      <c r="H5754" s="66" t="str">
        <f>IF('Twenty-Fourth'!H7="", "",'Twenty-Fourth'!H7)</f>
        <v/>
      </c>
      <c r="I5754" s="66" t="str">
        <f>IF('Twenty-Fourth'!I7="", "",'Twenty-Fourth'!I7)</f>
        <v/>
      </c>
      <c r="J5754" s="66" t="str">
        <f>IF('Twenty-Fourth'!J7="", "",'Twenty-Fourth'!J7)</f>
        <v/>
      </c>
      <c r="K5754" s="86" t="str">
        <f>IF('Twenty-Fourth'!K7="", "",'Twenty-Fourth'!K7)</f>
        <v/>
      </c>
      <c r="M5754" s="67" t="str">
        <f t="shared" si="272"/>
        <v/>
      </c>
      <c r="N5754" s="76" t="str">
        <f t="shared" si="273"/>
        <v/>
      </c>
      <c r="O5754" s="33">
        <f t="shared" si="274"/>
        <v>0</v>
      </c>
    </row>
    <row r="5755" spans="1:15" x14ac:dyDescent="0.25">
      <c r="A5755" s="64" t="s">
        <v>193</v>
      </c>
      <c r="B5755" s="79" t="str">
        <f>IF('Twenty-Fourth'!B8="", "",'Twenty-Fourth'!B8)</f>
        <v/>
      </c>
      <c r="C5755" s="66" t="str">
        <f>IF('Twenty-Fourth'!C8="", "",'Twenty-Fourth'!C8)</f>
        <v/>
      </c>
      <c r="D5755" s="66" t="str">
        <f>IF('Twenty-Fourth'!D8="", "",'Twenty-Fourth'!D8)</f>
        <v/>
      </c>
      <c r="E5755" s="66" t="str">
        <f>IF('Twenty-Fourth'!E8="", "",'Twenty-Fourth'!E8)</f>
        <v/>
      </c>
      <c r="F5755" s="66" t="str">
        <f>IF('Twenty-Fourth'!F8="", "",'Twenty-Fourth'!F8)</f>
        <v/>
      </c>
      <c r="G5755" s="66" t="str">
        <f>IF('Twenty-Fourth'!G8="", "",'Twenty-Fourth'!G8)</f>
        <v/>
      </c>
      <c r="H5755" s="66" t="str">
        <f>IF('Twenty-Fourth'!H8="", "",'Twenty-Fourth'!H8)</f>
        <v/>
      </c>
      <c r="I5755" s="66" t="str">
        <f>IF('Twenty-Fourth'!I8="", "",'Twenty-Fourth'!I8)</f>
        <v/>
      </c>
      <c r="J5755" s="66" t="str">
        <f>IF('Twenty-Fourth'!J8="", "",'Twenty-Fourth'!J8)</f>
        <v/>
      </c>
      <c r="K5755" s="86" t="str">
        <f>IF('Twenty-Fourth'!K8="", "",'Twenty-Fourth'!K8)</f>
        <v/>
      </c>
      <c r="M5755" s="67" t="str">
        <f t="shared" si="272"/>
        <v/>
      </c>
      <c r="N5755" s="76" t="str">
        <f t="shared" si="273"/>
        <v/>
      </c>
      <c r="O5755" s="33">
        <f t="shared" si="274"/>
        <v>0</v>
      </c>
    </row>
    <row r="5756" spans="1:15" x14ac:dyDescent="0.25">
      <c r="A5756" s="64" t="s">
        <v>193</v>
      </c>
      <c r="B5756" s="79" t="str">
        <f>IF('Twenty-Fourth'!B9="", "",'Twenty-Fourth'!B9)</f>
        <v/>
      </c>
      <c r="C5756" s="66" t="str">
        <f>IF('Twenty-Fourth'!C9="", "",'Twenty-Fourth'!C9)</f>
        <v/>
      </c>
      <c r="D5756" s="66" t="str">
        <f>IF('Twenty-Fourth'!D9="", "",'Twenty-Fourth'!D9)</f>
        <v/>
      </c>
      <c r="E5756" s="66" t="str">
        <f>IF('Twenty-Fourth'!E9="", "",'Twenty-Fourth'!E9)</f>
        <v/>
      </c>
      <c r="F5756" s="66" t="str">
        <f>IF('Twenty-Fourth'!F9="", "",'Twenty-Fourth'!F9)</f>
        <v/>
      </c>
      <c r="G5756" s="66" t="str">
        <f>IF('Twenty-Fourth'!G9="", "",'Twenty-Fourth'!G9)</f>
        <v/>
      </c>
      <c r="H5756" s="66" t="str">
        <f>IF('Twenty-Fourth'!H9="", "",'Twenty-Fourth'!H9)</f>
        <v/>
      </c>
      <c r="I5756" s="66" t="str">
        <f>IF('Twenty-Fourth'!I9="", "",'Twenty-Fourth'!I9)</f>
        <v/>
      </c>
      <c r="J5756" s="66" t="str">
        <f>IF('Twenty-Fourth'!J9="", "",'Twenty-Fourth'!J9)</f>
        <v/>
      </c>
      <c r="K5756" s="86" t="str">
        <f>IF('Twenty-Fourth'!K9="", "",'Twenty-Fourth'!K9)</f>
        <v/>
      </c>
      <c r="M5756" s="67" t="str">
        <f t="shared" si="272"/>
        <v/>
      </c>
      <c r="N5756" s="76" t="str">
        <f t="shared" si="273"/>
        <v/>
      </c>
      <c r="O5756" s="33">
        <f t="shared" si="274"/>
        <v>0</v>
      </c>
    </row>
    <row r="5757" spans="1:15" x14ac:dyDescent="0.25">
      <c r="A5757" s="64" t="s">
        <v>193</v>
      </c>
      <c r="B5757" s="79" t="str">
        <f>IF('Twenty-Fourth'!B10="", "",'Twenty-Fourth'!B10)</f>
        <v/>
      </c>
      <c r="C5757" s="66" t="str">
        <f>IF('Twenty-Fourth'!C10="", "",'Twenty-Fourth'!C10)</f>
        <v/>
      </c>
      <c r="D5757" s="66" t="str">
        <f>IF('Twenty-Fourth'!D10="", "",'Twenty-Fourth'!D10)</f>
        <v/>
      </c>
      <c r="E5757" s="66" t="str">
        <f>IF('Twenty-Fourth'!E10="", "",'Twenty-Fourth'!E10)</f>
        <v/>
      </c>
      <c r="F5757" s="66" t="str">
        <f>IF('Twenty-Fourth'!F10="", "",'Twenty-Fourth'!F10)</f>
        <v/>
      </c>
      <c r="G5757" s="66" t="str">
        <f>IF('Twenty-Fourth'!G10="", "",'Twenty-Fourth'!G10)</f>
        <v/>
      </c>
      <c r="H5757" s="66" t="str">
        <f>IF('Twenty-Fourth'!H10="", "",'Twenty-Fourth'!H10)</f>
        <v/>
      </c>
      <c r="I5757" s="66" t="str">
        <f>IF('Twenty-Fourth'!I10="", "",'Twenty-Fourth'!I10)</f>
        <v/>
      </c>
      <c r="J5757" s="66" t="str">
        <f>IF('Twenty-Fourth'!J10="", "",'Twenty-Fourth'!J10)</f>
        <v/>
      </c>
      <c r="K5757" s="86" t="str">
        <f>IF('Twenty-Fourth'!K10="", "",'Twenty-Fourth'!K10)</f>
        <v/>
      </c>
      <c r="M5757" s="67" t="str">
        <f t="shared" si="272"/>
        <v/>
      </c>
      <c r="N5757" s="76" t="str">
        <f t="shared" si="273"/>
        <v/>
      </c>
      <c r="O5757" s="33">
        <f t="shared" si="274"/>
        <v>0</v>
      </c>
    </row>
    <row r="5758" spans="1:15" x14ac:dyDescent="0.25">
      <c r="A5758" s="64" t="s">
        <v>193</v>
      </c>
      <c r="B5758" s="79" t="str">
        <f>IF('Twenty-Fourth'!B11="", "",'Twenty-Fourth'!B11)</f>
        <v/>
      </c>
      <c r="C5758" s="66" t="str">
        <f>IF('Twenty-Fourth'!C11="", "",'Twenty-Fourth'!C11)</f>
        <v/>
      </c>
      <c r="D5758" s="66" t="str">
        <f>IF('Twenty-Fourth'!D11="", "",'Twenty-Fourth'!D11)</f>
        <v/>
      </c>
      <c r="E5758" s="66" t="str">
        <f>IF('Twenty-Fourth'!E11="", "",'Twenty-Fourth'!E11)</f>
        <v/>
      </c>
      <c r="F5758" s="66" t="str">
        <f>IF('Twenty-Fourth'!F11="", "",'Twenty-Fourth'!F11)</f>
        <v/>
      </c>
      <c r="G5758" s="66" t="str">
        <f>IF('Twenty-Fourth'!G11="", "",'Twenty-Fourth'!G11)</f>
        <v/>
      </c>
      <c r="H5758" s="66" t="str">
        <f>IF('Twenty-Fourth'!H11="", "",'Twenty-Fourth'!H11)</f>
        <v/>
      </c>
      <c r="I5758" s="66" t="str">
        <f>IF('Twenty-Fourth'!I11="", "",'Twenty-Fourth'!I11)</f>
        <v/>
      </c>
      <c r="J5758" s="66" t="str">
        <f>IF('Twenty-Fourth'!J11="", "",'Twenty-Fourth'!J11)</f>
        <v/>
      </c>
      <c r="K5758" s="86" t="str">
        <f>IF('Twenty-Fourth'!K11="", "",'Twenty-Fourth'!K11)</f>
        <v/>
      </c>
      <c r="M5758" s="67" t="str">
        <f t="shared" si="272"/>
        <v/>
      </c>
      <c r="N5758" s="76" t="str">
        <f t="shared" si="273"/>
        <v/>
      </c>
      <c r="O5758" s="33">
        <f t="shared" si="274"/>
        <v>0</v>
      </c>
    </row>
    <row r="5759" spans="1:15" x14ac:dyDescent="0.25">
      <c r="A5759" s="64" t="s">
        <v>193</v>
      </c>
      <c r="B5759" s="79" t="str">
        <f>IF('Twenty-Fourth'!B12="", "",'Twenty-Fourth'!B12)</f>
        <v/>
      </c>
      <c r="C5759" s="66" t="str">
        <f>IF('Twenty-Fourth'!C12="", "",'Twenty-Fourth'!C12)</f>
        <v/>
      </c>
      <c r="D5759" s="66" t="str">
        <f>IF('Twenty-Fourth'!D12="", "",'Twenty-Fourth'!D12)</f>
        <v/>
      </c>
      <c r="E5759" s="66" t="str">
        <f>IF('Twenty-Fourth'!E12="", "",'Twenty-Fourth'!E12)</f>
        <v/>
      </c>
      <c r="F5759" s="66" t="str">
        <f>IF('Twenty-Fourth'!F12="", "",'Twenty-Fourth'!F12)</f>
        <v/>
      </c>
      <c r="G5759" s="66" t="str">
        <f>IF('Twenty-Fourth'!G12="", "",'Twenty-Fourth'!G12)</f>
        <v/>
      </c>
      <c r="H5759" s="66" t="str">
        <f>IF('Twenty-Fourth'!H12="", "",'Twenty-Fourth'!H12)</f>
        <v/>
      </c>
      <c r="I5759" s="66" t="str">
        <f>IF('Twenty-Fourth'!I12="", "",'Twenty-Fourth'!I12)</f>
        <v/>
      </c>
      <c r="J5759" s="66" t="str">
        <f>IF('Twenty-Fourth'!J12="", "",'Twenty-Fourth'!J12)</f>
        <v/>
      </c>
      <c r="K5759" s="86" t="str">
        <f>IF('Twenty-Fourth'!K12="", "",'Twenty-Fourth'!K12)</f>
        <v/>
      </c>
      <c r="M5759" s="67" t="str">
        <f t="shared" ref="M5759:M5822" si="275">IF(C5759="PwC",(7-COUNTIF(B5759:H5759,"")),"")</f>
        <v/>
      </c>
      <c r="N5759" s="76" t="str">
        <f t="shared" ref="N5759:N5822" si="276">IF(C5759="Carer",(7-COUNTIF(B5759:H5759,"")),"")</f>
        <v/>
      </c>
      <c r="O5759" s="33">
        <f t="shared" si="274"/>
        <v>0</v>
      </c>
    </row>
    <row r="5760" spans="1:15" x14ac:dyDescent="0.25">
      <c r="A5760" s="64" t="s">
        <v>193</v>
      </c>
      <c r="B5760" s="79" t="str">
        <f>IF('Twenty-Fourth'!B13="", "",'Twenty-Fourth'!B13)</f>
        <v/>
      </c>
      <c r="C5760" s="66" t="str">
        <f>IF('Twenty-Fourth'!C13="", "",'Twenty-Fourth'!C13)</f>
        <v/>
      </c>
      <c r="D5760" s="66" t="str">
        <f>IF('Twenty-Fourth'!D13="", "",'Twenty-Fourth'!D13)</f>
        <v/>
      </c>
      <c r="E5760" s="66" t="str">
        <f>IF('Twenty-Fourth'!E13="", "",'Twenty-Fourth'!E13)</f>
        <v/>
      </c>
      <c r="F5760" s="66" t="str">
        <f>IF('Twenty-Fourth'!F13="", "",'Twenty-Fourth'!F13)</f>
        <v/>
      </c>
      <c r="G5760" s="66" t="str">
        <f>IF('Twenty-Fourth'!G13="", "",'Twenty-Fourth'!G13)</f>
        <v/>
      </c>
      <c r="H5760" s="66" t="str">
        <f>IF('Twenty-Fourth'!H13="", "",'Twenty-Fourth'!H13)</f>
        <v/>
      </c>
      <c r="I5760" s="66" t="str">
        <f>IF('Twenty-Fourth'!I13="", "",'Twenty-Fourth'!I13)</f>
        <v/>
      </c>
      <c r="J5760" s="66" t="str">
        <f>IF('Twenty-Fourth'!J13="", "",'Twenty-Fourth'!J13)</f>
        <v/>
      </c>
      <c r="K5760" s="86" t="str">
        <f>IF('Twenty-Fourth'!K13="", "",'Twenty-Fourth'!K13)</f>
        <v/>
      </c>
      <c r="M5760" s="67" t="str">
        <f t="shared" si="275"/>
        <v/>
      </c>
      <c r="N5760" s="76" t="str">
        <f t="shared" si="276"/>
        <v/>
      </c>
      <c r="O5760" s="33">
        <f t="shared" si="274"/>
        <v>0</v>
      </c>
    </row>
    <row r="5761" spans="1:15" x14ac:dyDescent="0.25">
      <c r="A5761" s="64" t="s">
        <v>193</v>
      </c>
      <c r="B5761" s="79" t="str">
        <f>IF('Twenty-Fourth'!B14="", "",'Twenty-Fourth'!B14)</f>
        <v/>
      </c>
      <c r="C5761" s="66" t="str">
        <f>IF('Twenty-Fourth'!C14="", "",'Twenty-Fourth'!C14)</f>
        <v/>
      </c>
      <c r="D5761" s="66" t="str">
        <f>IF('Twenty-Fourth'!D14="", "",'Twenty-Fourth'!D14)</f>
        <v/>
      </c>
      <c r="E5761" s="66" t="str">
        <f>IF('Twenty-Fourth'!E14="", "",'Twenty-Fourth'!E14)</f>
        <v/>
      </c>
      <c r="F5761" s="66" t="str">
        <f>IF('Twenty-Fourth'!F14="", "",'Twenty-Fourth'!F14)</f>
        <v/>
      </c>
      <c r="G5761" s="66" t="str">
        <f>IF('Twenty-Fourth'!G14="", "",'Twenty-Fourth'!G14)</f>
        <v/>
      </c>
      <c r="H5761" s="66" t="str">
        <f>IF('Twenty-Fourth'!H14="", "",'Twenty-Fourth'!H14)</f>
        <v/>
      </c>
      <c r="I5761" s="66" t="str">
        <f>IF('Twenty-Fourth'!I14="", "",'Twenty-Fourth'!I14)</f>
        <v/>
      </c>
      <c r="J5761" s="66" t="str">
        <f>IF('Twenty-Fourth'!J14="", "",'Twenty-Fourth'!J14)</f>
        <v/>
      </c>
      <c r="K5761" s="86" t="str">
        <f>IF('Twenty-Fourth'!K14="", "",'Twenty-Fourth'!K14)</f>
        <v/>
      </c>
      <c r="M5761" s="67" t="str">
        <f t="shared" si="275"/>
        <v/>
      </c>
      <c r="N5761" s="76" t="str">
        <f t="shared" si="276"/>
        <v/>
      </c>
      <c r="O5761" s="33">
        <f t="shared" si="274"/>
        <v>0</v>
      </c>
    </row>
    <row r="5762" spans="1:15" x14ac:dyDescent="0.25">
      <c r="A5762" s="64" t="s">
        <v>193</v>
      </c>
      <c r="B5762" s="79" t="str">
        <f>IF('Twenty-Fourth'!B15="", "",'Twenty-Fourth'!B15)</f>
        <v/>
      </c>
      <c r="C5762" s="66" t="str">
        <f>IF('Twenty-Fourth'!C15="", "",'Twenty-Fourth'!C15)</f>
        <v/>
      </c>
      <c r="D5762" s="66" t="str">
        <f>IF('Twenty-Fourth'!D15="", "",'Twenty-Fourth'!D15)</f>
        <v/>
      </c>
      <c r="E5762" s="66" t="str">
        <f>IF('Twenty-Fourth'!E15="", "",'Twenty-Fourth'!E15)</f>
        <v/>
      </c>
      <c r="F5762" s="66" t="str">
        <f>IF('Twenty-Fourth'!F15="", "",'Twenty-Fourth'!F15)</f>
        <v/>
      </c>
      <c r="G5762" s="66" t="str">
        <f>IF('Twenty-Fourth'!G15="", "",'Twenty-Fourth'!G15)</f>
        <v/>
      </c>
      <c r="H5762" s="66" t="str">
        <f>IF('Twenty-Fourth'!H15="", "",'Twenty-Fourth'!H15)</f>
        <v/>
      </c>
      <c r="I5762" s="66" t="str">
        <f>IF('Twenty-Fourth'!I15="", "",'Twenty-Fourth'!I15)</f>
        <v/>
      </c>
      <c r="J5762" s="66" t="str">
        <f>IF('Twenty-Fourth'!J15="", "",'Twenty-Fourth'!J15)</f>
        <v/>
      </c>
      <c r="K5762" s="86" t="str">
        <f>IF('Twenty-Fourth'!K15="", "",'Twenty-Fourth'!K15)</f>
        <v/>
      </c>
      <c r="M5762" s="67" t="str">
        <f t="shared" si="275"/>
        <v/>
      </c>
      <c r="N5762" s="76" t="str">
        <f t="shared" si="276"/>
        <v/>
      </c>
      <c r="O5762" s="33">
        <f t="shared" si="274"/>
        <v>0</v>
      </c>
    </row>
    <row r="5763" spans="1:15" x14ac:dyDescent="0.25">
      <c r="A5763" s="64" t="s">
        <v>193</v>
      </c>
      <c r="B5763" s="79" t="str">
        <f>IF('Twenty-Fourth'!B16="", "",'Twenty-Fourth'!B16)</f>
        <v/>
      </c>
      <c r="C5763" s="66" t="str">
        <f>IF('Twenty-Fourth'!C16="", "",'Twenty-Fourth'!C16)</f>
        <v/>
      </c>
      <c r="D5763" s="66" t="str">
        <f>IF('Twenty-Fourth'!D16="", "",'Twenty-Fourth'!D16)</f>
        <v/>
      </c>
      <c r="E5763" s="66" t="str">
        <f>IF('Twenty-Fourth'!E16="", "",'Twenty-Fourth'!E16)</f>
        <v/>
      </c>
      <c r="F5763" s="66" t="str">
        <f>IF('Twenty-Fourth'!F16="", "",'Twenty-Fourth'!F16)</f>
        <v/>
      </c>
      <c r="G5763" s="66" t="str">
        <f>IF('Twenty-Fourth'!G16="", "",'Twenty-Fourth'!G16)</f>
        <v/>
      </c>
      <c r="H5763" s="66" t="str">
        <f>IF('Twenty-Fourth'!H16="", "",'Twenty-Fourth'!H16)</f>
        <v/>
      </c>
      <c r="I5763" s="66" t="str">
        <f>IF('Twenty-Fourth'!I16="", "",'Twenty-Fourth'!I16)</f>
        <v/>
      </c>
      <c r="J5763" s="66" t="str">
        <f>IF('Twenty-Fourth'!J16="", "",'Twenty-Fourth'!J16)</f>
        <v/>
      </c>
      <c r="K5763" s="86" t="str">
        <f>IF('Twenty-Fourth'!K16="", "",'Twenty-Fourth'!K16)</f>
        <v/>
      </c>
      <c r="M5763" s="67" t="str">
        <f t="shared" si="275"/>
        <v/>
      </c>
      <c r="N5763" s="76" t="str">
        <f t="shared" si="276"/>
        <v/>
      </c>
      <c r="O5763" s="33">
        <f t="shared" si="274"/>
        <v>0</v>
      </c>
    </row>
    <row r="5764" spans="1:15" x14ac:dyDescent="0.25">
      <c r="A5764" s="64" t="s">
        <v>193</v>
      </c>
      <c r="B5764" s="79" t="str">
        <f>IF('Twenty-Fourth'!B17="", "",'Twenty-Fourth'!B17)</f>
        <v/>
      </c>
      <c r="C5764" s="66" t="str">
        <f>IF('Twenty-Fourth'!C17="", "",'Twenty-Fourth'!C17)</f>
        <v/>
      </c>
      <c r="D5764" s="66" t="str">
        <f>IF('Twenty-Fourth'!D17="", "",'Twenty-Fourth'!D17)</f>
        <v/>
      </c>
      <c r="E5764" s="66" t="str">
        <f>IF('Twenty-Fourth'!E17="", "",'Twenty-Fourth'!E17)</f>
        <v/>
      </c>
      <c r="F5764" s="66" t="str">
        <f>IF('Twenty-Fourth'!F17="", "",'Twenty-Fourth'!F17)</f>
        <v/>
      </c>
      <c r="G5764" s="66" t="str">
        <f>IF('Twenty-Fourth'!G17="", "",'Twenty-Fourth'!G17)</f>
        <v/>
      </c>
      <c r="H5764" s="66" t="str">
        <f>IF('Twenty-Fourth'!H17="", "",'Twenty-Fourth'!H17)</f>
        <v/>
      </c>
      <c r="I5764" s="66" t="str">
        <f>IF('Twenty-Fourth'!I17="", "",'Twenty-Fourth'!I17)</f>
        <v/>
      </c>
      <c r="J5764" s="66" t="str">
        <f>IF('Twenty-Fourth'!J17="", "",'Twenty-Fourth'!J17)</f>
        <v/>
      </c>
      <c r="K5764" s="86" t="str">
        <f>IF('Twenty-Fourth'!K17="", "",'Twenty-Fourth'!K17)</f>
        <v/>
      </c>
      <c r="M5764" s="67" t="str">
        <f t="shared" si="275"/>
        <v/>
      </c>
      <c r="N5764" s="76" t="str">
        <f t="shared" si="276"/>
        <v/>
      </c>
      <c r="O5764" s="33">
        <f t="shared" si="274"/>
        <v>0</v>
      </c>
    </row>
    <row r="5765" spans="1:15" x14ac:dyDescent="0.25">
      <c r="A5765" s="64" t="s">
        <v>193</v>
      </c>
      <c r="B5765" s="79" t="str">
        <f>IF('Twenty-Fourth'!B18="", "",'Twenty-Fourth'!B18)</f>
        <v/>
      </c>
      <c r="C5765" s="66" t="str">
        <f>IF('Twenty-Fourth'!C18="", "",'Twenty-Fourth'!C18)</f>
        <v/>
      </c>
      <c r="D5765" s="66" t="str">
        <f>IF('Twenty-Fourth'!D18="", "",'Twenty-Fourth'!D18)</f>
        <v/>
      </c>
      <c r="E5765" s="66" t="str">
        <f>IF('Twenty-Fourth'!E18="", "",'Twenty-Fourth'!E18)</f>
        <v/>
      </c>
      <c r="F5765" s="66" t="str">
        <f>IF('Twenty-Fourth'!F18="", "",'Twenty-Fourth'!F18)</f>
        <v/>
      </c>
      <c r="G5765" s="66" t="str">
        <f>IF('Twenty-Fourth'!G18="", "",'Twenty-Fourth'!G18)</f>
        <v/>
      </c>
      <c r="H5765" s="66" t="str">
        <f>IF('Twenty-Fourth'!H18="", "",'Twenty-Fourth'!H18)</f>
        <v/>
      </c>
      <c r="I5765" s="66" t="str">
        <f>IF('Twenty-Fourth'!I18="", "",'Twenty-Fourth'!I18)</f>
        <v/>
      </c>
      <c r="J5765" s="66" t="str">
        <f>IF('Twenty-Fourth'!J18="", "",'Twenty-Fourth'!J18)</f>
        <v/>
      </c>
      <c r="K5765" s="86" t="str">
        <f>IF('Twenty-Fourth'!K18="", "",'Twenty-Fourth'!K18)</f>
        <v/>
      </c>
      <c r="M5765" s="67" t="str">
        <f t="shared" si="275"/>
        <v/>
      </c>
      <c r="N5765" s="76" t="str">
        <f t="shared" si="276"/>
        <v/>
      </c>
      <c r="O5765" s="33">
        <f t="shared" si="274"/>
        <v>0</v>
      </c>
    </row>
    <row r="5766" spans="1:15" x14ac:dyDescent="0.25">
      <c r="A5766" s="64" t="s">
        <v>193</v>
      </c>
      <c r="B5766" s="79" t="str">
        <f>IF('Twenty-Fourth'!B19="", "",'Twenty-Fourth'!B19)</f>
        <v/>
      </c>
      <c r="C5766" s="66" t="str">
        <f>IF('Twenty-Fourth'!C19="", "",'Twenty-Fourth'!C19)</f>
        <v/>
      </c>
      <c r="D5766" s="66" t="str">
        <f>IF('Twenty-Fourth'!D19="", "",'Twenty-Fourth'!D19)</f>
        <v/>
      </c>
      <c r="E5766" s="66" t="str">
        <f>IF('Twenty-Fourth'!E19="", "",'Twenty-Fourth'!E19)</f>
        <v/>
      </c>
      <c r="F5766" s="66" t="str">
        <f>IF('Twenty-Fourth'!F19="", "",'Twenty-Fourth'!F19)</f>
        <v/>
      </c>
      <c r="G5766" s="66" t="str">
        <f>IF('Twenty-Fourth'!G19="", "",'Twenty-Fourth'!G19)</f>
        <v/>
      </c>
      <c r="H5766" s="66" t="str">
        <f>IF('Twenty-Fourth'!H19="", "",'Twenty-Fourth'!H19)</f>
        <v/>
      </c>
      <c r="I5766" s="66" t="str">
        <f>IF('Twenty-Fourth'!I19="", "",'Twenty-Fourth'!I19)</f>
        <v/>
      </c>
      <c r="J5766" s="66" t="str">
        <f>IF('Twenty-Fourth'!J19="", "",'Twenty-Fourth'!J19)</f>
        <v/>
      </c>
      <c r="K5766" s="86" t="str">
        <f>IF('Twenty-Fourth'!K19="", "",'Twenty-Fourth'!K19)</f>
        <v/>
      </c>
      <c r="M5766" s="67" t="str">
        <f t="shared" si="275"/>
        <v/>
      </c>
      <c r="N5766" s="76" t="str">
        <f t="shared" si="276"/>
        <v/>
      </c>
      <c r="O5766" s="33">
        <f t="shared" si="274"/>
        <v>0</v>
      </c>
    </row>
    <row r="5767" spans="1:15" x14ac:dyDescent="0.25">
      <c r="A5767" s="64" t="s">
        <v>193</v>
      </c>
      <c r="B5767" s="79" t="str">
        <f>IF('Twenty-Fourth'!B20="", "",'Twenty-Fourth'!B20)</f>
        <v/>
      </c>
      <c r="C5767" s="66" t="str">
        <f>IF('Twenty-Fourth'!C20="", "",'Twenty-Fourth'!C20)</f>
        <v/>
      </c>
      <c r="D5767" s="66" t="str">
        <f>IF('Twenty-Fourth'!D20="", "",'Twenty-Fourth'!D20)</f>
        <v/>
      </c>
      <c r="E5767" s="66" t="str">
        <f>IF('Twenty-Fourth'!E20="", "",'Twenty-Fourth'!E20)</f>
        <v/>
      </c>
      <c r="F5767" s="66" t="str">
        <f>IF('Twenty-Fourth'!F20="", "",'Twenty-Fourth'!F20)</f>
        <v/>
      </c>
      <c r="G5767" s="66" t="str">
        <f>IF('Twenty-Fourth'!G20="", "",'Twenty-Fourth'!G20)</f>
        <v/>
      </c>
      <c r="H5767" s="66" t="str">
        <f>IF('Twenty-Fourth'!H20="", "",'Twenty-Fourth'!H20)</f>
        <v/>
      </c>
      <c r="I5767" s="66" t="str">
        <f>IF('Twenty-Fourth'!I20="", "",'Twenty-Fourth'!I20)</f>
        <v/>
      </c>
      <c r="J5767" s="66" t="str">
        <f>IF('Twenty-Fourth'!J20="", "",'Twenty-Fourth'!J20)</f>
        <v/>
      </c>
      <c r="K5767" s="86" t="str">
        <f>IF('Twenty-Fourth'!K20="", "",'Twenty-Fourth'!K20)</f>
        <v/>
      </c>
      <c r="M5767" s="67" t="str">
        <f t="shared" si="275"/>
        <v/>
      </c>
      <c r="N5767" s="76" t="str">
        <f t="shared" si="276"/>
        <v/>
      </c>
      <c r="O5767" s="33">
        <f t="shared" si="274"/>
        <v>0</v>
      </c>
    </row>
    <row r="5768" spans="1:15" x14ac:dyDescent="0.25">
      <c r="A5768" s="64" t="s">
        <v>193</v>
      </c>
      <c r="B5768" s="79" t="str">
        <f>IF('Twenty-Fourth'!B21="", "",'Twenty-Fourth'!B21)</f>
        <v/>
      </c>
      <c r="C5768" s="66" t="str">
        <f>IF('Twenty-Fourth'!C21="", "",'Twenty-Fourth'!C21)</f>
        <v/>
      </c>
      <c r="D5768" s="66" t="str">
        <f>IF('Twenty-Fourth'!D21="", "",'Twenty-Fourth'!D21)</f>
        <v/>
      </c>
      <c r="E5768" s="66" t="str">
        <f>IF('Twenty-Fourth'!E21="", "",'Twenty-Fourth'!E21)</f>
        <v/>
      </c>
      <c r="F5768" s="66" t="str">
        <f>IF('Twenty-Fourth'!F21="", "",'Twenty-Fourth'!F21)</f>
        <v/>
      </c>
      <c r="G5768" s="66" t="str">
        <f>IF('Twenty-Fourth'!G21="", "",'Twenty-Fourth'!G21)</f>
        <v/>
      </c>
      <c r="H5768" s="66" t="str">
        <f>IF('Twenty-Fourth'!H21="", "",'Twenty-Fourth'!H21)</f>
        <v/>
      </c>
      <c r="I5768" s="66" t="str">
        <f>IF('Twenty-Fourth'!I21="", "",'Twenty-Fourth'!I21)</f>
        <v/>
      </c>
      <c r="J5768" s="66" t="str">
        <f>IF('Twenty-Fourth'!J21="", "",'Twenty-Fourth'!J21)</f>
        <v/>
      </c>
      <c r="K5768" s="86" t="str">
        <f>IF('Twenty-Fourth'!K21="", "",'Twenty-Fourth'!K21)</f>
        <v/>
      </c>
      <c r="M5768" s="67" t="str">
        <f t="shared" si="275"/>
        <v/>
      </c>
      <c r="N5768" s="76" t="str">
        <f t="shared" si="276"/>
        <v/>
      </c>
      <c r="O5768" s="33">
        <f t="shared" si="274"/>
        <v>0</v>
      </c>
    </row>
    <row r="5769" spans="1:15" x14ac:dyDescent="0.25">
      <c r="A5769" s="64" t="s">
        <v>193</v>
      </c>
      <c r="B5769" s="79" t="str">
        <f>IF('Twenty-Fourth'!B22="", "",'Twenty-Fourth'!B22)</f>
        <v/>
      </c>
      <c r="C5769" s="66" t="str">
        <f>IF('Twenty-Fourth'!C22="", "",'Twenty-Fourth'!C22)</f>
        <v/>
      </c>
      <c r="D5769" s="66" t="str">
        <f>IF('Twenty-Fourth'!D22="", "",'Twenty-Fourth'!D22)</f>
        <v/>
      </c>
      <c r="E5769" s="66" t="str">
        <f>IF('Twenty-Fourth'!E22="", "",'Twenty-Fourth'!E22)</f>
        <v/>
      </c>
      <c r="F5769" s="66" t="str">
        <f>IF('Twenty-Fourth'!F22="", "",'Twenty-Fourth'!F22)</f>
        <v/>
      </c>
      <c r="G5769" s="66" t="str">
        <f>IF('Twenty-Fourth'!G22="", "",'Twenty-Fourth'!G22)</f>
        <v/>
      </c>
      <c r="H5769" s="66" t="str">
        <f>IF('Twenty-Fourth'!H22="", "",'Twenty-Fourth'!H22)</f>
        <v/>
      </c>
      <c r="I5769" s="66" t="str">
        <f>IF('Twenty-Fourth'!I22="", "",'Twenty-Fourth'!I22)</f>
        <v/>
      </c>
      <c r="J5769" s="66" t="str">
        <f>IF('Twenty-Fourth'!J22="", "",'Twenty-Fourth'!J22)</f>
        <v/>
      </c>
      <c r="K5769" s="86" t="str">
        <f>IF('Twenty-Fourth'!K22="", "",'Twenty-Fourth'!K22)</f>
        <v/>
      </c>
      <c r="M5769" s="67" t="str">
        <f t="shared" si="275"/>
        <v/>
      </c>
      <c r="N5769" s="76" t="str">
        <f t="shared" si="276"/>
        <v/>
      </c>
      <c r="O5769" s="33">
        <f t="shared" si="274"/>
        <v>0</v>
      </c>
    </row>
    <row r="5770" spans="1:15" x14ac:dyDescent="0.25">
      <c r="A5770" s="64" t="s">
        <v>193</v>
      </c>
      <c r="B5770" s="79" t="str">
        <f>IF('Twenty-Fourth'!B23="", "",'Twenty-Fourth'!B23)</f>
        <v/>
      </c>
      <c r="C5770" s="66" t="str">
        <f>IF('Twenty-Fourth'!C23="", "",'Twenty-Fourth'!C23)</f>
        <v/>
      </c>
      <c r="D5770" s="66" t="str">
        <f>IF('Twenty-Fourth'!D23="", "",'Twenty-Fourth'!D23)</f>
        <v/>
      </c>
      <c r="E5770" s="66" t="str">
        <f>IF('Twenty-Fourth'!E23="", "",'Twenty-Fourth'!E23)</f>
        <v/>
      </c>
      <c r="F5770" s="66" t="str">
        <f>IF('Twenty-Fourth'!F23="", "",'Twenty-Fourth'!F23)</f>
        <v/>
      </c>
      <c r="G5770" s="66" t="str">
        <f>IF('Twenty-Fourth'!G23="", "",'Twenty-Fourth'!G23)</f>
        <v/>
      </c>
      <c r="H5770" s="66" t="str">
        <f>IF('Twenty-Fourth'!H23="", "",'Twenty-Fourth'!H23)</f>
        <v/>
      </c>
      <c r="I5770" s="66" t="str">
        <f>IF('Twenty-Fourth'!I23="", "",'Twenty-Fourth'!I23)</f>
        <v/>
      </c>
      <c r="J5770" s="66" t="str">
        <f>IF('Twenty-Fourth'!J23="", "",'Twenty-Fourth'!J23)</f>
        <v/>
      </c>
      <c r="K5770" s="86" t="str">
        <f>IF('Twenty-Fourth'!K23="", "",'Twenty-Fourth'!K23)</f>
        <v/>
      </c>
      <c r="M5770" s="67" t="str">
        <f t="shared" si="275"/>
        <v/>
      </c>
      <c r="N5770" s="76" t="str">
        <f t="shared" si="276"/>
        <v/>
      </c>
      <c r="O5770" s="33">
        <f t="shared" ref="O5770:O5833" si="277">SUM(M5770:N5770)</f>
        <v>0</v>
      </c>
    </row>
    <row r="5771" spans="1:15" x14ac:dyDescent="0.25">
      <c r="A5771" s="64" t="s">
        <v>193</v>
      </c>
      <c r="B5771" s="79" t="str">
        <f>IF('Twenty-Fourth'!B24="", "",'Twenty-Fourth'!B24)</f>
        <v/>
      </c>
      <c r="C5771" s="66" t="str">
        <f>IF('Twenty-Fourth'!C24="", "",'Twenty-Fourth'!C24)</f>
        <v/>
      </c>
      <c r="D5771" s="66" t="str">
        <f>IF('Twenty-Fourth'!D24="", "",'Twenty-Fourth'!D24)</f>
        <v/>
      </c>
      <c r="E5771" s="66" t="str">
        <f>IF('Twenty-Fourth'!E24="", "",'Twenty-Fourth'!E24)</f>
        <v/>
      </c>
      <c r="F5771" s="66" t="str">
        <f>IF('Twenty-Fourth'!F24="", "",'Twenty-Fourth'!F24)</f>
        <v/>
      </c>
      <c r="G5771" s="66" t="str">
        <f>IF('Twenty-Fourth'!G24="", "",'Twenty-Fourth'!G24)</f>
        <v/>
      </c>
      <c r="H5771" s="66" t="str">
        <f>IF('Twenty-Fourth'!H24="", "",'Twenty-Fourth'!H24)</f>
        <v/>
      </c>
      <c r="I5771" s="66" t="str">
        <f>IF('Twenty-Fourth'!I24="", "",'Twenty-Fourth'!I24)</f>
        <v/>
      </c>
      <c r="J5771" s="66" t="str">
        <f>IF('Twenty-Fourth'!J24="", "",'Twenty-Fourth'!J24)</f>
        <v/>
      </c>
      <c r="K5771" s="86" t="str">
        <f>IF('Twenty-Fourth'!K24="", "",'Twenty-Fourth'!K24)</f>
        <v/>
      </c>
      <c r="M5771" s="67" t="str">
        <f t="shared" si="275"/>
        <v/>
      </c>
      <c r="N5771" s="76" t="str">
        <f t="shared" si="276"/>
        <v/>
      </c>
      <c r="O5771" s="33">
        <f t="shared" si="277"/>
        <v>0</v>
      </c>
    </row>
    <row r="5772" spans="1:15" x14ac:dyDescent="0.25">
      <c r="A5772" s="64" t="s">
        <v>193</v>
      </c>
      <c r="B5772" s="79" t="str">
        <f>IF('Twenty-Fourth'!B25="", "",'Twenty-Fourth'!B25)</f>
        <v/>
      </c>
      <c r="C5772" s="66" t="str">
        <f>IF('Twenty-Fourth'!C25="", "",'Twenty-Fourth'!C25)</f>
        <v/>
      </c>
      <c r="D5772" s="66" t="str">
        <f>IF('Twenty-Fourth'!D25="", "",'Twenty-Fourth'!D25)</f>
        <v/>
      </c>
      <c r="E5772" s="66" t="str">
        <f>IF('Twenty-Fourth'!E25="", "",'Twenty-Fourth'!E25)</f>
        <v/>
      </c>
      <c r="F5772" s="66" t="str">
        <f>IF('Twenty-Fourth'!F25="", "",'Twenty-Fourth'!F25)</f>
        <v/>
      </c>
      <c r="G5772" s="66" t="str">
        <f>IF('Twenty-Fourth'!G25="", "",'Twenty-Fourth'!G25)</f>
        <v/>
      </c>
      <c r="H5772" s="66" t="str">
        <f>IF('Twenty-Fourth'!H25="", "",'Twenty-Fourth'!H25)</f>
        <v/>
      </c>
      <c r="I5772" s="66" t="str">
        <f>IF('Twenty-Fourth'!I25="", "",'Twenty-Fourth'!I25)</f>
        <v/>
      </c>
      <c r="J5772" s="66" t="str">
        <f>IF('Twenty-Fourth'!J25="", "",'Twenty-Fourth'!J25)</f>
        <v/>
      </c>
      <c r="K5772" s="86" t="str">
        <f>IF('Twenty-Fourth'!K25="", "",'Twenty-Fourth'!K25)</f>
        <v/>
      </c>
      <c r="M5772" s="67" t="str">
        <f t="shared" si="275"/>
        <v/>
      </c>
      <c r="N5772" s="76" t="str">
        <f t="shared" si="276"/>
        <v/>
      </c>
      <c r="O5772" s="33">
        <f t="shared" si="277"/>
        <v>0</v>
      </c>
    </row>
    <row r="5773" spans="1:15" x14ac:dyDescent="0.25">
      <c r="A5773" s="64" t="s">
        <v>193</v>
      </c>
      <c r="B5773" s="79" t="str">
        <f>IF('Twenty-Fourth'!B26="", "",'Twenty-Fourth'!B26)</f>
        <v/>
      </c>
      <c r="C5773" s="66" t="str">
        <f>IF('Twenty-Fourth'!C26="", "",'Twenty-Fourth'!C26)</f>
        <v/>
      </c>
      <c r="D5773" s="66" t="str">
        <f>IF('Twenty-Fourth'!D26="", "",'Twenty-Fourth'!D26)</f>
        <v/>
      </c>
      <c r="E5773" s="66" t="str">
        <f>IF('Twenty-Fourth'!E26="", "",'Twenty-Fourth'!E26)</f>
        <v/>
      </c>
      <c r="F5773" s="66" t="str">
        <f>IF('Twenty-Fourth'!F26="", "",'Twenty-Fourth'!F26)</f>
        <v/>
      </c>
      <c r="G5773" s="66" t="str">
        <f>IF('Twenty-Fourth'!G26="", "",'Twenty-Fourth'!G26)</f>
        <v/>
      </c>
      <c r="H5773" s="66" t="str">
        <f>IF('Twenty-Fourth'!H26="", "",'Twenty-Fourth'!H26)</f>
        <v/>
      </c>
      <c r="I5773" s="66" t="str">
        <f>IF('Twenty-Fourth'!I26="", "",'Twenty-Fourth'!I26)</f>
        <v/>
      </c>
      <c r="J5773" s="66" t="str">
        <f>IF('Twenty-Fourth'!J26="", "",'Twenty-Fourth'!J26)</f>
        <v/>
      </c>
      <c r="K5773" s="86" t="str">
        <f>IF('Twenty-Fourth'!K26="", "",'Twenty-Fourth'!K26)</f>
        <v/>
      </c>
      <c r="M5773" s="67" t="str">
        <f t="shared" si="275"/>
        <v/>
      </c>
      <c r="N5773" s="76" t="str">
        <f t="shared" si="276"/>
        <v/>
      </c>
      <c r="O5773" s="33">
        <f t="shared" si="277"/>
        <v>0</v>
      </c>
    </row>
    <row r="5774" spans="1:15" x14ac:dyDescent="0.25">
      <c r="A5774" s="64" t="s">
        <v>193</v>
      </c>
      <c r="B5774" s="79" t="str">
        <f>IF('Twenty-Fourth'!B27="", "",'Twenty-Fourth'!B27)</f>
        <v/>
      </c>
      <c r="C5774" s="66" t="str">
        <f>IF('Twenty-Fourth'!C27="", "",'Twenty-Fourth'!C27)</f>
        <v/>
      </c>
      <c r="D5774" s="66" t="str">
        <f>IF('Twenty-Fourth'!D27="", "",'Twenty-Fourth'!D27)</f>
        <v/>
      </c>
      <c r="E5774" s="66" t="str">
        <f>IF('Twenty-Fourth'!E27="", "",'Twenty-Fourth'!E27)</f>
        <v/>
      </c>
      <c r="F5774" s="66" t="str">
        <f>IF('Twenty-Fourth'!F27="", "",'Twenty-Fourth'!F27)</f>
        <v/>
      </c>
      <c r="G5774" s="66" t="str">
        <f>IF('Twenty-Fourth'!G27="", "",'Twenty-Fourth'!G27)</f>
        <v/>
      </c>
      <c r="H5774" s="66" t="str">
        <f>IF('Twenty-Fourth'!H27="", "",'Twenty-Fourth'!H27)</f>
        <v/>
      </c>
      <c r="I5774" s="66" t="str">
        <f>IF('Twenty-Fourth'!I27="", "",'Twenty-Fourth'!I27)</f>
        <v/>
      </c>
      <c r="J5774" s="66" t="str">
        <f>IF('Twenty-Fourth'!J27="", "",'Twenty-Fourth'!J27)</f>
        <v/>
      </c>
      <c r="K5774" s="86" t="str">
        <f>IF('Twenty-Fourth'!K27="", "",'Twenty-Fourth'!K27)</f>
        <v/>
      </c>
      <c r="M5774" s="67" t="str">
        <f t="shared" si="275"/>
        <v/>
      </c>
      <c r="N5774" s="76" t="str">
        <f t="shared" si="276"/>
        <v/>
      </c>
      <c r="O5774" s="33">
        <f t="shared" si="277"/>
        <v>0</v>
      </c>
    </row>
    <row r="5775" spans="1:15" x14ac:dyDescent="0.25">
      <c r="A5775" s="64" t="s">
        <v>193</v>
      </c>
      <c r="B5775" s="79" t="str">
        <f>IF('Twenty-Fourth'!B28="", "",'Twenty-Fourth'!B28)</f>
        <v/>
      </c>
      <c r="C5775" s="66" t="str">
        <f>IF('Twenty-Fourth'!C28="", "",'Twenty-Fourth'!C28)</f>
        <v/>
      </c>
      <c r="D5775" s="66" t="str">
        <f>IF('Twenty-Fourth'!D28="", "",'Twenty-Fourth'!D28)</f>
        <v/>
      </c>
      <c r="E5775" s="66" t="str">
        <f>IF('Twenty-Fourth'!E28="", "",'Twenty-Fourth'!E28)</f>
        <v/>
      </c>
      <c r="F5775" s="66" t="str">
        <f>IF('Twenty-Fourth'!F28="", "",'Twenty-Fourth'!F28)</f>
        <v/>
      </c>
      <c r="G5775" s="66" t="str">
        <f>IF('Twenty-Fourth'!G28="", "",'Twenty-Fourth'!G28)</f>
        <v/>
      </c>
      <c r="H5775" s="66" t="str">
        <f>IF('Twenty-Fourth'!H28="", "",'Twenty-Fourth'!H28)</f>
        <v/>
      </c>
      <c r="I5775" s="66" t="str">
        <f>IF('Twenty-Fourth'!I28="", "",'Twenty-Fourth'!I28)</f>
        <v/>
      </c>
      <c r="J5775" s="66" t="str">
        <f>IF('Twenty-Fourth'!J28="", "",'Twenty-Fourth'!J28)</f>
        <v/>
      </c>
      <c r="K5775" s="86" t="str">
        <f>IF('Twenty-Fourth'!K28="", "",'Twenty-Fourth'!K28)</f>
        <v/>
      </c>
      <c r="M5775" s="67" t="str">
        <f t="shared" si="275"/>
        <v/>
      </c>
      <c r="N5775" s="76" t="str">
        <f t="shared" si="276"/>
        <v/>
      </c>
      <c r="O5775" s="33">
        <f t="shared" si="277"/>
        <v>0</v>
      </c>
    </row>
    <row r="5776" spans="1:15" x14ac:dyDescent="0.25">
      <c r="A5776" s="64" t="s">
        <v>193</v>
      </c>
      <c r="B5776" s="79" t="str">
        <f>IF('Twenty-Fourth'!B29="", "",'Twenty-Fourth'!B29)</f>
        <v/>
      </c>
      <c r="C5776" s="66" t="str">
        <f>IF('Twenty-Fourth'!C29="", "",'Twenty-Fourth'!C29)</f>
        <v/>
      </c>
      <c r="D5776" s="66" t="str">
        <f>IF('Twenty-Fourth'!D29="", "",'Twenty-Fourth'!D29)</f>
        <v/>
      </c>
      <c r="E5776" s="66" t="str">
        <f>IF('Twenty-Fourth'!E29="", "",'Twenty-Fourth'!E29)</f>
        <v/>
      </c>
      <c r="F5776" s="66" t="str">
        <f>IF('Twenty-Fourth'!F29="", "",'Twenty-Fourth'!F29)</f>
        <v/>
      </c>
      <c r="G5776" s="66" t="str">
        <f>IF('Twenty-Fourth'!G29="", "",'Twenty-Fourth'!G29)</f>
        <v/>
      </c>
      <c r="H5776" s="66" t="str">
        <f>IF('Twenty-Fourth'!H29="", "",'Twenty-Fourth'!H29)</f>
        <v/>
      </c>
      <c r="I5776" s="66" t="str">
        <f>IF('Twenty-Fourth'!I29="", "",'Twenty-Fourth'!I29)</f>
        <v/>
      </c>
      <c r="J5776" s="66" t="str">
        <f>IF('Twenty-Fourth'!J29="", "",'Twenty-Fourth'!J29)</f>
        <v/>
      </c>
      <c r="K5776" s="86" t="str">
        <f>IF('Twenty-Fourth'!K29="", "",'Twenty-Fourth'!K29)</f>
        <v/>
      </c>
      <c r="M5776" s="67" t="str">
        <f t="shared" si="275"/>
        <v/>
      </c>
      <c r="N5776" s="76" t="str">
        <f t="shared" si="276"/>
        <v/>
      </c>
      <c r="O5776" s="33">
        <f t="shared" si="277"/>
        <v>0</v>
      </c>
    </row>
    <row r="5777" spans="1:15" x14ac:dyDescent="0.25">
      <c r="A5777" s="64" t="s">
        <v>193</v>
      </c>
      <c r="B5777" s="79" t="str">
        <f>IF('Twenty-Fourth'!B30="", "",'Twenty-Fourth'!B30)</f>
        <v/>
      </c>
      <c r="C5777" s="66" t="str">
        <f>IF('Twenty-Fourth'!C30="", "",'Twenty-Fourth'!C30)</f>
        <v/>
      </c>
      <c r="D5777" s="66" t="str">
        <f>IF('Twenty-Fourth'!D30="", "",'Twenty-Fourth'!D30)</f>
        <v/>
      </c>
      <c r="E5777" s="66" t="str">
        <f>IF('Twenty-Fourth'!E30="", "",'Twenty-Fourth'!E30)</f>
        <v/>
      </c>
      <c r="F5777" s="66" t="str">
        <f>IF('Twenty-Fourth'!F30="", "",'Twenty-Fourth'!F30)</f>
        <v/>
      </c>
      <c r="G5777" s="66" t="str">
        <f>IF('Twenty-Fourth'!G30="", "",'Twenty-Fourth'!G30)</f>
        <v/>
      </c>
      <c r="H5777" s="66" t="str">
        <f>IF('Twenty-Fourth'!H30="", "",'Twenty-Fourth'!H30)</f>
        <v/>
      </c>
      <c r="I5777" s="66" t="str">
        <f>IF('Twenty-Fourth'!I30="", "",'Twenty-Fourth'!I30)</f>
        <v/>
      </c>
      <c r="J5777" s="66" t="str">
        <f>IF('Twenty-Fourth'!J30="", "",'Twenty-Fourth'!J30)</f>
        <v/>
      </c>
      <c r="K5777" s="86" t="str">
        <f>IF('Twenty-Fourth'!K30="", "",'Twenty-Fourth'!K30)</f>
        <v/>
      </c>
      <c r="M5777" s="67" t="str">
        <f t="shared" si="275"/>
        <v/>
      </c>
      <c r="N5777" s="76" t="str">
        <f t="shared" si="276"/>
        <v/>
      </c>
      <c r="O5777" s="33">
        <f t="shared" si="277"/>
        <v>0</v>
      </c>
    </row>
    <row r="5778" spans="1:15" x14ac:dyDescent="0.25">
      <c r="A5778" s="64" t="s">
        <v>193</v>
      </c>
      <c r="B5778" s="79" t="str">
        <f>IF('Twenty-Fourth'!B31="", "",'Twenty-Fourth'!B31)</f>
        <v/>
      </c>
      <c r="C5778" s="66" t="str">
        <f>IF('Twenty-Fourth'!C31="", "",'Twenty-Fourth'!C31)</f>
        <v/>
      </c>
      <c r="D5778" s="66" t="str">
        <f>IF('Twenty-Fourth'!D31="", "",'Twenty-Fourth'!D31)</f>
        <v/>
      </c>
      <c r="E5778" s="66" t="str">
        <f>IF('Twenty-Fourth'!E31="", "",'Twenty-Fourth'!E31)</f>
        <v/>
      </c>
      <c r="F5778" s="66" t="str">
        <f>IF('Twenty-Fourth'!F31="", "",'Twenty-Fourth'!F31)</f>
        <v/>
      </c>
      <c r="G5778" s="66" t="str">
        <f>IF('Twenty-Fourth'!G31="", "",'Twenty-Fourth'!G31)</f>
        <v/>
      </c>
      <c r="H5778" s="66" t="str">
        <f>IF('Twenty-Fourth'!H31="", "",'Twenty-Fourth'!H31)</f>
        <v/>
      </c>
      <c r="I5778" s="66" t="str">
        <f>IF('Twenty-Fourth'!I31="", "",'Twenty-Fourth'!I31)</f>
        <v/>
      </c>
      <c r="J5778" s="66" t="str">
        <f>IF('Twenty-Fourth'!J31="", "",'Twenty-Fourth'!J31)</f>
        <v/>
      </c>
      <c r="K5778" s="86" t="str">
        <f>IF('Twenty-Fourth'!K31="", "",'Twenty-Fourth'!K31)</f>
        <v/>
      </c>
      <c r="M5778" s="67" t="str">
        <f t="shared" si="275"/>
        <v/>
      </c>
      <c r="N5778" s="76" t="str">
        <f t="shared" si="276"/>
        <v/>
      </c>
      <c r="O5778" s="33">
        <f t="shared" si="277"/>
        <v>0</v>
      </c>
    </row>
    <row r="5779" spans="1:15" x14ac:dyDescent="0.25">
      <c r="A5779" s="64" t="s">
        <v>193</v>
      </c>
      <c r="B5779" s="79" t="str">
        <f>IF('Twenty-Fourth'!B32="", "",'Twenty-Fourth'!B32)</f>
        <v/>
      </c>
      <c r="C5779" s="66" t="str">
        <f>IF('Twenty-Fourth'!C32="", "",'Twenty-Fourth'!C32)</f>
        <v/>
      </c>
      <c r="D5779" s="66" t="str">
        <f>IF('Twenty-Fourth'!D32="", "",'Twenty-Fourth'!D32)</f>
        <v/>
      </c>
      <c r="E5779" s="66" t="str">
        <f>IF('Twenty-Fourth'!E32="", "",'Twenty-Fourth'!E32)</f>
        <v/>
      </c>
      <c r="F5779" s="66" t="str">
        <f>IF('Twenty-Fourth'!F32="", "",'Twenty-Fourth'!F32)</f>
        <v/>
      </c>
      <c r="G5779" s="66" t="str">
        <f>IF('Twenty-Fourth'!G32="", "",'Twenty-Fourth'!G32)</f>
        <v/>
      </c>
      <c r="H5779" s="66" t="str">
        <f>IF('Twenty-Fourth'!H32="", "",'Twenty-Fourth'!H32)</f>
        <v/>
      </c>
      <c r="I5779" s="66" t="str">
        <f>IF('Twenty-Fourth'!I32="", "",'Twenty-Fourth'!I32)</f>
        <v/>
      </c>
      <c r="J5779" s="66" t="str">
        <f>IF('Twenty-Fourth'!J32="", "",'Twenty-Fourth'!J32)</f>
        <v/>
      </c>
      <c r="K5779" s="86" t="str">
        <f>IF('Twenty-Fourth'!K32="", "",'Twenty-Fourth'!K32)</f>
        <v/>
      </c>
      <c r="M5779" s="67" t="str">
        <f t="shared" si="275"/>
        <v/>
      </c>
      <c r="N5779" s="76" t="str">
        <f t="shared" si="276"/>
        <v/>
      </c>
      <c r="O5779" s="33">
        <f t="shared" si="277"/>
        <v>0</v>
      </c>
    </row>
    <row r="5780" spans="1:15" x14ac:dyDescent="0.25">
      <c r="A5780" s="64" t="s">
        <v>193</v>
      </c>
      <c r="B5780" s="79" t="str">
        <f>IF('Twenty-Fourth'!B33="", "",'Twenty-Fourth'!B33)</f>
        <v/>
      </c>
      <c r="C5780" s="66" t="str">
        <f>IF('Twenty-Fourth'!C33="", "",'Twenty-Fourth'!C33)</f>
        <v/>
      </c>
      <c r="D5780" s="66" t="str">
        <f>IF('Twenty-Fourth'!D33="", "",'Twenty-Fourth'!D33)</f>
        <v/>
      </c>
      <c r="E5780" s="66" t="str">
        <f>IF('Twenty-Fourth'!E33="", "",'Twenty-Fourth'!E33)</f>
        <v/>
      </c>
      <c r="F5780" s="66" t="str">
        <f>IF('Twenty-Fourth'!F33="", "",'Twenty-Fourth'!F33)</f>
        <v/>
      </c>
      <c r="G5780" s="66" t="str">
        <f>IF('Twenty-Fourth'!G33="", "",'Twenty-Fourth'!G33)</f>
        <v/>
      </c>
      <c r="H5780" s="66" t="str">
        <f>IF('Twenty-Fourth'!H33="", "",'Twenty-Fourth'!H33)</f>
        <v/>
      </c>
      <c r="I5780" s="66" t="str">
        <f>IF('Twenty-Fourth'!I33="", "",'Twenty-Fourth'!I33)</f>
        <v/>
      </c>
      <c r="J5780" s="66" t="str">
        <f>IF('Twenty-Fourth'!J33="", "",'Twenty-Fourth'!J33)</f>
        <v/>
      </c>
      <c r="K5780" s="86" t="str">
        <f>IF('Twenty-Fourth'!K33="", "",'Twenty-Fourth'!K33)</f>
        <v/>
      </c>
      <c r="M5780" s="67" t="str">
        <f t="shared" si="275"/>
        <v/>
      </c>
      <c r="N5780" s="76" t="str">
        <f t="shared" si="276"/>
        <v/>
      </c>
      <c r="O5780" s="33">
        <f t="shared" si="277"/>
        <v>0</v>
      </c>
    </row>
    <row r="5781" spans="1:15" x14ac:dyDescent="0.25">
      <c r="A5781" s="64" t="s">
        <v>193</v>
      </c>
      <c r="B5781" s="79" t="str">
        <f>IF('Twenty-Fourth'!B34="", "",'Twenty-Fourth'!B34)</f>
        <v/>
      </c>
      <c r="C5781" s="66" t="str">
        <f>IF('Twenty-Fourth'!C34="", "",'Twenty-Fourth'!C34)</f>
        <v/>
      </c>
      <c r="D5781" s="66" t="str">
        <f>IF('Twenty-Fourth'!D34="", "",'Twenty-Fourth'!D34)</f>
        <v/>
      </c>
      <c r="E5781" s="66" t="str">
        <f>IF('Twenty-Fourth'!E34="", "",'Twenty-Fourth'!E34)</f>
        <v/>
      </c>
      <c r="F5781" s="66" t="str">
        <f>IF('Twenty-Fourth'!F34="", "",'Twenty-Fourth'!F34)</f>
        <v/>
      </c>
      <c r="G5781" s="66" t="str">
        <f>IF('Twenty-Fourth'!G34="", "",'Twenty-Fourth'!G34)</f>
        <v/>
      </c>
      <c r="H5781" s="66" t="str">
        <f>IF('Twenty-Fourth'!H34="", "",'Twenty-Fourth'!H34)</f>
        <v/>
      </c>
      <c r="I5781" s="66" t="str">
        <f>IF('Twenty-Fourth'!I34="", "",'Twenty-Fourth'!I34)</f>
        <v/>
      </c>
      <c r="J5781" s="66" t="str">
        <f>IF('Twenty-Fourth'!J34="", "",'Twenty-Fourth'!J34)</f>
        <v/>
      </c>
      <c r="K5781" s="86" t="str">
        <f>IF('Twenty-Fourth'!K34="", "",'Twenty-Fourth'!K34)</f>
        <v/>
      </c>
      <c r="M5781" s="67" t="str">
        <f t="shared" si="275"/>
        <v/>
      </c>
      <c r="N5781" s="76" t="str">
        <f t="shared" si="276"/>
        <v/>
      </c>
      <c r="O5781" s="33">
        <f t="shared" si="277"/>
        <v>0</v>
      </c>
    </row>
    <row r="5782" spans="1:15" x14ac:dyDescent="0.25">
      <c r="A5782" s="64" t="s">
        <v>193</v>
      </c>
      <c r="B5782" s="79" t="str">
        <f>IF('Twenty-Fourth'!B35="", "",'Twenty-Fourth'!B35)</f>
        <v/>
      </c>
      <c r="C5782" s="66" t="str">
        <f>IF('Twenty-Fourth'!C35="", "",'Twenty-Fourth'!C35)</f>
        <v/>
      </c>
      <c r="D5782" s="66" t="str">
        <f>IF('Twenty-Fourth'!D35="", "",'Twenty-Fourth'!D35)</f>
        <v/>
      </c>
      <c r="E5782" s="66" t="str">
        <f>IF('Twenty-Fourth'!E35="", "",'Twenty-Fourth'!E35)</f>
        <v/>
      </c>
      <c r="F5782" s="66" t="str">
        <f>IF('Twenty-Fourth'!F35="", "",'Twenty-Fourth'!F35)</f>
        <v/>
      </c>
      <c r="G5782" s="66" t="str">
        <f>IF('Twenty-Fourth'!G35="", "",'Twenty-Fourth'!G35)</f>
        <v/>
      </c>
      <c r="H5782" s="66" t="str">
        <f>IF('Twenty-Fourth'!H35="", "",'Twenty-Fourth'!H35)</f>
        <v/>
      </c>
      <c r="I5782" s="66" t="str">
        <f>IF('Twenty-Fourth'!I35="", "",'Twenty-Fourth'!I35)</f>
        <v/>
      </c>
      <c r="J5782" s="66" t="str">
        <f>IF('Twenty-Fourth'!J35="", "",'Twenty-Fourth'!J35)</f>
        <v/>
      </c>
      <c r="K5782" s="86" t="str">
        <f>IF('Twenty-Fourth'!K35="", "",'Twenty-Fourth'!K35)</f>
        <v/>
      </c>
      <c r="M5782" s="67" t="str">
        <f t="shared" si="275"/>
        <v/>
      </c>
      <c r="N5782" s="76" t="str">
        <f t="shared" si="276"/>
        <v/>
      </c>
      <c r="O5782" s="33">
        <f t="shared" si="277"/>
        <v>0</v>
      </c>
    </row>
    <row r="5783" spans="1:15" x14ac:dyDescent="0.25">
      <c r="A5783" s="64" t="s">
        <v>193</v>
      </c>
      <c r="B5783" s="79" t="str">
        <f>IF('Twenty-Fourth'!B36="", "",'Twenty-Fourth'!B36)</f>
        <v/>
      </c>
      <c r="C5783" s="66" t="str">
        <f>IF('Twenty-Fourth'!C36="", "",'Twenty-Fourth'!C36)</f>
        <v/>
      </c>
      <c r="D5783" s="66" t="str">
        <f>IF('Twenty-Fourth'!D36="", "",'Twenty-Fourth'!D36)</f>
        <v/>
      </c>
      <c r="E5783" s="66" t="str">
        <f>IF('Twenty-Fourth'!E36="", "",'Twenty-Fourth'!E36)</f>
        <v/>
      </c>
      <c r="F5783" s="66" t="str">
        <f>IF('Twenty-Fourth'!F36="", "",'Twenty-Fourth'!F36)</f>
        <v/>
      </c>
      <c r="G5783" s="66" t="str">
        <f>IF('Twenty-Fourth'!G36="", "",'Twenty-Fourth'!G36)</f>
        <v/>
      </c>
      <c r="H5783" s="66" t="str">
        <f>IF('Twenty-Fourth'!H36="", "",'Twenty-Fourth'!H36)</f>
        <v/>
      </c>
      <c r="I5783" s="66" t="str">
        <f>IF('Twenty-Fourth'!I36="", "",'Twenty-Fourth'!I36)</f>
        <v/>
      </c>
      <c r="J5783" s="66" t="str">
        <f>IF('Twenty-Fourth'!J36="", "",'Twenty-Fourth'!J36)</f>
        <v/>
      </c>
      <c r="K5783" s="86" t="str">
        <f>IF('Twenty-Fourth'!K36="", "",'Twenty-Fourth'!K36)</f>
        <v/>
      </c>
      <c r="M5783" s="67" t="str">
        <f t="shared" si="275"/>
        <v/>
      </c>
      <c r="N5783" s="76" t="str">
        <f t="shared" si="276"/>
        <v/>
      </c>
      <c r="O5783" s="33">
        <f t="shared" si="277"/>
        <v>0</v>
      </c>
    </row>
    <row r="5784" spans="1:15" x14ac:dyDescent="0.25">
      <c r="A5784" s="64" t="s">
        <v>193</v>
      </c>
      <c r="B5784" s="79" t="str">
        <f>IF('Twenty-Fourth'!B37="", "",'Twenty-Fourth'!B37)</f>
        <v/>
      </c>
      <c r="C5784" s="66" t="str">
        <f>IF('Twenty-Fourth'!C37="", "",'Twenty-Fourth'!C37)</f>
        <v/>
      </c>
      <c r="D5784" s="66" t="str">
        <f>IF('Twenty-Fourth'!D37="", "",'Twenty-Fourth'!D37)</f>
        <v/>
      </c>
      <c r="E5784" s="66" t="str">
        <f>IF('Twenty-Fourth'!E37="", "",'Twenty-Fourth'!E37)</f>
        <v/>
      </c>
      <c r="F5784" s="66" t="str">
        <f>IF('Twenty-Fourth'!F37="", "",'Twenty-Fourth'!F37)</f>
        <v/>
      </c>
      <c r="G5784" s="66" t="str">
        <f>IF('Twenty-Fourth'!G37="", "",'Twenty-Fourth'!G37)</f>
        <v/>
      </c>
      <c r="H5784" s="66" t="str">
        <f>IF('Twenty-Fourth'!H37="", "",'Twenty-Fourth'!H37)</f>
        <v/>
      </c>
      <c r="I5784" s="66" t="str">
        <f>IF('Twenty-Fourth'!I37="", "",'Twenty-Fourth'!I37)</f>
        <v/>
      </c>
      <c r="J5784" s="66" t="str">
        <f>IF('Twenty-Fourth'!J37="", "",'Twenty-Fourth'!J37)</f>
        <v/>
      </c>
      <c r="K5784" s="86" t="str">
        <f>IF('Twenty-Fourth'!K37="", "",'Twenty-Fourth'!K37)</f>
        <v/>
      </c>
      <c r="M5784" s="67" t="str">
        <f t="shared" si="275"/>
        <v/>
      </c>
      <c r="N5784" s="76" t="str">
        <f t="shared" si="276"/>
        <v/>
      </c>
      <c r="O5784" s="33">
        <f t="shared" si="277"/>
        <v>0</v>
      </c>
    </row>
    <row r="5785" spans="1:15" x14ac:dyDescent="0.25">
      <c r="A5785" s="64" t="s">
        <v>193</v>
      </c>
      <c r="B5785" s="79" t="str">
        <f>IF('Twenty-Fourth'!B38="", "",'Twenty-Fourth'!B38)</f>
        <v/>
      </c>
      <c r="C5785" s="66" t="str">
        <f>IF('Twenty-Fourth'!C38="", "",'Twenty-Fourth'!C38)</f>
        <v/>
      </c>
      <c r="D5785" s="66" t="str">
        <f>IF('Twenty-Fourth'!D38="", "",'Twenty-Fourth'!D38)</f>
        <v/>
      </c>
      <c r="E5785" s="66" t="str">
        <f>IF('Twenty-Fourth'!E38="", "",'Twenty-Fourth'!E38)</f>
        <v/>
      </c>
      <c r="F5785" s="66" t="str">
        <f>IF('Twenty-Fourth'!F38="", "",'Twenty-Fourth'!F38)</f>
        <v/>
      </c>
      <c r="G5785" s="66" t="str">
        <f>IF('Twenty-Fourth'!G38="", "",'Twenty-Fourth'!G38)</f>
        <v/>
      </c>
      <c r="H5785" s="66" t="str">
        <f>IF('Twenty-Fourth'!H38="", "",'Twenty-Fourth'!H38)</f>
        <v/>
      </c>
      <c r="I5785" s="66" t="str">
        <f>IF('Twenty-Fourth'!I38="", "",'Twenty-Fourth'!I38)</f>
        <v/>
      </c>
      <c r="J5785" s="66" t="str">
        <f>IF('Twenty-Fourth'!J38="", "",'Twenty-Fourth'!J38)</f>
        <v/>
      </c>
      <c r="K5785" s="86" t="str">
        <f>IF('Twenty-Fourth'!K38="", "",'Twenty-Fourth'!K38)</f>
        <v/>
      </c>
      <c r="M5785" s="67" t="str">
        <f t="shared" si="275"/>
        <v/>
      </c>
      <c r="N5785" s="76" t="str">
        <f t="shared" si="276"/>
        <v/>
      </c>
      <c r="O5785" s="33">
        <f t="shared" si="277"/>
        <v>0</v>
      </c>
    </row>
    <row r="5786" spans="1:15" x14ac:dyDescent="0.25">
      <c r="A5786" s="64" t="s">
        <v>193</v>
      </c>
      <c r="B5786" s="79" t="str">
        <f>IF('Twenty-Fourth'!B39="", "",'Twenty-Fourth'!B39)</f>
        <v/>
      </c>
      <c r="C5786" s="66" t="str">
        <f>IF('Twenty-Fourth'!C39="", "",'Twenty-Fourth'!C39)</f>
        <v/>
      </c>
      <c r="D5786" s="66" t="str">
        <f>IF('Twenty-Fourth'!D39="", "",'Twenty-Fourth'!D39)</f>
        <v/>
      </c>
      <c r="E5786" s="66" t="str">
        <f>IF('Twenty-Fourth'!E39="", "",'Twenty-Fourth'!E39)</f>
        <v/>
      </c>
      <c r="F5786" s="66" t="str">
        <f>IF('Twenty-Fourth'!F39="", "",'Twenty-Fourth'!F39)</f>
        <v/>
      </c>
      <c r="G5786" s="66" t="str">
        <f>IF('Twenty-Fourth'!G39="", "",'Twenty-Fourth'!G39)</f>
        <v/>
      </c>
      <c r="H5786" s="66" t="str">
        <f>IF('Twenty-Fourth'!H39="", "",'Twenty-Fourth'!H39)</f>
        <v/>
      </c>
      <c r="I5786" s="66" t="str">
        <f>IF('Twenty-Fourth'!I39="", "",'Twenty-Fourth'!I39)</f>
        <v/>
      </c>
      <c r="J5786" s="66" t="str">
        <f>IF('Twenty-Fourth'!J39="", "",'Twenty-Fourth'!J39)</f>
        <v/>
      </c>
      <c r="K5786" s="86" t="str">
        <f>IF('Twenty-Fourth'!K39="", "",'Twenty-Fourth'!K39)</f>
        <v/>
      </c>
      <c r="M5786" s="67" t="str">
        <f t="shared" si="275"/>
        <v/>
      </c>
      <c r="N5786" s="76" t="str">
        <f t="shared" si="276"/>
        <v/>
      </c>
      <c r="O5786" s="33">
        <f t="shared" si="277"/>
        <v>0</v>
      </c>
    </row>
    <row r="5787" spans="1:15" x14ac:dyDescent="0.25">
      <c r="A5787" s="64" t="s">
        <v>193</v>
      </c>
      <c r="B5787" s="79" t="str">
        <f>IF('Twenty-Fourth'!B40="", "",'Twenty-Fourth'!B40)</f>
        <v/>
      </c>
      <c r="C5787" s="66" t="str">
        <f>IF('Twenty-Fourth'!C40="", "",'Twenty-Fourth'!C40)</f>
        <v/>
      </c>
      <c r="D5787" s="66" t="str">
        <f>IF('Twenty-Fourth'!D40="", "",'Twenty-Fourth'!D40)</f>
        <v/>
      </c>
      <c r="E5787" s="66" t="str">
        <f>IF('Twenty-Fourth'!E40="", "",'Twenty-Fourth'!E40)</f>
        <v/>
      </c>
      <c r="F5787" s="66" t="str">
        <f>IF('Twenty-Fourth'!F40="", "",'Twenty-Fourth'!F40)</f>
        <v/>
      </c>
      <c r="G5787" s="66" t="str">
        <f>IF('Twenty-Fourth'!G40="", "",'Twenty-Fourth'!G40)</f>
        <v/>
      </c>
      <c r="H5787" s="66" t="str">
        <f>IF('Twenty-Fourth'!H40="", "",'Twenty-Fourth'!H40)</f>
        <v/>
      </c>
      <c r="I5787" s="66" t="str">
        <f>IF('Twenty-Fourth'!I40="", "",'Twenty-Fourth'!I40)</f>
        <v/>
      </c>
      <c r="J5787" s="66" t="str">
        <f>IF('Twenty-Fourth'!J40="", "",'Twenty-Fourth'!J40)</f>
        <v/>
      </c>
      <c r="K5787" s="86" t="str">
        <f>IF('Twenty-Fourth'!K40="", "",'Twenty-Fourth'!K40)</f>
        <v/>
      </c>
      <c r="M5787" s="67" t="str">
        <f t="shared" si="275"/>
        <v/>
      </c>
      <c r="N5787" s="76" t="str">
        <f t="shared" si="276"/>
        <v/>
      </c>
      <c r="O5787" s="33">
        <f t="shared" si="277"/>
        <v>0</v>
      </c>
    </row>
    <row r="5788" spans="1:15" x14ac:dyDescent="0.25">
      <c r="A5788" s="64" t="s">
        <v>193</v>
      </c>
      <c r="B5788" s="79" t="str">
        <f>IF('Twenty-Fourth'!B41="", "",'Twenty-Fourth'!B41)</f>
        <v/>
      </c>
      <c r="C5788" s="66" t="str">
        <f>IF('Twenty-Fourth'!C41="", "",'Twenty-Fourth'!C41)</f>
        <v/>
      </c>
      <c r="D5788" s="66" t="str">
        <f>IF('Twenty-Fourth'!D41="", "",'Twenty-Fourth'!D41)</f>
        <v/>
      </c>
      <c r="E5788" s="66" t="str">
        <f>IF('Twenty-Fourth'!E41="", "",'Twenty-Fourth'!E41)</f>
        <v/>
      </c>
      <c r="F5788" s="66" t="str">
        <f>IF('Twenty-Fourth'!F41="", "",'Twenty-Fourth'!F41)</f>
        <v/>
      </c>
      <c r="G5788" s="66" t="str">
        <f>IF('Twenty-Fourth'!G41="", "",'Twenty-Fourth'!G41)</f>
        <v/>
      </c>
      <c r="H5788" s="66" t="str">
        <f>IF('Twenty-Fourth'!H41="", "",'Twenty-Fourth'!H41)</f>
        <v/>
      </c>
      <c r="I5788" s="66" t="str">
        <f>IF('Twenty-Fourth'!I41="", "",'Twenty-Fourth'!I41)</f>
        <v/>
      </c>
      <c r="J5788" s="66" t="str">
        <f>IF('Twenty-Fourth'!J41="", "",'Twenty-Fourth'!J41)</f>
        <v/>
      </c>
      <c r="K5788" s="86" t="str">
        <f>IF('Twenty-Fourth'!K41="", "",'Twenty-Fourth'!K41)</f>
        <v/>
      </c>
      <c r="M5788" s="67" t="str">
        <f t="shared" si="275"/>
        <v/>
      </c>
      <c r="N5788" s="76" t="str">
        <f t="shared" si="276"/>
        <v/>
      </c>
      <c r="O5788" s="33">
        <f t="shared" si="277"/>
        <v>0</v>
      </c>
    </row>
    <row r="5789" spans="1:15" x14ac:dyDescent="0.25">
      <c r="A5789" s="64" t="s">
        <v>193</v>
      </c>
      <c r="B5789" s="79" t="str">
        <f>IF('Twenty-Fourth'!B42="", "",'Twenty-Fourth'!B42)</f>
        <v/>
      </c>
      <c r="C5789" s="66" t="str">
        <f>IF('Twenty-Fourth'!C42="", "",'Twenty-Fourth'!C42)</f>
        <v/>
      </c>
      <c r="D5789" s="66" t="str">
        <f>IF('Twenty-Fourth'!D42="", "",'Twenty-Fourth'!D42)</f>
        <v/>
      </c>
      <c r="E5789" s="66" t="str">
        <f>IF('Twenty-Fourth'!E42="", "",'Twenty-Fourth'!E42)</f>
        <v/>
      </c>
      <c r="F5789" s="66" t="str">
        <f>IF('Twenty-Fourth'!F42="", "",'Twenty-Fourth'!F42)</f>
        <v/>
      </c>
      <c r="G5789" s="66" t="str">
        <f>IF('Twenty-Fourth'!G42="", "",'Twenty-Fourth'!G42)</f>
        <v/>
      </c>
      <c r="H5789" s="66" t="str">
        <f>IF('Twenty-Fourth'!H42="", "",'Twenty-Fourth'!H42)</f>
        <v/>
      </c>
      <c r="I5789" s="66" t="str">
        <f>IF('Twenty-Fourth'!I42="", "",'Twenty-Fourth'!I42)</f>
        <v/>
      </c>
      <c r="J5789" s="66" t="str">
        <f>IF('Twenty-Fourth'!J42="", "",'Twenty-Fourth'!J42)</f>
        <v/>
      </c>
      <c r="K5789" s="86" t="str">
        <f>IF('Twenty-Fourth'!K42="", "",'Twenty-Fourth'!K42)</f>
        <v/>
      </c>
      <c r="M5789" s="67" t="str">
        <f t="shared" si="275"/>
        <v/>
      </c>
      <c r="N5789" s="76" t="str">
        <f t="shared" si="276"/>
        <v/>
      </c>
      <c r="O5789" s="33">
        <f t="shared" si="277"/>
        <v>0</v>
      </c>
    </row>
    <row r="5790" spans="1:15" x14ac:dyDescent="0.25">
      <c r="A5790" s="64" t="s">
        <v>193</v>
      </c>
      <c r="B5790" s="79" t="str">
        <f>IF('Twenty-Fourth'!B43="", "",'Twenty-Fourth'!B43)</f>
        <v/>
      </c>
      <c r="C5790" s="66" t="str">
        <f>IF('Twenty-Fourth'!C43="", "",'Twenty-Fourth'!C43)</f>
        <v/>
      </c>
      <c r="D5790" s="66" t="str">
        <f>IF('Twenty-Fourth'!D43="", "",'Twenty-Fourth'!D43)</f>
        <v/>
      </c>
      <c r="E5790" s="66" t="str">
        <f>IF('Twenty-Fourth'!E43="", "",'Twenty-Fourth'!E43)</f>
        <v/>
      </c>
      <c r="F5790" s="66" t="str">
        <f>IF('Twenty-Fourth'!F43="", "",'Twenty-Fourth'!F43)</f>
        <v/>
      </c>
      <c r="G5790" s="66" t="str">
        <f>IF('Twenty-Fourth'!G43="", "",'Twenty-Fourth'!G43)</f>
        <v/>
      </c>
      <c r="H5790" s="66" t="str">
        <f>IF('Twenty-Fourth'!H43="", "",'Twenty-Fourth'!H43)</f>
        <v/>
      </c>
      <c r="I5790" s="66" t="str">
        <f>IF('Twenty-Fourth'!I43="", "",'Twenty-Fourth'!I43)</f>
        <v/>
      </c>
      <c r="J5790" s="66" t="str">
        <f>IF('Twenty-Fourth'!J43="", "",'Twenty-Fourth'!J43)</f>
        <v/>
      </c>
      <c r="K5790" s="86" t="str">
        <f>IF('Twenty-Fourth'!K43="", "",'Twenty-Fourth'!K43)</f>
        <v/>
      </c>
      <c r="M5790" s="67" t="str">
        <f t="shared" si="275"/>
        <v/>
      </c>
      <c r="N5790" s="76" t="str">
        <f t="shared" si="276"/>
        <v/>
      </c>
      <c r="O5790" s="33">
        <f t="shared" si="277"/>
        <v>0</v>
      </c>
    </row>
    <row r="5791" spans="1:15" x14ac:dyDescent="0.25">
      <c r="A5791" s="64" t="s">
        <v>193</v>
      </c>
      <c r="B5791" s="79" t="str">
        <f>IF('Twenty-Fourth'!B44="", "",'Twenty-Fourth'!B44)</f>
        <v/>
      </c>
      <c r="C5791" s="66" t="str">
        <f>IF('Twenty-Fourth'!C44="", "",'Twenty-Fourth'!C44)</f>
        <v/>
      </c>
      <c r="D5791" s="66" t="str">
        <f>IF('Twenty-Fourth'!D44="", "",'Twenty-Fourth'!D44)</f>
        <v/>
      </c>
      <c r="E5791" s="66" t="str">
        <f>IF('Twenty-Fourth'!E44="", "",'Twenty-Fourth'!E44)</f>
        <v/>
      </c>
      <c r="F5791" s="66" t="str">
        <f>IF('Twenty-Fourth'!F44="", "",'Twenty-Fourth'!F44)</f>
        <v/>
      </c>
      <c r="G5791" s="66" t="str">
        <f>IF('Twenty-Fourth'!G44="", "",'Twenty-Fourth'!G44)</f>
        <v/>
      </c>
      <c r="H5791" s="66" t="str">
        <f>IF('Twenty-Fourth'!H44="", "",'Twenty-Fourth'!H44)</f>
        <v/>
      </c>
      <c r="I5791" s="66" t="str">
        <f>IF('Twenty-Fourth'!I44="", "",'Twenty-Fourth'!I44)</f>
        <v/>
      </c>
      <c r="J5791" s="66" t="str">
        <f>IF('Twenty-Fourth'!J44="", "",'Twenty-Fourth'!J44)</f>
        <v/>
      </c>
      <c r="K5791" s="86" t="str">
        <f>IF('Twenty-Fourth'!K44="", "",'Twenty-Fourth'!K44)</f>
        <v/>
      </c>
      <c r="M5791" s="67" t="str">
        <f t="shared" si="275"/>
        <v/>
      </c>
      <c r="N5791" s="76" t="str">
        <f t="shared" si="276"/>
        <v/>
      </c>
      <c r="O5791" s="33">
        <f t="shared" si="277"/>
        <v>0</v>
      </c>
    </row>
    <row r="5792" spans="1:15" x14ac:dyDescent="0.25">
      <c r="A5792" s="64" t="s">
        <v>193</v>
      </c>
      <c r="B5792" s="79" t="str">
        <f>IF('Twenty-Fourth'!B45="", "",'Twenty-Fourth'!B45)</f>
        <v/>
      </c>
      <c r="C5792" s="66" t="str">
        <f>IF('Twenty-Fourth'!C45="", "",'Twenty-Fourth'!C45)</f>
        <v/>
      </c>
      <c r="D5792" s="66" t="str">
        <f>IF('Twenty-Fourth'!D45="", "",'Twenty-Fourth'!D45)</f>
        <v/>
      </c>
      <c r="E5792" s="66" t="str">
        <f>IF('Twenty-Fourth'!E45="", "",'Twenty-Fourth'!E45)</f>
        <v/>
      </c>
      <c r="F5792" s="66" t="str">
        <f>IF('Twenty-Fourth'!F45="", "",'Twenty-Fourth'!F45)</f>
        <v/>
      </c>
      <c r="G5792" s="66" t="str">
        <f>IF('Twenty-Fourth'!G45="", "",'Twenty-Fourth'!G45)</f>
        <v/>
      </c>
      <c r="H5792" s="66" t="str">
        <f>IF('Twenty-Fourth'!H45="", "",'Twenty-Fourth'!H45)</f>
        <v/>
      </c>
      <c r="I5792" s="66" t="str">
        <f>IF('Twenty-Fourth'!I45="", "",'Twenty-Fourth'!I45)</f>
        <v/>
      </c>
      <c r="J5792" s="66" t="str">
        <f>IF('Twenty-Fourth'!J45="", "",'Twenty-Fourth'!J45)</f>
        <v/>
      </c>
      <c r="K5792" s="86" t="str">
        <f>IF('Twenty-Fourth'!K45="", "",'Twenty-Fourth'!K45)</f>
        <v/>
      </c>
      <c r="M5792" s="67" t="str">
        <f t="shared" si="275"/>
        <v/>
      </c>
      <c r="N5792" s="76" t="str">
        <f t="shared" si="276"/>
        <v/>
      </c>
      <c r="O5792" s="33">
        <f t="shared" si="277"/>
        <v>0</v>
      </c>
    </row>
    <row r="5793" spans="1:15" x14ac:dyDescent="0.25">
      <c r="A5793" s="64" t="s">
        <v>193</v>
      </c>
      <c r="B5793" s="79" t="str">
        <f>IF('Twenty-Fourth'!B46="", "",'Twenty-Fourth'!B46)</f>
        <v/>
      </c>
      <c r="C5793" s="66" t="str">
        <f>IF('Twenty-Fourth'!C46="", "",'Twenty-Fourth'!C46)</f>
        <v/>
      </c>
      <c r="D5793" s="66" t="str">
        <f>IF('Twenty-Fourth'!D46="", "",'Twenty-Fourth'!D46)</f>
        <v/>
      </c>
      <c r="E5793" s="66" t="str">
        <f>IF('Twenty-Fourth'!E46="", "",'Twenty-Fourth'!E46)</f>
        <v/>
      </c>
      <c r="F5793" s="66" t="str">
        <f>IF('Twenty-Fourth'!F46="", "",'Twenty-Fourth'!F46)</f>
        <v/>
      </c>
      <c r="G5793" s="66" t="str">
        <f>IF('Twenty-Fourth'!G46="", "",'Twenty-Fourth'!G46)</f>
        <v/>
      </c>
      <c r="H5793" s="66" t="str">
        <f>IF('Twenty-Fourth'!H46="", "",'Twenty-Fourth'!H46)</f>
        <v/>
      </c>
      <c r="I5793" s="66" t="str">
        <f>IF('Twenty-Fourth'!I46="", "",'Twenty-Fourth'!I46)</f>
        <v/>
      </c>
      <c r="J5793" s="66" t="str">
        <f>IF('Twenty-Fourth'!J46="", "",'Twenty-Fourth'!J46)</f>
        <v/>
      </c>
      <c r="K5793" s="86" t="str">
        <f>IF('Twenty-Fourth'!K46="", "",'Twenty-Fourth'!K46)</f>
        <v/>
      </c>
      <c r="M5793" s="67" t="str">
        <f t="shared" si="275"/>
        <v/>
      </c>
      <c r="N5793" s="76" t="str">
        <f t="shared" si="276"/>
        <v/>
      </c>
      <c r="O5793" s="33">
        <f t="shared" si="277"/>
        <v>0</v>
      </c>
    </row>
    <row r="5794" spans="1:15" x14ac:dyDescent="0.25">
      <c r="A5794" s="64" t="s">
        <v>193</v>
      </c>
      <c r="B5794" s="79" t="str">
        <f>IF('Twenty-Fourth'!B47="", "",'Twenty-Fourth'!B47)</f>
        <v/>
      </c>
      <c r="C5794" s="66" t="str">
        <f>IF('Twenty-Fourth'!C47="", "",'Twenty-Fourth'!C47)</f>
        <v/>
      </c>
      <c r="D5794" s="66" t="str">
        <f>IF('Twenty-Fourth'!D47="", "",'Twenty-Fourth'!D47)</f>
        <v/>
      </c>
      <c r="E5794" s="66" t="str">
        <f>IF('Twenty-Fourth'!E47="", "",'Twenty-Fourth'!E47)</f>
        <v/>
      </c>
      <c r="F5794" s="66" t="str">
        <f>IF('Twenty-Fourth'!F47="", "",'Twenty-Fourth'!F47)</f>
        <v/>
      </c>
      <c r="G5794" s="66" t="str">
        <f>IF('Twenty-Fourth'!G47="", "",'Twenty-Fourth'!G47)</f>
        <v/>
      </c>
      <c r="H5794" s="66" t="str">
        <f>IF('Twenty-Fourth'!H47="", "",'Twenty-Fourth'!H47)</f>
        <v/>
      </c>
      <c r="I5794" s="66" t="str">
        <f>IF('Twenty-Fourth'!I47="", "",'Twenty-Fourth'!I47)</f>
        <v/>
      </c>
      <c r="J5794" s="66" t="str">
        <f>IF('Twenty-Fourth'!J47="", "",'Twenty-Fourth'!J47)</f>
        <v/>
      </c>
      <c r="K5794" s="86" t="str">
        <f>IF('Twenty-Fourth'!K47="", "",'Twenty-Fourth'!K47)</f>
        <v/>
      </c>
      <c r="M5794" s="67" t="str">
        <f t="shared" si="275"/>
        <v/>
      </c>
      <c r="N5794" s="76" t="str">
        <f t="shared" si="276"/>
        <v/>
      </c>
      <c r="O5794" s="33">
        <f t="shared" si="277"/>
        <v>0</v>
      </c>
    </row>
    <row r="5795" spans="1:15" x14ac:dyDescent="0.25">
      <c r="A5795" s="64" t="s">
        <v>193</v>
      </c>
      <c r="B5795" s="79" t="str">
        <f>IF('Twenty-Fourth'!B48="", "",'Twenty-Fourth'!B48)</f>
        <v/>
      </c>
      <c r="C5795" s="66" t="str">
        <f>IF('Twenty-Fourth'!C48="", "",'Twenty-Fourth'!C48)</f>
        <v/>
      </c>
      <c r="D5795" s="66" t="str">
        <f>IF('Twenty-Fourth'!D48="", "",'Twenty-Fourth'!D48)</f>
        <v/>
      </c>
      <c r="E5795" s="66" t="str">
        <f>IF('Twenty-Fourth'!E48="", "",'Twenty-Fourth'!E48)</f>
        <v/>
      </c>
      <c r="F5795" s="66" t="str">
        <f>IF('Twenty-Fourth'!F48="", "",'Twenty-Fourth'!F48)</f>
        <v/>
      </c>
      <c r="G5795" s="66" t="str">
        <f>IF('Twenty-Fourth'!G48="", "",'Twenty-Fourth'!G48)</f>
        <v/>
      </c>
      <c r="H5795" s="66" t="str">
        <f>IF('Twenty-Fourth'!H48="", "",'Twenty-Fourth'!H48)</f>
        <v/>
      </c>
      <c r="I5795" s="66" t="str">
        <f>IF('Twenty-Fourth'!I48="", "",'Twenty-Fourth'!I48)</f>
        <v/>
      </c>
      <c r="J5795" s="66" t="str">
        <f>IF('Twenty-Fourth'!J48="", "",'Twenty-Fourth'!J48)</f>
        <v/>
      </c>
      <c r="K5795" s="86" t="str">
        <f>IF('Twenty-Fourth'!K48="", "",'Twenty-Fourth'!K48)</f>
        <v/>
      </c>
      <c r="M5795" s="67" t="str">
        <f t="shared" si="275"/>
        <v/>
      </c>
      <c r="N5795" s="76" t="str">
        <f t="shared" si="276"/>
        <v/>
      </c>
      <c r="O5795" s="33">
        <f t="shared" si="277"/>
        <v>0</v>
      </c>
    </row>
    <row r="5796" spans="1:15" x14ac:dyDescent="0.25">
      <c r="A5796" s="64" t="s">
        <v>193</v>
      </c>
      <c r="B5796" s="79" t="str">
        <f>IF('Twenty-Fourth'!B49="", "",'Twenty-Fourth'!B49)</f>
        <v/>
      </c>
      <c r="C5796" s="66" t="str">
        <f>IF('Twenty-Fourth'!C49="", "",'Twenty-Fourth'!C49)</f>
        <v/>
      </c>
      <c r="D5796" s="66" t="str">
        <f>IF('Twenty-Fourth'!D49="", "",'Twenty-Fourth'!D49)</f>
        <v/>
      </c>
      <c r="E5796" s="66" t="str">
        <f>IF('Twenty-Fourth'!E49="", "",'Twenty-Fourth'!E49)</f>
        <v/>
      </c>
      <c r="F5796" s="66" t="str">
        <f>IF('Twenty-Fourth'!F49="", "",'Twenty-Fourth'!F49)</f>
        <v/>
      </c>
      <c r="G5796" s="66" t="str">
        <f>IF('Twenty-Fourth'!G49="", "",'Twenty-Fourth'!G49)</f>
        <v/>
      </c>
      <c r="H5796" s="66" t="str">
        <f>IF('Twenty-Fourth'!H49="", "",'Twenty-Fourth'!H49)</f>
        <v/>
      </c>
      <c r="I5796" s="66" t="str">
        <f>IF('Twenty-Fourth'!I49="", "",'Twenty-Fourth'!I49)</f>
        <v/>
      </c>
      <c r="J5796" s="66" t="str">
        <f>IF('Twenty-Fourth'!J49="", "",'Twenty-Fourth'!J49)</f>
        <v/>
      </c>
      <c r="K5796" s="86" t="str">
        <f>IF('Twenty-Fourth'!K49="", "",'Twenty-Fourth'!K49)</f>
        <v/>
      </c>
      <c r="M5796" s="67" t="str">
        <f t="shared" si="275"/>
        <v/>
      </c>
      <c r="N5796" s="76" t="str">
        <f t="shared" si="276"/>
        <v/>
      </c>
      <c r="O5796" s="33">
        <f t="shared" si="277"/>
        <v>0</v>
      </c>
    </row>
    <row r="5797" spans="1:15" x14ac:dyDescent="0.25">
      <c r="A5797" s="64" t="s">
        <v>193</v>
      </c>
      <c r="B5797" s="79" t="str">
        <f>IF('Twenty-Fourth'!B50="", "",'Twenty-Fourth'!B50)</f>
        <v/>
      </c>
      <c r="C5797" s="66" t="str">
        <f>IF('Twenty-Fourth'!C50="", "",'Twenty-Fourth'!C50)</f>
        <v/>
      </c>
      <c r="D5797" s="66" t="str">
        <f>IF('Twenty-Fourth'!D50="", "",'Twenty-Fourth'!D50)</f>
        <v/>
      </c>
      <c r="E5797" s="66" t="str">
        <f>IF('Twenty-Fourth'!E50="", "",'Twenty-Fourth'!E50)</f>
        <v/>
      </c>
      <c r="F5797" s="66" t="str">
        <f>IF('Twenty-Fourth'!F50="", "",'Twenty-Fourth'!F50)</f>
        <v/>
      </c>
      <c r="G5797" s="66" t="str">
        <f>IF('Twenty-Fourth'!G50="", "",'Twenty-Fourth'!G50)</f>
        <v/>
      </c>
      <c r="H5797" s="66" t="str">
        <f>IF('Twenty-Fourth'!H50="", "",'Twenty-Fourth'!H50)</f>
        <v/>
      </c>
      <c r="I5797" s="66" t="str">
        <f>IF('Twenty-Fourth'!I50="", "",'Twenty-Fourth'!I50)</f>
        <v/>
      </c>
      <c r="J5797" s="66" t="str">
        <f>IF('Twenty-Fourth'!J50="", "",'Twenty-Fourth'!J50)</f>
        <v/>
      </c>
      <c r="K5797" s="86" t="str">
        <f>IF('Twenty-Fourth'!K50="", "",'Twenty-Fourth'!K50)</f>
        <v/>
      </c>
      <c r="M5797" s="67" t="str">
        <f t="shared" si="275"/>
        <v/>
      </c>
      <c r="N5797" s="76" t="str">
        <f t="shared" si="276"/>
        <v/>
      </c>
      <c r="O5797" s="33">
        <f t="shared" si="277"/>
        <v>0</v>
      </c>
    </row>
    <row r="5798" spans="1:15" x14ac:dyDescent="0.25">
      <c r="A5798" s="64" t="s">
        <v>193</v>
      </c>
      <c r="B5798" s="79" t="str">
        <f>IF('Twenty-Fourth'!B51="", "",'Twenty-Fourth'!B51)</f>
        <v/>
      </c>
      <c r="C5798" s="66" t="str">
        <f>IF('Twenty-Fourth'!C51="", "",'Twenty-Fourth'!C51)</f>
        <v/>
      </c>
      <c r="D5798" s="66" t="str">
        <f>IF('Twenty-Fourth'!D51="", "",'Twenty-Fourth'!D51)</f>
        <v/>
      </c>
      <c r="E5798" s="66" t="str">
        <f>IF('Twenty-Fourth'!E51="", "",'Twenty-Fourth'!E51)</f>
        <v/>
      </c>
      <c r="F5798" s="66" t="str">
        <f>IF('Twenty-Fourth'!F51="", "",'Twenty-Fourth'!F51)</f>
        <v/>
      </c>
      <c r="G5798" s="66" t="str">
        <f>IF('Twenty-Fourth'!G51="", "",'Twenty-Fourth'!G51)</f>
        <v/>
      </c>
      <c r="H5798" s="66" t="str">
        <f>IF('Twenty-Fourth'!H51="", "",'Twenty-Fourth'!H51)</f>
        <v/>
      </c>
      <c r="I5798" s="66" t="str">
        <f>IF('Twenty-Fourth'!I51="", "",'Twenty-Fourth'!I51)</f>
        <v/>
      </c>
      <c r="J5798" s="66" t="str">
        <f>IF('Twenty-Fourth'!J51="", "",'Twenty-Fourth'!J51)</f>
        <v/>
      </c>
      <c r="K5798" s="86" t="str">
        <f>IF('Twenty-Fourth'!K51="", "",'Twenty-Fourth'!K51)</f>
        <v/>
      </c>
      <c r="M5798" s="67" t="str">
        <f t="shared" si="275"/>
        <v/>
      </c>
      <c r="N5798" s="76" t="str">
        <f t="shared" si="276"/>
        <v/>
      </c>
      <c r="O5798" s="33">
        <f t="shared" si="277"/>
        <v>0</v>
      </c>
    </row>
    <row r="5799" spans="1:15" x14ac:dyDescent="0.25">
      <c r="A5799" s="64" t="s">
        <v>193</v>
      </c>
      <c r="B5799" s="79" t="str">
        <f>IF('Twenty-Fourth'!B52="", "",'Twenty-Fourth'!B52)</f>
        <v/>
      </c>
      <c r="C5799" s="66" t="str">
        <f>IF('Twenty-Fourth'!C52="", "",'Twenty-Fourth'!C52)</f>
        <v/>
      </c>
      <c r="D5799" s="66" t="str">
        <f>IF('Twenty-Fourth'!D52="", "",'Twenty-Fourth'!D52)</f>
        <v/>
      </c>
      <c r="E5799" s="66" t="str">
        <f>IF('Twenty-Fourth'!E52="", "",'Twenty-Fourth'!E52)</f>
        <v/>
      </c>
      <c r="F5799" s="66" t="str">
        <f>IF('Twenty-Fourth'!F52="", "",'Twenty-Fourth'!F52)</f>
        <v/>
      </c>
      <c r="G5799" s="66" t="str">
        <f>IF('Twenty-Fourth'!G52="", "",'Twenty-Fourth'!G52)</f>
        <v/>
      </c>
      <c r="H5799" s="66" t="str">
        <f>IF('Twenty-Fourth'!H52="", "",'Twenty-Fourth'!H52)</f>
        <v/>
      </c>
      <c r="I5799" s="66" t="str">
        <f>IF('Twenty-Fourth'!I52="", "",'Twenty-Fourth'!I52)</f>
        <v/>
      </c>
      <c r="J5799" s="66" t="str">
        <f>IF('Twenty-Fourth'!J52="", "",'Twenty-Fourth'!J52)</f>
        <v/>
      </c>
      <c r="K5799" s="86" t="str">
        <f>IF('Twenty-Fourth'!K52="", "",'Twenty-Fourth'!K52)</f>
        <v/>
      </c>
      <c r="M5799" s="67" t="str">
        <f t="shared" si="275"/>
        <v/>
      </c>
      <c r="N5799" s="76" t="str">
        <f t="shared" si="276"/>
        <v/>
      </c>
      <c r="O5799" s="33">
        <f t="shared" si="277"/>
        <v>0</v>
      </c>
    </row>
    <row r="5800" spans="1:15" x14ac:dyDescent="0.25">
      <c r="A5800" s="64" t="s">
        <v>193</v>
      </c>
      <c r="B5800" s="79" t="str">
        <f>IF('Twenty-Fourth'!B53="", "",'Twenty-Fourth'!B53)</f>
        <v/>
      </c>
      <c r="C5800" s="66" t="str">
        <f>IF('Twenty-Fourth'!C53="", "",'Twenty-Fourth'!C53)</f>
        <v/>
      </c>
      <c r="D5800" s="66" t="str">
        <f>IF('Twenty-Fourth'!D53="", "",'Twenty-Fourth'!D53)</f>
        <v/>
      </c>
      <c r="E5800" s="66" t="str">
        <f>IF('Twenty-Fourth'!E53="", "",'Twenty-Fourth'!E53)</f>
        <v/>
      </c>
      <c r="F5800" s="66" t="str">
        <f>IF('Twenty-Fourth'!F53="", "",'Twenty-Fourth'!F53)</f>
        <v/>
      </c>
      <c r="G5800" s="66" t="str">
        <f>IF('Twenty-Fourth'!G53="", "",'Twenty-Fourth'!G53)</f>
        <v/>
      </c>
      <c r="H5800" s="66" t="str">
        <f>IF('Twenty-Fourth'!H53="", "",'Twenty-Fourth'!H53)</f>
        <v/>
      </c>
      <c r="I5800" s="66" t="str">
        <f>IF('Twenty-Fourth'!I53="", "",'Twenty-Fourth'!I53)</f>
        <v/>
      </c>
      <c r="J5800" s="66" t="str">
        <f>IF('Twenty-Fourth'!J53="", "",'Twenty-Fourth'!J53)</f>
        <v/>
      </c>
      <c r="K5800" s="86" t="str">
        <f>IF('Twenty-Fourth'!K53="", "",'Twenty-Fourth'!K53)</f>
        <v/>
      </c>
      <c r="M5800" s="67" t="str">
        <f t="shared" si="275"/>
        <v/>
      </c>
      <c r="N5800" s="76" t="str">
        <f t="shared" si="276"/>
        <v/>
      </c>
      <c r="O5800" s="33">
        <f t="shared" si="277"/>
        <v>0</v>
      </c>
    </row>
    <row r="5801" spans="1:15" x14ac:dyDescent="0.25">
      <c r="A5801" s="64" t="s">
        <v>193</v>
      </c>
      <c r="B5801" s="79" t="str">
        <f>IF('Twenty-Fourth'!B54="", "",'Twenty-Fourth'!B54)</f>
        <v/>
      </c>
      <c r="C5801" s="66" t="str">
        <f>IF('Twenty-Fourth'!C54="", "",'Twenty-Fourth'!C54)</f>
        <v/>
      </c>
      <c r="D5801" s="66" t="str">
        <f>IF('Twenty-Fourth'!D54="", "",'Twenty-Fourth'!D54)</f>
        <v/>
      </c>
      <c r="E5801" s="66" t="str">
        <f>IF('Twenty-Fourth'!E54="", "",'Twenty-Fourth'!E54)</f>
        <v/>
      </c>
      <c r="F5801" s="66" t="str">
        <f>IF('Twenty-Fourth'!F54="", "",'Twenty-Fourth'!F54)</f>
        <v/>
      </c>
      <c r="G5801" s="66" t="str">
        <f>IF('Twenty-Fourth'!G54="", "",'Twenty-Fourth'!G54)</f>
        <v/>
      </c>
      <c r="H5801" s="66" t="str">
        <f>IF('Twenty-Fourth'!H54="", "",'Twenty-Fourth'!H54)</f>
        <v/>
      </c>
      <c r="I5801" s="66" t="str">
        <f>IF('Twenty-Fourth'!I54="", "",'Twenty-Fourth'!I54)</f>
        <v/>
      </c>
      <c r="J5801" s="66" t="str">
        <f>IF('Twenty-Fourth'!J54="", "",'Twenty-Fourth'!J54)</f>
        <v/>
      </c>
      <c r="K5801" s="86" t="str">
        <f>IF('Twenty-Fourth'!K54="", "",'Twenty-Fourth'!K54)</f>
        <v/>
      </c>
      <c r="M5801" s="67" t="str">
        <f t="shared" si="275"/>
        <v/>
      </c>
      <c r="N5801" s="76" t="str">
        <f t="shared" si="276"/>
        <v/>
      </c>
      <c r="O5801" s="33">
        <f t="shared" si="277"/>
        <v>0</v>
      </c>
    </row>
    <row r="5802" spans="1:15" x14ac:dyDescent="0.25">
      <c r="A5802" s="64" t="s">
        <v>193</v>
      </c>
      <c r="B5802" s="79" t="str">
        <f>IF('Twenty-Fourth'!B55="", "",'Twenty-Fourth'!B55)</f>
        <v/>
      </c>
      <c r="C5802" s="66" t="str">
        <f>IF('Twenty-Fourth'!C55="", "",'Twenty-Fourth'!C55)</f>
        <v/>
      </c>
      <c r="D5802" s="66" t="str">
        <f>IF('Twenty-Fourth'!D55="", "",'Twenty-Fourth'!D55)</f>
        <v/>
      </c>
      <c r="E5802" s="66" t="str">
        <f>IF('Twenty-Fourth'!E55="", "",'Twenty-Fourth'!E55)</f>
        <v/>
      </c>
      <c r="F5802" s="66" t="str">
        <f>IF('Twenty-Fourth'!F55="", "",'Twenty-Fourth'!F55)</f>
        <v/>
      </c>
      <c r="G5802" s="66" t="str">
        <f>IF('Twenty-Fourth'!G55="", "",'Twenty-Fourth'!G55)</f>
        <v/>
      </c>
      <c r="H5802" s="66" t="str">
        <f>IF('Twenty-Fourth'!H55="", "",'Twenty-Fourth'!H55)</f>
        <v/>
      </c>
      <c r="I5802" s="66" t="str">
        <f>IF('Twenty-Fourth'!I55="", "",'Twenty-Fourth'!I55)</f>
        <v/>
      </c>
      <c r="J5802" s="66" t="str">
        <f>IF('Twenty-Fourth'!J55="", "",'Twenty-Fourth'!J55)</f>
        <v/>
      </c>
      <c r="K5802" s="86" t="str">
        <f>IF('Twenty-Fourth'!K55="", "",'Twenty-Fourth'!K55)</f>
        <v/>
      </c>
      <c r="M5802" s="67" t="str">
        <f t="shared" si="275"/>
        <v/>
      </c>
      <c r="N5802" s="76" t="str">
        <f t="shared" si="276"/>
        <v/>
      </c>
      <c r="O5802" s="33">
        <f t="shared" si="277"/>
        <v>0</v>
      </c>
    </row>
    <row r="5803" spans="1:15" x14ac:dyDescent="0.25">
      <c r="A5803" s="64" t="s">
        <v>193</v>
      </c>
      <c r="B5803" s="79" t="str">
        <f>IF('Twenty-Fourth'!B56="", "",'Twenty-Fourth'!B56)</f>
        <v/>
      </c>
      <c r="C5803" s="66" t="str">
        <f>IF('Twenty-Fourth'!C56="", "",'Twenty-Fourth'!C56)</f>
        <v/>
      </c>
      <c r="D5803" s="66" t="str">
        <f>IF('Twenty-Fourth'!D56="", "",'Twenty-Fourth'!D56)</f>
        <v/>
      </c>
      <c r="E5803" s="66" t="str">
        <f>IF('Twenty-Fourth'!E56="", "",'Twenty-Fourth'!E56)</f>
        <v/>
      </c>
      <c r="F5803" s="66" t="str">
        <f>IF('Twenty-Fourth'!F56="", "",'Twenty-Fourth'!F56)</f>
        <v/>
      </c>
      <c r="G5803" s="66" t="str">
        <f>IF('Twenty-Fourth'!G56="", "",'Twenty-Fourth'!G56)</f>
        <v/>
      </c>
      <c r="H5803" s="66" t="str">
        <f>IF('Twenty-Fourth'!H56="", "",'Twenty-Fourth'!H56)</f>
        <v/>
      </c>
      <c r="I5803" s="66" t="str">
        <f>IF('Twenty-Fourth'!I56="", "",'Twenty-Fourth'!I56)</f>
        <v/>
      </c>
      <c r="J5803" s="66" t="str">
        <f>IF('Twenty-Fourth'!J56="", "",'Twenty-Fourth'!J56)</f>
        <v/>
      </c>
      <c r="K5803" s="86" t="str">
        <f>IF('Twenty-Fourth'!K56="", "",'Twenty-Fourth'!K56)</f>
        <v/>
      </c>
      <c r="M5803" s="67" t="str">
        <f t="shared" si="275"/>
        <v/>
      </c>
      <c r="N5803" s="76" t="str">
        <f t="shared" si="276"/>
        <v/>
      </c>
      <c r="O5803" s="33">
        <f t="shared" si="277"/>
        <v>0</v>
      </c>
    </row>
    <row r="5804" spans="1:15" x14ac:dyDescent="0.25">
      <c r="A5804" s="64" t="s">
        <v>193</v>
      </c>
      <c r="B5804" s="79" t="str">
        <f>IF('Twenty-Fourth'!B57="", "",'Twenty-Fourth'!B57)</f>
        <v/>
      </c>
      <c r="C5804" s="66" t="str">
        <f>IF('Twenty-Fourth'!C57="", "",'Twenty-Fourth'!C57)</f>
        <v/>
      </c>
      <c r="D5804" s="66" t="str">
        <f>IF('Twenty-Fourth'!D57="", "",'Twenty-Fourth'!D57)</f>
        <v/>
      </c>
      <c r="E5804" s="66" t="str">
        <f>IF('Twenty-Fourth'!E57="", "",'Twenty-Fourth'!E57)</f>
        <v/>
      </c>
      <c r="F5804" s="66" t="str">
        <f>IF('Twenty-Fourth'!F57="", "",'Twenty-Fourth'!F57)</f>
        <v/>
      </c>
      <c r="G5804" s="66" t="str">
        <f>IF('Twenty-Fourth'!G57="", "",'Twenty-Fourth'!G57)</f>
        <v/>
      </c>
      <c r="H5804" s="66" t="str">
        <f>IF('Twenty-Fourth'!H57="", "",'Twenty-Fourth'!H57)</f>
        <v/>
      </c>
      <c r="I5804" s="66" t="str">
        <f>IF('Twenty-Fourth'!I57="", "",'Twenty-Fourth'!I57)</f>
        <v/>
      </c>
      <c r="J5804" s="66" t="str">
        <f>IF('Twenty-Fourth'!J57="", "",'Twenty-Fourth'!J57)</f>
        <v/>
      </c>
      <c r="K5804" s="86" t="str">
        <f>IF('Twenty-Fourth'!K57="", "",'Twenty-Fourth'!K57)</f>
        <v/>
      </c>
      <c r="M5804" s="67" t="str">
        <f t="shared" si="275"/>
        <v/>
      </c>
      <c r="N5804" s="76" t="str">
        <f t="shared" si="276"/>
        <v/>
      </c>
      <c r="O5804" s="33">
        <f t="shared" si="277"/>
        <v>0</v>
      </c>
    </row>
    <row r="5805" spans="1:15" x14ac:dyDescent="0.25">
      <c r="A5805" s="64" t="s">
        <v>193</v>
      </c>
      <c r="B5805" s="79" t="str">
        <f>IF('Twenty-Fourth'!B58="", "",'Twenty-Fourth'!B58)</f>
        <v/>
      </c>
      <c r="C5805" s="66" t="str">
        <f>IF('Twenty-Fourth'!C58="", "",'Twenty-Fourth'!C58)</f>
        <v/>
      </c>
      <c r="D5805" s="66" t="str">
        <f>IF('Twenty-Fourth'!D58="", "",'Twenty-Fourth'!D58)</f>
        <v/>
      </c>
      <c r="E5805" s="66" t="str">
        <f>IF('Twenty-Fourth'!E58="", "",'Twenty-Fourth'!E58)</f>
        <v/>
      </c>
      <c r="F5805" s="66" t="str">
        <f>IF('Twenty-Fourth'!F58="", "",'Twenty-Fourth'!F58)</f>
        <v/>
      </c>
      <c r="G5805" s="66" t="str">
        <f>IF('Twenty-Fourth'!G58="", "",'Twenty-Fourth'!G58)</f>
        <v/>
      </c>
      <c r="H5805" s="66" t="str">
        <f>IF('Twenty-Fourth'!H58="", "",'Twenty-Fourth'!H58)</f>
        <v/>
      </c>
      <c r="I5805" s="66" t="str">
        <f>IF('Twenty-Fourth'!I58="", "",'Twenty-Fourth'!I58)</f>
        <v/>
      </c>
      <c r="J5805" s="66" t="str">
        <f>IF('Twenty-Fourth'!J58="", "",'Twenty-Fourth'!J58)</f>
        <v/>
      </c>
      <c r="K5805" s="86" t="str">
        <f>IF('Twenty-Fourth'!K58="", "",'Twenty-Fourth'!K58)</f>
        <v/>
      </c>
      <c r="M5805" s="67" t="str">
        <f t="shared" si="275"/>
        <v/>
      </c>
      <c r="N5805" s="76" t="str">
        <f t="shared" si="276"/>
        <v/>
      </c>
      <c r="O5805" s="33">
        <f t="shared" si="277"/>
        <v>0</v>
      </c>
    </row>
    <row r="5806" spans="1:15" x14ac:dyDescent="0.25">
      <c r="A5806" s="64" t="s">
        <v>193</v>
      </c>
      <c r="B5806" s="79" t="str">
        <f>IF('Twenty-Fourth'!B59="", "",'Twenty-Fourth'!B59)</f>
        <v/>
      </c>
      <c r="C5806" s="66" t="str">
        <f>IF('Twenty-Fourth'!C59="", "",'Twenty-Fourth'!C59)</f>
        <v/>
      </c>
      <c r="D5806" s="66" t="str">
        <f>IF('Twenty-Fourth'!D59="", "",'Twenty-Fourth'!D59)</f>
        <v/>
      </c>
      <c r="E5806" s="66" t="str">
        <f>IF('Twenty-Fourth'!E59="", "",'Twenty-Fourth'!E59)</f>
        <v/>
      </c>
      <c r="F5806" s="66" t="str">
        <f>IF('Twenty-Fourth'!F59="", "",'Twenty-Fourth'!F59)</f>
        <v/>
      </c>
      <c r="G5806" s="66" t="str">
        <f>IF('Twenty-Fourth'!G59="", "",'Twenty-Fourth'!G59)</f>
        <v/>
      </c>
      <c r="H5806" s="66" t="str">
        <f>IF('Twenty-Fourth'!H59="", "",'Twenty-Fourth'!H59)</f>
        <v/>
      </c>
      <c r="I5806" s="66" t="str">
        <f>IF('Twenty-Fourth'!I59="", "",'Twenty-Fourth'!I59)</f>
        <v/>
      </c>
      <c r="J5806" s="66" t="str">
        <f>IF('Twenty-Fourth'!J59="", "",'Twenty-Fourth'!J59)</f>
        <v/>
      </c>
      <c r="K5806" s="86" t="str">
        <f>IF('Twenty-Fourth'!K59="", "",'Twenty-Fourth'!K59)</f>
        <v/>
      </c>
      <c r="M5806" s="67" t="str">
        <f t="shared" si="275"/>
        <v/>
      </c>
      <c r="N5806" s="76" t="str">
        <f t="shared" si="276"/>
        <v/>
      </c>
      <c r="O5806" s="33">
        <f t="shared" si="277"/>
        <v>0</v>
      </c>
    </row>
    <row r="5807" spans="1:15" x14ac:dyDescent="0.25">
      <c r="A5807" s="64" t="s">
        <v>193</v>
      </c>
      <c r="B5807" s="79" t="str">
        <f>IF('Twenty-Fourth'!B60="", "",'Twenty-Fourth'!B60)</f>
        <v/>
      </c>
      <c r="C5807" s="66" t="str">
        <f>IF('Twenty-Fourth'!C60="", "",'Twenty-Fourth'!C60)</f>
        <v/>
      </c>
      <c r="D5807" s="66" t="str">
        <f>IF('Twenty-Fourth'!D60="", "",'Twenty-Fourth'!D60)</f>
        <v/>
      </c>
      <c r="E5807" s="66" t="str">
        <f>IF('Twenty-Fourth'!E60="", "",'Twenty-Fourth'!E60)</f>
        <v/>
      </c>
      <c r="F5807" s="66" t="str">
        <f>IF('Twenty-Fourth'!F60="", "",'Twenty-Fourth'!F60)</f>
        <v/>
      </c>
      <c r="G5807" s="66" t="str">
        <f>IF('Twenty-Fourth'!G60="", "",'Twenty-Fourth'!G60)</f>
        <v/>
      </c>
      <c r="H5807" s="66" t="str">
        <f>IF('Twenty-Fourth'!H60="", "",'Twenty-Fourth'!H60)</f>
        <v/>
      </c>
      <c r="I5807" s="66" t="str">
        <f>IF('Twenty-Fourth'!I60="", "",'Twenty-Fourth'!I60)</f>
        <v/>
      </c>
      <c r="J5807" s="66" t="str">
        <f>IF('Twenty-Fourth'!J60="", "",'Twenty-Fourth'!J60)</f>
        <v/>
      </c>
      <c r="K5807" s="86" t="str">
        <f>IF('Twenty-Fourth'!K60="", "",'Twenty-Fourth'!K60)</f>
        <v/>
      </c>
      <c r="M5807" s="67" t="str">
        <f t="shared" si="275"/>
        <v/>
      </c>
      <c r="N5807" s="76" t="str">
        <f t="shared" si="276"/>
        <v/>
      </c>
      <c r="O5807" s="33">
        <f t="shared" si="277"/>
        <v>0</v>
      </c>
    </row>
    <row r="5808" spans="1:15" x14ac:dyDescent="0.25">
      <c r="A5808" s="64" t="s">
        <v>193</v>
      </c>
      <c r="B5808" s="79" t="str">
        <f>IF('Twenty-Fourth'!B61="", "",'Twenty-Fourth'!B61)</f>
        <v/>
      </c>
      <c r="C5808" s="66" t="str">
        <f>IF('Twenty-Fourth'!C61="", "",'Twenty-Fourth'!C61)</f>
        <v/>
      </c>
      <c r="D5808" s="66" t="str">
        <f>IF('Twenty-Fourth'!D61="", "",'Twenty-Fourth'!D61)</f>
        <v/>
      </c>
      <c r="E5808" s="66" t="str">
        <f>IF('Twenty-Fourth'!E61="", "",'Twenty-Fourth'!E61)</f>
        <v/>
      </c>
      <c r="F5808" s="66" t="str">
        <f>IF('Twenty-Fourth'!F61="", "",'Twenty-Fourth'!F61)</f>
        <v/>
      </c>
      <c r="G5808" s="66" t="str">
        <f>IF('Twenty-Fourth'!G61="", "",'Twenty-Fourth'!G61)</f>
        <v/>
      </c>
      <c r="H5808" s="66" t="str">
        <f>IF('Twenty-Fourth'!H61="", "",'Twenty-Fourth'!H61)</f>
        <v/>
      </c>
      <c r="I5808" s="66" t="str">
        <f>IF('Twenty-Fourth'!I61="", "",'Twenty-Fourth'!I61)</f>
        <v/>
      </c>
      <c r="J5808" s="66" t="str">
        <f>IF('Twenty-Fourth'!J61="", "",'Twenty-Fourth'!J61)</f>
        <v/>
      </c>
      <c r="K5808" s="86" t="str">
        <f>IF('Twenty-Fourth'!K61="", "",'Twenty-Fourth'!K61)</f>
        <v/>
      </c>
      <c r="M5808" s="67" t="str">
        <f t="shared" si="275"/>
        <v/>
      </c>
      <c r="N5808" s="76" t="str">
        <f t="shared" si="276"/>
        <v/>
      </c>
      <c r="O5808" s="33">
        <f t="shared" si="277"/>
        <v>0</v>
      </c>
    </row>
    <row r="5809" spans="1:15" x14ac:dyDescent="0.25">
      <c r="A5809" s="64" t="s">
        <v>193</v>
      </c>
      <c r="B5809" s="79" t="str">
        <f>IF('Twenty-Fourth'!B62="", "",'Twenty-Fourth'!B62)</f>
        <v/>
      </c>
      <c r="C5809" s="66" t="str">
        <f>IF('Twenty-Fourth'!C62="", "",'Twenty-Fourth'!C62)</f>
        <v/>
      </c>
      <c r="D5809" s="66" t="str">
        <f>IF('Twenty-Fourth'!D62="", "",'Twenty-Fourth'!D62)</f>
        <v/>
      </c>
      <c r="E5809" s="66" t="str">
        <f>IF('Twenty-Fourth'!E62="", "",'Twenty-Fourth'!E62)</f>
        <v/>
      </c>
      <c r="F5809" s="66" t="str">
        <f>IF('Twenty-Fourth'!F62="", "",'Twenty-Fourth'!F62)</f>
        <v/>
      </c>
      <c r="G5809" s="66" t="str">
        <f>IF('Twenty-Fourth'!G62="", "",'Twenty-Fourth'!G62)</f>
        <v/>
      </c>
      <c r="H5809" s="66" t="str">
        <f>IF('Twenty-Fourth'!H62="", "",'Twenty-Fourth'!H62)</f>
        <v/>
      </c>
      <c r="I5809" s="66" t="str">
        <f>IF('Twenty-Fourth'!I62="", "",'Twenty-Fourth'!I62)</f>
        <v/>
      </c>
      <c r="J5809" s="66" t="str">
        <f>IF('Twenty-Fourth'!J62="", "",'Twenty-Fourth'!J62)</f>
        <v/>
      </c>
      <c r="K5809" s="86" t="str">
        <f>IF('Twenty-Fourth'!K62="", "",'Twenty-Fourth'!K62)</f>
        <v/>
      </c>
      <c r="M5809" s="67" t="str">
        <f t="shared" si="275"/>
        <v/>
      </c>
      <c r="N5809" s="76" t="str">
        <f t="shared" si="276"/>
        <v/>
      </c>
      <c r="O5809" s="33">
        <f t="shared" si="277"/>
        <v>0</v>
      </c>
    </row>
    <row r="5810" spans="1:15" x14ac:dyDescent="0.25">
      <c r="A5810" s="64" t="s">
        <v>193</v>
      </c>
      <c r="B5810" s="79" t="str">
        <f>IF('Twenty-Fourth'!B63="", "",'Twenty-Fourth'!B63)</f>
        <v/>
      </c>
      <c r="C5810" s="66" t="str">
        <f>IF('Twenty-Fourth'!C63="", "",'Twenty-Fourth'!C63)</f>
        <v/>
      </c>
      <c r="D5810" s="66" t="str">
        <f>IF('Twenty-Fourth'!D63="", "",'Twenty-Fourth'!D63)</f>
        <v/>
      </c>
      <c r="E5810" s="66" t="str">
        <f>IF('Twenty-Fourth'!E63="", "",'Twenty-Fourth'!E63)</f>
        <v/>
      </c>
      <c r="F5810" s="66" t="str">
        <f>IF('Twenty-Fourth'!F63="", "",'Twenty-Fourth'!F63)</f>
        <v/>
      </c>
      <c r="G5810" s="66" t="str">
        <f>IF('Twenty-Fourth'!G63="", "",'Twenty-Fourth'!G63)</f>
        <v/>
      </c>
      <c r="H5810" s="66" t="str">
        <f>IF('Twenty-Fourth'!H63="", "",'Twenty-Fourth'!H63)</f>
        <v/>
      </c>
      <c r="I5810" s="66" t="str">
        <f>IF('Twenty-Fourth'!I63="", "",'Twenty-Fourth'!I63)</f>
        <v/>
      </c>
      <c r="J5810" s="66" t="str">
        <f>IF('Twenty-Fourth'!J63="", "",'Twenty-Fourth'!J63)</f>
        <v/>
      </c>
      <c r="K5810" s="86" t="str">
        <f>IF('Twenty-Fourth'!K63="", "",'Twenty-Fourth'!K63)</f>
        <v/>
      </c>
      <c r="M5810" s="67" t="str">
        <f t="shared" si="275"/>
        <v/>
      </c>
      <c r="N5810" s="76" t="str">
        <f t="shared" si="276"/>
        <v/>
      </c>
      <c r="O5810" s="33">
        <f t="shared" si="277"/>
        <v>0</v>
      </c>
    </row>
    <row r="5811" spans="1:15" x14ac:dyDescent="0.25">
      <c r="A5811" s="64" t="s">
        <v>193</v>
      </c>
      <c r="B5811" s="79" t="str">
        <f>IF('Twenty-Fourth'!B64="", "",'Twenty-Fourth'!B64)</f>
        <v/>
      </c>
      <c r="C5811" s="66" t="str">
        <f>IF('Twenty-Fourth'!C64="", "",'Twenty-Fourth'!C64)</f>
        <v/>
      </c>
      <c r="D5811" s="66" t="str">
        <f>IF('Twenty-Fourth'!D64="", "",'Twenty-Fourth'!D64)</f>
        <v/>
      </c>
      <c r="E5811" s="66" t="str">
        <f>IF('Twenty-Fourth'!E64="", "",'Twenty-Fourth'!E64)</f>
        <v/>
      </c>
      <c r="F5811" s="66" t="str">
        <f>IF('Twenty-Fourth'!F64="", "",'Twenty-Fourth'!F64)</f>
        <v/>
      </c>
      <c r="G5811" s="66" t="str">
        <f>IF('Twenty-Fourth'!G64="", "",'Twenty-Fourth'!G64)</f>
        <v/>
      </c>
      <c r="H5811" s="66" t="str">
        <f>IF('Twenty-Fourth'!H64="", "",'Twenty-Fourth'!H64)</f>
        <v/>
      </c>
      <c r="I5811" s="66" t="str">
        <f>IF('Twenty-Fourth'!I64="", "",'Twenty-Fourth'!I64)</f>
        <v/>
      </c>
      <c r="J5811" s="66" t="str">
        <f>IF('Twenty-Fourth'!J64="", "",'Twenty-Fourth'!J64)</f>
        <v/>
      </c>
      <c r="K5811" s="86" t="str">
        <f>IF('Twenty-Fourth'!K64="", "",'Twenty-Fourth'!K64)</f>
        <v/>
      </c>
      <c r="M5811" s="67" t="str">
        <f t="shared" si="275"/>
        <v/>
      </c>
      <c r="N5811" s="76" t="str">
        <f t="shared" si="276"/>
        <v/>
      </c>
      <c r="O5811" s="33">
        <f t="shared" si="277"/>
        <v>0</v>
      </c>
    </row>
    <row r="5812" spans="1:15" x14ac:dyDescent="0.25">
      <c r="A5812" s="64" t="s">
        <v>193</v>
      </c>
      <c r="B5812" s="79" t="str">
        <f>IF('Twenty-Fourth'!B65="", "",'Twenty-Fourth'!B65)</f>
        <v/>
      </c>
      <c r="C5812" s="66" t="str">
        <f>IF('Twenty-Fourth'!C65="", "",'Twenty-Fourth'!C65)</f>
        <v/>
      </c>
      <c r="D5812" s="66" t="str">
        <f>IF('Twenty-Fourth'!D65="", "",'Twenty-Fourth'!D65)</f>
        <v/>
      </c>
      <c r="E5812" s="66" t="str">
        <f>IF('Twenty-Fourth'!E65="", "",'Twenty-Fourth'!E65)</f>
        <v/>
      </c>
      <c r="F5812" s="66" t="str">
        <f>IF('Twenty-Fourth'!F65="", "",'Twenty-Fourth'!F65)</f>
        <v/>
      </c>
      <c r="G5812" s="66" t="str">
        <f>IF('Twenty-Fourth'!G65="", "",'Twenty-Fourth'!G65)</f>
        <v/>
      </c>
      <c r="H5812" s="66" t="str">
        <f>IF('Twenty-Fourth'!H65="", "",'Twenty-Fourth'!H65)</f>
        <v/>
      </c>
      <c r="I5812" s="66" t="str">
        <f>IF('Twenty-Fourth'!I65="", "",'Twenty-Fourth'!I65)</f>
        <v/>
      </c>
      <c r="J5812" s="66" t="str">
        <f>IF('Twenty-Fourth'!J65="", "",'Twenty-Fourth'!J65)</f>
        <v/>
      </c>
      <c r="K5812" s="86" t="str">
        <f>IF('Twenty-Fourth'!K65="", "",'Twenty-Fourth'!K65)</f>
        <v/>
      </c>
      <c r="M5812" s="67" t="str">
        <f t="shared" si="275"/>
        <v/>
      </c>
      <c r="N5812" s="76" t="str">
        <f t="shared" si="276"/>
        <v/>
      </c>
      <c r="O5812" s="33">
        <f t="shared" si="277"/>
        <v>0</v>
      </c>
    </row>
    <row r="5813" spans="1:15" x14ac:dyDescent="0.25">
      <c r="A5813" s="64" t="s">
        <v>193</v>
      </c>
      <c r="B5813" s="79" t="str">
        <f>IF('Twenty-Fourth'!B66="", "",'Twenty-Fourth'!B66)</f>
        <v/>
      </c>
      <c r="C5813" s="66" t="str">
        <f>IF('Twenty-Fourth'!C66="", "",'Twenty-Fourth'!C66)</f>
        <v/>
      </c>
      <c r="D5813" s="66" t="str">
        <f>IF('Twenty-Fourth'!D66="", "",'Twenty-Fourth'!D66)</f>
        <v/>
      </c>
      <c r="E5813" s="66" t="str">
        <f>IF('Twenty-Fourth'!E66="", "",'Twenty-Fourth'!E66)</f>
        <v/>
      </c>
      <c r="F5813" s="66" t="str">
        <f>IF('Twenty-Fourth'!F66="", "",'Twenty-Fourth'!F66)</f>
        <v/>
      </c>
      <c r="G5813" s="66" t="str">
        <f>IF('Twenty-Fourth'!G66="", "",'Twenty-Fourth'!G66)</f>
        <v/>
      </c>
      <c r="H5813" s="66" t="str">
        <f>IF('Twenty-Fourth'!H66="", "",'Twenty-Fourth'!H66)</f>
        <v/>
      </c>
      <c r="I5813" s="66" t="str">
        <f>IF('Twenty-Fourth'!I66="", "",'Twenty-Fourth'!I66)</f>
        <v/>
      </c>
      <c r="J5813" s="66" t="str">
        <f>IF('Twenty-Fourth'!J66="", "",'Twenty-Fourth'!J66)</f>
        <v/>
      </c>
      <c r="K5813" s="86" t="str">
        <f>IF('Twenty-Fourth'!K66="", "",'Twenty-Fourth'!K66)</f>
        <v/>
      </c>
      <c r="M5813" s="67" t="str">
        <f t="shared" si="275"/>
        <v/>
      </c>
      <c r="N5813" s="76" t="str">
        <f t="shared" si="276"/>
        <v/>
      </c>
      <c r="O5813" s="33">
        <f t="shared" si="277"/>
        <v>0</v>
      </c>
    </row>
    <row r="5814" spans="1:15" x14ac:dyDescent="0.25">
      <c r="A5814" s="64" t="s">
        <v>193</v>
      </c>
      <c r="B5814" s="79" t="str">
        <f>IF('Twenty-Fourth'!B67="", "",'Twenty-Fourth'!B67)</f>
        <v/>
      </c>
      <c r="C5814" s="66" t="str">
        <f>IF('Twenty-Fourth'!C67="", "",'Twenty-Fourth'!C67)</f>
        <v/>
      </c>
      <c r="D5814" s="66" t="str">
        <f>IF('Twenty-Fourth'!D67="", "",'Twenty-Fourth'!D67)</f>
        <v/>
      </c>
      <c r="E5814" s="66" t="str">
        <f>IF('Twenty-Fourth'!E67="", "",'Twenty-Fourth'!E67)</f>
        <v/>
      </c>
      <c r="F5814" s="66" t="str">
        <f>IF('Twenty-Fourth'!F67="", "",'Twenty-Fourth'!F67)</f>
        <v/>
      </c>
      <c r="G5814" s="66" t="str">
        <f>IF('Twenty-Fourth'!G67="", "",'Twenty-Fourth'!G67)</f>
        <v/>
      </c>
      <c r="H5814" s="66" t="str">
        <f>IF('Twenty-Fourth'!H67="", "",'Twenty-Fourth'!H67)</f>
        <v/>
      </c>
      <c r="I5814" s="66" t="str">
        <f>IF('Twenty-Fourth'!I67="", "",'Twenty-Fourth'!I67)</f>
        <v/>
      </c>
      <c r="J5814" s="66" t="str">
        <f>IF('Twenty-Fourth'!J67="", "",'Twenty-Fourth'!J67)</f>
        <v/>
      </c>
      <c r="K5814" s="86" t="str">
        <f>IF('Twenty-Fourth'!K67="", "",'Twenty-Fourth'!K67)</f>
        <v/>
      </c>
      <c r="M5814" s="67" t="str">
        <f t="shared" si="275"/>
        <v/>
      </c>
      <c r="N5814" s="76" t="str">
        <f t="shared" si="276"/>
        <v/>
      </c>
      <c r="O5814" s="33">
        <f t="shared" si="277"/>
        <v>0</v>
      </c>
    </row>
    <row r="5815" spans="1:15" x14ac:dyDescent="0.25">
      <c r="A5815" s="64" t="s">
        <v>193</v>
      </c>
      <c r="B5815" s="79" t="str">
        <f>IF('Twenty-Fourth'!B68="", "",'Twenty-Fourth'!B68)</f>
        <v/>
      </c>
      <c r="C5815" s="66" t="str">
        <f>IF('Twenty-Fourth'!C68="", "",'Twenty-Fourth'!C68)</f>
        <v/>
      </c>
      <c r="D5815" s="66" t="str">
        <f>IF('Twenty-Fourth'!D68="", "",'Twenty-Fourth'!D68)</f>
        <v/>
      </c>
      <c r="E5815" s="66" t="str">
        <f>IF('Twenty-Fourth'!E68="", "",'Twenty-Fourth'!E68)</f>
        <v/>
      </c>
      <c r="F5815" s="66" t="str">
        <f>IF('Twenty-Fourth'!F68="", "",'Twenty-Fourth'!F68)</f>
        <v/>
      </c>
      <c r="G5815" s="66" t="str">
        <f>IF('Twenty-Fourth'!G68="", "",'Twenty-Fourth'!G68)</f>
        <v/>
      </c>
      <c r="H5815" s="66" t="str">
        <f>IF('Twenty-Fourth'!H68="", "",'Twenty-Fourth'!H68)</f>
        <v/>
      </c>
      <c r="I5815" s="66" t="str">
        <f>IF('Twenty-Fourth'!I68="", "",'Twenty-Fourth'!I68)</f>
        <v/>
      </c>
      <c r="J5815" s="66" t="str">
        <f>IF('Twenty-Fourth'!J68="", "",'Twenty-Fourth'!J68)</f>
        <v/>
      </c>
      <c r="K5815" s="86" t="str">
        <f>IF('Twenty-Fourth'!K68="", "",'Twenty-Fourth'!K68)</f>
        <v/>
      </c>
      <c r="M5815" s="67" t="str">
        <f t="shared" si="275"/>
        <v/>
      </c>
      <c r="N5815" s="76" t="str">
        <f t="shared" si="276"/>
        <v/>
      </c>
      <c r="O5815" s="33">
        <f t="shared" si="277"/>
        <v>0</v>
      </c>
    </row>
    <row r="5816" spans="1:15" x14ac:dyDescent="0.25">
      <c r="A5816" s="64" t="s">
        <v>193</v>
      </c>
      <c r="B5816" s="79" t="str">
        <f>IF('Twenty-Fourth'!B69="", "",'Twenty-Fourth'!B69)</f>
        <v/>
      </c>
      <c r="C5816" s="66" t="str">
        <f>IF('Twenty-Fourth'!C69="", "",'Twenty-Fourth'!C69)</f>
        <v/>
      </c>
      <c r="D5816" s="66" t="str">
        <f>IF('Twenty-Fourth'!D69="", "",'Twenty-Fourth'!D69)</f>
        <v/>
      </c>
      <c r="E5816" s="66" t="str">
        <f>IF('Twenty-Fourth'!E69="", "",'Twenty-Fourth'!E69)</f>
        <v/>
      </c>
      <c r="F5816" s="66" t="str">
        <f>IF('Twenty-Fourth'!F69="", "",'Twenty-Fourth'!F69)</f>
        <v/>
      </c>
      <c r="G5816" s="66" t="str">
        <f>IF('Twenty-Fourth'!G69="", "",'Twenty-Fourth'!G69)</f>
        <v/>
      </c>
      <c r="H5816" s="66" t="str">
        <f>IF('Twenty-Fourth'!H69="", "",'Twenty-Fourth'!H69)</f>
        <v/>
      </c>
      <c r="I5816" s="66" t="str">
        <f>IF('Twenty-Fourth'!I69="", "",'Twenty-Fourth'!I69)</f>
        <v/>
      </c>
      <c r="J5816" s="66" t="str">
        <f>IF('Twenty-Fourth'!J69="", "",'Twenty-Fourth'!J69)</f>
        <v/>
      </c>
      <c r="K5816" s="86" t="str">
        <f>IF('Twenty-Fourth'!K69="", "",'Twenty-Fourth'!K69)</f>
        <v/>
      </c>
      <c r="M5816" s="67" t="str">
        <f t="shared" si="275"/>
        <v/>
      </c>
      <c r="N5816" s="76" t="str">
        <f t="shared" si="276"/>
        <v/>
      </c>
      <c r="O5816" s="33">
        <f t="shared" si="277"/>
        <v>0</v>
      </c>
    </row>
    <row r="5817" spans="1:15" x14ac:dyDescent="0.25">
      <c r="A5817" s="64" t="s">
        <v>193</v>
      </c>
      <c r="B5817" s="79" t="str">
        <f>IF('Twenty-Fourth'!B70="", "",'Twenty-Fourth'!B70)</f>
        <v/>
      </c>
      <c r="C5817" s="66" t="str">
        <f>IF('Twenty-Fourth'!C70="", "",'Twenty-Fourth'!C70)</f>
        <v/>
      </c>
      <c r="D5817" s="66" t="str">
        <f>IF('Twenty-Fourth'!D70="", "",'Twenty-Fourth'!D70)</f>
        <v/>
      </c>
      <c r="E5817" s="66" t="str">
        <f>IF('Twenty-Fourth'!E70="", "",'Twenty-Fourth'!E70)</f>
        <v/>
      </c>
      <c r="F5817" s="66" t="str">
        <f>IF('Twenty-Fourth'!F70="", "",'Twenty-Fourth'!F70)</f>
        <v/>
      </c>
      <c r="G5817" s="66" t="str">
        <f>IF('Twenty-Fourth'!G70="", "",'Twenty-Fourth'!G70)</f>
        <v/>
      </c>
      <c r="H5817" s="66" t="str">
        <f>IF('Twenty-Fourth'!H70="", "",'Twenty-Fourth'!H70)</f>
        <v/>
      </c>
      <c r="I5817" s="66" t="str">
        <f>IF('Twenty-Fourth'!I70="", "",'Twenty-Fourth'!I70)</f>
        <v/>
      </c>
      <c r="J5817" s="66" t="str">
        <f>IF('Twenty-Fourth'!J70="", "",'Twenty-Fourth'!J70)</f>
        <v/>
      </c>
      <c r="K5817" s="86" t="str">
        <f>IF('Twenty-Fourth'!K70="", "",'Twenty-Fourth'!K70)</f>
        <v/>
      </c>
      <c r="M5817" s="67" t="str">
        <f t="shared" si="275"/>
        <v/>
      </c>
      <c r="N5817" s="76" t="str">
        <f t="shared" si="276"/>
        <v/>
      </c>
      <c r="O5817" s="33">
        <f t="shared" si="277"/>
        <v>0</v>
      </c>
    </row>
    <row r="5818" spans="1:15" x14ac:dyDescent="0.25">
      <c r="A5818" s="64" t="s">
        <v>193</v>
      </c>
      <c r="B5818" s="79" t="str">
        <f>IF('Twenty-Fourth'!B71="", "",'Twenty-Fourth'!B71)</f>
        <v/>
      </c>
      <c r="C5818" s="66" t="str">
        <f>IF('Twenty-Fourth'!C71="", "",'Twenty-Fourth'!C71)</f>
        <v/>
      </c>
      <c r="D5818" s="66" t="str">
        <f>IF('Twenty-Fourth'!D71="", "",'Twenty-Fourth'!D71)</f>
        <v/>
      </c>
      <c r="E5818" s="66" t="str">
        <f>IF('Twenty-Fourth'!E71="", "",'Twenty-Fourth'!E71)</f>
        <v/>
      </c>
      <c r="F5818" s="66" t="str">
        <f>IF('Twenty-Fourth'!F71="", "",'Twenty-Fourth'!F71)</f>
        <v/>
      </c>
      <c r="G5818" s="66" t="str">
        <f>IF('Twenty-Fourth'!G71="", "",'Twenty-Fourth'!G71)</f>
        <v/>
      </c>
      <c r="H5818" s="66" t="str">
        <f>IF('Twenty-Fourth'!H71="", "",'Twenty-Fourth'!H71)</f>
        <v/>
      </c>
      <c r="I5818" s="66" t="str">
        <f>IF('Twenty-Fourth'!I71="", "",'Twenty-Fourth'!I71)</f>
        <v/>
      </c>
      <c r="J5818" s="66" t="str">
        <f>IF('Twenty-Fourth'!J71="", "",'Twenty-Fourth'!J71)</f>
        <v/>
      </c>
      <c r="K5818" s="86" t="str">
        <f>IF('Twenty-Fourth'!K71="", "",'Twenty-Fourth'!K71)</f>
        <v/>
      </c>
      <c r="M5818" s="67" t="str">
        <f t="shared" si="275"/>
        <v/>
      </c>
      <c r="N5818" s="76" t="str">
        <f t="shared" si="276"/>
        <v/>
      </c>
      <c r="O5818" s="33">
        <f t="shared" si="277"/>
        <v>0</v>
      </c>
    </row>
    <row r="5819" spans="1:15" x14ac:dyDescent="0.25">
      <c r="A5819" s="64" t="s">
        <v>193</v>
      </c>
      <c r="B5819" s="79" t="str">
        <f>IF('Twenty-Fourth'!B72="", "",'Twenty-Fourth'!B72)</f>
        <v/>
      </c>
      <c r="C5819" s="66" t="str">
        <f>IF('Twenty-Fourth'!C72="", "",'Twenty-Fourth'!C72)</f>
        <v/>
      </c>
      <c r="D5819" s="66" t="str">
        <f>IF('Twenty-Fourth'!D72="", "",'Twenty-Fourth'!D72)</f>
        <v/>
      </c>
      <c r="E5819" s="66" t="str">
        <f>IF('Twenty-Fourth'!E72="", "",'Twenty-Fourth'!E72)</f>
        <v/>
      </c>
      <c r="F5819" s="66" t="str">
        <f>IF('Twenty-Fourth'!F72="", "",'Twenty-Fourth'!F72)</f>
        <v/>
      </c>
      <c r="G5819" s="66" t="str">
        <f>IF('Twenty-Fourth'!G72="", "",'Twenty-Fourth'!G72)</f>
        <v/>
      </c>
      <c r="H5819" s="66" t="str">
        <f>IF('Twenty-Fourth'!H72="", "",'Twenty-Fourth'!H72)</f>
        <v/>
      </c>
      <c r="I5819" s="66" t="str">
        <f>IF('Twenty-Fourth'!I72="", "",'Twenty-Fourth'!I72)</f>
        <v/>
      </c>
      <c r="J5819" s="66" t="str">
        <f>IF('Twenty-Fourth'!J72="", "",'Twenty-Fourth'!J72)</f>
        <v/>
      </c>
      <c r="K5819" s="86" t="str">
        <f>IF('Twenty-Fourth'!K72="", "",'Twenty-Fourth'!K72)</f>
        <v/>
      </c>
      <c r="M5819" s="67" t="str">
        <f t="shared" si="275"/>
        <v/>
      </c>
      <c r="N5819" s="76" t="str">
        <f t="shared" si="276"/>
        <v/>
      </c>
      <c r="O5819" s="33">
        <f t="shared" si="277"/>
        <v>0</v>
      </c>
    </row>
    <row r="5820" spans="1:15" x14ac:dyDescent="0.25">
      <c r="A5820" s="64" t="s">
        <v>193</v>
      </c>
      <c r="B5820" s="79" t="str">
        <f>IF('Twenty-Fourth'!B73="", "",'Twenty-Fourth'!B73)</f>
        <v/>
      </c>
      <c r="C5820" s="66" t="str">
        <f>IF('Twenty-Fourth'!C73="", "",'Twenty-Fourth'!C73)</f>
        <v/>
      </c>
      <c r="D5820" s="66" t="str">
        <f>IF('Twenty-Fourth'!D73="", "",'Twenty-Fourth'!D73)</f>
        <v/>
      </c>
      <c r="E5820" s="66" t="str">
        <f>IF('Twenty-Fourth'!E73="", "",'Twenty-Fourth'!E73)</f>
        <v/>
      </c>
      <c r="F5820" s="66" t="str">
        <f>IF('Twenty-Fourth'!F73="", "",'Twenty-Fourth'!F73)</f>
        <v/>
      </c>
      <c r="G5820" s="66" t="str">
        <f>IF('Twenty-Fourth'!G73="", "",'Twenty-Fourth'!G73)</f>
        <v/>
      </c>
      <c r="H5820" s="66" t="str">
        <f>IF('Twenty-Fourth'!H73="", "",'Twenty-Fourth'!H73)</f>
        <v/>
      </c>
      <c r="I5820" s="66" t="str">
        <f>IF('Twenty-Fourth'!I73="", "",'Twenty-Fourth'!I73)</f>
        <v/>
      </c>
      <c r="J5820" s="66" t="str">
        <f>IF('Twenty-Fourth'!J73="", "",'Twenty-Fourth'!J73)</f>
        <v/>
      </c>
      <c r="K5820" s="86" t="str">
        <f>IF('Twenty-Fourth'!K73="", "",'Twenty-Fourth'!K73)</f>
        <v/>
      </c>
      <c r="M5820" s="67" t="str">
        <f t="shared" si="275"/>
        <v/>
      </c>
      <c r="N5820" s="76" t="str">
        <f t="shared" si="276"/>
        <v/>
      </c>
      <c r="O5820" s="33">
        <f t="shared" si="277"/>
        <v>0</v>
      </c>
    </row>
    <row r="5821" spans="1:15" x14ac:dyDescent="0.25">
      <c r="A5821" s="64" t="s">
        <v>193</v>
      </c>
      <c r="B5821" s="79" t="str">
        <f>IF('Twenty-Fourth'!B74="", "",'Twenty-Fourth'!B74)</f>
        <v/>
      </c>
      <c r="C5821" s="66" t="str">
        <f>IF('Twenty-Fourth'!C74="", "",'Twenty-Fourth'!C74)</f>
        <v/>
      </c>
      <c r="D5821" s="66" t="str">
        <f>IF('Twenty-Fourth'!D74="", "",'Twenty-Fourth'!D74)</f>
        <v/>
      </c>
      <c r="E5821" s="66" t="str">
        <f>IF('Twenty-Fourth'!E74="", "",'Twenty-Fourth'!E74)</f>
        <v/>
      </c>
      <c r="F5821" s="66" t="str">
        <f>IF('Twenty-Fourth'!F74="", "",'Twenty-Fourth'!F74)</f>
        <v/>
      </c>
      <c r="G5821" s="66" t="str">
        <f>IF('Twenty-Fourth'!G74="", "",'Twenty-Fourth'!G74)</f>
        <v/>
      </c>
      <c r="H5821" s="66" t="str">
        <f>IF('Twenty-Fourth'!H74="", "",'Twenty-Fourth'!H74)</f>
        <v/>
      </c>
      <c r="I5821" s="66" t="str">
        <f>IF('Twenty-Fourth'!I74="", "",'Twenty-Fourth'!I74)</f>
        <v/>
      </c>
      <c r="J5821" s="66" t="str">
        <f>IF('Twenty-Fourth'!J74="", "",'Twenty-Fourth'!J74)</f>
        <v/>
      </c>
      <c r="K5821" s="86" t="str">
        <f>IF('Twenty-Fourth'!K74="", "",'Twenty-Fourth'!K74)</f>
        <v/>
      </c>
      <c r="M5821" s="67" t="str">
        <f t="shared" si="275"/>
        <v/>
      </c>
      <c r="N5821" s="76" t="str">
        <f t="shared" si="276"/>
        <v/>
      </c>
      <c r="O5821" s="33">
        <f t="shared" si="277"/>
        <v>0</v>
      </c>
    </row>
    <row r="5822" spans="1:15" x14ac:dyDescent="0.25">
      <c r="A5822" s="64" t="s">
        <v>193</v>
      </c>
      <c r="B5822" s="79" t="str">
        <f>IF('Twenty-Fourth'!B75="", "",'Twenty-Fourth'!B75)</f>
        <v/>
      </c>
      <c r="C5822" s="66" t="str">
        <f>IF('Twenty-Fourth'!C75="", "",'Twenty-Fourth'!C75)</f>
        <v/>
      </c>
      <c r="D5822" s="66" t="str">
        <f>IF('Twenty-Fourth'!D75="", "",'Twenty-Fourth'!D75)</f>
        <v/>
      </c>
      <c r="E5822" s="66" t="str">
        <f>IF('Twenty-Fourth'!E75="", "",'Twenty-Fourth'!E75)</f>
        <v/>
      </c>
      <c r="F5822" s="66" t="str">
        <f>IF('Twenty-Fourth'!F75="", "",'Twenty-Fourth'!F75)</f>
        <v/>
      </c>
      <c r="G5822" s="66" t="str">
        <f>IF('Twenty-Fourth'!G75="", "",'Twenty-Fourth'!G75)</f>
        <v/>
      </c>
      <c r="H5822" s="66" t="str">
        <f>IF('Twenty-Fourth'!H75="", "",'Twenty-Fourth'!H75)</f>
        <v/>
      </c>
      <c r="I5822" s="66" t="str">
        <f>IF('Twenty-Fourth'!I75="", "",'Twenty-Fourth'!I75)</f>
        <v/>
      </c>
      <c r="J5822" s="66" t="str">
        <f>IF('Twenty-Fourth'!J75="", "",'Twenty-Fourth'!J75)</f>
        <v/>
      </c>
      <c r="K5822" s="86" t="str">
        <f>IF('Twenty-Fourth'!K75="", "",'Twenty-Fourth'!K75)</f>
        <v/>
      </c>
      <c r="M5822" s="67" t="str">
        <f t="shared" si="275"/>
        <v/>
      </c>
      <c r="N5822" s="76" t="str">
        <f t="shared" si="276"/>
        <v/>
      </c>
      <c r="O5822" s="33">
        <f t="shared" si="277"/>
        <v>0</v>
      </c>
    </row>
    <row r="5823" spans="1:15" x14ac:dyDescent="0.25">
      <c r="A5823" s="64" t="s">
        <v>193</v>
      </c>
      <c r="B5823" s="79" t="str">
        <f>IF('Twenty-Fourth'!B76="", "",'Twenty-Fourth'!B76)</f>
        <v/>
      </c>
      <c r="C5823" s="66" t="str">
        <f>IF('Twenty-Fourth'!C76="", "",'Twenty-Fourth'!C76)</f>
        <v/>
      </c>
      <c r="D5823" s="66" t="str">
        <f>IF('Twenty-Fourth'!D76="", "",'Twenty-Fourth'!D76)</f>
        <v/>
      </c>
      <c r="E5823" s="66" t="str">
        <f>IF('Twenty-Fourth'!E76="", "",'Twenty-Fourth'!E76)</f>
        <v/>
      </c>
      <c r="F5823" s="66" t="str">
        <f>IF('Twenty-Fourth'!F76="", "",'Twenty-Fourth'!F76)</f>
        <v/>
      </c>
      <c r="G5823" s="66" t="str">
        <f>IF('Twenty-Fourth'!G76="", "",'Twenty-Fourth'!G76)</f>
        <v/>
      </c>
      <c r="H5823" s="66" t="str">
        <f>IF('Twenty-Fourth'!H76="", "",'Twenty-Fourth'!H76)</f>
        <v/>
      </c>
      <c r="I5823" s="66" t="str">
        <f>IF('Twenty-Fourth'!I76="", "",'Twenty-Fourth'!I76)</f>
        <v/>
      </c>
      <c r="J5823" s="66" t="str">
        <f>IF('Twenty-Fourth'!J76="", "",'Twenty-Fourth'!J76)</f>
        <v/>
      </c>
      <c r="K5823" s="86" t="str">
        <f>IF('Twenty-Fourth'!K76="", "",'Twenty-Fourth'!K76)</f>
        <v/>
      </c>
      <c r="M5823" s="67" t="str">
        <f t="shared" ref="M5823:M5886" si="278">IF(C5823="PwC",(7-COUNTIF(B5823:H5823,"")),"")</f>
        <v/>
      </c>
      <c r="N5823" s="76" t="str">
        <f t="shared" ref="N5823:N5886" si="279">IF(C5823="Carer",(7-COUNTIF(B5823:H5823,"")),"")</f>
        <v/>
      </c>
      <c r="O5823" s="33">
        <f t="shared" si="277"/>
        <v>0</v>
      </c>
    </row>
    <row r="5824" spans="1:15" x14ac:dyDescent="0.25">
      <c r="A5824" s="64" t="s">
        <v>193</v>
      </c>
      <c r="B5824" s="79" t="str">
        <f>IF('Twenty-Fourth'!B77="", "",'Twenty-Fourth'!B77)</f>
        <v/>
      </c>
      <c r="C5824" s="66" t="str">
        <f>IF('Twenty-Fourth'!C77="", "",'Twenty-Fourth'!C77)</f>
        <v/>
      </c>
      <c r="D5824" s="66" t="str">
        <f>IF('Twenty-Fourth'!D77="", "",'Twenty-Fourth'!D77)</f>
        <v/>
      </c>
      <c r="E5824" s="66" t="str">
        <f>IF('Twenty-Fourth'!E77="", "",'Twenty-Fourth'!E77)</f>
        <v/>
      </c>
      <c r="F5824" s="66" t="str">
        <f>IF('Twenty-Fourth'!F77="", "",'Twenty-Fourth'!F77)</f>
        <v/>
      </c>
      <c r="G5824" s="66" t="str">
        <f>IF('Twenty-Fourth'!G77="", "",'Twenty-Fourth'!G77)</f>
        <v/>
      </c>
      <c r="H5824" s="66" t="str">
        <f>IF('Twenty-Fourth'!H77="", "",'Twenty-Fourth'!H77)</f>
        <v/>
      </c>
      <c r="I5824" s="66" t="str">
        <f>IF('Twenty-Fourth'!I77="", "",'Twenty-Fourth'!I77)</f>
        <v/>
      </c>
      <c r="J5824" s="66" t="str">
        <f>IF('Twenty-Fourth'!J77="", "",'Twenty-Fourth'!J77)</f>
        <v/>
      </c>
      <c r="K5824" s="86" t="str">
        <f>IF('Twenty-Fourth'!K77="", "",'Twenty-Fourth'!K77)</f>
        <v/>
      </c>
      <c r="M5824" s="67" t="str">
        <f t="shared" si="278"/>
        <v/>
      </c>
      <c r="N5824" s="76" t="str">
        <f t="shared" si="279"/>
        <v/>
      </c>
      <c r="O5824" s="33">
        <f t="shared" si="277"/>
        <v>0</v>
      </c>
    </row>
    <row r="5825" spans="1:15" x14ac:dyDescent="0.25">
      <c r="A5825" s="64" t="s">
        <v>193</v>
      </c>
      <c r="B5825" s="79" t="str">
        <f>IF('Twenty-Fourth'!B78="", "",'Twenty-Fourth'!B78)</f>
        <v/>
      </c>
      <c r="C5825" s="66" t="str">
        <f>IF('Twenty-Fourth'!C78="", "",'Twenty-Fourth'!C78)</f>
        <v/>
      </c>
      <c r="D5825" s="66" t="str">
        <f>IF('Twenty-Fourth'!D78="", "",'Twenty-Fourth'!D78)</f>
        <v/>
      </c>
      <c r="E5825" s="66" t="str">
        <f>IF('Twenty-Fourth'!E78="", "",'Twenty-Fourth'!E78)</f>
        <v/>
      </c>
      <c r="F5825" s="66" t="str">
        <f>IF('Twenty-Fourth'!F78="", "",'Twenty-Fourth'!F78)</f>
        <v/>
      </c>
      <c r="G5825" s="66" t="str">
        <f>IF('Twenty-Fourth'!G78="", "",'Twenty-Fourth'!G78)</f>
        <v/>
      </c>
      <c r="H5825" s="66" t="str">
        <f>IF('Twenty-Fourth'!H78="", "",'Twenty-Fourth'!H78)</f>
        <v/>
      </c>
      <c r="I5825" s="66" t="str">
        <f>IF('Twenty-Fourth'!I78="", "",'Twenty-Fourth'!I78)</f>
        <v/>
      </c>
      <c r="J5825" s="66" t="str">
        <f>IF('Twenty-Fourth'!J78="", "",'Twenty-Fourth'!J78)</f>
        <v/>
      </c>
      <c r="K5825" s="86" t="str">
        <f>IF('Twenty-Fourth'!K78="", "",'Twenty-Fourth'!K78)</f>
        <v/>
      </c>
      <c r="M5825" s="67" t="str">
        <f t="shared" si="278"/>
        <v/>
      </c>
      <c r="N5825" s="76" t="str">
        <f t="shared" si="279"/>
        <v/>
      </c>
      <c r="O5825" s="33">
        <f t="shared" si="277"/>
        <v>0</v>
      </c>
    </row>
    <row r="5826" spans="1:15" x14ac:dyDescent="0.25">
      <c r="A5826" s="64" t="s">
        <v>193</v>
      </c>
      <c r="B5826" s="79" t="str">
        <f>IF('Twenty-Fourth'!B79="", "",'Twenty-Fourth'!B79)</f>
        <v/>
      </c>
      <c r="C5826" s="66" t="str">
        <f>IF('Twenty-Fourth'!C79="", "",'Twenty-Fourth'!C79)</f>
        <v/>
      </c>
      <c r="D5826" s="66" t="str">
        <f>IF('Twenty-Fourth'!D79="", "",'Twenty-Fourth'!D79)</f>
        <v/>
      </c>
      <c r="E5826" s="66" t="str">
        <f>IF('Twenty-Fourth'!E79="", "",'Twenty-Fourth'!E79)</f>
        <v/>
      </c>
      <c r="F5826" s="66" t="str">
        <f>IF('Twenty-Fourth'!F79="", "",'Twenty-Fourth'!F79)</f>
        <v/>
      </c>
      <c r="G5826" s="66" t="str">
        <f>IF('Twenty-Fourth'!G79="", "",'Twenty-Fourth'!G79)</f>
        <v/>
      </c>
      <c r="H5826" s="66" t="str">
        <f>IF('Twenty-Fourth'!H79="", "",'Twenty-Fourth'!H79)</f>
        <v/>
      </c>
      <c r="I5826" s="66" t="str">
        <f>IF('Twenty-Fourth'!I79="", "",'Twenty-Fourth'!I79)</f>
        <v/>
      </c>
      <c r="J5826" s="66" t="str">
        <f>IF('Twenty-Fourth'!J79="", "",'Twenty-Fourth'!J79)</f>
        <v/>
      </c>
      <c r="K5826" s="86" t="str">
        <f>IF('Twenty-Fourth'!K79="", "",'Twenty-Fourth'!K79)</f>
        <v/>
      </c>
      <c r="M5826" s="67" t="str">
        <f t="shared" si="278"/>
        <v/>
      </c>
      <c r="N5826" s="76" t="str">
        <f t="shared" si="279"/>
        <v/>
      </c>
      <c r="O5826" s="33">
        <f t="shared" si="277"/>
        <v>0</v>
      </c>
    </row>
    <row r="5827" spans="1:15" x14ac:dyDescent="0.25">
      <c r="A5827" s="64" t="s">
        <v>193</v>
      </c>
      <c r="B5827" s="79" t="str">
        <f>IF('Twenty-Fourth'!B80="", "",'Twenty-Fourth'!B80)</f>
        <v/>
      </c>
      <c r="C5827" s="66" t="str">
        <f>IF('Twenty-Fourth'!C80="", "",'Twenty-Fourth'!C80)</f>
        <v/>
      </c>
      <c r="D5827" s="66" t="str">
        <f>IF('Twenty-Fourth'!D80="", "",'Twenty-Fourth'!D80)</f>
        <v/>
      </c>
      <c r="E5827" s="66" t="str">
        <f>IF('Twenty-Fourth'!E80="", "",'Twenty-Fourth'!E80)</f>
        <v/>
      </c>
      <c r="F5827" s="66" t="str">
        <f>IF('Twenty-Fourth'!F80="", "",'Twenty-Fourth'!F80)</f>
        <v/>
      </c>
      <c r="G5827" s="66" t="str">
        <f>IF('Twenty-Fourth'!G80="", "",'Twenty-Fourth'!G80)</f>
        <v/>
      </c>
      <c r="H5827" s="66" t="str">
        <f>IF('Twenty-Fourth'!H80="", "",'Twenty-Fourth'!H80)</f>
        <v/>
      </c>
      <c r="I5827" s="66" t="str">
        <f>IF('Twenty-Fourth'!I80="", "",'Twenty-Fourth'!I80)</f>
        <v/>
      </c>
      <c r="J5827" s="66" t="str">
        <f>IF('Twenty-Fourth'!J80="", "",'Twenty-Fourth'!J80)</f>
        <v/>
      </c>
      <c r="K5827" s="86" t="str">
        <f>IF('Twenty-Fourth'!K80="", "",'Twenty-Fourth'!K80)</f>
        <v/>
      </c>
      <c r="M5827" s="67" t="str">
        <f t="shared" si="278"/>
        <v/>
      </c>
      <c r="N5827" s="76" t="str">
        <f t="shared" si="279"/>
        <v/>
      </c>
      <c r="O5827" s="33">
        <f t="shared" si="277"/>
        <v>0</v>
      </c>
    </row>
    <row r="5828" spans="1:15" x14ac:dyDescent="0.25">
      <c r="A5828" s="64" t="s">
        <v>193</v>
      </c>
      <c r="B5828" s="79" t="str">
        <f>IF('Twenty-Fourth'!B81="", "",'Twenty-Fourth'!B81)</f>
        <v/>
      </c>
      <c r="C5828" s="66" t="str">
        <f>IF('Twenty-Fourth'!C81="", "",'Twenty-Fourth'!C81)</f>
        <v/>
      </c>
      <c r="D5828" s="66" t="str">
        <f>IF('Twenty-Fourth'!D81="", "",'Twenty-Fourth'!D81)</f>
        <v/>
      </c>
      <c r="E5828" s="66" t="str">
        <f>IF('Twenty-Fourth'!E81="", "",'Twenty-Fourth'!E81)</f>
        <v/>
      </c>
      <c r="F5828" s="66" t="str">
        <f>IF('Twenty-Fourth'!F81="", "",'Twenty-Fourth'!F81)</f>
        <v/>
      </c>
      <c r="G5828" s="66" t="str">
        <f>IF('Twenty-Fourth'!G81="", "",'Twenty-Fourth'!G81)</f>
        <v/>
      </c>
      <c r="H5828" s="66" t="str">
        <f>IF('Twenty-Fourth'!H81="", "",'Twenty-Fourth'!H81)</f>
        <v/>
      </c>
      <c r="I5828" s="66" t="str">
        <f>IF('Twenty-Fourth'!I81="", "",'Twenty-Fourth'!I81)</f>
        <v/>
      </c>
      <c r="J5828" s="66" t="str">
        <f>IF('Twenty-Fourth'!J81="", "",'Twenty-Fourth'!J81)</f>
        <v/>
      </c>
      <c r="K5828" s="86" t="str">
        <f>IF('Twenty-Fourth'!K81="", "",'Twenty-Fourth'!K81)</f>
        <v/>
      </c>
      <c r="M5828" s="67" t="str">
        <f t="shared" si="278"/>
        <v/>
      </c>
      <c r="N5828" s="76" t="str">
        <f t="shared" si="279"/>
        <v/>
      </c>
      <c r="O5828" s="33">
        <f t="shared" si="277"/>
        <v>0</v>
      </c>
    </row>
    <row r="5829" spans="1:15" x14ac:dyDescent="0.25">
      <c r="A5829" s="64" t="s">
        <v>193</v>
      </c>
      <c r="B5829" s="79" t="str">
        <f>IF('Twenty-Fourth'!B82="", "",'Twenty-Fourth'!B82)</f>
        <v/>
      </c>
      <c r="C5829" s="66" t="str">
        <f>IF('Twenty-Fourth'!C82="", "",'Twenty-Fourth'!C82)</f>
        <v/>
      </c>
      <c r="D5829" s="66" t="str">
        <f>IF('Twenty-Fourth'!D82="", "",'Twenty-Fourth'!D82)</f>
        <v/>
      </c>
      <c r="E5829" s="66" t="str">
        <f>IF('Twenty-Fourth'!E82="", "",'Twenty-Fourth'!E82)</f>
        <v/>
      </c>
      <c r="F5829" s="66" t="str">
        <f>IF('Twenty-Fourth'!F82="", "",'Twenty-Fourth'!F82)</f>
        <v/>
      </c>
      <c r="G5829" s="66" t="str">
        <f>IF('Twenty-Fourth'!G82="", "",'Twenty-Fourth'!G82)</f>
        <v/>
      </c>
      <c r="H5829" s="66" t="str">
        <f>IF('Twenty-Fourth'!H82="", "",'Twenty-Fourth'!H82)</f>
        <v/>
      </c>
      <c r="I5829" s="66" t="str">
        <f>IF('Twenty-Fourth'!I82="", "",'Twenty-Fourth'!I82)</f>
        <v/>
      </c>
      <c r="J5829" s="66" t="str">
        <f>IF('Twenty-Fourth'!J82="", "",'Twenty-Fourth'!J82)</f>
        <v/>
      </c>
      <c r="K5829" s="86" t="str">
        <f>IF('Twenty-Fourth'!K82="", "",'Twenty-Fourth'!K82)</f>
        <v/>
      </c>
      <c r="M5829" s="67" t="str">
        <f t="shared" si="278"/>
        <v/>
      </c>
      <c r="N5829" s="76" t="str">
        <f t="shared" si="279"/>
        <v/>
      </c>
      <c r="O5829" s="33">
        <f t="shared" si="277"/>
        <v>0</v>
      </c>
    </row>
    <row r="5830" spans="1:15" x14ac:dyDescent="0.25">
      <c r="A5830" s="64" t="s">
        <v>193</v>
      </c>
      <c r="B5830" s="79" t="str">
        <f>IF('Twenty-Fourth'!B83="", "",'Twenty-Fourth'!B83)</f>
        <v/>
      </c>
      <c r="C5830" s="66" t="str">
        <f>IF('Twenty-Fourth'!C83="", "",'Twenty-Fourth'!C83)</f>
        <v/>
      </c>
      <c r="D5830" s="66" t="str">
        <f>IF('Twenty-Fourth'!D83="", "",'Twenty-Fourth'!D83)</f>
        <v/>
      </c>
      <c r="E5830" s="66" t="str">
        <f>IF('Twenty-Fourth'!E83="", "",'Twenty-Fourth'!E83)</f>
        <v/>
      </c>
      <c r="F5830" s="66" t="str">
        <f>IF('Twenty-Fourth'!F83="", "",'Twenty-Fourth'!F83)</f>
        <v/>
      </c>
      <c r="G5830" s="66" t="str">
        <f>IF('Twenty-Fourth'!G83="", "",'Twenty-Fourth'!G83)</f>
        <v/>
      </c>
      <c r="H5830" s="66" t="str">
        <f>IF('Twenty-Fourth'!H83="", "",'Twenty-Fourth'!H83)</f>
        <v/>
      </c>
      <c r="I5830" s="66" t="str">
        <f>IF('Twenty-Fourth'!I83="", "",'Twenty-Fourth'!I83)</f>
        <v/>
      </c>
      <c r="J5830" s="66" t="str">
        <f>IF('Twenty-Fourth'!J83="", "",'Twenty-Fourth'!J83)</f>
        <v/>
      </c>
      <c r="K5830" s="86" t="str">
        <f>IF('Twenty-Fourth'!K83="", "",'Twenty-Fourth'!K83)</f>
        <v/>
      </c>
      <c r="M5830" s="67" t="str">
        <f t="shared" si="278"/>
        <v/>
      </c>
      <c r="N5830" s="76" t="str">
        <f t="shared" si="279"/>
        <v/>
      </c>
      <c r="O5830" s="33">
        <f t="shared" si="277"/>
        <v>0</v>
      </c>
    </row>
    <row r="5831" spans="1:15" x14ac:dyDescent="0.25">
      <c r="A5831" s="64" t="s">
        <v>193</v>
      </c>
      <c r="B5831" s="79" t="str">
        <f>IF('Twenty-Fourth'!B84="", "",'Twenty-Fourth'!B84)</f>
        <v/>
      </c>
      <c r="C5831" s="66" t="str">
        <f>IF('Twenty-Fourth'!C84="", "",'Twenty-Fourth'!C84)</f>
        <v/>
      </c>
      <c r="D5831" s="66" t="str">
        <f>IF('Twenty-Fourth'!D84="", "",'Twenty-Fourth'!D84)</f>
        <v/>
      </c>
      <c r="E5831" s="66" t="str">
        <f>IF('Twenty-Fourth'!E84="", "",'Twenty-Fourth'!E84)</f>
        <v/>
      </c>
      <c r="F5831" s="66" t="str">
        <f>IF('Twenty-Fourth'!F84="", "",'Twenty-Fourth'!F84)</f>
        <v/>
      </c>
      <c r="G5831" s="66" t="str">
        <f>IF('Twenty-Fourth'!G84="", "",'Twenty-Fourth'!G84)</f>
        <v/>
      </c>
      <c r="H5831" s="66" t="str">
        <f>IF('Twenty-Fourth'!H84="", "",'Twenty-Fourth'!H84)</f>
        <v/>
      </c>
      <c r="I5831" s="66" t="str">
        <f>IF('Twenty-Fourth'!I84="", "",'Twenty-Fourth'!I84)</f>
        <v/>
      </c>
      <c r="J5831" s="66" t="str">
        <f>IF('Twenty-Fourth'!J84="", "",'Twenty-Fourth'!J84)</f>
        <v/>
      </c>
      <c r="K5831" s="86" t="str">
        <f>IF('Twenty-Fourth'!K84="", "",'Twenty-Fourth'!K84)</f>
        <v/>
      </c>
      <c r="M5831" s="67" t="str">
        <f t="shared" si="278"/>
        <v/>
      </c>
      <c r="N5831" s="76" t="str">
        <f t="shared" si="279"/>
        <v/>
      </c>
      <c r="O5831" s="33">
        <f t="shared" si="277"/>
        <v>0</v>
      </c>
    </row>
    <row r="5832" spans="1:15" x14ac:dyDescent="0.25">
      <c r="A5832" s="64" t="s">
        <v>193</v>
      </c>
      <c r="B5832" s="79" t="str">
        <f>IF('Twenty-Fourth'!B85="", "",'Twenty-Fourth'!B85)</f>
        <v/>
      </c>
      <c r="C5832" s="66" t="str">
        <f>IF('Twenty-Fourth'!C85="", "",'Twenty-Fourth'!C85)</f>
        <v/>
      </c>
      <c r="D5832" s="66" t="str">
        <f>IF('Twenty-Fourth'!D85="", "",'Twenty-Fourth'!D85)</f>
        <v/>
      </c>
      <c r="E5832" s="66" t="str">
        <f>IF('Twenty-Fourth'!E85="", "",'Twenty-Fourth'!E85)</f>
        <v/>
      </c>
      <c r="F5832" s="66" t="str">
        <f>IF('Twenty-Fourth'!F85="", "",'Twenty-Fourth'!F85)</f>
        <v/>
      </c>
      <c r="G5832" s="66" t="str">
        <f>IF('Twenty-Fourth'!G85="", "",'Twenty-Fourth'!G85)</f>
        <v/>
      </c>
      <c r="H5832" s="66" t="str">
        <f>IF('Twenty-Fourth'!H85="", "",'Twenty-Fourth'!H85)</f>
        <v/>
      </c>
      <c r="I5832" s="66" t="str">
        <f>IF('Twenty-Fourth'!I85="", "",'Twenty-Fourth'!I85)</f>
        <v/>
      </c>
      <c r="J5832" s="66" t="str">
        <f>IF('Twenty-Fourth'!J85="", "",'Twenty-Fourth'!J85)</f>
        <v/>
      </c>
      <c r="K5832" s="86" t="str">
        <f>IF('Twenty-Fourth'!K85="", "",'Twenty-Fourth'!K85)</f>
        <v/>
      </c>
      <c r="M5832" s="67" t="str">
        <f t="shared" si="278"/>
        <v/>
      </c>
      <c r="N5832" s="76" t="str">
        <f t="shared" si="279"/>
        <v/>
      </c>
      <c r="O5832" s="33">
        <f t="shared" si="277"/>
        <v>0</v>
      </c>
    </row>
    <row r="5833" spans="1:15" x14ac:dyDescent="0.25">
      <c r="A5833" s="64" t="s">
        <v>193</v>
      </c>
      <c r="B5833" s="79" t="str">
        <f>IF('Twenty-Fourth'!B86="", "",'Twenty-Fourth'!B86)</f>
        <v/>
      </c>
      <c r="C5833" s="66" t="str">
        <f>IF('Twenty-Fourth'!C86="", "",'Twenty-Fourth'!C86)</f>
        <v/>
      </c>
      <c r="D5833" s="66" t="str">
        <f>IF('Twenty-Fourth'!D86="", "",'Twenty-Fourth'!D86)</f>
        <v/>
      </c>
      <c r="E5833" s="66" t="str">
        <f>IF('Twenty-Fourth'!E86="", "",'Twenty-Fourth'!E86)</f>
        <v/>
      </c>
      <c r="F5833" s="66" t="str">
        <f>IF('Twenty-Fourth'!F86="", "",'Twenty-Fourth'!F86)</f>
        <v/>
      </c>
      <c r="G5833" s="66" t="str">
        <f>IF('Twenty-Fourth'!G86="", "",'Twenty-Fourth'!G86)</f>
        <v/>
      </c>
      <c r="H5833" s="66" t="str">
        <f>IF('Twenty-Fourth'!H86="", "",'Twenty-Fourth'!H86)</f>
        <v/>
      </c>
      <c r="I5833" s="66" t="str">
        <f>IF('Twenty-Fourth'!I86="", "",'Twenty-Fourth'!I86)</f>
        <v/>
      </c>
      <c r="J5833" s="66" t="str">
        <f>IF('Twenty-Fourth'!J86="", "",'Twenty-Fourth'!J86)</f>
        <v/>
      </c>
      <c r="K5833" s="86" t="str">
        <f>IF('Twenty-Fourth'!K86="", "",'Twenty-Fourth'!K86)</f>
        <v/>
      </c>
      <c r="M5833" s="67" t="str">
        <f t="shared" si="278"/>
        <v/>
      </c>
      <c r="N5833" s="76" t="str">
        <f t="shared" si="279"/>
        <v/>
      </c>
      <c r="O5833" s="33">
        <f t="shared" si="277"/>
        <v>0</v>
      </c>
    </row>
    <row r="5834" spans="1:15" x14ac:dyDescent="0.25">
      <c r="A5834" s="64" t="s">
        <v>193</v>
      </c>
      <c r="B5834" s="79" t="str">
        <f>IF('Twenty-Fourth'!B87="", "",'Twenty-Fourth'!B87)</f>
        <v/>
      </c>
      <c r="C5834" s="66" t="str">
        <f>IF('Twenty-Fourth'!C87="", "",'Twenty-Fourth'!C87)</f>
        <v/>
      </c>
      <c r="D5834" s="66" t="str">
        <f>IF('Twenty-Fourth'!D87="", "",'Twenty-Fourth'!D87)</f>
        <v/>
      </c>
      <c r="E5834" s="66" t="str">
        <f>IF('Twenty-Fourth'!E87="", "",'Twenty-Fourth'!E87)</f>
        <v/>
      </c>
      <c r="F5834" s="66" t="str">
        <f>IF('Twenty-Fourth'!F87="", "",'Twenty-Fourth'!F87)</f>
        <v/>
      </c>
      <c r="G5834" s="66" t="str">
        <f>IF('Twenty-Fourth'!G87="", "",'Twenty-Fourth'!G87)</f>
        <v/>
      </c>
      <c r="H5834" s="66" t="str">
        <f>IF('Twenty-Fourth'!H87="", "",'Twenty-Fourth'!H87)</f>
        <v/>
      </c>
      <c r="I5834" s="66" t="str">
        <f>IF('Twenty-Fourth'!I87="", "",'Twenty-Fourth'!I87)</f>
        <v/>
      </c>
      <c r="J5834" s="66" t="str">
        <f>IF('Twenty-Fourth'!J87="", "",'Twenty-Fourth'!J87)</f>
        <v/>
      </c>
      <c r="K5834" s="86" t="str">
        <f>IF('Twenty-Fourth'!K87="", "",'Twenty-Fourth'!K87)</f>
        <v/>
      </c>
      <c r="M5834" s="67" t="str">
        <f t="shared" si="278"/>
        <v/>
      </c>
      <c r="N5834" s="76" t="str">
        <f t="shared" si="279"/>
        <v/>
      </c>
      <c r="O5834" s="33">
        <f t="shared" ref="O5834:O5897" si="280">SUM(M5834:N5834)</f>
        <v>0</v>
      </c>
    </row>
    <row r="5835" spans="1:15" x14ac:dyDescent="0.25">
      <c r="A5835" s="64" t="s">
        <v>193</v>
      </c>
      <c r="B5835" s="79" t="str">
        <f>IF('Twenty-Fourth'!B88="", "",'Twenty-Fourth'!B88)</f>
        <v/>
      </c>
      <c r="C5835" s="66" t="str">
        <f>IF('Twenty-Fourth'!C88="", "",'Twenty-Fourth'!C88)</f>
        <v/>
      </c>
      <c r="D5835" s="66" t="str">
        <f>IF('Twenty-Fourth'!D88="", "",'Twenty-Fourth'!D88)</f>
        <v/>
      </c>
      <c r="E5835" s="66" t="str">
        <f>IF('Twenty-Fourth'!E88="", "",'Twenty-Fourth'!E88)</f>
        <v/>
      </c>
      <c r="F5835" s="66" t="str">
        <f>IF('Twenty-Fourth'!F88="", "",'Twenty-Fourth'!F88)</f>
        <v/>
      </c>
      <c r="G5835" s="66" t="str">
        <f>IF('Twenty-Fourth'!G88="", "",'Twenty-Fourth'!G88)</f>
        <v/>
      </c>
      <c r="H5835" s="66" t="str">
        <f>IF('Twenty-Fourth'!H88="", "",'Twenty-Fourth'!H88)</f>
        <v/>
      </c>
      <c r="I5835" s="66" t="str">
        <f>IF('Twenty-Fourth'!I88="", "",'Twenty-Fourth'!I88)</f>
        <v/>
      </c>
      <c r="J5835" s="66" t="str">
        <f>IF('Twenty-Fourth'!J88="", "",'Twenty-Fourth'!J88)</f>
        <v/>
      </c>
      <c r="K5835" s="86" t="str">
        <f>IF('Twenty-Fourth'!K88="", "",'Twenty-Fourth'!K88)</f>
        <v/>
      </c>
      <c r="M5835" s="67" t="str">
        <f t="shared" si="278"/>
        <v/>
      </c>
      <c r="N5835" s="76" t="str">
        <f t="shared" si="279"/>
        <v/>
      </c>
      <c r="O5835" s="33">
        <f t="shared" si="280"/>
        <v>0</v>
      </c>
    </row>
    <row r="5836" spans="1:15" x14ac:dyDescent="0.25">
      <c r="A5836" s="64" t="s">
        <v>193</v>
      </c>
      <c r="B5836" s="79" t="str">
        <f>IF('Twenty-Fourth'!B89="", "",'Twenty-Fourth'!B89)</f>
        <v/>
      </c>
      <c r="C5836" s="66" t="str">
        <f>IF('Twenty-Fourth'!C89="", "",'Twenty-Fourth'!C89)</f>
        <v/>
      </c>
      <c r="D5836" s="66" t="str">
        <f>IF('Twenty-Fourth'!D89="", "",'Twenty-Fourth'!D89)</f>
        <v/>
      </c>
      <c r="E5836" s="66" t="str">
        <f>IF('Twenty-Fourth'!E89="", "",'Twenty-Fourth'!E89)</f>
        <v/>
      </c>
      <c r="F5836" s="66" t="str">
        <f>IF('Twenty-Fourth'!F89="", "",'Twenty-Fourth'!F89)</f>
        <v/>
      </c>
      <c r="G5836" s="66" t="str">
        <f>IF('Twenty-Fourth'!G89="", "",'Twenty-Fourth'!G89)</f>
        <v/>
      </c>
      <c r="H5836" s="66" t="str">
        <f>IF('Twenty-Fourth'!H89="", "",'Twenty-Fourth'!H89)</f>
        <v/>
      </c>
      <c r="I5836" s="66" t="str">
        <f>IF('Twenty-Fourth'!I89="", "",'Twenty-Fourth'!I89)</f>
        <v/>
      </c>
      <c r="J5836" s="66" t="str">
        <f>IF('Twenty-Fourth'!J89="", "",'Twenty-Fourth'!J89)</f>
        <v/>
      </c>
      <c r="K5836" s="86" t="str">
        <f>IF('Twenty-Fourth'!K89="", "",'Twenty-Fourth'!K89)</f>
        <v/>
      </c>
      <c r="M5836" s="67" t="str">
        <f t="shared" si="278"/>
        <v/>
      </c>
      <c r="N5836" s="76" t="str">
        <f t="shared" si="279"/>
        <v/>
      </c>
      <c r="O5836" s="33">
        <f t="shared" si="280"/>
        <v>0</v>
      </c>
    </row>
    <row r="5837" spans="1:15" x14ac:dyDescent="0.25">
      <c r="A5837" s="64" t="s">
        <v>193</v>
      </c>
      <c r="B5837" s="79" t="str">
        <f>IF('Twenty-Fourth'!B90="", "",'Twenty-Fourth'!B90)</f>
        <v/>
      </c>
      <c r="C5837" s="66" t="str">
        <f>IF('Twenty-Fourth'!C90="", "",'Twenty-Fourth'!C90)</f>
        <v/>
      </c>
      <c r="D5837" s="66" t="str">
        <f>IF('Twenty-Fourth'!D90="", "",'Twenty-Fourth'!D90)</f>
        <v/>
      </c>
      <c r="E5837" s="66" t="str">
        <f>IF('Twenty-Fourth'!E90="", "",'Twenty-Fourth'!E90)</f>
        <v/>
      </c>
      <c r="F5837" s="66" t="str">
        <f>IF('Twenty-Fourth'!F90="", "",'Twenty-Fourth'!F90)</f>
        <v/>
      </c>
      <c r="G5837" s="66" t="str">
        <f>IF('Twenty-Fourth'!G90="", "",'Twenty-Fourth'!G90)</f>
        <v/>
      </c>
      <c r="H5837" s="66" t="str">
        <f>IF('Twenty-Fourth'!H90="", "",'Twenty-Fourth'!H90)</f>
        <v/>
      </c>
      <c r="I5837" s="66" t="str">
        <f>IF('Twenty-Fourth'!I90="", "",'Twenty-Fourth'!I90)</f>
        <v/>
      </c>
      <c r="J5837" s="66" t="str">
        <f>IF('Twenty-Fourth'!J90="", "",'Twenty-Fourth'!J90)</f>
        <v/>
      </c>
      <c r="K5837" s="86" t="str">
        <f>IF('Twenty-Fourth'!K90="", "",'Twenty-Fourth'!K90)</f>
        <v/>
      </c>
      <c r="M5837" s="67" t="str">
        <f t="shared" si="278"/>
        <v/>
      </c>
      <c r="N5837" s="76" t="str">
        <f t="shared" si="279"/>
        <v/>
      </c>
      <c r="O5837" s="33">
        <f t="shared" si="280"/>
        <v>0</v>
      </c>
    </row>
    <row r="5838" spans="1:15" x14ac:dyDescent="0.25">
      <c r="A5838" s="64" t="s">
        <v>193</v>
      </c>
      <c r="B5838" s="79" t="str">
        <f>IF('Twenty-Fourth'!B91="", "",'Twenty-Fourth'!B91)</f>
        <v/>
      </c>
      <c r="C5838" s="66" t="str">
        <f>IF('Twenty-Fourth'!C91="", "",'Twenty-Fourth'!C91)</f>
        <v/>
      </c>
      <c r="D5838" s="66" t="str">
        <f>IF('Twenty-Fourth'!D91="", "",'Twenty-Fourth'!D91)</f>
        <v/>
      </c>
      <c r="E5838" s="66" t="str">
        <f>IF('Twenty-Fourth'!E91="", "",'Twenty-Fourth'!E91)</f>
        <v/>
      </c>
      <c r="F5838" s="66" t="str">
        <f>IF('Twenty-Fourth'!F91="", "",'Twenty-Fourth'!F91)</f>
        <v/>
      </c>
      <c r="G5838" s="66" t="str">
        <f>IF('Twenty-Fourth'!G91="", "",'Twenty-Fourth'!G91)</f>
        <v/>
      </c>
      <c r="H5838" s="66" t="str">
        <f>IF('Twenty-Fourth'!H91="", "",'Twenty-Fourth'!H91)</f>
        <v/>
      </c>
      <c r="I5838" s="66" t="str">
        <f>IF('Twenty-Fourth'!I91="", "",'Twenty-Fourth'!I91)</f>
        <v/>
      </c>
      <c r="J5838" s="66" t="str">
        <f>IF('Twenty-Fourth'!J91="", "",'Twenty-Fourth'!J91)</f>
        <v/>
      </c>
      <c r="K5838" s="86" t="str">
        <f>IF('Twenty-Fourth'!K91="", "",'Twenty-Fourth'!K91)</f>
        <v/>
      </c>
      <c r="M5838" s="67" t="str">
        <f t="shared" si="278"/>
        <v/>
      </c>
      <c r="N5838" s="76" t="str">
        <f t="shared" si="279"/>
        <v/>
      </c>
      <c r="O5838" s="33">
        <f t="shared" si="280"/>
        <v>0</v>
      </c>
    </row>
    <row r="5839" spans="1:15" x14ac:dyDescent="0.25">
      <c r="A5839" s="64" t="s">
        <v>193</v>
      </c>
      <c r="B5839" s="79" t="str">
        <f>IF('Twenty-Fourth'!B92="", "",'Twenty-Fourth'!B92)</f>
        <v/>
      </c>
      <c r="C5839" s="66" t="str">
        <f>IF('Twenty-Fourth'!C92="", "",'Twenty-Fourth'!C92)</f>
        <v/>
      </c>
      <c r="D5839" s="66" t="str">
        <f>IF('Twenty-Fourth'!D92="", "",'Twenty-Fourth'!D92)</f>
        <v/>
      </c>
      <c r="E5839" s="66" t="str">
        <f>IF('Twenty-Fourth'!E92="", "",'Twenty-Fourth'!E92)</f>
        <v/>
      </c>
      <c r="F5839" s="66" t="str">
        <f>IF('Twenty-Fourth'!F92="", "",'Twenty-Fourth'!F92)</f>
        <v/>
      </c>
      <c r="G5839" s="66" t="str">
        <f>IF('Twenty-Fourth'!G92="", "",'Twenty-Fourth'!G92)</f>
        <v/>
      </c>
      <c r="H5839" s="66" t="str">
        <f>IF('Twenty-Fourth'!H92="", "",'Twenty-Fourth'!H92)</f>
        <v/>
      </c>
      <c r="I5839" s="66" t="str">
        <f>IF('Twenty-Fourth'!I92="", "",'Twenty-Fourth'!I92)</f>
        <v/>
      </c>
      <c r="J5839" s="66" t="str">
        <f>IF('Twenty-Fourth'!J92="", "",'Twenty-Fourth'!J92)</f>
        <v/>
      </c>
      <c r="K5839" s="86" t="str">
        <f>IF('Twenty-Fourth'!K92="", "",'Twenty-Fourth'!K92)</f>
        <v/>
      </c>
      <c r="M5839" s="67" t="str">
        <f t="shared" si="278"/>
        <v/>
      </c>
      <c r="N5839" s="76" t="str">
        <f t="shared" si="279"/>
        <v/>
      </c>
      <c r="O5839" s="33">
        <f t="shared" si="280"/>
        <v>0</v>
      </c>
    </row>
    <row r="5840" spans="1:15" x14ac:dyDescent="0.25">
      <c r="A5840" s="64" t="s">
        <v>193</v>
      </c>
      <c r="B5840" s="79" t="str">
        <f>IF('Twenty-Fourth'!B93="", "",'Twenty-Fourth'!B93)</f>
        <v/>
      </c>
      <c r="C5840" s="66" t="str">
        <f>IF('Twenty-Fourth'!C93="", "",'Twenty-Fourth'!C93)</f>
        <v/>
      </c>
      <c r="D5840" s="66" t="str">
        <f>IF('Twenty-Fourth'!D93="", "",'Twenty-Fourth'!D93)</f>
        <v/>
      </c>
      <c r="E5840" s="66" t="str">
        <f>IF('Twenty-Fourth'!E93="", "",'Twenty-Fourth'!E93)</f>
        <v/>
      </c>
      <c r="F5840" s="66" t="str">
        <f>IF('Twenty-Fourth'!F93="", "",'Twenty-Fourth'!F93)</f>
        <v/>
      </c>
      <c r="G5840" s="66" t="str">
        <f>IF('Twenty-Fourth'!G93="", "",'Twenty-Fourth'!G93)</f>
        <v/>
      </c>
      <c r="H5840" s="66" t="str">
        <f>IF('Twenty-Fourth'!H93="", "",'Twenty-Fourth'!H93)</f>
        <v/>
      </c>
      <c r="I5840" s="66" t="str">
        <f>IF('Twenty-Fourth'!I93="", "",'Twenty-Fourth'!I93)</f>
        <v/>
      </c>
      <c r="J5840" s="66" t="str">
        <f>IF('Twenty-Fourth'!J93="", "",'Twenty-Fourth'!J93)</f>
        <v/>
      </c>
      <c r="K5840" s="86" t="str">
        <f>IF('Twenty-Fourth'!K93="", "",'Twenty-Fourth'!K93)</f>
        <v/>
      </c>
      <c r="M5840" s="67" t="str">
        <f t="shared" si="278"/>
        <v/>
      </c>
      <c r="N5840" s="76" t="str">
        <f t="shared" si="279"/>
        <v/>
      </c>
      <c r="O5840" s="33">
        <f t="shared" si="280"/>
        <v>0</v>
      </c>
    </row>
    <row r="5841" spans="1:15" x14ac:dyDescent="0.25">
      <c r="A5841" s="64" t="s">
        <v>193</v>
      </c>
      <c r="B5841" s="79" t="str">
        <f>IF('Twenty-Fourth'!B94="", "",'Twenty-Fourth'!B94)</f>
        <v/>
      </c>
      <c r="C5841" s="66" t="str">
        <f>IF('Twenty-Fourth'!C94="", "",'Twenty-Fourth'!C94)</f>
        <v/>
      </c>
      <c r="D5841" s="66" t="str">
        <f>IF('Twenty-Fourth'!D94="", "",'Twenty-Fourth'!D94)</f>
        <v/>
      </c>
      <c r="E5841" s="66" t="str">
        <f>IF('Twenty-Fourth'!E94="", "",'Twenty-Fourth'!E94)</f>
        <v/>
      </c>
      <c r="F5841" s="66" t="str">
        <f>IF('Twenty-Fourth'!F94="", "",'Twenty-Fourth'!F94)</f>
        <v/>
      </c>
      <c r="G5841" s="66" t="str">
        <f>IF('Twenty-Fourth'!G94="", "",'Twenty-Fourth'!G94)</f>
        <v/>
      </c>
      <c r="H5841" s="66" t="str">
        <f>IF('Twenty-Fourth'!H94="", "",'Twenty-Fourth'!H94)</f>
        <v/>
      </c>
      <c r="I5841" s="66" t="str">
        <f>IF('Twenty-Fourth'!I94="", "",'Twenty-Fourth'!I94)</f>
        <v/>
      </c>
      <c r="J5841" s="66" t="str">
        <f>IF('Twenty-Fourth'!J94="", "",'Twenty-Fourth'!J94)</f>
        <v/>
      </c>
      <c r="K5841" s="86" t="str">
        <f>IF('Twenty-Fourth'!K94="", "",'Twenty-Fourth'!K94)</f>
        <v/>
      </c>
      <c r="M5841" s="67" t="str">
        <f t="shared" si="278"/>
        <v/>
      </c>
      <c r="N5841" s="76" t="str">
        <f t="shared" si="279"/>
        <v/>
      </c>
      <c r="O5841" s="33">
        <f t="shared" si="280"/>
        <v>0</v>
      </c>
    </row>
    <row r="5842" spans="1:15" x14ac:dyDescent="0.25">
      <c r="A5842" s="64" t="s">
        <v>193</v>
      </c>
      <c r="B5842" s="79" t="str">
        <f>IF('Twenty-Fourth'!B95="", "",'Twenty-Fourth'!B95)</f>
        <v/>
      </c>
      <c r="C5842" s="66" t="str">
        <f>IF('Twenty-Fourth'!C95="", "",'Twenty-Fourth'!C95)</f>
        <v/>
      </c>
      <c r="D5842" s="66" t="str">
        <f>IF('Twenty-Fourth'!D95="", "",'Twenty-Fourth'!D95)</f>
        <v/>
      </c>
      <c r="E5842" s="66" t="str">
        <f>IF('Twenty-Fourth'!E95="", "",'Twenty-Fourth'!E95)</f>
        <v/>
      </c>
      <c r="F5842" s="66" t="str">
        <f>IF('Twenty-Fourth'!F95="", "",'Twenty-Fourth'!F95)</f>
        <v/>
      </c>
      <c r="G5842" s="66" t="str">
        <f>IF('Twenty-Fourth'!G95="", "",'Twenty-Fourth'!G95)</f>
        <v/>
      </c>
      <c r="H5842" s="66" t="str">
        <f>IF('Twenty-Fourth'!H95="", "",'Twenty-Fourth'!H95)</f>
        <v/>
      </c>
      <c r="I5842" s="66" t="str">
        <f>IF('Twenty-Fourth'!I95="", "",'Twenty-Fourth'!I95)</f>
        <v/>
      </c>
      <c r="J5842" s="66" t="str">
        <f>IF('Twenty-Fourth'!J95="", "",'Twenty-Fourth'!J95)</f>
        <v/>
      </c>
      <c r="K5842" s="86" t="str">
        <f>IF('Twenty-Fourth'!K95="", "",'Twenty-Fourth'!K95)</f>
        <v/>
      </c>
      <c r="M5842" s="67" t="str">
        <f t="shared" si="278"/>
        <v/>
      </c>
      <c r="N5842" s="76" t="str">
        <f t="shared" si="279"/>
        <v/>
      </c>
      <c r="O5842" s="33">
        <f t="shared" si="280"/>
        <v>0</v>
      </c>
    </row>
    <row r="5843" spans="1:15" x14ac:dyDescent="0.25">
      <c r="A5843" s="64" t="s">
        <v>193</v>
      </c>
      <c r="B5843" s="79" t="str">
        <f>IF('Twenty-Fourth'!B96="", "",'Twenty-Fourth'!B96)</f>
        <v/>
      </c>
      <c r="C5843" s="66" t="str">
        <f>IF('Twenty-Fourth'!C96="", "",'Twenty-Fourth'!C96)</f>
        <v/>
      </c>
      <c r="D5843" s="66" t="str">
        <f>IF('Twenty-Fourth'!D96="", "",'Twenty-Fourth'!D96)</f>
        <v/>
      </c>
      <c r="E5843" s="66" t="str">
        <f>IF('Twenty-Fourth'!E96="", "",'Twenty-Fourth'!E96)</f>
        <v/>
      </c>
      <c r="F5843" s="66" t="str">
        <f>IF('Twenty-Fourth'!F96="", "",'Twenty-Fourth'!F96)</f>
        <v/>
      </c>
      <c r="G5843" s="66" t="str">
        <f>IF('Twenty-Fourth'!G96="", "",'Twenty-Fourth'!G96)</f>
        <v/>
      </c>
      <c r="H5843" s="66" t="str">
        <f>IF('Twenty-Fourth'!H96="", "",'Twenty-Fourth'!H96)</f>
        <v/>
      </c>
      <c r="I5843" s="66" t="str">
        <f>IF('Twenty-Fourth'!I96="", "",'Twenty-Fourth'!I96)</f>
        <v/>
      </c>
      <c r="J5843" s="66" t="str">
        <f>IF('Twenty-Fourth'!J96="", "",'Twenty-Fourth'!J96)</f>
        <v/>
      </c>
      <c r="K5843" s="86" t="str">
        <f>IF('Twenty-Fourth'!K96="", "",'Twenty-Fourth'!K96)</f>
        <v/>
      </c>
      <c r="M5843" s="67" t="str">
        <f t="shared" si="278"/>
        <v/>
      </c>
      <c r="N5843" s="76" t="str">
        <f t="shared" si="279"/>
        <v/>
      </c>
      <c r="O5843" s="33">
        <f t="shared" si="280"/>
        <v>0</v>
      </c>
    </row>
    <row r="5844" spans="1:15" x14ac:dyDescent="0.25">
      <c r="A5844" s="64" t="s">
        <v>193</v>
      </c>
      <c r="B5844" s="79" t="str">
        <f>IF('Twenty-Fourth'!B97="", "",'Twenty-Fourth'!B97)</f>
        <v/>
      </c>
      <c r="C5844" s="66" t="str">
        <f>IF('Twenty-Fourth'!C97="", "",'Twenty-Fourth'!C97)</f>
        <v/>
      </c>
      <c r="D5844" s="66" t="str">
        <f>IF('Twenty-Fourth'!D97="", "",'Twenty-Fourth'!D97)</f>
        <v/>
      </c>
      <c r="E5844" s="66" t="str">
        <f>IF('Twenty-Fourth'!E97="", "",'Twenty-Fourth'!E97)</f>
        <v/>
      </c>
      <c r="F5844" s="66" t="str">
        <f>IF('Twenty-Fourth'!F97="", "",'Twenty-Fourth'!F97)</f>
        <v/>
      </c>
      <c r="G5844" s="66" t="str">
        <f>IF('Twenty-Fourth'!G97="", "",'Twenty-Fourth'!G97)</f>
        <v/>
      </c>
      <c r="H5844" s="66" t="str">
        <f>IF('Twenty-Fourth'!H97="", "",'Twenty-Fourth'!H97)</f>
        <v/>
      </c>
      <c r="I5844" s="66" t="str">
        <f>IF('Twenty-Fourth'!I97="", "",'Twenty-Fourth'!I97)</f>
        <v/>
      </c>
      <c r="J5844" s="66" t="str">
        <f>IF('Twenty-Fourth'!J97="", "",'Twenty-Fourth'!J97)</f>
        <v/>
      </c>
      <c r="K5844" s="86" t="str">
        <f>IF('Twenty-Fourth'!K97="", "",'Twenty-Fourth'!K97)</f>
        <v/>
      </c>
      <c r="M5844" s="67" t="str">
        <f t="shared" si="278"/>
        <v/>
      </c>
      <c r="N5844" s="76" t="str">
        <f t="shared" si="279"/>
        <v/>
      </c>
      <c r="O5844" s="33">
        <f t="shared" si="280"/>
        <v>0</v>
      </c>
    </row>
    <row r="5845" spans="1:15" x14ac:dyDescent="0.25">
      <c r="A5845" s="64" t="s">
        <v>193</v>
      </c>
      <c r="B5845" s="79" t="str">
        <f>IF('Twenty-Fourth'!B98="", "",'Twenty-Fourth'!B98)</f>
        <v/>
      </c>
      <c r="C5845" s="66" t="str">
        <f>IF('Twenty-Fourth'!C98="", "",'Twenty-Fourth'!C98)</f>
        <v/>
      </c>
      <c r="D5845" s="66" t="str">
        <f>IF('Twenty-Fourth'!D98="", "",'Twenty-Fourth'!D98)</f>
        <v/>
      </c>
      <c r="E5845" s="66" t="str">
        <f>IF('Twenty-Fourth'!E98="", "",'Twenty-Fourth'!E98)</f>
        <v/>
      </c>
      <c r="F5845" s="66" t="str">
        <f>IF('Twenty-Fourth'!F98="", "",'Twenty-Fourth'!F98)</f>
        <v/>
      </c>
      <c r="G5845" s="66" t="str">
        <f>IF('Twenty-Fourth'!G98="", "",'Twenty-Fourth'!G98)</f>
        <v/>
      </c>
      <c r="H5845" s="66" t="str">
        <f>IF('Twenty-Fourth'!H98="", "",'Twenty-Fourth'!H98)</f>
        <v/>
      </c>
      <c r="I5845" s="66" t="str">
        <f>IF('Twenty-Fourth'!I98="", "",'Twenty-Fourth'!I98)</f>
        <v/>
      </c>
      <c r="J5845" s="66" t="str">
        <f>IF('Twenty-Fourth'!J98="", "",'Twenty-Fourth'!J98)</f>
        <v/>
      </c>
      <c r="K5845" s="86" t="str">
        <f>IF('Twenty-Fourth'!K98="", "",'Twenty-Fourth'!K98)</f>
        <v/>
      </c>
      <c r="M5845" s="67" t="str">
        <f t="shared" si="278"/>
        <v/>
      </c>
      <c r="N5845" s="76" t="str">
        <f t="shared" si="279"/>
        <v/>
      </c>
      <c r="O5845" s="33">
        <f t="shared" si="280"/>
        <v>0</v>
      </c>
    </row>
    <row r="5846" spans="1:15" x14ac:dyDescent="0.25">
      <c r="A5846" s="64" t="s">
        <v>193</v>
      </c>
      <c r="B5846" s="79" t="str">
        <f>IF('Twenty-Fourth'!B99="", "",'Twenty-Fourth'!B99)</f>
        <v/>
      </c>
      <c r="C5846" s="66" t="str">
        <f>IF('Twenty-Fourth'!C99="", "",'Twenty-Fourth'!C99)</f>
        <v/>
      </c>
      <c r="D5846" s="66" t="str">
        <f>IF('Twenty-Fourth'!D99="", "",'Twenty-Fourth'!D99)</f>
        <v/>
      </c>
      <c r="E5846" s="66" t="str">
        <f>IF('Twenty-Fourth'!E99="", "",'Twenty-Fourth'!E99)</f>
        <v/>
      </c>
      <c r="F5846" s="66" t="str">
        <f>IF('Twenty-Fourth'!F99="", "",'Twenty-Fourth'!F99)</f>
        <v/>
      </c>
      <c r="G5846" s="66" t="str">
        <f>IF('Twenty-Fourth'!G99="", "",'Twenty-Fourth'!G99)</f>
        <v/>
      </c>
      <c r="H5846" s="66" t="str">
        <f>IF('Twenty-Fourth'!H99="", "",'Twenty-Fourth'!H99)</f>
        <v/>
      </c>
      <c r="I5846" s="66" t="str">
        <f>IF('Twenty-Fourth'!I99="", "",'Twenty-Fourth'!I99)</f>
        <v/>
      </c>
      <c r="J5846" s="66" t="str">
        <f>IF('Twenty-Fourth'!J99="", "",'Twenty-Fourth'!J99)</f>
        <v/>
      </c>
      <c r="K5846" s="86" t="str">
        <f>IF('Twenty-Fourth'!K99="", "",'Twenty-Fourth'!K99)</f>
        <v/>
      </c>
      <c r="M5846" s="67" t="str">
        <f t="shared" si="278"/>
        <v/>
      </c>
      <c r="N5846" s="76" t="str">
        <f t="shared" si="279"/>
        <v/>
      </c>
      <c r="O5846" s="33">
        <f t="shared" si="280"/>
        <v>0</v>
      </c>
    </row>
    <row r="5847" spans="1:15" x14ac:dyDescent="0.25">
      <c r="A5847" s="64" t="s">
        <v>193</v>
      </c>
      <c r="B5847" s="79" t="str">
        <f>IF('Twenty-Fourth'!B100="", "",'Twenty-Fourth'!B100)</f>
        <v/>
      </c>
      <c r="C5847" s="66" t="str">
        <f>IF('Twenty-Fourth'!C100="", "",'Twenty-Fourth'!C100)</f>
        <v/>
      </c>
      <c r="D5847" s="66" t="str">
        <f>IF('Twenty-Fourth'!D100="", "",'Twenty-Fourth'!D100)</f>
        <v/>
      </c>
      <c r="E5847" s="66" t="str">
        <f>IF('Twenty-Fourth'!E100="", "",'Twenty-Fourth'!E100)</f>
        <v/>
      </c>
      <c r="F5847" s="66" t="str">
        <f>IF('Twenty-Fourth'!F100="", "",'Twenty-Fourth'!F100)</f>
        <v/>
      </c>
      <c r="G5847" s="66" t="str">
        <f>IF('Twenty-Fourth'!G100="", "",'Twenty-Fourth'!G100)</f>
        <v/>
      </c>
      <c r="H5847" s="66" t="str">
        <f>IF('Twenty-Fourth'!H100="", "",'Twenty-Fourth'!H100)</f>
        <v/>
      </c>
      <c r="I5847" s="66" t="str">
        <f>IF('Twenty-Fourth'!I100="", "",'Twenty-Fourth'!I100)</f>
        <v/>
      </c>
      <c r="J5847" s="66" t="str">
        <f>IF('Twenty-Fourth'!J100="", "",'Twenty-Fourth'!J100)</f>
        <v/>
      </c>
      <c r="K5847" s="86" t="str">
        <f>IF('Twenty-Fourth'!K100="", "",'Twenty-Fourth'!K100)</f>
        <v/>
      </c>
      <c r="M5847" s="67" t="str">
        <f t="shared" si="278"/>
        <v/>
      </c>
      <c r="N5847" s="76" t="str">
        <f t="shared" si="279"/>
        <v/>
      </c>
      <c r="O5847" s="33">
        <f t="shared" si="280"/>
        <v>0</v>
      </c>
    </row>
    <row r="5848" spans="1:15" x14ac:dyDescent="0.25">
      <c r="A5848" s="64" t="s">
        <v>193</v>
      </c>
      <c r="B5848" s="79" t="str">
        <f>IF('Twenty-Fourth'!B101="", "",'Twenty-Fourth'!B101)</f>
        <v/>
      </c>
      <c r="C5848" s="66" t="str">
        <f>IF('Twenty-Fourth'!C101="", "",'Twenty-Fourth'!C101)</f>
        <v/>
      </c>
      <c r="D5848" s="66" t="str">
        <f>IF('Twenty-Fourth'!D101="", "",'Twenty-Fourth'!D101)</f>
        <v/>
      </c>
      <c r="E5848" s="66" t="str">
        <f>IF('Twenty-Fourth'!E101="", "",'Twenty-Fourth'!E101)</f>
        <v/>
      </c>
      <c r="F5848" s="66" t="str">
        <f>IF('Twenty-Fourth'!F101="", "",'Twenty-Fourth'!F101)</f>
        <v/>
      </c>
      <c r="G5848" s="66" t="str">
        <f>IF('Twenty-Fourth'!G101="", "",'Twenty-Fourth'!G101)</f>
        <v/>
      </c>
      <c r="H5848" s="66" t="str">
        <f>IF('Twenty-Fourth'!H101="", "",'Twenty-Fourth'!H101)</f>
        <v/>
      </c>
      <c r="I5848" s="66" t="str">
        <f>IF('Twenty-Fourth'!I101="", "",'Twenty-Fourth'!I101)</f>
        <v/>
      </c>
      <c r="J5848" s="66" t="str">
        <f>IF('Twenty-Fourth'!J101="", "",'Twenty-Fourth'!J101)</f>
        <v/>
      </c>
      <c r="K5848" s="86" t="str">
        <f>IF('Twenty-Fourth'!K101="", "",'Twenty-Fourth'!K101)</f>
        <v/>
      </c>
      <c r="M5848" s="67" t="str">
        <f t="shared" si="278"/>
        <v/>
      </c>
      <c r="N5848" s="76" t="str">
        <f t="shared" si="279"/>
        <v/>
      </c>
      <c r="O5848" s="33">
        <f t="shared" si="280"/>
        <v>0</v>
      </c>
    </row>
    <row r="5849" spans="1:15" x14ac:dyDescent="0.25">
      <c r="A5849" s="64" t="s">
        <v>193</v>
      </c>
      <c r="B5849" s="79" t="str">
        <f>IF('Twenty-Fourth'!B102="", "",'Twenty-Fourth'!B102)</f>
        <v/>
      </c>
      <c r="C5849" s="66" t="str">
        <f>IF('Twenty-Fourth'!C102="", "",'Twenty-Fourth'!C102)</f>
        <v/>
      </c>
      <c r="D5849" s="66" t="str">
        <f>IF('Twenty-Fourth'!D102="", "",'Twenty-Fourth'!D102)</f>
        <v/>
      </c>
      <c r="E5849" s="66" t="str">
        <f>IF('Twenty-Fourth'!E102="", "",'Twenty-Fourth'!E102)</f>
        <v/>
      </c>
      <c r="F5849" s="66" t="str">
        <f>IF('Twenty-Fourth'!F102="", "",'Twenty-Fourth'!F102)</f>
        <v/>
      </c>
      <c r="G5849" s="66" t="str">
        <f>IF('Twenty-Fourth'!G102="", "",'Twenty-Fourth'!G102)</f>
        <v/>
      </c>
      <c r="H5849" s="66" t="str">
        <f>IF('Twenty-Fourth'!H102="", "",'Twenty-Fourth'!H102)</f>
        <v/>
      </c>
      <c r="I5849" s="66" t="str">
        <f>IF('Twenty-Fourth'!I102="", "",'Twenty-Fourth'!I102)</f>
        <v/>
      </c>
      <c r="J5849" s="66" t="str">
        <f>IF('Twenty-Fourth'!J102="", "",'Twenty-Fourth'!J102)</f>
        <v/>
      </c>
      <c r="K5849" s="86" t="str">
        <f>IF('Twenty-Fourth'!K102="", "",'Twenty-Fourth'!K102)</f>
        <v/>
      </c>
      <c r="M5849" s="67" t="str">
        <f t="shared" si="278"/>
        <v/>
      </c>
      <c r="N5849" s="76" t="str">
        <f t="shared" si="279"/>
        <v/>
      </c>
      <c r="O5849" s="33">
        <f t="shared" si="280"/>
        <v>0</v>
      </c>
    </row>
    <row r="5850" spans="1:15" x14ac:dyDescent="0.25">
      <c r="A5850" s="64" t="s">
        <v>193</v>
      </c>
      <c r="B5850" s="79" t="str">
        <f>IF('Twenty-Fourth'!B103="", "",'Twenty-Fourth'!B103)</f>
        <v/>
      </c>
      <c r="C5850" s="66" t="str">
        <f>IF('Twenty-Fourth'!C103="", "",'Twenty-Fourth'!C103)</f>
        <v/>
      </c>
      <c r="D5850" s="66" t="str">
        <f>IF('Twenty-Fourth'!D103="", "",'Twenty-Fourth'!D103)</f>
        <v/>
      </c>
      <c r="E5850" s="66" t="str">
        <f>IF('Twenty-Fourth'!E103="", "",'Twenty-Fourth'!E103)</f>
        <v/>
      </c>
      <c r="F5850" s="66" t="str">
        <f>IF('Twenty-Fourth'!F103="", "",'Twenty-Fourth'!F103)</f>
        <v/>
      </c>
      <c r="G5850" s="66" t="str">
        <f>IF('Twenty-Fourth'!G103="", "",'Twenty-Fourth'!G103)</f>
        <v/>
      </c>
      <c r="H5850" s="66" t="str">
        <f>IF('Twenty-Fourth'!H103="", "",'Twenty-Fourth'!H103)</f>
        <v/>
      </c>
      <c r="I5850" s="66" t="str">
        <f>IF('Twenty-Fourth'!I103="", "",'Twenty-Fourth'!I103)</f>
        <v/>
      </c>
      <c r="J5850" s="66" t="str">
        <f>IF('Twenty-Fourth'!J103="", "",'Twenty-Fourth'!J103)</f>
        <v/>
      </c>
      <c r="K5850" s="86" t="str">
        <f>IF('Twenty-Fourth'!K103="", "",'Twenty-Fourth'!K103)</f>
        <v/>
      </c>
      <c r="M5850" s="67" t="str">
        <f t="shared" si="278"/>
        <v/>
      </c>
      <c r="N5850" s="76" t="str">
        <f t="shared" si="279"/>
        <v/>
      </c>
      <c r="O5850" s="33">
        <f t="shared" si="280"/>
        <v>0</v>
      </c>
    </row>
    <row r="5851" spans="1:15" x14ac:dyDescent="0.25">
      <c r="A5851" s="64" t="s">
        <v>193</v>
      </c>
      <c r="B5851" s="79" t="str">
        <f>IF('Twenty-Fourth'!B104="", "",'Twenty-Fourth'!B104)</f>
        <v/>
      </c>
      <c r="C5851" s="66" t="str">
        <f>IF('Twenty-Fourth'!C104="", "",'Twenty-Fourth'!C104)</f>
        <v/>
      </c>
      <c r="D5851" s="66" t="str">
        <f>IF('Twenty-Fourth'!D104="", "",'Twenty-Fourth'!D104)</f>
        <v/>
      </c>
      <c r="E5851" s="66" t="str">
        <f>IF('Twenty-Fourth'!E104="", "",'Twenty-Fourth'!E104)</f>
        <v/>
      </c>
      <c r="F5851" s="66" t="str">
        <f>IF('Twenty-Fourth'!F104="", "",'Twenty-Fourth'!F104)</f>
        <v/>
      </c>
      <c r="G5851" s="66" t="str">
        <f>IF('Twenty-Fourth'!G104="", "",'Twenty-Fourth'!G104)</f>
        <v/>
      </c>
      <c r="H5851" s="66" t="str">
        <f>IF('Twenty-Fourth'!H104="", "",'Twenty-Fourth'!H104)</f>
        <v/>
      </c>
      <c r="I5851" s="66" t="str">
        <f>IF('Twenty-Fourth'!I104="", "",'Twenty-Fourth'!I104)</f>
        <v/>
      </c>
      <c r="J5851" s="66" t="str">
        <f>IF('Twenty-Fourth'!J104="", "",'Twenty-Fourth'!J104)</f>
        <v/>
      </c>
      <c r="K5851" s="86" t="str">
        <f>IF('Twenty-Fourth'!K104="", "",'Twenty-Fourth'!K104)</f>
        <v/>
      </c>
      <c r="M5851" s="67" t="str">
        <f t="shared" si="278"/>
        <v/>
      </c>
      <c r="N5851" s="76" t="str">
        <f t="shared" si="279"/>
        <v/>
      </c>
      <c r="O5851" s="33">
        <f t="shared" si="280"/>
        <v>0</v>
      </c>
    </row>
    <row r="5852" spans="1:15" x14ac:dyDescent="0.25">
      <c r="A5852" s="64" t="s">
        <v>193</v>
      </c>
      <c r="B5852" s="79" t="str">
        <f>IF('Twenty-Fourth'!B105="", "",'Twenty-Fourth'!B105)</f>
        <v/>
      </c>
      <c r="C5852" s="66" t="str">
        <f>IF('Twenty-Fourth'!C105="", "",'Twenty-Fourth'!C105)</f>
        <v/>
      </c>
      <c r="D5852" s="66" t="str">
        <f>IF('Twenty-Fourth'!D105="", "",'Twenty-Fourth'!D105)</f>
        <v/>
      </c>
      <c r="E5852" s="66" t="str">
        <f>IF('Twenty-Fourth'!E105="", "",'Twenty-Fourth'!E105)</f>
        <v/>
      </c>
      <c r="F5852" s="66" t="str">
        <f>IF('Twenty-Fourth'!F105="", "",'Twenty-Fourth'!F105)</f>
        <v/>
      </c>
      <c r="G5852" s="66" t="str">
        <f>IF('Twenty-Fourth'!G105="", "",'Twenty-Fourth'!G105)</f>
        <v/>
      </c>
      <c r="H5852" s="66" t="str">
        <f>IF('Twenty-Fourth'!H105="", "",'Twenty-Fourth'!H105)</f>
        <v/>
      </c>
      <c r="I5852" s="66" t="str">
        <f>IF('Twenty-Fourth'!I105="", "",'Twenty-Fourth'!I105)</f>
        <v/>
      </c>
      <c r="J5852" s="66" t="str">
        <f>IF('Twenty-Fourth'!J105="", "",'Twenty-Fourth'!J105)</f>
        <v/>
      </c>
      <c r="K5852" s="86" t="str">
        <f>IF('Twenty-Fourth'!K105="", "",'Twenty-Fourth'!K105)</f>
        <v/>
      </c>
      <c r="M5852" s="67" t="str">
        <f t="shared" si="278"/>
        <v/>
      </c>
      <c r="N5852" s="76" t="str">
        <f t="shared" si="279"/>
        <v/>
      </c>
      <c r="O5852" s="33">
        <f t="shared" si="280"/>
        <v>0</v>
      </c>
    </row>
    <row r="5853" spans="1:15" x14ac:dyDescent="0.25">
      <c r="A5853" s="64" t="s">
        <v>193</v>
      </c>
      <c r="B5853" s="79" t="str">
        <f>IF('Twenty-Fourth'!B106="", "",'Twenty-Fourth'!B106)</f>
        <v/>
      </c>
      <c r="C5853" s="66" t="str">
        <f>IF('Twenty-Fourth'!C106="", "",'Twenty-Fourth'!C106)</f>
        <v/>
      </c>
      <c r="D5853" s="66" t="str">
        <f>IF('Twenty-Fourth'!D106="", "",'Twenty-Fourth'!D106)</f>
        <v/>
      </c>
      <c r="E5853" s="66" t="str">
        <f>IF('Twenty-Fourth'!E106="", "",'Twenty-Fourth'!E106)</f>
        <v/>
      </c>
      <c r="F5853" s="66" t="str">
        <f>IF('Twenty-Fourth'!F106="", "",'Twenty-Fourth'!F106)</f>
        <v/>
      </c>
      <c r="G5853" s="66" t="str">
        <f>IF('Twenty-Fourth'!G106="", "",'Twenty-Fourth'!G106)</f>
        <v/>
      </c>
      <c r="H5853" s="66" t="str">
        <f>IF('Twenty-Fourth'!H106="", "",'Twenty-Fourth'!H106)</f>
        <v/>
      </c>
      <c r="I5853" s="66" t="str">
        <f>IF('Twenty-Fourth'!I106="", "",'Twenty-Fourth'!I106)</f>
        <v/>
      </c>
      <c r="J5853" s="66" t="str">
        <f>IF('Twenty-Fourth'!J106="", "",'Twenty-Fourth'!J106)</f>
        <v/>
      </c>
      <c r="K5853" s="86" t="str">
        <f>IF('Twenty-Fourth'!K106="", "",'Twenty-Fourth'!K106)</f>
        <v/>
      </c>
      <c r="M5853" s="67" t="str">
        <f t="shared" si="278"/>
        <v/>
      </c>
      <c r="N5853" s="76" t="str">
        <f t="shared" si="279"/>
        <v/>
      </c>
      <c r="O5853" s="33">
        <f t="shared" si="280"/>
        <v>0</v>
      </c>
    </row>
    <row r="5854" spans="1:15" x14ac:dyDescent="0.25">
      <c r="A5854" s="64" t="s">
        <v>193</v>
      </c>
      <c r="B5854" s="79" t="str">
        <f>IF('Twenty-Fourth'!B107="", "",'Twenty-Fourth'!B107)</f>
        <v/>
      </c>
      <c r="C5854" s="66" t="str">
        <f>IF('Twenty-Fourth'!C107="", "",'Twenty-Fourth'!C107)</f>
        <v/>
      </c>
      <c r="D5854" s="66" t="str">
        <f>IF('Twenty-Fourth'!D107="", "",'Twenty-Fourth'!D107)</f>
        <v/>
      </c>
      <c r="E5854" s="66" t="str">
        <f>IF('Twenty-Fourth'!E107="", "",'Twenty-Fourth'!E107)</f>
        <v/>
      </c>
      <c r="F5854" s="66" t="str">
        <f>IF('Twenty-Fourth'!F107="", "",'Twenty-Fourth'!F107)</f>
        <v/>
      </c>
      <c r="G5854" s="66" t="str">
        <f>IF('Twenty-Fourth'!G107="", "",'Twenty-Fourth'!G107)</f>
        <v/>
      </c>
      <c r="H5854" s="66" t="str">
        <f>IF('Twenty-Fourth'!H107="", "",'Twenty-Fourth'!H107)</f>
        <v/>
      </c>
      <c r="I5854" s="66" t="str">
        <f>IF('Twenty-Fourth'!I107="", "",'Twenty-Fourth'!I107)</f>
        <v/>
      </c>
      <c r="J5854" s="66" t="str">
        <f>IF('Twenty-Fourth'!J107="", "",'Twenty-Fourth'!J107)</f>
        <v/>
      </c>
      <c r="K5854" s="86" t="str">
        <f>IF('Twenty-Fourth'!K107="", "",'Twenty-Fourth'!K107)</f>
        <v/>
      </c>
      <c r="M5854" s="67" t="str">
        <f t="shared" si="278"/>
        <v/>
      </c>
      <c r="N5854" s="76" t="str">
        <f t="shared" si="279"/>
        <v/>
      </c>
      <c r="O5854" s="33">
        <f t="shared" si="280"/>
        <v>0</v>
      </c>
    </row>
    <row r="5855" spans="1:15" x14ac:dyDescent="0.25">
      <c r="A5855" s="64" t="s">
        <v>193</v>
      </c>
      <c r="B5855" s="79" t="str">
        <f>IF('Twenty-Fourth'!B108="", "",'Twenty-Fourth'!B108)</f>
        <v/>
      </c>
      <c r="C5855" s="66" t="str">
        <f>IF('Twenty-Fourth'!C108="", "",'Twenty-Fourth'!C108)</f>
        <v/>
      </c>
      <c r="D5855" s="66" t="str">
        <f>IF('Twenty-Fourth'!D108="", "",'Twenty-Fourth'!D108)</f>
        <v/>
      </c>
      <c r="E5855" s="66" t="str">
        <f>IF('Twenty-Fourth'!E108="", "",'Twenty-Fourth'!E108)</f>
        <v/>
      </c>
      <c r="F5855" s="66" t="str">
        <f>IF('Twenty-Fourth'!F108="", "",'Twenty-Fourth'!F108)</f>
        <v/>
      </c>
      <c r="G5855" s="66" t="str">
        <f>IF('Twenty-Fourth'!G108="", "",'Twenty-Fourth'!G108)</f>
        <v/>
      </c>
      <c r="H5855" s="66" t="str">
        <f>IF('Twenty-Fourth'!H108="", "",'Twenty-Fourth'!H108)</f>
        <v/>
      </c>
      <c r="I5855" s="66" t="str">
        <f>IF('Twenty-Fourth'!I108="", "",'Twenty-Fourth'!I108)</f>
        <v/>
      </c>
      <c r="J5855" s="66" t="str">
        <f>IF('Twenty-Fourth'!J108="", "",'Twenty-Fourth'!J108)</f>
        <v/>
      </c>
      <c r="K5855" s="86" t="str">
        <f>IF('Twenty-Fourth'!K108="", "",'Twenty-Fourth'!K108)</f>
        <v/>
      </c>
      <c r="M5855" s="67" t="str">
        <f t="shared" si="278"/>
        <v/>
      </c>
      <c r="N5855" s="76" t="str">
        <f t="shared" si="279"/>
        <v/>
      </c>
      <c r="O5855" s="33">
        <f t="shared" si="280"/>
        <v>0</v>
      </c>
    </row>
    <row r="5856" spans="1:15" x14ac:dyDescent="0.25">
      <c r="A5856" s="64" t="s">
        <v>193</v>
      </c>
      <c r="B5856" s="79" t="str">
        <f>IF('Twenty-Fourth'!B109="", "",'Twenty-Fourth'!B109)</f>
        <v/>
      </c>
      <c r="C5856" s="66" t="str">
        <f>IF('Twenty-Fourth'!C109="", "",'Twenty-Fourth'!C109)</f>
        <v/>
      </c>
      <c r="D5856" s="66" t="str">
        <f>IF('Twenty-Fourth'!D109="", "",'Twenty-Fourth'!D109)</f>
        <v/>
      </c>
      <c r="E5856" s="66" t="str">
        <f>IF('Twenty-Fourth'!E109="", "",'Twenty-Fourth'!E109)</f>
        <v/>
      </c>
      <c r="F5856" s="66" t="str">
        <f>IF('Twenty-Fourth'!F109="", "",'Twenty-Fourth'!F109)</f>
        <v/>
      </c>
      <c r="G5856" s="66" t="str">
        <f>IF('Twenty-Fourth'!G109="", "",'Twenty-Fourth'!G109)</f>
        <v/>
      </c>
      <c r="H5856" s="66" t="str">
        <f>IF('Twenty-Fourth'!H109="", "",'Twenty-Fourth'!H109)</f>
        <v/>
      </c>
      <c r="I5856" s="66" t="str">
        <f>IF('Twenty-Fourth'!I109="", "",'Twenty-Fourth'!I109)</f>
        <v/>
      </c>
      <c r="J5856" s="66" t="str">
        <f>IF('Twenty-Fourth'!J109="", "",'Twenty-Fourth'!J109)</f>
        <v/>
      </c>
      <c r="K5856" s="86" t="str">
        <f>IF('Twenty-Fourth'!K109="", "",'Twenty-Fourth'!K109)</f>
        <v/>
      </c>
      <c r="M5856" s="67" t="str">
        <f t="shared" si="278"/>
        <v/>
      </c>
      <c r="N5856" s="76" t="str">
        <f t="shared" si="279"/>
        <v/>
      </c>
      <c r="O5856" s="33">
        <f t="shared" si="280"/>
        <v>0</v>
      </c>
    </row>
    <row r="5857" spans="1:15" x14ac:dyDescent="0.25">
      <c r="A5857" s="64" t="s">
        <v>193</v>
      </c>
      <c r="B5857" s="79" t="str">
        <f>IF('Twenty-Fourth'!B110="", "",'Twenty-Fourth'!B110)</f>
        <v/>
      </c>
      <c r="C5857" s="66" t="str">
        <f>IF('Twenty-Fourth'!C110="", "",'Twenty-Fourth'!C110)</f>
        <v/>
      </c>
      <c r="D5857" s="66" t="str">
        <f>IF('Twenty-Fourth'!D110="", "",'Twenty-Fourth'!D110)</f>
        <v/>
      </c>
      <c r="E5857" s="66" t="str">
        <f>IF('Twenty-Fourth'!E110="", "",'Twenty-Fourth'!E110)</f>
        <v/>
      </c>
      <c r="F5857" s="66" t="str">
        <f>IF('Twenty-Fourth'!F110="", "",'Twenty-Fourth'!F110)</f>
        <v/>
      </c>
      <c r="G5857" s="66" t="str">
        <f>IF('Twenty-Fourth'!G110="", "",'Twenty-Fourth'!G110)</f>
        <v/>
      </c>
      <c r="H5857" s="66" t="str">
        <f>IF('Twenty-Fourth'!H110="", "",'Twenty-Fourth'!H110)</f>
        <v/>
      </c>
      <c r="I5857" s="66" t="str">
        <f>IF('Twenty-Fourth'!I110="", "",'Twenty-Fourth'!I110)</f>
        <v/>
      </c>
      <c r="J5857" s="66" t="str">
        <f>IF('Twenty-Fourth'!J110="", "",'Twenty-Fourth'!J110)</f>
        <v/>
      </c>
      <c r="K5857" s="86" t="str">
        <f>IF('Twenty-Fourth'!K110="", "",'Twenty-Fourth'!K110)</f>
        <v/>
      </c>
      <c r="M5857" s="67" t="str">
        <f t="shared" si="278"/>
        <v/>
      </c>
      <c r="N5857" s="76" t="str">
        <f t="shared" si="279"/>
        <v/>
      </c>
      <c r="O5857" s="33">
        <f t="shared" si="280"/>
        <v>0</v>
      </c>
    </row>
    <row r="5858" spans="1:15" x14ac:dyDescent="0.25">
      <c r="A5858" s="64" t="s">
        <v>193</v>
      </c>
      <c r="B5858" s="79" t="str">
        <f>IF('Twenty-Fourth'!B111="", "",'Twenty-Fourth'!B111)</f>
        <v/>
      </c>
      <c r="C5858" s="66" t="str">
        <f>IF('Twenty-Fourth'!C111="", "",'Twenty-Fourth'!C111)</f>
        <v/>
      </c>
      <c r="D5858" s="66" t="str">
        <f>IF('Twenty-Fourth'!D111="", "",'Twenty-Fourth'!D111)</f>
        <v/>
      </c>
      <c r="E5858" s="66" t="str">
        <f>IF('Twenty-Fourth'!E111="", "",'Twenty-Fourth'!E111)</f>
        <v/>
      </c>
      <c r="F5858" s="66" t="str">
        <f>IF('Twenty-Fourth'!F111="", "",'Twenty-Fourth'!F111)</f>
        <v/>
      </c>
      <c r="G5858" s="66" t="str">
        <f>IF('Twenty-Fourth'!G111="", "",'Twenty-Fourth'!G111)</f>
        <v/>
      </c>
      <c r="H5858" s="66" t="str">
        <f>IF('Twenty-Fourth'!H111="", "",'Twenty-Fourth'!H111)</f>
        <v/>
      </c>
      <c r="I5858" s="66" t="str">
        <f>IF('Twenty-Fourth'!I111="", "",'Twenty-Fourth'!I111)</f>
        <v/>
      </c>
      <c r="J5858" s="66" t="str">
        <f>IF('Twenty-Fourth'!J111="", "",'Twenty-Fourth'!J111)</f>
        <v/>
      </c>
      <c r="K5858" s="86" t="str">
        <f>IF('Twenty-Fourth'!K111="", "",'Twenty-Fourth'!K111)</f>
        <v/>
      </c>
      <c r="M5858" s="67" t="str">
        <f t="shared" si="278"/>
        <v/>
      </c>
      <c r="N5858" s="76" t="str">
        <f t="shared" si="279"/>
        <v/>
      </c>
      <c r="O5858" s="33">
        <f t="shared" si="280"/>
        <v>0</v>
      </c>
    </row>
    <row r="5859" spans="1:15" x14ac:dyDescent="0.25">
      <c r="A5859" s="64" t="s">
        <v>193</v>
      </c>
      <c r="B5859" s="79" t="str">
        <f>IF('Twenty-Fourth'!B112="", "",'Twenty-Fourth'!B112)</f>
        <v/>
      </c>
      <c r="C5859" s="66" t="str">
        <f>IF('Twenty-Fourth'!C112="", "",'Twenty-Fourth'!C112)</f>
        <v/>
      </c>
      <c r="D5859" s="66" t="str">
        <f>IF('Twenty-Fourth'!D112="", "",'Twenty-Fourth'!D112)</f>
        <v/>
      </c>
      <c r="E5859" s="66" t="str">
        <f>IF('Twenty-Fourth'!E112="", "",'Twenty-Fourth'!E112)</f>
        <v/>
      </c>
      <c r="F5859" s="66" t="str">
        <f>IF('Twenty-Fourth'!F112="", "",'Twenty-Fourth'!F112)</f>
        <v/>
      </c>
      <c r="G5859" s="66" t="str">
        <f>IF('Twenty-Fourth'!G112="", "",'Twenty-Fourth'!G112)</f>
        <v/>
      </c>
      <c r="H5859" s="66" t="str">
        <f>IF('Twenty-Fourth'!H112="", "",'Twenty-Fourth'!H112)</f>
        <v/>
      </c>
      <c r="I5859" s="66" t="str">
        <f>IF('Twenty-Fourth'!I112="", "",'Twenty-Fourth'!I112)</f>
        <v/>
      </c>
      <c r="J5859" s="66" t="str">
        <f>IF('Twenty-Fourth'!J112="", "",'Twenty-Fourth'!J112)</f>
        <v/>
      </c>
      <c r="K5859" s="86" t="str">
        <f>IF('Twenty-Fourth'!K112="", "",'Twenty-Fourth'!K112)</f>
        <v/>
      </c>
      <c r="M5859" s="67" t="str">
        <f t="shared" si="278"/>
        <v/>
      </c>
      <c r="N5859" s="76" t="str">
        <f t="shared" si="279"/>
        <v/>
      </c>
      <c r="O5859" s="33">
        <f t="shared" si="280"/>
        <v>0</v>
      </c>
    </row>
    <row r="5860" spans="1:15" x14ac:dyDescent="0.25">
      <c r="A5860" s="64" t="s">
        <v>193</v>
      </c>
      <c r="B5860" s="79" t="str">
        <f>IF('Twenty-Fourth'!B113="", "",'Twenty-Fourth'!B113)</f>
        <v/>
      </c>
      <c r="C5860" s="66" t="str">
        <f>IF('Twenty-Fourth'!C113="", "",'Twenty-Fourth'!C113)</f>
        <v/>
      </c>
      <c r="D5860" s="66" t="str">
        <f>IF('Twenty-Fourth'!D113="", "",'Twenty-Fourth'!D113)</f>
        <v/>
      </c>
      <c r="E5860" s="66" t="str">
        <f>IF('Twenty-Fourth'!E113="", "",'Twenty-Fourth'!E113)</f>
        <v/>
      </c>
      <c r="F5860" s="66" t="str">
        <f>IF('Twenty-Fourth'!F113="", "",'Twenty-Fourth'!F113)</f>
        <v/>
      </c>
      <c r="G5860" s="66" t="str">
        <f>IF('Twenty-Fourth'!G113="", "",'Twenty-Fourth'!G113)</f>
        <v/>
      </c>
      <c r="H5860" s="66" t="str">
        <f>IF('Twenty-Fourth'!H113="", "",'Twenty-Fourth'!H113)</f>
        <v/>
      </c>
      <c r="I5860" s="66" t="str">
        <f>IF('Twenty-Fourth'!I113="", "",'Twenty-Fourth'!I113)</f>
        <v/>
      </c>
      <c r="J5860" s="66" t="str">
        <f>IF('Twenty-Fourth'!J113="", "",'Twenty-Fourth'!J113)</f>
        <v/>
      </c>
      <c r="K5860" s="86" t="str">
        <f>IF('Twenty-Fourth'!K113="", "",'Twenty-Fourth'!K113)</f>
        <v/>
      </c>
      <c r="M5860" s="67" t="str">
        <f t="shared" si="278"/>
        <v/>
      </c>
      <c r="N5860" s="76" t="str">
        <f t="shared" si="279"/>
        <v/>
      </c>
      <c r="O5860" s="33">
        <f t="shared" si="280"/>
        <v>0</v>
      </c>
    </row>
    <row r="5861" spans="1:15" x14ac:dyDescent="0.25">
      <c r="A5861" s="64" t="s">
        <v>193</v>
      </c>
      <c r="B5861" s="79" t="str">
        <f>IF('Twenty-Fourth'!B114="", "",'Twenty-Fourth'!B114)</f>
        <v/>
      </c>
      <c r="C5861" s="66" t="str">
        <f>IF('Twenty-Fourth'!C114="", "",'Twenty-Fourth'!C114)</f>
        <v/>
      </c>
      <c r="D5861" s="66" t="str">
        <f>IF('Twenty-Fourth'!D114="", "",'Twenty-Fourth'!D114)</f>
        <v/>
      </c>
      <c r="E5861" s="66" t="str">
        <f>IF('Twenty-Fourth'!E114="", "",'Twenty-Fourth'!E114)</f>
        <v/>
      </c>
      <c r="F5861" s="66" t="str">
        <f>IF('Twenty-Fourth'!F114="", "",'Twenty-Fourth'!F114)</f>
        <v/>
      </c>
      <c r="G5861" s="66" t="str">
        <f>IF('Twenty-Fourth'!G114="", "",'Twenty-Fourth'!G114)</f>
        <v/>
      </c>
      <c r="H5861" s="66" t="str">
        <f>IF('Twenty-Fourth'!H114="", "",'Twenty-Fourth'!H114)</f>
        <v/>
      </c>
      <c r="I5861" s="66" t="str">
        <f>IF('Twenty-Fourth'!I114="", "",'Twenty-Fourth'!I114)</f>
        <v/>
      </c>
      <c r="J5861" s="66" t="str">
        <f>IF('Twenty-Fourth'!J114="", "",'Twenty-Fourth'!J114)</f>
        <v/>
      </c>
      <c r="K5861" s="86" t="str">
        <f>IF('Twenty-Fourth'!K114="", "",'Twenty-Fourth'!K114)</f>
        <v/>
      </c>
      <c r="M5861" s="67" t="str">
        <f t="shared" si="278"/>
        <v/>
      </c>
      <c r="N5861" s="76" t="str">
        <f t="shared" si="279"/>
        <v/>
      </c>
      <c r="O5861" s="33">
        <f t="shared" si="280"/>
        <v>0</v>
      </c>
    </row>
    <row r="5862" spans="1:15" x14ac:dyDescent="0.25">
      <c r="A5862" s="64" t="s">
        <v>193</v>
      </c>
      <c r="B5862" s="79" t="str">
        <f>IF('Twenty-Fourth'!B115="", "",'Twenty-Fourth'!B115)</f>
        <v/>
      </c>
      <c r="C5862" s="66" t="str">
        <f>IF('Twenty-Fourth'!C115="", "",'Twenty-Fourth'!C115)</f>
        <v/>
      </c>
      <c r="D5862" s="66" t="str">
        <f>IF('Twenty-Fourth'!D115="", "",'Twenty-Fourth'!D115)</f>
        <v/>
      </c>
      <c r="E5862" s="66" t="str">
        <f>IF('Twenty-Fourth'!E115="", "",'Twenty-Fourth'!E115)</f>
        <v/>
      </c>
      <c r="F5862" s="66" t="str">
        <f>IF('Twenty-Fourth'!F115="", "",'Twenty-Fourth'!F115)</f>
        <v/>
      </c>
      <c r="G5862" s="66" t="str">
        <f>IF('Twenty-Fourth'!G115="", "",'Twenty-Fourth'!G115)</f>
        <v/>
      </c>
      <c r="H5862" s="66" t="str">
        <f>IF('Twenty-Fourth'!H115="", "",'Twenty-Fourth'!H115)</f>
        <v/>
      </c>
      <c r="I5862" s="66" t="str">
        <f>IF('Twenty-Fourth'!I115="", "",'Twenty-Fourth'!I115)</f>
        <v/>
      </c>
      <c r="J5862" s="66" t="str">
        <f>IF('Twenty-Fourth'!J115="", "",'Twenty-Fourth'!J115)</f>
        <v/>
      </c>
      <c r="K5862" s="86" t="str">
        <f>IF('Twenty-Fourth'!K115="", "",'Twenty-Fourth'!K115)</f>
        <v/>
      </c>
      <c r="M5862" s="67" t="str">
        <f t="shared" si="278"/>
        <v/>
      </c>
      <c r="N5862" s="76" t="str">
        <f t="shared" si="279"/>
        <v/>
      </c>
      <c r="O5862" s="33">
        <f t="shared" si="280"/>
        <v>0</v>
      </c>
    </row>
    <row r="5863" spans="1:15" x14ac:dyDescent="0.25">
      <c r="A5863" s="64" t="s">
        <v>193</v>
      </c>
      <c r="B5863" s="79" t="str">
        <f>IF('Twenty-Fourth'!B116="", "",'Twenty-Fourth'!B116)</f>
        <v/>
      </c>
      <c r="C5863" s="66" t="str">
        <f>IF('Twenty-Fourth'!C116="", "",'Twenty-Fourth'!C116)</f>
        <v/>
      </c>
      <c r="D5863" s="66" t="str">
        <f>IF('Twenty-Fourth'!D116="", "",'Twenty-Fourth'!D116)</f>
        <v/>
      </c>
      <c r="E5863" s="66" t="str">
        <f>IF('Twenty-Fourth'!E116="", "",'Twenty-Fourth'!E116)</f>
        <v/>
      </c>
      <c r="F5863" s="66" t="str">
        <f>IF('Twenty-Fourth'!F116="", "",'Twenty-Fourth'!F116)</f>
        <v/>
      </c>
      <c r="G5863" s="66" t="str">
        <f>IF('Twenty-Fourth'!G116="", "",'Twenty-Fourth'!G116)</f>
        <v/>
      </c>
      <c r="H5863" s="66" t="str">
        <f>IF('Twenty-Fourth'!H116="", "",'Twenty-Fourth'!H116)</f>
        <v/>
      </c>
      <c r="I5863" s="66" t="str">
        <f>IF('Twenty-Fourth'!I116="", "",'Twenty-Fourth'!I116)</f>
        <v/>
      </c>
      <c r="J5863" s="66" t="str">
        <f>IF('Twenty-Fourth'!J116="", "",'Twenty-Fourth'!J116)</f>
        <v/>
      </c>
      <c r="K5863" s="86" t="str">
        <f>IF('Twenty-Fourth'!K116="", "",'Twenty-Fourth'!K116)</f>
        <v/>
      </c>
      <c r="M5863" s="67" t="str">
        <f t="shared" si="278"/>
        <v/>
      </c>
      <c r="N5863" s="76" t="str">
        <f t="shared" si="279"/>
        <v/>
      </c>
      <c r="O5863" s="33">
        <f t="shared" si="280"/>
        <v>0</v>
      </c>
    </row>
    <row r="5864" spans="1:15" x14ac:dyDescent="0.25">
      <c r="A5864" s="64" t="s">
        <v>193</v>
      </c>
      <c r="B5864" s="79" t="str">
        <f>IF('Twenty-Fourth'!B117="", "",'Twenty-Fourth'!B117)</f>
        <v/>
      </c>
      <c r="C5864" s="66" t="str">
        <f>IF('Twenty-Fourth'!C117="", "",'Twenty-Fourth'!C117)</f>
        <v/>
      </c>
      <c r="D5864" s="66" t="str">
        <f>IF('Twenty-Fourth'!D117="", "",'Twenty-Fourth'!D117)</f>
        <v/>
      </c>
      <c r="E5864" s="66" t="str">
        <f>IF('Twenty-Fourth'!E117="", "",'Twenty-Fourth'!E117)</f>
        <v/>
      </c>
      <c r="F5864" s="66" t="str">
        <f>IF('Twenty-Fourth'!F117="", "",'Twenty-Fourth'!F117)</f>
        <v/>
      </c>
      <c r="G5864" s="66" t="str">
        <f>IF('Twenty-Fourth'!G117="", "",'Twenty-Fourth'!G117)</f>
        <v/>
      </c>
      <c r="H5864" s="66" t="str">
        <f>IF('Twenty-Fourth'!H117="", "",'Twenty-Fourth'!H117)</f>
        <v/>
      </c>
      <c r="I5864" s="66" t="str">
        <f>IF('Twenty-Fourth'!I117="", "",'Twenty-Fourth'!I117)</f>
        <v/>
      </c>
      <c r="J5864" s="66" t="str">
        <f>IF('Twenty-Fourth'!J117="", "",'Twenty-Fourth'!J117)</f>
        <v/>
      </c>
      <c r="K5864" s="86" t="str">
        <f>IF('Twenty-Fourth'!K117="", "",'Twenty-Fourth'!K117)</f>
        <v/>
      </c>
      <c r="M5864" s="67" t="str">
        <f t="shared" si="278"/>
        <v/>
      </c>
      <c r="N5864" s="76" t="str">
        <f t="shared" si="279"/>
        <v/>
      </c>
      <c r="O5864" s="33">
        <f t="shared" si="280"/>
        <v>0</v>
      </c>
    </row>
    <row r="5865" spans="1:15" x14ac:dyDescent="0.25">
      <c r="A5865" s="64" t="s">
        <v>193</v>
      </c>
      <c r="B5865" s="79" t="str">
        <f>IF('Twenty-Fourth'!B118="", "",'Twenty-Fourth'!B118)</f>
        <v/>
      </c>
      <c r="C5865" s="66" t="str">
        <f>IF('Twenty-Fourth'!C118="", "",'Twenty-Fourth'!C118)</f>
        <v/>
      </c>
      <c r="D5865" s="66" t="str">
        <f>IF('Twenty-Fourth'!D118="", "",'Twenty-Fourth'!D118)</f>
        <v/>
      </c>
      <c r="E5865" s="66" t="str">
        <f>IF('Twenty-Fourth'!E118="", "",'Twenty-Fourth'!E118)</f>
        <v/>
      </c>
      <c r="F5865" s="66" t="str">
        <f>IF('Twenty-Fourth'!F118="", "",'Twenty-Fourth'!F118)</f>
        <v/>
      </c>
      <c r="G5865" s="66" t="str">
        <f>IF('Twenty-Fourth'!G118="", "",'Twenty-Fourth'!G118)</f>
        <v/>
      </c>
      <c r="H5865" s="66" t="str">
        <f>IF('Twenty-Fourth'!H118="", "",'Twenty-Fourth'!H118)</f>
        <v/>
      </c>
      <c r="I5865" s="66" t="str">
        <f>IF('Twenty-Fourth'!I118="", "",'Twenty-Fourth'!I118)</f>
        <v/>
      </c>
      <c r="J5865" s="66" t="str">
        <f>IF('Twenty-Fourth'!J118="", "",'Twenty-Fourth'!J118)</f>
        <v/>
      </c>
      <c r="K5865" s="86" t="str">
        <f>IF('Twenty-Fourth'!K118="", "",'Twenty-Fourth'!K118)</f>
        <v/>
      </c>
      <c r="M5865" s="67" t="str">
        <f t="shared" si="278"/>
        <v/>
      </c>
      <c r="N5865" s="76" t="str">
        <f t="shared" si="279"/>
        <v/>
      </c>
      <c r="O5865" s="33">
        <f t="shared" si="280"/>
        <v>0</v>
      </c>
    </row>
    <row r="5866" spans="1:15" x14ac:dyDescent="0.25">
      <c r="A5866" s="64" t="s">
        <v>193</v>
      </c>
      <c r="B5866" s="79" t="str">
        <f>IF('Twenty-Fourth'!B119="", "",'Twenty-Fourth'!B119)</f>
        <v/>
      </c>
      <c r="C5866" s="66" t="str">
        <f>IF('Twenty-Fourth'!C119="", "",'Twenty-Fourth'!C119)</f>
        <v/>
      </c>
      <c r="D5866" s="66" t="str">
        <f>IF('Twenty-Fourth'!D119="", "",'Twenty-Fourth'!D119)</f>
        <v/>
      </c>
      <c r="E5866" s="66" t="str">
        <f>IF('Twenty-Fourth'!E119="", "",'Twenty-Fourth'!E119)</f>
        <v/>
      </c>
      <c r="F5866" s="66" t="str">
        <f>IF('Twenty-Fourth'!F119="", "",'Twenty-Fourth'!F119)</f>
        <v/>
      </c>
      <c r="G5866" s="66" t="str">
        <f>IF('Twenty-Fourth'!G119="", "",'Twenty-Fourth'!G119)</f>
        <v/>
      </c>
      <c r="H5866" s="66" t="str">
        <f>IF('Twenty-Fourth'!H119="", "",'Twenty-Fourth'!H119)</f>
        <v/>
      </c>
      <c r="I5866" s="66" t="str">
        <f>IF('Twenty-Fourth'!I119="", "",'Twenty-Fourth'!I119)</f>
        <v/>
      </c>
      <c r="J5866" s="66" t="str">
        <f>IF('Twenty-Fourth'!J119="", "",'Twenty-Fourth'!J119)</f>
        <v/>
      </c>
      <c r="K5866" s="86" t="str">
        <f>IF('Twenty-Fourth'!K119="", "",'Twenty-Fourth'!K119)</f>
        <v/>
      </c>
      <c r="M5866" s="67" t="str">
        <f t="shared" si="278"/>
        <v/>
      </c>
      <c r="N5866" s="76" t="str">
        <f t="shared" si="279"/>
        <v/>
      </c>
      <c r="O5866" s="33">
        <f t="shared" si="280"/>
        <v>0</v>
      </c>
    </row>
    <row r="5867" spans="1:15" x14ac:dyDescent="0.25">
      <c r="A5867" s="64" t="s">
        <v>193</v>
      </c>
      <c r="B5867" s="79" t="str">
        <f>IF('Twenty-Fourth'!B120="", "",'Twenty-Fourth'!B120)</f>
        <v/>
      </c>
      <c r="C5867" s="66" t="str">
        <f>IF('Twenty-Fourth'!C120="", "",'Twenty-Fourth'!C120)</f>
        <v/>
      </c>
      <c r="D5867" s="66" t="str">
        <f>IF('Twenty-Fourth'!D120="", "",'Twenty-Fourth'!D120)</f>
        <v/>
      </c>
      <c r="E5867" s="66" t="str">
        <f>IF('Twenty-Fourth'!E120="", "",'Twenty-Fourth'!E120)</f>
        <v/>
      </c>
      <c r="F5867" s="66" t="str">
        <f>IF('Twenty-Fourth'!F120="", "",'Twenty-Fourth'!F120)</f>
        <v/>
      </c>
      <c r="G5867" s="66" t="str">
        <f>IF('Twenty-Fourth'!G120="", "",'Twenty-Fourth'!G120)</f>
        <v/>
      </c>
      <c r="H5867" s="66" t="str">
        <f>IF('Twenty-Fourth'!H120="", "",'Twenty-Fourth'!H120)</f>
        <v/>
      </c>
      <c r="I5867" s="66" t="str">
        <f>IF('Twenty-Fourth'!I120="", "",'Twenty-Fourth'!I120)</f>
        <v/>
      </c>
      <c r="J5867" s="66" t="str">
        <f>IF('Twenty-Fourth'!J120="", "",'Twenty-Fourth'!J120)</f>
        <v/>
      </c>
      <c r="K5867" s="86" t="str">
        <f>IF('Twenty-Fourth'!K120="", "",'Twenty-Fourth'!K120)</f>
        <v/>
      </c>
      <c r="M5867" s="67" t="str">
        <f t="shared" si="278"/>
        <v/>
      </c>
      <c r="N5867" s="76" t="str">
        <f t="shared" si="279"/>
        <v/>
      </c>
      <c r="O5867" s="33">
        <f t="shared" si="280"/>
        <v>0</v>
      </c>
    </row>
    <row r="5868" spans="1:15" x14ac:dyDescent="0.25">
      <c r="A5868" s="64" t="s">
        <v>193</v>
      </c>
      <c r="B5868" s="79" t="str">
        <f>IF('Twenty-Fourth'!B121="", "",'Twenty-Fourth'!B121)</f>
        <v/>
      </c>
      <c r="C5868" s="66" t="str">
        <f>IF('Twenty-Fourth'!C121="", "",'Twenty-Fourth'!C121)</f>
        <v/>
      </c>
      <c r="D5868" s="66" t="str">
        <f>IF('Twenty-Fourth'!D121="", "",'Twenty-Fourth'!D121)</f>
        <v/>
      </c>
      <c r="E5868" s="66" t="str">
        <f>IF('Twenty-Fourth'!E121="", "",'Twenty-Fourth'!E121)</f>
        <v/>
      </c>
      <c r="F5868" s="66" t="str">
        <f>IF('Twenty-Fourth'!F121="", "",'Twenty-Fourth'!F121)</f>
        <v/>
      </c>
      <c r="G5868" s="66" t="str">
        <f>IF('Twenty-Fourth'!G121="", "",'Twenty-Fourth'!G121)</f>
        <v/>
      </c>
      <c r="H5868" s="66" t="str">
        <f>IF('Twenty-Fourth'!H121="", "",'Twenty-Fourth'!H121)</f>
        <v/>
      </c>
      <c r="I5868" s="66" t="str">
        <f>IF('Twenty-Fourth'!I121="", "",'Twenty-Fourth'!I121)</f>
        <v/>
      </c>
      <c r="J5868" s="66" t="str">
        <f>IF('Twenty-Fourth'!J121="", "",'Twenty-Fourth'!J121)</f>
        <v/>
      </c>
      <c r="K5868" s="86" t="str">
        <f>IF('Twenty-Fourth'!K121="", "",'Twenty-Fourth'!K121)</f>
        <v/>
      </c>
      <c r="M5868" s="67" t="str">
        <f t="shared" si="278"/>
        <v/>
      </c>
      <c r="N5868" s="76" t="str">
        <f t="shared" si="279"/>
        <v/>
      </c>
      <c r="O5868" s="33">
        <f t="shared" si="280"/>
        <v>0</v>
      </c>
    </row>
    <row r="5869" spans="1:15" x14ac:dyDescent="0.25">
      <c r="A5869" s="64" t="s">
        <v>193</v>
      </c>
      <c r="B5869" s="79" t="str">
        <f>IF('Twenty-Fourth'!B122="", "",'Twenty-Fourth'!B122)</f>
        <v/>
      </c>
      <c r="C5869" s="66" t="str">
        <f>IF('Twenty-Fourth'!C122="", "",'Twenty-Fourth'!C122)</f>
        <v/>
      </c>
      <c r="D5869" s="66" t="str">
        <f>IF('Twenty-Fourth'!D122="", "",'Twenty-Fourth'!D122)</f>
        <v/>
      </c>
      <c r="E5869" s="66" t="str">
        <f>IF('Twenty-Fourth'!E122="", "",'Twenty-Fourth'!E122)</f>
        <v/>
      </c>
      <c r="F5869" s="66" t="str">
        <f>IF('Twenty-Fourth'!F122="", "",'Twenty-Fourth'!F122)</f>
        <v/>
      </c>
      <c r="G5869" s="66" t="str">
        <f>IF('Twenty-Fourth'!G122="", "",'Twenty-Fourth'!G122)</f>
        <v/>
      </c>
      <c r="H5869" s="66" t="str">
        <f>IF('Twenty-Fourth'!H122="", "",'Twenty-Fourth'!H122)</f>
        <v/>
      </c>
      <c r="I5869" s="66" t="str">
        <f>IF('Twenty-Fourth'!I122="", "",'Twenty-Fourth'!I122)</f>
        <v/>
      </c>
      <c r="J5869" s="66" t="str">
        <f>IF('Twenty-Fourth'!J122="", "",'Twenty-Fourth'!J122)</f>
        <v/>
      </c>
      <c r="K5869" s="86" t="str">
        <f>IF('Twenty-Fourth'!K122="", "",'Twenty-Fourth'!K122)</f>
        <v/>
      </c>
      <c r="M5869" s="67" t="str">
        <f t="shared" si="278"/>
        <v/>
      </c>
      <c r="N5869" s="76" t="str">
        <f t="shared" si="279"/>
        <v/>
      </c>
      <c r="O5869" s="33">
        <f t="shared" si="280"/>
        <v>0</v>
      </c>
    </row>
    <row r="5870" spans="1:15" x14ac:dyDescent="0.25">
      <c r="A5870" s="64" t="s">
        <v>193</v>
      </c>
      <c r="B5870" s="79" t="str">
        <f>IF('Twenty-Fourth'!B123="", "",'Twenty-Fourth'!B123)</f>
        <v/>
      </c>
      <c r="C5870" s="66" t="str">
        <f>IF('Twenty-Fourth'!C123="", "",'Twenty-Fourth'!C123)</f>
        <v/>
      </c>
      <c r="D5870" s="66" t="str">
        <f>IF('Twenty-Fourth'!D123="", "",'Twenty-Fourth'!D123)</f>
        <v/>
      </c>
      <c r="E5870" s="66" t="str">
        <f>IF('Twenty-Fourth'!E123="", "",'Twenty-Fourth'!E123)</f>
        <v/>
      </c>
      <c r="F5870" s="66" t="str">
        <f>IF('Twenty-Fourth'!F123="", "",'Twenty-Fourth'!F123)</f>
        <v/>
      </c>
      <c r="G5870" s="66" t="str">
        <f>IF('Twenty-Fourth'!G123="", "",'Twenty-Fourth'!G123)</f>
        <v/>
      </c>
      <c r="H5870" s="66" t="str">
        <f>IF('Twenty-Fourth'!H123="", "",'Twenty-Fourth'!H123)</f>
        <v/>
      </c>
      <c r="I5870" s="66" t="str">
        <f>IF('Twenty-Fourth'!I123="", "",'Twenty-Fourth'!I123)</f>
        <v/>
      </c>
      <c r="J5870" s="66" t="str">
        <f>IF('Twenty-Fourth'!J123="", "",'Twenty-Fourth'!J123)</f>
        <v/>
      </c>
      <c r="K5870" s="86" t="str">
        <f>IF('Twenty-Fourth'!K123="", "",'Twenty-Fourth'!K123)</f>
        <v/>
      </c>
      <c r="M5870" s="67" t="str">
        <f t="shared" si="278"/>
        <v/>
      </c>
      <c r="N5870" s="76" t="str">
        <f t="shared" si="279"/>
        <v/>
      </c>
      <c r="O5870" s="33">
        <f t="shared" si="280"/>
        <v>0</v>
      </c>
    </row>
    <row r="5871" spans="1:15" x14ac:dyDescent="0.25">
      <c r="A5871" s="64" t="s">
        <v>193</v>
      </c>
      <c r="B5871" s="79" t="str">
        <f>IF('Twenty-Fourth'!B124="", "",'Twenty-Fourth'!B124)</f>
        <v/>
      </c>
      <c r="C5871" s="66" t="str">
        <f>IF('Twenty-Fourth'!C124="", "",'Twenty-Fourth'!C124)</f>
        <v/>
      </c>
      <c r="D5871" s="66" t="str">
        <f>IF('Twenty-Fourth'!D124="", "",'Twenty-Fourth'!D124)</f>
        <v/>
      </c>
      <c r="E5871" s="66" t="str">
        <f>IF('Twenty-Fourth'!E124="", "",'Twenty-Fourth'!E124)</f>
        <v/>
      </c>
      <c r="F5871" s="66" t="str">
        <f>IF('Twenty-Fourth'!F124="", "",'Twenty-Fourth'!F124)</f>
        <v/>
      </c>
      <c r="G5871" s="66" t="str">
        <f>IF('Twenty-Fourth'!G124="", "",'Twenty-Fourth'!G124)</f>
        <v/>
      </c>
      <c r="H5871" s="66" t="str">
        <f>IF('Twenty-Fourth'!H124="", "",'Twenty-Fourth'!H124)</f>
        <v/>
      </c>
      <c r="I5871" s="66" t="str">
        <f>IF('Twenty-Fourth'!I124="", "",'Twenty-Fourth'!I124)</f>
        <v/>
      </c>
      <c r="J5871" s="66" t="str">
        <f>IF('Twenty-Fourth'!J124="", "",'Twenty-Fourth'!J124)</f>
        <v/>
      </c>
      <c r="K5871" s="86" t="str">
        <f>IF('Twenty-Fourth'!K124="", "",'Twenty-Fourth'!K124)</f>
        <v/>
      </c>
      <c r="M5871" s="67" t="str">
        <f t="shared" si="278"/>
        <v/>
      </c>
      <c r="N5871" s="76" t="str">
        <f t="shared" si="279"/>
        <v/>
      </c>
      <c r="O5871" s="33">
        <f t="shared" si="280"/>
        <v>0</v>
      </c>
    </row>
    <row r="5872" spans="1:15" x14ac:dyDescent="0.25">
      <c r="A5872" s="64" t="s">
        <v>193</v>
      </c>
      <c r="B5872" s="79" t="str">
        <f>IF('Twenty-Fourth'!B125="", "",'Twenty-Fourth'!B125)</f>
        <v/>
      </c>
      <c r="C5872" s="66" t="str">
        <f>IF('Twenty-Fourth'!C125="", "",'Twenty-Fourth'!C125)</f>
        <v/>
      </c>
      <c r="D5872" s="66" t="str">
        <f>IF('Twenty-Fourth'!D125="", "",'Twenty-Fourth'!D125)</f>
        <v/>
      </c>
      <c r="E5872" s="66" t="str">
        <f>IF('Twenty-Fourth'!E125="", "",'Twenty-Fourth'!E125)</f>
        <v/>
      </c>
      <c r="F5872" s="66" t="str">
        <f>IF('Twenty-Fourth'!F125="", "",'Twenty-Fourth'!F125)</f>
        <v/>
      </c>
      <c r="G5872" s="66" t="str">
        <f>IF('Twenty-Fourth'!G125="", "",'Twenty-Fourth'!G125)</f>
        <v/>
      </c>
      <c r="H5872" s="66" t="str">
        <f>IF('Twenty-Fourth'!H125="", "",'Twenty-Fourth'!H125)</f>
        <v/>
      </c>
      <c r="I5872" s="66" t="str">
        <f>IF('Twenty-Fourth'!I125="", "",'Twenty-Fourth'!I125)</f>
        <v/>
      </c>
      <c r="J5872" s="66" t="str">
        <f>IF('Twenty-Fourth'!J125="", "",'Twenty-Fourth'!J125)</f>
        <v/>
      </c>
      <c r="K5872" s="86" t="str">
        <f>IF('Twenty-Fourth'!K125="", "",'Twenty-Fourth'!K125)</f>
        <v/>
      </c>
      <c r="M5872" s="67" t="str">
        <f t="shared" si="278"/>
        <v/>
      </c>
      <c r="N5872" s="76" t="str">
        <f t="shared" si="279"/>
        <v/>
      </c>
      <c r="O5872" s="33">
        <f t="shared" si="280"/>
        <v>0</v>
      </c>
    </row>
    <row r="5873" spans="1:15" x14ac:dyDescent="0.25">
      <c r="A5873" s="64" t="s">
        <v>193</v>
      </c>
      <c r="B5873" s="79" t="str">
        <f>IF('Twenty-Fourth'!B126="", "",'Twenty-Fourth'!B126)</f>
        <v/>
      </c>
      <c r="C5873" s="66" t="str">
        <f>IF('Twenty-Fourth'!C126="", "",'Twenty-Fourth'!C126)</f>
        <v/>
      </c>
      <c r="D5873" s="66" t="str">
        <f>IF('Twenty-Fourth'!D126="", "",'Twenty-Fourth'!D126)</f>
        <v/>
      </c>
      <c r="E5873" s="66" t="str">
        <f>IF('Twenty-Fourth'!E126="", "",'Twenty-Fourth'!E126)</f>
        <v/>
      </c>
      <c r="F5873" s="66" t="str">
        <f>IF('Twenty-Fourth'!F126="", "",'Twenty-Fourth'!F126)</f>
        <v/>
      </c>
      <c r="G5873" s="66" t="str">
        <f>IF('Twenty-Fourth'!G126="", "",'Twenty-Fourth'!G126)</f>
        <v/>
      </c>
      <c r="H5873" s="66" t="str">
        <f>IF('Twenty-Fourth'!H126="", "",'Twenty-Fourth'!H126)</f>
        <v/>
      </c>
      <c r="I5873" s="66" t="str">
        <f>IF('Twenty-Fourth'!I126="", "",'Twenty-Fourth'!I126)</f>
        <v/>
      </c>
      <c r="J5873" s="66" t="str">
        <f>IF('Twenty-Fourth'!J126="", "",'Twenty-Fourth'!J126)</f>
        <v/>
      </c>
      <c r="K5873" s="86" t="str">
        <f>IF('Twenty-Fourth'!K126="", "",'Twenty-Fourth'!K126)</f>
        <v/>
      </c>
      <c r="M5873" s="67" t="str">
        <f t="shared" si="278"/>
        <v/>
      </c>
      <c r="N5873" s="76" t="str">
        <f t="shared" si="279"/>
        <v/>
      </c>
      <c r="O5873" s="33">
        <f t="shared" si="280"/>
        <v>0</v>
      </c>
    </row>
    <row r="5874" spans="1:15" x14ac:dyDescent="0.25">
      <c r="A5874" s="64" t="s">
        <v>193</v>
      </c>
      <c r="B5874" s="79" t="str">
        <f>IF('Twenty-Fourth'!B127="", "",'Twenty-Fourth'!B127)</f>
        <v/>
      </c>
      <c r="C5874" s="66" t="str">
        <f>IF('Twenty-Fourth'!C127="", "",'Twenty-Fourth'!C127)</f>
        <v/>
      </c>
      <c r="D5874" s="66" t="str">
        <f>IF('Twenty-Fourth'!D127="", "",'Twenty-Fourth'!D127)</f>
        <v/>
      </c>
      <c r="E5874" s="66" t="str">
        <f>IF('Twenty-Fourth'!E127="", "",'Twenty-Fourth'!E127)</f>
        <v/>
      </c>
      <c r="F5874" s="66" t="str">
        <f>IF('Twenty-Fourth'!F127="", "",'Twenty-Fourth'!F127)</f>
        <v/>
      </c>
      <c r="G5874" s="66" t="str">
        <f>IF('Twenty-Fourth'!G127="", "",'Twenty-Fourth'!G127)</f>
        <v/>
      </c>
      <c r="H5874" s="66" t="str">
        <f>IF('Twenty-Fourth'!H127="", "",'Twenty-Fourth'!H127)</f>
        <v/>
      </c>
      <c r="I5874" s="66" t="str">
        <f>IF('Twenty-Fourth'!I127="", "",'Twenty-Fourth'!I127)</f>
        <v/>
      </c>
      <c r="J5874" s="66" t="str">
        <f>IF('Twenty-Fourth'!J127="", "",'Twenty-Fourth'!J127)</f>
        <v/>
      </c>
      <c r="K5874" s="86" t="str">
        <f>IF('Twenty-Fourth'!K127="", "",'Twenty-Fourth'!K127)</f>
        <v/>
      </c>
      <c r="M5874" s="67" t="str">
        <f t="shared" si="278"/>
        <v/>
      </c>
      <c r="N5874" s="76" t="str">
        <f t="shared" si="279"/>
        <v/>
      </c>
      <c r="O5874" s="33">
        <f t="shared" si="280"/>
        <v>0</v>
      </c>
    </row>
    <row r="5875" spans="1:15" x14ac:dyDescent="0.25">
      <c r="A5875" s="64" t="s">
        <v>193</v>
      </c>
      <c r="B5875" s="79" t="str">
        <f>IF('Twenty-Fourth'!B128="", "",'Twenty-Fourth'!B128)</f>
        <v/>
      </c>
      <c r="C5875" s="66" t="str">
        <f>IF('Twenty-Fourth'!C128="", "",'Twenty-Fourth'!C128)</f>
        <v/>
      </c>
      <c r="D5875" s="66" t="str">
        <f>IF('Twenty-Fourth'!D128="", "",'Twenty-Fourth'!D128)</f>
        <v/>
      </c>
      <c r="E5875" s="66" t="str">
        <f>IF('Twenty-Fourth'!E128="", "",'Twenty-Fourth'!E128)</f>
        <v/>
      </c>
      <c r="F5875" s="66" t="str">
        <f>IF('Twenty-Fourth'!F128="", "",'Twenty-Fourth'!F128)</f>
        <v/>
      </c>
      <c r="G5875" s="66" t="str">
        <f>IF('Twenty-Fourth'!G128="", "",'Twenty-Fourth'!G128)</f>
        <v/>
      </c>
      <c r="H5875" s="66" t="str">
        <f>IF('Twenty-Fourth'!H128="", "",'Twenty-Fourth'!H128)</f>
        <v/>
      </c>
      <c r="I5875" s="66" t="str">
        <f>IF('Twenty-Fourth'!I128="", "",'Twenty-Fourth'!I128)</f>
        <v/>
      </c>
      <c r="J5875" s="66" t="str">
        <f>IF('Twenty-Fourth'!J128="", "",'Twenty-Fourth'!J128)</f>
        <v/>
      </c>
      <c r="K5875" s="86" t="str">
        <f>IF('Twenty-Fourth'!K128="", "",'Twenty-Fourth'!K128)</f>
        <v/>
      </c>
      <c r="M5875" s="67" t="str">
        <f t="shared" si="278"/>
        <v/>
      </c>
      <c r="N5875" s="76" t="str">
        <f t="shared" si="279"/>
        <v/>
      </c>
      <c r="O5875" s="33">
        <f t="shared" si="280"/>
        <v>0</v>
      </c>
    </row>
    <row r="5876" spans="1:15" x14ac:dyDescent="0.25">
      <c r="A5876" s="64" t="s">
        <v>193</v>
      </c>
      <c r="B5876" s="79" t="str">
        <f>IF('Twenty-Fourth'!B129="", "",'Twenty-Fourth'!B129)</f>
        <v/>
      </c>
      <c r="C5876" s="66" t="str">
        <f>IF('Twenty-Fourth'!C129="", "",'Twenty-Fourth'!C129)</f>
        <v/>
      </c>
      <c r="D5876" s="66" t="str">
        <f>IF('Twenty-Fourth'!D129="", "",'Twenty-Fourth'!D129)</f>
        <v/>
      </c>
      <c r="E5876" s="66" t="str">
        <f>IF('Twenty-Fourth'!E129="", "",'Twenty-Fourth'!E129)</f>
        <v/>
      </c>
      <c r="F5876" s="66" t="str">
        <f>IF('Twenty-Fourth'!F129="", "",'Twenty-Fourth'!F129)</f>
        <v/>
      </c>
      <c r="G5876" s="66" t="str">
        <f>IF('Twenty-Fourth'!G129="", "",'Twenty-Fourth'!G129)</f>
        <v/>
      </c>
      <c r="H5876" s="66" t="str">
        <f>IF('Twenty-Fourth'!H129="", "",'Twenty-Fourth'!H129)</f>
        <v/>
      </c>
      <c r="I5876" s="66" t="str">
        <f>IF('Twenty-Fourth'!I129="", "",'Twenty-Fourth'!I129)</f>
        <v/>
      </c>
      <c r="J5876" s="66" t="str">
        <f>IF('Twenty-Fourth'!J129="", "",'Twenty-Fourth'!J129)</f>
        <v/>
      </c>
      <c r="K5876" s="86" t="str">
        <f>IF('Twenty-Fourth'!K129="", "",'Twenty-Fourth'!K129)</f>
        <v/>
      </c>
      <c r="M5876" s="67" t="str">
        <f t="shared" si="278"/>
        <v/>
      </c>
      <c r="N5876" s="76" t="str">
        <f t="shared" si="279"/>
        <v/>
      </c>
      <c r="O5876" s="33">
        <f t="shared" si="280"/>
        <v>0</v>
      </c>
    </row>
    <row r="5877" spans="1:15" x14ac:dyDescent="0.25">
      <c r="A5877" s="64" t="s">
        <v>193</v>
      </c>
      <c r="B5877" s="79" t="str">
        <f>IF('Twenty-Fourth'!B130="", "",'Twenty-Fourth'!B130)</f>
        <v/>
      </c>
      <c r="C5877" s="66" t="str">
        <f>IF('Twenty-Fourth'!C130="", "",'Twenty-Fourth'!C130)</f>
        <v/>
      </c>
      <c r="D5877" s="66" t="str">
        <f>IF('Twenty-Fourth'!D130="", "",'Twenty-Fourth'!D130)</f>
        <v/>
      </c>
      <c r="E5877" s="66" t="str">
        <f>IF('Twenty-Fourth'!E130="", "",'Twenty-Fourth'!E130)</f>
        <v/>
      </c>
      <c r="F5877" s="66" t="str">
        <f>IF('Twenty-Fourth'!F130="", "",'Twenty-Fourth'!F130)</f>
        <v/>
      </c>
      <c r="G5877" s="66" t="str">
        <f>IF('Twenty-Fourth'!G130="", "",'Twenty-Fourth'!G130)</f>
        <v/>
      </c>
      <c r="H5877" s="66" t="str">
        <f>IF('Twenty-Fourth'!H130="", "",'Twenty-Fourth'!H130)</f>
        <v/>
      </c>
      <c r="I5877" s="66" t="str">
        <f>IF('Twenty-Fourth'!I130="", "",'Twenty-Fourth'!I130)</f>
        <v/>
      </c>
      <c r="J5877" s="66" t="str">
        <f>IF('Twenty-Fourth'!J130="", "",'Twenty-Fourth'!J130)</f>
        <v/>
      </c>
      <c r="K5877" s="86" t="str">
        <f>IF('Twenty-Fourth'!K130="", "",'Twenty-Fourth'!K130)</f>
        <v/>
      </c>
      <c r="M5877" s="67" t="str">
        <f t="shared" si="278"/>
        <v/>
      </c>
      <c r="N5877" s="76" t="str">
        <f t="shared" si="279"/>
        <v/>
      </c>
      <c r="O5877" s="33">
        <f t="shared" si="280"/>
        <v>0</v>
      </c>
    </row>
    <row r="5878" spans="1:15" x14ac:dyDescent="0.25">
      <c r="A5878" s="64" t="s">
        <v>193</v>
      </c>
      <c r="B5878" s="79" t="str">
        <f>IF('Twenty-Fourth'!B131="", "",'Twenty-Fourth'!B131)</f>
        <v/>
      </c>
      <c r="C5878" s="66" t="str">
        <f>IF('Twenty-Fourth'!C131="", "",'Twenty-Fourth'!C131)</f>
        <v/>
      </c>
      <c r="D5878" s="66" t="str">
        <f>IF('Twenty-Fourth'!D131="", "",'Twenty-Fourth'!D131)</f>
        <v/>
      </c>
      <c r="E5878" s="66" t="str">
        <f>IF('Twenty-Fourth'!E131="", "",'Twenty-Fourth'!E131)</f>
        <v/>
      </c>
      <c r="F5878" s="66" t="str">
        <f>IF('Twenty-Fourth'!F131="", "",'Twenty-Fourth'!F131)</f>
        <v/>
      </c>
      <c r="G5878" s="66" t="str">
        <f>IF('Twenty-Fourth'!G131="", "",'Twenty-Fourth'!G131)</f>
        <v/>
      </c>
      <c r="H5878" s="66" t="str">
        <f>IF('Twenty-Fourth'!H131="", "",'Twenty-Fourth'!H131)</f>
        <v/>
      </c>
      <c r="I5878" s="66" t="str">
        <f>IF('Twenty-Fourth'!I131="", "",'Twenty-Fourth'!I131)</f>
        <v/>
      </c>
      <c r="J5878" s="66" t="str">
        <f>IF('Twenty-Fourth'!J131="", "",'Twenty-Fourth'!J131)</f>
        <v/>
      </c>
      <c r="K5878" s="86" t="str">
        <f>IF('Twenty-Fourth'!K131="", "",'Twenty-Fourth'!K131)</f>
        <v/>
      </c>
      <c r="M5878" s="67" t="str">
        <f t="shared" si="278"/>
        <v/>
      </c>
      <c r="N5878" s="76" t="str">
        <f t="shared" si="279"/>
        <v/>
      </c>
      <c r="O5878" s="33">
        <f t="shared" si="280"/>
        <v>0</v>
      </c>
    </row>
    <row r="5879" spans="1:15" x14ac:dyDescent="0.25">
      <c r="A5879" s="64" t="s">
        <v>193</v>
      </c>
      <c r="B5879" s="79" t="str">
        <f>IF('Twenty-Fourth'!B132="", "",'Twenty-Fourth'!B132)</f>
        <v/>
      </c>
      <c r="C5879" s="66" t="str">
        <f>IF('Twenty-Fourth'!C132="", "",'Twenty-Fourth'!C132)</f>
        <v/>
      </c>
      <c r="D5879" s="66" t="str">
        <f>IF('Twenty-Fourth'!D132="", "",'Twenty-Fourth'!D132)</f>
        <v/>
      </c>
      <c r="E5879" s="66" t="str">
        <f>IF('Twenty-Fourth'!E132="", "",'Twenty-Fourth'!E132)</f>
        <v/>
      </c>
      <c r="F5879" s="66" t="str">
        <f>IF('Twenty-Fourth'!F132="", "",'Twenty-Fourth'!F132)</f>
        <v/>
      </c>
      <c r="G5879" s="66" t="str">
        <f>IF('Twenty-Fourth'!G132="", "",'Twenty-Fourth'!G132)</f>
        <v/>
      </c>
      <c r="H5879" s="66" t="str">
        <f>IF('Twenty-Fourth'!H132="", "",'Twenty-Fourth'!H132)</f>
        <v/>
      </c>
      <c r="I5879" s="66" t="str">
        <f>IF('Twenty-Fourth'!I132="", "",'Twenty-Fourth'!I132)</f>
        <v/>
      </c>
      <c r="J5879" s="66" t="str">
        <f>IF('Twenty-Fourth'!J132="", "",'Twenty-Fourth'!J132)</f>
        <v/>
      </c>
      <c r="K5879" s="86" t="str">
        <f>IF('Twenty-Fourth'!K132="", "",'Twenty-Fourth'!K132)</f>
        <v/>
      </c>
      <c r="M5879" s="67" t="str">
        <f t="shared" si="278"/>
        <v/>
      </c>
      <c r="N5879" s="76" t="str">
        <f t="shared" si="279"/>
        <v/>
      </c>
      <c r="O5879" s="33">
        <f t="shared" si="280"/>
        <v>0</v>
      </c>
    </row>
    <row r="5880" spans="1:15" x14ac:dyDescent="0.25">
      <c r="A5880" s="64" t="s">
        <v>193</v>
      </c>
      <c r="B5880" s="79" t="str">
        <f>IF('Twenty-Fourth'!B133="", "",'Twenty-Fourth'!B133)</f>
        <v/>
      </c>
      <c r="C5880" s="66" t="str">
        <f>IF('Twenty-Fourth'!C133="", "",'Twenty-Fourth'!C133)</f>
        <v/>
      </c>
      <c r="D5880" s="66" t="str">
        <f>IF('Twenty-Fourth'!D133="", "",'Twenty-Fourth'!D133)</f>
        <v/>
      </c>
      <c r="E5880" s="66" t="str">
        <f>IF('Twenty-Fourth'!E133="", "",'Twenty-Fourth'!E133)</f>
        <v/>
      </c>
      <c r="F5880" s="66" t="str">
        <f>IF('Twenty-Fourth'!F133="", "",'Twenty-Fourth'!F133)</f>
        <v/>
      </c>
      <c r="G5880" s="66" t="str">
        <f>IF('Twenty-Fourth'!G133="", "",'Twenty-Fourth'!G133)</f>
        <v/>
      </c>
      <c r="H5880" s="66" t="str">
        <f>IF('Twenty-Fourth'!H133="", "",'Twenty-Fourth'!H133)</f>
        <v/>
      </c>
      <c r="I5880" s="66" t="str">
        <f>IF('Twenty-Fourth'!I133="", "",'Twenty-Fourth'!I133)</f>
        <v/>
      </c>
      <c r="J5880" s="66" t="str">
        <f>IF('Twenty-Fourth'!J133="", "",'Twenty-Fourth'!J133)</f>
        <v/>
      </c>
      <c r="K5880" s="86" t="str">
        <f>IF('Twenty-Fourth'!K133="", "",'Twenty-Fourth'!K133)</f>
        <v/>
      </c>
      <c r="M5880" s="67" t="str">
        <f t="shared" si="278"/>
        <v/>
      </c>
      <c r="N5880" s="76" t="str">
        <f t="shared" si="279"/>
        <v/>
      </c>
      <c r="O5880" s="33">
        <f t="shared" si="280"/>
        <v>0</v>
      </c>
    </row>
    <row r="5881" spans="1:15" x14ac:dyDescent="0.25">
      <c r="A5881" s="64" t="s">
        <v>193</v>
      </c>
      <c r="B5881" s="79" t="str">
        <f>IF('Twenty-Fourth'!B134="", "",'Twenty-Fourth'!B134)</f>
        <v/>
      </c>
      <c r="C5881" s="66" t="str">
        <f>IF('Twenty-Fourth'!C134="", "",'Twenty-Fourth'!C134)</f>
        <v/>
      </c>
      <c r="D5881" s="66" t="str">
        <f>IF('Twenty-Fourth'!D134="", "",'Twenty-Fourth'!D134)</f>
        <v/>
      </c>
      <c r="E5881" s="66" t="str">
        <f>IF('Twenty-Fourth'!E134="", "",'Twenty-Fourth'!E134)</f>
        <v/>
      </c>
      <c r="F5881" s="66" t="str">
        <f>IF('Twenty-Fourth'!F134="", "",'Twenty-Fourth'!F134)</f>
        <v/>
      </c>
      <c r="G5881" s="66" t="str">
        <f>IF('Twenty-Fourth'!G134="", "",'Twenty-Fourth'!G134)</f>
        <v/>
      </c>
      <c r="H5881" s="66" t="str">
        <f>IF('Twenty-Fourth'!H134="", "",'Twenty-Fourth'!H134)</f>
        <v/>
      </c>
      <c r="I5881" s="66" t="str">
        <f>IF('Twenty-Fourth'!I134="", "",'Twenty-Fourth'!I134)</f>
        <v/>
      </c>
      <c r="J5881" s="66" t="str">
        <f>IF('Twenty-Fourth'!J134="", "",'Twenty-Fourth'!J134)</f>
        <v/>
      </c>
      <c r="K5881" s="86" t="str">
        <f>IF('Twenty-Fourth'!K134="", "",'Twenty-Fourth'!K134)</f>
        <v/>
      </c>
      <c r="M5881" s="67" t="str">
        <f t="shared" si="278"/>
        <v/>
      </c>
      <c r="N5881" s="76" t="str">
        <f t="shared" si="279"/>
        <v/>
      </c>
      <c r="O5881" s="33">
        <f t="shared" si="280"/>
        <v>0</v>
      </c>
    </row>
    <row r="5882" spans="1:15" x14ac:dyDescent="0.25">
      <c r="A5882" s="64" t="s">
        <v>193</v>
      </c>
      <c r="B5882" s="79" t="str">
        <f>IF('Twenty-Fourth'!B135="", "",'Twenty-Fourth'!B135)</f>
        <v/>
      </c>
      <c r="C5882" s="66" t="str">
        <f>IF('Twenty-Fourth'!C135="", "",'Twenty-Fourth'!C135)</f>
        <v/>
      </c>
      <c r="D5882" s="66" t="str">
        <f>IF('Twenty-Fourth'!D135="", "",'Twenty-Fourth'!D135)</f>
        <v/>
      </c>
      <c r="E5882" s="66" t="str">
        <f>IF('Twenty-Fourth'!E135="", "",'Twenty-Fourth'!E135)</f>
        <v/>
      </c>
      <c r="F5882" s="66" t="str">
        <f>IF('Twenty-Fourth'!F135="", "",'Twenty-Fourth'!F135)</f>
        <v/>
      </c>
      <c r="G5882" s="66" t="str">
        <f>IF('Twenty-Fourth'!G135="", "",'Twenty-Fourth'!G135)</f>
        <v/>
      </c>
      <c r="H5882" s="66" t="str">
        <f>IF('Twenty-Fourth'!H135="", "",'Twenty-Fourth'!H135)</f>
        <v/>
      </c>
      <c r="I5882" s="66" t="str">
        <f>IF('Twenty-Fourth'!I135="", "",'Twenty-Fourth'!I135)</f>
        <v/>
      </c>
      <c r="J5882" s="66" t="str">
        <f>IF('Twenty-Fourth'!J135="", "",'Twenty-Fourth'!J135)</f>
        <v/>
      </c>
      <c r="K5882" s="86" t="str">
        <f>IF('Twenty-Fourth'!K135="", "",'Twenty-Fourth'!K135)</f>
        <v/>
      </c>
      <c r="M5882" s="67" t="str">
        <f t="shared" si="278"/>
        <v/>
      </c>
      <c r="N5882" s="76" t="str">
        <f t="shared" si="279"/>
        <v/>
      </c>
      <c r="O5882" s="33">
        <f t="shared" si="280"/>
        <v>0</v>
      </c>
    </row>
    <row r="5883" spans="1:15" x14ac:dyDescent="0.25">
      <c r="A5883" s="64" t="s">
        <v>193</v>
      </c>
      <c r="B5883" s="79" t="str">
        <f>IF('Twenty-Fourth'!B136="", "",'Twenty-Fourth'!B136)</f>
        <v/>
      </c>
      <c r="C5883" s="66" t="str">
        <f>IF('Twenty-Fourth'!C136="", "",'Twenty-Fourth'!C136)</f>
        <v/>
      </c>
      <c r="D5883" s="66" t="str">
        <f>IF('Twenty-Fourth'!D136="", "",'Twenty-Fourth'!D136)</f>
        <v/>
      </c>
      <c r="E5883" s="66" t="str">
        <f>IF('Twenty-Fourth'!E136="", "",'Twenty-Fourth'!E136)</f>
        <v/>
      </c>
      <c r="F5883" s="66" t="str">
        <f>IF('Twenty-Fourth'!F136="", "",'Twenty-Fourth'!F136)</f>
        <v/>
      </c>
      <c r="G5883" s="66" t="str">
        <f>IF('Twenty-Fourth'!G136="", "",'Twenty-Fourth'!G136)</f>
        <v/>
      </c>
      <c r="H5883" s="66" t="str">
        <f>IF('Twenty-Fourth'!H136="", "",'Twenty-Fourth'!H136)</f>
        <v/>
      </c>
      <c r="I5883" s="66" t="str">
        <f>IF('Twenty-Fourth'!I136="", "",'Twenty-Fourth'!I136)</f>
        <v/>
      </c>
      <c r="J5883" s="66" t="str">
        <f>IF('Twenty-Fourth'!J136="", "",'Twenty-Fourth'!J136)</f>
        <v/>
      </c>
      <c r="K5883" s="86" t="str">
        <f>IF('Twenty-Fourth'!K136="", "",'Twenty-Fourth'!K136)</f>
        <v/>
      </c>
      <c r="M5883" s="67" t="str">
        <f t="shared" si="278"/>
        <v/>
      </c>
      <c r="N5883" s="76" t="str">
        <f t="shared" si="279"/>
        <v/>
      </c>
      <c r="O5883" s="33">
        <f t="shared" si="280"/>
        <v>0</v>
      </c>
    </row>
    <row r="5884" spans="1:15" x14ac:dyDescent="0.25">
      <c r="A5884" s="64" t="s">
        <v>193</v>
      </c>
      <c r="B5884" s="79" t="str">
        <f>IF('Twenty-Fourth'!B137="", "",'Twenty-Fourth'!B137)</f>
        <v/>
      </c>
      <c r="C5884" s="66" t="str">
        <f>IF('Twenty-Fourth'!C137="", "",'Twenty-Fourth'!C137)</f>
        <v/>
      </c>
      <c r="D5884" s="66" t="str">
        <f>IF('Twenty-Fourth'!D137="", "",'Twenty-Fourth'!D137)</f>
        <v/>
      </c>
      <c r="E5884" s="66" t="str">
        <f>IF('Twenty-Fourth'!E137="", "",'Twenty-Fourth'!E137)</f>
        <v/>
      </c>
      <c r="F5884" s="66" t="str">
        <f>IF('Twenty-Fourth'!F137="", "",'Twenty-Fourth'!F137)</f>
        <v/>
      </c>
      <c r="G5884" s="66" t="str">
        <f>IF('Twenty-Fourth'!G137="", "",'Twenty-Fourth'!G137)</f>
        <v/>
      </c>
      <c r="H5884" s="66" t="str">
        <f>IF('Twenty-Fourth'!H137="", "",'Twenty-Fourth'!H137)</f>
        <v/>
      </c>
      <c r="I5884" s="66" t="str">
        <f>IF('Twenty-Fourth'!I137="", "",'Twenty-Fourth'!I137)</f>
        <v/>
      </c>
      <c r="J5884" s="66" t="str">
        <f>IF('Twenty-Fourth'!J137="", "",'Twenty-Fourth'!J137)</f>
        <v/>
      </c>
      <c r="K5884" s="86" t="str">
        <f>IF('Twenty-Fourth'!K137="", "",'Twenty-Fourth'!K137)</f>
        <v/>
      </c>
      <c r="M5884" s="67" t="str">
        <f t="shared" si="278"/>
        <v/>
      </c>
      <c r="N5884" s="76" t="str">
        <f t="shared" si="279"/>
        <v/>
      </c>
      <c r="O5884" s="33">
        <f t="shared" si="280"/>
        <v>0</v>
      </c>
    </row>
    <row r="5885" spans="1:15" x14ac:dyDescent="0.25">
      <c r="A5885" s="64" t="s">
        <v>193</v>
      </c>
      <c r="B5885" s="79" t="str">
        <f>IF('Twenty-Fourth'!B138="", "",'Twenty-Fourth'!B138)</f>
        <v/>
      </c>
      <c r="C5885" s="66" t="str">
        <f>IF('Twenty-Fourth'!C138="", "",'Twenty-Fourth'!C138)</f>
        <v/>
      </c>
      <c r="D5885" s="66" t="str">
        <f>IF('Twenty-Fourth'!D138="", "",'Twenty-Fourth'!D138)</f>
        <v/>
      </c>
      <c r="E5885" s="66" t="str">
        <f>IF('Twenty-Fourth'!E138="", "",'Twenty-Fourth'!E138)</f>
        <v/>
      </c>
      <c r="F5885" s="66" t="str">
        <f>IF('Twenty-Fourth'!F138="", "",'Twenty-Fourth'!F138)</f>
        <v/>
      </c>
      <c r="G5885" s="66" t="str">
        <f>IF('Twenty-Fourth'!G138="", "",'Twenty-Fourth'!G138)</f>
        <v/>
      </c>
      <c r="H5885" s="66" t="str">
        <f>IF('Twenty-Fourth'!H138="", "",'Twenty-Fourth'!H138)</f>
        <v/>
      </c>
      <c r="I5885" s="66" t="str">
        <f>IF('Twenty-Fourth'!I138="", "",'Twenty-Fourth'!I138)</f>
        <v/>
      </c>
      <c r="J5885" s="66" t="str">
        <f>IF('Twenty-Fourth'!J138="", "",'Twenty-Fourth'!J138)</f>
        <v/>
      </c>
      <c r="K5885" s="86" t="str">
        <f>IF('Twenty-Fourth'!K138="", "",'Twenty-Fourth'!K138)</f>
        <v/>
      </c>
      <c r="M5885" s="67" t="str">
        <f t="shared" si="278"/>
        <v/>
      </c>
      <c r="N5885" s="76" t="str">
        <f t="shared" si="279"/>
        <v/>
      </c>
      <c r="O5885" s="33">
        <f t="shared" si="280"/>
        <v>0</v>
      </c>
    </row>
    <row r="5886" spans="1:15" x14ac:dyDescent="0.25">
      <c r="A5886" s="64" t="s">
        <v>193</v>
      </c>
      <c r="B5886" s="79" t="str">
        <f>IF('Twenty-Fourth'!B139="", "",'Twenty-Fourth'!B139)</f>
        <v/>
      </c>
      <c r="C5886" s="66" t="str">
        <f>IF('Twenty-Fourth'!C139="", "",'Twenty-Fourth'!C139)</f>
        <v/>
      </c>
      <c r="D5886" s="66" t="str">
        <f>IF('Twenty-Fourth'!D139="", "",'Twenty-Fourth'!D139)</f>
        <v/>
      </c>
      <c r="E5886" s="66" t="str">
        <f>IF('Twenty-Fourth'!E139="", "",'Twenty-Fourth'!E139)</f>
        <v/>
      </c>
      <c r="F5886" s="66" t="str">
        <f>IF('Twenty-Fourth'!F139="", "",'Twenty-Fourth'!F139)</f>
        <v/>
      </c>
      <c r="G5886" s="66" t="str">
        <f>IF('Twenty-Fourth'!G139="", "",'Twenty-Fourth'!G139)</f>
        <v/>
      </c>
      <c r="H5886" s="66" t="str">
        <f>IF('Twenty-Fourth'!H139="", "",'Twenty-Fourth'!H139)</f>
        <v/>
      </c>
      <c r="I5886" s="66" t="str">
        <f>IF('Twenty-Fourth'!I139="", "",'Twenty-Fourth'!I139)</f>
        <v/>
      </c>
      <c r="J5886" s="66" t="str">
        <f>IF('Twenty-Fourth'!J139="", "",'Twenty-Fourth'!J139)</f>
        <v/>
      </c>
      <c r="K5886" s="86" t="str">
        <f>IF('Twenty-Fourth'!K139="", "",'Twenty-Fourth'!K139)</f>
        <v/>
      </c>
      <c r="M5886" s="67" t="str">
        <f t="shared" si="278"/>
        <v/>
      </c>
      <c r="N5886" s="76" t="str">
        <f t="shared" si="279"/>
        <v/>
      </c>
      <c r="O5886" s="33">
        <f t="shared" si="280"/>
        <v>0</v>
      </c>
    </row>
    <row r="5887" spans="1:15" x14ac:dyDescent="0.25">
      <c r="A5887" s="64" t="s">
        <v>193</v>
      </c>
      <c r="B5887" s="79" t="str">
        <f>IF('Twenty-Fourth'!B140="", "",'Twenty-Fourth'!B140)</f>
        <v/>
      </c>
      <c r="C5887" s="66" t="str">
        <f>IF('Twenty-Fourth'!C140="", "",'Twenty-Fourth'!C140)</f>
        <v/>
      </c>
      <c r="D5887" s="66" t="str">
        <f>IF('Twenty-Fourth'!D140="", "",'Twenty-Fourth'!D140)</f>
        <v/>
      </c>
      <c r="E5887" s="66" t="str">
        <f>IF('Twenty-Fourth'!E140="", "",'Twenty-Fourth'!E140)</f>
        <v/>
      </c>
      <c r="F5887" s="66" t="str">
        <f>IF('Twenty-Fourth'!F140="", "",'Twenty-Fourth'!F140)</f>
        <v/>
      </c>
      <c r="G5887" s="66" t="str">
        <f>IF('Twenty-Fourth'!G140="", "",'Twenty-Fourth'!G140)</f>
        <v/>
      </c>
      <c r="H5887" s="66" t="str">
        <f>IF('Twenty-Fourth'!H140="", "",'Twenty-Fourth'!H140)</f>
        <v/>
      </c>
      <c r="I5887" s="66" t="str">
        <f>IF('Twenty-Fourth'!I140="", "",'Twenty-Fourth'!I140)</f>
        <v/>
      </c>
      <c r="J5887" s="66" t="str">
        <f>IF('Twenty-Fourth'!J140="", "",'Twenty-Fourth'!J140)</f>
        <v/>
      </c>
      <c r="K5887" s="86" t="str">
        <f>IF('Twenty-Fourth'!K140="", "",'Twenty-Fourth'!K140)</f>
        <v/>
      </c>
      <c r="M5887" s="67" t="str">
        <f t="shared" ref="M5887:M5950" si="281">IF(C5887="PwC",(7-COUNTIF(B5887:H5887,"")),"")</f>
        <v/>
      </c>
      <c r="N5887" s="76" t="str">
        <f t="shared" ref="N5887:N5950" si="282">IF(C5887="Carer",(7-COUNTIF(B5887:H5887,"")),"")</f>
        <v/>
      </c>
      <c r="O5887" s="33">
        <f t="shared" si="280"/>
        <v>0</v>
      </c>
    </row>
    <row r="5888" spans="1:15" x14ac:dyDescent="0.25">
      <c r="A5888" s="64" t="s">
        <v>193</v>
      </c>
      <c r="B5888" s="79" t="str">
        <f>IF('Twenty-Fourth'!B141="", "",'Twenty-Fourth'!B141)</f>
        <v/>
      </c>
      <c r="C5888" s="66" t="str">
        <f>IF('Twenty-Fourth'!C141="", "",'Twenty-Fourth'!C141)</f>
        <v/>
      </c>
      <c r="D5888" s="66" t="str">
        <f>IF('Twenty-Fourth'!D141="", "",'Twenty-Fourth'!D141)</f>
        <v/>
      </c>
      <c r="E5888" s="66" t="str">
        <f>IF('Twenty-Fourth'!E141="", "",'Twenty-Fourth'!E141)</f>
        <v/>
      </c>
      <c r="F5888" s="66" t="str">
        <f>IF('Twenty-Fourth'!F141="", "",'Twenty-Fourth'!F141)</f>
        <v/>
      </c>
      <c r="G5888" s="66" t="str">
        <f>IF('Twenty-Fourth'!G141="", "",'Twenty-Fourth'!G141)</f>
        <v/>
      </c>
      <c r="H5888" s="66" t="str">
        <f>IF('Twenty-Fourth'!H141="", "",'Twenty-Fourth'!H141)</f>
        <v/>
      </c>
      <c r="I5888" s="66" t="str">
        <f>IF('Twenty-Fourth'!I141="", "",'Twenty-Fourth'!I141)</f>
        <v/>
      </c>
      <c r="J5888" s="66" t="str">
        <f>IF('Twenty-Fourth'!J141="", "",'Twenty-Fourth'!J141)</f>
        <v/>
      </c>
      <c r="K5888" s="86" t="str">
        <f>IF('Twenty-Fourth'!K141="", "",'Twenty-Fourth'!K141)</f>
        <v/>
      </c>
      <c r="M5888" s="67" t="str">
        <f t="shared" si="281"/>
        <v/>
      </c>
      <c r="N5888" s="76" t="str">
        <f t="shared" si="282"/>
        <v/>
      </c>
      <c r="O5888" s="33">
        <f t="shared" si="280"/>
        <v>0</v>
      </c>
    </row>
    <row r="5889" spans="1:15" x14ac:dyDescent="0.25">
      <c r="A5889" s="64" t="s">
        <v>193</v>
      </c>
      <c r="B5889" s="79" t="str">
        <f>IF('Twenty-Fourth'!B142="", "",'Twenty-Fourth'!B142)</f>
        <v/>
      </c>
      <c r="C5889" s="66" t="str">
        <f>IF('Twenty-Fourth'!C142="", "",'Twenty-Fourth'!C142)</f>
        <v/>
      </c>
      <c r="D5889" s="66" t="str">
        <f>IF('Twenty-Fourth'!D142="", "",'Twenty-Fourth'!D142)</f>
        <v/>
      </c>
      <c r="E5889" s="66" t="str">
        <f>IF('Twenty-Fourth'!E142="", "",'Twenty-Fourth'!E142)</f>
        <v/>
      </c>
      <c r="F5889" s="66" t="str">
        <f>IF('Twenty-Fourth'!F142="", "",'Twenty-Fourth'!F142)</f>
        <v/>
      </c>
      <c r="G5889" s="66" t="str">
        <f>IF('Twenty-Fourth'!G142="", "",'Twenty-Fourth'!G142)</f>
        <v/>
      </c>
      <c r="H5889" s="66" t="str">
        <f>IF('Twenty-Fourth'!H142="", "",'Twenty-Fourth'!H142)</f>
        <v/>
      </c>
      <c r="I5889" s="66" t="str">
        <f>IF('Twenty-Fourth'!I142="", "",'Twenty-Fourth'!I142)</f>
        <v/>
      </c>
      <c r="J5889" s="66" t="str">
        <f>IF('Twenty-Fourth'!J142="", "",'Twenty-Fourth'!J142)</f>
        <v/>
      </c>
      <c r="K5889" s="86" t="str">
        <f>IF('Twenty-Fourth'!K142="", "",'Twenty-Fourth'!K142)</f>
        <v/>
      </c>
      <c r="M5889" s="67" t="str">
        <f t="shared" si="281"/>
        <v/>
      </c>
      <c r="N5889" s="76" t="str">
        <f t="shared" si="282"/>
        <v/>
      </c>
      <c r="O5889" s="33">
        <f t="shared" si="280"/>
        <v>0</v>
      </c>
    </row>
    <row r="5890" spans="1:15" x14ac:dyDescent="0.25">
      <c r="A5890" s="64" t="s">
        <v>193</v>
      </c>
      <c r="B5890" s="79" t="str">
        <f>IF('Twenty-Fourth'!B143="", "",'Twenty-Fourth'!B143)</f>
        <v/>
      </c>
      <c r="C5890" s="66" t="str">
        <f>IF('Twenty-Fourth'!C143="", "",'Twenty-Fourth'!C143)</f>
        <v/>
      </c>
      <c r="D5890" s="66" t="str">
        <f>IF('Twenty-Fourth'!D143="", "",'Twenty-Fourth'!D143)</f>
        <v/>
      </c>
      <c r="E5890" s="66" t="str">
        <f>IF('Twenty-Fourth'!E143="", "",'Twenty-Fourth'!E143)</f>
        <v/>
      </c>
      <c r="F5890" s="66" t="str">
        <f>IF('Twenty-Fourth'!F143="", "",'Twenty-Fourth'!F143)</f>
        <v/>
      </c>
      <c r="G5890" s="66" t="str">
        <f>IF('Twenty-Fourth'!G143="", "",'Twenty-Fourth'!G143)</f>
        <v/>
      </c>
      <c r="H5890" s="66" t="str">
        <f>IF('Twenty-Fourth'!H143="", "",'Twenty-Fourth'!H143)</f>
        <v/>
      </c>
      <c r="I5890" s="66" t="str">
        <f>IF('Twenty-Fourth'!I143="", "",'Twenty-Fourth'!I143)</f>
        <v/>
      </c>
      <c r="J5890" s="66" t="str">
        <f>IF('Twenty-Fourth'!J143="", "",'Twenty-Fourth'!J143)</f>
        <v/>
      </c>
      <c r="K5890" s="86" t="str">
        <f>IF('Twenty-Fourth'!K143="", "",'Twenty-Fourth'!K143)</f>
        <v/>
      </c>
      <c r="M5890" s="67" t="str">
        <f t="shared" si="281"/>
        <v/>
      </c>
      <c r="N5890" s="76" t="str">
        <f t="shared" si="282"/>
        <v/>
      </c>
      <c r="O5890" s="33">
        <f t="shared" si="280"/>
        <v>0</v>
      </c>
    </row>
    <row r="5891" spans="1:15" x14ac:dyDescent="0.25">
      <c r="A5891" s="64" t="s">
        <v>193</v>
      </c>
      <c r="B5891" s="79" t="str">
        <f>IF('Twenty-Fourth'!B144="", "",'Twenty-Fourth'!B144)</f>
        <v/>
      </c>
      <c r="C5891" s="66" t="str">
        <f>IF('Twenty-Fourth'!C144="", "",'Twenty-Fourth'!C144)</f>
        <v/>
      </c>
      <c r="D5891" s="66" t="str">
        <f>IF('Twenty-Fourth'!D144="", "",'Twenty-Fourth'!D144)</f>
        <v/>
      </c>
      <c r="E5891" s="66" t="str">
        <f>IF('Twenty-Fourth'!E144="", "",'Twenty-Fourth'!E144)</f>
        <v/>
      </c>
      <c r="F5891" s="66" t="str">
        <f>IF('Twenty-Fourth'!F144="", "",'Twenty-Fourth'!F144)</f>
        <v/>
      </c>
      <c r="G5891" s="66" t="str">
        <f>IF('Twenty-Fourth'!G144="", "",'Twenty-Fourth'!G144)</f>
        <v/>
      </c>
      <c r="H5891" s="66" t="str">
        <f>IF('Twenty-Fourth'!H144="", "",'Twenty-Fourth'!H144)</f>
        <v/>
      </c>
      <c r="I5891" s="66" t="str">
        <f>IF('Twenty-Fourth'!I144="", "",'Twenty-Fourth'!I144)</f>
        <v/>
      </c>
      <c r="J5891" s="66" t="str">
        <f>IF('Twenty-Fourth'!J144="", "",'Twenty-Fourth'!J144)</f>
        <v/>
      </c>
      <c r="K5891" s="86" t="str">
        <f>IF('Twenty-Fourth'!K144="", "",'Twenty-Fourth'!K144)</f>
        <v/>
      </c>
      <c r="M5891" s="67" t="str">
        <f t="shared" si="281"/>
        <v/>
      </c>
      <c r="N5891" s="76" t="str">
        <f t="shared" si="282"/>
        <v/>
      </c>
      <c r="O5891" s="33">
        <f t="shared" si="280"/>
        <v>0</v>
      </c>
    </row>
    <row r="5892" spans="1:15" x14ac:dyDescent="0.25">
      <c r="A5892" s="64" t="s">
        <v>193</v>
      </c>
      <c r="B5892" s="79" t="str">
        <f>IF('Twenty-Fourth'!B145="", "",'Twenty-Fourth'!B145)</f>
        <v/>
      </c>
      <c r="C5892" s="66" t="str">
        <f>IF('Twenty-Fourth'!C145="", "",'Twenty-Fourth'!C145)</f>
        <v/>
      </c>
      <c r="D5892" s="66" t="str">
        <f>IF('Twenty-Fourth'!D145="", "",'Twenty-Fourth'!D145)</f>
        <v/>
      </c>
      <c r="E5892" s="66" t="str">
        <f>IF('Twenty-Fourth'!E145="", "",'Twenty-Fourth'!E145)</f>
        <v/>
      </c>
      <c r="F5892" s="66" t="str">
        <f>IF('Twenty-Fourth'!F145="", "",'Twenty-Fourth'!F145)</f>
        <v/>
      </c>
      <c r="G5892" s="66" t="str">
        <f>IF('Twenty-Fourth'!G145="", "",'Twenty-Fourth'!G145)</f>
        <v/>
      </c>
      <c r="H5892" s="66" t="str">
        <f>IF('Twenty-Fourth'!H145="", "",'Twenty-Fourth'!H145)</f>
        <v/>
      </c>
      <c r="I5892" s="66" t="str">
        <f>IF('Twenty-Fourth'!I145="", "",'Twenty-Fourth'!I145)</f>
        <v/>
      </c>
      <c r="J5892" s="66" t="str">
        <f>IF('Twenty-Fourth'!J145="", "",'Twenty-Fourth'!J145)</f>
        <v/>
      </c>
      <c r="K5892" s="86" t="str">
        <f>IF('Twenty-Fourth'!K145="", "",'Twenty-Fourth'!K145)</f>
        <v/>
      </c>
      <c r="M5892" s="67" t="str">
        <f t="shared" si="281"/>
        <v/>
      </c>
      <c r="N5892" s="76" t="str">
        <f t="shared" si="282"/>
        <v/>
      </c>
      <c r="O5892" s="33">
        <f t="shared" si="280"/>
        <v>0</v>
      </c>
    </row>
    <row r="5893" spans="1:15" x14ac:dyDescent="0.25">
      <c r="A5893" s="64" t="s">
        <v>193</v>
      </c>
      <c r="B5893" s="79" t="str">
        <f>IF('Twenty-Fourth'!B146="", "",'Twenty-Fourth'!B146)</f>
        <v/>
      </c>
      <c r="C5893" s="66" t="str">
        <f>IF('Twenty-Fourth'!C146="", "",'Twenty-Fourth'!C146)</f>
        <v/>
      </c>
      <c r="D5893" s="66" t="str">
        <f>IF('Twenty-Fourth'!D146="", "",'Twenty-Fourth'!D146)</f>
        <v/>
      </c>
      <c r="E5893" s="66" t="str">
        <f>IF('Twenty-Fourth'!E146="", "",'Twenty-Fourth'!E146)</f>
        <v/>
      </c>
      <c r="F5893" s="66" t="str">
        <f>IF('Twenty-Fourth'!F146="", "",'Twenty-Fourth'!F146)</f>
        <v/>
      </c>
      <c r="G5893" s="66" t="str">
        <f>IF('Twenty-Fourth'!G146="", "",'Twenty-Fourth'!G146)</f>
        <v/>
      </c>
      <c r="H5893" s="66" t="str">
        <f>IF('Twenty-Fourth'!H146="", "",'Twenty-Fourth'!H146)</f>
        <v/>
      </c>
      <c r="I5893" s="66" t="str">
        <f>IF('Twenty-Fourth'!I146="", "",'Twenty-Fourth'!I146)</f>
        <v/>
      </c>
      <c r="J5893" s="66" t="str">
        <f>IF('Twenty-Fourth'!J146="", "",'Twenty-Fourth'!J146)</f>
        <v/>
      </c>
      <c r="K5893" s="86" t="str">
        <f>IF('Twenty-Fourth'!K146="", "",'Twenty-Fourth'!K146)</f>
        <v/>
      </c>
      <c r="M5893" s="67" t="str">
        <f t="shared" si="281"/>
        <v/>
      </c>
      <c r="N5893" s="76" t="str">
        <f t="shared" si="282"/>
        <v/>
      </c>
      <c r="O5893" s="33">
        <f t="shared" si="280"/>
        <v>0</v>
      </c>
    </row>
    <row r="5894" spans="1:15" x14ac:dyDescent="0.25">
      <c r="A5894" s="64" t="s">
        <v>193</v>
      </c>
      <c r="B5894" s="79" t="str">
        <f>IF('Twenty-Fourth'!B147="", "",'Twenty-Fourth'!B147)</f>
        <v/>
      </c>
      <c r="C5894" s="66" t="str">
        <f>IF('Twenty-Fourth'!C147="", "",'Twenty-Fourth'!C147)</f>
        <v/>
      </c>
      <c r="D5894" s="66" t="str">
        <f>IF('Twenty-Fourth'!D147="", "",'Twenty-Fourth'!D147)</f>
        <v/>
      </c>
      <c r="E5894" s="66" t="str">
        <f>IF('Twenty-Fourth'!E147="", "",'Twenty-Fourth'!E147)</f>
        <v/>
      </c>
      <c r="F5894" s="66" t="str">
        <f>IF('Twenty-Fourth'!F147="", "",'Twenty-Fourth'!F147)</f>
        <v/>
      </c>
      <c r="G5894" s="66" t="str">
        <f>IF('Twenty-Fourth'!G147="", "",'Twenty-Fourth'!G147)</f>
        <v/>
      </c>
      <c r="H5894" s="66" t="str">
        <f>IF('Twenty-Fourth'!H147="", "",'Twenty-Fourth'!H147)</f>
        <v/>
      </c>
      <c r="I5894" s="66" t="str">
        <f>IF('Twenty-Fourth'!I147="", "",'Twenty-Fourth'!I147)</f>
        <v/>
      </c>
      <c r="J5894" s="66" t="str">
        <f>IF('Twenty-Fourth'!J147="", "",'Twenty-Fourth'!J147)</f>
        <v/>
      </c>
      <c r="K5894" s="86" t="str">
        <f>IF('Twenty-Fourth'!K147="", "",'Twenty-Fourth'!K147)</f>
        <v/>
      </c>
      <c r="M5894" s="67" t="str">
        <f t="shared" si="281"/>
        <v/>
      </c>
      <c r="N5894" s="76" t="str">
        <f t="shared" si="282"/>
        <v/>
      </c>
      <c r="O5894" s="33">
        <f t="shared" si="280"/>
        <v>0</v>
      </c>
    </row>
    <row r="5895" spans="1:15" x14ac:dyDescent="0.25">
      <c r="A5895" s="64" t="s">
        <v>193</v>
      </c>
      <c r="B5895" s="79" t="str">
        <f>IF('Twenty-Fourth'!B148="", "",'Twenty-Fourth'!B148)</f>
        <v/>
      </c>
      <c r="C5895" s="66" t="str">
        <f>IF('Twenty-Fourth'!C148="", "",'Twenty-Fourth'!C148)</f>
        <v/>
      </c>
      <c r="D5895" s="66" t="str">
        <f>IF('Twenty-Fourth'!D148="", "",'Twenty-Fourth'!D148)</f>
        <v/>
      </c>
      <c r="E5895" s="66" t="str">
        <f>IF('Twenty-Fourth'!E148="", "",'Twenty-Fourth'!E148)</f>
        <v/>
      </c>
      <c r="F5895" s="66" t="str">
        <f>IF('Twenty-Fourth'!F148="", "",'Twenty-Fourth'!F148)</f>
        <v/>
      </c>
      <c r="G5895" s="66" t="str">
        <f>IF('Twenty-Fourth'!G148="", "",'Twenty-Fourth'!G148)</f>
        <v/>
      </c>
      <c r="H5895" s="66" t="str">
        <f>IF('Twenty-Fourth'!H148="", "",'Twenty-Fourth'!H148)</f>
        <v/>
      </c>
      <c r="I5895" s="66" t="str">
        <f>IF('Twenty-Fourth'!I148="", "",'Twenty-Fourth'!I148)</f>
        <v/>
      </c>
      <c r="J5895" s="66" t="str">
        <f>IF('Twenty-Fourth'!J148="", "",'Twenty-Fourth'!J148)</f>
        <v/>
      </c>
      <c r="K5895" s="86" t="str">
        <f>IF('Twenty-Fourth'!K148="", "",'Twenty-Fourth'!K148)</f>
        <v/>
      </c>
      <c r="M5895" s="67" t="str">
        <f t="shared" si="281"/>
        <v/>
      </c>
      <c r="N5895" s="76" t="str">
        <f t="shared" si="282"/>
        <v/>
      </c>
      <c r="O5895" s="33">
        <f t="shared" si="280"/>
        <v>0</v>
      </c>
    </row>
    <row r="5896" spans="1:15" x14ac:dyDescent="0.25">
      <c r="A5896" s="64" t="s">
        <v>193</v>
      </c>
      <c r="B5896" s="79" t="str">
        <f>IF('Twenty-Fourth'!B149="", "",'Twenty-Fourth'!B149)</f>
        <v/>
      </c>
      <c r="C5896" s="66" t="str">
        <f>IF('Twenty-Fourth'!C149="", "",'Twenty-Fourth'!C149)</f>
        <v/>
      </c>
      <c r="D5896" s="66" t="str">
        <f>IF('Twenty-Fourth'!D149="", "",'Twenty-Fourth'!D149)</f>
        <v/>
      </c>
      <c r="E5896" s="66" t="str">
        <f>IF('Twenty-Fourth'!E149="", "",'Twenty-Fourth'!E149)</f>
        <v/>
      </c>
      <c r="F5896" s="66" t="str">
        <f>IF('Twenty-Fourth'!F149="", "",'Twenty-Fourth'!F149)</f>
        <v/>
      </c>
      <c r="G5896" s="66" t="str">
        <f>IF('Twenty-Fourth'!G149="", "",'Twenty-Fourth'!G149)</f>
        <v/>
      </c>
      <c r="H5896" s="66" t="str">
        <f>IF('Twenty-Fourth'!H149="", "",'Twenty-Fourth'!H149)</f>
        <v/>
      </c>
      <c r="I5896" s="66" t="str">
        <f>IF('Twenty-Fourth'!I149="", "",'Twenty-Fourth'!I149)</f>
        <v/>
      </c>
      <c r="J5896" s="66" t="str">
        <f>IF('Twenty-Fourth'!J149="", "",'Twenty-Fourth'!J149)</f>
        <v/>
      </c>
      <c r="K5896" s="86" t="str">
        <f>IF('Twenty-Fourth'!K149="", "",'Twenty-Fourth'!K149)</f>
        <v/>
      </c>
      <c r="M5896" s="67" t="str">
        <f t="shared" si="281"/>
        <v/>
      </c>
      <c r="N5896" s="76" t="str">
        <f t="shared" si="282"/>
        <v/>
      </c>
      <c r="O5896" s="33">
        <f t="shared" si="280"/>
        <v>0</v>
      </c>
    </row>
    <row r="5897" spans="1:15" x14ac:dyDescent="0.25">
      <c r="A5897" s="64" t="s">
        <v>193</v>
      </c>
      <c r="B5897" s="79" t="str">
        <f>IF('Twenty-Fourth'!B150="", "",'Twenty-Fourth'!B150)</f>
        <v/>
      </c>
      <c r="C5897" s="66" t="str">
        <f>IF('Twenty-Fourth'!C150="", "",'Twenty-Fourth'!C150)</f>
        <v/>
      </c>
      <c r="D5897" s="66" t="str">
        <f>IF('Twenty-Fourth'!D150="", "",'Twenty-Fourth'!D150)</f>
        <v/>
      </c>
      <c r="E5897" s="66" t="str">
        <f>IF('Twenty-Fourth'!E150="", "",'Twenty-Fourth'!E150)</f>
        <v/>
      </c>
      <c r="F5897" s="66" t="str">
        <f>IF('Twenty-Fourth'!F150="", "",'Twenty-Fourth'!F150)</f>
        <v/>
      </c>
      <c r="G5897" s="66" t="str">
        <f>IF('Twenty-Fourth'!G150="", "",'Twenty-Fourth'!G150)</f>
        <v/>
      </c>
      <c r="H5897" s="66" t="str">
        <f>IF('Twenty-Fourth'!H150="", "",'Twenty-Fourth'!H150)</f>
        <v/>
      </c>
      <c r="I5897" s="66" t="str">
        <f>IF('Twenty-Fourth'!I150="", "",'Twenty-Fourth'!I150)</f>
        <v/>
      </c>
      <c r="J5897" s="66" t="str">
        <f>IF('Twenty-Fourth'!J150="", "",'Twenty-Fourth'!J150)</f>
        <v/>
      </c>
      <c r="K5897" s="86" t="str">
        <f>IF('Twenty-Fourth'!K150="", "",'Twenty-Fourth'!K150)</f>
        <v/>
      </c>
      <c r="M5897" s="67" t="str">
        <f t="shared" si="281"/>
        <v/>
      </c>
      <c r="N5897" s="76" t="str">
        <f t="shared" si="282"/>
        <v/>
      </c>
      <c r="O5897" s="33">
        <f t="shared" si="280"/>
        <v>0</v>
      </c>
    </row>
    <row r="5898" spans="1:15" x14ac:dyDescent="0.25">
      <c r="A5898" s="64" t="s">
        <v>193</v>
      </c>
      <c r="B5898" s="79" t="str">
        <f>IF('Twenty-Fourth'!B151="", "",'Twenty-Fourth'!B151)</f>
        <v/>
      </c>
      <c r="C5898" s="66" t="str">
        <f>IF('Twenty-Fourth'!C151="", "",'Twenty-Fourth'!C151)</f>
        <v/>
      </c>
      <c r="D5898" s="66" t="str">
        <f>IF('Twenty-Fourth'!D151="", "",'Twenty-Fourth'!D151)</f>
        <v/>
      </c>
      <c r="E5898" s="66" t="str">
        <f>IF('Twenty-Fourth'!E151="", "",'Twenty-Fourth'!E151)</f>
        <v/>
      </c>
      <c r="F5898" s="66" t="str">
        <f>IF('Twenty-Fourth'!F151="", "",'Twenty-Fourth'!F151)</f>
        <v/>
      </c>
      <c r="G5898" s="66" t="str">
        <f>IF('Twenty-Fourth'!G151="", "",'Twenty-Fourth'!G151)</f>
        <v/>
      </c>
      <c r="H5898" s="66" t="str">
        <f>IF('Twenty-Fourth'!H151="", "",'Twenty-Fourth'!H151)</f>
        <v/>
      </c>
      <c r="I5898" s="66" t="str">
        <f>IF('Twenty-Fourth'!I151="", "",'Twenty-Fourth'!I151)</f>
        <v/>
      </c>
      <c r="J5898" s="66" t="str">
        <f>IF('Twenty-Fourth'!J151="", "",'Twenty-Fourth'!J151)</f>
        <v/>
      </c>
      <c r="K5898" s="86" t="str">
        <f>IF('Twenty-Fourth'!K151="", "",'Twenty-Fourth'!K151)</f>
        <v/>
      </c>
      <c r="M5898" s="67" t="str">
        <f t="shared" si="281"/>
        <v/>
      </c>
      <c r="N5898" s="76" t="str">
        <f t="shared" si="282"/>
        <v/>
      </c>
      <c r="O5898" s="33">
        <f t="shared" ref="O5898:O5961" si="283">SUM(M5898:N5898)</f>
        <v>0</v>
      </c>
    </row>
    <row r="5899" spans="1:15" x14ac:dyDescent="0.25">
      <c r="A5899" s="64" t="s">
        <v>193</v>
      </c>
      <c r="B5899" s="79" t="str">
        <f>IF('Twenty-Fourth'!B152="", "",'Twenty-Fourth'!B152)</f>
        <v/>
      </c>
      <c r="C5899" s="66" t="str">
        <f>IF('Twenty-Fourth'!C152="", "",'Twenty-Fourth'!C152)</f>
        <v/>
      </c>
      <c r="D5899" s="66" t="str">
        <f>IF('Twenty-Fourth'!D152="", "",'Twenty-Fourth'!D152)</f>
        <v/>
      </c>
      <c r="E5899" s="66" t="str">
        <f>IF('Twenty-Fourth'!E152="", "",'Twenty-Fourth'!E152)</f>
        <v/>
      </c>
      <c r="F5899" s="66" t="str">
        <f>IF('Twenty-Fourth'!F152="", "",'Twenty-Fourth'!F152)</f>
        <v/>
      </c>
      <c r="G5899" s="66" t="str">
        <f>IF('Twenty-Fourth'!G152="", "",'Twenty-Fourth'!G152)</f>
        <v/>
      </c>
      <c r="H5899" s="66" t="str">
        <f>IF('Twenty-Fourth'!H152="", "",'Twenty-Fourth'!H152)</f>
        <v/>
      </c>
      <c r="I5899" s="66" t="str">
        <f>IF('Twenty-Fourth'!I152="", "",'Twenty-Fourth'!I152)</f>
        <v/>
      </c>
      <c r="J5899" s="66" t="str">
        <f>IF('Twenty-Fourth'!J152="", "",'Twenty-Fourth'!J152)</f>
        <v/>
      </c>
      <c r="K5899" s="86" t="str">
        <f>IF('Twenty-Fourth'!K152="", "",'Twenty-Fourth'!K152)</f>
        <v/>
      </c>
      <c r="M5899" s="67" t="str">
        <f t="shared" si="281"/>
        <v/>
      </c>
      <c r="N5899" s="76" t="str">
        <f t="shared" si="282"/>
        <v/>
      </c>
      <c r="O5899" s="33">
        <f t="shared" si="283"/>
        <v>0</v>
      </c>
    </row>
    <row r="5900" spans="1:15" x14ac:dyDescent="0.25">
      <c r="A5900" s="64" t="s">
        <v>193</v>
      </c>
      <c r="B5900" s="79" t="str">
        <f>IF('Twenty-Fourth'!B153="", "",'Twenty-Fourth'!B153)</f>
        <v/>
      </c>
      <c r="C5900" s="66" t="str">
        <f>IF('Twenty-Fourth'!C153="", "",'Twenty-Fourth'!C153)</f>
        <v/>
      </c>
      <c r="D5900" s="66" t="str">
        <f>IF('Twenty-Fourth'!D153="", "",'Twenty-Fourth'!D153)</f>
        <v/>
      </c>
      <c r="E5900" s="66" t="str">
        <f>IF('Twenty-Fourth'!E153="", "",'Twenty-Fourth'!E153)</f>
        <v/>
      </c>
      <c r="F5900" s="66" t="str">
        <f>IF('Twenty-Fourth'!F153="", "",'Twenty-Fourth'!F153)</f>
        <v/>
      </c>
      <c r="G5900" s="66" t="str">
        <f>IF('Twenty-Fourth'!G153="", "",'Twenty-Fourth'!G153)</f>
        <v/>
      </c>
      <c r="H5900" s="66" t="str">
        <f>IF('Twenty-Fourth'!H153="", "",'Twenty-Fourth'!H153)</f>
        <v/>
      </c>
      <c r="I5900" s="66" t="str">
        <f>IF('Twenty-Fourth'!I153="", "",'Twenty-Fourth'!I153)</f>
        <v/>
      </c>
      <c r="J5900" s="66" t="str">
        <f>IF('Twenty-Fourth'!J153="", "",'Twenty-Fourth'!J153)</f>
        <v/>
      </c>
      <c r="K5900" s="86" t="str">
        <f>IF('Twenty-Fourth'!K153="", "",'Twenty-Fourth'!K153)</f>
        <v/>
      </c>
      <c r="M5900" s="67" t="str">
        <f t="shared" si="281"/>
        <v/>
      </c>
      <c r="N5900" s="76" t="str">
        <f t="shared" si="282"/>
        <v/>
      </c>
      <c r="O5900" s="33">
        <f t="shared" si="283"/>
        <v>0</v>
      </c>
    </row>
    <row r="5901" spans="1:15" x14ac:dyDescent="0.25">
      <c r="A5901" s="64" t="s">
        <v>193</v>
      </c>
      <c r="B5901" s="79" t="str">
        <f>IF('Twenty-Fourth'!B154="", "",'Twenty-Fourth'!B154)</f>
        <v/>
      </c>
      <c r="C5901" s="66" t="str">
        <f>IF('Twenty-Fourth'!C154="", "",'Twenty-Fourth'!C154)</f>
        <v/>
      </c>
      <c r="D5901" s="66" t="str">
        <f>IF('Twenty-Fourth'!D154="", "",'Twenty-Fourth'!D154)</f>
        <v/>
      </c>
      <c r="E5901" s="66" t="str">
        <f>IF('Twenty-Fourth'!E154="", "",'Twenty-Fourth'!E154)</f>
        <v/>
      </c>
      <c r="F5901" s="66" t="str">
        <f>IF('Twenty-Fourth'!F154="", "",'Twenty-Fourth'!F154)</f>
        <v/>
      </c>
      <c r="G5901" s="66" t="str">
        <f>IF('Twenty-Fourth'!G154="", "",'Twenty-Fourth'!G154)</f>
        <v/>
      </c>
      <c r="H5901" s="66" t="str">
        <f>IF('Twenty-Fourth'!H154="", "",'Twenty-Fourth'!H154)</f>
        <v/>
      </c>
      <c r="I5901" s="66" t="str">
        <f>IF('Twenty-Fourth'!I154="", "",'Twenty-Fourth'!I154)</f>
        <v/>
      </c>
      <c r="J5901" s="66" t="str">
        <f>IF('Twenty-Fourth'!J154="", "",'Twenty-Fourth'!J154)</f>
        <v/>
      </c>
      <c r="K5901" s="86" t="str">
        <f>IF('Twenty-Fourth'!K154="", "",'Twenty-Fourth'!K154)</f>
        <v/>
      </c>
      <c r="M5901" s="67" t="str">
        <f t="shared" si="281"/>
        <v/>
      </c>
      <c r="N5901" s="76" t="str">
        <f t="shared" si="282"/>
        <v/>
      </c>
      <c r="O5901" s="33">
        <f t="shared" si="283"/>
        <v>0</v>
      </c>
    </row>
    <row r="5902" spans="1:15" x14ac:dyDescent="0.25">
      <c r="A5902" s="64" t="s">
        <v>193</v>
      </c>
      <c r="B5902" s="79" t="str">
        <f>IF('Twenty-Fourth'!B155="", "",'Twenty-Fourth'!B155)</f>
        <v/>
      </c>
      <c r="C5902" s="66" t="str">
        <f>IF('Twenty-Fourth'!C155="", "",'Twenty-Fourth'!C155)</f>
        <v/>
      </c>
      <c r="D5902" s="66" t="str">
        <f>IF('Twenty-Fourth'!D155="", "",'Twenty-Fourth'!D155)</f>
        <v/>
      </c>
      <c r="E5902" s="66" t="str">
        <f>IF('Twenty-Fourth'!E155="", "",'Twenty-Fourth'!E155)</f>
        <v/>
      </c>
      <c r="F5902" s="66" t="str">
        <f>IF('Twenty-Fourth'!F155="", "",'Twenty-Fourth'!F155)</f>
        <v/>
      </c>
      <c r="G5902" s="66" t="str">
        <f>IF('Twenty-Fourth'!G155="", "",'Twenty-Fourth'!G155)</f>
        <v/>
      </c>
      <c r="H5902" s="66" t="str">
        <f>IF('Twenty-Fourth'!H155="", "",'Twenty-Fourth'!H155)</f>
        <v/>
      </c>
      <c r="I5902" s="66" t="str">
        <f>IF('Twenty-Fourth'!I155="", "",'Twenty-Fourth'!I155)</f>
        <v/>
      </c>
      <c r="J5902" s="66" t="str">
        <f>IF('Twenty-Fourth'!J155="", "",'Twenty-Fourth'!J155)</f>
        <v/>
      </c>
      <c r="K5902" s="86" t="str">
        <f>IF('Twenty-Fourth'!K155="", "",'Twenty-Fourth'!K155)</f>
        <v/>
      </c>
      <c r="M5902" s="67" t="str">
        <f t="shared" si="281"/>
        <v/>
      </c>
      <c r="N5902" s="76" t="str">
        <f t="shared" si="282"/>
        <v/>
      </c>
      <c r="O5902" s="33">
        <f t="shared" si="283"/>
        <v>0</v>
      </c>
    </row>
    <row r="5903" spans="1:15" x14ac:dyDescent="0.25">
      <c r="A5903" s="64" t="s">
        <v>193</v>
      </c>
      <c r="B5903" s="79" t="str">
        <f>IF('Twenty-Fourth'!B156="", "",'Twenty-Fourth'!B156)</f>
        <v/>
      </c>
      <c r="C5903" s="66" t="str">
        <f>IF('Twenty-Fourth'!C156="", "",'Twenty-Fourth'!C156)</f>
        <v/>
      </c>
      <c r="D5903" s="66" t="str">
        <f>IF('Twenty-Fourth'!D156="", "",'Twenty-Fourth'!D156)</f>
        <v/>
      </c>
      <c r="E5903" s="66" t="str">
        <f>IF('Twenty-Fourth'!E156="", "",'Twenty-Fourth'!E156)</f>
        <v/>
      </c>
      <c r="F5903" s="66" t="str">
        <f>IF('Twenty-Fourth'!F156="", "",'Twenty-Fourth'!F156)</f>
        <v/>
      </c>
      <c r="G5903" s="66" t="str">
        <f>IF('Twenty-Fourth'!G156="", "",'Twenty-Fourth'!G156)</f>
        <v/>
      </c>
      <c r="H5903" s="66" t="str">
        <f>IF('Twenty-Fourth'!H156="", "",'Twenty-Fourth'!H156)</f>
        <v/>
      </c>
      <c r="I5903" s="66" t="str">
        <f>IF('Twenty-Fourth'!I156="", "",'Twenty-Fourth'!I156)</f>
        <v/>
      </c>
      <c r="J5903" s="66" t="str">
        <f>IF('Twenty-Fourth'!J156="", "",'Twenty-Fourth'!J156)</f>
        <v/>
      </c>
      <c r="K5903" s="86" t="str">
        <f>IF('Twenty-Fourth'!K156="", "",'Twenty-Fourth'!K156)</f>
        <v/>
      </c>
      <c r="M5903" s="67" t="str">
        <f t="shared" si="281"/>
        <v/>
      </c>
      <c r="N5903" s="76" t="str">
        <f t="shared" si="282"/>
        <v/>
      </c>
      <c r="O5903" s="33">
        <f t="shared" si="283"/>
        <v>0</v>
      </c>
    </row>
    <row r="5904" spans="1:15" x14ac:dyDescent="0.25">
      <c r="A5904" s="64" t="s">
        <v>193</v>
      </c>
      <c r="B5904" s="79" t="str">
        <f>IF('Twenty-Fourth'!B157="", "",'Twenty-Fourth'!B157)</f>
        <v/>
      </c>
      <c r="C5904" s="66" t="str">
        <f>IF('Twenty-Fourth'!C157="", "",'Twenty-Fourth'!C157)</f>
        <v/>
      </c>
      <c r="D5904" s="66" t="str">
        <f>IF('Twenty-Fourth'!D157="", "",'Twenty-Fourth'!D157)</f>
        <v/>
      </c>
      <c r="E5904" s="66" t="str">
        <f>IF('Twenty-Fourth'!E157="", "",'Twenty-Fourth'!E157)</f>
        <v/>
      </c>
      <c r="F5904" s="66" t="str">
        <f>IF('Twenty-Fourth'!F157="", "",'Twenty-Fourth'!F157)</f>
        <v/>
      </c>
      <c r="G5904" s="66" t="str">
        <f>IF('Twenty-Fourth'!G157="", "",'Twenty-Fourth'!G157)</f>
        <v/>
      </c>
      <c r="H5904" s="66" t="str">
        <f>IF('Twenty-Fourth'!H157="", "",'Twenty-Fourth'!H157)</f>
        <v/>
      </c>
      <c r="I5904" s="66" t="str">
        <f>IF('Twenty-Fourth'!I157="", "",'Twenty-Fourth'!I157)</f>
        <v/>
      </c>
      <c r="J5904" s="66" t="str">
        <f>IF('Twenty-Fourth'!J157="", "",'Twenty-Fourth'!J157)</f>
        <v/>
      </c>
      <c r="K5904" s="86" t="str">
        <f>IF('Twenty-Fourth'!K157="", "",'Twenty-Fourth'!K157)</f>
        <v/>
      </c>
      <c r="M5904" s="67" t="str">
        <f t="shared" si="281"/>
        <v/>
      </c>
      <c r="N5904" s="76" t="str">
        <f t="shared" si="282"/>
        <v/>
      </c>
      <c r="O5904" s="33">
        <f t="shared" si="283"/>
        <v>0</v>
      </c>
    </row>
    <row r="5905" spans="1:15" x14ac:dyDescent="0.25">
      <c r="A5905" s="64" t="s">
        <v>193</v>
      </c>
      <c r="B5905" s="79" t="str">
        <f>IF('Twenty-Fourth'!B158="", "",'Twenty-Fourth'!B158)</f>
        <v/>
      </c>
      <c r="C5905" s="66" t="str">
        <f>IF('Twenty-Fourth'!C158="", "",'Twenty-Fourth'!C158)</f>
        <v/>
      </c>
      <c r="D5905" s="66" t="str">
        <f>IF('Twenty-Fourth'!D158="", "",'Twenty-Fourth'!D158)</f>
        <v/>
      </c>
      <c r="E5905" s="66" t="str">
        <f>IF('Twenty-Fourth'!E158="", "",'Twenty-Fourth'!E158)</f>
        <v/>
      </c>
      <c r="F5905" s="66" t="str">
        <f>IF('Twenty-Fourth'!F158="", "",'Twenty-Fourth'!F158)</f>
        <v/>
      </c>
      <c r="G5905" s="66" t="str">
        <f>IF('Twenty-Fourth'!G158="", "",'Twenty-Fourth'!G158)</f>
        <v/>
      </c>
      <c r="H5905" s="66" t="str">
        <f>IF('Twenty-Fourth'!H158="", "",'Twenty-Fourth'!H158)</f>
        <v/>
      </c>
      <c r="I5905" s="66" t="str">
        <f>IF('Twenty-Fourth'!I158="", "",'Twenty-Fourth'!I158)</f>
        <v/>
      </c>
      <c r="J5905" s="66" t="str">
        <f>IF('Twenty-Fourth'!J158="", "",'Twenty-Fourth'!J158)</f>
        <v/>
      </c>
      <c r="K5905" s="86" t="str">
        <f>IF('Twenty-Fourth'!K158="", "",'Twenty-Fourth'!K158)</f>
        <v/>
      </c>
      <c r="M5905" s="67" t="str">
        <f t="shared" si="281"/>
        <v/>
      </c>
      <c r="N5905" s="76" t="str">
        <f t="shared" si="282"/>
        <v/>
      </c>
      <c r="O5905" s="33">
        <f t="shared" si="283"/>
        <v>0</v>
      </c>
    </row>
    <row r="5906" spans="1:15" x14ac:dyDescent="0.25">
      <c r="A5906" s="64" t="s">
        <v>193</v>
      </c>
      <c r="B5906" s="79" t="str">
        <f>IF('Twenty-Fourth'!B159="", "",'Twenty-Fourth'!B159)</f>
        <v/>
      </c>
      <c r="C5906" s="66" t="str">
        <f>IF('Twenty-Fourth'!C159="", "",'Twenty-Fourth'!C159)</f>
        <v/>
      </c>
      <c r="D5906" s="66" t="str">
        <f>IF('Twenty-Fourth'!D159="", "",'Twenty-Fourth'!D159)</f>
        <v/>
      </c>
      <c r="E5906" s="66" t="str">
        <f>IF('Twenty-Fourth'!E159="", "",'Twenty-Fourth'!E159)</f>
        <v/>
      </c>
      <c r="F5906" s="66" t="str">
        <f>IF('Twenty-Fourth'!F159="", "",'Twenty-Fourth'!F159)</f>
        <v/>
      </c>
      <c r="G5906" s="66" t="str">
        <f>IF('Twenty-Fourth'!G159="", "",'Twenty-Fourth'!G159)</f>
        <v/>
      </c>
      <c r="H5906" s="66" t="str">
        <f>IF('Twenty-Fourth'!H159="", "",'Twenty-Fourth'!H159)</f>
        <v/>
      </c>
      <c r="I5906" s="66" t="str">
        <f>IF('Twenty-Fourth'!I159="", "",'Twenty-Fourth'!I159)</f>
        <v/>
      </c>
      <c r="J5906" s="66" t="str">
        <f>IF('Twenty-Fourth'!J159="", "",'Twenty-Fourth'!J159)</f>
        <v/>
      </c>
      <c r="K5906" s="86" t="str">
        <f>IF('Twenty-Fourth'!K159="", "",'Twenty-Fourth'!K159)</f>
        <v/>
      </c>
      <c r="M5906" s="67" t="str">
        <f t="shared" si="281"/>
        <v/>
      </c>
      <c r="N5906" s="76" t="str">
        <f t="shared" si="282"/>
        <v/>
      </c>
      <c r="O5906" s="33">
        <f t="shared" si="283"/>
        <v>0</v>
      </c>
    </row>
    <row r="5907" spans="1:15" x14ac:dyDescent="0.25">
      <c r="A5907" s="64" t="s">
        <v>193</v>
      </c>
      <c r="B5907" s="79" t="str">
        <f>IF('Twenty-Fourth'!B160="", "",'Twenty-Fourth'!B160)</f>
        <v/>
      </c>
      <c r="C5907" s="66" t="str">
        <f>IF('Twenty-Fourth'!C160="", "",'Twenty-Fourth'!C160)</f>
        <v/>
      </c>
      <c r="D5907" s="66" t="str">
        <f>IF('Twenty-Fourth'!D160="", "",'Twenty-Fourth'!D160)</f>
        <v/>
      </c>
      <c r="E5907" s="66" t="str">
        <f>IF('Twenty-Fourth'!E160="", "",'Twenty-Fourth'!E160)</f>
        <v/>
      </c>
      <c r="F5907" s="66" t="str">
        <f>IF('Twenty-Fourth'!F160="", "",'Twenty-Fourth'!F160)</f>
        <v/>
      </c>
      <c r="G5907" s="66" t="str">
        <f>IF('Twenty-Fourth'!G160="", "",'Twenty-Fourth'!G160)</f>
        <v/>
      </c>
      <c r="H5907" s="66" t="str">
        <f>IF('Twenty-Fourth'!H160="", "",'Twenty-Fourth'!H160)</f>
        <v/>
      </c>
      <c r="I5907" s="66" t="str">
        <f>IF('Twenty-Fourth'!I160="", "",'Twenty-Fourth'!I160)</f>
        <v/>
      </c>
      <c r="J5907" s="66" t="str">
        <f>IF('Twenty-Fourth'!J160="", "",'Twenty-Fourth'!J160)</f>
        <v/>
      </c>
      <c r="K5907" s="86" t="str">
        <f>IF('Twenty-Fourth'!K160="", "",'Twenty-Fourth'!K160)</f>
        <v/>
      </c>
      <c r="M5907" s="67" t="str">
        <f t="shared" si="281"/>
        <v/>
      </c>
      <c r="N5907" s="76" t="str">
        <f t="shared" si="282"/>
        <v/>
      </c>
      <c r="O5907" s="33">
        <f t="shared" si="283"/>
        <v>0</v>
      </c>
    </row>
    <row r="5908" spans="1:15" x14ac:dyDescent="0.25">
      <c r="A5908" s="64" t="s">
        <v>193</v>
      </c>
      <c r="B5908" s="79" t="str">
        <f>IF('Twenty-Fourth'!B161="", "",'Twenty-Fourth'!B161)</f>
        <v/>
      </c>
      <c r="C5908" s="66" t="str">
        <f>IF('Twenty-Fourth'!C161="", "",'Twenty-Fourth'!C161)</f>
        <v/>
      </c>
      <c r="D5908" s="66" t="str">
        <f>IF('Twenty-Fourth'!D161="", "",'Twenty-Fourth'!D161)</f>
        <v/>
      </c>
      <c r="E5908" s="66" t="str">
        <f>IF('Twenty-Fourth'!E161="", "",'Twenty-Fourth'!E161)</f>
        <v/>
      </c>
      <c r="F5908" s="66" t="str">
        <f>IF('Twenty-Fourth'!F161="", "",'Twenty-Fourth'!F161)</f>
        <v/>
      </c>
      <c r="G5908" s="66" t="str">
        <f>IF('Twenty-Fourth'!G161="", "",'Twenty-Fourth'!G161)</f>
        <v/>
      </c>
      <c r="H5908" s="66" t="str">
        <f>IF('Twenty-Fourth'!H161="", "",'Twenty-Fourth'!H161)</f>
        <v/>
      </c>
      <c r="I5908" s="66" t="str">
        <f>IF('Twenty-Fourth'!I161="", "",'Twenty-Fourth'!I161)</f>
        <v/>
      </c>
      <c r="J5908" s="66" t="str">
        <f>IF('Twenty-Fourth'!J161="", "",'Twenty-Fourth'!J161)</f>
        <v/>
      </c>
      <c r="K5908" s="86" t="str">
        <f>IF('Twenty-Fourth'!K161="", "",'Twenty-Fourth'!K161)</f>
        <v/>
      </c>
      <c r="M5908" s="67" t="str">
        <f t="shared" si="281"/>
        <v/>
      </c>
      <c r="N5908" s="76" t="str">
        <f t="shared" si="282"/>
        <v/>
      </c>
      <c r="O5908" s="33">
        <f t="shared" si="283"/>
        <v>0</v>
      </c>
    </row>
    <row r="5909" spans="1:15" x14ac:dyDescent="0.25">
      <c r="A5909" s="64" t="s">
        <v>193</v>
      </c>
      <c r="B5909" s="79" t="str">
        <f>IF('Twenty-Fourth'!B162="", "",'Twenty-Fourth'!B162)</f>
        <v/>
      </c>
      <c r="C5909" s="66" t="str">
        <f>IF('Twenty-Fourth'!C162="", "",'Twenty-Fourth'!C162)</f>
        <v/>
      </c>
      <c r="D5909" s="66" t="str">
        <f>IF('Twenty-Fourth'!D162="", "",'Twenty-Fourth'!D162)</f>
        <v/>
      </c>
      <c r="E5909" s="66" t="str">
        <f>IF('Twenty-Fourth'!E162="", "",'Twenty-Fourth'!E162)</f>
        <v/>
      </c>
      <c r="F5909" s="66" t="str">
        <f>IF('Twenty-Fourth'!F162="", "",'Twenty-Fourth'!F162)</f>
        <v/>
      </c>
      <c r="G5909" s="66" t="str">
        <f>IF('Twenty-Fourth'!G162="", "",'Twenty-Fourth'!G162)</f>
        <v/>
      </c>
      <c r="H5909" s="66" t="str">
        <f>IF('Twenty-Fourth'!H162="", "",'Twenty-Fourth'!H162)</f>
        <v/>
      </c>
      <c r="I5909" s="66" t="str">
        <f>IF('Twenty-Fourth'!I162="", "",'Twenty-Fourth'!I162)</f>
        <v/>
      </c>
      <c r="J5909" s="66" t="str">
        <f>IF('Twenty-Fourth'!J162="", "",'Twenty-Fourth'!J162)</f>
        <v/>
      </c>
      <c r="K5909" s="86" t="str">
        <f>IF('Twenty-Fourth'!K162="", "",'Twenty-Fourth'!K162)</f>
        <v/>
      </c>
      <c r="M5909" s="67" t="str">
        <f t="shared" si="281"/>
        <v/>
      </c>
      <c r="N5909" s="76" t="str">
        <f t="shared" si="282"/>
        <v/>
      </c>
      <c r="O5909" s="33">
        <f t="shared" si="283"/>
        <v>0</v>
      </c>
    </row>
    <row r="5910" spans="1:15" x14ac:dyDescent="0.25">
      <c r="A5910" s="64" t="s">
        <v>193</v>
      </c>
      <c r="B5910" s="79" t="str">
        <f>IF('Twenty-Fourth'!B163="", "",'Twenty-Fourth'!B163)</f>
        <v/>
      </c>
      <c r="C5910" s="66" t="str">
        <f>IF('Twenty-Fourth'!C163="", "",'Twenty-Fourth'!C163)</f>
        <v/>
      </c>
      <c r="D5910" s="66" t="str">
        <f>IF('Twenty-Fourth'!D163="", "",'Twenty-Fourth'!D163)</f>
        <v/>
      </c>
      <c r="E5910" s="66" t="str">
        <f>IF('Twenty-Fourth'!E163="", "",'Twenty-Fourth'!E163)</f>
        <v/>
      </c>
      <c r="F5910" s="66" t="str">
        <f>IF('Twenty-Fourth'!F163="", "",'Twenty-Fourth'!F163)</f>
        <v/>
      </c>
      <c r="G5910" s="66" t="str">
        <f>IF('Twenty-Fourth'!G163="", "",'Twenty-Fourth'!G163)</f>
        <v/>
      </c>
      <c r="H5910" s="66" t="str">
        <f>IF('Twenty-Fourth'!H163="", "",'Twenty-Fourth'!H163)</f>
        <v/>
      </c>
      <c r="I5910" s="66" t="str">
        <f>IF('Twenty-Fourth'!I163="", "",'Twenty-Fourth'!I163)</f>
        <v/>
      </c>
      <c r="J5910" s="66" t="str">
        <f>IF('Twenty-Fourth'!J163="", "",'Twenty-Fourth'!J163)</f>
        <v/>
      </c>
      <c r="K5910" s="86" t="str">
        <f>IF('Twenty-Fourth'!K163="", "",'Twenty-Fourth'!K163)</f>
        <v/>
      </c>
      <c r="M5910" s="67" t="str">
        <f t="shared" si="281"/>
        <v/>
      </c>
      <c r="N5910" s="76" t="str">
        <f t="shared" si="282"/>
        <v/>
      </c>
      <c r="O5910" s="33">
        <f t="shared" si="283"/>
        <v>0</v>
      </c>
    </row>
    <row r="5911" spans="1:15" x14ac:dyDescent="0.25">
      <c r="A5911" s="64" t="s">
        <v>193</v>
      </c>
      <c r="B5911" s="79" t="str">
        <f>IF('Twenty-Fourth'!B164="", "",'Twenty-Fourth'!B164)</f>
        <v/>
      </c>
      <c r="C5911" s="66" t="str">
        <f>IF('Twenty-Fourth'!C164="", "",'Twenty-Fourth'!C164)</f>
        <v/>
      </c>
      <c r="D5911" s="66" t="str">
        <f>IF('Twenty-Fourth'!D164="", "",'Twenty-Fourth'!D164)</f>
        <v/>
      </c>
      <c r="E5911" s="66" t="str">
        <f>IF('Twenty-Fourth'!E164="", "",'Twenty-Fourth'!E164)</f>
        <v/>
      </c>
      <c r="F5911" s="66" t="str">
        <f>IF('Twenty-Fourth'!F164="", "",'Twenty-Fourth'!F164)</f>
        <v/>
      </c>
      <c r="G5911" s="66" t="str">
        <f>IF('Twenty-Fourth'!G164="", "",'Twenty-Fourth'!G164)</f>
        <v/>
      </c>
      <c r="H5911" s="66" t="str">
        <f>IF('Twenty-Fourth'!H164="", "",'Twenty-Fourth'!H164)</f>
        <v/>
      </c>
      <c r="I5911" s="66" t="str">
        <f>IF('Twenty-Fourth'!I164="", "",'Twenty-Fourth'!I164)</f>
        <v/>
      </c>
      <c r="J5911" s="66" t="str">
        <f>IF('Twenty-Fourth'!J164="", "",'Twenty-Fourth'!J164)</f>
        <v/>
      </c>
      <c r="K5911" s="86" t="str">
        <f>IF('Twenty-Fourth'!K164="", "",'Twenty-Fourth'!K164)</f>
        <v/>
      </c>
      <c r="M5911" s="67" t="str">
        <f t="shared" si="281"/>
        <v/>
      </c>
      <c r="N5911" s="76" t="str">
        <f t="shared" si="282"/>
        <v/>
      </c>
      <c r="O5911" s="33">
        <f t="shared" si="283"/>
        <v>0</v>
      </c>
    </row>
    <row r="5912" spans="1:15" x14ac:dyDescent="0.25">
      <c r="A5912" s="64" t="s">
        <v>193</v>
      </c>
      <c r="B5912" s="79" t="str">
        <f>IF('Twenty-Fourth'!B165="", "",'Twenty-Fourth'!B165)</f>
        <v/>
      </c>
      <c r="C5912" s="66" t="str">
        <f>IF('Twenty-Fourth'!C165="", "",'Twenty-Fourth'!C165)</f>
        <v/>
      </c>
      <c r="D5912" s="66" t="str">
        <f>IF('Twenty-Fourth'!D165="", "",'Twenty-Fourth'!D165)</f>
        <v/>
      </c>
      <c r="E5912" s="66" t="str">
        <f>IF('Twenty-Fourth'!E165="", "",'Twenty-Fourth'!E165)</f>
        <v/>
      </c>
      <c r="F5912" s="66" t="str">
        <f>IF('Twenty-Fourth'!F165="", "",'Twenty-Fourth'!F165)</f>
        <v/>
      </c>
      <c r="G5912" s="66" t="str">
        <f>IF('Twenty-Fourth'!G165="", "",'Twenty-Fourth'!G165)</f>
        <v/>
      </c>
      <c r="H5912" s="66" t="str">
        <f>IF('Twenty-Fourth'!H165="", "",'Twenty-Fourth'!H165)</f>
        <v/>
      </c>
      <c r="I5912" s="66" t="str">
        <f>IF('Twenty-Fourth'!I165="", "",'Twenty-Fourth'!I165)</f>
        <v/>
      </c>
      <c r="J5912" s="66" t="str">
        <f>IF('Twenty-Fourth'!J165="", "",'Twenty-Fourth'!J165)</f>
        <v/>
      </c>
      <c r="K5912" s="86" t="str">
        <f>IF('Twenty-Fourth'!K165="", "",'Twenty-Fourth'!K165)</f>
        <v/>
      </c>
      <c r="M5912" s="67" t="str">
        <f t="shared" si="281"/>
        <v/>
      </c>
      <c r="N5912" s="76" t="str">
        <f t="shared" si="282"/>
        <v/>
      </c>
      <c r="O5912" s="33">
        <f t="shared" si="283"/>
        <v>0</v>
      </c>
    </row>
    <row r="5913" spans="1:15" x14ac:dyDescent="0.25">
      <c r="A5913" s="64" t="s">
        <v>193</v>
      </c>
      <c r="B5913" s="79" t="str">
        <f>IF('Twenty-Fourth'!B166="", "",'Twenty-Fourth'!B166)</f>
        <v/>
      </c>
      <c r="C5913" s="66" t="str">
        <f>IF('Twenty-Fourth'!C166="", "",'Twenty-Fourth'!C166)</f>
        <v/>
      </c>
      <c r="D5913" s="66" t="str">
        <f>IF('Twenty-Fourth'!D166="", "",'Twenty-Fourth'!D166)</f>
        <v/>
      </c>
      <c r="E5913" s="66" t="str">
        <f>IF('Twenty-Fourth'!E166="", "",'Twenty-Fourth'!E166)</f>
        <v/>
      </c>
      <c r="F5913" s="66" t="str">
        <f>IF('Twenty-Fourth'!F166="", "",'Twenty-Fourth'!F166)</f>
        <v/>
      </c>
      <c r="G5913" s="66" t="str">
        <f>IF('Twenty-Fourth'!G166="", "",'Twenty-Fourth'!G166)</f>
        <v/>
      </c>
      <c r="H5913" s="66" t="str">
        <f>IF('Twenty-Fourth'!H166="", "",'Twenty-Fourth'!H166)</f>
        <v/>
      </c>
      <c r="I5913" s="66" t="str">
        <f>IF('Twenty-Fourth'!I166="", "",'Twenty-Fourth'!I166)</f>
        <v/>
      </c>
      <c r="J5913" s="66" t="str">
        <f>IF('Twenty-Fourth'!J166="", "",'Twenty-Fourth'!J166)</f>
        <v/>
      </c>
      <c r="K5913" s="86" t="str">
        <f>IF('Twenty-Fourth'!K166="", "",'Twenty-Fourth'!K166)</f>
        <v/>
      </c>
      <c r="M5913" s="67" t="str">
        <f t="shared" si="281"/>
        <v/>
      </c>
      <c r="N5913" s="76" t="str">
        <f t="shared" si="282"/>
        <v/>
      </c>
      <c r="O5913" s="33">
        <f t="shared" si="283"/>
        <v>0</v>
      </c>
    </row>
    <row r="5914" spans="1:15" x14ac:dyDescent="0.25">
      <c r="A5914" s="64" t="s">
        <v>193</v>
      </c>
      <c r="B5914" s="79" t="str">
        <f>IF('Twenty-Fourth'!B167="", "",'Twenty-Fourth'!B167)</f>
        <v/>
      </c>
      <c r="C5914" s="66" t="str">
        <f>IF('Twenty-Fourth'!C167="", "",'Twenty-Fourth'!C167)</f>
        <v/>
      </c>
      <c r="D5914" s="66" t="str">
        <f>IF('Twenty-Fourth'!D167="", "",'Twenty-Fourth'!D167)</f>
        <v/>
      </c>
      <c r="E5914" s="66" t="str">
        <f>IF('Twenty-Fourth'!E167="", "",'Twenty-Fourth'!E167)</f>
        <v/>
      </c>
      <c r="F5914" s="66" t="str">
        <f>IF('Twenty-Fourth'!F167="", "",'Twenty-Fourth'!F167)</f>
        <v/>
      </c>
      <c r="G5914" s="66" t="str">
        <f>IF('Twenty-Fourth'!G167="", "",'Twenty-Fourth'!G167)</f>
        <v/>
      </c>
      <c r="H5914" s="66" t="str">
        <f>IF('Twenty-Fourth'!H167="", "",'Twenty-Fourth'!H167)</f>
        <v/>
      </c>
      <c r="I5914" s="66" t="str">
        <f>IF('Twenty-Fourth'!I167="", "",'Twenty-Fourth'!I167)</f>
        <v/>
      </c>
      <c r="J5914" s="66" t="str">
        <f>IF('Twenty-Fourth'!J167="", "",'Twenty-Fourth'!J167)</f>
        <v/>
      </c>
      <c r="K5914" s="86" t="str">
        <f>IF('Twenty-Fourth'!K167="", "",'Twenty-Fourth'!K167)</f>
        <v/>
      </c>
      <c r="M5914" s="67" t="str">
        <f t="shared" si="281"/>
        <v/>
      </c>
      <c r="N5914" s="76" t="str">
        <f t="shared" si="282"/>
        <v/>
      </c>
      <c r="O5914" s="33">
        <f t="shared" si="283"/>
        <v>0</v>
      </c>
    </row>
    <row r="5915" spans="1:15" x14ac:dyDescent="0.25">
      <c r="A5915" s="64" t="s">
        <v>193</v>
      </c>
      <c r="B5915" s="79" t="str">
        <f>IF('Twenty-Fourth'!B168="", "",'Twenty-Fourth'!B168)</f>
        <v/>
      </c>
      <c r="C5915" s="66" t="str">
        <f>IF('Twenty-Fourth'!C168="", "",'Twenty-Fourth'!C168)</f>
        <v/>
      </c>
      <c r="D5915" s="66" t="str">
        <f>IF('Twenty-Fourth'!D168="", "",'Twenty-Fourth'!D168)</f>
        <v/>
      </c>
      <c r="E5915" s="66" t="str">
        <f>IF('Twenty-Fourth'!E168="", "",'Twenty-Fourth'!E168)</f>
        <v/>
      </c>
      <c r="F5915" s="66" t="str">
        <f>IF('Twenty-Fourth'!F168="", "",'Twenty-Fourth'!F168)</f>
        <v/>
      </c>
      <c r="G5915" s="66" t="str">
        <f>IF('Twenty-Fourth'!G168="", "",'Twenty-Fourth'!G168)</f>
        <v/>
      </c>
      <c r="H5915" s="66" t="str">
        <f>IF('Twenty-Fourth'!H168="", "",'Twenty-Fourth'!H168)</f>
        <v/>
      </c>
      <c r="I5915" s="66" t="str">
        <f>IF('Twenty-Fourth'!I168="", "",'Twenty-Fourth'!I168)</f>
        <v/>
      </c>
      <c r="J5915" s="66" t="str">
        <f>IF('Twenty-Fourth'!J168="", "",'Twenty-Fourth'!J168)</f>
        <v/>
      </c>
      <c r="K5915" s="86" t="str">
        <f>IF('Twenty-Fourth'!K168="", "",'Twenty-Fourth'!K168)</f>
        <v/>
      </c>
      <c r="M5915" s="67" t="str">
        <f t="shared" si="281"/>
        <v/>
      </c>
      <c r="N5915" s="76" t="str">
        <f t="shared" si="282"/>
        <v/>
      </c>
      <c r="O5915" s="33">
        <f t="shared" si="283"/>
        <v>0</v>
      </c>
    </row>
    <row r="5916" spans="1:15" x14ac:dyDescent="0.25">
      <c r="A5916" s="64" t="s">
        <v>193</v>
      </c>
      <c r="B5916" s="79" t="str">
        <f>IF('Twenty-Fourth'!B169="", "",'Twenty-Fourth'!B169)</f>
        <v/>
      </c>
      <c r="C5916" s="66" t="str">
        <f>IF('Twenty-Fourth'!C169="", "",'Twenty-Fourth'!C169)</f>
        <v/>
      </c>
      <c r="D5916" s="66" t="str">
        <f>IF('Twenty-Fourth'!D169="", "",'Twenty-Fourth'!D169)</f>
        <v/>
      </c>
      <c r="E5916" s="66" t="str">
        <f>IF('Twenty-Fourth'!E169="", "",'Twenty-Fourth'!E169)</f>
        <v/>
      </c>
      <c r="F5916" s="66" t="str">
        <f>IF('Twenty-Fourth'!F169="", "",'Twenty-Fourth'!F169)</f>
        <v/>
      </c>
      <c r="G5916" s="66" t="str">
        <f>IF('Twenty-Fourth'!G169="", "",'Twenty-Fourth'!G169)</f>
        <v/>
      </c>
      <c r="H5916" s="66" t="str">
        <f>IF('Twenty-Fourth'!H169="", "",'Twenty-Fourth'!H169)</f>
        <v/>
      </c>
      <c r="I5916" s="66" t="str">
        <f>IF('Twenty-Fourth'!I169="", "",'Twenty-Fourth'!I169)</f>
        <v/>
      </c>
      <c r="J5916" s="66" t="str">
        <f>IF('Twenty-Fourth'!J169="", "",'Twenty-Fourth'!J169)</f>
        <v/>
      </c>
      <c r="K5916" s="86" t="str">
        <f>IF('Twenty-Fourth'!K169="", "",'Twenty-Fourth'!K169)</f>
        <v/>
      </c>
      <c r="M5916" s="67" t="str">
        <f t="shared" si="281"/>
        <v/>
      </c>
      <c r="N5916" s="76" t="str">
        <f t="shared" si="282"/>
        <v/>
      </c>
      <c r="O5916" s="33">
        <f t="shared" si="283"/>
        <v>0</v>
      </c>
    </row>
    <row r="5917" spans="1:15" x14ac:dyDescent="0.25">
      <c r="A5917" s="64" t="s">
        <v>193</v>
      </c>
      <c r="B5917" s="79" t="str">
        <f>IF('Twenty-Fourth'!B170="", "",'Twenty-Fourth'!B170)</f>
        <v/>
      </c>
      <c r="C5917" s="66" t="str">
        <f>IF('Twenty-Fourth'!C170="", "",'Twenty-Fourth'!C170)</f>
        <v/>
      </c>
      <c r="D5917" s="66" t="str">
        <f>IF('Twenty-Fourth'!D170="", "",'Twenty-Fourth'!D170)</f>
        <v/>
      </c>
      <c r="E5917" s="66" t="str">
        <f>IF('Twenty-Fourth'!E170="", "",'Twenty-Fourth'!E170)</f>
        <v/>
      </c>
      <c r="F5917" s="66" t="str">
        <f>IF('Twenty-Fourth'!F170="", "",'Twenty-Fourth'!F170)</f>
        <v/>
      </c>
      <c r="G5917" s="66" t="str">
        <f>IF('Twenty-Fourth'!G170="", "",'Twenty-Fourth'!G170)</f>
        <v/>
      </c>
      <c r="H5917" s="66" t="str">
        <f>IF('Twenty-Fourth'!H170="", "",'Twenty-Fourth'!H170)</f>
        <v/>
      </c>
      <c r="I5917" s="66" t="str">
        <f>IF('Twenty-Fourth'!I170="", "",'Twenty-Fourth'!I170)</f>
        <v/>
      </c>
      <c r="J5917" s="66" t="str">
        <f>IF('Twenty-Fourth'!J170="", "",'Twenty-Fourth'!J170)</f>
        <v/>
      </c>
      <c r="K5917" s="86" t="str">
        <f>IF('Twenty-Fourth'!K170="", "",'Twenty-Fourth'!K170)</f>
        <v/>
      </c>
      <c r="M5917" s="67" t="str">
        <f t="shared" si="281"/>
        <v/>
      </c>
      <c r="N5917" s="76" t="str">
        <f t="shared" si="282"/>
        <v/>
      </c>
      <c r="O5917" s="33">
        <f t="shared" si="283"/>
        <v>0</v>
      </c>
    </row>
    <row r="5918" spans="1:15" x14ac:dyDescent="0.25">
      <c r="A5918" s="64" t="s">
        <v>193</v>
      </c>
      <c r="B5918" s="79" t="str">
        <f>IF('Twenty-Fourth'!B171="", "",'Twenty-Fourth'!B171)</f>
        <v/>
      </c>
      <c r="C5918" s="66" t="str">
        <f>IF('Twenty-Fourth'!C171="", "",'Twenty-Fourth'!C171)</f>
        <v/>
      </c>
      <c r="D5918" s="66" t="str">
        <f>IF('Twenty-Fourth'!D171="", "",'Twenty-Fourth'!D171)</f>
        <v/>
      </c>
      <c r="E5918" s="66" t="str">
        <f>IF('Twenty-Fourth'!E171="", "",'Twenty-Fourth'!E171)</f>
        <v/>
      </c>
      <c r="F5918" s="66" t="str">
        <f>IF('Twenty-Fourth'!F171="", "",'Twenty-Fourth'!F171)</f>
        <v/>
      </c>
      <c r="G5918" s="66" t="str">
        <f>IF('Twenty-Fourth'!G171="", "",'Twenty-Fourth'!G171)</f>
        <v/>
      </c>
      <c r="H5918" s="66" t="str">
        <f>IF('Twenty-Fourth'!H171="", "",'Twenty-Fourth'!H171)</f>
        <v/>
      </c>
      <c r="I5918" s="66" t="str">
        <f>IF('Twenty-Fourth'!I171="", "",'Twenty-Fourth'!I171)</f>
        <v/>
      </c>
      <c r="J5918" s="66" t="str">
        <f>IF('Twenty-Fourth'!J171="", "",'Twenty-Fourth'!J171)</f>
        <v/>
      </c>
      <c r="K5918" s="86" t="str">
        <f>IF('Twenty-Fourth'!K171="", "",'Twenty-Fourth'!K171)</f>
        <v/>
      </c>
      <c r="M5918" s="67" t="str">
        <f t="shared" si="281"/>
        <v/>
      </c>
      <c r="N5918" s="76" t="str">
        <f t="shared" si="282"/>
        <v/>
      </c>
      <c r="O5918" s="33">
        <f t="shared" si="283"/>
        <v>0</v>
      </c>
    </row>
    <row r="5919" spans="1:15" x14ac:dyDescent="0.25">
      <c r="A5919" s="64" t="s">
        <v>193</v>
      </c>
      <c r="B5919" s="79" t="str">
        <f>IF('Twenty-Fourth'!B172="", "",'Twenty-Fourth'!B172)</f>
        <v/>
      </c>
      <c r="C5919" s="66" t="str">
        <f>IF('Twenty-Fourth'!C172="", "",'Twenty-Fourth'!C172)</f>
        <v/>
      </c>
      <c r="D5919" s="66" t="str">
        <f>IF('Twenty-Fourth'!D172="", "",'Twenty-Fourth'!D172)</f>
        <v/>
      </c>
      <c r="E5919" s="66" t="str">
        <f>IF('Twenty-Fourth'!E172="", "",'Twenty-Fourth'!E172)</f>
        <v/>
      </c>
      <c r="F5919" s="66" t="str">
        <f>IF('Twenty-Fourth'!F172="", "",'Twenty-Fourth'!F172)</f>
        <v/>
      </c>
      <c r="G5919" s="66" t="str">
        <f>IF('Twenty-Fourth'!G172="", "",'Twenty-Fourth'!G172)</f>
        <v/>
      </c>
      <c r="H5919" s="66" t="str">
        <f>IF('Twenty-Fourth'!H172="", "",'Twenty-Fourth'!H172)</f>
        <v/>
      </c>
      <c r="I5919" s="66" t="str">
        <f>IF('Twenty-Fourth'!I172="", "",'Twenty-Fourth'!I172)</f>
        <v/>
      </c>
      <c r="J5919" s="66" t="str">
        <f>IF('Twenty-Fourth'!J172="", "",'Twenty-Fourth'!J172)</f>
        <v/>
      </c>
      <c r="K5919" s="86" t="str">
        <f>IF('Twenty-Fourth'!K172="", "",'Twenty-Fourth'!K172)</f>
        <v/>
      </c>
      <c r="M5919" s="67" t="str">
        <f t="shared" si="281"/>
        <v/>
      </c>
      <c r="N5919" s="76" t="str">
        <f t="shared" si="282"/>
        <v/>
      </c>
      <c r="O5919" s="33">
        <f t="shared" si="283"/>
        <v>0</v>
      </c>
    </row>
    <row r="5920" spans="1:15" x14ac:dyDescent="0.25">
      <c r="A5920" s="64" t="s">
        <v>193</v>
      </c>
      <c r="B5920" s="79" t="str">
        <f>IF('Twenty-Fourth'!B173="", "",'Twenty-Fourth'!B173)</f>
        <v/>
      </c>
      <c r="C5920" s="66" t="str">
        <f>IF('Twenty-Fourth'!C173="", "",'Twenty-Fourth'!C173)</f>
        <v/>
      </c>
      <c r="D5920" s="66" t="str">
        <f>IF('Twenty-Fourth'!D173="", "",'Twenty-Fourth'!D173)</f>
        <v/>
      </c>
      <c r="E5920" s="66" t="str">
        <f>IF('Twenty-Fourth'!E173="", "",'Twenty-Fourth'!E173)</f>
        <v/>
      </c>
      <c r="F5920" s="66" t="str">
        <f>IF('Twenty-Fourth'!F173="", "",'Twenty-Fourth'!F173)</f>
        <v/>
      </c>
      <c r="G5920" s="66" t="str">
        <f>IF('Twenty-Fourth'!G173="", "",'Twenty-Fourth'!G173)</f>
        <v/>
      </c>
      <c r="H5920" s="66" t="str">
        <f>IF('Twenty-Fourth'!H173="", "",'Twenty-Fourth'!H173)</f>
        <v/>
      </c>
      <c r="I5920" s="66" t="str">
        <f>IF('Twenty-Fourth'!I173="", "",'Twenty-Fourth'!I173)</f>
        <v/>
      </c>
      <c r="J5920" s="66" t="str">
        <f>IF('Twenty-Fourth'!J173="", "",'Twenty-Fourth'!J173)</f>
        <v/>
      </c>
      <c r="K5920" s="86" t="str">
        <f>IF('Twenty-Fourth'!K173="", "",'Twenty-Fourth'!K173)</f>
        <v/>
      </c>
      <c r="M5920" s="67" t="str">
        <f t="shared" si="281"/>
        <v/>
      </c>
      <c r="N5920" s="76" t="str">
        <f t="shared" si="282"/>
        <v/>
      </c>
      <c r="O5920" s="33">
        <f t="shared" si="283"/>
        <v>0</v>
      </c>
    </row>
    <row r="5921" spans="1:15" x14ac:dyDescent="0.25">
      <c r="A5921" s="64" t="s">
        <v>193</v>
      </c>
      <c r="B5921" s="79" t="str">
        <f>IF('Twenty-Fourth'!B174="", "",'Twenty-Fourth'!B174)</f>
        <v/>
      </c>
      <c r="C5921" s="66" t="str">
        <f>IF('Twenty-Fourth'!C174="", "",'Twenty-Fourth'!C174)</f>
        <v/>
      </c>
      <c r="D5921" s="66" t="str">
        <f>IF('Twenty-Fourth'!D174="", "",'Twenty-Fourth'!D174)</f>
        <v/>
      </c>
      <c r="E5921" s="66" t="str">
        <f>IF('Twenty-Fourth'!E174="", "",'Twenty-Fourth'!E174)</f>
        <v/>
      </c>
      <c r="F5921" s="66" t="str">
        <f>IF('Twenty-Fourth'!F174="", "",'Twenty-Fourth'!F174)</f>
        <v/>
      </c>
      <c r="G5921" s="66" t="str">
        <f>IF('Twenty-Fourth'!G174="", "",'Twenty-Fourth'!G174)</f>
        <v/>
      </c>
      <c r="H5921" s="66" t="str">
        <f>IF('Twenty-Fourth'!H174="", "",'Twenty-Fourth'!H174)</f>
        <v/>
      </c>
      <c r="I5921" s="66" t="str">
        <f>IF('Twenty-Fourth'!I174="", "",'Twenty-Fourth'!I174)</f>
        <v/>
      </c>
      <c r="J5921" s="66" t="str">
        <f>IF('Twenty-Fourth'!J174="", "",'Twenty-Fourth'!J174)</f>
        <v/>
      </c>
      <c r="K5921" s="86" t="str">
        <f>IF('Twenty-Fourth'!K174="", "",'Twenty-Fourth'!K174)</f>
        <v/>
      </c>
      <c r="M5921" s="67" t="str">
        <f t="shared" si="281"/>
        <v/>
      </c>
      <c r="N5921" s="76" t="str">
        <f t="shared" si="282"/>
        <v/>
      </c>
      <c r="O5921" s="33">
        <f t="shared" si="283"/>
        <v>0</v>
      </c>
    </row>
    <row r="5922" spans="1:15" x14ac:dyDescent="0.25">
      <c r="A5922" s="64" t="s">
        <v>193</v>
      </c>
      <c r="B5922" s="79" t="str">
        <f>IF('Twenty-Fourth'!B175="", "",'Twenty-Fourth'!B175)</f>
        <v/>
      </c>
      <c r="C5922" s="66" t="str">
        <f>IF('Twenty-Fourth'!C175="", "",'Twenty-Fourth'!C175)</f>
        <v/>
      </c>
      <c r="D5922" s="66" t="str">
        <f>IF('Twenty-Fourth'!D175="", "",'Twenty-Fourth'!D175)</f>
        <v/>
      </c>
      <c r="E5922" s="66" t="str">
        <f>IF('Twenty-Fourth'!E175="", "",'Twenty-Fourth'!E175)</f>
        <v/>
      </c>
      <c r="F5922" s="66" t="str">
        <f>IF('Twenty-Fourth'!F175="", "",'Twenty-Fourth'!F175)</f>
        <v/>
      </c>
      <c r="G5922" s="66" t="str">
        <f>IF('Twenty-Fourth'!G175="", "",'Twenty-Fourth'!G175)</f>
        <v/>
      </c>
      <c r="H5922" s="66" t="str">
        <f>IF('Twenty-Fourth'!H175="", "",'Twenty-Fourth'!H175)</f>
        <v/>
      </c>
      <c r="I5922" s="66" t="str">
        <f>IF('Twenty-Fourth'!I175="", "",'Twenty-Fourth'!I175)</f>
        <v/>
      </c>
      <c r="J5922" s="66" t="str">
        <f>IF('Twenty-Fourth'!J175="", "",'Twenty-Fourth'!J175)</f>
        <v/>
      </c>
      <c r="K5922" s="86" t="str">
        <f>IF('Twenty-Fourth'!K175="", "",'Twenty-Fourth'!K175)</f>
        <v/>
      </c>
      <c r="M5922" s="67" t="str">
        <f t="shared" si="281"/>
        <v/>
      </c>
      <c r="N5922" s="76" t="str">
        <f t="shared" si="282"/>
        <v/>
      </c>
      <c r="O5922" s="33">
        <f t="shared" si="283"/>
        <v>0</v>
      </c>
    </row>
    <row r="5923" spans="1:15" x14ac:dyDescent="0.25">
      <c r="A5923" s="64" t="s">
        <v>193</v>
      </c>
      <c r="B5923" s="79" t="str">
        <f>IF('Twenty-Fourth'!B176="", "",'Twenty-Fourth'!B176)</f>
        <v/>
      </c>
      <c r="C5923" s="66" t="str">
        <f>IF('Twenty-Fourth'!C176="", "",'Twenty-Fourth'!C176)</f>
        <v/>
      </c>
      <c r="D5923" s="66" t="str">
        <f>IF('Twenty-Fourth'!D176="", "",'Twenty-Fourth'!D176)</f>
        <v/>
      </c>
      <c r="E5923" s="66" t="str">
        <f>IF('Twenty-Fourth'!E176="", "",'Twenty-Fourth'!E176)</f>
        <v/>
      </c>
      <c r="F5923" s="66" t="str">
        <f>IF('Twenty-Fourth'!F176="", "",'Twenty-Fourth'!F176)</f>
        <v/>
      </c>
      <c r="G5923" s="66" t="str">
        <f>IF('Twenty-Fourth'!G176="", "",'Twenty-Fourth'!G176)</f>
        <v/>
      </c>
      <c r="H5923" s="66" t="str">
        <f>IF('Twenty-Fourth'!H176="", "",'Twenty-Fourth'!H176)</f>
        <v/>
      </c>
      <c r="I5923" s="66" t="str">
        <f>IF('Twenty-Fourth'!I176="", "",'Twenty-Fourth'!I176)</f>
        <v/>
      </c>
      <c r="J5923" s="66" t="str">
        <f>IF('Twenty-Fourth'!J176="", "",'Twenty-Fourth'!J176)</f>
        <v/>
      </c>
      <c r="K5923" s="86" t="str">
        <f>IF('Twenty-Fourth'!K176="", "",'Twenty-Fourth'!K176)</f>
        <v/>
      </c>
      <c r="M5923" s="67" t="str">
        <f t="shared" si="281"/>
        <v/>
      </c>
      <c r="N5923" s="76" t="str">
        <f t="shared" si="282"/>
        <v/>
      </c>
      <c r="O5923" s="33">
        <f t="shared" si="283"/>
        <v>0</v>
      </c>
    </row>
    <row r="5924" spans="1:15" x14ac:dyDescent="0.25">
      <c r="A5924" s="64" t="s">
        <v>193</v>
      </c>
      <c r="B5924" s="79" t="str">
        <f>IF('Twenty-Fourth'!B177="", "",'Twenty-Fourth'!B177)</f>
        <v/>
      </c>
      <c r="C5924" s="66" t="str">
        <f>IF('Twenty-Fourth'!C177="", "",'Twenty-Fourth'!C177)</f>
        <v/>
      </c>
      <c r="D5924" s="66" t="str">
        <f>IF('Twenty-Fourth'!D177="", "",'Twenty-Fourth'!D177)</f>
        <v/>
      </c>
      <c r="E5924" s="66" t="str">
        <f>IF('Twenty-Fourth'!E177="", "",'Twenty-Fourth'!E177)</f>
        <v/>
      </c>
      <c r="F5924" s="66" t="str">
        <f>IF('Twenty-Fourth'!F177="", "",'Twenty-Fourth'!F177)</f>
        <v/>
      </c>
      <c r="G5924" s="66" t="str">
        <f>IF('Twenty-Fourth'!G177="", "",'Twenty-Fourth'!G177)</f>
        <v/>
      </c>
      <c r="H5924" s="66" t="str">
        <f>IF('Twenty-Fourth'!H177="", "",'Twenty-Fourth'!H177)</f>
        <v/>
      </c>
      <c r="I5924" s="66" t="str">
        <f>IF('Twenty-Fourth'!I177="", "",'Twenty-Fourth'!I177)</f>
        <v/>
      </c>
      <c r="J5924" s="66" t="str">
        <f>IF('Twenty-Fourth'!J177="", "",'Twenty-Fourth'!J177)</f>
        <v/>
      </c>
      <c r="K5924" s="86" t="str">
        <f>IF('Twenty-Fourth'!K177="", "",'Twenty-Fourth'!K177)</f>
        <v/>
      </c>
      <c r="M5924" s="67" t="str">
        <f t="shared" si="281"/>
        <v/>
      </c>
      <c r="N5924" s="76" t="str">
        <f t="shared" si="282"/>
        <v/>
      </c>
      <c r="O5924" s="33">
        <f t="shared" si="283"/>
        <v>0</v>
      </c>
    </row>
    <row r="5925" spans="1:15" x14ac:dyDescent="0.25">
      <c r="A5925" s="64" t="s">
        <v>193</v>
      </c>
      <c r="B5925" s="79" t="str">
        <f>IF('Twenty-Fourth'!B178="", "",'Twenty-Fourth'!B178)</f>
        <v/>
      </c>
      <c r="C5925" s="66" t="str">
        <f>IF('Twenty-Fourth'!C178="", "",'Twenty-Fourth'!C178)</f>
        <v/>
      </c>
      <c r="D5925" s="66" t="str">
        <f>IF('Twenty-Fourth'!D178="", "",'Twenty-Fourth'!D178)</f>
        <v/>
      </c>
      <c r="E5925" s="66" t="str">
        <f>IF('Twenty-Fourth'!E178="", "",'Twenty-Fourth'!E178)</f>
        <v/>
      </c>
      <c r="F5925" s="66" t="str">
        <f>IF('Twenty-Fourth'!F178="", "",'Twenty-Fourth'!F178)</f>
        <v/>
      </c>
      <c r="G5925" s="66" t="str">
        <f>IF('Twenty-Fourth'!G178="", "",'Twenty-Fourth'!G178)</f>
        <v/>
      </c>
      <c r="H5925" s="66" t="str">
        <f>IF('Twenty-Fourth'!H178="", "",'Twenty-Fourth'!H178)</f>
        <v/>
      </c>
      <c r="I5925" s="66" t="str">
        <f>IF('Twenty-Fourth'!I178="", "",'Twenty-Fourth'!I178)</f>
        <v/>
      </c>
      <c r="J5925" s="66" t="str">
        <f>IF('Twenty-Fourth'!J178="", "",'Twenty-Fourth'!J178)</f>
        <v/>
      </c>
      <c r="K5925" s="86" t="str">
        <f>IF('Twenty-Fourth'!K178="", "",'Twenty-Fourth'!K178)</f>
        <v/>
      </c>
      <c r="M5925" s="67" t="str">
        <f t="shared" si="281"/>
        <v/>
      </c>
      <c r="N5925" s="76" t="str">
        <f t="shared" si="282"/>
        <v/>
      </c>
      <c r="O5925" s="33">
        <f t="shared" si="283"/>
        <v>0</v>
      </c>
    </row>
    <row r="5926" spans="1:15" x14ac:dyDescent="0.25">
      <c r="A5926" s="64" t="s">
        <v>193</v>
      </c>
      <c r="B5926" s="79" t="str">
        <f>IF('Twenty-Fourth'!B179="", "",'Twenty-Fourth'!B179)</f>
        <v/>
      </c>
      <c r="C5926" s="66" t="str">
        <f>IF('Twenty-Fourth'!C179="", "",'Twenty-Fourth'!C179)</f>
        <v/>
      </c>
      <c r="D5926" s="66" t="str">
        <f>IF('Twenty-Fourth'!D179="", "",'Twenty-Fourth'!D179)</f>
        <v/>
      </c>
      <c r="E5926" s="66" t="str">
        <f>IF('Twenty-Fourth'!E179="", "",'Twenty-Fourth'!E179)</f>
        <v/>
      </c>
      <c r="F5926" s="66" t="str">
        <f>IF('Twenty-Fourth'!F179="", "",'Twenty-Fourth'!F179)</f>
        <v/>
      </c>
      <c r="G5926" s="66" t="str">
        <f>IF('Twenty-Fourth'!G179="", "",'Twenty-Fourth'!G179)</f>
        <v/>
      </c>
      <c r="H5926" s="66" t="str">
        <f>IF('Twenty-Fourth'!H179="", "",'Twenty-Fourth'!H179)</f>
        <v/>
      </c>
      <c r="I5926" s="66" t="str">
        <f>IF('Twenty-Fourth'!I179="", "",'Twenty-Fourth'!I179)</f>
        <v/>
      </c>
      <c r="J5926" s="66" t="str">
        <f>IF('Twenty-Fourth'!J179="", "",'Twenty-Fourth'!J179)</f>
        <v/>
      </c>
      <c r="K5926" s="86" t="str">
        <f>IF('Twenty-Fourth'!K179="", "",'Twenty-Fourth'!K179)</f>
        <v/>
      </c>
      <c r="M5926" s="67" t="str">
        <f t="shared" si="281"/>
        <v/>
      </c>
      <c r="N5926" s="76" t="str">
        <f t="shared" si="282"/>
        <v/>
      </c>
      <c r="O5926" s="33">
        <f t="shared" si="283"/>
        <v>0</v>
      </c>
    </row>
    <row r="5927" spans="1:15" x14ac:dyDescent="0.25">
      <c r="A5927" s="64" t="s">
        <v>193</v>
      </c>
      <c r="B5927" s="79" t="str">
        <f>IF('Twenty-Fourth'!B180="", "",'Twenty-Fourth'!B180)</f>
        <v/>
      </c>
      <c r="C5927" s="66" t="str">
        <f>IF('Twenty-Fourth'!C180="", "",'Twenty-Fourth'!C180)</f>
        <v/>
      </c>
      <c r="D5927" s="66" t="str">
        <f>IF('Twenty-Fourth'!D180="", "",'Twenty-Fourth'!D180)</f>
        <v/>
      </c>
      <c r="E5927" s="66" t="str">
        <f>IF('Twenty-Fourth'!E180="", "",'Twenty-Fourth'!E180)</f>
        <v/>
      </c>
      <c r="F5927" s="66" t="str">
        <f>IF('Twenty-Fourth'!F180="", "",'Twenty-Fourth'!F180)</f>
        <v/>
      </c>
      <c r="G5927" s="66" t="str">
        <f>IF('Twenty-Fourth'!G180="", "",'Twenty-Fourth'!G180)</f>
        <v/>
      </c>
      <c r="H5927" s="66" t="str">
        <f>IF('Twenty-Fourth'!H180="", "",'Twenty-Fourth'!H180)</f>
        <v/>
      </c>
      <c r="I5927" s="66" t="str">
        <f>IF('Twenty-Fourth'!I180="", "",'Twenty-Fourth'!I180)</f>
        <v/>
      </c>
      <c r="J5927" s="66" t="str">
        <f>IF('Twenty-Fourth'!J180="", "",'Twenty-Fourth'!J180)</f>
        <v/>
      </c>
      <c r="K5927" s="86" t="str">
        <f>IF('Twenty-Fourth'!K180="", "",'Twenty-Fourth'!K180)</f>
        <v/>
      </c>
      <c r="M5927" s="67" t="str">
        <f t="shared" si="281"/>
        <v/>
      </c>
      <c r="N5927" s="76" t="str">
        <f t="shared" si="282"/>
        <v/>
      </c>
      <c r="O5927" s="33">
        <f t="shared" si="283"/>
        <v>0</v>
      </c>
    </row>
    <row r="5928" spans="1:15" x14ac:dyDescent="0.25">
      <c r="A5928" s="64" t="s">
        <v>193</v>
      </c>
      <c r="B5928" s="79" t="str">
        <f>IF('Twenty-Fourth'!B181="", "",'Twenty-Fourth'!B181)</f>
        <v/>
      </c>
      <c r="C5928" s="66" t="str">
        <f>IF('Twenty-Fourth'!C181="", "",'Twenty-Fourth'!C181)</f>
        <v/>
      </c>
      <c r="D5928" s="66" t="str">
        <f>IF('Twenty-Fourth'!D181="", "",'Twenty-Fourth'!D181)</f>
        <v/>
      </c>
      <c r="E5928" s="66" t="str">
        <f>IF('Twenty-Fourth'!E181="", "",'Twenty-Fourth'!E181)</f>
        <v/>
      </c>
      <c r="F5928" s="66" t="str">
        <f>IF('Twenty-Fourth'!F181="", "",'Twenty-Fourth'!F181)</f>
        <v/>
      </c>
      <c r="G5928" s="66" t="str">
        <f>IF('Twenty-Fourth'!G181="", "",'Twenty-Fourth'!G181)</f>
        <v/>
      </c>
      <c r="H5928" s="66" t="str">
        <f>IF('Twenty-Fourth'!H181="", "",'Twenty-Fourth'!H181)</f>
        <v/>
      </c>
      <c r="I5928" s="66" t="str">
        <f>IF('Twenty-Fourth'!I181="", "",'Twenty-Fourth'!I181)</f>
        <v/>
      </c>
      <c r="J5928" s="66" t="str">
        <f>IF('Twenty-Fourth'!J181="", "",'Twenty-Fourth'!J181)</f>
        <v/>
      </c>
      <c r="K5928" s="86" t="str">
        <f>IF('Twenty-Fourth'!K181="", "",'Twenty-Fourth'!K181)</f>
        <v/>
      </c>
      <c r="M5928" s="67" t="str">
        <f t="shared" si="281"/>
        <v/>
      </c>
      <c r="N5928" s="76" t="str">
        <f t="shared" si="282"/>
        <v/>
      </c>
      <c r="O5928" s="33">
        <f t="shared" si="283"/>
        <v>0</v>
      </c>
    </row>
    <row r="5929" spans="1:15" x14ac:dyDescent="0.25">
      <c r="A5929" s="64" t="s">
        <v>193</v>
      </c>
      <c r="B5929" s="79" t="str">
        <f>IF('Twenty-Fourth'!B182="", "",'Twenty-Fourth'!B182)</f>
        <v/>
      </c>
      <c r="C5929" s="66" t="str">
        <f>IF('Twenty-Fourth'!C182="", "",'Twenty-Fourth'!C182)</f>
        <v/>
      </c>
      <c r="D5929" s="66" t="str">
        <f>IF('Twenty-Fourth'!D182="", "",'Twenty-Fourth'!D182)</f>
        <v/>
      </c>
      <c r="E5929" s="66" t="str">
        <f>IF('Twenty-Fourth'!E182="", "",'Twenty-Fourth'!E182)</f>
        <v/>
      </c>
      <c r="F5929" s="66" t="str">
        <f>IF('Twenty-Fourth'!F182="", "",'Twenty-Fourth'!F182)</f>
        <v/>
      </c>
      <c r="G5929" s="66" t="str">
        <f>IF('Twenty-Fourth'!G182="", "",'Twenty-Fourth'!G182)</f>
        <v/>
      </c>
      <c r="H5929" s="66" t="str">
        <f>IF('Twenty-Fourth'!H182="", "",'Twenty-Fourth'!H182)</f>
        <v/>
      </c>
      <c r="I5929" s="66" t="str">
        <f>IF('Twenty-Fourth'!I182="", "",'Twenty-Fourth'!I182)</f>
        <v/>
      </c>
      <c r="J5929" s="66" t="str">
        <f>IF('Twenty-Fourth'!J182="", "",'Twenty-Fourth'!J182)</f>
        <v/>
      </c>
      <c r="K5929" s="86" t="str">
        <f>IF('Twenty-Fourth'!K182="", "",'Twenty-Fourth'!K182)</f>
        <v/>
      </c>
      <c r="M5929" s="67" t="str">
        <f t="shared" si="281"/>
        <v/>
      </c>
      <c r="N5929" s="76" t="str">
        <f t="shared" si="282"/>
        <v/>
      </c>
      <c r="O5929" s="33">
        <f t="shared" si="283"/>
        <v>0</v>
      </c>
    </row>
    <row r="5930" spans="1:15" x14ac:dyDescent="0.25">
      <c r="A5930" s="64" t="s">
        <v>193</v>
      </c>
      <c r="B5930" s="79" t="str">
        <f>IF('Twenty-Fourth'!B183="", "",'Twenty-Fourth'!B183)</f>
        <v/>
      </c>
      <c r="C5930" s="66" t="str">
        <f>IF('Twenty-Fourth'!C183="", "",'Twenty-Fourth'!C183)</f>
        <v/>
      </c>
      <c r="D5930" s="66" t="str">
        <f>IF('Twenty-Fourth'!D183="", "",'Twenty-Fourth'!D183)</f>
        <v/>
      </c>
      <c r="E5930" s="66" t="str">
        <f>IF('Twenty-Fourth'!E183="", "",'Twenty-Fourth'!E183)</f>
        <v/>
      </c>
      <c r="F5930" s="66" t="str">
        <f>IF('Twenty-Fourth'!F183="", "",'Twenty-Fourth'!F183)</f>
        <v/>
      </c>
      <c r="G5930" s="66" t="str">
        <f>IF('Twenty-Fourth'!G183="", "",'Twenty-Fourth'!G183)</f>
        <v/>
      </c>
      <c r="H5930" s="66" t="str">
        <f>IF('Twenty-Fourth'!H183="", "",'Twenty-Fourth'!H183)</f>
        <v/>
      </c>
      <c r="I5930" s="66" t="str">
        <f>IF('Twenty-Fourth'!I183="", "",'Twenty-Fourth'!I183)</f>
        <v/>
      </c>
      <c r="J5930" s="66" t="str">
        <f>IF('Twenty-Fourth'!J183="", "",'Twenty-Fourth'!J183)</f>
        <v/>
      </c>
      <c r="K5930" s="86" t="str">
        <f>IF('Twenty-Fourth'!K183="", "",'Twenty-Fourth'!K183)</f>
        <v/>
      </c>
      <c r="M5930" s="67" t="str">
        <f t="shared" si="281"/>
        <v/>
      </c>
      <c r="N5930" s="76" t="str">
        <f t="shared" si="282"/>
        <v/>
      </c>
      <c r="O5930" s="33">
        <f t="shared" si="283"/>
        <v>0</v>
      </c>
    </row>
    <row r="5931" spans="1:15" x14ac:dyDescent="0.25">
      <c r="A5931" s="64" t="s">
        <v>193</v>
      </c>
      <c r="B5931" s="79" t="str">
        <f>IF('Twenty-Fourth'!B184="", "",'Twenty-Fourth'!B184)</f>
        <v/>
      </c>
      <c r="C5931" s="66" t="str">
        <f>IF('Twenty-Fourth'!C184="", "",'Twenty-Fourth'!C184)</f>
        <v/>
      </c>
      <c r="D5931" s="66" t="str">
        <f>IF('Twenty-Fourth'!D184="", "",'Twenty-Fourth'!D184)</f>
        <v/>
      </c>
      <c r="E5931" s="66" t="str">
        <f>IF('Twenty-Fourth'!E184="", "",'Twenty-Fourth'!E184)</f>
        <v/>
      </c>
      <c r="F5931" s="66" t="str">
        <f>IF('Twenty-Fourth'!F184="", "",'Twenty-Fourth'!F184)</f>
        <v/>
      </c>
      <c r="G5931" s="66" t="str">
        <f>IF('Twenty-Fourth'!G184="", "",'Twenty-Fourth'!G184)</f>
        <v/>
      </c>
      <c r="H5931" s="66" t="str">
        <f>IF('Twenty-Fourth'!H184="", "",'Twenty-Fourth'!H184)</f>
        <v/>
      </c>
      <c r="I5931" s="66" t="str">
        <f>IF('Twenty-Fourth'!I184="", "",'Twenty-Fourth'!I184)</f>
        <v/>
      </c>
      <c r="J5931" s="66" t="str">
        <f>IF('Twenty-Fourth'!J184="", "",'Twenty-Fourth'!J184)</f>
        <v/>
      </c>
      <c r="K5931" s="86" t="str">
        <f>IF('Twenty-Fourth'!K184="", "",'Twenty-Fourth'!K184)</f>
        <v/>
      </c>
      <c r="M5931" s="67" t="str">
        <f t="shared" si="281"/>
        <v/>
      </c>
      <c r="N5931" s="76" t="str">
        <f t="shared" si="282"/>
        <v/>
      </c>
      <c r="O5931" s="33">
        <f t="shared" si="283"/>
        <v>0</v>
      </c>
    </row>
    <row r="5932" spans="1:15" x14ac:dyDescent="0.25">
      <c r="A5932" s="64" t="s">
        <v>193</v>
      </c>
      <c r="B5932" s="79" t="str">
        <f>IF('Twenty-Fourth'!B185="", "",'Twenty-Fourth'!B185)</f>
        <v/>
      </c>
      <c r="C5932" s="66" t="str">
        <f>IF('Twenty-Fourth'!C185="", "",'Twenty-Fourth'!C185)</f>
        <v/>
      </c>
      <c r="D5932" s="66" t="str">
        <f>IF('Twenty-Fourth'!D185="", "",'Twenty-Fourth'!D185)</f>
        <v/>
      </c>
      <c r="E5932" s="66" t="str">
        <f>IF('Twenty-Fourth'!E185="", "",'Twenty-Fourth'!E185)</f>
        <v/>
      </c>
      <c r="F5932" s="66" t="str">
        <f>IF('Twenty-Fourth'!F185="", "",'Twenty-Fourth'!F185)</f>
        <v/>
      </c>
      <c r="G5932" s="66" t="str">
        <f>IF('Twenty-Fourth'!G185="", "",'Twenty-Fourth'!G185)</f>
        <v/>
      </c>
      <c r="H5932" s="66" t="str">
        <f>IF('Twenty-Fourth'!H185="", "",'Twenty-Fourth'!H185)</f>
        <v/>
      </c>
      <c r="I5932" s="66" t="str">
        <f>IF('Twenty-Fourth'!I185="", "",'Twenty-Fourth'!I185)</f>
        <v/>
      </c>
      <c r="J5932" s="66" t="str">
        <f>IF('Twenty-Fourth'!J185="", "",'Twenty-Fourth'!J185)</f>
        <v/>
      </c>
      <c r="K5932" s="86" t="str">
        <f>IF('Twenty-Fourth'!K185="", "",'Twenty-Fourth'!K185)</f>
        <v/>
      </c>
      <c r="M5932" s="67" t="str">
        <f t="shared" si="281"/>
        <v/>
      </c>
      <c r="N5932" s="76" t="str">
        <f t="shared" si="282"/>
        <v/>
      </c>
      <c r="O5932" s="33">
        <f t="shared" si="283"/>
        <v>0</v>
      </c>
    </row>
    <row r="5933" spans="1:15" x14ac:dyDescent="0.25">
      <c r="A5933" s="64" t="s">
        <v>193</v>
      </c>
      <c r="B5933" s="79" t="str">
        <f>IF('Twenty-Fourth'!B186="", "",'Twenty-Fourth'!B186)</f>
        <v/>
      </c>
      <c r="C5933" s="66" t="str">
        <f>IF('Twenty-Fourth'!C186="", "",'Twenty-Fourth'!C186)</f>
        <v/>
      </c>
      <c r="D5933" s="66" t="str">
        <f>IF('Twenty-Fourth'!D186="", "",'Twenty-Fourth'!D186)</f>
        <v/>
      </c>
      <c r="E5933" s="66" t="str">
        <f>IF('Twenty-Fourth'!E186="", "",'Twenty-Fourth'!E186)</f>
        <v/>
      </c>
      <c r="F5933" s="66" t="str">
        <f>IF('Twenty-Fourth'!F186="", "",'Twenty-Fourth'!F186)</f>
        <v/>
      </c>
      <c r="G5933" s="66" t="str">
        <f>IF('Twenty-Fourth'!G186="", "",'Twenty-Fourth'!G186)</f>
        <v/>
      </c>
      <c r="H5933" s="66" t="str">
        <f>IF('Twenty-Fourth'!H186="", "",'Twenty-Fourth'!H186)</f>
        <v/>
      </c>
      <c r="I5933" s="66" t="str">
        <f>IF('Twenty-Fourth'!I186="", "",'Twenty-Fourth'!I186)</f>
        <v/>
      </c>
      <c r="J5933" s="66" t="str">
        <f>IF('Twenty-Fourth'!J186="", "",'Twenty-Fourth'!J186)</f>
        <v/>
      </c>
      <c r="K5933" s="86" t="str">
        <f>IF('Twenty-Fourth'!K186="", "",'Twenty-Fourth'!K186)</f>
        <v/>
      </c>
      <c r="M5933" s="67" t="str">
        <f t="shared" si="281"/>
        <v/>
      </c>
      <c r="N5933" s="76" t="str">
        <f t="shared" si="282"/>
        <v/>
      </c>
      <c r="O5933" s="33">
        <f t="shared" si="283"/>
        <v>0</v>
      </c>
    </row>
    <row r="5934" spans="1:15" x14ac:dyDescent="0.25">
      <c r="A5934" s="64" t="s">
        <v>193</v>
      </c>
      <c r="B5934" s="79" t="str">
        <f>IF('Twenty-Fourth'!B187="", "",'Twenty-Fourth'!B187)</f>
        <v/>
      </c>
      <c r="C5934" s="66" t="str">
        <f>IF('Twenty-Fourth'!C187="", "",'Twenty-Fourth'!C187)</f>
        <v/>
      </c>
      <c r="D5934" s="66" t="str">
        <f>IF('Twenty-Fourth'!D187="", "",'Twenty-Fourth'!D187)</f>
        <v/>
      </c>
      <c r="E5934" s="66" t="str">
        <f>IF('Twenty-Fourth'!E187="", "",'Twenty-Fourth'!E187)</f>
        <v/>
      </c>
      <c r="F5934" s="66" t="str">
        <f>IF('Twenty-Fourth'!F187="", "",'Twenty-Fourth'!F187)</f>
        <v/>
      </c>
      <c r="G5934" s="66" t="str">
        <f>IF('Twenty-Fourth'!G187="", "",'Twenty-Fourth'!G187)</f>
        <v/>
      </c>
      <c r="H5934" s="66" t="str">
        <f>IF('Twenty-Fourth'!H187="", "",'Twenty-Fourth'!H187)</f>
        <v/>
      </c>
      <c r="I5934" s="66" t="str">
        <f>IF('Twenty-Fourth'!I187="", "",'Twenty-Fourth'!I187)</f>
        <v/>
      </c>
      <c r="J5934" s="66" t="str">
        <f>IF('Twenty-Fourth'!J187="", "",'Twenty-Fourth'!J187)</f>
        <v/>
      </c>
      <c r="K5934" s="86" t="str">
        <f>IF('Twenty-Fourth'!K187="", "",'Twenty-Fourth'!K187)</f>
        <v/>
      </c>
      <c r="M5934" s="67" t="str">
        <f t="shared" si="281"/>
        <v/>
      </c>
      <c r="N5934" s="76" t="str">
        <f t="shared" si="282"/>
        <v/>
      </c>
      <c r="O5934" s="33">
        <f t="shared" si="283"/>
        <v>0</v>
      </c>
    </row>
    <row r="5935" spans="1:15" x14ac:dyDescent="0.25">
      <c r="A5935" s="64" t="s">
        <v>193</v>
      </c>
      <c r="B5935" s="79" t="str">
        <f>IF('Twenty-Fourth'!B188="", "",'Twenty-Fourth'!B188)</f>
        <v/>
      </c>
      <c r="C5935" s="66" t="str">
        <f>IF('Twenty-Fourth'!C188="", "",'Twenty-Fourth'!C188)</f>
        <v/>
      </c>
      <c r="D5935" s="66" t="str">
        <f>IF('Twenty-Fourth'!D188="", "",'Twenty-Fourth'!D188)</f>
        <v/>
      </c>
      <c r="E5935" s="66" t="str">
        <f>IF('Twenty-Fourth'!E188="", "",'Twenty-Fourth'!E188)</f>
        <v/>
      </c>
      <c r="F5935" s="66" t="str">
        <f>IF('Twenty-Fourth'!F188="", "",'Twenty-Fourth'!F188)</f>
        <v/>
      </c>
      <c r="G5935" s="66" t="str">
        <f>IF('Twenty-Fourth'!G188="", "",'Twenty-Fourth'!G188)</f>
        <v/>
      </c>
      <c r="H5935" s="66" t="str">
        <f>IF('Twenty-Fourth'!H188="", "",'Twenty-Fourth'!H188)</f>
        <v/>
      </c>
      <c r="I5935" s="66" t="str">
        <f>IF('Twenty-Fourth'!I188="", "",'Twenty-Fourth'!I188)</f>
        <v/>
      </c>
      <c r="J5935" s="66" t="str">
        <f>IF('Twenty-Fourth'!J188="", "",'Twenty-Fourth'!J188)</f>
        <v/>
      </c>
      <c r="K5935" s="86" t="str">
        <f>IF('Twenty-Fourth'!K188="", "",'Twenty-Fourth'!K188)</f>
        <v/>
      </c>
      <c r="M5935" s="67" t="str">
        <f t="shared" si="281"/>
        <v/>
      </c>
      <c r="N5935" s="76" t="str">
        <f t="shared" si="282"/>
        <v/>
      </c>
      <c r="O5935" s="33">
        <f t="shared" si="283"/>
        <v>0</v>
      </c>
    </row>
    <row r="5936" spans="1:15" x14ac:dyDescent="0.25">
      <c r="A5936" s="64" t="s">
        <v>193</v>
      </c>
      <c r="B5936" s="79" t="str">
        <f>IF('Twenty-Fourth'!B189="", "",'Twenty-Fourth'!B189)</f>
        <v/>
      </c>
      <c r="C5936" s="66" t="str">
        <f>IF('Twenty-Fourth'!C189="", "",'Twenty-Fourth'!C189)</f>
        <v/>
      </c>
      <c r="D5936" s="66" t="str">
        <f>IF('Twenty-Fourth'!D189="", "",'Twenty-Fourth'!D189)</f>
        <v/>
      </c>
      <c r="E5936" s="66" t="str">
        <f>IF('Twenty-Fourth'!E189="", "",'Twenty-Fourth'!E189)</f>
        <v/>
      </c>
      <c r="F5936" s="66" t="str">
        <f>IF('Twenty-Fourth'!F189="", "",'Twenty-Fourth'!F189)</f>
        <v/>
      </c>
      <c r="G5936" s="66" t="str">
        <f>IF('Twenty-Fourth'!G189="", "",'Twenty-Fourth'!G189)</f>
        <v/>
      </c>
      <c r="H5936" s="66" t="str">
        <f>IF('Twenty-Fourth'!H189="", "",'Twenty-Fourth'!H189)</f>
        <v/>
      </c>
      <c r="I5936" s="66" t="str">
        <f>IF('Twenty-Fourth'!I189="", "",'Twenty-Fourth'!I189)</f>
        <v/>
      </c>
      <c r="J5936" s="66" t="str">
        <f>IF('Twenty-Fourth'!J189="", "",'Twenty-Fourth'!J189)</f>
        <v/>
      </c>
      <c r="K5936" s="86" t="str">
        <f>IF('Twenty-Fourth'!K189="", "",'Twenty-Fourth'!K189)</f>
        <v/>
      </c>
      <c r="M5936" s="67" t="str">
        <f t="shared" si="281"/>
        <v/>
      </c>
      <c r="N5936" s="76" t="str">
        <f t="shared" si="282"/>
        <v/>
      </c>
      <c r="O5936" s="33">
        <f t="shared" si="283"/>
        <v>0</v>
      </c>
    </row>
    <row r="5937" spans="1:15" x14ac:dyDescent="0.25">
      <c r="A5937" s="64" t="s">
        <v>193</v>
      </c>
      <c r="B5937" s="79" t="str">
        <f>IF('Twenty-Fourth'!B190="", "",'Twenty-Fourth'!B190)</f>
        <v/>
      </c>
      <c r="C5937" s="66" t="str">
        <f>IF('Twenty-Fourth'!C190="", "",'Twenty-Fourth'!C190)</f>
        <v/>
      </c>
      <c r="D5937" s="66" t="str">
        <f>IF('Twenty-Fourth'!D190="", "",'Twenty-Fourth'!D190)</f>
        <v/>
      </c>
      <c r="E5937" s="66" t="str">
        <f>IF('Twenty-Fourth'!E190="", "",'Twenty-Fourth'!E190)</f>
        <v/>
      </c>
      <c r="F5937" s="66" t="str">
        <f>IF('Twenty-Fourth'!F190="", "",'Twenty-Fourth'!F190)</f>
        <v/>
      </c>
      <c r="G5937" s="66" t="str">
        <f>IF('Twenty-Fourth'!G190="", "",'Twenty-Fourth'!G190)</f>
        <v/>
      </c>
      <c r="H5937" s="66" t="str">
        <f>IF('Twenty-Fourth'!H190="", "",'Twenty-Fourth'!H190)</f>
        <v/>
      </c>
      <c r="I5937" s="66" t="str">
        <f>IF('Twenty-Fourth'!I190="", "",'Twenty-Fourth'!I190)</f>
        <v/>
      </c>
      <c r="J5937" s="66" t="str">
        <f>IF('Twenty-Fourth'!J190="", "",'Twenty-Fourth'!J190)</f>
        <v/>
      </c>
      <c r="K5937" s="86" t="str">
        <f>IF('Twenty-Fourth'!K190="", "",'Twenty-Fourth'!K190)</f>
        <v/>
      </c>
      <c r="M5937" s="67" t="str">
        <f t="shared" si="281"/>
        <v/>
      </c>
      <c r="N5937" s="76" t="str">
        <f t="shared" si="282"/>
        <v/>
      </c>
      <c r="O5937" s="33">
        <f t="shared" si="283"/>
        <v>0</v>
      </c>
    </row>
    <row r="5938" spans="1:15" x14ac:dyDescent="0.25">
      <c r="A5938" s="64" t="s">
        <v>193</v>
      </c>
      <c r="B5938" s="79" t="str">
        <f>IF('Twenty-Fourth'!B191="", "",'Twenty-Fourth'!B191)</f>
        <v/>
      </c>
      <c r="C5938" s="66" t="str">
        <f>IF('Twenty-Fourth'!C191="", "",'Twenty-Fourth'!C191)</f>
        <v/>
      </c>
      <c r="D5938" s="66" t="str">
        <f>IF('Twenty-Fourth'!D191="", "",'Twenty-Fourth'!D191)</f>
        <v/>
      </c>
      <c r="E5938" s="66" t="str">
        <f>IF('Twenty-Fourth'!E191="", "",'Twenty-Fourth'!E191)</f>
        <v/>
      </c>
      <c r="F5938" s="66" t="str">
        <f>IF('Twenty-Fourth'!F191="", "",'Twenty-Fourth'!F191)</f>
        <v/>
      </c>
      <c r="G5938" s="66" t="str">
        <f>IF('Twenty-Fourth'!G191="", "",'Twenty-Fourth'!G191)</f>
        <v/>
      </c>
      <c r="H5938" s="66" t="str">
        <f>IF('Twenty-Fourth'!H191="", "",'Twenty-Fourth'!H191)</f>
        <v/>
      </c>
      <c r="I5938" s="66" t="str">
        <f>IF('Twenty-Fourth'!I191="", "",'Twenty-Fourth'!I191)</f>
        <v/>
      </c>
      <c r="J5938" s="66" t="str">
        <f>IF('Twenty-Fourth'!J191="", "",'Twenty-Fourth'!J191)</f>
        <v/>
      </c>
      <c r="K5938" s="86" t="str">
        <f>IF('Twenty-Fourth'!K191="", "",'Twenty-Fourth'!K191)</f>
        <v/>
      </c>
      <c r="M5938" s="67" t="str">
        <f t="shared" si="281"/>
        <v/>
      </c>
      <c r="N5938" s="76" t="str">
        <f t="shared" si="282"/>
        <v/>
      </c>
      <c r="O5938" s="33">
        <f t="shared" si="283"/>
        <v>0</v>
      </c>
    </row>
    <row r="5939" spans="1:15" x14ac:dyDescent="0.25">
      <c r="A5939" s="64" t="s">
        <v>193</v>
      </c>
      <c r="B5939" s="79" t="str">
        <f>IF('Twenty-Fourth'!B192="", "",'Twenty-Fourth'!B192)</f>
        <v/>
      </c>
      <c r="C5939" s="66" t="str">
        <f>IF('Twenty-Fourth'!C192="", "",'Twenty-Fourth'!C192)</f>
        <v/>
      </c>
      <c r="D5939" s="66" t="str">
        <f>IF('Twenty-Fourth'!D192="", "",'Twenty-Fourth'!D192)</f>
        <v/>
      </c>
      <c r="E5939" s="66" t="str">
        <f>IF('Twenty-Fourth'!E192="", "",'Twenty-Fourth'!E192)</f>
        <v/>
      </c>
      <c r="F5939" s="66" t="str">
        <f>IF('Twenty-Fourth'!F192="", "",'Twenty-Fourth'!F192)</f>
        <v/>
      </c>
      <c r="G5939" s="66" t="str">
        <f>IF('Twenty-Fourth'!G192="", "",'Twenty-Fourth'!G192)</f>
        <v/>
      </c>
      <c r="H5939" s="66" t="str">
        <f>IF('Twenty-Fourth'!H192="", "",'Twenty-Fourth'!H192)</f>
        <v/>
      </c>
      <c r="I5939" s="66" t="str">
        <f>IF('Twenty-Fourth'!I192="", "",'Twenty-Fourth'!I192)</f>
        <v/>
      </c>
      <c r="J5939" s="66" t="str">
        <f>IF('Twenty-Fourth'!J192="", "",'Twenty-Fourth'!J192)</f>
        <v/>
      </c>
      <c r="K5939" s="86" t="str">
        <f>IF('Twenty-Fourth'!K192="", "",'Twenty-Fourth'!K192)</f>
        <v/>
      </c>
      <c r="M5939" s="67" t="str">
        <f t="shared" si="281"/>
        <v/>
      </c>
      <c r="N5939" s="76" t="str">
        <f t="shared" si="282"/>
        <v/>
      </c>
      <c r="O5939" s="33">
        <f t="shared" si="283"/>
        <v>0</v>
      </c>
    </row>
    <row r="5940" spans="1:15" x14ac:dyDescent="0.25">
      <c r="A5940" s="64" t="s">
        <v>193</v>
      </c>
      <c r="B5940" s="79" t="str">
        <f>IF('Twenty-Fourth'!B193="", "",'Twenty-Fourth'!B193)</f>
        <v/>
      </c>
      <c r="C5940" s="66" t="str">
        <f>IF('Twenty-Fourth'!C193="", "",'Twenty-Fourth'!C193)</f>
        <v/>
      </c>
      <c r="D5940" s="66" t="str">
        <f>IF('Twenty-Fourth'!D193="", "",'Twenty-Fourth'!D193)</f>
        <v/>
      </c>
      <c r="E5940" s="66" t="str">
        <f>IF('Twenty-Fourth'!E193="", "",'Twenty-Fourth'!E193)</f>
        <v/>
      </c>
      <c r="F5940" s="66" t="str">
        <f>IF('Twenty-Fourth'!F193="", "",'Twenty-Fourth'!F193)</f>
        <v/>
      </c>
      <c r="G5940" s="66" t="str">
        <f>IF('Twenty-Fourth'!G193="", "",'Twenty-Fourth'!G193)</f>
        <v/>
      </c>
      <c r="H5940" s="66" t="str">
        <f>IF('Twenty-Fourth'!H193="", "",'Twenty-Fourth'!H193)</f>
        <v/>
      </c>
      <c r="I5940" s="66" t="str">
        <f>IF('Twenty-Fourth'!I193="", "",'Twenty-Fourth'!I193)</f>
        <v/>
      </c>
      <c r="J5940" s="66" t="str">
        <f>IF('Twenty-Fourth'!J193="", "",'Twenty-Fourth'!J193)</f>
        <v/>
      </c>
      <c r="K5940" s="86" t="str">
        <f>IF('Twenty-Fourth'!K193="", "",'Twenty-Fourth'!K193)</f>
        <v/>
      </c>
      <c r="M5940" s="67" t="str">
        <f t="shared" si="281"/>
        <v/>
      </c>
      <c r="N5940" s="76" t="str">
        <f t="shared" si="282"/>
        <v/>
      </c>
      <c r="O5940" s="33">
        <f t="shared" si="283"/>
        <v>0</v>
      </c>
    </row>
    <row r="5941" spans="1:15" x14ac:dyDescent="0.25">
      <c r="A5941" s="64" t="s">
        <v>193</v>
      </c>
      <c r="B5941" s="79" t="str">
        <f>IF('Twenty-Fourth'!B194="", "",'Twenty-Fourth'!B194)</f>
        <v/>
      </c>
      <c r="C5941" s="66" t="str">
        <f>IF('Twenty-Fourth'!C194="", "",'Twenty-Fourth'!C194)</f>
        <v/>
      </c>
      <c r="D5941" s="66" t="str">
        <f>IF('Twenty-Fourth'!D194="", "",'Twenty-Fourth'!D194)</f>
        <v/>
      </c>
      <c r="E5941" s="66" t="str">
        <f>IF('Twenty-Fourth'!E194="", "",'Twenty-Fourth'!E194)</f>
        <v/>
      </c>
      <c r="F5941" s="66" t="str">
        <f>IF('Twenty-Fourth'!F194="", "",'Twenty-Fourth'!F194)</f>
        <v/>
      </c>
      <c r="G5941" s="66" t="str">
        <f>IF('Twenty-Fourth'!G194="", "",'Twenty-Fourth'!G194)</f>
        <v/>
      </c>
      <c r="H5941" s="66" t="str">
        <f>IF('Twenty-Fourth'!H194="", "",'Twenty-Fourth'!H194)</f>
        <v/>
      </c>
      <c r="I5941" s="66" t="str">
        <f>IF('Twenty-Fourth'!I194="", "",'Twenty-Fourth'!I194)</f>
        <v/>
      </c>
      <c r="J5941" s="66" t="str">
        <f>IF('Twenty-Fourth'!J194="", "",'Twenty-Fourth'!J194)</f>
        <v/>
      </c>
      <c r="K5941" s="86" t="str">
        <f>IF('Twenty-Fourth'!K194="", "",'Twenty-Fourth'!K194)</f>
        <v/>
      </c>
      <c r="M5941" s="67" t="str">
        <f t="shared" si="281"/>
        <v/>
      </c>
      <c r="N5941" s="76" t="str">
        <f t="shared" si="282"/>
        <v/>
      </c>
      <c r="O5941" s="33">
        <f t="shared" si="283"/>
        <v>0</v>
      </c>
    </row>
    <row r="5942" spans="1:15" x14ac:dyDescent="0.25">
      <c r="A5942" s="64" t="s">
        <v>193</v>
      </c>
      <c r="B5942" s="79" t="str">
        <f>IF('Twenty-Fourth'!B195="", "",'Twenty-Fourth'!B195)</f>
        <v/>
      </c>
      <c r="C5942" s="66" t="str">
        <f>IF('Twenty-Fourth'!C195="", "",'Twenty-Fourth'!C195)</f>
        <v/>
      </c>
      <c r="D5942" s="66" t="str">
        <f>IF('Twenty-Fourth'!D195="", "",'Twenty-Fourth'!D195)</f>
        <v/>
      </c>
      <c r="E5942" s="66" t="str">
        <f>IF('Twenty-Fourth'!E195="", "",'Twenty-Fourth'!E195)</f>
        <v/>
      </c>
      <c r="F5942" s="66" t="str">
        <f>IF('Twenty-Fourth'!F195="", "",'Twenty-Fourth'!F195)</f>
        <v/>
      </c>
      <c r="G5942" s="66" t="str">
        <f>IF('Twenty-Fourth'!G195="", "",'Twenty-Fourth'!G195)</f>
        <v/>
      </c>
      <c r="H5942" s="66" t="str">
        <f>IF('Twenty-Fourth'!H195="", "",'Twenty-Fourth'!H195)</f>
        <v/>
      </c>
      <c r="I5942" s="66" t="str">
        <f>IF('Twenty-Fourth'!I195="", "",'Twenty-Fourth'!I195)</f>
        <v/>
      </c>
      <c r="J5942" s="66" t="str">
        <f>IF('Twenty-Fourth'!J195="", "",'Twenty-Fourth'!J195)</f>
        <v/>
      </c>
      <c r="K5942" s="86" t="str">
        <f>IF('Twenty-Fourth'!K195="", "",'Twenty-Fourth'!K195)</f>
        <v/>
      </c>
      <c r="M5942" s="67" t="str">
        <f t="shared" si="281"/>
        <v/>
      </c>
      <c r="N5942" s="76" t="str">
        <f t="shared" si="282"/>
        <v/>
      </c>
      <c r="O5942" s="33">
        <f t="shared" si="283"/>
        <v>0</v>
      </c>
    </row>
    <row r="5943" spans="1:15" x14ac:dyDescent="0.25">
      <c r="A5943" s="64" t="s">
        <v>193</v>
      </c>
      <c r="B5943" s="79" t="str">
        <f>IF('Twenty-Fourth'!B196="", "",'Twenty-Fourth'!B196)</f>
        <v/>
      </c>
      <c r="C5943" s="66" t="str">
        <f>IF('Twenty-Fourth'!C196="", "",'Twenty-Fourth'!C196)</f>
        <v/>
      </c>
      <c r="D5943" s="66" t="str">
        <f>IF('Twenty-Fourth'!D196="", "",'Twenty-Fourth'!D196)</f>
        <v/>
      </c>
      <c r="E5943" s="66" t="str">
        <f>IF('Twenty-Fourth'!E196="", "",'Twenty-Fourth'!E196)</f>
        <v/>
      </c>
      <c r="F5943" s="66" t="str">
        <f>IF('Twenty-Fourth'!F196="", "",'Twenty-Fourth'!F196)</f>
        <v/>
      </c>
      <c r="G5943" s="66" t="str">
        <f>IF('Twenty-Fourth'!G196="", "",'Twenty-Fourth'!G196)</f>
        <v/>
      </c>
      <c r="H5943" s="66" t="str">
        <f>IF('Twenty-Fourth'!H196="", "",'Twenty-Fourth'!H196)</f>
        <v/>
      </c>
      <c r="I5943" s="66" t="str">
        <f>IF('Twenty-Fourth'!I196="", "",'Twenty-Fourth'!I196)</f>
        <v/>
      </c>
      <c r="J5943" s="66" t="str">
        <f>IF('Twenty-Fourth'!J196="", "",'Twenty-Fourth'!J196)</f>
        <v/>
      </c>
      <c r="K5943" s="86" t="str">
        <f>IF('Twenty-Fourth'!K196="", "",'Twenty-Fourth'!K196)</f>
        <v/>
      </c>
      <c r="M5943" s="67" t="str">
        <f t="shared" si="281"/>
        <v/>
      </c>
      <c r="N5943" s="76" t="str">
        <f t="shared" si="282"/>
        <v/>
      </c>
      <c r="O5943" s="33">
        <f t="shared" si="283"/>
        <v>0</v>
      </c>
    </row>
    <row r="5944" spans="1:15" x14ac:dyDescent="0.25">
      <c r="A5944" s="64" t="s">
        <v>193</v>
      </c>
      <c r="B5944" s="79" t="str">
        <f>IF('Twenty-Fourth'!B197="", "",'Twenty-Fourth'!B197)</f>
        <v/>
      </c>
      <c r="C5944" s="66" t="str">
        <f>IF('Twenty-Fourth'!C197="", "",'Twenty-Fourth'!C197)</f>
        <v/>
      </c>
      <c r="D5944" s="66" t="str">
        <f>IF('Twenty-Fourth'!D197="", "",'Twenty-Fourth'!D197)</f>
        <v/>
      </c>
      <c r="E5944" s="66" t="str">
        <f>IF('Twenty-Fourth'!E197="", "",'Twenty-Fourth'!E197)</f>
        <v/>
      </c>
      <c r="F5944" s="66" t="str">
        <f>IF('Twenty-Fourth'!F197="", "",'Twenty-Fourth'!F197)</f>
        <v/>
      </c>
      <c r="G5944" s="66" t="str">
        <f>IF('Twenty-Fourth'!G197="", "",'Twenty-Fourth'!G197)</f>
        <v/>
      </c>
      <c r="H5944" s="66" t="str">
        <f>IF('Twenty-Fourth'!H197="", "",'Twenty-Fourth'!H197)</f>
        <v/>
      </c>
      <c r="I5944" s="66" t="str">
        <f>IF('Twenty-Fourth'!I197="", "",'Twenty-Fourth'!I197)</f>
        <v/>
      </c>
      <c r="J5944" s="66" t="str">
        <f>IF('Twenty-Fourth'!J197="", "",'Twenty-Fourth'!J197)</f>
        <v/>
      </c>
      <c r="K5944" s="86" t="str">
        <f>IF('Twenty-Fourth'!K197="", "",'Twenty-Fourth'!K197)</f>
        <v/>
      </c>
      <c r="M5944" s="67" t="str">
        <f t="shared" si="281"/>
        <v/>
      </c>
      <c r="N5944" s="76" t="str">
        <f t="shared" si="282"/>
        <v/>
      </c>
      <c r="O5944" s="33">
        <f t="shared" si="283"/>
        <v>0</v>
      </c>
    </row>
    <row r="5945" spans="1:15" x14ac:dyDescent="0.25">
      <c r="A5945" s="64" t="s">
        <v>193</v>
      </c>
      <c r="B5945" s="79" t="str">
        <f>IF('Twenty-Fourth'!B198="", "",'Twenty-Fourth'!B198)</f>
        <v/>
      </c>
      <c r="C5945" s="66" t="str">
        <f>IF('Twenty-Fourth'!C198="", "",'Twenty-Fourth'!C198)</f>
        <v/>
      </c>
      <c r="D5945" s="66" t="str">
        <f>IF('Twenty-Fourth'!D198="", "",'Twenty-Fourth'!D198)</f>
        <v/>
      </c>
      <c r="E5945" s="66" t="str">
        <f>IF('Twenty-Fourth'!E198="", "",'Twenty-Fourth'!E198)</f>
        <v/>
      </c>
      <c r="F5945" s="66" t="str">
        <f>IF('Twenty-Fourth'!F198="", "",'Twenty-Fourth'!F198)</f>
        <v/>
      </c>
      <c r="G5945" s="66" t="str">
        <f>IF('Twenty-Fourth'!G198="", "",'Twenty-Fourth'!G198)</f>
        <v/>
      </c>
      <c r="H5945" s="66" t="str">
        <f>IF('Twenty-Fourth'!H198="", "",'Twenty-Fourth'!H198)</f>
        <v/>
      </c>
      <c r="I5945" s="66" t="str">
        <f>IF('Twenty-Fourth'!I198="", "",'Twenty-Fourth'!I198)</f>
        <v/>
      </c>
      <c r="J5945" s="66" t="str">
        <f>IF('Twenty-Fourth'!J198="", "",'Twenty-Fourth'!J198)</f>
        <v/>
      </c>
      <c r="K5945" s="86" t="str">
        <f>IF('Twenty-Fourth'!K198="", "",'Twenty-Fourth'!K198)</f>
        <v/>
      </c>
      <c r="M5945" s="67" t="str">
        <f t="shared" si="281"/>
        <v/>
      </c>
      <c r="N5945" s="76" t="str">
        <f t="shared" si="282"/>
        <v/>
      </c>
      <c r="O5945" s="33">
        <f t="shared" si="283"/>
        <v>0</v>
      </c>
    </row>
    <row r="5946" spans="1:15" x14ac:dyDescent="0.25">
      <c r="A5946" s="64" t="s">
        <v>193</v>
      </c>
      <c r="B5946" s="79" t="str">
        <f>IF('Twenty-Fourth'!B199="", "",'Twenty-Fourth'!B199)</f>
        <v/>
      </c>
      <c r="C5946" s="66" t="str">
        <f>IF('Twenty-Fourth'!C199="", "",'Twenty-Fourth'!C199)</f>
        <v/>
      </c>
      <c r="D5946" s="66" t="str">
        <f>IF('Twenty-Fourth'!D199="", "",'Twenty-Fourth'!D199)</f>
        <v/>
      </c>
      <c r="E5946" s="66" t="str">
        <f>IF('Twenty-Fourth'!E199="", "",'Twenty-Fourth'!E199)</f>
        <v/>
      </c>
      <c r="F5946" s="66" t="str">
        <f>IF('Twenty-Fourth'!F199="", "",'Twenty-Fourth'!F199)</f>
        <v/>
      </c>
      <c r="G5946" s="66" t="str">
        <f>IF('Twenty-Fourth'!G199="", "",'Twenty-Fourth'!G199)</f>
        <v/>
      </c>
      <c r="H5946" s="66" t="str">
        <f>IF('Twenty-Fourth'!H199="", "",'Twenty-Fourth'!H199)</f>
        <v/>
      </c>
      <c r="I5946" s="66" t="str">
        <f>IF('Twenty-Fourth'!I199="", "",'Twenty-Fourth'!I199)</f>
        <v/>
      </c>
      <c r="J5946" s="66" t="str">
        <f>IF('Twenty-Fourth'!J199="", "",'Twenty-Fourth'!J199)</f>
        <v/>
      </c>
      <c r="K5946" s="86" t="str">
        <f>IF('Twenty-Fourth'!K199="", "",'Twenty-Fourth'!K199)</f>
        <v/>
      </c>
      <c r="M5946" s="67" t="str">
        <f t="shared" si="281"/>
        <v/>
      </c>
      <c r="N5946" s="76" t="str">
        <f t="shared" si="282"/>
        <v/>
      </c>
      <c r="O5946" s="33">
        <f t="shared" si="283"/>
        <v>0</v>
      </c>
    </row>
    <row r="5947" spans="1:15" x14ac:dyDescent="0.25">
      <c r="A5947" s="64" t="s">
        <v>193</v>
      </c>
      <c r="B5947" s="79" t="str">
        <f>IF('Twenty-Fourth'!B200="", "",'Twenty-Fourth'!B200)</f>
        <v/>
      </c>
      <c r="C5947" s="66" t="str">
        <f>IF('Twenty-Fourth'!C200="", "",'Twenty-Fourth'!C200)</f>
        <v/>
      </c>
      <c r="D5947" s="66" t="str">
        <f>IF('Twenty-Fourth'!D200="", "",'Twenty-Fourth'!D200)</f>
        <v/>
      </c>
      <c r="E5947" s="66" t="str">
        <f>IF('Twenty-Fourth'!E200="", "",'Twenty-Fourth'!E200)</f>
        <v/>
      </c>
      <c r="F5947" s="66" t="str">
        <f>IF('Twenty-Fourth'!F200="", "",'Twenty-Fourth'!F200)</f>
        <v/>
      </c>
      <c r="G5947" s="66" t="str">
        <f>IF('Twenty-Fourth'!G200="", "",'Twenty-Fourth'!G200)</f>
        <v/>
      </c>
      <c r="H5947" s="66" t="str">
        <f>IF('Twenty-Fourth'!H200="", "",'Twenty-Fourth'!H200)</f>
        <v/>
      </c>
      <c r="I5947" s="66" t="str">
        <f>IF('Twenty-Fourth'!I200="", "",'Twenty-Fourth'!I200)</f>
        <v/>
      </c>
      <c r="J5947" s="66" t="str">
        <f>IF('Twenty-Fourth'!J200="", "",'Twenty-Fourth'!J200)</f>
        <v/>
      </c>
      <c r="K5947" s="86" t="str">
        <f>IF('Twenty-Fourth'!K200="", "",'Twenty-Fourth'!K200)</f>
        <v/>
      </c>
      <c r="M5947" s="67" t="str">
        <f t="shared" si="281"/>
        <v/>
      </c>
      <c r="N5947" s="76" t="str">
        <f t="shared" si="282"/>
        <v/>
      </c>
      <c r="O5947" s="33">
        <f t="shared" si="283"/>
        <v>0</v>
      </c>
    </row>
    <row r="5948" spans="1:15" x14ac:dyDescent="0.25">
      <c r="A5948" s="64" t="s">
        <v>193</v>
      </c>
      <c r="B5948" s="79" t="str">
        <f>IF('Twenty-Fourth'!B201="", "",'Twenty-Fourth'!B201)</f>
        <v/>
      </c>
      <c r="C5948" s="66" t="str">
        <f>IF('Twenty-Fourth'!C201="", "",'Twenty-Fourth'!C201)</f>
        <v/>
      </c>
      <c r="D5948" s="66" t="str">
        <f>IF('Twenty-Fourth'!D201="", "",'Twenty-Fourth'!D201)</f>
        <v/>
      </c>
      <c r="E5948" s="66" t="str">
        <f>IF('Twenty-Fourth'!E201="", "",'Twenty-Fourth'!E201)</f>
        <v/>
      </c>
      <c r="F5948" s="66" t="str">
        <f>IF('Twenty-Fourth'!F201="", "",'Twenty-Fourth'!F201)</f>
        <v/>
      </c>
      <c r="G5948" s="66" t="str">
        <f>IF('Twenty-Fourth'!G201="", "",'Twenty-Fourth'!G201)</f>
        <v/>
      </c>
      <c r="H5948" s="66" t="str">
        <f>IF('Twenty-Fourth'!H201="", "",'Twenty-Fourth'!H201)</f>
        <v/>
      </c>
      <c r="I5948" s="66" t="str">
        <f>IF('Twenty-Fourth'!I201="", "",'Twenty-Fourth'!I201)</f>
        <v/>
      </c>
      <c r="J5948" s="66" t="str">
        <f>IF('Twenty-Fourth'!J201="", "",'Twenty-Fourth'!J201)</f>
        <v/>
      </c>
      <c r="K5948" s="86" t="str">
        <f>IF('Twenty-Fourth'!K201="", "",'Twenty-Fourth'!K201)</f>
        <v/>
      </c>
      <c r="M5948" s="67" t="str">
        <f t="shared" si="281"/>
        <v/>
      </c>
      <c r="N5948" s="76" t="str">
        <f t="shared" si="282"/>
        <v/>
      </c>
      <c r="O5948" s="33">
        <f t="shared" si="283"/>
        <v>0</v>
      </c>
    </row>
    <row r="5949" spans="1:15" x14ac:dyDescent="0.25">
      <c r="A5949" s="64" t="s">
        <v>193</v>
      </c>
      <c r="B5949" s="79" t="str">
        <f>IF('Twenty-Fourth'!B202="", "",'Twenty-Fourth'!B202)</f>
        <v/>
      </c>
      <c r="C5949" s="66" t="str">
        <f>IF('Twenty-Fourth'!C202="", "",'Twenty-Fourth'!C202)</f>
        <v/>
      </c>
      <c r="D5949" s="66" t="str">
        <f>IF('Twenty-Fourth'!D202="", "",'Twenty-Fourth'!D202)</f>
        <v/>
      </c>
      <c r="E5949" s="66" t="str">
        <f>IF('Twenty-Fourth'!E202="", "",'Twenty-Fourth'!E202)</f>
        <v/>
      </c>
      <c r="F5949" s="66" t="str">
        <f>IF('Twenty-Fourth'!F202="", "",'Twenty-Fourth'!F202)</f>
        <v/>
      </c>
      <c r="G5949" s="66" t="str">
        <f>IF('Twenty-Fourth'!G202="", "",'Twenty-Fourth'!G202)</f>
        <v/>
      </c>
      <c r="H5949" s="66" t="str">
        <f>IF('Twenty-Fourth'!H202="", "",'Twenty-Fourth'!H202)</f>
        <v/>
      </c>
      <c r="I5949" s="66" t="str">
        <f>IF('Twenty-Fourth'!I202="", "",'Twenty-Fourth'!I202)</f>
        <v/>
      </c>
      <c r="J5949" s="66" t="str">
        <f>IF('Twenty-Fourth'!J202="", "",'Twenty-Fourth'!J202)</f>
        <v/>
      </c>
      <c r="K5949" s="86" t="str">
        <f>IF('Twenty-Fourth'!K202="", "",'Twenty-Fourth'!K202)</f>
        <v/>
      </c>
      <c r="M5949" s="67" t="str">
        <f t="shared" si="281"/>
        <v/>
      </c>
      <c r="N5949" s="76" t="str">
        <f t="shared" si="282"/>
        <v/>
      </c>
      <c r="O5949" s="33">
        <f t="shared" si="283"/>
        <v>0</v>
      </c>
    </row>
    <row r="5950" spans="1:15" x14ac:dyDescent="0.25">
      <c r="A5950" s="64" t="s">
        <v>193</v>
      </c>
      <c r="B5950" s="79" t="str">
        <f>IF('Twenty-Fourth'!B203="", "",'Twenty-Fourth'!B203)</f>
        <v/>
      </c>
      <c r="C5950" s="66" t="str">
        <f>IF('Twenty-Fourth'!C203="", "",'Twenty-Fourth'!C203)</f>
        <v/>
      </c>
      <c r="D5950" s="66" t="str">
        <f>IF('Twenty-Fourth'!D203="", "",'Twenty-Fourth'!D203)</f>
        <v/>
      </c>
      <c r="E5950" s="66" t="str">
        <f>IF('Twenty-Fourth'!E203="", "",'Twenty-Fourth'!E203)</f>
        <v/>
      </c>
      <c r="F5950" s="66" t="str">
        <f>IF('Twenty-Fourth'!F203="", "",'Twenty-Fourth'!F203)</f>
        <v/>
      </c>
      <c r="G5950" s="66" t="str">
        <f>IF('Twenty-Fourth'!G203="", "",'Twenty-Fourth'!G203)</f>
        <v/>
      </c>
      <c r="H5950" s="66" t="str">
        <f>IF('Twenty-Fourth'!H203="", "",'Twenty-Fourth'!H203)</f>
        <v/>
      </c>
      <c r="I5950" s="66" t="str">
        <f>IF('Twenty-Fourth'!I203="", "",'Twenty-Fourth'!I203)</f>
        <v/>
      </c>
      <c r="J5950" s="66" t="str">
        <f>IF('Twenty-Fourth'!J203="", "",'Twenty-Fourth'!J203)</f>
        <v/>
      </c>
      <c r="K5950" s="86" t="str">
        <f>IF('Twenty-Fourth'!K203="", "",'Twenty-Fourth'!K203)</f>
        <v/>
      </c>
      <c r="M5950" s="67" t="str">
        <f t="shared" si="281"/>
        <v/>
      </c>
      <c r="N5950" s="76" t="str">
        <f t="shared" si="282"/>
        <v/>
      </c>
      <c r="O5950" s="33">
        <f t="shared" si="283"/>
        <v>0</v>
      </c>
    </row>
    <row r="5951" spans="1:15" x14ac:dyDescent="0.25">
      <c r="A5951" s="64" t="s">
        <v>193</v>
      </c>
      <c r="B5951" s="79" t="str">
        <f>IF('Twenty-Fourth'!B204="", "",'Twenty-Fourth'!B204)</f>
        <v/>
      </c>
      <c r="C5951" s="66" t="str">
        <f>IF('Twenty-Fourth'!C204="", "",'Twenty-Fourth'!C204)</f>
        <v/>
      </c>
      <c r="D5951" s="66" t="str">
        <f>IF('Twenty-Fourth'!D204="", "",'Twenty-Fourth'!D204)</f>
        <v/>
      </c>
      <c r="E5951" s="66" t="str">
        <f>IF('Twenty-Fourth'!E204="", "",'Twenty-Fourth'!E204)</f>
        <v/>
      </c>
      <c r="F5951" s="66" t="str">
        <f>IF('Twenty-Fourth'!F204="", "",'Twenty-Fourth'!F204)</f>
        <v/>
      </c>
      <c r="G5951" s="66" t="str">
        <f>IF('Twenty-Fourth'!G204="", "",'Twenty-Fourth'!G204)</f>
        <v/>
      </c>
      <c r="H5951" s="66" t="str">
        <f>IF('Twenty-Fourth'!H204="", "",'Twenty-Fourth'!H204)</f>
        <v/>
      </c>
      <c r="I5951" s="66" t="str">
        <f>IF('Twenty-Fourth'!I204="", "",'Twenty-Fourth'!I204)</f>
        <v/>
      </c>
      <c r="J5951" s="66" t="str">
        <f>IF('Twenty-Fourth'!J204="", "",'Twenty-Fourth'!J204)</f>
        <v/>
      </c>
      <c r="K5951" s="86" t="str">
        <f>IF('Twenty-Fourth'!K204="", "",'Twenty-Fourth'!K204)</f>
        <v/>
      </c>
      <c r="M5951" s="67" t="str">
        <f t="shared" ref="M5951:M6014" si="284">IF(C5951="PwC",(7-COUNTIF(B5951:H5951,"")),"")</f>
        <v/>
      </c>
      <c r="N5951" s="76" t="str">
        <f t="shared" ref="N5951:N6014" si="285">IF(C5951="Carer",(7-COUNTIF(B5951:H5951,"")),"")</f>
        <v/>
      </c>
      <c r="O5951" s="33">
        <f t="shared" si="283"/>
        <v>0</v>
      </c>
    </row>
    <row r="5952" spans="1:15" x14ac:dyDescent="0.25">
      <c r="A5952" s="64" t="s">
        <v>193</v>
      </c>
      <c r="B5952" s="79" t="str">
        <f>IF('Twenty-Fourth'!B205="", "",'Twenty-Fourth'!B205)</f>
        <v/>
      </c>
      <c r="C5952" s="66" t="str">
        <f>IF('Twenty-Fourth'!C205="", "",'Twenty-Fourth'!C205)</f>
        <v/>
      </c>
      <c r="D5952" s="66" t="str">
        <f>IF('Twenty-Fourth'!D205="", "",'Twenty-Fourth'!D205)</f>
        <v/>
      </c>
      <c r="E5952" s="66" t="str">
        <f>IF('Twenty-Fourth'!E205="", "",'Twenty-Fourth'!E205)</f>
        <v/>
      </c>
      <c r="F5952" s="66" t="str">
        <f>IF('Twenty-Fourth'!F205="", "",'Twenty-Fourth'!F205)</f>
        <v/>
      </c>
      <c r="G5952" s="66" t="str">
        <f>IF('Twenty-Fourth'!G205="", "",'Twenty-Fourth'!G205)</f>
        <v/>
      </c>
      <c r="H5952" s="66" t="str">
        <f>IF('Twenty-Fourth'!H205="", "",'Twenty-Fourth'!H205)</f>
        <v/>
      </c>
      <c r="I5952" s="66" t="str">
        <f>IF('Twenty-Fourth'!I205="", "",'Twenty-Fourth'!I205)</f>
        <v/>
      </c>
      <c r="J5952" s="66" t="str">
        <f>IF('Twenty-Fourth'!J205="", "",'Twenty-Fourth'!J205)</f>
        <v/>
      </c>
      <c r="K5952" s="86" t="str">
        <f>IF('Twenty-Fourth'!K205="", "",'Twenty-Fourth'!K205)</f>
        <v/>
      </c>
      <c r="M5952" s="67" t="str">
        <f t="shared" si="284"/>
        <v/>
      </c>
      <c r="N5952" s="76" t="str">
        <f t="shared" si="285"/>
        <v/>
      </c>
      <c r="O5952" s="33">
        <f t="shared" si="283"/>
        <v>0</v>
      </c>
    </row>
    <row r="5953" spans="1:15" x14ac:dyDescent="0.25">
      <c r="A5953" s="64" t="s">
        <v>193</v>
      </c>
      <c r="B5953" s="79" t="str">
        <f>IF('Twenty-Fourth'!B206="", "",'Twenty-Fourth'!B206)</f>
        <v/>
      </c>
      <c r="C5953" s="66" t="str">
        <f>IF('Twenty-Fourth'!C206="", "",'Twenty-Fourth'!C206)</f>
        <v/>
      </c>
      <c r="D5953" s="66" t="str">
        <f>IF('Twenty-Fourth'!D206="", "",'Twenty-Fourth'!D206)</f>
        <v/>
      </c>
      <c r="E5953" s="66" t="str">
        <f>IF('Twenty-Fourth'!E206="", "",'Twenty-Fourth'!E206)</f>
        <v/>
      </c>
      <c r="F5953" s="66" t="str">
        <f>IF('Twenty-Fourth'!F206="", "",'Twenty-Fourth'!F206)</f>
        <v/>
      </c>
      <c r="G5953" s="66" t="str">
        <f>IF('Twenty-Fourth'!G206="", "",'Twenty-Fourth'!G206)</f>
        <v/>
      </c>
      <c r="H5953" s="66" t="str">
        <f>IF('Twenty-Fourth'!H206="", "",'Twenty-Fourth'!H206)</f>
        <v/>
      </c>
      <c r="I5953" s="66" t="str">
        <f>IF('Twenty-Fourth'!I206="", "",'Twenty-Fourth'!I206)</f>
        <v/>
      </c>
      <c r="J5953" s="66" t="str">
        <f>IF('Twenty-Fourth'!J206="", "",'Twenty-Fourth'!J206)</f>
        <v/>
      </c>
      <c r="K5953" s="86" t="str">
        <f>IF('Twenty-Fourth'!K206="", "",'Twenty-Fourth'!K206)</f>
        <v/>
      </c>
      <c r="M5953" s="67" t="str">
        <f t="shared" si="284"/>
        <v/>
      </c>
      <c r="N5953" s="76" t="str">
        <f t="shared" si="285"/>
        <v/>
      </c>
      <c r="O5953" s="33">
        <f t="shared" si="283"/>
        <v>0</v>
      </c>
    </row>
    <row r="5954" spans="1:15" x14ac:dyDescent="0.25">
      <c r="A5954" s="64" t="s">
        <v>193</v>
      </c>
      <c r="B5954" s="79" t="str">
        <f>IF('Twenty-Fourth'!B207="", "",'Twenty-Fourth'!B207)</f>
        <v/>
      </c>
      <c r="C5954" s="66" t="str">
        <f>IF('Twenty-Fourth'!C207="", "",'Twenty-Fourth'!C207)</f>
        <v/>
      </c>
      <c r="D5954" s="66" t="str">
        <f>IF('Twenty-Fourth'!D207="", "",'Twenty-Fourth'!D207)</f>
        <v/>
      </c>
      <c r="E5954" s="66" t="str">
        <f>IF('Twenty-Fourth'!E207="", "",'Twenty-Fourth'!E207)</f>
        <v/>
      </c>
      <c r="F5954" s="66" t="str">
        <f>IF('Twenty-Fourth'!F207="", "",'Twenty-Fourth'!F207)</f>
        <v/>
      </c>
      <c r="G5954" s="66" t="str">
        <f>IF('Twenty-Fourth'!G207="", "",'Twenty-Fourth'!G207)</f>
        <v/>
      </c>
      <c r="H5954" s="66" t="str">
        <f>IF('Twenty-Fourth'!H207="", "",'Twenty-Fourth'!H207)</f>
        <v/>
      </c>
      <c r="I5954" s="66" t="str">
        <f>IF('Twenty-Fourth'!I207="", "",'Twenty-Fourth'!I207)</f>
        <v/>
      </c>
      <c r="J5954" s="66" t="str">
        <f>IF('Twenty-Fourth'!J207="", "",'Twenty-Fourth'!J207)</f>
        <v/>
      </c>
      <c r="K5954" s="86" t="str">
        <f>IF('Twenty-Fourth'!K207="", "",'Twenty-Fourth'!K207)</f>
        <v/>
      </c>
      <c r="M5954" s="67" t="str">
        <f t="shared" si="284"/>
        <v/>
      </c>
      <c r="N5954" s="76" t="str">
        <f t="shared" si="285"/>
        <v/>
      </c>
      <c r="O5954" s="33">
        <f t="shared" si="283"/>
        <v>0</v>
      </c>
    </row>
    <row r="5955" spans="1:15" x14ac:dyDescent="0.25">
      <c r="A5955" s="64" t="s">
        <v>193</v>
      </c>
      <c r="B5955" s="79" t="str">
        <f>IF('Twenty-Fourth'!B208="", "",'Twenty-Fourth'!B208)</f>
        <v/>
      </c>
      <c r="C5955" s="66" t="str">
        <f>IF('Twenty-Fourth'!C208="", "",'Twenty-Fourth'!C208)</f>
        <v/>
      </c>
      <c r="D5955" s="66" t="str">
        <f>IF('Twenty-Fourth'!D208="", "",'Twenty-Fourth'!D208)</f>
        <v/>
      </c>
      <c r="E5955" s="66" t="str">
        <f>IF('Twenty-Fourth'!E208="", "",'Twenty-Fourth'!E208)</f>
        <v/>
      </c>
      <c r="F5955" s="66" t="str">
        <f>IF('Twenty-Fourth'!F208="", "",'Twenty-Fourth'!F208)</f>
        <v/>
      </c>
      <c r="G5955" s="66" t="str">
        <f>IF('Twenty-Fourth'!G208="", "",'Twenty-Fourth'!G208)</f>
        <v/>
      </c>
      <c r="H5955" s="66" t="str">
        <f>IF('Twenty-Fourth'!H208="", "",'Twenty-Fourth'!H208)</f>
        <v/>
      </c>
      <c r="I5955" s="66" t="str">
        <f>IF('Twenty-Fourth'!I208="", "",'Twenty-Fourth'!I208)</f>
        <v/>
      </c>
      <c r="J5955" s="66" t="str">
        <f>IF('Twenty-Fourth'!J208="", "",'Twenty-Fourth'!J208)</f>
        <v/>
      </c>
      <c r="K5955" s="86" t="str">
        <f>IF('Twenty-Fourth'!K208="", "",'Twenty-Fourth'!K208)</f>
        <v/>
      </c>
      <c r="M5955" s="67" t="str">
        <f t="shared" si="284"/>
        <v/>
      </c>
      <c r="N5955" s="76" t="str">
        <f t="shared" si="285"/>
        <v/>
      </c>
      <c r="O5955" s="33">
        <f t="shared" si="283"/>
        <v>0</v>
      </c>
    </row>
    <row r="5956" spans="1:15" x14ac:dyDescent="0.25">
      <c r="A5956" s="64" t="s">
        <v>193</v>
      </c>
      <c r="B5956" s="79" t="str">
        <f>IF('Twenty-Fourth'!B209="", "",'Twenty-Fourth'!B209)</f>
        <v/>
      </c>
      <c r="C5956" s="66" t="str">
        <f>IF('Twenty-Fourth'!C209="", "",'Twenty-Fourth'!C209)</f>
        <v/>
      </c>
      <c r="D5956" s="66" t="str">
        <f>IF('Twenty-Fourth'!D209="", "",'Twenty-Fourth'!D209)</f>
        <v/>
      </c>
      <c r="E5956" s="66" t="str">
        <f>IF('Twenty-Fourth'!E209="", "",'Twenty-Fourth'!E209)</f>
        <v/>
      </c>
      <c r="F5956" s="66" t="str">
        <f>IF('Twenty-Fourth'!F209="", "",'Twenty-Fourth'!F209)</f>
        <v/>
      </c>
      <c r="G5956" s="66" t="str">
        <f>IF('Twenty-Fourth'!G209="", "",'Twenty-Fourth'!G209)</f>
        <v/>
      </c>
      <c r="H5956" s="66" t="str">
        <f>IF('Twenty-Fourth'!H209="", "",'Twenty-Fourth'!H209)</f>
        <v/>
      </c>
      <c r="I5956" s="66" t="str">
        <f>IF('Twenty-Fourth'!I209="", "",'Twenty-Fourth'!I209)</f>
        <v/>
      </c>
      <c r="J5956" s="66" t="str">
        <f>IF('Twenty-Fourth'!J209="", "",'Twenty-Fourth'!J209)</f>
        <v/>
      </c>
      <c r="K5956" s="86" t="str">
        <f>IF('Twenty-Fourth'!K209="", "",'Twenty-Fourth'!K209)</f>
        <v/>
      </c>
      <c r="M5956" s="67" t="str">
        <f t="shared" si="284"/>
        <v/>
      </c>
      <c r="N5956" s="76" t="str">
        <f t="shared" si="285"/>
        <v/>
      </c>
      <c r="O5956" s="33">
        <f t="shared" si="283"/>
        <v>0</v>
      </c>
    </row>
    <row r="5957" spans="1:15" x14ac:dyDescent="0.25">
      <c r="A5957" s="64" t="s">
        <v>193</v>
      </c>
      <c r="B5957" s="79" t="str">
        <f>IF('Twenty-Fourth'!B210="", "",'Twenty-Fourth'!B210)</f>
        <v/>
      </c>
      <c r="C5957" s="66" t="str">
        <f>IF('Twenty-Fourth'!C210="", "",'Twenty-Fourth'!C210)</f>
        <v/>
      </c>
      <c r="D5957" s="66" t="str">
        <f>IF('Twenty-Fourth'!D210="", "",'Twenty-Fourth'!D210)</f>
        <v/>
      </c>
      <c r="E5957" s="66" t="str">
        <f>IF('Twenty-Fourth'!E210="", "",'Twenty-Fourth'!E210)</f>
        <v/>
      </c>
      <c r="F5957" s="66" t="str">
        <f>IF('Twenty-Fourth'!F210="", "",'Twenty-Fourth'!F210)</f>
        <v/>
      </c>
      <c r="G5957" s="66" t="str">
        <f>IF('Twenty-Fourth'!G210="", "",'Twenty-Fourth'!G210)</f>
        <v/>
      </c>
      <c r="H5957" s="66" t="str">
        <f>IF('Twenty-Fourth'!H210="", "",'Twenty-Fourth'!H210)</f>
        <v/>
      </c>
      <c r="I5957" s="66" t="str">
        <f>IF('Twenty-Fourth'!I210="", "",'Twenty-Fourth'!I210)</f>
        <v/>
      </c>
      <c r="J5957" s="66" t="str">
        <f>IF('Twenty-Fourth'!J210="", "",'Twenty-Fourth'!J210)</f>
        <v/>
      </c>
      <c r="K5957" s="86" t="str">
        <f>IF('Twenty-Fourth'!K210="", "",'Twenty-Fourth'!K210)</f>
        <v/>
      </c>
      <c r="M5957" s="67" t="str">
        <f t="shared" si="284"/>
        <v/>
      </c>
      <c r="N5957" s="76" t="str">
        <f t="shared" si="285"/>
        <v/>
      </c>
      <c r="O5957" s="33">
        <f t="shared" si="283"/>
        <v>0</v>
      </c>
    </row>
    <row r="5958" spans="1:15" x14ac:dyDescent="0.25">
      <c r="A5958" s="64" t="s">
        <v>193</v>
      </c>
      <c r="B5958" s="79" t="str">
        <f>IF('Twenty-Fourth'!B211="", "",'Twenty-Fourth'!B211)</f>
        <v/>
      </c>
      <c r="C5958" s="66" t="str">
        <f>IF('Twenty-Fourth'!C211="", "",'Twenty-Fourth'!C211)</f>
        <v/>
      </c>
      <c r="D5958" s="66" t="str">
        <f>IF('Twenty-Fourth'!D211="", "",'Twenty-Fourth'!D211)</f>
        <v/>
      </c>
      <c r="E5958" s="66" t="str">
        <f>IF('Twenty-Fourth'!E211="", "",'Twenty-Fourth'!E211)</f>
        <v/>
      </c>
      <c r="F5958" s="66" t="str">
        <f>IF('Twenty-Fourth'!F211="", "",'Twenty-Fourth'!F211)</f>
        <v/>
      </c>
      <c r="G5958" s="66" t="str">
        <f>IF('Twenty-Fourth'!G211="", "",'Twenty-Fourth'!G211)</f>
        <v/>
      </c>
      <c r="H5958" s="66" t="str">
        <f>IF('Twenty-Fourth'!H211="", "",'Twenty-Fourth'!H211)</f>
        <v/>
      </c>
      <c r="I5958" s="66" t="str">
        <f>IF('Twenty-Fourth'!I211="", "",'Twenty-Fourth'!I211)</f>
        <v/>
      </c>
      <c r="J5958" s="66" t="str">
        <f>IF('Twenty-Fourth'!J211="", "",'Twenty-Fourth'!J211)</f>
        <v/>
      </c>
      <c r="K5958" s="86" t="str">
        <f>IF('Twenty-Fourth'!K211="", "",'Twenty-Fourth'!K211)</f>
        <v/>
      </c>
      <c r="M5958" s="67" t="str">
        <f t="shared" si="284"/>
        <v/>
      </c>
      <c r="N5958" s="76" t="str">
        <f t="shared" si="285"/>
        <v/>
      </c>
      <c r="O5958" s="33">
        <f t="shared" si="283"/>
        <v>0</v>
      </c>
    </row>
    <row r="5959" spans="1:15" x14ac:dyDescent="0.25">
      <c r="A5959" s="64" t="s">
        <v>193</v>
      </c>
      <c r="B5959" s="79" t="str">
        <f>IF('Twenty-Fourth'!B212="", "",'Twenty-Fourth'!B212)</f>
        <v/>
      </c>
      <c r="C5959" s="66" t="str">
        <f>IF('Twenty-Fourth'!C212="", "",'Twenty-Fourth'!C212)</f>
        <v/>
      </c>
      <c r="D5959" s="66" t="str">
        <f>IF('Twenty-Fourth'!D212="", "",'Twenty-Fourth'!D212)</f>
        <v/>
      </c>
      <c r="E5959" s="66" t="str">
        <f>IF('Twenty-Fourth'!E212="", "",'Twenty-Fourth'!E212)</f>
        <v/>
      </c>
      <c r="F5959" s="66" t="str">
        <f>IF('Twenty-Fourth'!F212="", "",'Twenty-Fourth'!F212)</f>
        <v/>
      </c>
      <c r="G5959" s="66" t="str">
        <f>IF('Twenty-Fourth'!G212="", "",'Twenty-Fourth'!G212)</f>
        <v/>
      </c>
      <c r="H5959" s="66" t="str">
        <f>IF('Twenty-Fourth'!H212="", "",'Twenty-Fourth'!H212)</f>
        <v/>
      </c>
      <c r="I5959" s="66" t="str">
        <f>IF('Twenty-Fourth'!I212="", "",'Twenty-Fourth'!I212)</f>
        <v/>
      </c>
      <c r="J5959" s="66" t="str">
        <f>IF('Twenty-Fourth'!J212="", "",'Twenty-Fourth'!J212)</f>
        <v/>
      </c>
      <c r="K5959" s="86" t="str">
        <f>IF('Twenty-Fourth'!K212="", "",'Twenty-Fourth'!K212)</f>
        <v/>
      </c>
      <c r="M5959" s="67" t="str">
        <f t="shared" si="284"/>
        <v/>
      </c>
      <c r="N5959" s="76" t="str">
        <f t="shared" si="285"/>
        <v/>
      </c>
      <c r="O5959" s="33">
        <f t="shared" si="283"/>
        <v>0</v>
      </c>
    </row>
    <row r="5960" spans="1:15" x14ac:dyDescent="0.25">
      <c r="A5960" s="64" t="s">
        <v>193</v>
      </c>
      <c r="B5960" s="79" t="str">
        <f>IF('Twenty-Fourth'!B213="", "",'Twenty-Fourth'!B213)</f>
        <v/>
      </c>
      <c r="C5960" s="66" t="str">
        <f>IF('Twenty-Fourth'!C213="", "",'Twenty-Fourth'!C213)</f>
        <v/>
      </c>
      <c r="D5960" s="66" t="str">
        <f>IF('Twenty-Fourth'!D213="", "",'Twenty-Fourth'!D213)</f>
        <v/>
      </c>
      <c r="E5960" s="66" t="str">
        <f>IF('Twenty-Fourth'!E213="", "",'Twenty-Fourth'!E213)</f>
        <v/>
      </c>
      <c r="F5960" s="66" t="str">
        <f>IF('Twenty-Fourth'!F213="", "",'Twenty-Fourth'!F213)</f>
        <v/>
      </c>
      <c r="G5960" s="66" t="str">
        <f>IF('Twenty-Fourth'!G213="", "",'Twenty-Fourth'!G213)</f>
        <v/>
      </c>
      <c r="H5960" s="66" t="str">
        <f>IF('Twenty-Fourth'!H213="", "",'Twenty-Fourth'!H213)</f>
        <v/>
      </c>
      <c r="I5960" s="66" t="str">
        <f>IF('Twenty-Fourth'!I213="", "",'Twenty-Fourth'!I213)</f>
        <v/>
      </c>
      <c r="J5960" s="66" t="str">
        <f>IF('Twenty-Fourth'!J213="", "",'Twenty-Fourth'!J213)</f>
        <v/>
      </c>
      <c r="K5960" s="86" t="str">
        <f>IF('Twenty-Fourth'!K213="", "",'Twenty-Fourth'!K213)</f>
        <v/>
      </c>
      <c r="M5960" s="67" t="str">
        <f t="shared" si="284"/>
        <v/>
      </c>
      <c r="N5960" s="76" t="str">
        <f t="shared" si="285"/>
        <v/>
      </c>
      <c r="O5960" s="33">
        <f t="shared" si="283"/>
        <v>0</v>
      </c>
    </row>
    <row r="5961" spans="1:15" x14ac:dyDescent="0.25">
      <c r="A5961" s="64" t="s">
        <v>193</v>
      </c>
      <c r="B5961" s="79" t="str">
        <f>IF('Twenty-Fourth'!B214="", "",'Twenty-Fourth'!B214)</f>
        <v/>
      </c>
      <c r="C5961" s="66" t="str">
        <f>IF('Twenty-Fourth'!C214="", "",'Twenty-Fourth'!C214)</f>
        <v/>
      </c>
      <c r="D5961" s="66" t="str">
        <f>IF('Twenty-Fourth'!D214="", "",'Twenty-Fourth'!D214)</f>
        <v/>
      </c>
      <c r="E5961" s="66" t="str">
        <f>IF('Twenty-Fourth'!E214="", "",'Twenty-Fourth'!E214)</f>
        <v/>
      </c>
      <c r="F5961" s="66" t="str">
        <f>IF('Twenty-Fourth'!F214="", "",'Twenty-Fourth'!F214)</f>
        <v/>
      </c>
      <c r="G5961" s="66" t="str">
        <f>IF('Twenty-Fourth'!G214="", "",'Twenty-Fourth'!G214)</f>
        <v/>
      </c>
      <c r="H5961" s="66" t="str">
        <f>IF('Twenty-Fourth'!H214="", "",'Twenty-Fourth'!H214)</f>
        <v/>
      </c>
      <c r="I5961" s="66" t="str">
        <f>IF('Twenty-Fourth'!I214="", "",'Twenty-Fourth'!I214)</f>
        <v/>
      </c>
      <c r="J5961" s="66" t="str">
        <f>IF('Twenty-Fourth'!J214="", "",'Twenty-Fourth'!J214)</f>
        <v/>
      </c>
      <c r="K5961" s="86" t="str">
        <f>IF('Twenty-Fourth'!K214="", "",'Twenty-Fourth'!K214)</f>
        <v/>
      </c>
      <c r="M5961" s="67" t="str">
        <f t="shared" si="284"/>
        <v/>
      </c>
      <c r="N5961" s="76" t="str">
        <f t="shared" si="285"/>
        <v/>
      </c>
      <c r="O5961" s="33">
        <f t="shared" si="283"/>
        <v>0</v>
      </c>
    </row>
    <row r="5962" spans="1:15" x14ac:dyDescent="0.25">
      <c r="A5962" s="64" t="s">
        <v>193</v>
      </c>
      <c r="B5962" s="79" t="str">
        <f>IF('Twenty-Fourth'!B215="", "",'Twenty-Fourth'!B215)</f>
        <v/>
      </c>
      <c r="C5962" s="66" t="str">
        <f>IF('Twenty-Fourth'!C215="", "",'Twenty-Fourth'!C215)</f>
        <v/>
      </c>
      <c r="D5962" s="66" t="str">
        <f>IF('Twenty-Fourth'!D215="", "",'Twenty-Fourth'!D215)</f>
        <v/>
      </c>
      <c r="E5962" s="66" t="str">
        <f>IF('Twenty-Fourth'!E215="", "",'Twenty-Fourth'!E215)</f>
        <v/>
      </c>
      <c r="F5962" s="66" t="str">
        <f>IF('Twenty-Fourth'!F215="", "",'Twenty-Fourth'!F215)</f>
        <v/>
      </c>
      <c r="G5962" s="66" t="str">
        <f>IF('Twenty-Fourth'!G215="", "",'Twenty-Fourth'!G215)</f>
        <v/>
      </c>
      <c r="H5962" s="66" t="str">
        <f>IF('Twenty-Fourth'!H215="", "",'Twenty-Fourth'!H215)</f>
        <v/>
      </c>
      <c r="I5962" s="66" t="str">
        <f>IF('Twenty-Fourth'!I215="", "",'Twenty-Fourth'!I215)</f>
        <v/>
      </c>
      <c r="J5962" s="66" t="str">
        <f>IF('Twenty-Fourth'!J215="", "",'Twenty-Fourth'!J215)</f>
        <v/>
      </c>
      <c r="K5962" s="86" t="str">
        <f>IF('Twenty-Fourth'!K215="", "",'Twenty-Fourth'!K215)</f>
        <v/>
      </c>
      <c r="M5962" s="67" t="str">
        <f t="shared" si="284"/>
        <v/>
      </c>
      <c r="N5962" s="76" t="str">
        <f t="shared" si="285"/>
        <v/>
      </c>
      <c r="O5962" s="33">
        <f t="shared" ref="O5962:O6025" si="286">SUM(M5962:N5962)</f>
        <v>0</v>
      </c>
    </row>
    <row r="5963" spans="1:15" x14ac:dyDescent="0.25">
      <c r="A5963" s="64" t="s">
        <v>193</v>
      </c>
      <c r="B5963" s="79" t="str">
        <f>IF('Twenty-Fourth'!B216="", "",'Twenty-Fourth'!B216)</f>
        <v/>
      </c>
      <c r="C5963" s="66" t="str">
        <f>IF('Twenty-Fourth'!C216="", "",'Twenty-Fourth'!C216)</f>
        <v/>
      </c>
      <c r="D5963" s="66" t="str">
        <f>IF('Twenty-Fourth'!D216="", "",'Twenty-Fourth'!D216)</f>
        <v/>
      </c>
      <c r="E5963" s="66" t="str">
        <f>IF('Twenty-Fourth'!E216="", "",'Twenty-Fourth'!E216)</f>
        <v/>
      </c>
      <c r="F5963" s="66" t="str">
        <f>IF('Twenty-Fourth'!F216="", "",'Twenty-Fourth'!F216)</f>
        <v/>
      </c>
      <c r="G5963" s="66" t="str">
        <f>IF('Twenty-Fourth'!G216="", "",'Twenty-Fourth'!G216)</f>
        <v/>
      </c>
      <c r="H5963" s="66" t="str">
        <f>IF('Twenty-Fourth'!H216="", "",'Twenty-Fourth'!H216)</f>
        <v/>
      </c>
      <c r="I5963" s="66" t="str">
        <f>IF('Twenty-Fourth'!I216="", "",'Twenty-Fourth'!I216)</f>
        <v/>
      </c>
      <c r="J5963" s="66" t="str">
        <f>IF('Twenty-Fourth'!J216="", "",'Twenty-Fourth'!J216)</f>
        <v/>
      </c>
      <c r="K5963" s="86" t="str">
        <f>IF('Twenty-Fourth'!K216="", "",'Twenty-Fourth'!K216)</f>
        <v/>
      </c>
      <c r="M5963" s="67" t="str">
        <f t="shared" si="284"/>
        <v/>
      </c>
      <c r="N5963" s="76" t="str">
        <f t="shared" si="285"/>
        <v/>
      </c>
      <c r="O5963" s="33">
        <f t="shared" si="286"/>
        <v>0</v>
      </c>
    </row>
    <row r="5964" spans="1:15" x14ac:dyDescent="0.25">
      <c r="A5964" s="64" t="s">
        <v>193</v>
      </c>
      <c r="B5964" s="79" t="str">
        <f>IF('Twenty-Fourth'!B217="", "",'Twenty-Fourth'!B217)</f>
        <v/>
      </c>
      <c r="C5964" s="66" t="str">
        <f>IF('Twenty-Fourth'!C217="", "",'Twenty-Fourth'!C217)</f>
        <v/>
      </c>
      <c r="D5964" s="66" t="str">
        <f>IF('Twenty-Fourth'!D217="", "",'Twenty-Fourth'!D217)</f>
        <v/>
      </c>
      <c r="E5964" s="66" t="str">
        <f>IF('Twenty-Fourth'!E217="", "",'Twenty-Fourth'!E217)</f>
        <v/>
      </c>
      <c r="F5964" s="66" t="str">
        <f>IF('Twenty-Fourth'!F217="", "",'Twenty-Fourth'!F217)</f>
        <v/>
      </c>
      <c r="G5964" s="66" t="str">
        <f>IF('Twenty-Fourth'!G217="", "",'Twenty-Fourth'!G217)</f>
        <v/>
      </c>
      <c r="H5964" s="66" t="str">
        <f>IF('Twenty-Fourth'!H217="", "",'Twenty-Fourth'!H217)</f>
        <v/>
      </c>
      <c r="I5964" s="66" t="str">
        <f>IF('Twenty-Fourth'!I217="", "",'Twenty-Fourth'!I217)</f>
        <v/>
      </c>
      <c r="J5964" s="66" t="str">
        <f>IF('Twenty-Fourth'!J217="", "",'Twenty-Fourth'!J217)</f>
        <v/>
      </c>
      <c r="K5964" s="86" t="str">
        <f>IF('Twenty-Fourth'!K217="", "",'Twenty-Fourth'!K217)</f>
        <v/>
      </c>
      <c r="M5964" s="67" t="str">
        <f t="shared" si="284"/>
        <v/>
      </c>
      <c r="N5964" s="76" t="str">
        <f t="shared" si="285"/>
        <v/>
      </c>
      <c r="O5964" s="33">
        <f t="shared" si="286"/>
        <v>0</v>
      </c>
    </row>
    <row r="5965" spans="1:15" x14ac:dyDescent="0.25">
      <c r="A5965" s="64" t="s">
        <v>193</v>
      </c>
      <c r="B5965" s="79" t="str">
        <f>IF('Twenty-Fourth'!B218="", "",'Twenty-Fourth'!B218)</f>
        <v/>
      </c>
      <c r="C5965" s="66" t="str">
        <f>IF('Twenty-Fourth'!C218="", "",'Twenty-Fourth'!C218)</f>
        <v/>
      </c>
      <c r="D5965" s="66" t="str">
        <f>IF('Twenty-Fourth'!D218="", "",'Twenty-Fourth'!D218)</f>
        <v/>
      </c>
      <c r="E5965" s="66" t="str">
        <f>IF('Twenty-Fourth'!E218="", "",'Twenty-Fourth'!E218)</f>
        <v/>
      </c>
      <c r="F5965" s="66" t="str">
        <f>IF('Twenty-Fourth'!F218="", "",'Twenty-Fourth'!F218)</f>
        <v/>
      </c>
      <c r="G5965" s="66" t="str">
        <f>IF('Twenty-Fourth'!G218="", "",'Twenty-Fourth'!G218)</f>
        <v/>
      </c>
      <c r="H5965" s="66" t="str">
        <f>IF('Twenty-Fourth'!H218="", "",'Twenty-Fourth'!H218)</f>
        <v/>
      </c>
      <c r="I5965" s="66" t="str">
        <f>IF('Twenty-Fourth'!I218="", "",'Twenty-Fourth'!I218)</f>
        <v/>
      </c>
      <c r="J5965" s="66" t="str">
        <f>IF('Twenty-Fourth'!J218="", "",'Twenty-Fourth'!J218)</f>
        <v/>
      </c>
      <c r="K5965" s="86" t="str">
        <f>IF('Twenty-Fourth'!K218="", "",'Twenty-Fourth'!K218)</f>
        <v/>
      </c>
      <c r="M5965" s="67" t="str">
        <f t="shared" si="284"/>
        <v/>
      </c>
      <c r="N5965" s="76" t="str">
        <f t="shared" si="285"/>
        <v/>
      </c>
      <c r="O5965" s="33">
        <f t="shared" si="286"/>
        <v>0</v>
      </c>
    </row>
    <row r="5966" spans="1:15" x14ac:dyDescent="0.25">
      <c r="A5966" s="64" t="s">
        <v>193</v>
      </c>
      <c r="B5966" s="79" t="str">
        <f>IF('Twenty-Fourth'!B219="", "",'Twenty-Fourth'!B219)</f>
        <v/>
      </c>
      <c r="C5966" s="66" t="str">
        <f>IF('Twenty-Fourth'!C219="", "",'Twenty-Fourth'!C219)</f>
        <v/>
      </c>
      <c r="D5966" s="66" t="str">
        <f>IF('Twenty-Fourth'!D219="", "",'Twenty-Fourth'!D219)</f>
        <v/>
      </c>
      <c r="E5966" s="66" t="str">
        <f>IF('Twenty-Fourth'!E219="", "",'Twenty-Fourth'!E219)</f>
        <v/>
      </c>
      <c r="F5966" s="66" t="str">
        <f>IF('Twenty-Fourth'!F219="", "",'Twenty-Fourth'!F219)</f>
        <v/>
      </c>
      <c r="G5966" s="66" t="str">
        <f>IF('Twenty-Fourth'!G219="", "",'Twenty-Fourth'!G219)</f>
        <v/>
      </c>
      <c r="H5966" s="66" t="str">
        <f>IF('Twenty-Fourth'!H219="", "",'Twenty-Fourth'!H219)</f>
        <v/>
      </c>
      <c r="I5966" s="66" t="str">
        <f>IF('Twenty-Fourth'!I219="", "",'Twenty-Fourth'!I219)</f>
        <v/>
      </c>
      <c r="J5966" s="66" t="str">
        <f>IF('Twenty-Fourth'!J219="", "",'Twenty-Fourth'!J219)</f>
        <v/>
      </c>
      <c r="K5966" s="86" t="str">
        <f>IF('Twenty-Fourth'!K219="", "",'Twenty-Fourth'!K219)</f>
        <v/>
      </c>
      <c r="M5966" s="67" t="str">
        <f t="shared" si="284"/>
        <v/>
      </c>
      <c r="N5966" s="76" t="str">
        <f t="shared" si="285"/>
        <v/>
      </c>
      <c r="O5966" s="33">
        <f t="shared" si="286"/>
        <v>0</v>
      </c>
    </row>
    <row r="5967" spans="1:15" x14ac:dyDescent="0.25">
      <c r="A5967" s="64" t="s">
        <v>193</v>
      </c>
      <c r="B5967" s="79" t="str">
        <f>IF('Twenty-Fourth'!B220="", "",'Twenty-Fourth'!B220)</f>
        <v/>
      </c>
      <c r="C5967" s="66" t="str">
        <f>IF('Twenty-Fourth'!C220="", "",'Twenty-Fourth'!C220)</f>
        <v/>
      </c>
      <c r="D5967" s="66" t="str">
        <f>IF('Twenty-Fourth'!D220="", "",'Twenty-Fourth'!D220)</f>
        <v/>
      </c>
      <c r="E5967" s="66" t="str">
        <f>IF('Twenty-Fourth'!E220="", "",'Twenty-Fourth'!E220)</f>
        <v/>
      </c>
      <c r="F5967" s="66" t="str">
        <f>IF('Twenty-Fourth'!F220="", "",'Twenty-Fourth'!F220)</f>
        <v/>
      </c>
      <c r="G5967" s="66" t="str">
        <f>IF('Twenty-Fourth'!G220="", "",'Twenty-Fourth'!G220)</f>
        <v/>
      </c>
      <c r="H5967" s="66" t="str">
        <f>IF('Twenty-Fourth'!H220="", "",'Twenty-Fourth'!H220)</f>
        <v/>
      </c>
      <c r="I5967" s="66" t="str">
        <f>IF('Twenty-Fourth'!I220="", "",'Twenty-Fourth'!I220)</f>
        <v/>
      </c>
      <c r="J5967" s="66" t="str">
        <f>IF('Twenty-Fourth'!J220="", "",'Twenty-Fourth'!J220)</f>
        <v/>
      </c>
      <c r="K5967" s="86" t="str">
        <f>IF('Twenty-Fourth'!K220="", "",'Twenty-Fourth'!K220)</f>
        <v/>
      </c>
      <c r="M5967" s="67" t="str">
        <f t="shared" si="284"/>
        <v/>
      </c>
      <c r="N5967" s="76" t="str">
        <f t="shared" si="285"/>
        <v/>
      </c>
      <c r="O5967" s="33">
        <f t="shared" si="286"/>
        <v>0</v>
      </c>
    </row>
    <row r="5968" spans="1:15" x14ac:dyDescent="0.25">
      <c r="A5968" s="64" t="s">
        <v>193</v>
      </c>
      <c r="B5968" s="79" t="str">
        <f>IF('Twenty-Fourth'!B221="", "",'Twenty-Fourth'!B221)</f>
        <v/>
      </c>
      <c r="C5968" s="66" t="str">
        <f>IF('Twenty-Fourth'!C221="", "",'Twenty-Fourth'!C221)</f>
        <v/>
      </c>
      <c r="D5968" s="66" t="str">
        <f>IF('Twenty-Fourth'!D221="", "",'Twenty-Fourth'!D221)</f>
        <v/>
      </c>
      <c r="E5968" s="66" t="str">
        <f>IF('Twenty-Fourth'!E221="", "",'Twenty-Fourth'!E221)</f>
        <v/>
      </c>
      <c r="F5968" s="66" t="str">
        <f>IF('Twenty-Fourth'!F221="", "",'Twenty-Fourth'!F221)</f>
        <v/>
      </c>
      <c r="G5968" s="66" t="str">
        <f>IF('Twenty-Fourth'!G221="", "",'Twenty-Fourth'!G221)</f>
        <v/>
      </c>
      <c r="H5968" s="66" t="str">
        <f>IF('Twenty-Fourth'!H221="", "",'Twenty-Fourth'!H221)</f>
        <v/>
      </c>
      <c r="I5968" s="66" t="str">
        <f>IF('Twenty-Fourth'!I221="", "",'Twenty-Fourth'!I221)</f>
        <v/>
      </c>
      <c r="J5968" s="66" t="str">
        <f>IF('Twenty-Fourth'!J221="", "",'Twenty-Fourth'!J221)</f>
        <v/>
      </c>
      <c r="K5968" s="86" t="str">
        <f>IF('Twenty-Fourth'!K221="", "",'Twenty-Fourth'!K221)</f>
        <v/>
      </c>
      <c r="M5968" s="67" t="str">
        <f t="shared" si="284"/>
        <v/>
      </c>
      <c r="N5968" s="76" t="str">
        <f t="shared" si="285"/>
        <v/>
      </c>
      <c r="O5968" s="33">
        <f t="shared" si="286"/>
        <v>0</v>
      </c>
    </row>
    <row r="5969" spans="1:15" x14ac:dyDescent="0.25">
      <c r="A5969" s="64" t="s">
        <v>193</v>
      </c>
      <c r="B5969" s="79" t="str">
        <f>IF('Twenty-Fourth'!B222="", "",'Twenty-Fourth'!B222)</f>
        <v/>
      </c>
      <c r="C5969" s="66" t="str">
        <f>IF('Twenty-Fourth'!C222="", "",'Twenty-Fourth'!C222)</f>
        <v/>
      </c>
      <c r="D5969" s="66" t="str">
        <f>IF('Twenty-Fourth'!D222="", "",'Twenty-Fourth'!D222)</f>
        <v/>
      </c>
      <c r="E5969" s="66" t="str">
        <f>IF('Twenty-Fourth'!E222="", "",'Twenty-Fourth'!E222)</f>
        <v/>
      </c>
      <c r="F5969" s="66" t="str">
        <f>IF('Twenty-Fourth'!F222="", "",'Twenty-Fourth'!F222)</f>
        <v/>
      </c>
      <c r="G5969" s="66" t="str">
        <f>IF('Twenty-Fourth'!G222="", "",'Twenty-Fourth'!G222)</f>
        <v/>
      </c>
      <c r="H5969" s="66" t="str">
        <f>IF('Twenty-Fourth'!H222="", "",'Twenty-Fourth'!H222)</f>
        <v/>
      </c>
      <c r="I5969" s="66" t="str">
        <f>IF('Twenty-Fourth'!I222="", "",'Twenty-Fourth'!I222)</f>
        <v/>
      </c>
      <c r="J5969" s="66" t="str">
        <f>IF('Twenty-Fourth'!J222="", "",'Twenty-Fourth'!J222)</f>
        <v/>
      </c>
      <c r="K5969" s="86" t="str">
        <f>IF('Twenty-Fourth'!K222="", "",'Twenty-Fourth'!K222)</f>
        <v/>
      </c>
      <c r="M5969" s="67" t="str">
        <f t="shared" si="284"/>
        <v/>
      </c>
      <c r="N5969" s="76" t="str">
        <f t="shared" si="285"/>
        <v/>
      </c>
      <c r="O5969" s="33">
        <f t="shared" si="286"/>
        <v>0</v>
      </c>
    </row>
    <row r="5970" spans="1:15" x14ac:dyDescent="0.25">
      <c r="A5970" s="64" t="s">
        <v>193</v>
      </c>
      <c r="B5970" s="79" t="str">
        <f>IF('Twenty-Fourth'!B223="", "",'Twenty-Fourth'!B223)</f>
        <v/>
      </c>
      <c r="C5970" s="66" t="str">
        <f>IF('Twenty-Fourth'!C223="", "",'Twenty-Fourth'!C223)</f>
        <v/>
      </c>
      <c r="D5970" s="66" t="str">
        <f>IF('Twenty-Fourth'!D223="", "",'Twenty-Fourth'!D223)</f>
        <v/>
      </c>
      <c r="E5970" s="66" t="str">
        <f>IF('Twenty-Fourth'!E223="", "",'Twenty-Fourth'!E223)</f>
        <v/>
      </c>
      <c r="F5970" s="66" t="str">
        <f>IF('Twenty-Fourth'!F223="", "",'Twenty-Fourth'!F223)</f>
        <v/>
      </c>
      <c r="G5970" s="66" t="str">
        <f>IF('Twenty-Fourth'!G223="", "",'Twenty-Fourth'!G223)</f>
        <v/>
      </c>
      <c r="H5970" s="66" t="str">
        <f>IF('Twenty-Fourth'!H223="", "",'Twenty-Fourth'!H223)</f>
        <v/>
      </c>
      <c r="I5970" s="66" t="str">
        <f>IF('Twenty-Fourth'!I223="", "",'Twenty-Fourth'!I223)</f>
        <v/>
      </c>
      <c r="J5970" s="66" t="str">
        <f>IF('Twenty-Fourth'!J223="", "",'Twenty-Fourth'!J223)</f>
        <v/>
      </c>
      <c r="K5970" s="86" t="str">
        <f>IF('Twenty-Fourth'!K223="", "",'Twenty-Fourth'!K223)</f>
        <v/>
      </c>
      <c r="M5970" s="67" t="str">
        <f t="shared" si="284"/>
        <v/>
      </c>
      <c r="N5970" s="76" t="str">
        <f t="shared" si="285"/>
        <v/>
      </c>
      <c r="O5970" s="33">
        <f t="shared" si="286"/>
        <v>0</v>
      </c>
    </row>
    <row r="5971" spans="1:15" x14ac:dyDescent="0.25">
      <c r="A5971" s="64" t="s">
        <v>193</v>
      </c>
      <c r="B5971" s="79" t="str">
        <f>IF('Twenty-Fourth'!B224="", "",'Twenty-Fourth'!B224)</f>
        <v/>
      </c>
      <c r="C5971" s="66" t="str">
        <f>IF('Twenty-Fourth'!C224="", "",'Twenty-Fourth'!C224)</f>
        <v/>
      </c>
      <c r="D5971" s="66" t="str">
        <f>IF('Twenty-Fourth'!D224="", "",'Twenty-Fourth'!D224)</f>
        <v/>
      </c>
      <c r="E5971" s="66" t="str">
        <f>IF('Twenty-Fourth'!E224="", "",'Twenty-Fourth'!E224)</f>
        <v/>
      </c>
      <c r="F5971" s="66" t="str">
        <f>IF('Twenty-Fourth'!F224="", "",'Twenty-Fourth'!F224)</f>
        <v/>
      </c>
      <c r="G5971" s="66" t="str">
        <f>IF('Twenty-Fourth'!G224="", "",'Twenty-Fourth'!G224)</f>
        <v/>
      </c>
      <c r="H5971" s="66" t="str">
        <f>IF('Twenty-Fourth'!H224="", "",'Twenty-Fourth'!H224)</f>
        <v/>
      </c>
      <c r="I5971" s="66" t="str">
        <f>IF('Twenty-Fourth'!I224="", "",'Twenty-Fourth'!I224)</f>
        <v/>
      </c>
      <c r="J5971" s="66" t="str">
        <f>IF('Twenty-Fourth'!J224="", "",'Twenty-Fourth'!J224)</f>
        <v/>
      </c>
      <c r="K5971" s="86" t="str">
        <f>IF('Twenty-Fourth'!K224="", "",'Twenty-Fourth'!K224)</f>
        <v/>
      </c>
      <c r="M5971" s="67" t="str">
        <f t="shared" si="284"/>
        <v/>
      </c>
      <c r="N5971" s="76" t="str">
        <f t="shared" si="285"/>
        <v/>
      </c>
      <c r="O5971" s="33">
        <f t="shared" si="286"/>
        <v>0</v>
      </c>
    </row>
    <row r="5972" spans="1:15" x14ac:dyDescent="0.25">
      <c r="A5972" s="64" t="s">
        <v>193</v>
      </c>
      <c r="B5972" s="79" t="str">
        <f>IF('Twenty-Fourth'!B225="", "",'Twenty-Fourth'!B225)</f>
        <v/>
      </c>
      <c r="C5972" s="66" t="str">
        <f>IF('Twenty-Fourth'!C225="", "",'Twenty-Fourth'!C225)</f>
        <v/>
      </c>
      <c r="D5972" s="66" t="str">
        <f>IF('Twenty-Fourth'!D225="", "",'Twenty-Fourth'!D225)</f>
        <v/>
      </c>
      <c r="E5972" s="66" t="str">
        <f>IF('Twenty-Fourth'!E225="", "",'Twenty-Fourth'!E225)</f>
        <v/>
      </c>
      <c r="F5972" s="66" t="str">
        <f>IF('Twenty-Fourth'!F225="", "",'Twenty-Fourth'!F225)</f>
        <v/>
      </c>
      <c r="G5972" s="66" t="str">
        <f>IF('Twenty-Fourth'!G225="", "",'Twenty-Fourth'!G225)</f>
        <v/>
      </c>
      <c r="H5972" s="66" t="str">
        <f>IF('Twenty-Fourth'!H225="", "",'Twenty-Fourth'!H225)</f>
        <v/>
      </c>
      <c r="I5972" s="66" t="str">
        <f>IF('Twenty-Fourth'!I225="", "",'Twenty-Fourth'!I225)</f>
        <v/>
      </c>
      <c r="J5972" s="66" t="str">
        <f>IF('Twenty-Fourth'!J225="", "",'Twenty-Fourth'!J225)</f>
        <v/>
      </c>
      <c r="K5972" s="86" t="str">
        <f>IF('Twenty-Fourth'!K225="", "",'Twenty-Fourth'!K225)</f>
        <v/>
      </c>
      <c r="M5972" s="67" t="str">
        <f t="shared" si="284"/>
        <v/>
      </c>
      <c r="N5972" s="76" t="str">
        <f t="shared" si="285"/>
        <v/>
      </c>
      <c r="O5972" s="33">
        <f t="shared" si="286"/>
        <v>0</v>
      </c>
    </row>
    <row r="5973" spans="1:15" x14ac:dyDescent="0.25">
      <c r="A5973" s="64" t="s">
        <v>193</v>
      </c>
      <c r="B5973" s="79" t="str">
        <f>IF('Twenty-Fourth'!B226="", "",'Twenty-Fourth'!B226)</f>
        <v/>
      </c>
      <c r="C5973" s="66" t="str">
        <f>IF('Twenty-Fourth'!C226="", "",'Twenty-Fourth'!C226)</f>
        <v/>
      </c>
      <c r="D5973" s="66" t="str">
        <f>IF('Twenty-Fourth'!D226="", "",'Twenty-Fourth'!D226)</f>
        <v/>
      </c>
      <c r="E5973" s="66" t="str">
        <f>IF('Twenty-Fourth'!E226="", "",'Twenty-Fourth'!E226)</f>
        <v/>
      </c>
      <c r="F5973" s="66" t="str">
        <f>IF('Twenty-Fourth'!F226="", "",'Twenty-Fourth'!F226)</f>
        <v/>
      </c>
      <c r="G5973" s="66" t="str">
        <f>IF('Twenty-Fourth'!G226="", "",'Twenty-Fourth'!G226)</f>
        <v/>
      </c>
      <c r="H5973" s="66" t="str">
        <f>IF('Twenty-Fourth'!H226="", "",'Twenty-Fourth'!H226)</f>
        <v/>
      </c>
      <c r="I5973" s="66" t="str">
        <f>IF('Twenty-Fourth'!I226="", "",'Twenty-Fourth'!I226)</f>
        <v/>
      </c>
      <c r="J5973" s="66" t="str">
        <f>IF('Twenty-Fourth'!J226="", "",'Twenty-Fourth'!J226)</f>
        <v/>
      </c>
      <c r="K5973" s="86" t="str">
        <f>IF('Twenty-Fourth'!K226="", "",'Twenty-Fourth'!K226)</f>
        <v/>
      </c>
      <c r="M5973" s="67" t="str">
        <f t="shared" si="284"/>
        <v/>
      </c>
      <c r="N5973" s="76" t="str">
        <f t="shared" si="285"/>
        <v/>
      </c>
      <c r="O5973" s="33">
        <f t="shared" si="286"/>
        <v>0</v>
      </c>
    </row>
    <row r="5974" spans="1:15" x14ac:dyDescent="0.25">
      <c r="A5974" s="64" t="s">
        <v>193</v>
      </c>
      <c r="B5974" s="79" t="str">
        <f>IF('Twenty-Fourth'!B227="", "",'Twenty-Fourth'!B227)</f>
        <v/>
      </c>
      <c r="C5974" s="66" t="str">
        <f>IF('Twenty-Fourth'!C227="", "",'Twenty-Fourth'!C227)</f>
        <v/>
      </c>
      <c r="D5974" s="66" t="str">
        <f>IF('Twenty-Fourth'!D227="", "",'Twenty-Fourth'!D227)</f>
        <v/>
      </c>
      <c r="E5974" s="66" t="str">
        <f>IF('Twenty-Fourth'!E227="", "",'Twenty-Fourth'!E227)</f>
        <v/>
      </c>
      <c r="F5974" s="66" t="str">
        <f>IF('Twenty-Fourth'!F227="", "",'Twenty-Fourth'!F227)</f>
        <v/>
      </c>
      <c r="G5974" s="66" t="str">
        <f>IF('Twenty-Fourth'!G227="", "",'Twenty-Fourth'!G227)</f>
        <v/>
      </c>
      <c r="H5974" s="66" t="str">
        <f>IF('Twenty-Fourth'!H227="", "",'Twenty-Fourth'!H227)</f>
        <v/>
      </c>
      <c r="I5974" s="66" t="str">
        <f>IF('Twenty-Fourth'!I227="", "",'Twenty-Fourth'!I227)</f>
        <v/>
      </c>
      <c r="J5974" s="66" t="str">
        <f>IF('Twenty-Fourth'!J227="", "",'Twenty-Fourth'!J227)</f>
        <v/>
      </c>
      <c r="K5974" s="86" t="str">
        <f>IF('Twenty-Fourth'!K227="", "",'Twenty-Fourth'!K227)</f>
        <v/>
      </c>
      <c r="M5974" s="67" t="str">
        <f t="shared" si="284"/>
        <v/>
      </c>
      <c r="N5974" s="76" t="str">
        <f t="shared" si="285"/>
        <v/>
      </c>
      <c r="O5974" s="33">
        <f t="shared" si="286"/>
        <v>0</v>
      </c>
    </row>
    <row r="5975" spans="1:15" x14ac:dyDescent="0.25">
      <c r="A5975" s="64" t="s">
        <v>193</v>
      </c>
      <c r="B5975" s="79" t="str">
        <f>IF('Twenty-Fourth'!B228="", "",'Twenty-Fourth'!B228)</f>
        <v/>
      </c>
      <c r="C5975" s="66" t="str">
        <f>IF('Twenty-Fourth'!C228="", "",'Twenty-Fourth'!C228)</f>
        <v/>
      </c>
      <c r="D5975" s="66" t="str">
        <f>IF('Twenty-Fourth'!D228="", "",'Twenty-Fourth'!D228)</f>
        <v/>
      </c>
      <c r="E5975" s="66" t="str">
        <f>IF('Twenty-Fourth'!E228="", "",'Twenty-Fourth'!E228)</f>
        <v/>
      </c>
      <c r="F5975" s="66" t="str">
        <f>IF('Twenty-Fourth'!F228="", "",'Twenty-Fourth'!F228)</f>
        <v/>
      </c>
      <c r="G5975" s="66" t="str">
        <f>IF('Twenty-Fourth'!G228="", "",'Twenty-Fourth'!G228)</f>
        <v/>
      </c>
      <c r="H5975" s="66" t="str">
        <f>IF('Twenty-Fourth'!H228="", "",'Twenty-Fourth'!H228)</f>
        <v/>
      </c>
      <c r="I5975" s="66" t="str">
        <f>IF('Twenty-Fourth'!I228="", "",'Twenty-Fourth'!I228)</f>
        <v/>
      </c>
      <c r="J5975" s="66" t="str">
        <f>IF('Twenty-Fourth'!J228="", "",'Twenty-Fourth'!J228)</f>
        <v/>
      </c>
      <c r="K5975" s="86" t="str">
        <f>IF('Twenty-Fourth'!K228="", "",'Twenty-Fourth'!K228)</f>
        <v/>
      </c>
      <c r="M5975" s="67" t="str">
        <f t="shared" si="284"/>
        <v/>
      </c>
      <c r="N5975" s="76" t="str">
        <f t="shared" si="285"/>
        <v/>
      </c>
      <c r="O5975" s="33">
        <f t="shared" si="286"/>
        <v>0</v>
      </c>
    </row>
    <row r="5976" spans="1:15" x14ac:dyDescent="0.25">
      <c r="A5976" s="64" t="s">
        <v>193</v>
      </c>
      <c r="B5976" s="79" t="str">
        <f>IF('Twenty-Fourth'!B229="", "",'Twenty-Fourth'!B229)</f>
        <v/>
      </c>
      <c r="C5976" s="66" t="str">
        <f>IF('Twenty-Fourth'!C229="", "",'Twenty-Fourth'!C229)</f>
        <v/>
      </c>
      <c r="D5976" s="66" t="str">
        <f>IF('Twenty-Fourth'!D229="", "",'Twenty-Fourth'!D229)</f>
        <v/>
      </c>
      <c r="E5976" s="66" t="str">
        <f>IF('Twenty-Fourth'!E229="", "",'Twenty-Fourth'!E229)</f>
        <v/>
      </c>
      <c r="F5976" s="66" t="str">
        <f>IF('Twenty-Fourth'!F229="", "",'Twenty-Fourth'!F229)</f>
        <v/>
      </c>
      <c r="G5976" s="66" t="str">
        <f>IF('Twenty-Fourth'!G229="", "",'Twenty-Fourth'!G229)</f>
        <v/>
      </c>
      <c r="H5976" s="66" t="str">
        <f>IF('Twenty-Fourth'!H229="", "",'Twenty-Fourth'!H229)</f>
        <v/>
      </c>
      <c r="I5976" s="66" t="str">
        <f>IF('Twenty-Fourth'!I229="", "",'Twenty-Fourth'!I229)</f>
        <v/>
      </c>
      <c r="J5976" s="66" t="str">
        <f>IF('Twenty-Fourth'!J229="", "",'Twenty-Fourth'!J229)</f>
        <v/>
      </c>
      <c r="K5976" s="86" t="str">
        <f>IF('Twenty-Fourth'!K229="", "",'Twenty-Fourth'!K229)</f>
        <v/>
      </c>
      <c r="M5976" s="67" t="str">
        <f t="shared" si="284"/>
        <v/>
      </c>
      <c r="N5976" s="76" t="str">
        <f t="shared" si="285"/>
        <v/>
      </c>
      <c r="O5976" s="33">
        <f t="shared" si="286"/>
        <v>0</v>
      </c>
    </row>
    <row r="5977" spans="1:15" x14ac:dyDescent="0.25">
      <c r="A5977" s="64" t="s">
        <v>193</v>
      </c>
      <c r="B5977" s="79" t="str">
        <f>IF('Twenty-Fourth'!B230="", "",'Twenty-Fourth'!B230)</f>
        <v/>
      </c>
      <c r="C5977" s="66" t="str">
        <f>IF('Twenty-Fourth'!C230="", "",'Twenty-Fourth'!C230)</f>
        <v/>
      </c>
      <c r="D5977" s="66" t="str">
        <f>IF('Twenty-Fourth'!D230="", "",'Twenty-Fourth'!D230)</f>
        <v/>
      </c>
      <c r="E5977" s="66" t="str">
        <f>IF('Twenty-Fourth'!E230="", "",'Twenty-Fourth'!E230)</f>
        <v/>
      </c>
      <c r="F5977" s="66" t="str">
        <f>IF('Twenty-Fourth'!F230="", "",'Twenty-Fourth'!F230)</f>
        <v/>
      </c>
      <c r="G5977" s="66" t="str">
        <f>IF('Twenty-Fourth'!G230="", "",'Twenty-Fourth'!G230)</f>
        <v/>
      </c>
      <c r="H5977" s="66" t="str">
        <f>IF('Twenty-Fourth'!H230="", "",'Twenty-Fourth'!H230)</f>
        <v/>
      </c>
      <c r="I5977" s="66" t="str">
        <f>IF('Twenty-Fourth'!I230="", "",'Twenty-Fourth'!I230)</f>
        <v/>
      </c>
      <c r="J5977" s="66" t="str">
        <f>IF('Twenty-Fourth'!J230="", "",'Twenty-Fourth'!J230)</f>
        <v/>
      </c>
      <c r="K5977" s="86" t="str">
        <f>IF('Twenty-Fourth'!K230="", "",'Twenty-Fourth'!K230)</f>
        <v/>
      </c>
      <c r="M5977" s="67" t="str">
        <f t="shared" si="284"/>
        <v/>
      </c>
      <c r="N5977" s="76" t="str">
        <f t="shared" si="285"/>
        <v/>
      </c>
      <c r="O5977" s="33">
        <f t="shared" si="286"/>
        <v>0</v>
      </c>
    </row>
    <row r="5978" spans="1:15" x14ac:dyDescent="0.25">
      <c r="A5978" s="64" t="s">
        <v>193</v>
      </c>
      <c r="B5978" s="79" t="str">
        <f>IF('Twenty-Fourth'!B231="", "",'Twenty-Fourth'!B231)</f>
        <v/>
      </c>
      <c r="C5978" s="66" t="str">
        <f>IF('Twenty-Fourth'!C231="", "",'Twenty-Fourth'!C231)</f>
        <v/>
      </c>
      <c r="D5978" s="66" t="str">
        <f>IF('Twenty-Fourth'!D231="", "",'Twenty-Fourth'!D231)</f>
        <v/>
      </c>
      <c r="E5978" s="66" t="str">
        <f>IF('Twenty-Fourth'!E231="", "",'Twenty-Fourth'!E231)</f>
        <v/>
      </c>
      <c r="F5978" s="66" t="str">
        <f>IF('Twenty-Fourth'!F231="", "",'Twenty-Fourth'!F231)</f>
        <v/>
      </c>
      <c r="G5978" s="66" t="str">
        <f>IF('Twenty-Fourth'!G231="", "",'Twenty-Fourth'!G231)</f>
        <v/>
      </c>
      <c r="H5978" s="66" t="str">
        <f>IF('Twenty-Fourth'!H231="", "",'Twenty-Fourth'!H231)</f>
        <v/>
      </c>
      <c r="I5978" s="66" t="str">
        <f>IF('Twenty-Fourth'!I231="", "",'Twenty-Fourth'!I231)</f>
        <v/>
      </c>
      <c r="J5978" s="66" t="str">
        <f>IF('Twenty-Fourth'!J231="", "",'Twenty-Fourth'!J231)</f>
        <v/>
      </c>
      <c r="K5978" s="86" t="str">
        <f>IF('Twenty-Fourth'!K231="", "",'Twenty-Fourth'!K231)</f>
        <v/>
      </c>
      <c r="M5978" s="67" t="str">
        <f t="shared" si="284"/>
        <v/>
      </c>
      <c r="N5978" s="76" t="str">
        <f t="shared" si="285"/>
        <v/>
      </c>
      <c r="O5978" s="33">
        <f t="shared" si="286"/>
        <v>0</v>
      </c>
    </row>
    <row r="5979" spans="1:15" x14ac:dyDescent="0.25">
      <c r="A5979" s="64" t="s">
        <v>193</v>
      </c>
      <c r="B5979" s="79" t="str">
        <f>IF('Twenty-Fourth'!B232="", "",'Twenty-Fourth'!B232)</f>
        <v/>
      </c>
      <c r="C5979" s="66" t="str">
        <f>IF('Twenty-Fourth'!C232="", "",'Twenty-Fourth'!C232)</f>
        <v/>
      </c>
      <c r="D5979" s="66" t="str">
        <f>IF('Twenty-Fourth'!D232="", "",'Twenty-Fourth'!D232)</f>
        <v/>
      </c>
      <c r="E5979" s="66" t="str">
        <f>IF('Twenty-Fourth'!E232="", "",'Twenty-Fourth'!E232)</f>
        <v/>
      </c>
      <c r="F5979" s="66" t="str">
        <f>IF('Twenty-Fourth'!F232="", "",'Twenty-Fourth'!F232)</f>
        <v/>
      </c>
      <c r="G5979" s="66" t="str">
        <f>IF('Twenty-Fourth'!G232="", "",'Twenty-Fourth'!G232)</f>
        <v/>
      </c>
      <c r="H5979" s="66" t="str">
        <f>IF('Twenty-Fourth'!H232="", "",'Twenty-Fourth'!H232)</f>
        <v/>
      </c>
      <c r="I5979" s="66" t="str">
        <f>IF('Twenty-Fourth'!I232="", "",'Twenty-Fourth'!I232)</f>
        <v/>
      </c>
      <c r="J5979" s="66" t="str">
        <f>IF('Twenty-Fourth'!J232="", "",'Twenty-Fourth'!J232)</f>
        <v/>
      </c>
      <c r="K5979" s="86" t="str">
        <f>IF('Twenty-Fourth'!K232="", "",'Twenty-Fourth'!K232)</f>
        <v/>
      </c>
      <c r="M5979" s="67" t="str">
        <f t="shared" si="284"/>
        <v/>
      </c>
      <c r="N5979" s="76" t="str">
        <f t="shared" si="285"/>
        <v/>
      </c>
      <c r="O5979" s="33">
        <f t="shared" si="286"/>
        <v>0</v>
      </c>
    </row>
    <row r="5980" spans="1:15" x14ac:dyDescent="0.25">
      <c r="A5980" s="64" t="s">
        <v>193</v>
      </c>
      <c r="B5980" s="79" t="str">
        <f>IF('Twenty-Fourth'!B233="", "",'Twenty-Fourth'!B233)</f>
        <v/>
      </c>
      <c r="C5980" s="66" t="str">
        <f>IF('Twenty-Fourth'!C233="", "",'Twenty-Fourth'!C233)</f>
        <v/>
      </c>
      <c r="D5980" s="66" t="str">
        <f>IF('Twenty-Fourth'!D233="", "",'Twenty-Fourth'!D233)</f>
        <v/>
      </c>
      <c r="E5980" s="66" t="str">
        <f>IF('Twenty-Fourth'!E233="", "",'Twenty-Fourth'!E233)</f>
        <v/>
      </c>
      <c r="F5980" s="66" t="str">
        <f>IF('Twenty-Fourth'!F233="", "",'Twenty-Fourth'!F233)</f>
        <v/>
      </c>
      <c r="G5980" s="66" t="str">
        <f>IF('Twenty-Fourth'!G233="", "",'Twenty-Fourth'!G233)</f>
        <v/>
      </c>
      <c r="H5980" s="66" t="str">
        <f>IF('Twenty-Fourth'!H233="", "",'Twenty-Fourth'!H233)</f>
        <v/>
      </c>
      <c r="I5980" s="66" t="str">
        <f>IF('Twenty-Fourth'!I233="", "",'Twenty-Fourth'!I233)</f>
        <v/>
      </c>
      <c r="J5980" s="66" t="str">
        <f>IF('Twenty-Fourth'!J233="", "",'Twenty-Fourth'!J233)</f>
        <v/>
      </c>
      <c r="K5980" s="86" t="str">
        <f>IF('Twenty-Fourth'!K233="", "",'Twenty-Fourth'!K233)</f>
        <v/>
      </c>
      <c r="M5980" s="67" t="str">
        <f t="shared" si="284"/>
        <v/>
      </c>
      <c r="N5980" s="76" t="str">
        <f t="shared" si="285"/>
        <v/>
      </c>
      <c r="O5980" s="33">
        <f t="shared" si="286"/>
        <v>0</v>
      </c>
    </row>
    <row r="5981" spans="1:15" x14ac:dyDescent="0.25">
      <c r="A5981" s="64" t="s">
        <v>193</v>
      </c>
      <c r="B5981" s="79" t="str">
        <f>IF('Twenty-Fourth'!B234="", "",'Twenty-Fourth'!B234)</f>
        <v/>
      </c>
      <c r="C5981" s="66" t="str">
        <f>IF('Twenty-Fourth'!C234="", "",'Twenty-Fourth'!C234)</f>
        <v/>
      </c>
      <c r="D5981" s="66" t="str">
        <f>IF('Twenty-Fourth'!D234="", "",'Twenty-Fourth'!D234)</f>
        <v/>
      </c>
      <c r="E5981" s="66" t="str">
        <f>IF('Twenty-Fourth'!E234="", "",'Twenty-Fourth'!E234)</f>
        <v/>
      </c>
      <c r="F5981" s="66" t="str">
        <f>IF('Twenty-Fourth'!F234="", "",'Twenty-Fourth'!F234)</f>
        <v/>
      </c>
      <c r="G5981" s="66" t="str">
        <f>IF('Twenty-Fourth'!G234="", "",'Twenty-Fourth'!G234)</f>
        <v/>
      </c>
      <c r="H5981" s="66" t="str">
        <f>IF('Twenty-Fourth'!H234="", "",'Twenty-Fourth'!H234)</f>
        <v/>
      </c>
      <c r="I5981" s="66" t="str">
        <f>IF('Twenty-Fourth'!I234="", "",'Twenty-Fourth'!I234)</f>
        <v/>
      </c>
      <c r="J5981" s="66" t="str">
        <f>IF('Twenty-Fourth'!J234="", "",'Twenty-Fourth'!J234)</f>
        <v/>
      </c>
      <c r="K5981" s="86" t="str">
        <f>IF('Twenty-Fourth'!K234="", "",'Twenty-Fourth'!K234)</f>
        <v/>
      </c>
      <c r="M5981" s="67" t="str">
        <f t="shared" si="284"/>
        <v/>
      </c>
      <c r="N5981" s="76" t="str">
        <f t="shared" si="285"/>
        <v/>
      </c>
      <c r="O5981" s="33">
        <f t="shared" si="286"/>
        <v>0</v>
      </c>
    </row>
    <row r="5982" spans="1:15" x14ac:dyDescent="0.25">
      <c r="A5982" s="64" t="s">
        <v>193</v>
      </c>
      <c r="B5982" s="79" t="str">
        <f>IF('Twenty-Fourth'!B235="", "",'Twenty-Fourth'!B235)</f>
        <v/>
      </c>
      <c r="C5982" s="66" t="str">
        <f>IF('Twenty-Fourth'!C235="", "",'Twenty-Fourth'!C235)</f>
        <v/>
      </c>
      <c r="D5982" s="66" t="str">
        <f>IF('Twenty-Fourth'!D235="", "",'Twenty-Fourth'!D235)</f>
        <v/>
      </c>
      <c r="E5982" s="66" t="str">
        <f>IF('Twenty-Fourth'!E235="", "",'Twenty-Fourth'!E235)</f>
        <v/>
      </c>
      <c r="F5982" s="66" t="str">
        <f>IF('Twenty-Fourth'!F235="", "",'Twenty-Fourth'!F235)</f>
        <v/>
      </c>
      <c r="G5982" s="66" t="str">
        <f>IF('Twenty-Fourth'!G235="", "",'Twenty-Fourth'!G235)</f>
        <v/>
      </c>
      <c r="H5982" s="66" t="str">
        <f>IF('Twenty-Fourth'!H235="", "",'Twenty-Fourth'!H235)</f>
        <v/>
      </c>
      <c r="I5982" s="66" t="str">
        <f>IF('Twenty-Fourth'!I235="", "",'Twenty-Fourth'!I235)</f>
        <v/>
      </c>
      <c r="J5982" s="66" t="str">
        <f>IF('Twenty-Fourth'!J235="", "",'Twenty-Fourth'!J235)</f>
        <v/>
      </c>
      <c r="K5982" s="86" t="str">
        <f>IF('Twenty-Fourth'!K235="", "",'Twenty-Fourth'!K235)</f>
        <v/>
      </c>
      <c r="M5982" s="67" t="str">
        <f t="shared" si="284"/>
        <v/>
      </c>
      <c r="N5982" s="76" t="str">
        <f t="shared" si="285"/>
        <v/>
      </c>
      <c r="O5982" s="33">
        <f t="shared" si="286"/>
        <v>0</v>
      </c>
    </row>
    <row r="5983" spans="1:15" x14ac:dyDescent="0.25">
      <c r="A5983" s="64" t="s">
        <v>193</v>
      </c>
      <c r="B5983" s="79" t="str">
        <f>IF('Twenty-Fourth'!B236="", "",'Twenty-Fourth'!B236)</f>
        <v/>
      </c>
      <c r="C5983" s="66" t="str">
        <f>IF('Twenty-Fourth'!C236="", "",'Twenty-Fourth'!C236)</f>
        <v/>
      </c>
      <c r="D5983" s="66" t="str">
        <f>IF('Twenty-Fourth'!D236="", "",'Twenty-Fourth'!D236)</f>
        <v/>
      </c>
      <c r="E5983" s="66" t="str">
        <f>IF('Twenty-Fourth'!E236="", "",'Twenty-Fourth'!E236)</f>
        <v/>
      </c>
      <c r="F5983" s="66" t="str">
        <f>IF('Twenty-Fourth'!F236="", "",'Twenty-Fourth'!F236)</f>
        <v/>
      </c>
      <c r="G5983" s="66" t="str">
        <f>IF('Twenty-Fourth'!G236="", "",'Twenty-Fourth'!G236)</f>
        <v/>
      </c>
      <c r="H5983" s="66" t="str">
        <f>IF('Twenty-Fourth'!H236="", "",'Twenty-Fourth'!H236)</f>
        <v/>
      </c>
      <c r="I5983" s="66" t="str">
        <f>IF('Twenty-Fourth'!I236="", "",'Twenty-Fourth'!I236)</f>
        <v/>
      </c>
      <c r="J5983" s="66" t="str">
        <f>IF('Twenty-Fourth'!J236="", "",'Twenty-Fourth'!J236)</f>
        <v/>
      </c>
      <c r="K5983" s="86" t="str">
        <f>IF('Twenty-Fourth'!K236="", "",'Twenty-Fourth'!K236)</f>
        <v/>
      </c>
      <c r="M5983" s="67" t="str">
        <f t="shared" si="284"/>
        <v/>
      </c>
      <c r="N5983" s="76" t="str">
        <f t="shared" si="285"/>
        <v/>
      </c>
      <c r="O5983" s="33">
        <f t="shared" si="286"/>
        <v>0</v>
      </c>
    </row>
    <row r="5984" spans="1:15" x14ac:dyDescent="0.25">
      <c r="A5984" s="64" t="s">
        <v>193</v>
      </c>
      <c r="B5984" s="79" t="str">
        <f>IF('Twenty-Fourth'!B237="", "",'Twenty-Fourth'!B237)</f>
        <v/>
      </c>
      <c r="C5984" s="66" t="str">
        <f>IF('Twenty-Fourth'!C237="", "",'Twenty-Fourth'!C237)</f>
        <v/>
      </c>
      <c r="D5984" s="66" t="str">
        <f>IF('Twenty-Fourth'!D237="", "",'Twenty-Fourth'!D237)</f>
        <v/>
      </c>
      <c r="E5984" s="66" t="str">
        <f>IF('Twenty-Fourth'!E237="", "",'Twenty-Fourth'!E237)</f>
        <v/>
      </c>
      <c r="F5984" s="66" t="str">
        <f>IF('Twenty-Fourth'!F237="", "",'Twenty-Fourth'!F237)</f>
        <v/>
      </c>
      <c r="G5984" s="66" t="str">
        <f>IF('Twenty-Fourth'!G237="", "",'Twenty-Fourth'!G237)</f>
        <v/>
      </c>
      <c r="H5984" s="66" t="str">
        <f>IF('Twenty-Fourth'!H237="", "",'Twenty-Fourth'!H237)</f>
        <v/>
      </c>
      <c r="I5984" s="66" t="str">
        <f>IF('Twenty-Fourth'!I237="", "",'Twenty-Fourth'!I237)</f>
        <v/>
      </c>
      <c r="J5984" s="66" t="str">
        <f>IF('Twenty-Fourth'!J237="", "",'Twenty-Fourth'!J237)</f>
        <v/>
      </c>
      <c r="K5984" s="86" t="str">
        <f>IF('Twenty-Fourth'!K237="", "",'Twenty-Fourth'!K237)</f>
        <v/>
      </c>
      <c r="M5984" s="67" t="str">
        <f t="shared" si="284"/>
        <v/>
      </c>
      <c r="N5984" s="76" t="str">
        <f t="shared" si="285"/>
        <v/>
      </c>
      <c r="O5984" s="33">
        <f t="shared" si="286"/>
        <v>0</v>
      </c>
    </row>
    <row r="5985" spans="1:15" x14ac:dyDescent="0.25">
      <c r="A5985" s="64" t="s">
        <v>193</v>
      </c>
      <c r="B5985" s="79" t="str">
        <f>IF('Twenty-Fourth'!B238="", "",'Twenty-Fourth'!B238)</f>
        <v/>
      </c>
      <c r="C5985" s="66" t="str">
        <f>IF('Twenty-Fourth'!C238="", "",'Twenty-Fourth'!C238)</f>
        <v/>
      </c>
      <c r="D5985" s="66" t="str">
        <f>IF('Twenty-Fourth'!D238="", "",'Twenty-Fourth'!D238)</f>
        <v/>
      </c>
      <c r="E5985" s="66" t="str">
        <f>IF('Twenty-Fourth'!E238="", "",'Twenty-Fourth'!E238)</f>
        <v/>
      </c>
      <c r="F5985" s="66" t="str">
        <f>IF('Twenty-Fourth'!F238="", "",'Twenty-Fourth'!F238)</f>
        <v/>
      </c>
      <c r="G5985" s="66" t="str">
        <f>IF('Twenty-Fourth'!G238="", "",'Twenty-Fourth'!G238)</f>
        <v/>
      </c>
      <c r="H5985" s="66" t="str">
        <f>IF('Twenty-Fourth'!H238="", "",'Twenty-Fourth'!H238)</f>
        <v/>
      </c>
      <c r="I5985" s="66" t="str">
        <f>IF('Twenty-Fourth'!I238="", "",'Twenty-Fourth'!I238)</f>
        <v/>
      </c>
      <c r="J5985" s="66" t="str">
        <f>IF('Twenty-Fourth'!J238="", "",'Twenty-Fourth'!J238)</f>
        <v/>
      </c>
      <c r="K5985" s="86" t="str">
        <f>IF('Twenty-Fourth'!K238="", "",'Twenty-Fourth'!K238)</f>
        <v/>
      </c>
      <c r="M5985" s="67" t="str">
        <f t="shared" si="284"/>
        <v/>
      </c>
      <c r="N5985" s="76" t="str">
        <f t="shared" si="285"/>
        <v/>
      </c>
      <c r="O5985" s="33">
        <f t="shared" si="286"/>
        <v>0</v>
      </c>
    </row>
    <row r="5986" spans="1:15" x14ac:dyDescent="0.25">
      <c r="A5986" s="64" t="s">
        <v>193</v>
      </c>
      <c r="B5986" s="79" t="str">
        <f>IF('Twenty-Fourth'!B239="", "",'Twenty-Fourth'!B239)</f>
        <v/>
      </c>
      <c r="C5986" s="66" t="str">
        <f>IF('Twenty-Fourth'!C239="", "",'Twenty-Fourth'!C239)</f>
        <v/>
      </c>
      <c r="D5986" s="66" t="str">
        <f>IF('Twenty-Fourth'!D239="", "",'Twenty-Fourth'!D239)</f>
        <v/>
      </c>
      <c r="E5986" s="66" t="str">
        <f>IF('Twenty-Fourth'!E239="", "",'Twenty-Fourth'!E239)</f>
        <v/>
      </c>
      <c r="F5986" s="66" t="str">
        <f>IF('Twenty-Fourth'!F239="", "",'Twenty-Fourth'!F239)</f>
        <v/>
      </c>
      <c r="G5986" s="66" t="str">
        <f>IF('Twenty-Fourth'!G239="", "",'Twenty-Fourth'!G239)</f>
        <v/>
      </c>
      <c r="H5986" s="66" t="str">
        <f>IF('Twenty-Fourth'!H239="", "",'Twenty-Fourth'!H239)</f>
        <v/>
      </c>
      <c r="I5986" s="66" t="str">
        <f>IF('Twenty-Fourth'!I239="", "",'Twenty-Fourth'!I239)</f>
        <v/>
      </c>
      <c r="J5986" s="66" t="str">
        <f>IF('Twenty-Fourth'!J239="", "",'Twenty-Fourth'!J239)</f>
        <v/>
      </c>
      <c r="K5986" s="86" t="str">
        <f>IF('Twenty-Fourth'!K239="", "",'Twenty-Fourth'!K239)</f>
        <v/>
      </c>
      <c r="M5986" s="67" t="str">
        <f t="shared" si="284"/>
        <v/>
      </c>
      <c r="N5986" s="76" t="str">
        <f t="shared" si="285"/>
        <v/>
      </c>
      <c r="O5986" s="33">
        <f t="shared" si="286"/>
        <v>0</v>
      </c>
    </row>
    <row r="5987" spans="1:15" x14ac:dyDescent="0.25">
      <c r="A5987" s="64" t="s">
        <v>193</v>
      </c>
      <c r="B5987" s="79" t="str">
        <f>IF('Twenty-Fourth'!B240="", "",'Twenty-Fourth'!B240)</f>
        <v/>
      </c>
      <c r="C5987" s="66" t="str">
        <f>IF('Twenty-Fourth'!C240="", "",'Twenty-Fourth'!C240)</f>
        <v/>
      </c>
      <c r="D5987" s="66" t="str">
        <f>IF('Twenty-Fourth'!D240="", "",'Twenty-Fourth'!D240)</f>
        <v/>
      </c>
      <c r="E5987" s="66" t="str">
        <f>IF('Twenty-Fourth'!E240="", "",'Twenty-Fourth'!E240)</f>
        <v/>
      </c>
      <c r="F5987" s="66" t="str">
        <f>IF('Twenty-Fourth'!F240="", "",'Twenty-Fourth'!F240)</f>
        <v/>
      </c>
      <c r="G5987" s="66" t="str">
        <f>IF('Twenty-Fourth'!G240="", "",'Twenty-Fourth'!G240)</f>
        <v/>
      </c>
      <c r="H5987" s="66" t="str">
        <f>IF('Twenty-Fourth'!H240="", "",'Twenty-Fourth'!H240)</f>
        <v/>
      </c>
      <c r="I5987" s="66" t="str">
        <f>IF('Twenty-Fourth'!I240="", "",'Twenty-Fourth'!I240)</f>
        <v/>
      </c>
      <c r="J5987" s="66" t="str">
        <f>IF('Twenty-Fourth'!J240="", "",'Twenty-Fourth'!J240)</f>
        <v/>
      </c>
      <c r="K5987" s="86" t="str">
        <f>IF('Twenty-Fourth'!K240="", "",'Twenty-Fourth'!K240)</f>
        <v/>
      </c>
      <c r="M5987" s="67" t="str">
        <f t="shared" si="284"/>
        <v/>
      </c>
      <c r="N5987" s="76" t="str">
        <f t="shared" si="285"/>
        <v/>
      </c>
      <c r="O5987" s="33">
        <f t="shared" si="286"/>
        <v>0</v>
      </c>
    </row>
    <row r="5988" spans="1:15" x14ac:dyDescent="0.25">
      <c r="A5988" s="64" t="s">
        <v>193</v>
      </c>
      <c r="B5988" s="79" t="str">
        <f>IF('Twenty-Fourth'!B241="", "",'Twenty-Fourth'!B241)</f>
        <v/>
      </c>
      <c r="C5988" s="66" t="str">
        <f>IF('Twenty-Fourth'!C241="", "",'Twenty-Fourth'!C241)</f>
        <v/>
      </c>
      <c r="D5988" s="66" t="str">
        <f>IF('Twenty-Fourth'!D241="", "",'Twenty-Fourth'!D241)</f>
        <v/>
      </c>
      <c r="E5988" s="66" t="str">
        <f>IF('Twenty-Fourth'!E241="", "",'Twenty-Fourth'!E241)</f>
        <v/>
      </c>
      <c r="F5988" s="66" t="str">
        <f>IF('Twenty-Fourth'!F241="", "",'Twenty-Fourth'!F241)</f>
        <v/>
      </c>
      <c r="G5988" s="66" t="str">
        <f>IF('Twenty-Fourth'!G241="", "",'Twenty-Fourth'!G241)</f>
        <v/>
      </c>
      <c r="H5988" s="66" t="str">
        <f>IF('Twenty-Fourth'!H241="", "",'Twenty-Fourth'!H241)</f>
        <v/>
      </c>
      <c r="I5988" s="66" t="str">
        <f>IF('Twenty-Fourth'!I241="", "",'Twenty-Fourth'!I241)</f>
        <v/>
      </c>
      <c r="J5988" s="66" t="str">
        <f>IF('Twenty-Fourth'!J241="", "",'Twenty-Fourth'!J241)</f>
        <v/>
      </c>
      <c r="K5988" s="86" t="str">
        <f>IF('Twenty-Fourth'!K241="", "",'Twenty-Fourth'!K241)</f>
        <v/>
      </c>
      <c r="M5988" s="67" t="str">
        <f t="shared" si="284"/>
        <v/>
      </c>
      <c r="N5988" s="76" t="str">
        <f t="shared" si="285"/>
        <v/>
      </c>
      <c r="O5988" s="33">
        <f t="shared" si="286"/>
        <v>0</v>
      </c>
    </row>
    <row r="5989" spans="1:15" x14ac:dyDescent="0.25">
      <c r="A5989" s="64" t="s">
        <v>193</v>
      </c>
      <c r="B5989" s="79" t="str">
        <f>IF('Twenty-Fourth'!B242="", "",'Twenty-Fourth'!B242)</f>
        <v/>
      </c>
      <c r="C5989" s="66" t="str">
        <f>IF('Twenty-Fourth'!C242="", "",'Twenty-Fourth'!C242)</f>
        <v/>
      </c>
      <c r="D5989" s="66" t="str">
        <f>IF('Twenty-Fourth'!D242="", "",'Twenty-Fourth'!D242)</f>
        <v/>
      </c>
      <c r="E5989" s="66" t="str">
        <f>IF('Twenty-Fourth'!E242="", "",'Twenty-Fourth'!E242)</f>
        <v/>
      </c>
      <c r="F5989" s="66" t="str">
        <f>IF('Twenty-Fourth'!F242="", "",'Twenty-Fourth'!F242)</f>
        <v/>
      </c>
      <c r="G5989" s="66" t="str">
        <f>IF('Twenty-Fourth'!G242="", "",'Twenty-Fourth'!G242)</f>
        <v/>
      </c>
      <c r="H5989" s="66" t="str">
        <f>IF('Twenty-Fourth'!H242="", "",'Twenty-Fourth'!H242)</f>
        <v/>
      </c>
      <c r="I5989" s="66" t="str">
        <f>IF('Twenty-Fourth'!I242="", "",'Twenty-Fourth'!I242)</f>
        <v/>
      </c>
      <c r="J5989" s="66" t="str">
        <f>IF('Twenty-Fourth'!J242="", "",'Twenty-Fourth'!J242)</f>
        <v/>
      </c>
      <c r="K5989" s="86" t="str">
        <f>IF('Twenty-Fourth'!K242="", "",'Twenty-Fourth'!K242)</f>
        <v/>
      </c>
      <c r="M5989" s="67" t="str">
        <f t="shared" si="284"/>
        <v/>
      </c>
      <c r="N5989" s="76" t="str">
        <f t="shared" si="285"/>
        <v/>
      </c>
      <c r="O5989" s="33">
        <f t="shared" si="286"/>
        <v>0</v>
      </c>
    </row>
    <row r="5990" spans="1:15" x14ac:dyDescent="0.25">
      <c r="A5990" s="64" t="s">
        <v>193</v>
      </c>
      <c r="B5990" s="79" t="str">
        <f>IF('Twenty-Fourth'!B243="", "",'Twenty-Fourth'!B243)</f>
        <v/>
      </c>
      <c r="C5990" s="66" t="str">
        <f>IF('Twenty-Fourth'!C243="", "",'Twenty-Fourth'!C243)</f>
        <v/>
      </c>
      <c r="D5990" s="66" t="str">
        <f>IF('Twenty-Fourth'!D243="", "",'Twenty-Fourth'!D243)</f>
        <v/>
      </c>
      <c r="E5990" s="66" t="str">
        <f>IF('Twenty-Fourth'!E243="", "",'Twenty-Fourth'!E243)</f>
        <v/>
      </c>
      <c r="F5990" s="66" t="str">
        <f>IF('Twenty-Fourth'!F243="", "",'Twenty-Fourth'!F243)</f>
        <v/>
      </c>
      <c r="G5990" s="66" t="str">
        <f>IF('Twenty-Fourth'!G243="", "",'Twenty-Fourth'!G243)</f>
        <v/>
      </c>
      <c r="H5990" s="66" t="str">
        <f>IF('Twenty-Fourth'!H243="", "",'Twenty-Fourth'!H243)</f>
        <v/>
      </c>
      <c r="I5990" s="66" t="str">
        <f>IF('Twenty-Fourth'!I243="", "",'Twenty-Fourth'!I243)</f>
        <v/>
      </c>
      <c r="J5990" s="66" t="str">
        <f>IF('Twenty-Fourth'!J243="", "",'Twenty-Fourth'!J243)</f>
        <v/>
      </c>
      <c r="K5990" s="86" t="str">
        <f>IF('Twenty-Fourth'!K243="", "",'Twenty-Fourth'!K243)</f>
        <v/>
      </c>
      <c r="M5990" s="67" t="str">
        <f t="shared" si="284"/>
        <v/>
      </c>
      <c r="N5990" s="76" t="str">
        <f t="shared" si="285"/>
        <v/>
      </c>
      <c r="O5990" s="33">
        <f t="shared" si="286"/>
        <v>0</v>
      </c>
    </row>
    <row r="5991" spans="1:15" x14ac:dyDescent="0.25">
      <c r="A5991" s="64" t="s">
        <v>193</v>
      </c>
      <c r="B5991" s="79" t="str">
        <f>IF('Twenty-Fourth'!B244="", "",'Twenty-Fourth'!B244)</f>
        <v/>
      </c>
      <c r="C5991" s="66" t="str">
        <f>IF('Twenty-Fourth'!C244="", "",'Twenty-Fourth'!C244)</f>
        <v/>
      </c>
      <c r="D5991" s="66" t="str">
        <f>IF('Twenty-Fourth'!D244="", "",'Twenty-Fourth'!D244)</f>
        <v/>
      </c>
      <c r="E5991" s="66" t="str">
        <f>IF('Twenty-Fourth'!E244="", "",'Twenty-Fourth'!E244)</f>
        <v/>
      </c>
      <c r="F5991" s="66" t="str">
        <f>IF('Twenty-Fourth'!F244="", "",'Twenty-Fourth'!F244)</f>
        <v/>
      </c>
      <c r="G5991" s="66" t="str">
        <f>IF('Twenty-Fourth'!G244="", "",'Twenty-Fourth'!G244)</f>
        <v/>
      </c>
      <c r="H5991" s="66" t="str">
        <f>IF('Twenty-Fourth'!H244="", "",'Twenty-Fourth'!H244)</f>
        <v/>
      </c>
      <c r="I5991" s="66" t="str">
        <f>IF('Twenty-Fourth'!I244="", "",'Twenty-Fourth'!I244)</f>
        <v/>
      </c>
      <c r="J5991" s="66" t="str">
        <f>IF('Twenty-Fourth'!J244="", "",'Twenty-Fourth'!J244)</f>
        <v/>
      </c>
      <c r="K5991" s="86" t="str">
        <f>IF('Twenty-Fourth'!K244="", "",'Twenty-Fourth'!K244)</f>
        <v/>
      </c>
      <c r="M5991" s="67" t="str">
        <f t="shared" si="284"/>
        <v/>
      </c>
      <c r="N5991" s="76" t="str">
        <f t="shared" si="285"/>
        <v/>
      </c>
      <c r="O5991" s="33">
        <f t="shared" si="286"/>
        <v>0</v>
      </c>
    </row>
    <row r="5992" spans="1:15" x14ac:dyDescent="0.25">
      <c r="A5992" s="64" t="s">
        <v>193</v>
      </c>
      <c r="B5992" s="79" t="str">
        <f>IF('Twenty-Fourth'!B245="", "",'Twenty-Fourth'!B245)</f>
        <v/>
      </c>
      <c r="C5992" s="66" t="str">
        <f>IF('Twenty-Fourth'!C245="", "",'Twenty-Fourth'!C245)</f>
        <v/>
      </c>
      <c r="D5992" s="66" t="str">
        <f>IF('Twenty-Fourth'!D245="", "",'Twenty-Fourth'!D245)</f>
        <v/>
      </c>
      <c r="E5992" s="66" t="str">
        <f>IF('Twenty-Fourth'!E245="", "",'Twenty-Fourth'!E245)</f>
        <v/>
      </c>
      <c r="F5992" s="66" t="str">
        <f>IF('Twenty-Fourth'!F245="", "",'Twenty-Fourth'!F245)</f>
        <v/>
      </c>
      <c r="G5992" s="66" t="str">
        <f>IF('Twenty-Fourth'!G245="", "",'Twenty-Fourth'!G245)</f>
        <v/>
      </c>
      <c r="H5992" s="66" t="str">
        <f>IF('Twenty-Fourth'!H245="", "",'Twenty-Fourth'!H245)</f>
        <v/>
      </c>
      <c r="I5992" s="66" t="str">
        <f>IF('Twenty-Fourth'!I245="", "",'Twenty-Fourth'!I245)</f>
        <v/>
      </c>
      <c r="J5992" s="66" t="str">
        <f>IF('Twenty-Fourth'!J245="", "",'Twenty-Fourth'!J245)</f>
        <v/>
      </c>
      <c r="K5992" s="86" t="str">
        <f>IF('Twenty-Fourth'!K245="", "",'Twenty-Fourth'!K245)</f>
        <v/>
      </c>
      <c r="M5992" s="67" t="str">
        <f t="shared" si="284"/>
        <v/>
      </c>
      <c r="N5992" s="76" t="str">
        <f t="shared" si="285"/>
        <v/>
      </c>
      <c r="O5992" s="33">
        <f t="shared" si="286"/>
        <v>0</v>
      </c>
    </row>
    <row r="5993" spans="1:15" x14ac:dyDescent="0.25">
      <c r="A5993" s="64" t="s">
        <v>193</v>
      </c>
      <c r="B5993" s="79" t="str">
        <f>IF('Twenty-Fourth'!B246="", "",'Twenty-Fourth'!B246)</f>
        <v/>
      </c>
      <c r="C5993" s="66" t="str">
        <f>IF('Twenty-Fourth'!C246="", "",'Twenty-Fourth'!C246)</f>
        <v/>
      </c>
      <c r="D5993" s="66" t="str">
        <f>IF('Twenty-Fourth'!D246="", "",'Twenty-Fourth'!D246)</f>
        <v/>
      </c>
      <c r="E5993" s="66" t="str">
        <f>IF('Twenty-Fourth'!E246="", "",'Twenty-Fourth'!E246)</f>
        <v/>
      </c>
      <c r="F5993" s="66" t="str">
        <f>IF('Twenty-Fourth'!F246="", "",'Twenty-Fourth'!F246)</f>
        <v/>
      </c>
      <c r="G5993" s="66" t="str">
        <f>IF('Twenty-Fourth'!G246="", "",'Twenty-Fourth'!G246)</f>
        <v/>
      </c>
      <c r="H5993" s="66" t="str">
        <f>IF('Twenty-Fourth'!H246="", "",'Twenty-Fourth'!H246)</f>
        <v/>
      </c>
      <c r="I5993" s="66" t="str">
        <f>IF('Twenty-Fourth'!I246="", "",'Twenty-Fourth'!I246)</f>
        <v/>
      </c>
      <c r="J5993" s="66" t="str">
        <f>IF('Twenty-Fourth'!J246="", "",'Twenty-Fourth'!J246)</f>
        <v/>
      </c>
      <c r="K5993" s="86" t="str">
        <f>IF('Twenty-Fourth'!K246="", "",'Twenty-Fourth'!K246)</f>
        <v/>
      </c>
      <c r="M5993" s="67" t="str">
        <f t="shared" si="284"/>
        <v/>
      </c>
      <c r="N5993" s="76" t="str">
        <f t="shared" si="285"/>
        <v/>
      </c>
      <c r="O5993" s="33">
        <f t="shared" si="286"/>
        <v>0</v>
      </c>
    </row>
    <row r="5994" spans="1:15" x14ac:dyDescent="0.25">
      <c r="A5994" s="64" t="s">
        <v>193</v>
      </c>
      <c r="B5994" s="79" t="str">
        <f>IF('Twenty-Fourth'!B247="", "",'Twenty-Fourth'!B247)</f>
        <v/>
      </c>
      <c r="C5994" s="66" t="str">
        <f>IF('Twenty-Fourth'!C247="", "",'Twenty-Fourth'!C247)</f>
        <v/>
      </c>
      <c r="D5994" s="66" t="str">
        <f>IF('Twenty-Fourth'!D247="", "",'Twenty-Fourth'!D247)</f>
        <v/>
      </c>
      <c r="E5994" s="66" t="str">
        <f>IF('Twenty-Fourth'!E247="", "",'Twenty-Fourth'!E247)</f>
        <v/>
      </c>
      <c r="F5994" s="66" t="str">
        <f>IF('Twenty-Fourth'!F247="", "",'Twenty-Fourth'!F247)</f>
        <v/>
      </c>
      <c r="G5994" s="66" t="str">
        <f>IF('Twenty-Fourth'!G247="", "",'Twenty-Fourth'!G247)</f>
        <v/>
      </c>
      <c r="H5994" s="66" t="str">
        <f>IF('Twenty-Fourth'!H247="", "",'Twenty-Fourth'!H247)</f>
        <v/>
      </c>
      <c r="I5994" s="66" t="str">
        <f>IF('Twenty-Fourth'!I247="", "",'Twenty-Fourth'!I247)</f>
        <v/>
      </c>
      <c r="J5994" s="66" t="str">
        <f>IF('Twenty-Fourth'!J247="", "",'Twenty-Fourth'!J247)</f>
        <v/>
      </c>
      <c r="K5994" s="86" t="str">
        <f>IF('Twenty-Fourth'!K247="", "",'Twenty-Fourth'!K247)</f>
        <v/>
      </c>
      <c r="M5994" s="67" t="str">
        <f t="shared" si="284"/>
        <v/>
      </c>
      <c r="N5994" s="76" t="str">
        <f t="shared" si="285"/>
        <v/>
      </c>
      <c r="O5994" s="33">
        <f t="shared" si="286"/>
        <v>0</v>
      </c>
    </row>
    <row r="5995" spans="1:15" x14ac:dyDescent="0.25">
      <c r="A5995" s="64" t="s">
        <v>193</v>
      </c>
      <c r="B5995" s="79" t="str">
        <f>IF('Twenty-Fourth'!B248="", "",'Twenty-Fourth'!B248)</f>
        <v/>
      </c>
      <c r="C5995" s="66" t="str">
        <f>IF('Twenty-Fourth'!C248="", "",'Twenty-Fourth'!C248)</f>
        <v/>
      </c>
      <c r="D5995" s="66" t="str">
        <f>IF('Twenty-Fourth'!D248="", "",'Twenty-Fourth'!D248)</f>
        <v/>
      </c>
      <c r="E5995" s="66" t="str">
        <f>IF('Twenty-Fourth'!E248="", "",'Twenty-Fourth'!E248)</f>
        <v/>
      </c>
      <c r="F5995" s="66" t="str">
        <f>IF('Twenty-Fourth'!F248="", "",'Twenty-Fourth'!F248)</f>
        <v/>
      </c>
      <c r="G5995" s="66" t="str">
        <f>IF('Twenty-Fourth'!G248="", "",'Twenty-Fourth'!G248)</f>
        <v/>
      </c>
      <c r="H5995" s="66" t="str">
        <f>IF('Twenty-Fourth'!H248="", "",'Twenty-Fourth'!H248)</f>
        <v/>
      </c>
      <c r="I5995" s="66" t="str">
        <f>IF('Twenty-Fourth'!I248="", "",'Twenty-Fourth'!I248)</f>
        <v/>
      </c>
      <c r="J5995" s="66" t="str">
        <f>IF('Twenty-Fourth'!J248="", "",'Twenty-Fourth'!J248)</f>
        <v/>
      </c>
      <c r="K5995" s="86" t="str">
        <f>IF('Twenty-Fourth'!K248="", "",'Twenty-Fourth'!K248)</f>
        <v/>
      </c>
      <c r="M5995" s="67" t="str">
        <f t="shared" si="284"/>
        <v/>
      </c>
      <c r="N5995" s="76" t="str">
        <f t="shared" si="285"/>
        <v/>
      </c>
      <c r="O5995" s="33">
        <f t="shared" si="286"/>
        <v>0</v>
      </c>
    </row>
    <row r="5996" spans="1:15" x14ac:dyDescent="0.25">
      <c r="A5996" s="64" t="s">
        <v>193</v>
      </c>
      <c r="B5996" s="79" t="str">
        <f>IF('Twenty-Fourth'!B249="", "",'Twenty-Fourth'!B249)</f>
        <v/>
      </c>
      <c r="C5996" s="66" t="str">
        <f>IF('Twenty-Fourth'!C249="", "",'Twenty-Fourth'!C249)</f>
        <v/>
      </c>
      <c r="D5996" s="66" t="str">
        <f>IF('Twenty-Fourth'!D249="", "",'Twenty-Fourth'!D249)</f>
        <v/>
      </c>
      <c r="E5996" s="66" t="str">
        <f>IF('Twenty-Fourth'!E249="", "",'Twenty-Fourth'!E249)</f>
        <v/>
      </c>
      <c r="F5996" s="66" t="str">
        <f>IF('Twenty-Fourth'!F249="", "",'Twenty-Fourth'!F249)</f>
        <v/>
      </c>
      <c r="G5996" s="66" t="str">
        <f>IF('Twenty-Fourth'!G249="", "",'Twenty-Fourth'!G249)</f>
        <v/>
      </c>
      <c r="H5996" s="66" t="str">
        <f>IF('Twenty-Fourth'!H249="", "",'Twenty-Fourth'!H249)</f>
        <v/>
      </c>
      <c r="I5996" s="66" t="str">
        <f>IF('Twenty-Fourth'!I249="", "",'Twenty-Fourth'!I249)</f>
        <v/>
      </c>
      <c r="J5996" s="66" t="str">
        <f>IF('Twenty-Fourth'!J249="", "",'Twenty-Fourth'!J249)</f>
        <v/>
      </c>
      <c r="K5996" s="86" t="str">
        <f>IF('Twenty-Fourth'!K249="", "",'Twenty-Fourth'!K249)</f>
        <v/>
      </c>
      <c r="M5996" s="67" t="str">
        <f t="shared" si="284"/>
        <v/>
      </c>
      <c r="N5996" s="76" t="str">
        <f t="shared" si="285"/>
        <v/>
      </c>
      <c r="O5996" s="33">
        <f t="shared" si="286"/>
        <v>0</v>
      </c>
    </row>
    <row r="5997" spans="1:15" x14ac:dyDescent="0.25">
      <c r="A5997" s="64" t="s">
        <v>193</v>
      </c>
      <c r="B5997" s="79" t="str">
        <f>IF('Twenty-Fourth'!B250="", "",'Twenty-Fourth'!B250)</f>
        <v/>
      </c>
      <c r="C5997" s="66" t="str">
        <f>IF('Twenty-Fourth'!C250="", "",'Twenty-Fourth'!C250)</f>
        <v/>
      </c>
      <c r="D5997" s="66" t="str">
        <f>IF('Twenty-Fourth'!D250="", "",'Twenty-Fourth'!D250)</f>
        <v/>
      </c>
      <c r="E5997" s="66" t="str">
        <f>IF('Twenty-Fourth'!E250="", "",'Twenty-Fourth'!E250)</f>
        <v/>
      </c>
      <c r="F5997" s="66" t="str">
        <f>IF('Twenty-Fourth'!F250="", "",'Twenty-Fourth'!F250)</f>
        <v/>
      </c>
      <c r="G5997" s="66" t="str">
        <f>IF('Twenty-Fourth'!G250="", "",'Twenty-Fourth'!G250)</f>
        <v/>
      </c>
      <c r="H5997" s="66" t="str">
        <f>IF('Twenty-Fourth'!H250="", "",'Twenty-Fourth'!H250)</f>
        <v/>
      </c>
      <c r="I5997" s="66" t="str">
        <f>IF('Twenty-Fourth'!I250="", "",'Twenty-Fourth'!I250)</f>
        <v/>
      </c>
      <c r="J5997" s="66" t="str">
        <f>IF('Twenty-Fourth'!J250="", "",'Twenty-Fourth'!J250)</f>
        <v/>
      </c>
      <c r="K5997" s="86" t="str">
        <f>IF('Twenty-Fourth'!K250="", "",'Twenty-Fourth'!K250)</f>
        <v/>
      </c>
      <c r="M5997" s="67" t="str">
        <f t="shared" si="284"/>
        <v/>
      </c>
      <c r="N5997" s="76" t="str">
        <f t="shared" si="285"/>
        <v/>
      </c>
      <c r="O5997" s="33">
        <f t="shared" si="286"/>
        <v>0</v>
      </c>
    </row>
    <row r="5998" spans="1:15" x14ac:dyDescent="0.25">
      <c r="A5998" s="64" t="s">
        <v>193</v>
      </c>
      <c r="B5998" s="79" t="str">
        <f>IF('Twenty-Fourth'!B251="", "",'Twenty-Fourth'!B251)</f>
        <v/>
      </c>
      <c r="C5998" s="66" t="str">
        <f>IF('Twenty-Fourth'!C251="", "",'Twenty-Fourth'!C251)</f>
        <v/>
      </c>
      <c r="D5998" s="66" t="str">
        <f>IF('Twenty-Fourth'!D251="", "",'Twenty-Fourth'!D251)</f>
        <v/>
      </c>
      <c r="E5998" s="66" t="str">
        <f>IF('Twenty-Fourth'!E251="", "",'Twenty-Fourth'!E251)</f>
        <v/>
      </c>
      <c r="F5998" s="66" t="str">
        <f>IF('Twenty-Fourth'!F251="", "",'Twenty-Fourth'!F251)</f>
        <v/>
      </c>
      <c r="G5998" s="66" t="str">
        <f>IF('Twenty-Fourth'!G251="", "",'Twenty-Fourth'!G251)</f>
        <v/>
      </c>
      <c r="H5998" s="66" t="str">
        <f>IF('Twenty-Fourth'!H251="", "",'Twenty-Fourth'!H251)</f>
        <v/>
      </c>
      <c r="I5998" s="66" t="str">
        <f>IF('Twenty-Fourth'!I251="", "",'Twenty-Fourth'!I251)</f>
        <v/>
      </c>
      <c r="J5998" s="66" t="str">
        <f>IF('Twenty-Fourth'!J251="", "",'Twenty-Fourth'!J251)</f>
        <v/>
      </c>
      <c r="K5998" s="86" t="str">
        <f>IF('Twenty-Fourth'!K251="", "",'Twenty-Fourth'!K251)</f>
        <v/>
      </c>
      <c r="M5998" s="67" t="str">
        <f t="shared" si="284"/>
        <v/>
      </c>
      <c r="N5998" s="76" t="str">
        <f t="shared" si="285"/>
        <v/>
      </c>
      <c r="O5998" s="33">
        <f t="shared" si="286"/>
        <v>0</v>
      </c>
    </row>
    <row r="5999" spans="1:15" x14ac:dyDescent="0.25">
      <c r="A5999" s="64" t="s">
        <v>193</v>
      </c>
      <c r="B5999" s="79" t="str">
        <f>IF('Twenty-Fourth'!B252="", "",'Twenty-Fourth'!B252)</f>
        <v/>
      </c>
      <c r="C5999" s="66" t="str">
        <f>IF('Twenty-Fourth'!C252="", "",'Twenty-Fourth'!C252)</f>
        <v/>
      </c>
      <c r="D5999" s="66" t="str">
        <f>IF('Twenty-Fourth'!D252="", "",'Twenty-Fourth'!D252)</f>
        <v/>
      </c>
      <c r="E5999" s="66" t="str">
        <f>IF('Twenty-Fourth'!E252="", "",'Twenty-Fourth'!E252)</f>
        <v/>
      </c>
      <c r="F5999" s="66" t="str">
        <f>IF('Twenty-Fourth'!F252="", "",'Twenty-Fourth'!F252)</f>
        <v/>
      </c>
      <c r="G5999" s="66" t="str">
        <f>IF('Twenty-Fourth'!G252="", "",'Twenty-Fourth'!G252)</f>
        <v/>
      </c>
      <c r="H5999" s="66" t="str">
        <f>IF('Twenty-Fourth'!H252="", "",'Twenty-Fourth'!H252)</f>
        <v/>
      </c>
      <c r="I5999" s="66" t="str">
        <f>IF('Twenty-Fourth'!I252="", "",'Twenty-Fourth'!I252)</f>
        <v/>
      </c>
      <c r="J5999" s="66" t="str">
        <f>IF('Twenty-Fourth'!J252="", "",'Twenty-Fourth'!J252)</f>
        <v/>
      </c>
      <c r="K5999" s="86" t="str">
        <f>IF('Twenty-Fourth'!K252="", "",'Twenty-Fourth'!K252)</f>
        <v/>
      </c>
      <c r="M5999" s="67" t="str">
        <f t="shared" si="284"/>
        <v/>
      </c>
      <c r="N5999" s="76" t="str">
        <f t="shared" si="285"/>
        <v/>
      </c>
      <c r="O5999" s="33">
        <f t="shared" si="286"/>
        <v>0</v>
      </c>
    </row>
    <row r="6000" spans="1:15" x14ac:dyDescent="0.25">
      <c r="A6000" s="64" t="s">
        <v>193</v>
      </c>
      <c r="B6000" s="79" t="str">
        <f>IF('Twenty-Fourth'!B253="", "",'Twenty-Fourth'!B253)</f>
        <v/>
      </c>
      <c r="C6000" s="66" t="str">
        <f>IF('Twenty-Fourth'!C253="", "",'Twenty-Fourth'!C253)</f>
        <v/>
      </c>
      <c r="D6000" s="66" t="str">
        <f>IF('Twenty-Fourth'!D253="", "",'Twenty-Fourth'!D253)</f>
        <v/>
      </c>
      <c r="E6000" s="66" t="str">
        <f>IF('Twenty-Fourth'!E253="", "",'Twenty-Fourth'!E253)</f>
        <v/>
      </c>
      <c r="F6000" s="66" t="str">
        <f>IF('Twenty-Fourth'!F253="", "",'Twenty-Fourth'!F253)</f>
        <v/>
      </c>
      <c r="G6000" s="66" t="str">
        <f>IF('Twenty-Fourth'!G253="", "",'Twenty-Fourth'!G253)</f>
        <v/>
      </c>
      <c r="H6000" s="66" t="str">
        <f>IF('Twenty-Fourth'!H253="", "",'Twenty-Fourth'!H253)</f>
        <v/>
      </c>
      <c r="I6000" s="66" t="str">
        <f>IF('Twenty-Fourth'!I253="", "",'Twenty-Fourth'!I253)</f>
        <v/>
      </c>
      <c r="J6000" s="66" t="str">
        <f>IF('Twenty-Fourth'!J253="", "",'Twenty-Fourth'!J253)</f>
        <v/>
      </c>
      <c r="K6000" s="86" t="str">
        <f>IF('Twenty-Fourth'!K253="", "",'Twenty-Fourth'!K253)</f>
        <v/>
      </c>
      <c r="M6000" s="67" t="str">
        <f t="shared" si="284"/>
        <v/>
      </c>
      <c r="N6000" s="76" t="str">
        <f t="shared" si="285"/>
        <v/>
      </c>
      <c r="O6000" s="33">
        <f t="shared" si="286"/>
        <v>0</v>
      </c>
    </row>
    <row r="6001" spans="1:15" ht="15.75" thickBot="1" x14ac:dyDescent="0.3">
      <c r="A6001" s="68" t="s">
        <v>193</v>
      </c>
      <c r="B6001" s="80" t="str">
        <f>IF('Twenty-Fourth'!B254="", "",'Twenty-Fourth'!B254)</f>
        <v/>
      </c>
      <c r="C6001" s="70" t="str">
        <f>IF('Twenty-Fourth'!C254="", "",'Twenty-Fourth'!C254)</f>
        <v/>
      </c>
      <c r="D6001" s="70" t="str">
        <f>IF('Twenty-Fourth'!D254="", "",'Twenty-Fourth'!D254)</f>
        <v/>
      </c>
      <c r="E6001" s="70" t="str">
        <f>IF('Twenty-Fourth'!E254="", "",'Twenty-Fourth'!E254)</f>
        <v/>
      </c>
      <c r="F6001" s="70" t="str">
        <f>IF('Twenty-Fourth'!F254="", "",'Twenty-Fourth'!F254)</f>
        <v/>
      </c>
      <c r="G6001" s="70" t="str">
        <f>IF('Twenty-Fourth'!G254="", "",'Twenty-Fourth'!G254)</f>
        <v/>
      </c>
      <c r="H6001" s="70" t="str">
        <f>IF('Twenty-Fourth'!H254="", "",'Twenty-Fourth'!H254)</f>
        <v/>
      </c>
      <c r="I6001" s="70" t="str">
        <f>IF('Twenty-Fourth'!I254="", "",'Twenty-Fourth'!I254)</f>
        <v/>
      </c>
      <c r="J6001" s="70" t="str">
        <f>IF('Twenty-Fourth'!J254="", "",'Twenty-Fourth'!J254)</f>
        <v/>
      </c>
      <c r="K6001" s="90" t="str">
        <f>IF('Twenty-Fourth'!K254="", "",'Twenty-Fourth'!K254)</f>
        <v/>
      </c>
      <c r="L6001" s="91"/>
      <c r="M6001" s="92" t="str">
        <f t="shared" si="284"/>
        <v/>
      </c>
      <c r="N6001" s="77" t="str">
        <f t="shared" si="285"/>
        <v/>
      </c>
      <c r="O6001" s="33">
        <f t="shared" si="286"/>
        <v>0</v>
      </c>
    </row>
    <row r="6002" spans="1:15" x14ac:dyDescent="0.25">
      <c r="A6002" s="64" t="s">
        <v>194</v>
      </c>
      <c r="B6002" s="79" t="str">
        <f>IF('Twenty-Fifth'!B5="", "",'Twenty-Fifth'!B5)</f>
        <v>Centre Head</v>
      </c>
      <c r="C6002" s="66" t="str">
        <f>IF('Twenty-Fifth'!C5="", "",'Twenty-Fifth'!C5)</f>
        <v>PwC</v>
      </c>
      <c r="D6002" s="66" t="str">
        <f>IF('Twenty-Fifth'!D5="", "",'Twenty-Fifth'!D5)</f>
        <v>Returning</v>
      </c>
      <c r="E6002" s="66" t="str">
        <f>IF('Twenty-Fifth'!E5="", "",'Twenty-Fifth'!E5)</f>
        <v>Male</v>
      </c>
      <c r="F6002" s="66" t="str">
        <f>IF('Twenty-Fifth'!F5="", "",'Twenty-Fifth'!F5)</f>
        <v>Haemat</v>
      </c>
      <c r="G6002" s="66" t="str">
        <f>IF('Twenty-Fifth'!G5="", "",'Twenty-Fifth'!G5)</f>
        <v>Non-Curative Intent</v>
      </c>
      <c r="H6002" s="66" t="str">
        <f>IF('Twenty-Fifth'!H5="", "",'Twenty-Fifth'!H5)</f>
        <v>Booked</v>
      </c>
      <c r="I6002" s="66" t="str">
        <f>IF('Twenty-Fifth'!I5="", "",'Twenty-Fifth'!I5)</f>
        <v>Psych Support - Individual</v>
      </c>
      <c r="J6002" s="66" t="str">
        <f>IF('Twenty-Fifth'!J5="", "",'Twenty-Fifth'!J5)</f>
        <v/>
      </c>
      <c r="K6002" s="86" t="str">
        <f>IF('Twenty-Fifth'!K5="", "",'Twenty-Fifth'!K5)</f>
        <v/>
      </c>
      <c r="M6002" s="67">
        <f t="shared" si="284"/>
        <v>7</v>
      </c>
      <c r="N6002" s="76" t="str">
        <f t="shared" si="285"/>
        <v/>
      </c>
      <c r="O6002" s="33">
        <f t="shared" si="286"/>
        <v>7</v>
      </c>
    </row>
    <row r="6003" spans="1:15" x14ac:dyDescent="0.25">
      <c r="A6003" s="64" t="s">
        <v>194</v>
      </c>
      <c r="B6003" s="79" t="str">
        <f>IF('Twenty-Fifth'!B6="", "",'Twenty-Fifth'!B6)</f>
        <v>CSS</v>
      </c>
      <c r="C6003" s="66" t="str">
        <f>IF('Twenty-Fifth'!C6="", "",'Twenty-Fifth'!C6)</f>
        <v>PwC</v>
      </c>
      <c r="D6003" s="66" t="str">
        <f>IF('Twenty-Fifth'!D6="", "",'Twenty-Fifth'!D6)</f>
        <v>Returning</v>
      </c>
      <c r="E6003" s="66" t="str">
        <f>IF('Twenty-Fifth'!E6="", "",'Twenty-Fifth'!E6)</f>
        <v>Male</v>
      </c>
      <c r="F6003" s="66" t="str">
        <f>IF('Twenty-Fifth'!F6="", "",'Twenty-Fifth'!F6)</f>
        <v>Head/Neck</v>
      </c>
      <c r="G6003" s="66" t="str">
        <f>IF('Twenty-Fifth'!G6="", "",'Twenty-Fifth'!G6)</f>
        <v>Non-Curative Intent</v>
      </c>
      <c r="H6003" s="66" t="str">
        <f>IF('Twenty-Fifth'!H6="", "",'Twenty-Fifth'!H6)</f>
        <v>Drop-In</v>
      </c>
      <c r="I6003" s="66" t="str">
        <f>IF('Twenty-Fifth'!I6="", "",'Twenty-Fifth'!I6)</f>
        <v/>
      </c>
      <c r="J6003" s="66" t="str">
        <f>IF('Twenty-Fifth'!J6="", "",'Twenty-Fifth'!J6)</f>
        <v/>
      </c>
      <c r="K6003" s="86" t="str">
        <f>IF('Twenty-Fifth'!K6="", "",'Twenty-Fifth'!K6)</f>
        <v/>
      </c>
      <c r="M6003" s="67">
        <f t="shared" si="284"/>
        <v>7</v>
      </c>
      <c r="N6003" s="76" t="str">
        <f t="shared" si="285"/>
        <v/>
      </c>
      <c r="O6003" s="33">
        <f t="shared" si="286"/>
        <v>7</v>
      </c>
    </row>
    <row r="6004" spans="1:15" x14ac:dyDescent="0.25">
      <c r="A6004" s="64" t="s">
        <v>194</v>
      </c>
      <c r="B6004" s="79" t="str">
        <f>IF('Twenty-Fifth'!B7="", "",'Twenty-Fifth'!B7)</f>
        <v>CSS</v>
      </c>
      <c r="C6004" s="66" t="str">
        <f>IF('Twenty-Fifth'!C7="", "",'Twenty-Fifth'!C7)</f>
        <v>Carer</v>
      </c>
      <c r="D6004" s="66" t="str">
        <f>IF('Twenty-Fifth'!D7="", "",'Twenty-Fifth'!D7)</f>
        <v>Returning</v>
      </c>
      <c r="E6004" s="66" t="str">
        <f>IF('Twenty-Fifth'!E7="", "",'Twenty-Fifth'!E7)</f>
        <v>Female</v>
      </c>
      <c r="F6004" s="66" t="str">
        <f>IF('Twenty-Fifth'!F7="", "",'Twenty-Fifth'!F7)</f>
        <v>Head/Neck</v>
      </c>
      <c r="G6004" s="66" t="str">
        <f>IF('Twenty-Fifth'!G7="", "",'Twenty-Fifth'!G7)</f>
        <v>Non-Curative Intent</v>
      </c>
      <c r="H6004" s="66" t="str">
        <f>IF('Twenty-Fifth'!H7="", "",'Twenty-Fifth'!H7)</f>
        <v>Drop-In</v>
      </c>
      <c r="I6004" s="66" t="str">
        <f>IF('Twenty-Fifth'!I7="", "",'Twenty-Fifth'!I7)</f>
        <v/>
      </c>
      <c r="J6004" s="66" t="str">
        <f>IF('Twenty-Fifth'!J7="", "",'Twenty-Fifth'!J7)</f>
        <v/>
      </c>
      <c r="K6004" s="86" t="str">
        <f>IF('Twenty-Fifth'!K7="", "",'Twenty-Fifth'!K7)</f>
        <v/>
      </c>
      <c r="M6004" s="67" t="str">
        <f t="shared" si="284"/>
        <v/>
      </c>
      <c r="N6004" s="76">
        <f t="shared" si="285"/>
        <v>7</v>
      </c>
      <c r="O6004" s="33">
        <f t="shared" si="286"/>
        <v>7</v>
      </c>
    </row>
    <row r="6005" spans="1:15" x14ac:dyDescent="0.25">
      <c r="A6005" s="64" t="s">
        <v>194</v>
      </c>
      <c r="B6005" s="79" t="str">
        <f>IF('Twenty-Fifth'!B8="", "",'Twenty-Fifth'!B8)</f>
        <v>CSS</v>
      </c>
      <c r="C6005" s="66" t="str">
        <f>IF('Twenty-Fifth'!C8="", "",'Twenty-Fifth'!C8)</f>
        <v>PwC</v>
      </c>
      <c r="D6005" s="66" t="str">
        <f>IF('Twenty-Fifth'!D8="", "",'Twenty-Fifth'!D8)</f>
        <v>Returning</v>
      </c>
      <c r="E6005" s="66" t="str">
        <f>IF('Twenty-Fifth'!E8="", "",'Twenty-Fifth'!E8)</f>
        <v>Female</v>
      </c>
      <c r="F6005" s="66" t="str">
        <f>IF('Twenty-Fifth'!F8="", "",'Twenty-Fifth'!F8)</f>
        <v>Brain/CNS</v>
      </c>
      <c r="G6005" s="66" t="str">
        <f>IF('Twenty-Fifth'!G8="", "",'Twenty-Fifth'!G8)</f>
        <v>Post Treatment - Curative Intent</v>
      </c>
      <c r="H6005" s="66" t="str">
        <f>IF('Twenty-Fifth'!H8="", "",'Twenty-Fifth'!H8)</f>
        <v>Drop-In</v>
      </c>
      <c r="I6005" s="66" t="str">
        <f>IF('Twenty-Fifth'!I8="", "",'Twenty-Fifth'!I8)</f>
        <v/>
      </c>
      <c r="J6005" s="66" t="str">
        <f>IF('Twenty-Fifth'!J8="", "",'Twenty-Fifth'!J8)</f>
        <v/>
      </c>
      <c r="K6005" s="86" t="str">
        <f>IF('Twenty-Fifth'!K8="", "",'Twenty-Fifth'!K8)</f>
        <v/>
      </c>
      <c r="M6005" s="67">
        <f t="shared" si="284"/>
        <v>7</v>
      </c>
      <c r="N6005" s="76" t="str">
        <f t="shared" si="285"/>
        <v/>
      </c>
      <c r="O6005" s="33">
        <f t="shared" si="286"/>
        <v>7</v>
      </c>
    </row>
    <row r="6006" spans="1:15" x14ac:dyDescent="0.25">
      <c r="A6006" s="64" t="s">
        <v>194</v>
      </c>
      <c r="B6006" s="79" t="str">
        <f>IF('Twenty-Fifth'!B9="", "",'Twenty-Fifth'!B9)</f>
        <v>Centre Head</v>
      </c>
      <c r="C6006" s="66" t="str">
        <f>IF('Twenty-Fifth'!C9="", "",'Twenty-Fifth'!C9)</f>
        <v>PwC</v>
      </c>
      <c r="D6006" s="66" t="str">
        <f>IF('Twenty-Fifth'!D9="", "",'Twenty-Fifth'!D9)</f>
        <v>Returning</v>
      </c>
      <c r="E6006" s="66" t="str">
        <f>IF('Twenty-Fifth'!E9="", "",'Twenty-Fifth'!E9)</f>
        <v>Male</v>
      </c>
      <c r="F6006" s="66" t="str">
        <f>IF('Twenty-Fifth'!F9="", "",'Twenty-Fifth'!F9)</f>
        <v>Haemat</v>
      </c>
      <c r="G6006" s="66" t="str">
        <f>IF('Twenty-Fifth'!G9="", "",'Twenty-Fifth'!G9)</f>
        <v>Non-Curative Intent</v>
      </c>
      <c r="H6006" s="66" t="str">
        <f>IF('Twenty-Fifth'!H9="", "",'Twenty-Fifth'!H9)</f>
        <v>Drop-In</v>
      </c>
      <c r="I6006" s="66" t="str">
        <f>IF('Twenty-Fifth'!I9="", "",'Twenty-Fifth'!I9)</f>
        <v/>
      </c>
      <c r="J6006" s="66" t="str">
        <f>IF('Twenty-Fifth'!J9="", "",'Twenty-Fifth'!J9)</f>
        <v/>
      </c>
      <c r="K6006" s="86" t="str">
        <f>IF('Twenty-Fifth'!K9="", "",'Twenty-Fifth'!K9)</f>
        <v/>
      </c>
      <c r="M6006" s="67">
        <f t="shared" si="284"/>
        <v>7</v>
      </c>
      <c r="N6006" s="76" t="str">
        <f t="shared" si="285"/>
        <v/>
      </c>
      <c r="O6006" s="33">
        <f t="shared" si="286"/>
        <v>7</v>
      </c>
    </row>
    <row r="6007" spans="1:15" x14ac:dyDescent="0.25">
      <c r="A6007" s="64" t="s">
        <v>194</v>
      </c>
      <c r="B6007" s="79" t="str">
        <f>IF('Twenty-Fifth'!B10="", "",'Twenty-Fifth'!B10)</f>
        <v>Centre Head</v>
      </c>
      <c r="C6007" s="66" t="str">
        <f>IF('Twenty-Fifth'!C10="", "",'Twenty-Fifth'!C10)</f>
        <v>PwC</v>
      </c>
      <c r="D6007" s="66" t="str">
        <f>IF('Twenty-Fifth'!D10="", "",'Twenty-Fifth'!D10)</f>
        <v>Returning</v>
      </c>
      <c r="E6007" s="66" t="str">
        <f>IF('Twenty-Fifth'!E10="", "",'Twenty-Fifth'!E10)</f>
        <v>Male</v>
      </c>
      <c r="F6007" s="66" t="str">
        <f>IF('Twenty-Fifth'!F10="", "",'Twenty-Fifth'!F10)</f>
        <v>Urolog</v>
      </c>
      <c r="G6007" s="66" t="str">
        <f>IF('Twenty-Fifth'!G10="", "",'Twenty-Fifth'!G10)</f>
        <v>Post Treatment - Curative Intent</v>
      </c>
      <c r="H6007" s="66" t="str">
        <f>IF('Twenty-Fifth'!H10="", "",'Twenty-Fifth'!H10)</f>
        <v>Drop-In</v>
      </c>
      <c r="I6007" s="66" t="str">
        <f>IF('Twenty-Fifth'!I10="", "",'Twenty-Fifth'!I10)</f>
        <v/>
      </c>
      <c r="J6007" s="66" t="str">
        <f>IF('Twenty-Fifth'!J10="", "",'Twenty-Fifth'!J10)</f>
        <v/>
      </c>
      <c r="K6007" s="86" t="str">
        <f>IF('Twenty-Fifth'!K10="", "",'Twenty-Fifth'!K10)</f>
        <v/>
      </c>
      <c r="M6007" s="67">
        <f t="shared" si="284"/>
        <v>7</v>
      </c>
      <c r="N6007" s="76" t="str">
        <f t="shared" si="285"/>
        <v/>
      </c>
      <c r="O6007" s="33">
        <f t="shared" si="286"/>
        <v>7</v>
      </c>
    </row>
    <row r="6008" spans="1:15" x14ac:dyDescent="0.25">
      <c r="A6008" s="64" t="s">
        <v>194</v>
      </c>
      <c r="B6008" s="79" t="str">
        <f>IF('Twenty-Fifth'!B11="", "",'Twenty-Fifth'!B11)</f>
        <v>Centre Head</v>
      </c>
      <c r="C6008" s="66" t="str">
        <f>IF('Twenty-Fifth'!C11="", "",'Twenty-Fifth'!C11)</f>
        <v>PwC</v>
      </c>
      <c r="D6008" s="66" t="str">
        <f>IF('Twenty-Fifth'!D11="", "",'Twenty-Fifth'!D11)</f>
        <v>Returning</v>
      </c>
      <c r="E6008" s="66" t="str">
        <f>IF('Twenty-Fifth'!E11="", "",'Twenty-Fifth'!E11)</f>
        <v>Female</v>
      </c>
      <c r="F6008" s="66" t="str">
        <f>IF('Twenty-Fifth'!F11="", "",'Twenty-Fifth'!F11)</f>
        <v>Breast</v>
      </c>
      <c r="G6008" s="66" t="str">
        <f>IF('Twenty-Fifth'!G11="", "",'Twenty-Fifth'!G11)</f>
        <v>Not Stated</v>
      </c>
      <c r="H6008" s="66" t="str">
        <f>IF('Twenty-Fifth'!H11="", "",'Twenty-Fifth'!H11)</f>
        <v>Booked</v>
      </c>
      <c r="I6008" s="66" t="str">
        <f>IF('Twenty-Fifth'!I11="", "",'Twenty-Fifth'!I11)</f>
        <v>Psych Support - Individual</v>
      </c>
      <c r="J6008" s="66" t="str">
        <f>IF('Twenty-Fifth'!J11="", "",'Twenty-Fifth'!J11)</f>
        <v/>
      </c>
      <c r="K6008" s="86" t="str">
        <f>IF('Twenty-Fifth'!K11="", "",'Twenty-Fifth'!K11)</f>
        <v/>
      </c>
      <c r="M6008" s="67">
        <f t="shared" si="284"/>
        <v>7</v>
      </c>
      <c r="N6008" s="76" t="str">
        <f t="shared" si="285"/>
        <v/>
      </c>
      <c r="O6008" s="33">
        <f t="shared" si="286"/>
        <v>7</v>
      </c>
    </row>
    <row r="6009" spans="1:15" x14ac:dyDescent="0.25">
      <c r="A6009" s="64" t="s">
        <v>194</v>
      </c>
      <c r="B6009" s="79" t="str">
        <f>IF('Twenty-Fifth'!B12="", "",'Twenty-Fifth'!B12)</f>
        <v>Centre Head</v>
      </c>
      <c r="C6009" s="66" t="str">
        <f>IF('Twenty-Fifth'!C12="", "",'Twenty-Fifth'!C12)</f>
        <v>PwC</v>
      </c>
      <c r="D6009" s="66" t="str">
        <f>IF('Twenty-Fifth'!D12="", "",'Twenty-Fifth'!D12)</f>
        <v>Returning</v>
      </c>
      <c r="E6009" s="66" t="str">
        <f>IF('Twenty-Fifth'!E12="", "",'Twenty-Fifth'!E12)</f>
        <v>Female</v>
      </c>
      <c r="F6009" s="66" t="str">
        <f>IF('Twenty-Fifth'!F12="", "",'Twenty-Fifth'!F12)</f>
        <v>Lower GI</v>
      </c>
      <c r="G6009" s="66" t="str">
        <f>IF('Twenty-Fifth'!G12="", "",'Twenty-Fifth'!G12)</f>
        <v>Non-Curative Intent</v>
      </c>
      <c r="H6009" s="66" t="str">
        <f>IF('Twenty-Fifth'!H12="", "",'Twenty-Fifth'!H12)</f>
        <v>Drop-In</v>
      </c>
      <c r="I6009" s="66" t="str">
        <f>IF('Twenty-Fifth'!I12="", "",'Twenty-Fifth'!I12)</f>
        <v/>
      </c>
      <c r="J6009" s="66" t="str">
        <f>IF('Twenty-Fifth'!J12="", "",'Twenty-Fifth'!J12)</f>
        <v/>
      </c>
      <c r="K6009" s="86" t="str">
        <f>IF('Twenty-Fifth'!K12="", "",'Twenty-Fifth'!K12)</f>
        <v/>
      </c>
      <c r="M6009" s="67">
        <f t="shared" si="284"/>
        <v>7</v>
      </c>
      <c r="N6009" s="76" t="str">
        <f t="shared" si="285"/>
        <v/>
      </c>
      <c r="O6009" s="33">
        <f t="shared" si="286"/>
        <v>7</v>
      </c>
    </row>
    <row r="6010" spans="1:15" x14ac:dyDescent="0.25">
      <c r="A6010" s="64" t="s">
        <v>194</v>
      </c>
      <c r="B6010" s="79" t="str">
        <f>IF('Twenty-Fifth'!B13="", "",'Twenty-Fifth'!B13)</f>
        <v>Centre Head</v>
      </c>
      <c r="C6010" s="66" t="str">
        <f>IF('Twenty-Fifth'!C13="", "",'Twenty-Fifth'!C13)</f>
        <v>Carer</v>
      </c>
      <c r="D6010" s="66" t="str">
        <f>IF('Twenty-Fifth'!D13="", "",'Twenty-Fifth'!D13)</f>
        <v>Returning</v>
      </c>
      <c r="E6010" s="66" t="str">
        <f>IF('Twenty-Fifth'!E13="", "",'Twenty-Fifth'!E13)</f>
        <v>Female</v>
      </c>
      <c r="F6010" s="66" t="str">
        <f>IF('Twenty-Fifth'!F13="", "",'Twenty-Fifth'!F13)</f>
        <v>Lower GI</v>
      </c>
      <c r="G6010" s="66" t="str">
        <f>IF('Twenty-Fifth'!G13="", "",'Twenty-Fifth'!G13)</f>
        <v>Non-Curative Intent</v>
      </c>
      <c r="H6010" s="66" t="str">
        <f>IF('Twenty-Fifth'!H13="", "",'Twenty-Fifth'!H13)</f>
        <v>Drop-In</v>
      </c>
      <c r="I6010" s="66" t="str">
        <f>IF('Twenty-Fifth'!I13="", "",'Twenty-Fifth'!I13)</f>
        <v/>
      </c>
      <c r="J6010" s="66" t="str">
        <f>IF('Twenty-Fifth'!J13="", "",'Twenty-Fifth'!J13)</f>
        <v/>
      </c>
      <c r="K6010" s="86" t="str">
        <f>IF('Twenty-Fifth'!K13="", "",'Twenty-Fifth'!K13)</f>
        <v/>
      </c>
      <c r="M6010" s="67" t="str">
        <f t="shared" si="284"/>
        <v/>
      </c>
      <c r="N6010" s="76">
        <f t="shared" si="285"/>
        <v>7</v>
      </c>
      <c r="O6010" s="33">
        <f t="shared" si="286"/>
        <v>7</v>
      </c>
    </row>
    <row r="6011" spans="1:15" x14ac:dyDescent="0.25">
      <c r="A6011" s="64" t="s">
        <v>194</v>
      </c>
      <c r="B6011" s="79" t="str">
        <f>IF('Twenty-Fifth'!B14="", "",'Twenty-Fifth'!B14)</f>
        <v>CSS</v>
      </c>
      <c r="C6011" s="66" t="str">
        <f>IF('Twenty-Fifth'!C14="", "",'Twenty-Fifth'!C14)</f>
        <v>PwC</v>
      </c>
      <c r="D6011" s="66" t="str">
        <f>IF('Twenty-Fifth'!D14="", "",'Twenty-Fifth'!D14)</f>
        <v>Returning</v>
      </c>
      <c r="E6011" s="66" t="str">
        <f>IF('Twenty-Fifth'!E14="", "",'Twenty-Fifth'!E14)</f>
        <v>Female</v>
      </c>
      <c r="F6011" s="66" t="str">
        <f>IF('Twenty-Fifth'!F14="", "",'Twenty-Fifth'!F14)</f>
        <v>Lower GI</v>
      </c>
      <c r="G6011" s="66" t="str">
        <f>IF('Twenty-Fifth'!G14="", "",'Twenty-Fifth'!G14)</f>
        <v>Non-Curative Intent</v>
      </c>
      <c r="H6011" s="66" t="str">
        <f>IF('Twenty-Fifth'!H14="", "",'Twenty-Fifth'!H14)</f>
        <v>Drop-In</v>
      </c>
      <c r="I6011" s="66" t="str">
        <f>IF('Twenty-Fifth'!I14="", "",'Twenty-Fifth'!I14)</f>
        <v/>
      </c>
      <c r="J6011" s="66" t="str">
        <f>IF('Twenty-Fifth'!J14="", "",'Twenty-Fifth'!J14)</f>
        <v/>
      </c>
      <c r="K6011" s="86" t="str">
        <f>IF('Twenty-Fifth'!K14="", "",'Twenty-Fifth'!K14)</f>
        <v/>
      </c>
      <c r="M6011" s="67">
        <f t="shared" si="284"/>
        <v>7</v>
      </c>
      <c r="N6011" s="76" t="str">
        <f t="shared" si="285"/>
        <v/>
      </c>
      <c r="O6011" s="33">
        <f t="shared" si="286"/>
        <v>7</v>
      </c>
    </row>
    <row r="6012" spans="1:15" x14ac:dyDescent="0.25">
      <c r="A6012" s="64" t="s">
        <v>194</v>
      </c>
      <c r="B6012" s="79" t="str">
        <f>IF('Twenty-Fifth'!B15="", "",'Twenty-Fifth'!B15)</f>
        <v>CSS</v>
      </c>
      <c r="C6012" s="66" t="str">
        <f>IF('Twenty-Fifth'!C15="", "",'Twenty-Fifth'!C15)</f>
        <v>Carer</v>
      </c>
      <c r="D6012" s="66" t="str">
        <f>IF('Twenty-Fifth'!D15="", "",'Twenty-Fifth'!D15)</f>
        <v>Returning</v>
      </c>
      <c r="E6012" s="66" t="str">
        <f>IF('Twenty-Fifth'!E15="", "",'Twenty-Fifth'!E15)</f>
        <v>Female</v>
      </c>
      <c r="F6012" s="66" t="str">
        <f>IF('Twenty-Fifth'!F15="", "",'Twenty-Fifth'!F15)</f>
        <v>Lower GI</v>
      </c>
      <c r="G6012" s="66" t="str">
        <f>IF('Twenty-Fifth'!G15="", "",'Twenty-Fifth'!G15)</f>
        <v>Non-Curative Intent</v>
      </c>
      <c r="H6012" s="66" t="str">
        <f>IF('Twenty-Fifth'!H15="", "",'Twenty-Fifth'!H15)</f>
        <v>Drop-In</v>
      </c>
      <c r="I6012" s="66" t="str">
        <f>IF('Twenty-Fifth'!I15="", "",'Twenty-Fifth'!I15)</f>
        <v/>
      </c>
      <c r="J6012" s="66" t="str">
        <f>IF('Twenty-Fifth'!J15="", "",'Twenty-Fifth'!J15)</f>
        <v/>
      </c>
      <c r="K6012" s="86" t="str">
        <f>IF('Twenty-Fifth'!K15="", "",'Twenty-Fifth'!K15)</f>
        <v/>
      </c>
      <c r="M6012" s="67" t="str">
        <f t="shared" si="284"/>
        <v/>
      </c>
      <c r="N6012" s="76">
        <f t="shared" si="285"/>
        <v>7</v>
      </c>
      <c r="O6012" s="33">
        <f t="shared" si="286"/>
        <v>7</v>
      </c>
    </row>
    <row r="6013" spans="1:15" x14ac:dyDescent="0.25">
      <c r="A6013" s="64" t="s">
        <v>194</v>
      </c>
      <c r="B6013" s="79" t="str">
        <f>IF('Twenty-Fifth'!B16="", "",'Twenty-Fifth'!B16)</f>
        <v>CSS</v>
      </c>
      <c r="C6013" s="66" t="str">
        <f>IF('Twenty-Fifth'!C16="", "",'Twenty-Fifth'!C16)</f>
        <v>PwC</v>
      </c>
      <c r="D6013" s="66" t="str">
        <f>IF('Twenty-Fifth'!D16="", "",'Twenty-Fifth'!D16)</f>
        <v>New</v>
      </c>
      <c r="E6013" s="66" t="str">
        <f>IF('Twenty-Fifth'!E16="", "",'Twenty-Fifth'!E16)</f>
        <v>Female</v>
      </c>
      <c r="F6013" s="66" t="str">
        <f>IF('Twenty-Fifth'!F16="", "",'Twenty-Fifth'!F16)</f>
        <v>Lower GI</v>
      </c>
      <c r="G6013" s="66" t="str">
        <f>IF('Twenty-Fifth'!G16="", "",'Twenty-Fifth'!G16)</f>
        <v>Non-Curative Intent</v>
      </c>
      <c r="H6013" s="66" t="str">
        <f>IF('Twenty-Fifth'!H16="", "",'Twenty-Fifth'!H16)</f>
        <v>Booked</v>
      </c>
      <c r="I6013" s="66" t="str">
        <f>IF('Twenty-Fifth'!I16="", "",'Twenty-Fifth'!I16)</f>
        <v>Psych Support - Couple</v>
      </c>
      <c r="J6013" s="66" t="str">
        <f>IF('Twenty-Fifth'!J16="", "",'Twenty-Fifth'!J16)</f>
        <v/>
      </c>
      <c r="K6013" s="86" t="str">
        <f>IF('Twenty-Fifth'!K16="", "",'Twenty-Fifth'!K16)</f>
        <v/>
      </c>
      <c r="M6013" s="67">
        <f t="shared" si="284"/>
        <v>7</v>
      </c>
      <c r="N6013" s="76" t="str">
        <f t="shared" si="285"/>
        <v/>
      </c>
      <c r="O6013" s="33">
        <f t="shared" si="286"/>
        <v>7</v>
      </c>
    </row>
    <row r="6014" spans="1:15" x14ac:dyDescent="0.25">
      <c r="A6014" s="64" t="s">
        <v>194</v>
      </c>
      <c r="B6014" s="79" t="str">
        <f>IF('Twenty-Fifth'!B17="", "",'Twenty-Fifth'!B17)</f>
        <v>CSS</v>
      </c>
      <c r="C6014" s="66" t="str">
        <f>IF('Twenty-Fifth'!C17="", "",'Twenty-Fifth'!C17)</f>
        <v>Carer</v>
      </c>
      <c r="D6014" s="66" t="str">
        <f>IF('Twenty-Fifth'!D17="", "",'Twenty-Fifth'!D17)</f>
        <v>New</v>
      </c>
      <c r="E6014" s="66" t="str">
        <f>IF('Twenty-Fifth'!E17="", "",'Twenty-Fifth'!E17)</f>
        <v>Female</v>
      </c>
      <c r="F6014" s="66" t="str">
        <f>IF('Twenty-Fifth'!F17="", "",'Twenty-Fifth'!F17)</f>
        <v>Lower GI</v>
      </c>
      <c r="G6014" s="66" t="str">
        <f>IF('Twenty-Fifth'!G17="", "",'Twenty-Fifth'!G17)</f>
        <v>Non-Curative Intent</v>
      </c>
      <c r="H6014" s="66" t="str">
        <f>IF('Twenty-Fifth'!H17="", "",'Twenty-Fifth'!H17)</f>
        <v>Booked</v>
      </c>
      <c r="I6014" s="66" t="str">
        <f>IF('Twenty-Fifth'!I17="", "",'Twenty-Fifth'!I17)</f>
        <v>Psych Support - Couple</v>
      </c>
      <c r="J6014" s="66" t="str">
        <f>IF('Twenty-Fifth'!J17="", "",'Twenty-Fifth'!J17)</f>
        <v/>
      </c>
      <c r="K6014" s="86" t="str">
        <f>IF('Twenty-Fifth'!K17="", "",'Twenty-Fifth'!K17)</f>
        <v/>
      </c>
      <c r="M6014" s="67" t="str">
        <f t="shared" si="284"/>
        <v/>
      </c>
      <c r="N6014" s="76">
        <f t="shared" si="285"/>
        <v>7</v>
      </c>
      <c r="O6014" s="33">
        <f t="shared" si="286"/>
        <v>7</v>
      </c>
    </row>
    <row r="6015" spans="1:15" x14ac:dyDescent="0.25">
      <c r="A6015" s="64" t="s">
        <v>194</v>
      </c>
      <c r="B6015" s="79" t="str">
        <f>IF('Twenty-Fifth'!B18="", "",'Twenty-Fifth'!B18)</f>
        <v>CSS</v>
      </c>
      <c r="C6015" s="66" t="str">
        <f>IF('Twenty-Fifth'!C18="", "",'Twenty-Fifth'!C18)</f>
        <v>PwC</v>
      </c>
      <c r="D6015" s="66" t="str">
        <f>IF('Twenty-Fifth'!D18="", "",'Twenty-Fifth'!D18)</f>
        <v>Returning</v>
      </c>
      <c r="E6015" s="66" t="str">
        <f>IF('Twenty-Fifth'!E18="", "",'Twenty-Fifth'!E18)</f>
        <v>Male</v>
      </c>
      <c r="F6015" s="66" t="str">
        <f>IF('Twenty-Fifth'!F18="", "",'Twenty-Fifth'!F18)</f>
        <v>Lower GI</v>
      </c>
      <c r="G6015" s="66" t="str">
        <f>IF('Twenty-Fifth'!G18="", "",'Twenty-Fifth'!G18)</f>
        <v>Curative Intent</v>
      </c>
      <c r="H6015" s="66" t="str">
        <f>IF('Twenty-Fifth'!H18="", "",'Twenty-Fifth'!H18)</f>
        <v>Booked</v>
      </c>
      <c r="I6015" s="66" t="str">
        <f>IF('Twenty-Fifth'!I18="", "",'Twenty-Fifth'!I18)</f>
        <v>Psych Support - Individual</v>
      </c>
      <c r="J6015" s="66" t="str">
        <f>IF('Twenty-Fifth'!J18="", "",'Twenty-Fifth'!J18)</f>
        <v/>
      </c>
      <c r="K6015" s="86" t="str">
        <f>IF('Twenty-Fifth'!K18="", "",'Twenty-Fifth'!K18)</f>
        <v/>
      </c>
      <c r="M6015" s="67">
        <f t="shared" ref="M6015:M6078" si="287">IF(C6015="PwC",(7-COUNTIF(B6015:H6015,"")),"")</f>
        <v>7</v>
      </c>
      <c r="N6015" s="76" t="str">
        <f t="shared" ref="N6015:N6078" si="288">IF(C6015="Carer",(7-COUNTIF(B6015:H6015,"")),"")</f>
        <v/>
      </c>
      <c r="O6015" s="33">
        <f t="shared" si="286"/>
        <v>7</v>
      </c>
    </row>
    <row r="6016" spans="1:15" x14ac:dyDescent="0.25">
      <c r="A6016" s="64" t="s">
        <v>194</v>
      </c>
      <c r="B6016" s="79" t="str">
        <f>IF('Twenty-Fifth'!B19="", "",'Twenty-Fifth'!B19)</f>
        <v>CSS</v>
      </c>
      <c r="C6016" s="66" t="str">
        <f>IF('Twenty-Fifth'!C19="", "",'Twenty-Fifth'!C19)</f>
        <v>PwC</v>
      </c>
      <c r="D6016" s="66" t="str">
        <f>IF('Twenty-Fifth'!D19="", "",'Twenty-Fifth'!D19)</f>
        <v>Returning</v>
      </c>
      <c r="E6016" s="66" t="str">
        <f>IF('Twenty-Fifth'!E19="", "",'Twenty-Fifth'!E19)</f>
        <v>Female</v>
      </c>
      <c r="F6016" s="66" t="str">
        <f>IF('Twenty-Fifth'!F19="", "",'Twenty-Fifth'!F19)</f>
        <v>Breast</v>
      </c>
      <c r="G6016" s="66" t="str">
        <f>IF('Twenty-Fifth'!G19="", "",'Twenty-Fifth'!G19)</f>
        <v>Non-Curative Intent</v>
      </c>
      <c r="H6016" s="66" t="str">
        <f>IF('Twenty-Fifth'!H19="", "",'Twenty-Fifth'!H19)</f>
        <v>Drop-In</v>
      </c>
      <c r="I6016" s="66" t="str">
        <f>IF('Twenty-Fifth'!I19="", "",'Twenty-Fifth'!I19)</f>
        <v/>
      </c>
      <c r="J6016" s="66" t="str">
        <f>IF('Twenty-Fifth'!J19="", "",'Twenty-Fifth'!J19)</f>
        <v/>
      </c>
      <c r="K6016" s="86" t="str">
        <f>IF('Twenty-Fifth'!K19="", "",'Twenty-Fifth'!K19)</f>
        <v/>
      </c>
      <c r="M6016" s="67">
        <f t="shared" si="287"/>
        <v>7</v>
      </c>
      <c r="N6016" s="76" t="str">
        <f t="shared" si="288"/>
        <v/>
      </c>
      <c r="O6016" s="33">
        <f t="shared" si="286"/>
        <v>7</v>
      </c>
    </row>
    <row r="6017" spans="1:15" x14ac:dyDescent="0.25">
      <c r="A6017" s="64" t="s">
        <v>194</v>
      </c>
      <c r="B6017" s="79" t="str">
        <f>IF('Twenty-Fifth'!B20="", "",'Twenty-Fifth'!B20)</f>
        <v>Benefits Advisor</v>
      </c>
      <c r="C6017" s="66" t="str">
        <f>IF('Twenty-Fifth'!C20="", "",'Twenty-Fifth'!C20)</f>
        <v>PwC</v>
      </c>
      <c r="D6017" s="66" t="str">
        <f>IF('Twenty-Fifth'!D20="", "",'Twenty-Fifth'!D20)</f>
        <v>Returning</v>
      </c>
      <c r="E6017" s="66" t="str">
        <f>IF('Twenty-Fifth'!E20="", "",'Twenty-Fifth'!E20)</f>
        <v>Male</v>
      </c>
      <c r="F6017" s="66" t="str">
        <f>IF('Twenty-Fifth'!F20="", "",'Twenty-Fifth'!F20)</f>
        <v>Upper GI</v>
      </c>
      <c r="G6017" s="66" t="str">
        <f>IF('Twenty-Fifth'!G20="", "",'Twenty-Fifth'!G20)</f>
        <v>Post Treatment - Curative Intent</v>
      </c>
      <c r="H6017" s="66" t="str">
        <f>IF('Twenty-Fifth'!H20="", "",'Twenty-Fifth'!H20)</f>
        <v>E-mail Support</v>
      </c>
      <c r="I6017" s="66" t="str">
        <f>IF('Twenty-Fifth'!I20="", "",'Twenty-Fifth'!I20)</f>
        <v>Benefits - Individual</v>
      </c>
      <c r="J6017" s="66" t="str">
        <f>IF('Twenty-Fifth'!J20="", "",'Twenty-Fifth'!J20)</f>
        <v/>
      </c>
      <c r="K6017" s="86" t="str">
        <f>IF('Twenty-Fifth'!K20="", "",'Twenty-Fifth'!K20)</f>
        <v/>
      </c>
      <c r="M6017" s="67">
        <f t="shared" si="287"/>
        <v>7</v>
      </c>
      <c r="N6017" s="76" t="str">
        <f t="shared" si="288"/>
        <v/>
      </c>
      <c r="O6017" s="33">
        <f t="shared" si="286"/>
        <v>7</v>
      </c>
    </row>
    <row r="6018" spans="1:15" x14ac:dyDescent="0.25">
      <c r="A6018" s="64" t="s">
        <v>194</v>
      </c>
      <c r="B6018" s="79" t="str">
        <f>IF('Twenty-Fifth'!B21="", "",'Twenty-Fifth'!B21)</f>
        <v>Benefits Advisor</v>
      </c>
      <c r="C6018" s="66" t="str">
        <f>IF('Twenty-Fifth'!C21="", "",'Twenty-Fifth'!C21)</f>
        <v>PwC</v>
      </c>
      <c r="D6018" s="66" t="str">
        <f>IF('Twenty-Fifth'!D21="", "",'Twenty-Fifth'!D21)</f>
        <v>Returning</v>
      </c>
      <c r="E6018" s="66" t="str">
        <f>IF('Twenty-Fifth'!E21="", "",'Twenty-Fifth'!E21)</f>
        <v>Female</v>
      </c>
      <c r="F6018" s="66" t="str">
        <f>IF('Twenty-Fifth'!F21="", "",'Twenty-Fifth'!F21)</f>
        <v>Lung</v>
      </c>
      <c r="G6018" s="66" t="str">
        <f>IF('Twenty-Fifth'!G21="", "",'Twenty-Fifth'!G21)</f>
        <v>Post Treatment - Curative Intent</v>
      </c>
      <c r="H6018" s="66" t="str">
        <f>IF('Twenty-Fifth'!H21="", "",'Twenty-Fifth'!H21)</f>
        <v>Telephone Support</v>
      </c>
      <c r="I6018" s="66" t="str">
        <f>IF('Twenty-Fifth'!I21="", "",'Twenty-Fifth'!I21)</f>
        <v>Benefits - Individual</v>
      </c>
      <c r="J6018" s="66" t="str">
        <f>IF('Twenty-Fifth'!J21="", "",'Twenty-Fifth'!J21)</f>
        <v/>
      </c>
      <c r="K6018" s="86" t="str">
        <f>IF('Twenty-Fifth'!K21="", "",'Twenty-Fifth'!K21)</f>
        <v/>
      </c>
      <c r="M6018" s="67">
        <f t="shared" si="287"/>
        <v>7</v>
      </c>
      <c r="N6018" s="76" t="str">
        <f t="shared" si="288"/>
        <v/>
      </c>
      <c r="O6018" s="33">
        <f t="shared" si="286"/>
        <v>7</v>
      </c>
    </row>
    <row r="6019" spans="1:15" x14ac:dyDescent="0.25">
      <c r="A6019" s="64" t="s">
        <v>194</v>
      </c>
      <c r="B6019" s="79" t="str">
        <f>IF('Twenty-Fifth'!B22="", "",'Twenty-Fifth'!B22)</f>
        <v>Benefits Advisor</v>
      </c>
      <c r="C6019" s="66" t="str">
        <f>IF('Twenty-Fifth'!C22="", "",'Twenty-Fifth'!C22)</f>
        <v>PwC</v>
      </c>
      <c r="D6019" s="66" t="str">
        <f>IF('Twenty-Fifth'!D22="", "",'Twenty-Fifth'!D22)</f>
        <v>New</v>
      </c>
      <c r="E6019" s="66" t="str">
        <f>IF('Twenty-Fifth'!E22="", "",'Twenty-Fifth'!E22)</f>
        <v>Female</v>
      </c>
      <c r="F6019" s="66" t="str">
        <f>IF('Twenty-Fifth'!F22="", "",'Twenty-Fifth'!F22)</f>
        <v>Breast</v>
      </c>
      <c r="G6019" s="66" t="str">
        <f>IF('Twenty-Fifth'!G22="", "",'Twenty-Fifth'!G22)</f>
        <v>Post Treatment - Curative Intent</v>
      </c>
      <c r="H6019" s="66" t="str">
        <f>IF('Twenty-Fifth'!H22="", "",'Twenty-Fifth'!H22)</f>
        <v>Telephone Support</v>
      </c>
      <c r="I6019" s="66" t="str">
        <f>IF('Twenty-Fifth'!I22="", "",'Twenty-Fifth'!I22)</f>
        <v>Benefits - Individual</v>
      </c>
      <c r="J6019" s="66" t="str">
        <f>IF('Twenty-Fifth'!J22="", "",'Twenty-Fifth'!J22)</f>
        <v/>
      </c>
      <c r="K6019" s="86" t="str">
        <f>IF('Twenty-Fifth'!K22="", "",'Twenty-Fifth'!K22)</f>
        <v/>
      </c>
      <c r="M6019" s="67">
        <f t="shared" si="287"/>
        <v>7</v>
      </c>
      <c r="N6019" s="76" t="str">
        <f t="shared" si="288"/>
        <v/>
      </c>
      <c r="O6019" s="33">
        <f t="shared" si="286"/>
        <v>7</v>
      </c>
    </row>
    <row r="6020" spans="1:15" x14ac:dyDescent="0.25">
      <c r="A6020" s="64" t="s">
        <v>194</v>
      </c>
      <c r="B6020" s="79" t="str">
        <f>IF('Twenty-Fifth'!B23="", "",'Twenty-Fifth'!B23)</f>
        <v>Benefits Advisor</v>
      </c>
      <c r="C6020" s="66" t="str">
        <f>IF('Twenty-Fifth'!C23="", "",'Twenty-Fifth'!C23)</f>
        <v>PwC</v>
      </c>
      <c r="D6020" s="66" t="str">
        <f>IF('Twenty-Fifth'!D23="", "",'Twenty-Fifth'!D23)</f>
        <v>Returning</v>
      </c>
      <c r="E6020" s="66" t="str">
        <f>IF('Twenty-Fifth'!E23="", "",'Twenty-Fifth'!E23)</f>
        <v>Male</v>
      </c>
      <c r="F6020" s="66" t="str">
        <f>IF('Twenty-Fifth'!F23="", "",'Twenty-Fifth'!F23)</f>
        <v>Prostate</v>
      </c>
      <c r="G6020" s="66" t="str">
        <f>IF('Twenty-Fifth'!G23="", "",'Twenty-Fifth'!G23)</f>
        <v>Non-Curative Intent</v>
      </c>
      <c r="H6020" s="66" t="str">
        <f>IF('Twenty-Fifth'!H23="", "",'Twenty-Fifth'!H23)</f>
        <v>Booked</v>
      </c>
      <c r="I6020" s="66" t="str">
        <f>IF('Twenty-Fifth'!I23="", "",'Twenty-Fifth'!I23)</f>
        <v>Benefits - Couple</v>
      </c>
      <c r="J6020" s="66" t="str">
        <f>IF('Twenty-Fifth'!J23="", "",'Twenty-Fifth'!J23)</f>
        <v/>
      </c>
      <c r="K6020" s="86" t="str">
        <f>IF('Twenty-Fifth'!K23="", "",'Twenty-Fifth'!K23)</f>
        <v/>
      </c>
      <c r="M6020" s="67">
        <f t="shared" si="287"/>
        <v>7</v>
      </c>
      <c r="N6020" s="76" t="str">
        <f t="shared" si="288"/>
        <v/>
      </c>
      <c r="O6020" s="33">
        <f t="shared" si="286"/>
        <v>7</v>
      </c>
    </row>
    <row r="6021" spans="1:15" x14ac:dyDescent="0.25">
      <c r="A6021" s="64" t="s">
        <v>194</v>
      </c>
      <c r="B6021" s="79" t="str">
        <f>IF('Twenty-Fifth'!B24="", "",'Twenty-Fifth'!B24)</f>
        <v>Benefits Advisor</v>
      </c>
      <c r="C6021" s="66" t="str">
        <f>IF('Twenty-Fifth'!C24="", "",'Twenty-Fifth'!C24)</f>
        <v>Carer</v>
      </c>
      <c r="D6021" s="66" t="str">
        <f>IF('Twenty-Fifth'!D24="", "",'Twenty-Fifth'!D24)</f>
        <v>Returning</v>
      </c>
      <c r="E6021" s="66" t="str">
        <f>IF('Twenty-Fifth'!E24="", "",'Twenty-Fifth'!E24)</f>
        <v>Female</v>
      </c>
      <c r="F6021" s="66" t="str">
        <f>IF('Twenty-Fifth'!F24="", "",'Twenty-Fifth'!F24)</f>
        <v>Prostate</v>
      </c>
      <c r="G6021" s="66" t="str">
        <f>IF('Twenty-Fifth'!G24="", "",'Twenty-Fifth'!G24)</f>
        <v>Non-Curative Intent</v>
      </c>
      <c r="H6021" s="66" t="str">
        <f>IF('Twenty-Fifth'!H24="", "",'Twenty-Fifth'!H24)</f>
        <v>Booked</v>
      </c>
      <c r="I6021" s="66" t="str">
        <f>IF('Twenty-Fifth'!I24="", "",'Twenty-Fifth'!I24)</f>
        <v>Benefits - Couple</v>
      </c>
      <c r="J6021" s="66" t="str">
        <f>IF('Twenty-Fifth'!J24="", "",'Twenty-Fifth'!J24)</f>
        <v/>
      </c>
      <c r="K6021" s="86" t="str">
        <f>IF('Twenty-Fifth'!K24="", "",'Twenty-Fifth'!K24)</f>
        <v/>
      </c>
      <c r="M6021" s="67" t="str">
        <f t="shared" si="287"/>
        <v/>
      </c>
      <c r="N6021" s="76">
        <f t="shared" si="288"/>
        <v>7</v>
      </c>
      <c r="O6021" s="33">
        <f t="shared" si="286"/>
        <v>7</v>
      </c>
    </row>
    <row r="6022" spans="1:15" x14ac:dyDescent="0.25">
      <c r="A6022" s="64" t="s">
        <v>194</v>
      </c>
      <c r="B6022" s="79" t="str">
        <f>IF('Twenty-Fifth'!B25="", "",'Twenty-Fifth'!B25)</f>
        <v>CSS</v>
      </c>
      <c r="C6022" s="66" t="str">
        <f>IF('Twenty-Fifth'!C25="", "",'Twenty-Fifth'!C25)</f>
        <v>PwC</v>
      </c>
      <c r="D6022" s="66" t="str">
        <f>IF('Twenty-Fifth'!D25="", "",'Twenty-Fifth'!D25)</f>
        <v>Returning</v>
      </c>
      <c r="E6022" s="66" t="str">
        <f>IF('Twenty-Fifth'!E25="", "",'Twenty-Fifth'!E25)</f>
        <v>Female</v>
      </c>
      <c r="F6022" s="66" t="str">
        <f>IF('Twenty-Fifth'!F25="", "",'Twenty-Fifth'!F25)</f>
        <v>Breast</v>
      </c>
      <c r="G6022" s="66" t="str">
        <f>IF('Twenty-Fifth'!G25="", "",'Twenty-Fifth'!G25)</f>
        <v>Non-Curative Intent</v>
      </c>
      <c r="H6022" s="66" t="str">
        <f>IF('Twenty-Fifth'!H25="", "",'Twenty-Fifth'!H25)</f>
        <v>Booked</v>
      </c>
      <c r="I6022" s="66" t="str">
        <f>IF('Twenty-Fifth'!I25="", "",'Twenty-Fifth'!I25)</f>
        <v>Psych Support - Individual</v>
      </c>
      <c r="J6022" s="66" t="str">
        <f>IF('Twenty-Fifth'!J25="", "",'Twenty-Fifth'!J25)</f>
        <v/>
      </c>
      <c r="K6022" s="86" t="str">
        <f>IF('Twenty-Fifth'!K25="", "",'Twenty-Fifth'!K25)</f>
        <v/>
      </c>
      <c r="M6022" s="67">
        <f t="shared" si="287"/>
        <v>7</v>
      </c>
      <c r="N6022" s="76" t="str">
        <f t="shared" si="288"/>
        <v/>
      </c>
      <c r="O6022" s="33">
        <f t="shared" si="286"/>
        <v>7</v>
      </c>
    </row>
    <row r="6023" spans="1:15" x14ac:dyDescent="0.25">
      <c r="A6023" s="64" t="s">
        <v>194</v>
      </c>
      <c r="B6023" s="79" t="str">
        <f>IF('Twenty-Fifth'!B26="", "",'Twenty-Fifth'!B26)</f>
        <v>CSS</v>
      </c>
      <c r="C6023" s="66" t="str">
        <f>IF('Twenty-Fifth'!C26="", "",'Twenty-Fifth'!C26)</f>
        <v>Carer</v>
      </c>
      <c r="D6023" s="66" t="str">
        <f>IF('Twenty-Fifth'!D26="", "",'Twenty-Fifth'!D26)</f>
        <v>Returning</v>
      </c>
      <c r="E6023" s="66" t="str">
        <f>IF('Twenty-Fifth'!E26="", "",'Twenty-Fifth'!E26)</f>
        <v>Female</v>
      </c>
      <c r="F6023" s="66" t="str">
        <f>IF('Twenty-Fifth'!F26="", "",'Twenty-Fifth'!F26)</f>
        <v>Breast</v>
      </c>
      <c r="G6023" s="66" t="str">
        <f>IF('Twenty-Fifth'!G26="", "",'Twenty-Fifth'!G26)</f>
        <v>Non-Curative Intent</v>
      </c>
      <c r="H6023" s="66" t="str">
        <f>IF('Twenty-Fifth'!H26="", "",'Twenty-Fifth'!H26)</f>
        <v>Drop-In</v>
      </c>
      <c r="I6023" s="66" t="str">
        <f>IF('Twenty-Fifth'!I26="", "",'Twenty-Fifth'!I26)</f>
        <v/>
      </c>
      <c r="J6023" s="66" t="str">
        <f>IF('Twenty-Fifth'!J26="", "",'Twenty-Fifth'!J26)</f>
        <v/>
      </c>
      <c r="K6023" s="86" t="str">
        <f>IF('Twenty-Fifth'!K26="", "",'Twenty-Fifth'!K26)</f>
        <v/>
      </c>
      <c r="M6023" s="67" t="str">
        <f t="shared" si="287"/>
        <v/>
      </c>
      <c r="N6023" s="76">
        <f t="shared" si="288"/>
        <v>7</v>
      </c>
      <c r="O6023" s="33">
        <f t="shared" si="286"/>
        <v>7</v>
      </c>
    </row>
    <row r="6024" spans="1:15" x14ac:dyDescent="0.25">
      <c r="A6024" s="64" t="s">
        <v>194</v>
      </c>
      <c r="B6024" s="79" t="str">
        <f>IF('Twenty-Fifth'!B27="", "",'Twenty-Fifth'!B27)</f>
        <v>CSS</v>
      </c>
      <c r="C6024" s="66" t="str">
        <f>IF('Twenty-Fifth'!C27="", "",'Twenty-Fifth'!C27)</f>
        <v>PwC</v>
      </c>
      <c r="D6024" s="66" t="str">
        <f>IF('Twenty-Fifth'!D27="", "",'Twenty-Fifth'!D27)</f>
        <v>Returning</v>
      </c>
      <c r="E6024" s="66" t="str">
        <f>IF('Twenty-Fifth'!E27="", "",'Twenty-Fifth'!E27)</f>
        <v>Female</v>
      </c>
      <c r="F6024" s="66" t="str">
        <f>IF('Twenty-Fifth'!F27="", "",'Twenty-Fifth'!F27)</f>
        <v>Sarcoma</v>
      </c>
      <c r="G6024" s="66" t="str">
        <f>IF('Twenty-Fifth'!G27="", "",'Twenty-Fifth'!G27)</f>
        <v>Non-Curative Intent</v>
      </c>
      <c r="H6024" s="66" t="str">
        <f>IF('Twenty-Fifth'!H27="", "",'Twenty-Fifth'!H27)</f>
        <v>Booked</v>
      </c>
      <c r="I6024" s="66" t="str">
        <f>IF('Twenty-Fifth'!I27="", "",'Twenty-Fifth'!I27)</f>
        <v>Psych Support - Individual</v>
      </c>
      <c r="J6024" s="66" t="str">
        <f>IF('Twenty-Fifth'!J27="", "",'Twenty-Fifth'!J27)</f>
        <v/>
      </c>
      <c r="K6024" s="86" t="str">
        <f>IF('Twenty-Fifth'!K27="", "",'Twenty-Fifth'!K27)</f>
        <v/>
      </c>
      <c r="M6024" s="67">
        <f t="shared" si="287"/>
        <v>7</v>
      </c>
      <c r="N6024" s="76" t="str">
        <f t="shared" si="288"/>
        <v/>
      </c>
      <c r="O6024" s="33">
        <f t="shared" si="286"/>
        <v>7</v>
      </c>
    </row>
    <row r="6025" spans="1:15" x14ac:dyDescent="0.25">
      <c r="A6025" s="64" t="s">
        <v>194</v>
      </c>
      <c r="B6025" s="79" t="str">
        <f>IF('Twenty-Fifth'!B28="", "",'Twenty-Fifth'!B28)</f>
        <v>CSS</v>
      </c>
      <c r="C6025" s="66" t="str">
        <f>IF('Twenty-Fifth'!C28="", "",'Twenty-Fifth'!C28)</f>
        <v>PwC</v>
      </c>
      <c r="D6025" s="66" t="str">
        <f>IF('Twenty-Fifth'!D28="", "",'Twenty-Fifth'!D28)</f>
        <v>Returning</v>
      </c>
      <c r="E6025" s="66" t="str">
        <f>IF('Twenty-Fifth'!E28="", "",'Twenty-Fifth'!E28)</f>
        <v>Female</v>
      </c>
      <c r="F6025" s="66" t="str">
        <f>IF('Twenty-Fifth'!F28="", "",'Twenty-Fifth'!F28)</f>
        <v>Breast</v>
      </c>
      <c r="G6025" s="66" t="str">
        <f>IF('Twenty-Fifth'!G28="", "",'Twenty-Fifth'!G28)</f>
        <v>Non-Curative Intent</v>
      </c>
      <c r="H6025" s="66" t="str">
        <f>IF('Twenty-Fifth'!H28="", "",'Twenty-Fifth'!H28)</f>
        <v>Booked</v>
      </c>
      <c r="I6025" s="66" t="str">
        <f>IF('Twenty-Fifth'!I28="", "",'Twenty-Fifth'!I28)</f>
        <v>Psych Support - Couple</v>
      </c>
      <c r="J6025" s="66" t="str">
        <f>IF('Twenty-Fifth'!J28="", "",'Twenty-Fifth'!J28)</f>
        <v/>
      </c>
      <c r="K6025" s="86" t="str">
        <f>IF('Twenty-Fifth'!K28="", "",'Twenty-Fifth'!K28)</f>
        <v/>
      </c>
      <c r="M6025" s="67">
        <f t="shared" si="287"/>
        <v>7</v>
      </c>
      <c r="N6025" s="76" t="str">
        <f t="shared" si="288"/>
        <v/>
      </c>
      <c r="O6025" s="33">
        <f t="shared" si="286"/>
        <v>7</v>
      </c>
    </row>
    <row r="6026" spans="1:15" x14ac:dyDescent="0.25">
      <c r="A6026" s="64" t="s">
        <v>194</v>
      </c>
      <c r="B6026" s="79" t="str">
        <f>IF('Twenty-Fifth'!B29="", "",'Twenty-Fifth'!B29)</f>
        <v>CSS</v>
      </c>
      <c r="C6026" s="66" t="str">
        <f>IF('Twenty-Fifth'!C29="", "",'Twenty-Fifth'!C29)</f>
        <v>Carer</v>
      </c>
      <c r="D6026" s="66" t="str">
        <f>IF('Twenty-Fifth'!D29="", "",'Twenty-Fifth'!D29)</f>
        <v>Returning</v>
      </c>
      <c r="E6026" s="66" t="str">
        <f>IF('Twenty-Fifth'!E29="", "",'Twenty-Fifth'!E29)</f>
        <v>Female</v>
      </c>
      <c r="F6026" s="66" t="str">
        <f>IF('Twenty-Fifth'!F29="", "",'Twenty-Fifth'!F29)</f>
        <v>Breast</v>
      </c>
      <c r="G6026" s="66" t="str">
        <f>IF('Twenty-Fifth'!G29="", "",'Twenty-Fifth'!G29)</f>
        <v>Non-Curative Intent</v>
      </c>
      <c r="H6026" s="66" t="str">
        <f>IF('Twenty-Fifth'!H29="", "",'Twenty-Fifth'!H29)</f>
        <v>Booked</v>
      </c>
      <c r="I6026" s="66" t="str">
        <f>IF('Twenty-Fifth'!I29="", "",'Twenty-Fifth'!I29)</f>
        <v>Psych Support - Couple</v>
      </c>
      <c r="J6026" s="66" t="str">
        <f>IF('Twenty-Fifth'!J29="", "",'Twenty-Fifth'!J29)</f>
        <v/>
      </c>
      <c r="K6026" s="86" t="str">
        <f>IF('Twenty-Fifth'!K29="", "",'Twenty-Fifth'!K29)</f>
        <v/>
      </c>
      <c r="M6026" s="67" t="str">
        <f t="shared" si="287"/>
        <v/>
      </c>
      <c r="N6026" s="76">
        <f t="shared" si="288"/>
        <v>7</v>
      </c>
      <c r="O6026" s="33">
        <f t="shared" ref="O6026:O6089" si="289">SUM(M6026:N6026)</f>
        <v>7</v>
      </c>
    </row>
    <row r="6027" spans="1:15" x14ac:dyDescent="0.25">
      <c r="A6027" s="64" t="s">
        <v>194</v>
      </c>
      <c r="B6027" s="79" t="str">
        <f>IF('Twenty-Fifth'!B30="", "",'Twenty-Fifth'!B30)</f>
        <v>Centre Head</v>
      </c>
      <c r="C6027" s="66" t="str">
        <f>IF('Twenty-Fifth'!C30="", "",'Twenty-Fifth'!C30)</f>
        <v>Carer</v>
      </c>
      <c r="D6027" s="66" t="str">
        <f>IF('Twenty-Fifth'!D30="", "",'Twenty-Fifth'!D30)</f>
        <v>New</v>
      </c>
      <c r="E6027" s="66" t="str">
        <f>IF('Twenty-Fifth'!E30="", "",'Twenty-Fifth'!E30)</f>
        <v>Male</v>
      </c>
      <c r="F6027" s="66" t="str">
        <f>IF('Twenty-Fifth'!F30="", "",'Twenty-Fifth'!F30)</f>
        <v>Breast</v>
      </c>
      <c r="G6027" s="66" t="str">
        <f>IF('Twenty-Fifth'!G30="", "",'Twenty-Fifth'!G30)</f>
        <v>Bereaved</v>
      </c>
      <c r="H6027" s="66" t="str">
        <f>IF('Twenty-Fifth'!H30="", "",'Twenty-Fifth'!H30)</f>
        <v>Drop-In</v>
      </c>
      <c r="I6027" s="66" t="str">
        <f>IF('Twenty-Fifth'!I30="", "",'Twenty-Fifth'!I30)</f>
        <v/>
      </c>
      <c r="J6027" s="66" t="str">
        <f>IF('Twenty-Fifth'!J30="", "",'Twenty-Fifth'!J30)</f>
        <v/>
      </c>
      <c r="K6027" s="86" t="str">
        <f>IF('Twenty-Fifth'!K30="", "",'Twenty-Fifth'!K30)</f>
        <v/>
      </c>
      <c r="M6027" s="67" t="str">
        <f t="shared" si="287"/>
        <v/>
      </c>
      <c r="N6027" s="76">
        <f t="shared" si="288"/>
        <v>7</v>
      </c>
      <c r="O6027" s="33">
        <f t="shared" si="289"/>
        <v>7</v>
      </c>
    </row>
    <row r="6028" spans="1:15" x14ac:dyDescent="0.25">
      <c r="A6028" s="64" t="s">
        <v>194</v>
      </c>
      <c r="B6028" s="79" t="str">
        <f>IF('Twenty-Fifth'!B31="", "",'Twenty-Fifth'!B31)</f>
        <v>Centre Head</v>
      </c>
      <c r="C6028" s="66" t="str">
        <f>IF('Twenty-Fifth'!C31="", "",'Twenty-Fifth'!C31)</f>
        <v>Carer</v>
      </c>
      <c r="D6028" s="66" t="str">
        <f>IF('Twenty-Fifth'!D31="", "",'Twenty-Fifth'!D31)</f>
        <v>New</v>
      </c>
      <c r="E6028" s="66" t="str">
        <f>IF('Twenty-Fifth'!E31="", "",'Twenty-Fifth'!E31)</f>
        <v>Male</v>
      </c>
      <c r="F6028" s="66" t="str">
        <f>IF('Twenty-Fifth'!F31="", "",'Twenty-Fifth'!F31)</f>
        <v>Breast</v>
      </c>
      <c r="G6028" s="66" t="str">
        <f>IF('Twenty-Fifth'!G31="", "",'Twenty-Fifth'!G31)</f>
        <v>Bereaved</v>
      </c>
      <c r="H6028" s="66" t="str">
        <f>IF('Twenty-Fifth'!H31="", "",'Twenty-Fifth'!H31)</f>
        <v>Drop-In</v>
      </c>
      <c r="I6028" s="66" t="str">
        <f>IF('Twenty-Fifth'!I31="", "",'Twenty-Fifth'!I31)</f>
        <v/>
      </c>
      <c r="J6028" s="66" t="str">
        <f>IF('Twenty-Fifth'!J31="", "",'Twenty-Fifth'!J31)</f>
        <v/>
      </c>
      <c r="K6028" s="86" t="str">
        <f>IF('Twenty-Fifth'!K31="", "",'Twenty-Fifth'!K31)</f>
        <v/>
      </c>
      <c r="M6028" s="67" t="str">
        <f t="shared" si="287"/>
        <v/>
      </c>
      <c r="N6028" s="76">
        <f t="shared" si="288"/>
        <v>7</v>
      </c>
      <c r="O6028" s="33">
        <f t="shared" si="289"/>
        <v>7</v>
      </c>
    </row>
    <row r="6029" spans="1:15" x14ac:dyDescent="0.25">
      <c r="A6029" s="64" t="s">
        <v>194</v>
      </c>
      <c r="B6029" s="79" t="str">
        <f>IF('Twenty-Fifth'!B32="", "",'Twenty-Fifth'!B32)</f>
        <v>Centre Head</v>
      </c>
      <c r="C6029" s="66" t="str">
        <f>IF('Twenty-Fifth'!C32="", "",'Twenty-Fifth'!C32)</f>
        <v>PwC</v>
      </c>
      <c r="D6029" s="66" t="str">
        <f>IF('Twenty-Fifth'!D32="", "",'Twenty-Fifth'!D32)</f>
        <v>New</v>
      </c>
      <c r="E6029" s="66" t="str">
        <f>IF('Twenty-Fifth'!E32="", "",'Twenty-Fifth'!E32)</f>
        <v>Male</v>
      </c>
      <c r="F6029" s="66" t="str">
        <f>IF('Twenty-Fifth'!F32="", "",'Twenty-Fifth'!F32)</f>
        <v>Head/Neck</v>
      </c>
      <c r="G6029" s="66" t="str">
        <f>IF('Twenty-Fifth'!G32="", "",'Twenty-Fifth'!G32)</f>
        <v>Curative Intent</v>
      </c>
      <c r="H6029" s="66" t="str">
        <f>IF('Twenty-Fifth'!H32="", "",'Twenty-Fifth'!H32)</f>
        <v>Drop-In</v>
      </c>
      <c r="I6029" s="66" t="str">
        <f>IF('Twenty-Fifth'!I32="", "",'Twenty-Fifth'!I32)</f>
        <v/>
      </c>
      <c r="J6029" s="66" t="str">
        <f>IF('Twenty-Fifth'!J32="", "",'Twenty-Fifth'!J32)</f>
        <v/>
      </c>
      <c r="K6029" s="86" t="str">
        <f>IF('Twenty-Fifth'!K32="", "",'Twenty-Fifth'!K32)</f>
        <v/>
      </c>
      <c r="M6029" s="67">
        <f t="shared" si="287"/>
        <v>7</v>
      </c>
      <c r="N6029" s="76" t="str">
        <f t="shared" si="288"/>
        <v/>
      </c>
      <c r="O6029" s="33">
        <f t="shared" si="289"/>
        <v>7</v>
      </c>
    </row>
    <row r="6030" spans="1:15" x14ac:dyDescent="0.25">
      <c r="A6030" s="64" t="s">
        <v>194</v>
      </c>
      <c r="B6030" s="79" t="str">
        <f>IF('Twenty-Fifth'!B33="", "",'Twenty-Fifth'!B33)</f>
        <v>Centre Head</v>
      </c>
      <c r="C6030" s="66" t="str">
        <f>IF('Twenty-Fifth'!C33="", "",'Twenty-Fifth'!C33)</f>
        <v>Carer</v>
      </c>
      <c r="D6030" s="66" t="str">
        <f>IF('Twenty-Fifth'!D33="", "",'Twenty-Fifth'!D33)</f>
        <v>Returning</v>
      </c>
      <c r="E6030" s="66" t="str">
        <f>IF('Twenty-Fifth'!E33="", "",'Twenty-Fifth'!E33)</f>
        <v>Male</v>
      </c>
      <c r="F6030" s="66" t="str">
        <f>IF('Twenty-Fifth'!F33="", "",'Twenty-Fifth'!F33)</f>
        <v>Brain/CNS</v>
      </c>
      <c r="G6030" s="66" t="str">
        <f>IF('Twenty-Fifth'!G33="", "",'Twenty-Fifth'!G33)</f>
        <v>Bereaved</v>
      </c>
      <c r="H6030" s="66" t="str">
        <f>IF('Twenty-Fifth'!H33="", "",'Twenty-Fifth'!H33)</f>
        <v>Booked</v>
      </c>
      <c r="I6030" s="66" t="str">
        <f>IF('Twenty-Fifth'!I33="", "",'Twenty-Fifth'!I33)</f>
        <v>Psych Support - Individual</v>
      </c>
      <c r="J6030" s="66" t="str">
        <f>IF('Twenty-Fifth'!J33="", "",'Twenty-Fifth'!J33)</f>
        <v/>
      </c>
      <c r="K6030" s="86" t="str">
        <f>IF('Twenty-Fifth'!K33="", "",'Twenty-Fifth'!K33)</f>
        <v/>
      </c>
      <c r="M6030" s="67" t="str">
        <f t="shared" si="287"/>
        <v/>
      </c>
      <c r="N6030" s="76">
        <f t="shared" si="288"/>
        <v>7</v>
      </c>
      <c r="O6030" s="33">
        <f t="shared" si="289"/>
        <v>7</v>
      </c>
    </row>
    <row r="6031" spans="1:15" x14ac:dyDescent="0.25">
      <c r="A6031" s="64" t="s">
        <v>194</v>
      </c>
      <c r="B6031" s="79" t="str">
        <f>IF('Twenty-Fifth'!B34="", "",'Twenty-Fifth'!B34)</f>
        <v>Centre Head</v>
      </c>
      <c r="C6031" s="66" t="str">
        <f>IF('Twenty-Fifth'!C34="", "",'Twenty-Fifth'!C34)</f>
        <v>PwC</v>
      </c>
      <c r="D6031" s="66" t="str">
        <f>IF('Twenty-Fifth'!D34="", "",'Twenty-Fifth'!D34)</f>
        <v>Returning</v>
      </c>
      <c r="E6031" s="66" t="str">
        <f>IF('Twenty-Fifth'!E34="", "",'Twenty-Fifth'!E34)</f>
        <v>Female</v>
      </c>
      <c r="F6031" s="66" t="str">
        <f>IF('Twenty-Fifth'!F34="", "",'Twenty-Fifth'!F34)</f>
        <v>Breast</v>
      </c>
      <c r="G6031" s="66" t="str">
        <f>IF('Twenty-Fifth'!G34="", "",'Twenty-Fifth'!G34)</f>
        <v>Curative Intent</v>
      </c>
      <c r="H6031" s="66" t="str">
        <f>IF('Twenty-Fifth'!H34="", "",'Twenty-Fifth'!H34)</f>
        <v>Drop-In</v>
      </c>
      <c r="I6031" s="66" t="str">
        <f>IF('Twenty-Fifth'!I34="", "",'Twenty-Fifth'!I34)</f>
        <v/>
      </c>
      <c r="J6031" s="66" t="str">
        <f>IF('Twenty-Fifth'!J34="", "",'Twenty-Fifth'!J34)</f>
        <v/>
      </c>
      <c r="K6031" s="86" t="str">
        <f>IF('Twenty-Fifth'!K34="", "",'Twenty-Fifth'!K34)</f>
        <v/>
      </c>
      <c r="M6031" s="67">
        <f t="shared" si="287"/>
        <v>7</v>
      </c>
      <c r="N6031" s="76" t="str">
        <f t="shared" si="288"/>
        <v/>
      </c>
      <c r="O6031" s="33">
        <f t="shared" si="289"/>
        <v>7</v>
      </c>
    </row>
    <row r="6032" spans="1:15" x14ac:dyDescent="0.25">
      <c r="A6032" s="64" t="s">
        <v>194</v>
      </c>
      <c r="B6032" s="79" t="str">
        <f>IF('Twenty-Fifth'!B35="", "",'Twenty-Fifth'!B35)</f>
        <v>Centre Head</v>
      </c>
      <c r="C6032" s="66" t="str">
        <f>IF('Twenty-Fifth'!C35="", "",'Twenty-Fifth'!C35)</f>
        <v>PwC</v>
      </c>
      <c r="D6032" s="66" t="str">
        <f>IF('Twenty-Fifth'!D35="", "",'Twenty-Fifth'!D35)</f>
        <v>Returning</v>
      </c>
      <c r="E6032" s="66" t="str">
        <f>IF('Twenty-Fifth'!E35="", "",'Twenty-Fifth'!E35)</f>
        <v>Male</v>
      </c>
      <c r="F6032" s="66" t="str">
        <f>IF('Twenty-Fifth'!F35="", "",'Twenty-Fifth'!F35)</f>
        <v>Prostate</v>
      </c>
      <c r="G6032" s="66" t="str">
        <f>IF('Twenty-Fifth'!G35="", "",'Twenty-Fifth'!G35)</f>
        <v>Curative Intent</v>
      </c>
      <c r="H6032" s="66" t="str">
        <f>IF('Twenty-Fifth'!H35="", "",'Twenty-Fifth'!H35)</f>
        <v>Drop-In</v>
      </c>
      <c r="I6032" s="66" t="str">
        <f>IF('Twenty-Fifth'!I35="", "",'Twenty-Fifth'!I35)</f>
        <v/>
      </c>
      <c r="J6032" s="66" t="str">
        <f>IF('Twenty-Fifth'!J35="", "",'Twenty-Fifth'!J35)</f>
        <v/>
      </c>
      <c r="K6032" s="86" t="str">
        <f>IF('Twenty-Fifth'!K35="", "",'Twenty-Fifth'!K35)</f>
        <v/>
      </c>
      <c r="M6032" s="67">
        <f t="shared" si="287"/>
        <v>7</v>
      </c>
      <c r="N6032" s="76" t="str">
        <f t="shared" si="288"/>
        <v/>
      </c>
      <c r="O6032" s="33">
        <f t="shared" si="289"/>
        <v>7</v>
      </c>
    </row>
    <row r="6033" spans="1:15" x14ac:dyDescent="0.25">
      <c r="A6033" s="64" t="s">
        <v>194</v>
      </c>
      <c r="B6033" s="79" t="str">
        <f>IF('Twenty-Fifth'!B36="", "",'Twenty-Fifth'!B36)</f>
        <v>Centre Head</v>
      </c>
      <c r="C6033" s="66" t="str">
        <f>IF('Twenty-Fifth'!C36="", "",'Twenty-Fifth'!C36)</f>
        <v>Carer</v>
      </c>
      <c r="D6033" s="66" t="str">
        <f>IF('Twenty-Fifth'!D36="", "",'Twenty-Fifth'!D36)</f>
        <v>New</v>
      </c>
      <c r="E6033" s="66" t="str">
        <f>IF('Twenty-Fifth'!E36="", "",'Twenty-Fifth'!E36)</f>
        <v>Male</v>
      </c>
      <c r="F6033" s="66" t="str">
        <f>IF('Twenty-Fifth'!F36="", "",'Twenty-Fifth'!F36)</f>
        <v>Prostate</v>
      </c>
      <c r="G6033" s="66" t="str">
        <f>IF('Twenty-Fifth'!G36="", "",'Twenty-Fifth'!G36)</f>
        <v>Curative Intent</v>
      </c>
      <c r="H6033" s="66" t="str">
        <f>IF('Twenty-Fifth'!H36="", "",'Twenty-Fifth'!H36)</f>
        <v>Drop-In</v>
      </c>
      <c r="I6033" s="66" t="str">
        <f>IF('Twenty-Fifth'!I36="", "",'Twenty-Fifth'!I36)</f>
        <v/>
      </c>
      <c r="J6033" s="66" t="str">
        <f>IF('Twenty-Fifth'!J36="", "",'Twenty-Fifth'!J36)</f>
        <v/>
      </c>
      <c r="K6033" s="86" t="str">
        <f>IF('Twenty-Fifth'!K36="", "",'Twenty-Fifth'!K36)</f>
        <v/>
      </c>
      <c r="M6033" s="67" t="str">
        <f t="shared" si="287"/>
        <v/>
      </c>
      <c r="N6033" s="76">
        <f t="shared" si="288"/>
        <v>7</v>
      </c>
      <c r="O6033" s="33">
        <f t="shared" si="289"/>
        <v>7</v>
      </c>
    </row>
    <row r="6034" spans="1:15" x14ac:dyDescent="0.25">
      <c r="A6034" s="64" t="s">
        <v>194</v>
      </c>
      <c r="B6034" s="79" t="str">
        <f>IF('Twenty-Fifth'!B37="", "",'Twenty-Fifth'!B37)</f>
        <v>Centre Head</v>
      </c>
      <c r="C6034" s="66" t="str">
        <f>IF('Twenty-Fifth'!C37="", "",'Twenty-Fifth'!C37)</f>
        <v>PwC</v>
      </c>
      <c r="D6034" s="66" t="str">
        <f>IF('Twenty-Fifth'!D37="", "",'Twenty-Fifth'!D37)</f>
        <v>New</v>
      </c>
      <c r="E6034" s="66" t="str">
        <f>IF('Twenty-Fifth'!E37="", "",'Twenty-Fifth'!E37)</f>
        <v>Male</v>
      </c>
      <c r="F6034" s="66" t="str">
        <f>IF('Twenty-Fifth'!F37="", "",'Twenty-Fifth'!F37)</f>
        <v>Prostate</v>
      </c>
      <c r="G6034" s="66" t="str">
        <f>IF('Twenty-Fifth'!G37="", "",'Twenty-Fifth'!G37)</f>
        <v>Curative Intent</v>
      </c>
      <c r="H6034" s="66" t="str">
        <f>IF('Twenty-Fifth'!H37="", "",'Twenty-Fifth'!H37)</f>
        <v>Drop-In</v>
      </c>
      <c r="I6034" s="66" t="str">
        <f>IF('Twenty-Fifth'!I37="", "",'Twenty-Fifth'!I37)</f>
        <v/>
      </c>
      <c r="J6034" s="66" t="str">
        <f>IF('Twenty-Fifth'!J37="", "",'Twenty-Fifth'!J37)</f>
        <v/>
      </c>
      <c r="K6034" s="86" t="str">
        <f>IF('Twenty-Fifth'!K37="", "",'Twenty-Fifth'!K37)</f>
        <v/>
      </c>
      <c r="M6034" s="67">
        <f t="shared" si="287"/>
        <v>7</v>
      </c>
      <c r="N6034" s="76" t="str">
        <f t="shared" si="288"/>
        <v/>
      </c>
      <c r="O6034" s="33">
        <f t="shared" si="289"/>
        <v>7</v>
      </c>
    </row>
    <row r="6035" spans="1:15" x14ac:dyDescent="0.25">
      <c r="A6035" s="64" t="s">
        <v>194</v>
      </c>
      <c r="B6035" s="79" t="str">
        <f>IF('Twenty-Fifth'!B38="", "",'Twenty-Fifth'!B38)</f>
        <v>Centre Head</v>
      </c>
      <c r="C6035" s="66" t="str">
        <f>IF('Twenty-Fifth'!C38="", "",'Twenty-Fifth'!C38)</f>
        <v>Carer</v>
      </c>
      <c r="D6035" s="66" t="str">
        <f>IF('Twenty-Fifth'!D38="", "",'Twenty-Fifth'!D38)</f>
        <v>Returning</v>
      </c>
      <c r="E6035" s="66" t="str">
        <f>IF('Twenty-Fifth'!E38="", "",'Twenty-Fifth'!E38)</f>
        <v>Female</v>
      </c>
      <c r="F6035" s="66" t="str">
        <f>IF('Twenty-Fifth'!F38="", "",'Twenty-Fifth'!F38)</f>
        <v>Lung</v>
      </c>
      <c r="G6035" s="66" t="str">
        <f>IF('Twenty-Fifth'!G38="", "",'Twenty-Fifth'!G38)</f>
        <v>Non-Curative Intent</v>
      </c>
      <c r="H6035" s="66" t="str">
        <f>IF('Twenty-Fifth'!H38="", "",'Twenty-Fifth'!H38)</f>
        <v>Drop-In</v>
      </c>
      <c r="I6035" s="66" t="str">
        <f>IF('Twenty-Fifth'!I38="", "",'Twenty-Fifth'!I38)</f>
        <v/>
      </c>
      <c r="J6035" s="66" t="str">
        <f>IF('Twenty-Fifth'!J38="", "",'Twenty-Fifth'!J38)</f>
        <v/>
      </c>
      <c r="K6035" s="86" t="str">
        <f>IF('Twenty-Fifth'!K38="", "",'Twenty-Fifth'!K38)</f>
        <v/>
      </c>
      <c r="M6035" s="67" t="str">
        <f t="shared" si="287"/>
        <v/>
      </c>
      <c r="N6035" s="76">
        <f t="shared" si="288"/>
        <v>7</v>
      </c>
      <c r="O6035" s="33">
        <f t="shared" si="289"/>
        <v>7</v>
      </c>
    </row>
    <row r="6036" spans="1:15" x14ac:dyDescent="0.25">
      <c r="A6036" s="64" t="s">
        <v>194</v>
      </c>
      <c r="B6036" s="79" t="str">
        <f>IF('Twenty-Fifth'!B39="", "",'Twenty-Fifth'!B39)</f>
        <v>Centre Head</v>
      </c>
      <c r="C6036" s="66" t="str">
        <f>IF('Twenty-Fifth'!C39="", "",'Twenty-Fifth'!C39)</f>
        <v>Carer</v>
      </c>
      <c r="D6036" s="66" t="str">
        <f>IF('Twenty-Fifth'!D39="", "",'Twenty-Fifth'!D39)</f>
        <v>Returning</v>
      </c>
      <c r="E6036" s="66" t="str">
        <f>IF('Twenty-Fifth'!E39="", "",'Twenty-Fifth'!E39)</f>
        <v>Male</v>
      </c>
      <c r="F6036" s="66" t="str">
        <f>IF('Twenty-Fifth'!F39="", "",'Twenty-Fifth'!F39)</f>
        <v>Breast</v>
      </c>
      <c r="G6036" s="66" t="str">
        <f>IF('Twenty-Fifth'!G39="", "",'Twenty-Fifth'!G39)</f>
        <v>Post Treatment - Curative Intent</v>
      </c>
      <c r="H6036" s="66" t="str">
        <f>IF('Twenty-Fifth'!H39="", "",'Twenty-Fifth'!H39)</f>
        <v>Drop-In</v>
      </c>
      <c r="I6036" s="66" t="str">
        <f>IF('Twenty-Fifth'!I39="", "",'Twenty-Fifth'!I39)</f>
        <v/>
      </c>
      <c r="J6036" s="66" t="str">
        <f>IF('Twenty-Fifth'!J39="", "",'Twenty-Fifth'!J39)</f>
        <v/>
      </c>
      <c r="K6036" s="86" t="str">
        <f>IF('Twenty-Fifth'!K39="", "",'Twenty-Fifth'!K39)</f>
        <v/>
      </c>
      <c r="M6036" s="67" t="str">
        <f t="shared" si="287"/>
        <v/>
      </c>
      <c r="N6036" s="76">
        <f t="shared" si="288"/>
        <v>7</v>
      </c>
      <c r="O6036" s="33">
        <f t="shared" si="289"/>
        <v>7</v>
      </c>
    </row>
    <row r="6037" spans="1:15" x14ac:dyDescent="0.25">
      <c r="A6037" s="64" t="s">
        <v>194</v>
      </c>
      <c r="B6037" s="79" t="str">
        <f>IF('Twenty-Fifth'!B40="", "",'Twenty-Fifth'!B40)</f>
        <v>Centre Head</v>
      </c>
      <c r="C6037" s="66" t="str">
        <f>IF('Twenty-Fifth'!C40="", "",'Twenty-Fifth'!C40)</f>
        <v>PwC</v>
      </c>
      <c r="D6037" s="66" t="str">
        <f>IF('Twenty-Fifth'!D40="", "",'Twenty-Fifth'!D40)</f>
        <v>Returning</v>
      </c>
      <c r="E6037" s="66" t="str">
        <f>IF('Twenty-Fifth'!E40="", "",'Twenty-Fifth'!E40)</f>
        <v>Female</v>
      </c>
      <c r="F6037" s="66" t="str">
        <f>IF('Twenty-Fifth'!F40="", "",'Twenty-Fifth'!F40)</f>
        <v>Breast</v>
      </c>
      <c r="G6037" s="66" t="str">
        <f>IF('Twenty-Fifth'!G40="", "",'Twenty-Fifth'!G40)</f>
        <v>Curative Intent</v>
      </c>
      <c r="H6037" s="66" t="str">
        <f>IF('Twenty-Fifth'!H40="", "",'Twenty-Fifth'!H40)</f>
        <v>Booked</v>
      </c>
      <c r="I6037" s="66" t="str">
        <f>IF('Twenty-Fifth'!I40="", "",'Twenty-Fifth'!I40)</f>
        <v>Psych Support - Individual</v>
      </c>
      <c r="J6037" s="66" t="str">
        <f>IF('Twenty-Fifth'!J40="", "",'Twenty-Fifth'!J40)</f>
        <v/>
      </c>
      <c r="K6037" s="86" t="str">
        <f>IF('Twenty-Fifth'!K40="", "",'Twenty-Fifth'!K40)</f>
        <v/>
      </c>
      <c r="M6037" s="67">
        <f t="shared" si="287"/>
        <v>7</v>
      </c>
      <c r="N6037" s="76" t="str">
        <f t="shared" si="288"/>
        <v/>
      </c>
      <c r="O6037" s="33">
        <f t="shared" si="289"/>
        <v>7</v>
      </c>
    </row>
    <row r="6038" spans="1:15" x14ac:dyDescent="0.25">
      <c r="A6038" s="64" t="s">
        <v>194</v>
      </c>
      <c r="B6038" s="79" t="str">
        <f>IF('Twenty-Fifth'!B41="", "",'Twenty-Fifth'!B41)</f>
        <v>Centre Head</v>
      </c>
      <c r="C6038" s="66" t="str">
        <f>IF('Twenty-Fifth'!C41="", "",'Twenty-Fifth'!C41)</f>
        <v>Carer</v>
      </c>
      <c r="D6038" s="66" t="str">
        <f>IF('Twenty-Fifth'!D41="", "",'Twenty-Fifth'!D41)</f>
        <v>Returning</v>
      </c>
      <c r="E6038" s="66" t="str">
        <f>IF('Twenty-Fifth'!E41="", "",'Twenty-Fifth'!E41)</f>
        <v>Male</v>
      </c>
      <c r="F6038" s="66" t="str">
        <f>IF('Twenty-Fifth'!F41="", "",'Twenty-Fifth'!F41)</f>
        <v>Breast</v>
      </c>
      <c r="G6038" s="66" t="str">
        <f>IF('Twenty-Fifth'!G41="", "",'Twenty-Fifth'!G41)</f>
        <v>Curative Intent</v>
      </c>
      <c r="H6038" s="66" t="str">
        <f>IF('Twenty-Fifth'!H41="", "",'Twenty-Fifth'!H41)</f>
        <v>Drop-In</v>
      </c>
      <c r="I6038" s="66" t="str">
        <f>IF('Twenty-Fifth'!I41="", "",'Twenty-Fifth'!I41)</f>
        <v/>
      </c>
      <c r="J6038" s="66" t="str">
        <f>IF('Twenty-Fifth'!J41="", "",'Twenty-Fifth'!J41)</f>
        <v/>
      </c>
      <c r="K6038" s="86" t="str">
        <f>IF('Twenty-Fifth'!K41="", "",'Twenty-Fifth'!K41)</f>
        <v/>
      </c>
      <c r="M6038" s="67" t="str">
        <f t="shared" si="287"/>
        <v/>
      </c>
      <c r="N6038" s="76">
        <f t="shared" si="288"/>
        <v>7</v>
      </c>
      <c r="O6038" s="33">
        <f t="shared" si="289"/>
        <v>7</v>
      </c>
    </row>
    <row r="6039" spans="1:15" x14ac:dyDescent="0.25">
      <c r="A6039" s="64" t="s">
        <v>194</v>
      </c>
      <c r="B6039" s="79" t="str">
        <f>IF('Twenty-Fifth'!B42="", "",'Twenty-Fifth'!B42)</f>
        <v>Centre Head</v>
      </c>
      <c r="C6039" s="66" t="str">
        <f>IF('Twenty-Fifth'!C42="", "",'Twenty-Fifth'!C42)</f>
        <v>PwC</v>
      </c>
      <c r="D6039" s="66" t="str">
        <f>IF('Twenty-Fifth'!D42="", "",'Twenty-Fifth'!D42)</f>
        <v>Returning</v>
      </c>
      <c r="E6039" s="66" t="str">
        <f>IF('Twenty-Fifth'!E42="", "",'Twenty-Fifth'!E42)</f>
        <v>Male</v>
      </c>
      <c r="F6039" s="66" t="str">
        <f>IF('Twenty-Fifth'!F42="", "",'Twenty-Fifth'!F42)</f>
        <v>Brain/CNS</v>
      </c>
      <c r="G6039" s="66" t="str">
        <f>IF('Twenty-Fifth'!G42="", "",'Twenty-Fifth'!G42)</f>
        <v>Curative Intent</v>
      </c>
      <c r="H6039" s="66" t="str">
        <f>IF('Twenty-Fifth'!H42="", "",'Twenty-Fifth'!H42)</f>
        <v>Drop-In</v>
      </c>
      <c r="I6039" s="66" t="str">
        <f>IF('Twenty-Fifth'!I42="", "",'Twenty-Fifth'!I42)</f>
        <v/>
      </c>
      <c r="J6039" s="66" t="str">
        <f>IF('Twenty-Fifth'!J42="", "",'Twenty-Fifth'!J42)</f>
        <v/>
      </c>
      <c r="K6039" s="86" t="str">
        <f>IF('Twenty-Fifth'!K42="", "",'Twenty-Fifth'!K42)</f>
        <v/>
      </c>
      <c r="M6039" s="67">
        <f t="shared" si="287"/>
        <v>7</v>
      </c>
      <c r="N6039" s="76" t="str">
        <f t="shared" si="288"/>
        <v/>
      </c>
      <c r="O6039" s="33">
        <f t="shared" si="289"/>
        <v>7</v>
      </c>
    </row>
    <row r="6040" spans="1:15" x14ac:dyDescent="0.25">
      <c r="A6040" s="64" t="s">
        <v>194</v>
      </c>
      <c r="B6040" s="79" t="str">
        <f>IF('Twenty-Fifth'!B43="", "",'Twenty-Fifth'!B43)</f>
        <v>Centre Head</v>
      </c>
      <c r="C6040" s="66" t="str">
        <f>IF('Twenty-Fifth'!C43="", "",'Twenty-Fifth'!C43)</f>
        <v>PwC</v>
      </c>
      <c r="D6040" s="66" t="str">
        <f>IF('Twenty-Fifth'!D43="", "",'Twenty-Fifth'!D43)</f>
        <v>New</v>
      </c>
      <c r="E6040" s="66" t="str">
        <f>IF('Twenty-Fifth'!E43="", "",'Twenty-Fifth'!E43)</f>
        <v>Male</v>
      </c>
      <c r="F6040" s="66" t="str">
        <f>IF('Twenty-Fifth'!F43="", "",'Twenty-Fifth'!F43)</f>
        <v>Rare</v>
      </c>
      <c r="G6040" s="66" t="str">
        <f>IF('Twenty-Fifth'!G43="", "",'Twenty-Fifth'!G43)</f>
        <v>Non-Curative Intent</v>
      </c>
      <c r="H6040" s="66" t="str">
        <f>IF('Twenty-Fifth'!H43="", "",'Twenty-Fifth'!H43)</f>
        <v>Drop-In</v>
      </c>
      <c r="I6040" s="66" t="str">
        <f>IF('Twenty-Fifth'!I43="", "",'Twenty-Fifth'!I43)</f>
        <v/>
      </c>
      <c r="J6040" s="66" t="str">
        <f>IF('Twenty-Fifth'!J43="", "",'Twenty-Fifth'!J43)</f>
        <v/>
      </c>
      <c r="K6040" s="86" t="str">
        <f>IF('Twenty-Fifth'!K43="", "",'Twenty-Fifth'!K43)</f>
        <v/>
      </c>
      <c r="M6040" s="67">
        <f t="shared" si="287"/>
        <v>7</v>
      </c>
      <c r="N6040" s="76" t="str">
        <f t="shared" si="288"/>
        <v/>
      </c>
      <c r="O6040" s="33">
        <f t="shared" si="289"/>
        <v>7</v>
      </c>
    </row>
    <row r="6041" spans="1:15" x14ac:dyDescent="0.25">
      <c r="A6041" s="64" t="s">
        <v>194</v>
      </c>
      <c r="B6041" s="79" t="str">
        <f>IF('Twenty-Fifth'!B44="", "",'Twenty-Fifth'!B44)</f>
        <v>Benefits Advisor</v>
      </c>
      <c r="C6041" s="66" t="str">
        <f>IF('Twenty-Fifth'!C44="", "",'Twenty-Fifth'!C44)</f>
        <v>Carer</v>
      </c>
      <c r="D6041" s="66" t="str">
        <f>IF('Twenty-Fifth'!D44="", "",'Twenty-Fifth'!D44)</f>
        <v>New</v>
      </c>
      <c r="E6041" s="66" t="str">
        <f>IF('Twenty-Fifth'!E44="", "",'Twenty-Fifth'!E44)</f>
        <v>Female</v>
      </c>
      <c r="F6041" s="66" t="str">
        <f>IF('Twenty-Fifth'!F44="", "",'Twenty-Fifth'!F44)</f>
        <v>Lung</v>
      </c>
      <c r="G6041" s="66" t="str">
        <f>IF('Twenty-Fifth'!G44="", "",'Twenty-Fifth'!G44)</f>
        <v>Non-Curative Intent</v>
      </c>
      <c r="H6041" s="66" t="str">
        <f>IF('Twenty-Fifth'!H44="", "",'Twenty-Fifth'!H44)</f>
        <v>Drop-In</v>
      </c>
      <c r="I6041" s="66" t="str">
        <f>IF('Twenty-Fifth'!I44="", "",'Twenty-Fifth'!I44)</f>
        <v>Benefits - Couple</v>
      </c>
      <c r="J6041" s="66" t="str">
        <f>IF('Twenty-Fifth'!J44="", "",'Twenty-Fifth'!J44)</f>
        <v/>
      </c>
      <c r="K6041" s="86" t="str">
        <f>IF('Twenty-Fifth'!K44="", "",'Twenty-Fifth'!K44)</f>
        <v/>
      </c>
      <c r="M6041" s="67" t="str">
        <f t="shared" si="287"/>
        <v/>
      </c>
      <c r="N6041" s="76">
        <f t="shared" si="288"/>
        <v>7</v>
      </c>
      <c r="O6041" s="33">
        <f t="shared" si="289"/>
        <v>7</v>
      </c>
    </row>
    <row r="6042" spans="1:15" x14ac:dyDescent="0.25">
      <c r="A6042" s="64" t="s">
        <v>194</v>
      </c>
      <c r="B6042" s="79" t="str">
        <f>IF('Twenty-Fifth'!B45="", "",'Twenty-Fifth'!B45)</f>
        <v>Benefits Advisor</v>
      </c>
      <c r="C6042" s="66" t="str">
        <f>IF('Twenty-Fifth'!C45="", "",'Twenty-Fifth'!C45)</f>
        <v>Carer</v>
      </c>
      <c r="D6042" s="66" t="str">
        <f>IF('Twenty-Fifth'!D45="", "",'Twenty-Fifth'!D45)</f>
        <v>New</v>
      </c>
      <c r="E6042" s="66" t="str">
        <f>IF('Twenty-Fifth'!E45="", "",'Twenty-Fifth'!E45)</f>
        <v>Male</v>
      </c>
      <c r="F6042" s="66" t="str">
        <f>IF('Twenty-Fifth'!F45="", "",'Twenty-Fifth'!F45)</f>
        <v>Lung</v>
      </c>
      <c r="G6042" s="66" t="str">
        <f>IF('Twenty-Fifth'!G45="", "",'Twenty-Fifth'!G45)</f>
        <v>Non-Curative Intent</v>
      </c>
      <c r="H6042" s="66" t="str">
        <f>IF('Twenty-Fifth'!H45="", "",'Twenty-Fifth'!H45)</f>
        <v>Drop-In</v>
      </c>
      <c r="I6042" s="66" t="str">
        <f>IF('Twenty-Fifth'!I45="", "",'Twenty-Fifth'!I45)</f>
        <v>Benefits - Couple</v>
      </c>
      <c r="J6042" s="66" t="str">
        <f>IF('Twenty-Fifth'!J45="", "",'Twenty-Fifth'!J45)</f>
        <v/>
      </c>
      <c r="K6042" s="86" t="str">
        <f>IF('Twenty-Fifth'!K45="", "",'Twenty-Fifth'!K45)</f>
        <v/>
      </c>
      <c r="M6042" s="67" t="str">
        <f t="shared" si="287"/>
        <v/>
      </c>
      <c r="N6042" s="76">
        <f t="shared" si="288"/>
        <v>7</v>
      </c>
      <c r="O6042" s="33">
        <f t="shared" si="289"/>
        <v>7</v>
      </c>
    </row>
    <row r="6043" spans="1:15" x14ac:dyDescent="0.25">
      <c r="A6043" s="64" t="s">
        <v>194</v>
      </c>
      <c r="B6043" s="79" t="str">
        <f>IF('Twenty-Fifth'!B46="", "",'Twenty-Fifth'!B46)</f>
        <v>Benefits Advisor</v>
      </c>
      <c r="C6043" s="66" t="str">
        <f>IF('Twenty-Fifth'!C46="", "",'Twenty-Fifth'!C46)</f>
        <v>PwC</v>
      </c>
      <c r="D6043" s="66" t="str">
        <f>IF('Twenty-Fifth'!D46="", "",'Twenty-Fifth'!D46)</f>
        <v>New</v>
      </c>
      <c r="E6043" s="66" t="str">
        <f>IF('Twenty-Fifth'!E46="", "",'Twenty-Fifth'!E46)</f>
        <v>Male</v>
      </c>
      <c r="F6043" s="66" t="str">
        <f>IF('Twenty-Fifth'!F46="", "",'Twenty-Fifth'!F46)</f>
        <v>Liver</v>
      </c>
      <c r="G6043" s="66" t="str">
        <f>IF('Twenty-Fifth'!G46="", "",'Twenty-Fifth'!G46)</f>
        <v>Non-Curative Intent</v>
      </c>
      <c r="H6043" s="66" t="str">
        <f>IF('Twenty-Fifth'!H46="", "",'Twenty-Fifth'!H46)</f>
        <v>Drop-In</v>
      </c>
      <c r="I6043" s="66" t="str">
        <f>IF('Twenty-Fifth'!I46="", "",'Twenty-Fifth'!I46)</f>
        <v>Benefits - Individual</v>
      </c>
      <c r="J6043" s="66" t="str">
        <f>IF('Twenty-Fifth'!J46="", "",'Twenty-Fifth'!J46)</f>
        <v/>
      </c>
      <c r="K6043" s="86" t="str">
        <f>IF('Twenty-Fifth'!K46="", "",'Twenty-Fifth'!K46)</f>
        <v/>
      </c>
      <c r="M6043" s="67">
        <f t="shared" si="287"/>
        <v>7</v>
      </c>
      <c r="N6043" s="76" t="str">
        <f t="shared" si="288"/>
        <v/>
      </c>
      <c r="O6043" s="33">
        <f t="shared" si="289"/>
        <v>7</v>
      </c>
    </row>
    <row r="6044" spans="1:15" x14ac:dyDescent="0.25">
      <c r="A6044" s="64" t="s">
        <v>194</v>
      </c>
      <c r="B6044" s="79" t="str">
        <f>IF('Twenty-Fifth'!B47="", "",'Twenty-Fifth'!B47)</f>
        <v>CSS</v>
      </c>
      <c r="C6044" s="66" t="str">
        <f>IF('Twenty-Fifth'!C47="", "",'Twenty-Fifth'!C47)</f>
        <v>PwC</v>
      </c>
      <c r="D6044" s="66" t="str">
        <f>IF('Twenty-Fifth'!D47="", "",'Twenty-Fifth'!D47)</f>
        <v>Returning</v>
      </c>
      <c r="E6044" s="66" t="str">
        <f>IF('Twenty-Fifth'!E47="", "",'Twenty-Fifth'!E47)</f>
        <v>Female</v>
      </c>
      <c r="F6044" s="66" t="str">
        <f>IF('Twenty-Fifth'!F47="", "",'Twenty-Fifth'!F47)</f>
        <v>Gynae</v>
      </c>
      <c r="G6044" s="66" t="str">
        <f>IF('Twenty-Fifth'!G47="", "",'Twenty-Fifth'!G47)</f>
        <v>Non-Curative Intent</v>
      </c>
      <c r="H6044" s="66" t="str">
        <f>IF('Twenty-Fifth'!H47="", "",'Twenty-Fifth'!H47)</f>
        <v>Booked</v>
      </c>
      <c r="I6044" s="66" t="str">
        <f>IF('Twenty-Fifth'!I47="", "",'Twenty-Fifth'!I47)</f>
        <v>Psych Support - Individual</v>
      </c>
      <c r="J6044" s="66" t="str">
        <f>IF('Twenty-Fifth'!J47="", "",'Twenty-Fifth'!J47)</f>
        <v/>
      </c>
      <c r="K6044" s="86" t="str">
        <f>IF('Twenty-Fifth'!K47="", "",'Twenty-Fifth'!K47)</f>
        <v/>
      </c>
      <c r="M6044" s="67">
        <f t="shared" si="287"/>
        <v>7</v>
      </c>
      <c r="N6044" s="76" t="str">
        <f t="shared" si="288"/>
        <v/>
      </c>
      <c r="O6044" s="33">
        <f t="shared" si="289"/>
        <v>7</v>
      </c>
    </row>
    <row r="6045" spans="1:15" x14ac:dyDescent="0.25">
      <c r="A6045" s="64" t="s">
        <v>194</v>
      </c>
      <c r="B6045" s="79" t="str">
        <f>IF('Twenty-Fifth'!B48="", "",'Twenty-Fifth'!B48)</f>
        <v>CSS</v>
      </c>
      <c r="C6045" s="66" t="str">
        <f>IF('Twenty-Fifth'!C48="", "",'Twenty-Fifth'!C48)</f>
        <v>PwC</v>
      </c>
      <c r="D6045" s="66" t="str">
        <f>IF('Twenty-Fifth'!D48="", "",'Twenty-Fifth'!D48)</f>
        <v>Returning</v>
      </c>
      <c r="E6045" s="66" t="str">
        <f>IF('Twenty-Fifth'!E48="", "",'Twenty-Fifth'!E48)</f>
        <v>Female</v>
      </c>
      <c r="F6045" s="66" t="str">
        <f>IF('Twenty-Fifth'!F48="", "",'Twenty-Fifth'!F48)</f>
        <v>Breast</v>
      </c>
      <c r="G6045" s="66" t="str">
        <f>IF('Twenty-Fifth'!G48="", "",'Twenty-Fifth'!G48)</f>
        <v>Curative Intent</v>
      </c>
      <c r="H6045" s="66" t="str">
        <f>IF('Twenty-Fifth'!H48="", "",'Twenty-Fifth'!H48)</f>
        <v>Booked</v>
      </c>
      <c r="I6045" s="66" t="str">
        <f>IF('Twenty-Fifth'!I48="", "",'Twenty-Fifth'!I48)</f>
        <v>Psych Support - Individual</v>
      </c>
      <c r="J6045" s="66" t="str">
        <f>IF('Twenty-Fifth'!J48="", "",'Twenty-Fifth'!J48)</f>
        <v/>
      </c>
      <c r="K6045" s="86" t="str">
        <f>IF('Twenty-Fifth'!K48="", "",'Twenty-Fifth'!K48)</f>
        <v/>
      </c>
      <c r="M6045" s="67">
        <f t="shared" si="287"/>
        <v>7</v>
      </c>
      <c r="N6045" s="76" t="str">
        <f t="shared" si="288"/>
        <v/>
      </c>
      <c r="O6045" s="33">
        <f t="shared" si="289"/>
        <v>7</v>
      </c>
    </row>
    <row r="6046" spans="1:15" x14ac:dyDescent="0.25">
      <c r="A6046" s="64" t="s">
        <v>194</v>
      </c>
      <c r="B6046" s="79" t="str">
        <f>IF('Twenty-Fifth'!B49="", "",'Twenty-Fifth'!B49)</f>
        <v>CSS</v>
      </c>
      <c r="C6046" s="66" t="str">
        <f>IF('Twenty-Fifth'!C49="", "",'Twenty-Fifth'!C49)</f>
        <v>Carer</v>
      </c>
      <c r="D6046" s="66" t="str">
        <f>IF('Twenty-Fifth'!D49="", "",'Twenty-Fifth'!D49)</f>
        <v>Returning</v>
      </c>
      <c r="E6046" s="66" t="str">
        <f>IF('Twenty-Fifth'!E49="", "",'Twenty-Fifth'!E49)</f>
        <v>Male</v>
      </c>
      <c r="F6046" s="66" t="str">
        <f>IF('Twenty-Fifth'!F49="", "",'Twenty-Fifth'!F49)</f>
        <v>Breast</v>
      </c>
      <c r="G6046" s="66" t="str">
        <f>IF('Twenty-Fifth'!G49="", "",'Twenty-Fifth'!G49)</f>
        <v>Curative Intent</v>
      </c>
      <c r="H6046" s="66" t="str">
        <f>IF('Twenty-Fifth'!H49="", "",'Twenty-Fifth'!H49)</f>
        <v>Drop-In</v>
      </c>
      <c r="I6046" s="66" t="str">
        <f>IF('Twenty-Fifth'!I49="", "",'Twenty-Fifth'!I49)</f>
        <v/>
      </c>
      <c r="J6046" s="66" t="str">
        <f>IF('Twenty-Fifth'!J49="", "",'Twenty-Fifth'!J49)</f>
        <v/>
      </c>
      <c r="K6046" s="86" t="str">
        <f>IF('Twenty-Fifth'!K49="", "",'Twenty-Fifth'!K49)</f>
        <v/>
      </c>
      <c r="M6046" s="67" t="str">
        <f t="shared" si="287"/>
        <v/>
      </c>
      <c r="N6046" s="76">
        <f t="shared" si="288"/>
        <v>7</v>
      </c>
      <c r="O6046" s="33">
        <f t="shared" si="289"/>
        <v>7</v>
      </c>
    </row>
    <row r="6047" spans="1:15" x14ac:dyDescent="0.25">
      <c r="A6047" s="64" t="s">
        <v>194</v>
      </c>
      <c r="B6047" s="79" t="str">
        <f>IF('Twenty-Fifth'!B50="", "",'Twenty-Fifth'!B50)</f>
        <v>CSS</v>
      </c>
      <c r="C6047" s="66" t="str">
        <f>IF('Twenty-Fifth'!C50="", "",'Twenty-Fifth'!C50)</f>
        <v>PwC</v>
      </c>
      <c r="D6047" s="66" t="str">
        <f>IF('Twenty-Fifth'!D50="", "",'Twenty-Fifth'!D50)</f>
        <v>Returning</v>
      </c>
      <c r="E6047" s="66" t="str">
        <f>IF('Twenty-Fifth'!E50="", "",'Twenty-Fifth'!E50)</f>
        <v>Male</v>
      </c>
      <c r="F6047" s="66" t="str">
        <f>IF('Twenty-Fifth'!F50="", "",'Twenty-Fifth'!F50)</f>
        <v>Lower GI</v>
      </c>
      <c r="G6047" s="66" t="str">
        <f>IF('Twenty-Fifth'!G50="", "",'Twenty-Fifth'!G50)</f>
        <v>Post Treatment - Curative Intent</v>
      </c>
      <c r="H6047" s="66" t="str">
        <f>IF('Twenty-Fifth'!H50="", "",'Twenty-Fifth'!H50)</f>
        <v>Drop-In</v>
      </c>
      <c r="I6047" s="66" t="str">
        <f>IF('Twenty-Fifth'!I50="", "",'Twenty-Fifth'!I50)</f>
        <v/>
      </c>
      <c r="J6047" s="66" t="str">
        <f>IF('Twenty-Fifth'!J50="", "",'Twenty-Fifth'!J50)</f>
        <v/>
      </c>
      <c r="K6047" s="86" t="str">
        <f>IF('Twenty-Fifth'!K50="", "",'Twenty-Fifth'!K50)</f>
        <v/>
      </c>
      <c r="M6047" s="67">
        <f t="shared" si="287"/>
        <v>7</v>
      </c>
      <c r="N6047" s="76" t="str">
        <f t="shared" si="288"/>
        <v/>
      </c>
      <c r="O6047" s="33">
        <f t="shared" si="289"/>
        <v>7</v>
      </c>
    </row>
    <row r="6048" spans="1:15" x14ac:dyDescent="0.25">
      <c r="A6048" s="64" t="s">
        <v>194</v>
      </c>
      <c r="B6048" s="79" t="str">
        <f>IF('Twenty-Fifth'!B51="", "",'Twenty-Fifth'!B51)</f>
        <v>CSS</v>
      </c>
      <c r="C6048" s="66" t="str">
        <f>IF('Twenty-Fifth'!C51="", "",'Twenty-Fifth'!C51)</f>
        <v>PwC</v>
      </c>
      <c r="D6048" s="66" t="str">
        <f>IF('Twenty-Fifth'!D51="", "",'Twenty-Fifth'!D51)</f>
        <v>Returning</v>
      </c>
      <c r="E6048" s="66" t="str">
        <f>IF('Twenty-Fifth'!E51="", "",'Twenty-Fifth'!E51)</f>
        <v>Female</v>
      </c>
      <c r="F6048" s="66" t="str">
        <f>IF('Twenty-Fifth'!F51="", "",'Twenty-Fifth'!F51)</f>
        <v>Gynae</v>
      </c>
      <c r="G6048" s="66" t="str">
        <f>IF('Twenty-Fifth'!G51="", "",'Twenty-Fifth'!G51)</f>
        <v>Curative Intent</v>
      </c>
      <c r="H6048" s="66" t="str">
        <f>IF('Twenty-Fifth'!H51="", "",'Twenty-Fifth'!H51)</f>
        <v>Programme</v>
      </c>
      <c r="I6048" s="66" t="str">
        <f>IF('Twenty-Fifth'!I51="", "",'Twenty-Fifth'!I51)</f>
        <v>Relaxation</v>
      </c>
      <c r="J6048" s="66" t="str">
        <f>IF('Twenty-Fifth'!J51="", "",'Twenty-Fifth'!J51)</f>
        <v>Fatigue Management</v>
      </c>
      <c r="K6048" s="86" t="str">
        <f>IF('Twenty-Fifth'!K51="", "",'Twenty-Fifth'!K51)</f>
        <v/>
      </c>
      <c r="M6048" s="67">
        <f t="shared" si="287"/>
        <v>7</v>
      </c>
      <c r="N6048" s="76" t="str">
        <f t="shared" si="288"/>
        <v/>
      </c>
      <c r="O6048" s="33">
        <f t="shared" si="289"/>
        <v>7</v>
      </c>
    </row>
    <row r="6049" spans="1:15" x14ac:dyDescent="0.25">
      <c r="A6049" s="64" t="s">
        <v>194</v>
      </c>
      <c r="B6049" s="79" t="str">
        <f>IF('Twenty-Fifth'!B52="", "",'Twenty-Fifth'!B52)</f>
        <v>CSS</v>
      </c>
      <c r="C6049" s="66" t="str">
        <f>IF('Twenty-Fifth'!C52="", "",'Twenty-Fifth'!C52)</f>
        <v>PwC</v>
      </c>
      <c r="D6049" s="66" t="str">
        <f>IF('Twenty-Fifth'!D52="", "",'Twenty-Fifth'!D52)</f>
        <v>Returning</v>
      </c>
      <c r="E6049" s="66" t="str">
        <f>IF('Twenty-Fifth'!E52="", "",'Twenty-Fifth'!E52)</f>
        <v>Female</v>
      </c>
      <c r="F6049" s="66" t="str">
        <f>IF('Twenty-Fifth'!F52="", "",'Twenty-Fifth'!F52)</f>
        <v>rare</v>
      </c>
      <c r="G6049" s="66" t="str">
        <f>IF('Twenty-Fifth'!G52="", "",'Twenty-Fifth'!G52)</f>
        <v>Non-Curative Intent</v>
      </c>
      <c r="H6049" s="66" t="str">
        <f>IF('Twenty-Fifth'!H52="", "",'Twenty-Fifth'!H52)</f>
        <v>Programme</v>
      </c>
      <c r="I6049" s="66" t="str">
        <f>IF('Twenty-Fifth'!I52="", "",'Twenty-Fifth'!I52)</f>
        <v>Relaxation</v>
      </c>
      <c r="J6049" s="66" t="str">
        <f>IF('Twenty-Fifth'!J52="", "",'Twenty-Fifth'!J52)</f>
        <v>Fatigue Management</v>
      </c>
      <c r="K6049" s="86" t="str">
        <f>IF('Twenty-Fifth'!K52="", "",'Twenty-Fifth'!K52)</f>
        <v/>
      </c>
      <c r="M6049" s="67">
        <f t="shared" si="287"/>
        <v>7</v>
      </c>
      <c r="N6049" s="76" t="str">
        <f t="shared" si="288"/>
        <v/>
      </c>
      <c r="O6049" s="33">
        <f t="shared" si="289"/>
        <v>7</v>
      </c>
    </row>
    <row r="6050" spans="1:15" x14ac:dyDescent="0.25">
      <c r="A6050" s="64" t="s">
        <v>194</v>
      </c>
      <c r="B6050" s="79" t="str">
        <f>IF('Twenty-Fifth'!B53="", "",'Twenty-Fifth'!B53)</f>
        <v>CSS</v>
      </c>
      <c r="C6050" s="66" t="str">
        <f>IF('Twenty-Fifth'!C53="", "",'Twenty-Fifth'!C53)</f>
        <v>Carer</v>
      </c>
      <c r="D6050" s="66" t="str">
        <f>IF('Twenty-Fifth'!D53="", "",'Twenty-Fifth'!D53)</f>
        <v>Returning</v>
      </c>
      <c r="E6050" s="66" t="str">
        <f>IF('Twenty-Fifth'!E53="", "",'Twenty-Fifth'!E53)</f>
        <v>Female</v>
      </c>
      <c r="F6050" s="66" t="str">
        <f>IF('Twenty-Fifth'!F53="", "",'Twenty-Fifth'!F53)</f>
        <v>Lung</v>
      </c>
      <c r="G6050" s="66" t="str">
        <f>IF('Twenty-Fifth'!G53="", "",'Twenty-Fifth'!G53)</f>
        <v>Bereaved</v>
      </c>
      <c r="H6050" s="66" t="str">
        <f>IF('Twenty-Fifth'!H53="", "",'Twenty-Fifth'!H53)</f>
        <v>Programme</v>
      </c>
      <c r="I6050" s="66" t="str">
        <f>IF('Twenty-Fifth'!I53="", "",'Twenty-Fifth'!I53)</f>
        <v>Relaxation</v>
      </c>
      <c r="J6050" s="66" t="str">
        <f>IF('Twenty-Fifth'!J53="", "",'Twenty-Fifth'!J53)</f>
        <v>Fatigue Management</v>
      </c>
      <c r="K6050" s="86" t="str">
        <f>IF('Twenty-Fifth'!K53="", "",'Twenty-Fifth'!K53)</f>
        <v/>
      </c>
      <c r="M6050" s="67" t="str">
        <f t="shared" si="287"/>
        <v/>
      </c>
      <c r="N6050" s="76">
        <f t="shared" si="288"/>
        <v>7</v>
      </c>
      <c r="O6050" s="33">
        <f t="shared" si="289"/>
        <v>7</v>
      </c>
    </row>
    <row r="6051" spans="1:15" x14ac:dyDescent="0.25">
      <c r="A6051" s="64" t="s">
        <v>194</v>
      </c>
      <c r="B6051" s="79" t="str">
        <f>IF('Twenty-Fifth'!B54="", "",'Twenty-Fifth'!B54)</f>
        <v>CSS</v>
      </c>
      <c r="C6051" s="66" t="str">
        <f>IF('Twenty-Fifth'!C54="", "",'Twenty-Fifth'!C54)</f>
        <v>PwC</v>
      </c>
      <c r="D6051" s="66" t="str">
        <f>IF('Twenty-Fifth'!D54="", "",'Twenty-Fifth'!D54)</f>
        <v>Returning</v>
      </c>
      <c r="E6051" s="66" t="str">
        <f>IF('Twenty-Fifth'!E54="", "",'Twenty-Fifth'!E54)</f>
        <v>Female</v>
      </c>
      <c r="F6051" s="66" t="str">
        <f>IF('Twenty-Fifth'!F54="", "",'Twenty-Fifth'!F54)</f>
        <v>Breast</v>
      </c>
      <c r="G6051" s="66" t="str">
        <f>IF('Twenty-Fifth'!G54="", "",'Twenty-Fifth'!G54)</f>
        <v>Post Treatment - Curative Intent</v>
      </c>
      <c r="H6051" s="66" t="str">
        <f>IF('Twenty-Fifth'!H54="", "",'Twenty-Fifth'!H54)</f>
        <v>Programme</v>
      </c>
      <c r="I6051" s="66" t="str">
        <f>IF('Twenty-Fifth'!I54="", "",'Twenty-Fifth'!I54)</f>
        <v>Relaxation</v>
      </c>
      <c r="J6051" s="66" t="str">
        <f>IF('Twenty-Fifth'!J54="", "",'Twenty-Fifth'!J54)</f>
        <v>Fatigue Management</v>
      </c>
      <c r="K6051" s="86" t="str">
        <f>IF('Twenty-Fifth'!K54="", "",'Twenty-Fifth'!K54)</f>
        <v/>
      </c>
      <c r="M6051" s="67">
        <f t="shared" si="287"/>
        <v>7</v>
      </c>
      <c r="N6051" s="76" t="str">
        <f t="shared" si="288"/>
        <v/>
      </c>
      <c r="O6051" s="33">
        <f t="shared" si="289"/>
        <v>7</v>
      </c>
    </row>
    <row r="6052" spans="1:15" x14ac:dyDescent="0.25">
      <c r="A6052" s="64" t="s">
        <v>194</v>
      </c>
      <c r="B6052" s="79" t="str">
        <f>IF('Twenty-Fifth'!B55="", "",'Twenty-Fifth'!B55)</f>
        <v>CSS</v>
      </c>
      <c r="C6052" s="66" t="str">
        <f>IF('Twenty-Fifth'!C55="", "",'Twenty-Fifth'!C55)</f>
        <v>PwC</v>
      </c>
      <c r="D6052" s="66" t="str">
        <f>IF('Twenty-Fifth'!D55="", "",'Twenty-Fifth'!D55)</f>
        <v>Returning</v>
      </c>
      <c r="E6052" s="66" t="str">
        <f>IF('Twenty-Fifth'!E55="", "",'Twenty-Fifth'!E55)</f>
        <v>Female</v>
      </c>
      <c r="F6052" s="66" t="str">
        <f>IF('Twenty-Fifth'!F55="", "",'Twenty-Fifth'!F55)</f>
        <v>Breast</v>
      </c>
      <c r="G6052" s="66" t="str">
        <f>IF('Twenty-Fifth'!G55="", "",'Twenty-Fifth'!G55)</f>
        <v>Post Treatment - Curative Intent</v>
      </c>
      <c r="H6052" s="66" t="str">
        <f>IF('Twenty-Fifth'!H55="", "",'Twenty-Fifth'!H55)</f>
        <v>Programme</v>
      </c>
      <c r="I6052" s="66" t="str">
        <f>IF('Twenty-Fifth'!I55="", "",'Twenty-Fifth'!I55)</f>
        <v>Relaxation</v>
      </c>
      <c r="J6052" s="66" t="str">
        <f>IF('Twenty-Fifth'!J55="", "",'Twenty-Fifth'!J55)</f>
        <v>Fatigue Management</v>
      </c>
      <c r="K6052" s="86" t="str">
        <f>IF('Twenty-Fifth'!K55="", "",'Twenty-Fifth'!K55)</f>
        <v/>
      </c>
      <c r="M6052" s="67">
        <f t="shared" si="287"/>
        <v>7</v>
      </c>
      <c r="N6052" s="76" t="str">
        <f t="shared" si="288"/>
        <v/>
      </c>
      <c r="O6052" s="33">
        <f t="shared" si="289"/>
        <v>7</v>
      </c>
    </row>
    <row r="6053" spans="1:15" x14ac:dyDescent="0.25">
      <c r="A6053" s="64" t="s">
        <v>194</v>
      </c>
      <c r="B6053" s="79" t="str">
        <f>IF('Twenty-Fifth'!B56="", "",'Twenty-Fifth'!B56)</f>
        <v>CSS</v>
      </c>
      <c r="C6053" s="66" t="str">
        <f>IF('Twenty-Fifth'!C56="", "",'Twenty-Fifth'!C56)</f>
        <v>PwC</v>
      </c>
      <c r="D6053" s="66" t="str">
        <f>IF('Twenty-Fifth'!D56="", "",'Twenty-Fifth'!D56)</f>
        <v>Returning</v>
      </c>
      <c r="E6053" s="66" t="str">
        <f>IF('Twenty-Fifth'!E56="", "",'Twenty-Fifth'!E56)</f>
        <v>Female</v>
      </c>
      <c r="F6053" s="66" t="str">
        <f>IF('Twenty-Fifth'!F56="", "",'Twenty-Fifth'!F56)</f>
        <v>Haemat</v>
      </c>
      <c r="G6053" s="66" t="str">
        <f>IF('Twenty-Fifth'!G56="", "",'Twenty-Fifth'!G56)</f>
        <v>Post Treatment - Curative Intent</v>
      </c>
      <c r="H6053" s="66" t="str">
        <f>IF('Twenty-Fifth'!H56="", "",'Twenty-Fifth'!H56)</f>
        <v>Programme</v>
      </c>
      <c r="I6053" s="66" t="str">
        <f>IF('Twenty-Fifth'!I56="", "",'Twenty-Fifth'!I56)</f>
        <v>Relaxation</v>
      </c>
      <c r="J6053" s="66" t="str">
        <f>IF('Twenty-Fifth'!J56="", "",'Twenty-Fifth'!J56)</f>
        <v>Fatigue Management</v>
      </c>
      <c r="K6053" s="86" t="str">
        <f>IF('Twenty-Fifth'!K56="", "",'Twenty-Fifth'!K56)</f>
        <v/>
      </c>
      <c r="M6053" s="67">
        <f t="shared" si="287"/>
        <v>7</v>
      </c>
      <c r="N6053" s="76" t="str">
        <f t="shared" si="288"/>
        <v/>
      </c>
      <c r="O6053" s="33">
        <f t="shared" si="289"/>
        <v>7</v>
      </c>
    </row>
    <row r="6054" spans="1:15" x14ac:dyDescent="0.25">
      <c r="A6054" s="64" t="s">
        <v>194</v>
      </c>
      <c r="B6054" s="79" t="str">
        <f>IF('Twenty-Fifth'!B57="", "",'Twenty-Fifth'!B57)</f>
        <v>CSS</v>
      </c>
      <c r="C6054" s="66" t="str">
        <f>IF('Twenty-Fifth'!C57="", "",'Twenty-Fifth'!C57)</f>
        <v>PwC</v>
      </c>
      <c r="D6054" s="66" t="str">
        <f>IF('Twenty-Fifth'!D57="", "",'Twenty-Fifth'!D57)</f>
        <v>Returning</v>
      </c>
      <c r="E6054" s="66" t="str">
        <f>IF('Twenty-Fifth'!E57="", "",'Twenty-Fifth'!E57)</f>
        <v>Female</v>
      </c>
      <c r="F6054" s="66" t="str">
        <f>IF('Twenty-Fifth'!F57="", "",'Twenty-Fifth'!F57)</f>
        <v>Haemat</v>
      </c>
      <c r="G6054" s="66" t="str">
        <f>IF('Twenty-Fifth'!G57="", "",'Twenty-Fifth'!G57)</f>
        <v>Curative Intent</v>
      </c>
      <c r="H6054" s="66" t="str">
        <f>IF('Twenty-Fifth'!H57="", "",'Twenty-Fifth'!H57)</f>
        <v>Programme</v>
      </c>
      <c r="I6054" s="66" t="str">
        <f>IF('Twenty-Fifth'!I57="", "",'Twenty-Fifth'!I57)</f>
        <v>Relaxation</v>
      </c>
      <c r="J6054" s="66" t="str">
        <f>IF('Twenty-Fifth'!J57="", "",'Twenty-Fifth'!J57)</f>
        <v>Fatigue Management</v>
      </c>
      <c r="K6054" s="86" t="str">
        <f>IF('Twenty-Fifth'!K57="", "",'Twenty-Fifth'!K57)</f>
        <v/>
      </c>
      <c r="M6054" s="67">
        <f t="shared" si="287"/>
        <v>7</v>
      </c>
      <c r="N6054" s="76" t="str">
        <f t="shared" si="288"/>
        <v/>
      </c>
      <c r="O6054" s="33">
        <f t="shared" si="289"/>
        <v>7</v>
      </c>
    </row>
    <row r="6055" spans="1:15" x14ac:dyDescent="0.25">
      <c r="A6055" s="64" t="s">
        <v>194</v>
      </c>
      <c r="B6055" s="79" t="str">
        <f>IF('Twenty-Fifth'!B58="", "",'Twenty-Fifth'!B58)</f>
        <v>CSS</v>
      </c>
      <c r="C6055" s="66" t="str">
        <f>IF('Twenty-Fifth'!C58="", "",'Twenty-Fifth'!C58)</f>
        <v>PwC</v>
      </c>
      <c r="D6055" s="66" t="str">
        <f>IF('Twenty-Fifth'!D58="", "",'Twenty-Fifth'!D58)</f>
        <v>Returning</v>
      </c>
      <c r="E6055" s="66" t="str">
        <f>IF('Twenty-Fifth'!E58="", "",'Twenty-Fifth'!E58)</f>
        <v>Female</v>
      </c>
      <c r="F6055" s="66" t="str">
        <f>IF('Twenty-Fifth'!F58="", "",'Twenty-Fifth'!F58)</f>
        <v>Gynae</v>
      </c>
      <c r="G6055" s="66" t="str">
        <f>IF('Twenty-Fifth'!G58="", "",'Twenty-Fifth'!G58)</f>
        <v>Non-Curative Intent</v>
      </c>
      <c r="H6055" s="66" t="str">
        <f>IF('Twenty-Fifth'!H58="", "",'Twenty-Fifth'!H58)</f>
        <v>Programme</v>
      </c>
      <c r="I6055" s="66" t="str">
        <f>IF('Twenty-Fifth'!I58="", "",'Twenty-Fifth'!I58)</f>
        <v>Relaxation</v>
      </c>
      <c r="J6055" s="66" t="str">
        <f>IF('Twenty-Fifth'!J58="", "",'Twenty-Fifth'!J58)</f>
        <v>Fatigue Management</v>
      </c>
      <c r="K6055" s="86" t="str">
        <f>IF('Twenty-Fifth'!K58="", "",'Twenty-Fifth'!K58)</f>
        <v/>
      </c>
      <c r="M6055" s="67">
        <f t="shared" si="287"/>
        <v>7</v>
      </c>
      <c r="N6055" s="76" t="str">
        <f t="shared" si="288"/>
        <v/>
      </c>
      <c r="O6055" s="33">
        <f t="shared" si="289"/>
        <v>7</v>
      </c>
    </row>
    <row r="6056" spans="1:15" x14ac:dyDescent="0.25">
      <c r="A6056" s="64" t="s">
        <v>194</v>
      </c>
      <c r="B6056" s="79" t="str">
        <f>IF('Twenty-Fifth'!B59="", "",'Twenty-Fifth'!B59)</f>
        <v>CSS</v>
      </c>
      <c r="C6056" s="66" t="str">
        <f>IF('Twenty-Fifth'!C59="", "",'Twenty-Fifth'!C59)</f>
        <v>PwC</v>
      </c>
      <c r="D6056" s="66" t="str">
        <f>IF('Twenty-Fifth'!D59="", "",'Twenty-Fifth'!D59)</f>
        <v>Returning</v>
      </c>
      <c r="E6056" s="66" t="str">
        <f>IF('Twenty-Fifth'!E59="", "",'Twenty-Fifth'!E59)</f>
        <v>Female</v>
      </c>
      <c r="F6056" s="66" t="str">
        <f>IF('Twenty-Fifth'!F59="", "",'Twenty-Fifth'!F59)</f>
        <v>Gynae</v>
      </c>
      <c r="G6056" s="66" t="str">
        <f>IF('Twenty-Fifth'!G59="", "",'Twenty-Fifth'!G59)</f>
        <v>Curative Intent</v>
      </c>
      <c r="H6056" s="66" t="str">
        <f>IF('Twenty-Fifth'!H59="", "",'Twenty-Fifth'!H59)</f>
        <v>Programme</v>
      </c>
      <c r="I6056" s="66" t="str">
        <f>IF('Twenty-Fifth'!I59="", "",'Twenty-Fifth'!I59)</f>
        <v>Relaxation</v>
      </c>
      <c r="J6056" s="66" t="str">
        <f>IF('Twenty-Fifth'!J59="", "",'Twenty-Fifth'!J59)</f>
        <v>Fatigue Management</v>
      </c>
      <c r="K6056" s="86" t="str">
        <f>IF('Twenty-Fifth'!K59="", "",'Twenty-Fifth'!K59)</f>
        <v/>
      </c>
      <c r="M6056" s="67">
        <f t="shared" si="287"/>
        <v>7</v>
      </c>
      <c r="N6056" s="76" t="str">
        <f t="shared" si="288"/>
        <v/>
      </c>
      <c r="O6056" s="33">
        <f t="shared" si="289"/>
        <v>7</v>
      </c>
    </row>
    <row r="6057" spans="1:15" x14ac:dyDescent="0.25">
      <c r="A6057" s="64" t="s">
        <v>194</v>
      </c>
      <c r="B6057" s="79" t="str">
        <f>IF('Twenty-Fifth'!B60="", "",'Twenty-Fifth'!B60)</f>
        <v>CSS</v>
      </c>
      <c r="C6057" s="66" t="str">
        <f>IF('Twenty-Fifth'!C60="", "",'Twenty-Fifth'!C60)</f>
        <v>PwC</v>
      </c>
      <c r="D6057" s="66" t="str">
        <f>IF('Twenty-Fifth'!D60="", "",'Twenty-Fifth'!D60)</f>
        <v>Returning</v>
      </c>
      <c r="E6057" s="66" t="str">
        <f>IF('Twenty-Fifth'!E60="", "",'Twenty-Fifth'!E60)</f>
        <v>Male</v>
      </c>
      <c r="F6057" s="66" t="str">
        <f>IF('Twenty-Fifth'!F60="", "",'Twenty-Fifth'!F60)</f>
        <v>Prostate</v>
      </c>
      <c r="G6057" s="66" t="str">
        <f>IF('Twenty-Fifth'!G60="", "",'Twenty-Fifth'!G60)</f>
        <v>Non-Curative Intent</v>
      </c>
      <c r="H6057" s="66" t="str">
        <f>IF('Twenty-Fifth'!H60="", "",'Twenty-Fifth'!H60)</f>
        <v>Programme</v>
      </c>
      <c r="I6057" s="66" t="str">
        <f>IF('Twenty-Fifth'!I60="", "",'Twenty-Fifth'!I60)</f>
        <v>Relaxation</v>
      </c>
      <c r="J6057" s="66" t="str">
        <f>IF('Twenty-Fifth'!J60="", "",'Twenty-Fifth'!J60)</f>
        <v>Fatigue Management</v>
      </c>
      <c r="K6057" s="86" t="str">
        <f>IF('Twenty-Fifth'!K60="", "",'Twenty-Fifth'!K60)</f>
        <v/>
      </c>
      <c r="M6057" s="67">
        <f t="shared" si="287"/>
        <v>7</v>
      </c>
      <c r="N6057" s="76" t="str">
        <f t="shared" si="288"/>
        <v/>
      </c>
      <c r="O6057" s="33">
        <f t="shared" si="289"/>
        <v>7</v>
      </c>
    </row>
    <row r="6058" spans="1:15" x14ac:dyDescent="0.25">
      <c r="A6058" s="64" t="s">
        <v>194</v>
      </c>
      <c r="B6058" s="79" t="str">
        <f>IF('Twenty-Fifth'!B61="", "",'Twenty-Fifth'!B61)</f>
        <v>CSS</v>
      </c>
      <c r="C6058" s="66" t="str">
        <f>IF('Twenty-Fifth'!C61="", "",'Twenty-Fifth'!C61)</f>
        <v>PwC</v>
      </c>
      <c r="D6058" s="66" t="str">
        <f>IF('Twenty-Fifth'!D61="", "",'Twenty-Fifth'!D61)</f>
        <v>Returning</v>
      </c>
      <c r="E6058" s="66" t="str">
        <f>IF('Twenty-Fifth'!E61="", "",'Twenty-Fifth'!E61)</f>
        <v>Male</v>
      </c>
      <c r="F6058" s="66" t="str">
        <f>IF('Twenty-Fifth'!F61="", "",'Twenty-Fifth'!F61)</f>
        <v>Prostate</v>
      </c>
      <c r="G6058" s="66" t="str">
        <f>IF('Twenty-Fifth'!G61="", "",'Twenty-Fifth'!G61)</f>
        <v>Non-Curative Intent</v>
      </c>
      <c r="H6058" s="66" t="str">
        <f>IF('Twenty-Fifth'!H61="", "",'Twenty-Fifth'!H61)</f>
        <v>Programme</v>
      </c>
      <c r="I6058" s="66" t="str">
        <f>IF('Twenty-Fifth'!I61="", "",'Twenty-Fifth'!I61)</f>
        <v>Relaxation</v>
      </c>
      <c r="J6058" s="66" t="str">
        <f>IF('Twenty-Fifth'!J61="", "",'Twenty-Fifth'!J61)</f>
        <v>Fatigue Management</v>
      </c>
      <c r="K6058" s="86" t="str">
        <f>IF('Twenty-Fifth'!K61="", "",'Twenty-Fifth'!K61)</f>
        <v/>
      </c>
      <c r="M6058" s="67">
        <f t="shared" si="287"/>
        <v>7</v>
      </c>
      <c r="N6058" s="76" t="str">
        <f t="shared" si="288"/>
        <v/>
      </c>
      <c r="O6058" s="33">
        <f t="shared" si="289"/>
        <v>7</v>
      </c>
    </row>
    <row r="6059" spans="1:15" x14ac:dyDescent="0.25">
      <c r="A6059" s="64" t="s">
        <v>194</v>
      </c>
      <c r="B6059" s="79" t="str">
        <f>IF('Twenty-Fifth'!B62="", "",'Twenty-Fifth'!B62)</f>
        <v>CSS</v>
      </c>
      <c r="C6059" s="66" t="str">
        <f>IF('Twenty-Fifth'!C62="", "",'Twenty-Fifth'!C62)</f>
        <v>PwC</v>
      </c>
      <c r="D6059" s="66" t="str">
        <f>IF('Twenty-Fifth'!D62="", "",'Twenty-Fifth'!D62)</f>
        <v>Returning</v>
      </c>
      <c r="E6059" s="66" t="str">
        <f>IF('Twenty-Fifth'!E62="", "",'Twenty-Fifth'!E62)</f>
        <v>Female</v>
      </c>
      <c r="F6059" s="66" t="str">
        <f>IF('Twenty-Fifth'!F62="", "",'Twenty-Fifth'!F62)</f>
        <v>Lung</v>
      </c>
      <c r="G6059" s="66" t="str">
        <f>IF('Twenty-Fifth'!G62="", "",'Twenty-Fifth'!G62)</f>
        <v>Post Treatment - Curative Intent</v>
      </c>
      <c r="H6059" s="66" t="str">
        <f>IF('Twenty-Fifth'!H62="", "",'Twenty-Fifth'!H62)</f>
        <v>Programme</v>
      </c>
      <c r="I6059" s="66" t="str">
        <f>IF('Twenty-Fifth'!I62="", "",'Twenty-Fifth'!I62)</f>
        <v>Relaxation</v>
      </c>
      <c r="J6059" s="66" t="str">
        <f>IF('Twenty-Fifth'!J62="", "",'Twenty-Fifth'!J62)</f>
        <v>Fatigue Management</v>
      </c>
      <c r="K6059" s="86" t="str">
        <f>IF('Twenty-Fifth'!K62="", "",'Twenty-Fifth'!K62)</f>
        <v/>
      </c>
      <c r="M6059" s="67">
        <f t="shared" si="287"/>
        <v>7</v>
      </c>
      <c r="N6059" s="76" t="str">
        <f t="shared" si="288"/>
        <v/>
      </c>
      <c r="O6059" s="33">
        <f t="shared" si="289"/>
        <v>7</v>
      </c>
    </row>
    <row r="6060" spans="1:15" x14ac:dyDescent="0.25">
      <c r="A6060" s="64" t="s">
        <v>194</v>
      </c>
      <c r="B6060" s="79" t="str">
        <f>IF('Twenty-Fifth'!B63="", "",'Twenty-Fifth'!B63)</f>
        <v>CSS</v>
      </c>
      <c r="C6060" s="66" t="str">
        <f>IF('Twenty-Fifth'!C63="", "",'Twenty-Fifth'!C63)</f>
        <v>PwC</v>
      </c>
      <c r="D6060" s="66" t="str">
        <f>IF('Twenty-Fifth'!D63="", "",'Twenty-Fifth'!D63)</f>
        <v>Returning</v>
      </c>
      <c r="E6060" s="66" t="str">
        <f>IF('Twenty-Fifth'!E63="", "",'Twenty-Fifth'!E63)</f>
        <v>Female</v>
      </c>
      <c r="F6060" s="66" t="str">
        <f>IF('Twenty-Fifth'!F63="", "",'Twenty-Fifth'!F63)</f>
        <v>Breast</v>
      </c>
      <c r="G6060" s="66" t="str">
        <f>IF('Twenty-Fifth'!G63="", "",'Twenty-Fifth'!G63)</f>
        <v>Post Treatment - Curative Intent</v>
      </c>
      <c r="H6060" s="66" t="str">
        <f>IF('Twenty-Fifth'!H63="", "",'Twenty-Fifth'!H63)</f>
        <v>Programme</v>
      </c>
      <c r="I6060" s="66" t="str">
        <f>IF('Twenty-Fifth'!I63="", "",'Twenty-Fifth'!I63)</f>
        <v>Relaxation</v>
      </c>
      <c r="J6060" s="66" t="str">
        <f>IF('Twenty-Fifth'!J63="", "",'Twenty-Fifth'!J63)</f>
        <v>Fatigue Management</v>
      </c>
      <c r="K6060" s="86" t="str">
        <f>IF('Twenty-Fifth'!K63="", "",'Twenty-Fifth'!K63)</f>
        <v/>
      </c>
      <c r="M6060" s="67">
        <f t="shared" si="287"/>
        <v>7</v>
      </c>
      <c r="N6060" s="76" t="str">
        <f t="shared" si="288"/>
        <v/>
      </c>
      <c r="O6060" s="33">
        <f t="shared" si="289"/>
        <v>7</v>
      </c>
    </row>
    <row r="6061" spans="1:15" x14ac:dyDescent="0.25">
      <c r="A6061" s="64" t="s">
        <v>194</v>
      </c>
      <c r="B6061" s="79" t="str">
        <f>IF('Twenty-Fifth'!B64="", "",'Twenty-Fifth'!B64)</f>
        <v>CSS</v>
      </c>
      <c r="C6061" s="66" t="str">
        <f>IF('Twenty-Fifth'!C64="", "",'Twenty-Fifth'!C64)</f>
        <v>PwC</v>
      </c>
      <c r="D6061" s="66" t="str">
        <f>IF('Twenty-Fifth'!D64="", "",'Twenty-Fifth'!D64)</f>
        <v>Returning</v>
      </c>
      <c r="E6061" s="66" t="str">
        <f>IF('Twenty-Fifth'!E64="", "",'Twenty-Fifth'!E64)</f>
        <v>Female</v>
      </c>
      <c r="F6061" s="66" t="str">
        <f>IF('Twenty-Fifth'!F64="", "",'Twenty-Fifth'!F64)</f>
        <v>Breast</v>
      </c>
      <c r="G6061" s="66" t="str">
        <f>IF('Twenty-Fifth'!G64="", "",'Twenty-Fifth'!G64)</f>
        <v>Post Treatment - Curative Intent</v>
      </c>
      <c r="H6061" s="66" t="str">
        <f>IF('Twenty-Fifth'!H64="", "",'Twenty-Fifth'!H64)</f>
        <v>Programme</v>
      </c>
      <c r="I6061" s="66" t="str">
        <f>IF('Twenty-Fifth'!I64="", "",'Twenty-Fifth'!I64)</f>
        <v>Relaxation</v>
      </c>
      <c r="J6061" s="66" t="str">
        <f>IF('Twenty-Fifth'!J64="", "",'Twenty-Fifth'!J64)</f>
        <v>Fatigue Management</v>
      </c>
      <c r="K6061" s="86" t="str">
        <f>IF('Twenty-Fifth'!K64="", "",'Twenty-Fifth'!K64)</f>
        <v/>
      </c>
      <c r="M6061" s="67">
        <f t="shared" si="287"/>
        <v>7</v>
      </c>
      <c r="N6061" s="76" t="str">
        <f t="shared" si="288"/>
        <v/>
      </c>
      <c r="O6061" s="33">
        <f t="shared" si="289"/>
        <v>7</v>
      </c>
    </row>
    <row r="6062" spans="1:15" x14ac:dyDescent="0.25">
      <c r="A6062" s="64" t="s">
        <v>194</v>
      </c>
      <c r="B6062" s="79" t="str">
        <f>IF('Twenty-Fifth'!B65="", "",'Twenty-Fifth'!B65)</f>
        <v>CSS</v>
      </c>
      <c r="C6062" s="66" t="str">
        <f>IF('Twenty-Fifth'!C65="", "",'Twenty-Fifth'!C65)</f>
        <v>PwC</v>
      </c>
      <c r="D6062" s="66" t="str">
        <f>IF('Twenty-Fifth'!D65="", "",'Twenty-Fifth'!D65)</f>
        <v>Returning</v>
      </c>
      <c r="E6062" s="66" t="str">
        <f>IF('Twenty-Fifth'!E65="", "",'Twenty-Fifth'!E65)</f>
        <v>Male</v>
      </c>
      <c r="F6062" s="66" t="str">
        <f>IF('Twenty-Fifth'!F65="", "",'Twenty-Fifth'!F65)</f>
        <v>Prostate</v>
      </c>
      <c r="G6062" s="66" t="str">
        <f>IF('Twenty-Fifth'!G65="", "",'Twenty-Fifth'!G65)</f>
        <v>Non-Curative Intent</v>
      </c>
      <c r="H6062" s="66" t="str">
        <f>IF('Twenty-Fifth'!H65="", "",'Twenty-Fifth'!H65)</f>
        <v>Programme</v>
      </c>
      <c r="I6062" s="66" t="str">
        <f>IF('Twenty-Fifth'!I65="", "",'Twenty-Fifth'!I65)</f>
        <v>Relaxation</v>
      </c>
      <c r="J6062" s="66" t="str">
        <f>IF('Twenty-Fifth'!J65="", "",'Twenty-Fifth'!J65)</f>
        <v>Fatigue Management</v>
      </c>
      <c r="K6062" s="86" t="str">
        <f>IF('Twenty-Fifth'!K65="", "",'Twenty-Fifth'!K65)</f>
        <v/>
      </c>
      <c r="M6062" s="67">
        <f t="shared" si="287"/>
        <v>7</v>
      </c>
      <c r="N6062" s="76" t="str">
        <f t="shared" si="288"/>
        <v/>
      </c>
      <c r="O6062" s="33">
        <f t="shared" si="289"/>
        <v>7</v>
      </c>
    </row>
    <row r="6063" spans="1:15" x14ac:dyDescent="0.25">
      <c r="A6063" s="64" t="s">
        <v>194</v>
      </c>
      <c r="B6063" s="79" t="str">
        <f>IF('Twenty-Fifth'!B66="", "",'Twenty-Fifth'!B66)</f>
        <v>CSS</v>
      </c>
      <c r="C6063" s="66" t="str">
        <f>IF('Twenty-Fifth'!C66="", "",'Twenty-Fifth'!C66)</f>
        <v>PwC</v>
      </c>
      <c r="D6063" s="66" t="str">
        <f>IF('Twenty-Fifth'!D66="", "",'Twenty-Fifth'!D66)</f>
        <v>Returning</v>
      </c>
      <c r="E6063" s="66" t="str">
        <f>IF('Twenty-Fifth'!E66="", "",'Twenty-Fifth'!E66)</f>
        <v>Female</v>
      </c>
      <c r="F6063" s="66" t="str">
        <f>IF('Twenty-Fifth'!F66="", "",'Twenty-Fifth'!F66)</f>
        <v>Lower GI</v>
      </c>
      <c r="G6063" s="66" t="str">
        <f>IF('Twenty-Fifth'!G66="", "",'Twenty-Fifth'!G66)</f>
        <v>Non-Curative Intent</v>
      </c>
      <c r="H6063" s="66" t="str">
        <f>IF('Twenty-Fifth'!H66="", "",'Twenty-Fifth'!H66)</f>
        <v>Drop-In</v>
      </c>
      <c r="I6063" s="66" t="str">
        <f>IF('Twenty-Fifth'!I66="", "",'Twenty-Fifth'!I66)</f>
        <v/>
      </c>
      <c r="J6063" s="66" t="str">
        <f>IF('Twenty-Fifth'!J66="", "",'Twenty-Fifth'!J66)</f>
        <v/>
      </c>
      <c r="K6063" s="86" t="str">
        <f>IF('Twenty-Fifth'!K66="", "",'Twenty-Fifth'!K66)</f>
        <v/>
      </c>
      <c r="M6063" s="67">
        <f t="shared" si="287"/>
        <v>7</v>
      </c>
      <c r="N6063" s="76" t="str">
        <f t="shared" si="288"/>
        <v/>
      </c>
      <c r="O6063" s="33">
        <f t="shared" si="289"/>
        <v>7</v>
      </c>
    </row>
    <row r="6064" spans="1:15" x14ac:dyDescent="0.25">
      <c r="A6064" s="64" t="s">
        <v>194</v>
      </c>
      <c r="B6064" s="79" t="str">
        <f>IF('Twenty-Fifth'!B67="", "",'Twenty-Fifth'!B67)</f>
        <v>Psychologist</v>
      </c>
      <c r="C6064" s="66" t="str">
        <f>IF('Twenty-Fifth'!C67="", "",'Twenty-Fifth'!C67)</f>
        <v>PwC</v>
      </c>
      <c r="D6064" s="66" t="str">
        <f>IF('Twenty-Fifth'!D67="", "",'Twenty-Fifth'!D67)</f>
        <v>Returning</v>
      </c>
      <c r="E6064" s="66" t="str">
        <f>IF('Twenty-Fifth'!E67="", "",'Twenty-Fifth'!E67)</f>
        <v>Female</v>
      </c>
      <c r="F6064" s="66" t="str">
        <f>IF('Twenty-Fifth'!F67="", "",'Twenty-Fifth'!F67)</f>
        <v>Breast</v>
      </c>
      <c r="G6064" s="66" t="str">
        <f>IF('Twenty-Fifth'!G67="", "",'Twenty-Fifth'!G67)</f>
        <v>Post Treatment - Curative Intent</v>
      </c>
      <c r="H6064" s="66" t="str">
        <f>IF('Twenty-Fifth'!H67="", "",'Twenty-Fifth'!H67)</f>
        <v>Booked</v>
      </c>
      <c r="I6064" s="66" t="str">
        <f>IF('Twenty-Fifth'!I67="", "",'Twenty-Fifth'!I67)</f>
        <v>Psych Support - Individual</v>
      </c>
      <c r="J6064" s="66" t="str">
        <f>IF('Twenty-Fifth'!J67="", "",'Twenty-Fifth'!J67)</f>
        <v/>
      </c>
      <c r="K6064" s="86" t="str">
        <f>IF('Twenty-Fifth'!K67="", "",'Twenty-Fifth'!K67)</f>
        <v/>
      </c>
      <c r="M6064" s="67">
        <f t="shared" si="287"/>
        <v>7</v>
      </c>
      <c r="N6064" s="76" t="str">
        <f t="shared" si="288"/>
        <v/>
      </c>
      <c r="O6064" s="33">
        <f t="shared" si="289"/>
        <v>7</v>
      </c>
    </row>
    <row r="6065" spans="1:15" x14ac:dyDescent="0.25">
      <c r="A6065" s="64" t="s">
        <v>194</v>
      </c>
      <c r="B6065" s="79" t="str">
        <f>IF('Twenty-Fifth'!B68="", "",'Twenty-Fifth'!B68)</f>
        <v>Psychologist</v>
      </c>
      <c r="C6065" s="66" t="str">
        <f>IF('Twenty-Fifth'!C68="", "",'Twenty-Fifth'!C68)</f>
        <v>PwC</v>
      </c>
      <c r="D6065" s="66" t="str">
        <f>IF('Twenty-Fifth'!D68="", "",'Twenty-Fifth'!D68)</f>
        <v>Returning</v>
      </c>
      <c r="E6065" s="66" t="str">
        <f>IF('Twenty-Fifth'!E68="", "",'Twenty-Fifth'!E68)</f>
        <v>Female</v>
      </c>
      <c r="F6065" s="66" t="str">
        <f>IF('Twenty-Fifth'!F68="", "",'Twenty-Fifth'!F68)</f>
        <v>Skin/Mel</v>
      </c>
      <c r="G6065" s="66" t="str">
        <f>IF('Twenty-Fifth'!G68="", "",'Twenty-Fifth'!G68)</f>
        <v>Post Treatment - Curative Intent</v>
      </c>
      <c r="H6065" s="66" t="str">
        <f>IF('Twenty-Fifth'!H68="", "",'Twenty-Fifth'!H68)</f>
        <v>Booked</v>
      </c>
      <c r="I6065" s="66" t="str">
        <f>IF('Twenty-Fifth'!I68="", "",'Twenty-Fifth'!I68)</f>
        <v>Psych Support - Individual</v>
      </c>
      <c r="J6065" s="66" t="str">
        <f>IF('Twenty-Fifth'!J68="", "",'Twenty-Fifth'!J68)</f>
        <v/>
      </c>
      <c r="K6065" s="86" t="str">
        <f>IF('Twenty-Fifth'!K68="", "",'Twenty-Fifth'!K68)</f>
        <v/>
      </c>
      <c r="M6065" s="67">
        <f t="shared" si="287"/>
        <v>7</v>
      </c>
      <c r="N6065" s="76" t="str">
        <f t="shared" si="288"/>
        <v/>
      </c>
      <c r="O6065" s="33">
        <f t="shared" si="289"/>
        <v>7</v>
      </c>
    </row>
    <row r="6066" spans="1:15" x14ac:dyDescent="0.25">
      <c r="A6066" s="64" t="s">
        <v>194</v>
      </c>
      <c r="B6066" s="79" t="str">
        <f>IF('Twenty-Fifth'!B69="", "",'Twenty-Fifth'!B69)</f>
        <v>Psychologist</v>
      </c>
      <c r="C6066" s="66" t="str">
        <f>IF('Twenty-Fifth'!C69="", "",'Twenty-Fifth'!C69)</f>
        <v>PwC</v>
      </c>
      <c r="D6066" s="66" t="str">
        <f>IF('Twenty-Fifth'!D69="", "",'Twenty-Fifth'!D69)</f>
        <v>Returning</v>
      </c>
      <c r="E6066" s="66" t="str">
        <f>IF('Twenty-Fifth'!E69="", "",'Twenty-Fifth'!E69)</f>
        <v>Female</v>
      </c>
      <c r="F6066" s="66" t="str">
        <f>IF('Twenty-Fifth'!F69="", "",'Twenty-Fifth'!F69)</f>
        <v>Breast</v>
      </c>
      <c r="G6066" s="66" t="str">
        <f>IF('Twenty-Fifth'!G69="", "",'Twenty-Fifth'!G69)</f>
        <v>Post Treatment - Curative Intent</v>
      </c>
      <c r="H6066" s="66" t="str">
        <f>IF('Twenty-Fifth'!H69="", "",'Twenty-Fifth'!H69)</f>
        <v>Booked</v>
      </c>
      <c r="I6066" s="66" t="str">
        <f>IF('Twenty-Fifth'!I69="", "",'Twenty-Fifth'!I69)</f>
        <v>Psych Support - Individual</v>
      </c>
      <c r="J6066" s="66" t="str">
        <f>IF('Twenty-Fifth'!J69="", "",'Twenty-Fifth'!J69)</f>
        <v/>
      </c>
      <c r="K6066" s="86" t="str">
        <f>IF('Twenty-Fifth'!K69="", "",'Twenty-Fifth'!K69)</f>
        <v/>
      </c>
      <c r="M6066" s="67">
        <f t="shared" si="287"/>
        <v>7</v>
      </c>
      <c r="N6066" s="76" t="str">
        <f t="shared" si="288"/>
        <v/>
      </c>
      <c r="O6066" s="33">
        <f t="shared" si="289"/>
        <v>7</v>
      </c>
    </row>
    <row r="6067" spans="1:15" x14ac:dyDescent="0.25">
      <c r="A6067" s="64" t="s">
        <v>194</v>
      </c>
      <c r="B6067" s="79" t="str">
        <f>IF('Twenty-Fifth'!B70="", "",'Twenty-Fifth'!B70)</f>
        <v>CSS</v>
      </c>
      <c r="C6067" s="66" t="str">
        <f>IF('Twenty-Fifth'!C70="", "",'Twenty-Fifth'!C70)</f>
        <v>PwC</v>
      </c>
      <c r="D6067" s="66" t="str">
        <f>IF('Twenty-Fifth'!D70="", "",'Twenty-Fifth'!D70)</f>
        <v>Returning</v>
      </c>
      <c r="E6067" s="66" t="str">
        <f>IF('Twenty-Fifth'!E70="", "",'Twenty-Fifth'!E70)</f>
        <v>Female</v>
      </c>
      <c r="F6067" s="66" t="str">
        <f>IF('Twenty-Fifth'!F70="", "",'Twenty-Fifth'!F70)</f>
        <v>Lower GI</v>
      </c>
      <c r="G6067" s="66" t="str">
        <f>IF('Twenty-Fifth'!G70="", "",'Twenty-Fifth'!G70)</f>
        <v>Non-Curative Intent</v>
      </c>
      <c r="H6067" s="66" t="str">
        <f>IF('Twenty-Fifth'!H70="", "",'Twenty-Fifth'!H70)</f>
        <v>Drop-In</v>
      </c>
      <c r="I6067" s="66" t="str">
        <f>IF('Twenty-Fifth'!I70="", "",'Twenty-Fifth'!I70)</f>
        <v/>
      </c>
      <c r="J6067" s="66" t="str">
        <f>IF('Twenty-Fifth'!J70="", "",'Twenty-Fifth'!J70)</f>
        <v/>
      </c>
      <c r="K6067" s="86" t="str">
        <f>IF('Twenty-Fifth'!K70="", "",'Twenty-Fifth'!K70)</f>
        <v/>
      </c>
      <c r="M6067" s="67">
        <f t="shared" si="287"/>
        <v>7</v>
      </c>
      <c r="N6067" s="76" t="str">
        <f t="shared" si="288"/>
        <v/>
      </c>
      <c r="O6067" s="33">
        <f t="shared" si="289"/>
        <v>7</v>
      </c>
    </row>
    <row r="6068" spans="1:15" x14ac:dyDescent="0.25">
      <c r="A6068" s="64" t="s">
        <v>194</v>
      </c>
      <c r="B6068" s="79" t="str">
        <f>IF('Twenty-Fifth'!B71="", "",'Twenty-Fifth'!B71)</f>
        <v>CSS</v>
      </c>
      <c r="C6068" s="66" t="str">
        <f>IF('Twenty-Fifth'!C71="", "",'Twenty-Fifth'!C71)</f>
        <v>Carer</v>
      </c>
      <c r="D6068" s="66" t="str">
        <f>IF('Twenty-Fifth'!D71="", "",'Twenty-Fifth'!D71)</f>
        <v>Returning</v>
      </c>
      <c r="E6068" s="66" t="str">
        <f>IF('Twenty-Fifth'!E71="", "",'Twenty-Fifth'!E71)</f>
        <v>Male</v>
      </c>
      <c r="F6068" s="66" t="str">
        <f>IF('Twenty-Fifth'!F71="", "",'Twenty-Fifth'!F71)</f>
        <v>Lower GI</v>
      </c>
      <c r="G6068" s="66" t="str">
        <f>IF('Twenty-Fifth'!G71="", "",'Twenty-Fifth'!G71)</f>
        <v>Non-Curative Intent</v>
      </c>
      <c r="H6068" s="66" t="str">
        <f>IF('Twenty-Fifth'!H71="", "",'Twenty-Fifth'!H71)</f>
        <v>Drop-In</v>
      </c>
      <c r="I6068" s="66" t="str">
        <f>IF('Twenty-Fifth'!I71="", "",'Twenty-Fifth'!I71)</f>
        <v/>
      </c>
      <c r="J6068" s="66" t="str">
        <f>IF('Twenty-Fifth'!J71="", "",'Twenty-Fifth'!J71)</f>
        <v/>
      </c>
      <c r="K6068" s="86" t="str">
        <f>IF('Twenty-Fifth'!K71="", "",'Twenty-Fifth'!K71)</f>
        <v/>
      </c>
      <c r="M6068" s="67" t="str">
        <f t="shared" si="287"/>
        <v/>
      </c>
      <c r="N6068" s="76">
        <f t="shared" si="288"/>
        <v>7</v>
      </c>
      <c r="O6068" s="33">
        <f t="shared" si="289"/>
        <v>7</v>
      </c>
    </row>
    <row r="6069" spans="1:15" x14ac:dyDescent="0.25">
      <c r="A6069" s="64" t="s">
        <v>194</v>
      </c>
      <c r="B6069" s="79" t="str">
        <f>IF('Twenty-Fifth'!B72="", "",'Twenty-Fifth'!B72)</f>
        <v>CSS</v>
      </c>
      <c r="C6069" s="66" t="str">
        <f>IF('Twenty-Fifth'!C72="", "",'Twenty-Fifth'!C72)</f>
        <v>Carer</v>
      </c>
      <c r="D6069" s="66" t="str">
        <f>IF('Twenty-Fifth'!D72="", "",'Twenty-Fifth'!D72)</f>
        <v>Returning</v>
      </c>
      <c r="E6069" s="66" t="str">
        <f>IF('Twenty-Fifth'!E72="", "",'Twenty-Fifth'!E72)</f>
        <v>Female</v>
      </c>
      <c r="F6069" s="66" t="str">
        <f>IF('Twenty-Fifth'!F72="", "",'Twenty-Fifth'!F72)</f>
        <v>Breast</v>
      </c>
      <c r="G6069" s="66" t="str">
        <f>IF('Twenty-Fifth'!G72="", "",'Twenty-Fifth'!G72)</f>
        <v>Non-Curative Intent</v>
      </c>
      <c r="H6069" s="66" t="str">
        <f>IF('Twenty-Fifth'!H72="", "",'Twenty-Fifth'!H72)</f>
        <v>Drop-In</v>
      </c>
      <c r="I6069" s="66" t="str">
        <f>IF('Twenty-Fifth'!I72="", "",'Twenty-Fifth'!I72)</f>
        <v/>
      </c>
      <c r="J6069" s="66" t="str">
        <f>IF('Twenty-Fifth'!J72="", "",'Twenty-Fifth'!J72)</f>
        <v/>
      </c>
      <c r="K6069" s="86" t="str">
        <f>IF('Twenty-Fifth'!K72="", "",'Twenty-Fifth'!K72)</f>
        <v/>
      </c>
      <c r="M6069" s="67" t="str">
        <f t="shared" si="287"/>
        <v/>
      </c>
      <c r="N6069" s="76">
        <f t="shared" si="288"/>
        <v>7</v>
      </c>
      <c r="O6069" s="33">
        <f t="shared" si="289"/>
        <v>7</v>
      </c>
    </row>
    <row r="6070" spans="1:15" x14ac:dyDescent="0.25">
      <c r="A6070" s="64" t="s">
        <v>194</v>
      </c>
      <c r="B6070" s="79" t="str">
        <f>IF('Twenty-Fifth'!B73="", "",'Twenty-Fifth'!B73)</f>
        <v>Centre Head</v>
      </c>
      <c r="C6070" s="66" t="str">
        <f>IF('Twenty-Fifth'!C73="", "",'Twenty-Fifth'!C73)</f>
        <v>PwC</v>
      </c>
      <c r="D6070" s="66" t="str">
        <f>IF('Twenty-Fifth'!D73="", "",'Twenty-Fifth'!D73)</f>
        <v>Returning</v>
      </c>
      <c r="E6070" s="66" t="str">
        <f>IF('Twenty-Fifth'!E73="", "",'Twenty-Fifth'!E73)</f>
        <v>Female</v>
      </c>
      <c r="F6070" s="66" t="str">
        <f>IF('Twenty-Fifth'!F73="", "",'Twenty-Fifth'!F73)</f>
        <v>Lower GI</v>
      </c>
      <c r="G6070" s="66" t="str">
        <f>IF('Twenty-Fifth'!G73="", "",'Twenty-Fifth'!G73)</f>
        <v>Non-Curative Intent</v>
      </c>
      <c r="H6070" s="66" t="str">
        <f>IF('Twenty-Fifth'!H73="", "",'Twenty-Fifth'!H73)</f>
        <v>Drop-In</v>
      </c>
      <c r="I6070" s="66" t="str">
        <f>IF('Twenty-Fifth'!I73="", "",'Twenty-Fifth'!I73)</f>
        <v/>
      </c>
      <c r="J6070" s="66" t="str">
        <f>IF('Twenty-Fifth'!J73="", "",'Twenty-Fifth'!J73)</f>
        <v/>
      </c>
      <c r="K6070" s="86" t="str">
        <f>IF('Twenty-Fifth'!K73="", "",'Twenty-Fifth'!K73)</f>
        <v/>
      </c>
      <c r="M6070" s="67">
        <f t="shared" si="287"/>
        <v>7</v>
      </c>
      <c r="N6070" s="76" t="str">
        <f t="shared" si="288"/>
        <v/>
      </c>
      <c r="O6070" s="33">
        <f t="shared" si="289"/>
        <v>7</v>
      </c>
    </row>
    <row r="6071" spans="1:15" x14ac:dyDescent="0.25">
      <c r="A6071" s="64" t="s">
        <v>194</v>
      </c>
      <c r="B6071" s="79" t="str">
        <f>IF('Twenty-Fifth'!B74="", "",'Twenty-Fifth'!B74)</f>
        <v>Centre Head</v>
      </c>
      <c r="C6071" s="66" t="str">
        <f>IF('Twenty-Fifth'!C74="", "",'Twenty-Fifth'!C74)</f>
        <v>Carer</v>
      </c>
      <c r="D6071" s="66" t="str">
        <f>IF('Twenty-Fifth'!D74="", "",'Twenty-Fifth'!D74)</f>
        <v>Returning</v>
      </c>
      <c r="E6071" s="66" t="str">
        <f>IF('Twenty-Fifth'!E74="", "",'Twenty-Fifth'!E74)</f>
        <v>Female</v>
      </c>
      <c r="F6071" s="66" t="str">
        <f>IF('Twenty-Fifth'!F74="", "",'Twenty-Fifth'!F74)</f>
        <v>Lower GI</v>
      </c>
      <c r="G6071" s="66" t="str">
        <f>IF('Twenty-Fifth'!G74="", "",'Twenty-Fifth'!G74)</f>
        <v>Non-Curative Intent</v>
      </c>
      <c r="H6071" s="66" t="str">
        <f>IF('Twenty-Fifth'!H74="", "",'Twenty-Fifth'!H74)</f>
        <v>Drop-In</v>
      </c>
      <c r="I6071" s="66" t="str">
        <f>IF('Twenty-Fifth'!I74="", "",'Twenty-Fifth'!I74)</f>
        <v/>
      </c>
      <c r="J6071" s="66" t="str">
        <f>IF('Twenty-Fifth'!J74="", "",'Twenty-Fifth'!J74)</f>
        <v/>
      </c>
      <c r="K6071" s="86" t="str">
        <f>IF('Twenty-Fifth'!K74="", "",'Twenty-Fifth'!K74)</f>
        <v/>
      </c>
      <c r="M6071" s="67" t="str">
        <f t="shared" si="287"/>
        <v/>
      </c>
      <c r="N6071" s="76">
        <f t="shared" si="288"/>
        <v>7</v>
      </c>
      <c r="O6071" s="33">
        <f t="shared" si="289"/>
        <v>7</v>
      </c>
    </row>
    <row r="6072" spans="1:15" x14ac:dyDescent="0.25">
      <c r="A6072" s="64" t="s">
        <v>194</v>
      </c>
      <c r="B6072" s="79" t="str">
        <f>IF('Twenty-Fifth'!B75="", "",'Twenty-Fifth'!B75)</f>
        <v>Centre Head</v>
      </c>
      <c r="C6072" s="66" t="str">
        <f>IF('Twenty-Fifth'!C75="", "",'Twenty-Fifth'!C75)</f>
        <v>PwC</v>
      </c>
      <c r="D6072" s="66" t="str">
        <f>IF('Twenty-Fifth'!D75="", "",'Twenty-Fifth'!D75)</f>
        <v>Returning</v>
      </c>
      <c r="E6072" s="66" t="str">
        <f>IF('Twenty-Fifth'!E75="", "",'Twenty-Fifth'!E75)</f>
        <v>Male</v>
      </c>
      <c r="F6072" s="66" t="str">
        <f>IF('Twenty-Fifth'!F75="", "",'Twenty-Fifth'!F75)</f>
        <v>Haemat</v>
      </c>
      <c r="G6072" s="66" t="str">
        <f>IF('Twenty-Fifth'!G75="", "",'Twenty-Fifth'!G75)</f>
        <v>Non-Curative Intent</v>
      </c>
      <c r="H6072" s="66" t="str">
        <f>IF('Twenty-Fifth'!H75="", "",'Twenty-Fifth'!H75)</f>
        <v>Drop-In</v>
      </c>
      <c r="I6072" s="66" t="str">
        <f>IF('Twenty-Fifth'!I75="", "",'Twenty-Fifth'!I75)</f>
        <v/>
      </c>
      <c r="J6072" s="66" t="str">
        <f>IF('Twenty-Fifth'!J75="", "",'Twenty-Fifth'!J75)</f>
        <v/>
      </c>
      <c r="K6072" s="86" t="str">
        <f>IF('Twenty-Fifth'!K75="", "",'Twenty-Fifth'!K75)</f>
        <v/>
      </c>
      <c r="M6072" s="67">
        <f t="shared" si="287"/>
        <v>7</v>
      </c>
      <c r="N6072" s="76" t="str">
        <f t="shared" si="288"/>
        <v/>
      </c>
      <c r="O6072" s="33">
        <f t="shared" si="289"/>
        <v>7</v>
      </c>
    </row>
    <row r="6073" spans="1:15" x14ac:dyDescent="0.25">
      <c r="A6073" s="64" t="s">
        <v>194</v>
      </c>
      <c r="B6073" s="79" t="str">
        <f>IF('Twenty-Fifth'!B76="", "",'Twenty-Fifth'!B76)</f>
        <v>Psychologist</v>
      </c>
      <c r="C6073" s="66" t="str">
        <f>IF('Twenty-Fifth'!C76="", "",'Twenty-Fifth'!C76)</f>
        <v>Carer</v>
      </c>
      <c r="D6073" s="66" t="str">
        <f>IF('Twenty-Fifth'!D76="", "",'Twenty-Fifth'!D76)</f>
        <v>Returning</v>
      </c>
      <c r="E6073" s="66" t="str">
        <f>IF('Twenty-Fifth'!E76="", "",'Twenty-Fifth'!E76)</f>
        <v>Female</v>
      </c>
      <c r="F6073" s="66" t="str">
        <f>IF('Twenty-Fifth'!F76="", "",'Twenty-Fifth'!F76)</f>
        <v>Lung</v>
      </c>
      <c r="G6073" s="66" t="str">
        <f>IF('Twenty-Fifth'!G76="", "",'Twenty-Fifth'!G76)</f>
        <v>Bereaved</v>
      </c>
      <c r="H6073" s="66" t="str">
        <f>IF('Twenty-Fifth'!H76="", "",'Twenty-Fifth'!H76)</f>
        <v>Booked</v>
      </c>
      <c r="I6073" s="66" t="str">
        <f>IF('Twenty-Fifth'!I76="", "",'Twenty-Fifth'!I76)</f>
        <v>Psych Support - Individual</v>
      </c>
      <c r="J6073" s="66" t="str">
        <f>IF('Twenty-Fifth'!J76="", "",'Twenty-Fifth'!J76)</f>
        <v/>
      </c>
      <c r="K6073" s="86" t="str">
        <f>IF('Twenty-Fifth'!K76="", "",'Twenty-Fifth'!K76)</f>
        <v/>
      </c>
      <c r="M6073" s="67" t="str">
        <f t="shared" si="287"/>
        <v/>
      </c>
      <c r="N6073" s="76">
        <f t="shared" si="288"/>
        <v>7</v>
      </c>
      <c r="O6073" s="33">
        <f t="shared" si="289"/>
        <v>7</v>
      </c>
    </row>
    <row r="6074" spans="1:15" x14ac:dyDescent="0.25">
      <c r="A6074" s="64" t="s">
        <v>194</v>
      </c>
      <c r="B6074" s="79" t="str">
        <f>IF('Twenty-Fifth'!B77="", "",'Twenty-Fifth'!B77)</f>
        <v>Psychologist</v>
      </c>
      <c r="C6074" s="66" t="str">
        <f>IF('Twenty-Fifth'!C77="", "",'Twenty-Fifth'!C77)</f>
        <v>PwC</v>
      </c>
      <c r="D6074" s="66" t="str">
        <f>IF('Twenty-Fifth'!D77="", "",'Twenty-Fifth'!D77)</f>
        <v>Returning</v>
      </c>
      <c r="E6074" s="66" t="str">
        <f>IF('Twenty-Fifth'!E77="", "",'Twenty-Fifth'!E77)</f>
        <v>Male</v>
      </c>
      <c r="F6074" s="66" t="str">
        <f>IF('Twenty-Fifth'!F77="", "",'Twenty-Fifth'!F77)</f>
        <v>Upper GI</v>
      </c>
      <c r="G6074" s="66" t="str">
        <f>IF('Twenty-Fifth'!G77="", "",'Twenty-Fifth'!G77)</f>
        <v>Non-Curative Intent</v>
      </c>
      <c r="H6074" s="66" t="str">
        <f>IF('Twenty-Fifth'!H77="", "",'Twenty-Fifth'!H77)</f>
        <v>Booked</v>
      </c>
      <c r="I6074" s="66" t="str">
        <f>IF('Twenty-Fifth'!I77="", "",'Twenty-Fifth'!I77)</f>
        <v>Psych Support - Individual</v>
      </c>
      <c r="J6074" s="66" t="str">
        <f>IF('Twenty-Fifth'!J77="", "",'Twenty-Fifth'!J77)</f>
        <v/>
      </c>
      <c r="K6074" s="86" t="str">
        <f>IF('Twenty-Fifth'!K77="", "",'Twenty-Fifth'!K77)</f>
        <v/>
      </c>
      <c r="M6074" s="67">
        <f t="shared" si="287"/>
        <v>7</v>
      </c>
      <c r="N6074" s="76" t="str">
        <f t="shared" si="288"/>
        <v/>
      </c>
      <c r="O6074" s="33">
        <f t="shared" si="289"/>
        <v>7</v>
      </c>
    </row>
    <row r="6075" spans="1:15" x14ac:dyDescent="0.25">
      <c r="A6075" s="64" t="s">
        <v>194</v>
      </c>
      <c r="B6075" s="79" t="str">
        <f>IF('Twenty-Fifth'!B78="", "",'Twenty-Fifth'!B78)</f>
        <v>Psychologist</v>
      </c>
      <c r="C6075" s="66" t="str">
        <f>IF('Twenty-Fifth'!C78="", "",'Twenty-Fifth'!C78)</f>
        <v>Carer</v>
      </c>
      <c r="D6075" s="66" t="str">
        <f>IF('Twenty-Fifth'!D78="", "",'Twenty-Fifth'!D78)</f>
        <v>Returning</v>
      </c>
      <c r="E6075" s="66" t="str">
        <f>IF('Twenty-Fifth'!E78="", "",'Twenty-Fifth'!E78)</f>
        <v>Female</v>
      </c>
      <c r="F6075" s="66" t="str">
        <f>IF('Twenty-Fifth'!F78="", "",'Twenty-Fifth'!F78)</f>
        <v>Upper GI</v>
      </c>
      <c r="G6075" s="66" t="str">
        <f>IF('Twenty-Fifth'!G78="", "",'Twenty-Fifth'!G78)</f>
        <v>Non-Curative Intent</v>
      </c>
      <c r="H6075" s="66" t="str">
        <f>IF('Twenty-Fifth'!H78="", "",'Twenty-Fifth'!H78)</f>
        <v>Booked</v>
      </c>
      <c r="I6075" s="66" t="str">
        <f>IF('Twenty-Fifth'!I78="", "",'Twenty-Fifth'!I78)</f>
        <v>Psych Support - Individual</v>
      </c>
      <c r="J6075" s="66" t="str">
        <f>IF('Twenty-Fifth'!J78="", "",'Twenty-Fifth'!J78)</f>
        <v/>
      </c>
      <c r="K6075" s="86" t="str">
        <f>IF('Twenty-Fifth'!K78="", "",'Twenty-Fifth'!K78)</f>
        <v/>
      </c>
      <c r="M6075" s="67" t="str">
        <f t="shared" si="287"/>
        <v/>
      </c>
      <c r="N6075" s="76">
        <f t="shared" si="288"/>
        <v>7</v>
      </c>
      <c r="O6075" s="33">
        <f t="shared" si="289"/>
        <v>7</v>
      </c>
    </row>
    <row r="6076" spans="1:15" x14ac:dyDescent="0.25">
      <c r="A6076" s="64" t="s">
        <v>194</v>
      </c>
      <c r="B6076" s="79" t="str">
        <f>IF('Twenty-Fifth'!B79="", "",'Twenty-Fifth'!B79)</f>
        <v>Psychologist</v>
      </c>
      <c r="C6076" s="66" t="str">
        <f>IF('Twenty-Fifth'!C79="", "",'Twenty-Fifth'!C79)</f>
        <v>PwC</v>
      </c>
      <c r="D6076" s="66" t="str">
        <f>IF('Twenty-Fifth'!D79="", "",'Twenty-Fifth'!D79)</f>
        <v>Returning</v>
      </c>
      <c r="E6076" s="66" t="str">
        <f>IF('Twenty-Fifth'!E79="", "",'Twenty-Fifth'!E79)</f>
        <v>Male</v>
      </c>
      <c r="F6076" s="66" t="str">
        <f>IF('Twenty-Fifth'!F79="", "",'Twenty-Fifth'!F79)</f>
        <v>Brain/CNS</v>
      </c>
      <c r="G6076" s="66" t="str">
        <f>IF('Twenty-Fifth'!G79="", "",'Twenty-Fifth'!G79)</f>
        <v>Non-Curative Intent</v>
      </c>
      <c r="H6076" s="66" t="str">
        <f>IF('Twenty-Fifth'!H79="", "",'Twenty-Fifth'!H79)</f>
        <v>Programme</v>
      </c>
      <c r="I6076" s="66" t="str">
        <f>IF('Twenty-Fifth'!I79="", "",'Twenty-Fifth'!I79)</f>
        <v>FSG Men's</v>
      </c>
      <c r="J6076" s="66" t="str">
        <f>IF('Twenty-Fifth'!J79="", "",'Twenty-Fifth'!J79)</f>
        <v/>
      </c>
      <c r="K6076" s="86" t="str">
        <f>IF('Twenty-Fifth'!K79="", "",'Twenty-Fifth'!K79)</f>
        <v/>
      </c>
      <c r="M6076" s="67">
        <f t="shared" si="287"/>
        <v>7</v>
      </c>
      <c r="N6076" s="76" t="str">
        <f t="shared" si="288"/>
        <v/>
      </c>
      <c r="O6076" s="33">
        <f t="shared" si="289"/>
        <v>7</v>
      </c>
    </row>
    <row r="6077" spans="1:15" x14ac:dyDescent="0.25">
      <c r="A6077" s="64" t="s">
        <v>194</v>
      </c>
      <c r="B6077" s="79" t="str">
        <f>IF('Twenty-Fifth'!B80="", "",'Twenty-Fifth'!B80)</f>
        <v>Psychologist</v>
      </c>
      <c r="C6077" s="66" t="str">
        <f>IF('Twenty-Fifth'!C80="", "",'Twenty-Fifth'!C80)</f>
        <v>PwC</v>
      </c>
      <c r="D6077" s="66" t="str">
        <f>IF('Twenty-Fifth'!D80="", "",'Twenty-Fifth'!D80)</f>
        <v>Returning</v>
      </c>
      <c r="E6077" s="66" t="str">
        <f>IF('Twenty-Fifth'!E80="", "",'Twenty-Fifth'!E80)</f>
        <v>Male</v>
      </c>
      <c r="F6077" s="66" t="str">
        <f>IF('Twenty-Fifth'!F80="", "",'Twenty-Fifth'!F80)</f>
        <v>Lung</v>
      </c>
      <c r="G6077" s="66" t="str">
        <f>IF('Twenty-Fifth'!G80="", "",'Twenty-Fifth'!G80)</f>
        <v>Non-Curative Intent</v>
      </c>
      <c r="H6077" s="66" t="str">
        <f>IF('Twenty-Fifth'!H80="", "",'Twenty-Fifth'!H80)</f>
        <v>Programme</v>
      </c>
      <c r="I6077" s="66" t="str">
        <f>IF('Twenty-Fifth'!I80="", "",'Twenty-Fifth'!I80)</f>
        <v>FSG Men's</v>
      </c>
      <c r="J6077" s="66" t="str">
        <f>IF('Twenty-Fifth'!J80="", "",'Twenty-Fifth'!J80)</f>
        <v/>
      </c>
      <c r="K6077" s="86" t="str">
        <f>IF('Twenty-Fifth'!K80="", "",'Twenty-Fifth'!K80)</f>
        <v/>
      </c>
      <c r="M6077" s="67">
        <f t="shared" si="287"/>
        <v>7</v>
      </c>
      <c r="N6077" s="76" t="str">
        <f t="shared" si="288"/>
        <v/>
      </c>
      <c r="O6077" s="33">
        <f t="shared" si="289"/>
        <v>7</v>
      </c>
    </row>
    <row r="6078" spans="1:15" x14ac:dyDescent="0.25">
      <c r="A6078" s="64" t="s">
        <v>194</v>
      </c>
      <c r="B6078" s="79" t="str">
        <f>IF('Twenty-Fifth'!B81="", "",'Twenty-Fifth'!B81)</f>
        <v>Psychologist</v>
      </c>
      <c r="C6078" s="66" t="str">
        <f>IF('Twenty-Fifth'!C81="", "",'Twenty-Fifth'!C81)</f>
        <v>PwC</v>
      </c>
      <c r="D6078" s="66" t="str">
        <f>IF('Twenty-Fifth'!D81="", "",'Twenty-Fifth'!D81)</f>
        <v>Returning</v>
      </c>
      <c r="E6078" s="66" t="str">
        <f>IF('Twenty-Fifth'!E81="", "",'Twenty-Fifth'!E81)</f>
        <v>Male</v>
      </c>
      <c r="F6078" s="66" t="str">
        <f>IF('Twenty-Fifth'!F81="", "",'Twenty-Fifth'!F81)</f>
        <v>Urolog</v>
      </c>
      <c r="G6078" s="66" t="str">
        <f>IF('Twenty-Fifth'!G81="", "",'Twenty-Fifth'!G81)</f>
        <v>Non-Curative Intent</v>
      </c>
      <c r="H6078" s="66" t="str">
        <f>IF('Twenty-Fifth'!H81="", "",'Twenty-Fifth'!H81)</f>
        <v>Programme</v>
      </c>
      <c r="I6078" s="66" t="str">
        <f>IF('Twenty-Fifth'!I81="", "",'Twenty-Fifth'!I81)</f>
        <v>FSG Men's</v>
      </c>
      <c r="J6078" s="66" t="str">
        <f>IF('Twenty-Fifth'!J81="", "",'Twenty-Fifth'!J81)</f>
        <v/>
      </c>
      <c r="K6078" s="86" t="str">
        <f>IF('Twenty-Fifth'!K81="", "",'Twenty-Fifth'!K81)</f>
        <v/>
      </c>
      <c r="M6078" s="67">
        <f t="shared" si="287"/>
        <v>7</v>
      </c>
      <c r="N6078" s="76" t="str">
        <f t="shared" si="288"/>
        <v/>
      </c>
      <c r="O6078" s="33">
        <f t="shared" si="289"/>
        <v>7</v>
      </c>
    </row>
    <row r="6079" spans="1:15" x14ac:dyDescent="0.25">
      <c r="A6079" s="64" t="s">
        <v>194</v>
      </c>
      <c r="B6079" s="79" t="str">
        <f>IF('Twenty-Fifth'!B82="", "",'Twenty-Fifth'!B82)</f>
        <v>Psychologist</v>
      </c>
      <c r="C6079" s="66" t="str">
        <f>IF('Twenty-Fifth'!C82="", "",'Twenty-Fifth'!C82)</f>
        <v>PwC</v>
      </c>
      <c r="D6079" s="66" t="str">
        <f>IF('Twenty-Fifth'!D82="", "",'Twenty-Fifth'!D82)</f>
        <v>Returning</v>
      </c>
      <c r="E6079" s="66" t="str">
        <f>IF('Twenty-Fifth'!E82="", "",'Twenty-Fifth'!E82)</f>
        <v>Male</v>
      </c>
      <c r="F6079" s="66" t="str">
        <f>IF('Twenty-Fifth'!F82="", "",'Twenty-Fifth'!F82)</f>
        <v>Head/Neck</v>
      </c>
      <c r="G6079" s="66" t="str">
        <f>IF('Twenty-Fifth'!G82="", "",'Twenty-Fifth'!G82)</f>
        <v>Non-Curative Intent</v>
      </c>
      <c r="H6079" s="66" t="str">
        <f>IF('Twenty-Fifth'!H82="", "",'Twenty-Fifth'!H82)</f>
        <v>Programme</v>
      </c>
      <c r="I6079" s="66" t="str">
        <f>IF('Twenty-Fifth'!I82="", "",'Twenty-Fifth'!I82)</f>
        <v>FSG Men's</v>
      </c>
      <c r="J6079" s="66" t="str">
        <f>IF('Twenty-Fifth'!J82="", "",'Twenty-Fifth'!J82)</f>
        <v/>
      </c>
      <c r="K6079" s="86" t="str">
        <f>IF('Twenty-Fifth'!K82="", "",'Twenty-Fifth'!K82)</f>
        <v/>
      </c>
      <c r="M6079" s="67">
        <f t="shared" ref="M6079:M6142" si="290">IF(C6079="PwC",(7-COUNTIF(B6079:H6079,"")),"")</f>
        <v>7</v>
      </c>
      <c r="N6079" s="76" t="str">
        <f t="shared" ref="N6079:N6142" si="291">IF(C6079="Carer",(7-COUNTIF(B6079:H6079,"")),"")</f>
        <v/>
      </c>
      <c r="O6079" s="33">
        <f t="shared" si="289"/>
        <v>7</v>
      </c>
    </row>
    <row r="6080" spans="1:15" x14ac:dyDescent="0.25">
      <c r="A6080" s="64" t="s">
        <v>194</v>
      </c>
      <c r="B6080" s="79" t="str">
        <f>IF('Twenty-Fifth'!B83="", "",'Twenty-Fifth'!B83)</f>
        <v>Psychologist</v>
      </c>
      <c r="C6080" s="66" t="str">
        <f>IF('Twenty-Fifth'!C83="", "",'Twenty-Fifth'!C83)</f>
        <v>PwC</v>
      </c>
      <c r="D6080" s="66" t="str">
        <f>IF('Twenty-Fifth'!D83="", "",'Twenty-Fifth'!D83)</f>
        <v>Returning</v>
      </c>
      <c r="E6080" s="66" t="str">
        <f>IF('Twenty-Fifth'!E83="", "",'Twenty-Fifth'!E83)</f>
        <v>Male</v>
      </c>
      <c r="F6080" s="66" t="str">
        <f>IF('Twenty-Fifth'!F83="", "",'Twenty-Fifth'!F83)</f>
        <v>Lower GI</v>
      </c>
      <c r="G6080" s="66" t="str">
        <f>IF('Twenty-Fifth'!G83="", "",'Twenty-Fifth'!G83)</f>
        <v>Non-Curative Intent</v>
      </c>
      <c r="H6080" s="66" t="str">
        <f>IF('Twenty-Fifth'!H83="", "",'Twenty-Fifth'!H83)</f>
        <v>Programme</v>
      </c>
      <c r="I6080" s="66" t="str">
        <f>IF('Twenty-Fifth'!I83="", "",'Twenty-Fifth'!I83)</f>
        <v>FSG Men's</v>
      </c>
      <c r="J6080" s="66" t="str">
        <f>IF('Twenty-Fifth'!J83="", "",'Twenty-Fifth'!J83)</f>
        <v/>
      </c>
      <c r="K6080" s="86" t="str">
        <f>IF('Twenty-Fifth'!K83="", "",'Twenty-Fifth'!K83)</f>
        <v/>
      </c>
      <c r="M6080" s="67">
        <f t="shared" si="290"/>
        <v>7</v>
      </c>
      <c r="N6080" s="76" t="str">
        <f t="shared" si="291"/>
        <v/>
      </c>
      <c r="O6080" s="33">
        <f t="shared" si="289"/>
        <v>7</v>
      </c>
    </row>
    <row r="6081" spans="1:15" x14ac:dyDescent="0.25">
      <c r="A6081" s="64" t="s">
        <v>194</v>
      </c>
      <c r="B6081" s="79" t="str">
        <f>IF('Twenty-Fifth'!B84="", "",'Twenty-Fifth'!B84)</f>
        <v>Psychologist</v>
      </c>
      <c r="C6081" s="66" t="str">
        <f>IF('Twenty-Fifth'!C84="", "",'Twenty-Fifth'!C84)</f>
        <v>Carer</v>
      </c>
      <c r="D6081" s="66" t="str">
        <f>IF('Twenty-Fifth'!D84="", "",'Twenty-Fifth'!D84)</f>
        <v>Returning</v>
      </c>
      <c r="E6081" s="66" t="str">
        <f>IF('Twenty-Fifth'!E84="", "",'Twenty-Fifth'!E84)</f>
        <v>Female</v>
      </c>
      <c r="F6081" s="66" t="str">
        <f>IF('Twenty-Fifth'!F84="", "",'Twenty-Fifth'!F84)</f>
        <v>Lower GI</v>
      </c>
      <c r="G6081" s="66" t="str">
        <f>IF('Twenty-Fifth'!G84="", "",'Twenty-Fifth'!G84)</f>
        <v>Bereaved</v>
      </c>
      <c r="H6081" s="66" t="str">
        <f>IF('Twenty-Fifth'!H84="", "",'Twenty-Fifth'!H84)</f>
        <v>Booked</v>
      </c>
      <c r="I6081" s="66" t="str">
        <f>IF('Twenty-Fifth'!I84="", "",'Twenty-Fifth'!I84)</f>
        <v>Psych Support - Individual</v>
      </c>
      <c r="J6081" s="66" t="str">
        <f>IF('Twenty-Fifth'!J84="", "",'Twenty-Fifth'!J84)</f>
        <v/>
      </c>
      <c r="K6081" s="86" t="str">
        <f>IF('Twenty-Fifth'!K84="", "",'Twenty-Fifth'!K84)</f>
        <v/>
      </c>
      <c r="M6081" s="67" t="str">
        <f t="shared" si="290"/>
        <v/>
      </c>
      <c r="N6081" s="76">
        <f t="shared" si="291"/>
        <v>7</v>
      </c>
      <c r="O6081" s="33">
        <f t="shared" si="289"/>
        <v>7</v>
      </c>
    </row>
    <row r="6082" spans="1:15" x14ac:dyDescent="0.25">
      <c r="A6082" s="64" t="s">
        <v>194</v>
      </c>
      <c r="B6082" s="79" t="str">
        <f>IF('Twenty-Fifth'!B85="", "",'Twenty-Fifth'!B85)</f>
        <v>Psychologist</v>
      </c>
      <c r="C6082" s="66" t="str">
        <f>IF('Twenty-Fifth'!C85="", "",'Twenty-Fifth'!C85)</f>
        <v>PwC</v>
      </c>
      <c r="D6082" s="66" t="str">
        <f>IF('Twenty-Fifth'!D85="", "",'Twenty-Fifth'!D85)</f>
        <v>Returning</v>
      </c>
      <c r="E6082" s="66" t="str">
        <f>IF('Twenty-Fifth'!E85="", "",'Twenty-Fifth'!E85)</f>
        <v>Male</v>
      </c>
      <c r="F6082" s="66" t="str">
        <f>IF('Twenty-Fifth'!F85="", "",'Twenty-Fifth'!F85)</f>
        <v>Haemat</v>
      </c>
      <c r="G6082" s="66" t="str">
        <f>IF('Twenty-Fifth'!G85="", "",'Twenty-Fifth'!G85)</f>
        <v>Curative Intent</v>
      </c>
      <c r="H6082" s="66" t="str">
        <f>IF('Twenty-Fifth'!H85="", "",'Twenty-Fifth'!H85)</f>
        <v>Booked</v>
      </c>
      <c r="I6082" s="66" t="str">
        <f>IF('Twenty-Fifth'!I85="", "",'Twenty-Fifth'!I85)</f>
        <v>Psych Support - Individual</v>
      </c>
      <c r="J6082" s="66" t="str">
        <f>IF('Twenty-Fifth'!J85="", "",'Twenty-Fifth'!J85)</f>
        <v/>
      </c>
      <c r="K6082" s="86" t="str">
        <f>IF('Twenty-Fifth'!K85="", "",'Twenty-Fifth'!K85)</f>
        <v/>
      </c>
      <c r="M6082" s="67">
        <f t="shared" si="290"/>
        <v>7</v>
      </c>
      <c r="N6082" s="76" t="str">
        <f t="shared" si="291"/>
        <v/>
      </c>
      <c r="O6082" s="33">
        <f t="shared" si="289"/>
        <v>7</v>
      </c>
    </row>
    <row r="6083" spans="1:15" x14ac:dyDescent="0.25">
      <c r="A6083" s="64" t="s">
        <v>194</v>
      </c>
      <c r="B6083" s="79" t="str">
        <f>IF('Twenty-Fifth'!B86="", "",'Twenty-Fifth'!B86)</f>
        <v>Psychologist</v>
      </c>
      <c r="C6083" s="66" t="str">
        <f>IF('Twenty-Fifth'!C86="", "",'Twenty-Fifth'!C86)</f>
        <v>Carer</v>
      </c>
      <c r="D6083" s="66" t="str">
        <f>IF('Twenty-Fifth'!D86="", "",'Twenty-Fifth'!D86)</f>
        <v>Returning</v>
      </c>
      <c r="E6083" s="66" t="str">
        <f>IF('Twenty-Fifth'!E86="", "",'Twenty-Fifth'!E86)</f>
        <v>Female</v>
      </c>
      <c r="F6083" s="66" t="str">
        <f>IF('Twenty-Fifth'!F86="", "",'Twenty-Fifth'!F86)</f>
        <v>Haemat</v>
      </c>
      <c r="G6083" s="66" t="str">
        <f>IF('Twenty-Fifth'!G86="", "",'Twenty-Fifth'!G86)</f>
        <v>Curative Intent</v>
      </c>
      <c r="H6083" s="66" t="str">
        <f>IF('Twenty-Fifth'!H86="", "",'Twenty-Fifth'!H86)</f>
        <v>Booked</v>
      </c>
      <c r="I6083" s="66" t="str">
        <f>IF('Twenty-Fifth'!I86="", "",'Twenty-Fifth'!I86)</f>
        <v>Psych Support - Individual</v>
      </c>
      <c r="J6083" s="66" t="str">
        <f>IF('Twenty-Fifth'!J86="", "",'Twenty-Fifth'!J86)</f>
        <v/>
      </c>
      <c r="K6083" s="86" t="str">
        <f>IF('Twenty-Fifth'!K86="", "",'Twenty-Fifth'!K86)</f>
        <v/>
      </c>
      <c r="M6083" s="67" t="str">
        <f t="shared" si="290"/>
        <v/>
      </c>
      <c r="N6083" s="76">
        <f t="shared" si="291"/>
        <v>7</v>
      </c>
      <c r="O6083" s="33">
        <f t="shared" si="289"/>
        <v>7</v>
      </c>
    </row>
    <row r="6084" spans="1:15" x14ac:dyDescent="0.25">
      <c r="A6084" s="64" t="s">
        <v>194</v>
      </c>
      <c r="B6084" s="79" t="str">
        <f>IF('Twenty-Fifth'!B87="", "",'Twenty-Fifth'!B87)</f>
        <v>Psychologist</v>
      </c>
      <c r="C6084" s="66" t="str">
        <f>IF('Twenty-Fifth'!C87="", "",'Twenty-Fifth'!C87)</f>
        <v>Carer</v>
      </c>
      <c r="D6084" s="66" t="str">
        <f>IF('Twenty-Fifth'!D87="", "",'Twenty-Fifth'!D87)</f>
        <v>Returning</v>
      </c>
      <c r="E6084" s="66" t="str">
        <f>IF('Twenty-Fifth'!E87="", "",'Twenty-Fifth'!E87)</f>
        <v>Male</v>
      </c>
      <c r="F6084" s="66" t="str">
        <f>IF('Twenty-Fifth'!F87="", "",'Twenty-Fifth'!F87)</f>
        <v>Sarcoma</v>
      </c>
      <c r="G6084" s="66" t="str">
        <f>IF('Twenty-Fifth'!G87="", "",'Twenty-Fifth'!G87)</f>
        <v>Non-Curative Intent</v>
      </c>
      <c r="H6084" s="66" t="str">
        <f>IF('Twenty-Fifth'!H87="", "",'Twenty-Fifth'!H87)</f>
        <v>Programme</v>
      </c>
      <c r="I6084" s="66" t="str">
        <f>IF('Twenty-Fifth'!I87="", "",'Twenty-Fifth'!I87)</f>
        <v>FSG Family and Friends</v>
      </c>
      <c r="J6084" s="66" t="str">
        <f>IF('Twenty-Fifth'!J87="", "",'Twenty-Fifth'!J87)</f>
        <v/>
      </c>
      <c r="K6084" s="86" t="str">
        <f>IF('Twenty-Fifth'!K87="", "",'Twenty-Fifth'!K87)</f>
        <v/>
      </c>
      <c r="M6084" s="67" t="str">
        <f t="shared" si="290"/>
        <v/>
      </c>
      <c r="N6084" s="76">
        <f t="shared" si="291"/>
        <v>7</v>
      </c>
      <c r="O6084" s="33">
        <f t="shared" si="289"/>
        <v>7</v>
      </c>
    </row>
    <row r="6085" spans="1:15" x14ac:dyDescent="0.25">
      <c r="A6085" s="64" t="s">
        <v>194</v>
      </c>
      <c r="B6085" s="79" t="str">
        <f>IF('Twenty-Fifth'!B88="", "",'Twenty-Fifth'!B88)</f>
        <v>Psychologist</v>
      </c>
      <c r="C6085" s="66" t="str">
        <f>IF('Twenty-Fifth'!C88="", "",'Twenty-Fifth'!C88)</f>
        <v>Carer</v>
      </c>
      <c r="D6085" s="66" t="str">
        <f>IF('Twenty-Fifth'!D88="", "",'Twenty-Fifth'!D88)</f>
        <v>Returning</v>
      </c>
      <c r="E6085" s="66" t="str">
        <f>IF('Twenty-Fifth'!E88="", "",'Twenty-Fifth'!E88)</f>
        <v>Female</v>
      </c>
      <c r="F6085" s="66" t="str">
        <f>IF('Twenty-Fifth'!F88="", "",'Twenty-Fifth'!F88)</f>
        <v>Lower GI</v>
      </c>
      <c r="G6085" s="66" t="str">
        <f>IF('Twenty-Fifth'!G88="", "",'Twenty-Fifth'!G88)</f>
        <v>Non-Curative Intent</v>
      </c>
      <c r="H6085" s="66" t="str">
        <f>IF('Twenty-Fifth'!H88="", "",'Twenty-Fifth'!H88)</f>
        <v>Programme</v>
      </c>
      <c r="I6085" s="66" t="str">
        <f>IF('Twenty-Fifth'!I88="", "",'Twenty-Fifth'!I88)</f>
        <v>FSG Family and Friends</v>
      </c>
      <c r="J6085" s="66" t="str">
        <f>IF('Twenty-Fifth'!J88="", "",'Twenty-Fifth'!J88)</f>
        <v/>
      </c>
      <c r="K6085" s="86" t="str">
        <f>IF('Twenty-Fifth'!K88="", "",'Twenty-Fifth'!K88)</f>
        <v/>
      </c>
      <c r="M6085" s="67" t="str">
        <f t="shared" si="290"/>
        <v/>
      </c>
      <c r="N6085" s="76">
        <f t="shared" si="291"/>
        <v>7</v>
      </c>
      <c r="O6085" s="33">
        <f t="shared" si="289"/>
        <v>7</v>
      </c>
    </row>
    <row r="6086" spans="1:15" x14ac:dyDescent="0.25">
      <c r="A6086" s="64" t="s">
        <v>194</v>
      </c>
      <c r="B6086" s="79" t="str">
        <f>IF('Twenty-Fifth'!B89="", "",'Twenty-Fifth'!B89)</f>
        <v>Psychologist</v>
      </c>
      <c r="C6086" s="66" t="str">
        <f>IF('Twenty-Fifth'!C89="", "",'Twenty-Fifth'!C89)</f>
        <v>Carer</v>
      </c>
      <c r="D6086" s="66" t="str">
        <f>IF('Twenty-Fifth'!D89="", "",'Twenty-Fifth'!D89)</f>
        <v>Returning</v>
      </c>
      <c r="E6086" s="66" t="str">
        <f>IF('Twenty-Fifth'!E89="", "",'Twenty-Fifth'!E89)</f>
        <v>Female</v>
      </c>
      <c r="F6086" s="66" t="str">
        <f>IF('Twenty-Fifth'!F89="", "",'Twenty-Fifth'!F89)</f>
        <v>Lower GI</v>
      </c>
      <c r="G6086" s="66" t="str">
        <f>IF('Twenty-Fifth'!G89="", "",'Twenty-Fifth'!G89)</f>
        <v>Non-Curative Intent</v>
      </c>
      <c r="H6086" s="66" t="str">
        <f>IF('Twenty-Fifth'!H89="", "",'Twenty-Fifth'!H89)</f>
        <v>Programme</v>
      </c>
      <c r="I6086" s="66" t="str">
        <f>IF('Twenty-Fifth'!I89="", "",'Twenty-Fifth'!I89)</f>
        <v>FSG Family and Friends</v>
      </c>
      <c r="J6086" s="66" t="str">
        <f>IF('Twenty-Fifth'!J89="", "",'Twenty-Fifth'!J89)</f>
        <v/>
      </c>
      <c r="K6086" s="86" t="str">
        <f>IF('Twenty-Fifth'!K89="", "",'Twenty-Fifth'!K89)</f>
        <v/>
      </c>
      <c r="M6086" s="67" t="str">
        <f t="shared" si="290"/>
        <v/>
      </c>
      <c r="N6086" s="76">
        <f t="shared" si="291"/>
        <v>7</v>
      </c>
      <c r="O6086" s="33">
        <f t="shared" si="289"/>
        <v>7</v>
      </c>
    </row>
    <row r="6087" spans="1:15" x14ac:dyDescent="0.25">
      <c r="A6087" s="64" t="s">
        <v>194</v>
      </c>
      <c r="B6087" s="79" t="str">
        <f>IF('Twenty-Fifth'!B90="", "",'Twenty-Fifth'!B90)</f>
        <v>Psychologist</v>
      </c>
      <c r="C6087" s="66" t="str">
        <f>IF('Twenty-Fifth'!C90="", "",'Twenty-Fifth'!C90)</f>
        <v>Carer</v>
      </c>
      <c r="D6087" s="66" t="str">
        <f>IF('Twenty-Fifth'!D90="", "",'Twenty-Fifth'!D90)</f>
        <v>Returning</v>
      </c>
      <c r="E6087" s="66" t="str">
        <f>IF('Twenty-Fifth'!E90="", "",'Twenty-Fifth'!E90)</f>
        <v>Female</v>
      </c>
      <c r="F6087" s="66" t="str">
        <f>IF('Twenty-Fifth'!F90="", "",'Twenty-Fifth'!F90)</f>
        <v>Haemat</v>
      </c>
      <c r="G6087" s="66" t="str">
        <f>IF('Twenty-Fifth'!G90="", "",'Twenty-Fifth'!G90)</f>
        <v>Non-Curative Intent</v>
      </c>
      <c r="H6087" s="66" t="str">
        <f>IF('Twenty-Fifth'!H90="", "",'Twenty-Fifth'!H90)</f>
        <v>Programme</v>
      </c>
      <c r="I6087" s="66" t="str">
        <f>IF('Twenty-Fifth'!I90="", "",'Twenty-Fifth'!I90)</f>
        <v>FSG Family and Friends</v>
      </c>
      <c r="J6087" s="66" t="str">
        <f>IF('Twenty-Fifth'!J90="", "",'Twenty-Fifth'!J90)</f>
        <v/>
      </c>
      <c r="K6087" s="86" t="str">
        <f>IF('Twenty-Fifth'!K90="", "",'Twenty-Fifth'!K90)</f>
        <v/>
      </c>
      <c r="M6087" s="67" t="str">
        <f t="shared" si="290"/>
        <v/>
      </c>
      <c r="N6087" s="76">
        <f t="shared" si="291"/>
        <v>7</v>
      </c>
      <c r="O6087" s="33">
        <f t="shared" si="289"/>
        <v>7</v>
      </c>
    </row>
    <row r="6088" spans="1:15" x14ac:dyDescent="0.25">
      <c r="A6088" s="64" t="s">
        <v>194</v>
      </c>
      <c r="B6088" s="79" t="str">
        <f>IF('Twenty-Fifth'!B91="", "",'Twenty-Fifth'!B91)</f>
        <v>Sessional Staff</v>
      </c>
      <c r="C6088" s="66" t="str">
        <f>IF('Twenty-Fifth'!C91="", "",'Twenty-Fifth'!C91)</f>
        <v>PwC</v>
      </c>
      <c r="D6088" s="66" t="str">
        <f>IF('Twenty-Fifth'!D91="", "",'Twenty-Fifth'!D91)</f>
        <v>Returning</v>
      </c>
      <c r="E6088" s="66" t="str">
        <f>IF('Twenty-Fifth'!E91="", "",'Twenty-Fifth'!E91)</f>
        <v>Male</v>
      </c>
      <c r="F6088" s="66" t="str">
        <f>IF('Twenty-Fifth'!F91="", "",'Twenty-Fifth'!F91)</f>
        <v>Not Stated</v>
      </c>
      <c r="G6088" s="66" t="str">
        <f>IF('Twenty-Fifth'!G91="", "",'Twenty-Fifth'!G91)</f>
        <v>Not Stated</v>
      </c>
      <c r="H6088" s="66" t="str">
        <f>IF('Twenty-Fifth'!H91="", "",'Twenty-Fifth'!H91)</f>
        <v>Programme</v>
      </c>
      <c r="I6088" s="66" t="str">
        <f>IF('Twenty-Fifth'!I91="", "",'Twenty-Fifth'!I91)</f>
        <v>Tai Chi/Qi Gong</v>
      </c>
      <c r="J6088" s="66" t="str">
        <f>IF('Twenty-Fifth'!J91="", "",'Twenty-Fifth'!J91)</f>
        <v>NG Lymphoedema</v>
      </c>
      <c r="K6088" s="86" t="str">
        <f>IF('Twenty-Fifth'!K91="", "",'Twenty-Fifth'!K91)</f>
        <v/>
      </c>
      <c r="M6088" s="67">
        <f t="shared" si="290"/>
        <v>7</v>
      </c>
      <c r="N6088" s="76" t="str">
        <f t="shared" si="291"/>
        <v/>
      </c>
      <c r="O6088" s="33">
        <f t="shared" si="289"/>
        <v>7</v>
      </c>
    </row>
    <row r="6089" spans="1:15" x14ac:dyDescent="0.25">
      <c r="A6089" s="64" t="s">
        <v>194</v>
      </c>
      <c r="B6089" s="79" t="str">
        <f>IF('Twenty-Fifth'!B92="", "",'Twenty-Fifth'!B92)</f>
        <v>Sessional Staff</v>
      </c>
      <c r="C6089" s="66" t="str">
        <f>IF('Twenty-Fifth'!C92="", "",'Twenty-Fifth'!C92)</f>
        <v>PwC</v>
      </c>
      <c r="D6089" s="66" t="str">
        <f>IF('Twenty-Fifth'!D92="", "",'Twenty-Fifth'!D92)</f>
        <v>Returning</v>
      </c>
      <c r="E6089" s="66" t="str">
        <f>IF('Twenty-Fifth'!E92="", "",'Twenty-Fifth'!E92)</f>
        <v>Male</v>
      </c>
      <c r="F6089" s="66" t="str">
        <f>IF('Twenty-Fifth'!F92="", "",'Twenty-Fifth'!F92)</f>
        <v>Not Stated</v>
      </c>
      <c r="G6089" s="66" t="str">
        <f>IF('Twenty-Fifth'!G92="", "",'Twenty-Fifth'!G92)</f>
        <v>Not Stated</v>
      </c>
      <c r="H6089" s="66" t="str">
        <f>IF('Twenty-Fifth'!H92="", "",'Twenty-Fifth'!H92)</f>
        <v>Programme</v>
      </c>
      <c r="I6089" s="66" t="str">
        <f>IF('Twenty-Fifth'!I92="", "",'Twenty-Fifth'!I92)</f>
        <v>Tai Chi/Qi Gong</v>
      </c>
      <c r="J6089" s="66" t="str">
        <f>IF('Twenty-Fifth'!J92="", "",'Twenty-Fifth'!J92)</f>
        <v>NG Lymphoedema</v>
      </c>
      <c r="K6089" s="86" t="str">
        <f>IF('Twenty-Fifth'!K92="", "",'Twenty-Fifth'!K92)</f>
        <v/>
      </c>
      <c r="M6089" s="67">
        <f t="shared" si="290"/>
        <v>7</v>
      </c>
      <c r="N6089" s="76" t="str">
        <f t="shared" si="291"/>
        <v/>
      </c>
      <c r="O6089" s="33">
        <f t="shared" si="289"/>
        <v>7</v>
      </c>
    </row>
    <row r="6090" spans="1:15" x14ac:dyDescent="0.25">
      <c r="A6090" s="64" t="s">
        <v>194</v>
      </c>
      <c r="B6090" s="79" t="str">
        <f>IF('Twenty-Fifth'!B93="", "",'Twenty-Fifth'!B93)</f>
        <v>Sessional Staff</v>
      </c>
      <c r="C6090" s="66" t="str">
        <f>IF('Twenty-Fifth'!C93="", "",'Twenty-Fifth'!C93)</f>
        <v>PwC</v>
      </c>
      <c r="D6090" s="66" t="str">
        <f>IF('Twenty-Fifth'!D93="", "",'Twenty-Fifth'!D93)</f>
        <v>Returning</v>
      </c>
      <c r="E6090" s="66" t="str">
        <f>IF('Twenty-Fifth'!E93="", "",'Twenty-Fifth'!E93)</f>
        <v>Male</v>
      </c>
      <c r="F6090" s="66" t="str">
        <f>IF('Twenty-Fifth'!F93="", "",'Twenty-Fifth'!F93)</f>
        <v>Not Stated</v>
      </c>
      <c r="G6090" s="66" t="str">
        <f>IF('Twenty-Fifth'!G93="", "",'Twenty-Fifth'!G93)</f>
        <v>Not Stated</v>
      </c>
      <c r="H6090" s="66" t="str">
        <f>IF('Twenty-Fifth'!H93="", "",'Twenty-Fifth'!H93)</f>
        <v>Programme</v>
      </c>
      <c r="I6090" s="66" t="str">
        <f>IF('Twenty-Fifth'!I93="", "",'Twenty-Fifth'!I93)</f>
        <v>Tai Chi/Qi Gong</v>
      </c>
      <c r="J6090" s="66" t="str">
        <f>IF('Twenty-Fifth'!J93="", "",'Twenty-Fifth'!J93)</f>
        <v>NG Lymphoedema</v>
      </c>
      <c r="K6090" s="86" t="str">
        <f>IF('Twenty-Fifth'!K93="", "",'Twenty-Fifth'!K93)</f>
        <v>NG Haematology</v>
      </c>
      <c r="M6090" s="67">
        <f t="shared" si="290"/>
        <v>7</v>
      </c>
      <c r="N6090" s="76" t="str">
        <f t="shared" si="291"/>
        <v/>
      </c>
      <c r="O6090" s="33">
        <f t="shared" ref="O6090:O6153" si="292">SUM(M6090:N6090)</f>
        <v>7</v>
      </c>
    </row>
    <row r="6091" spans="1:15" x14ac:dyDescent="0.25">
      <c r="A6091" s="64" t="s">
        <v>194</v>
      </c>
      <c r="B6091" s="79" t="str">
        <f>IF('Twenty-Fifth'!B94="", "",'Twenty-Fifth'!B94)</f>
        <v>Sessional Staff</v>
      </c>
      <c r="C6091" s="66" t="str">
        <f>IF('Twenty-Fifth'!C94="", "",'Twenty-Fifth'!C94)</f>
        <v>PwC</v>
      </c>
      <c r="D6091" s="66" t="str">
        <f>IF('Twenty-Fifth'!D94="", "",'Twenty-Fifth'!D94)</f>
        <v>Returning</v>
      </c>
      <c r="E6091" s="66" t="str">
        <f>IF('Twenty-Fifth'!E94="", "",'Twenty-Fifth'!E94)</f>
        <v>Male</v>
      </c>
      <c r="F6091" s="66" t="str">
        <f>IF('Twenty-Fifth'!F94="", "",'Twenty-Fifth'!F94)</f>
        <v>Not Stated</v>
      </c>
      <c r="G6091" s="66" t="str">
        <f>IF('Twenty-Fifth'!G94="", "",'Twenty-Fifth'!G94)</f>
        <v>Not Stated</v>
      </c>
      <c r="H6091" s="66" t="str">
        <f>IF('Twenty-Fifth'!H94="", "",'Twenty-Fifth'!H94)</f>
        <v>Programme</v>
      </c>
      <c r="I6091" s="66" t="str">
        <f>IF('Twenty-Fifth'!I94="", "",'Twenty-Fifth'!I94)</f>
        <v>Tai Chi/Qi Gong</v>
      </c>
      <c r="J6091" s="66" t="str">
        <f>IF('Twenty-Fifth'!J94="", "",'Twenty-Fifth'!J94)</f>
        <v>NG Lymphoedema</v>
      </c>
      <c r="K6091" s="86" t="str">
        <f>IF('Twenty-Fifth'!K94="", "",'Twenty-Fifth'!K94)</f>
        <v/>
      </c>
      <c r="M6091" s="67">
        <f t="shared" si="290"/>
        <v>7</v>
      </c>
      <c r="N6091" s="76" t="str">
        <f t="shared" si="291"/>
        <v/>
      </c>
      <c r="O6091" s="33">
        <f t="shared" si="292"/>
        <v>7</v>
      </c>
    </row>
    <row r="6092" spans="1:15" x14ac:dyDescent="0.25">
      <c r="A6092" s="64" t="s">
        <v>194</v>
      </c>
      <c r="B6092" s="79" t="str">
        <f>IF('Twenty-Fifth'!B95="", "",'Twenty-Fifth'!B95)</f>
        <v>Sessional Staff</v>
      </c>
      <c r="C6092" s="66" t="str">
        <f>IF('Twenty-Fifth'!C95="", "",'Twenty-Fifth'!C95)</f>
        <v>PwC</v>
      </c>
      <c r="D6092" s="66" t="str">
        <f>IF('Twenty-Fifth'!D95="", "",'Twenty-Fifth'!D95)</f>
        <v>Returning</v>
      </c>
      <c r="E6092" s="66" t="str">
        <f>IF('Twenty-Fifth'!E95="", "",'Twenty-Fifth'!E95)</f>
        <v>Female</v>
      </c>
      <c r="F6092" s="66" t="str">
        <f>IF('Twenty-Fifth'!F95="", "",'Twenty-Fifth'!F95)</f>
        <v>Not Stated</v>
      </c>
      <c r="G6092" s="66" t="str">
        <f>IF('Twenty-Fifth'!G95="", "",'Twenty-Fifth'!G95)</f>
        <v>Not Stated</v>
      </c>
      <c r="H6092" s="66" t="str">
        <f>IF('Twenty-Fifth'!H95="", "",'Twenty-Fifth'!H95)</f>
        <v>Programme</v>
      </c>
      <c r="I6092" s="66" t="str">
        <f>IF('Twenty-Fifth'!I95="", "",'Twenty-Fifth'!I95)</f>
        <v>Tai Chi/Qi Gong</v>
      </c>
      <c r="J6092" s="66" t="str">
        <f>IF('Twenty-Fifth'!J95="", "",'Twenty-Fifth'!J95)</f>
        <v>NG Lymphoedema</v>
      </c>
      <c r="K6092" s="86" t="str">
        <f>IF('Twenty-Fifth'!K95="", "",'Twenty-Fifth'!K95)</f>
        <v/>
      </c>
      <c r="M6092" s="67">
        <f t="shared" si="290"/>
        <v>7</v>
      </c>
      <c r="N6092" s="76" t="str">
        <f t="shared" si="291"/>
        <v/>
      </c>
      <c r="O6092" s="33">
        <f t="shared" si="292"/>
        <v>7</v>
      </c>
    </row>
    <row r="6093" spans="1:15" x14ac:dyDescent="0.25">
      <c r="A6093" s="64" t="s">
        <v>194</v>
      </c>
      <c r="B6093" s="79" t="str">
        <f>IF('Twenty-Fifth'!B96="", "",'Twenty-Fifth'!B96)</f>
        <v>Sessional Staff</v>
      </c>
      <c r="C6093" s="66" t="str">
        <f>IF('Twenty-Fifth'!C96="", "",'Twenty-Fifth'!C96)</f>
        <v>PwC</v>
      </c>
      <c r="D6093" s="66" t="str">
        <f>IF('Twenty-Fifth'!D96="", "",'Twenty-Fifth'!D96)</f>
        <v>Returning</v>
      </c>
      <c r="E6093" s="66" t="str">
        <f>IF('Twenty-Fifth'!E96="", "",'Twenty-Fifth'!E96)</f>
        <v>Female</v>
      </c>
      <c r="F6093" s="66" t="str">
        <f>IF('Twenty-Fifth'!F96="", "",'Twenty-Fifth'!F96)</f>
        <v>Not Stated</v>
      </c>
      <c r="G6093" s="66" t="str">
        <f>IF('Twenty-Fifth'!G96="", "",'Twenty-Fifth'!G96)</f>
        <v>Not Stated</v>
      </c>
      <c r="H6093" s="66" t="str">
        <f>IF('Twenty-Fifth'!H96="", "",'Twenty-Fifth'!H96)</f>
        <v>Programme</v>
      </c>
      <c r="I6093" s="66" t="str">
        <f>IF('Twenty-Fifth'!I96="", "",'Twenty-Fifth'!I96)</f>
        <v>Tai Chi/Qi Gong</v>
      </c>
      <c r="J6093" s="66" t="str">
        <f>IF('Twenty-Fifth'!J96="", "",'Twenty-Fifth'!J96)</f>
        <v>NG Lymphoedema</v>
      </c>
      <c r="K6093" s="86" t="str">
        <f>IF('Twenty-Fifth'!K96="", "",'Twenty-Fifth'!K96)</f>
        <v/>
      </c>
      <c r="M6093" s="67">
        <f t="shared" si="290"/>
        <v>7</v>
      </c>
      <c r="N6093" s="76" t="str">
        <f t="shared" si="291"/>
        <v/>
      </c>
      <c r="O6093" s="33">
        <f t="shared" si="292"/>
        <v>7</v>
      </c>
    </row>
    <row r="6094" spans="1:15" x14ac:dyDescent="0.25">
      <c r="A6094" s="64" t="s">
        <v>194</v>
      </c>
      <c r="B6094" s="79" t="str">
        <f>IF('Twenty-Fifth'!B97="", "",'Twenty-Fifth'!B97)</f>
        <v>Sessional Staff</v>
      </c>
      <c r="C6094" s="66" t="str">
        <f>IF('Twenty-Fifth'!C97="", "",'Twenty-Fifth'!C97)</f>
        <v>PwC</v>
      </c>
      <c r="D6094" s="66" t="str">
        <f>IF('Twenty-Fifth'!D97="", "",'Twenty-Fifth'!D97)</f>
        <v>Returning</v>
      </c>
      <c r="E6094" s="66" t="str">
        <f>IF('Twenty-Fifth'!E97="", "",'Twenty-Fifth'!E97)</f>
        <v>Female</v>
      </c>
      <c r="F6094" s="66" t="str">
        <f>IF('Twenty-Fifth'!F97="", "",'Twenty-Fifth'!F97)</f>
        <v>Not Stated</v>
      </c>
      <c r="G6094" s="66" t="str">
        <f>IF('Twenty-Fifth'!G97="", "",'Twenty-Fifth'!G97)</f>
        <v>Not Stated</v>
      </c>
      <c r="H6094" s="66" t="str">
        <f>IF('Twenty-Fifth'!H97="", "",'Twenty-Fifth'!H97)</f>
        <v>Programme</v>
      </c>
      <c r="I6094" s="66" t="str">
        <f>IF('Twenty-Fifth'!I97="", "",'Twenty-Fifth'!I97)</f>
        <v>Tai Chi/Qi Gong</v>
      </c>
      <c r="J6094" s="66" t="str">
        <f>IF('Twenty-Fifth'!J97="", "",'Twenty-Fifth'!J97)</f>
        <v>NG Lymphoedema</v>
      </c>
      <c r="K6094" s="86" t="str">
        <f>IF('Twenty-Fifth'!K97="", "",'Twenty-Fifth'!K97)</f>
        <v>NG Haematology</v>
      </c>
      <c r="M6094" s="67">
        <f t="shared" si="290"/>
        <v>7</v>
      </c>
      <c r="N6094" s="76" t="str">
        <f t="shared" si="291"/>
        <v/>
      </c>
      <c r="O6094" s="33">
        <f t="shared" si="292"/>
        <v>7</v>
      </c>
    </row>
    <row r="6095" spans="1:15" x14ac:dyDescent="0.25">
      <c r="A6095" s="64" t="s">
        <v>194</v>
      </c>
      <c r="B6095" s="79" t="str">
        <f>IF('Twenty-Fifth'!B98="", "",'Twenty-Fifth'!B98)</f>
        <v>Sessional Staff</v>
      </c>
      <c r="C6095" s="66" t="str">
        <f>IF('Twenty-Fifth'!C98="", "",'Twenty-Fifth'!C98)</f>
        <v>PwC</v>
      </c>
      <c r="D6095" s="66" t="str">
        <f>IF('Twenty-Fifth'!D98="", "",'Twenty-Fifth'!D98)</f>
        <v>Returning</v>
      </c>
      <c r="E6095" s="66" t="str">
        <f>IF('Twenty-Fifth'!E98="", "",'Twenty-Fifth'!E98)</f>
        <v>Female</v>
      </c>
      <c r="F6095" s="66" t="str">
        <f>IF('Twenty-Fifth'!F98="", "",'Twenty-Fifth'!F98)</f>
        <v>Not Stated</v>
      </c>
      <c r="G6095" s="66" t="str">
        <f>IF('Twenty-Fifth'!G98="", "",'Twenty-Fifth'!G98)</f>
        <v>Not Stated</v>
      </c>
      <c r="H6095" s="66" t="str">
        <f>IF('Twenty-Fifth'!H98="", "",'Twenty-Fifth'!H98)</f>
        <v>Programme</v>
      </c>
      <c r="I6095" s="66" t="str">
        <f>IF('Twenty-Fifth'!I98="", "",'Twenty-Fifth'!I98)</f>
        <v>Tai Chi/Qi Gong</v>
      </c>
      <c r="J6095" s="66" t="str">
        <f>IF('Twenty-Fifth'!J98="", "",'Twenty-Fifth'!J98)</f>
        <v>NG Lymphoedema</v>
      </c>
      <c r="K6095" s="86" t="str">
        <f>IF('Twenty-Fifth'!K98="", "",'Twenty-Fifth'!K98)</f>
        <v/>
      </c>
      <c r="M6095" s="67">
        <f t="shared" si="290"/>
        <v>7</v>
      </c>
      <c r="N6095" s="76" t="str">
        <f t="shared" si="291"/>
        <v/>
      </c>
      <c r="O6095" s="33">
        <f t="shared" si="292"/>
        <v>7</v>
      </c>
    </row>
    <row r="6096" spans="1:15" x14ac:dyDescent="0.25">
      <c r="A6096" s="64" t="s">
        <v>194</v>
      </c>
      <c r="B6096" s="79" t="str">
        <f>IF('Twenty-Fifth'!B99="", "",'Twenty-Fifth'!B99)</f>
        <v>Sessional Staff</v>
      </c>
      <c r="C6096" s="66" t="str">
        <f>IF('Twenty-Fifth'!C99="", "",'Twenty-Fifth'!C99)</f>
        <v>PwC</v>
      </c>
      <c r="D6096" s="66" t="str">
        <f>IF('Twenty-Fifth'!D99="", "",'Twenty-Fifth'!D99)</f>
        <v>Returning</v>
      </c>
      <c r="E6096" s="66" t="str">
        <f>IF('Twenty-Fifth'!E99="", "",'Twenty-Fifth'!E99)</f>
        <v>Female</v>
      </c>
      <c r="F6096" s="66" t="str">
        <f>IF('Twenty-Fifth'!F99="", "",'Twenty-Fifth'!F99)</f>
        <v>Not Stated</v>
      </c>
      <c r="G6096" s="66" t="str">
        <f>IF('Twenty-Fifth'!G99="", "",'Twenty-Fifth'!G99)</f>
        <v>Not Stated</v>
      </c>
      <c r="H6096" s="66" t="str">
        <f>IF('Twenty-Fifth'!H99="", "",'Twenty-Fifth'!H99)</f>
        <v>Programme</v>
      </c>
      <c r="I6096" s="66" t="str">
        <f>IF('Twenty-Fifth'!I99="", "",'Twenty-Fifth'!I99)</f>
        <v>Tai Chi/Qi Gong</v>
      </c>
      <c r="J6096" s="66" t="str">
        <f>IF('Twenty-Fifth'!J99="", "",'Twenty-Fifth'!J99)</f>
        <v>NG Lymphoedema</v>
      </c>
      <c r="K6096" s="86" t="str">
        <f>IF('Twenty-Fifth'!K99="", "",'Twenty-Fifth'!K99)</f>
        <v/>
      </c>
      <c r="M6096" s="67">
        <f t="shared" si="290"/>
        <v>7</v>
      </c>
      <c r="N6096" s="76" t="str">
        <f t="shared" si="291"/>
        <v/>
      </c>
      <c r="O6096" s="33">
        <f t="shared" si="292"/>
        <v>7</v>
      </c>
    </row>
    <row r="6097" spans="1:15" x14ac:dyDescent="0.25">
      <c r="A6097" s="64" t="s">
        <v>194</v>
      </c>
      <c r="B6097" s="79" t="str">
        <f>IF('Twenty-Fifth'!B100="", "",'Twenty-Fifth'!B100)</f>
        <v>Sessional Staff</v>
      </c>
      <c r="C6097" s="66" t="str">
        <f>IF('Twenty-Fifth'!C100="", "",'Twenty-Fifth'!C100)</f>
        <v>PwC</v>
      </c>
      <c r="D6097" s="66" t="str">
        <f>IF('Twenty-Fifth'!D100="", "",'Twenty-Fifth'!D100)</f>
        <v>Returning</v>
      </c>
      <c r="E6097" s="66" t="str">
        <f>IF('Twenty-Fifth'!E100="", "",'Twenty-Fifth'!E100)</f>
        <v>Female</v>
      </c>
      <c r="F6097" s="66" t="str">
        <f>IF('Twenty-Fifth'!F100="", "",'Twenty-Fifth'!F100)</f>
        <v>Not Stated</v>
      </c>
      <c r="G6097" s="66" t="str">
        <f>IF('Twenty-Fifth'!G100="", "",'Twenty-Fifth'!G100)</f>
        <v>Not Stated</v>
      </c>
      <c r="H6097" s="66" t="str">
        <f>IF('Twenty-Fifth'!H100="", "",'Twenty-Fifth'!H100)</f>
        <v>Programme</v>
      </c>
      <c r="I6097" s="66" t="str">
        <f>IF('Twenty-Fifth'!I100="", "",'Twenty-Fifth'!I100)</f>
        <v>Tai Chi/Qi Gong</v>
      </c>
      <c r="J6097" s="66" t="str">
        <f>IF('Twenty-Fifth'!J100="", "",'Twenty-Fifth'!J100)</f>
        <v>NG Lymphoedema</v>
      </c>
      <c r="K6097" s="86" t="str">
        <f>IF('Twenty-Fifth'!K100="", "",'Twenty-Fifth'!K100)</f>
        <v>NG Haematology</v>
      </c>
      <c r="M6097" s="67">
        <f t="shared" si="290"/>
        <v>7</v>
      </c>
      <c r="N6097" s="76" t="str">
        <f t="shared" si="291"/>
        <v/>
      </c>
      <c r="O6097" s="33">
        <f t="shared" si="292"/>
        <v>7</v>
      </c>
    </row>
    <row r="6098" spans="1:15" x14ac:dyDescent="0.25">
      <c r="A6098" s="64" t="s">
        <v>194</v>
      </c>
      <c r="B6098" s="79" t="str">
        <f>IF('Twenty-Fifth'!B101="", "",'Twenty-Fifth'!B101)</f>
        <v>Sessional Staff</v>
      </c>
      <c r="C6098" s="66" t="str">
        <f>IF('Twenty-Fifth'!C101="", "",'Twenty-Fifth'!C101)</f>
        <v>PwC</v>
      </c>
      <c r="D6098" s="66" t="str">
        <f>IF('Twenty-Fifth'!D101="", "",'Twenty-Fifth'!D101)</f>
        <v>Returning</v>
      </c>
      <c r="E6098" s="66" t="str">
        <f>IF('Twenty-Fifth'!E101="", "",'Twenty-Fifth'!E101)</f>
        <v>Female</v>
      </c>
      <c r="F6098" s="66" t="str">
        <f>IF('Twenty-Fifth'!F101="", "",'Twenty-Fifth'!F101)</f>
        <v>Not Stated</v>
      </c>
      <c r="G6098" s="66" t="str">
        <f>IF('Twenty-Fifth'!G101="", "",'Twenty-Fifth'!G101)</f>
        <v>Not Stated</v>
      </c>
      <c r="H6098" s="66" t="str">
        <f>IF('Twenty-Fifth'!H101="", "",'Twenty-Fifth'!H101)</f>
        <v>Programme</v>
      </c>
      <c r="I6098" s="66" t="str">
        <f>IF('Twenty-Fifth'!I101="", "",'Twenty-Fifth'!I101)</f>
        <v>Tai Chi/Qi Gong</v>
      </c>
      <c r="J6098" s="66" t="str">
        <f>IF('Twenty-Fifth'!J101="", "",'Twenty-Fifth'!J101)</f>
        <v>NG Lymphoedema</v>
      </c>
      <c r="K6098" s="86" t="str">
        <f>IF('Twenty-Fifth'!K101="", "",'Twenty-Fifth'!K101)</f>
        <v/>
      </c>
      <c r="M6098" s="67">
        <f t="shared" si="290"/>
        <v>7</v>
      </c>
      <c r="N6098" s="76" t="str">
        <f t="shared" si="291"/>
        <v/>
      </c>
      <c r="O6098" s="33">
        <f t="shared" si="292"/>
        <v>7</v>
      </c>
    </row>
    <row r="6099" spans="1:15" x14ac:dyDescent="0.25">
      <c r="A6099" s="64" t="s">
        <v>194</v>
      </c>
      <c r="B6099" s="79" t="str">
        <f>IF('Twenty-Fifth'!B102="", "",'Twenty-Fifth'!B102)</f>
        <v>Sessional Staff</v>
      </c>
      <c r="C6099" s="66" t="str">
        <f>IF('Twenty-Fifth'!C102="", "",'Twenty-Fifth'!C102)</f>
        <v>PwC</v>
      </c>
      <c r="D6099" s="66" t="str">
        <f>IF('Twenty-Fifth'!D102="", "",'Twenty-Fifth'!D102)</f>
        <v>Returning</v>
      </c>
      <c r="E6099" s="66" t="str">
        <f>IF('Twenty-Fifth'!E102="", "",'Twenty-Fifth'!E102)</f>
        <v>Female</v>
      </c>
      <c r="F6099" s="66" t="str">
        <f>IF('Twenty-Fifth'!F102="", "",'Twenty-Fifth'!F102)</f>
        <v>Not Stated</v>
      </c>
      <c r="G6099" s="66" t="str">
        <f>IF('Twenty-Fifth'!G102="", "",'Twenty-Fifth'!G102)</f>
        <v>Not Stated</v>
      </c>
      <c r="H6099" s="66" t="str">
        <f>IF('Twenty-Fifth'!H102="", "",'Twenty-Fifth'!H102)</f>
        <v>Programme</v>
      </c>
      <c r="I6099" s="66" t="str">
        <f>IF('Twenty-Fifth'!I102="", "",'Twenty-Fifth'!I102)</f>
        <v>Tai Chi/Qi Gong</v>
      </c>
      <c r="J6099" s="66" t="str">
        <f>IF('Twenty-Fifth'!J102="", "",'Twenty-Fifth'!J102)</f>
        <v>NG Lymphoedema</v>
      </c>
      <c r="K6099" s="86" t="str">
        <f>IF('Twenty-Fifth'!K102="", "",'Twenty-Fifth'!K102)</f>
        <v/>
      </c>
      <c r="M6099" s="67">
        <f t="shared" si="290"/>
        <v>7</v>
      </c>
      <c r="N6099" s="76" t="str">
        <f t="shared" si="291"/>
        <v/>
      </c>
      <c r="O6099" s="33">
        <f t="shared" si="292"/>
        <v>7</v>
      </c>
    </row>
    <row r="6100" spans="1:15" x14ac:dyDescent="0.25">
      <c r="A6100" s="64" t="s">
        <v>194</v>
      </c>
      <c r="B6100" s="79" t="str">
        <f>IF('Twenty-Fifth'!B103="", "",'Twenty-Fifth'!B103)</f>
        <v/>
      </c>
      <c r="C6100" s="66" t="str">
        <f>IF('Twenty-Fifth'!C103="", "",'Twenty-Fifth'!C103)</f>
        <v/>
      </c>
      <c r="D6100" s="66" t="str">
        <f>IF('Twenty-Fifth'!D103="", "",'Twenty-Fifth'!D103)</f>
        <v/>
      </c>
      <c r="E6100" s="66" t="str">
        <f>IF('Twenty-Fifth'!E103="", "",'Twenty-Fifth'!E103)</f>
        <v/>
      </c>
      <c r="F6100" s="66" t="str">
        <f>IF('Twenty-Fifth'!F103="", "",'Twenty-Fifth'!F103)</f>
        <v/>
      </c>
      <c r="G6100" s="66" t="str">
        <f>IF('Twenty-Fifth'!G103="", "",'Twenty-Fifth'!G103)</f>
        <v/>
      </c>
      <c r="H6100" s="66" t="str">
        <f>IF('Twenty-Fifth'!H103="", "",'Twenty-Fifth'!H103)</f>
        <v/>
      </c>
      <c r="I6100" s="66" t="str">
        <f>IF('Twenty-Fifth'!I103="", "",'Twenty-Fifth'!I103)</f>
        <v/>
      </c>
      <c r="J6100" s="66" t="str">
        <f>IF('Twenty-Fifth'!J103="", "",'Twenty-Fifth'!J103)</f>
        <v/>
      </c>
      <c r="K6100" s="86" t="str">
        <f>IF('Twenty-Fifth'!K103="", "",'Twenty-Fifth'!K103)</f>
        <v/>
      </c>
      <c r="M6100" s="67" t="str">
        <f t="shared" si="290"/>
        <v/>
      </c>
      <c r="N6100" s="76" t="str">
        <f t="shared" si="291"/>
        <v/>
      </c>
      <c r="O6100" s="33">
        <f t="shared" si="292"/>
        <v>0</v>
      </c>
    </row>
    <row r="6101" spans="1:15" x14ac:dyDescent="0.25">
      <c r="A6101" s="64" t="s">
        <v>194</v>
      </c>
      <c r="B6101" s="79" t="str">
        <f>IF('Twenty-Fifth'!B104="", "",'Twenty-Fifth'!B104)</f>
        <v/>
      </c>
      <c r="C6101" s="66" t="str">
        <f>IF('Twenty-Fifth'!C104="", "",'Twenty-Fifth'!C104)</f>
        <v/>
      </c>
      <c r="D6101" s="66" t="str">
        <f>IF('Twenty-Fifth'!D104="", "",'Twenty-Fifth'!D104)</f>
        <v/>
      </c>
      <c r="E6101" s="66" t="str">
        <f>IF('Twenty-Fifth'!E104="", "",'Twenty-Fifth'!E104)</f>
        <v/>
      </c>
      <c r="F6101" s="66" t="str">
        <f>IF('Twenty-Fifth'!F104="", "",'Twenty-Fifth'!F104)</f>
        <v/>
      </c>
      <c r="G6101" s="66" t="str">
        <f>IF('Twenty-Fifth'!G104="", "",'Twenty-Fifth'!G104)</f>
        <v/>
      </c>
      <c r="H6101" s="66" t="str">
        <f>IF('Twenty-Fifth'!H104="", "",'Twenty-Fifth'!H104)</f>
        <v/>
      </c>
      <c r="I6101" s="66" t="str">
        <f>IF('Twenty-Fifth'!I104="", "",'Twenty-Fifth'!I104)</f>
        <v/>
      </c>
      <c r="J6101" s="66" t="str">
        <f>IF('Twenty-Fifth'!J104="", "",'Twenty-Fifth'!J104)</f>
        <v/>
      </c>
      <c r="K6101" s="86" t="str">
        <f>IF('Twenty-Fifth'!K104="", "",'Twenty-Fifth'!K104)</f>
        <v/>
      </c>
      <c r="M6101" s="67" t="str">
        <f t="shared" si="290"/>
        <v/>
      </c>
      <c r="N6101" s="76" t="str">
        <f t="shared" si="291"/>
        <v/>
      </c>
      <c r="O6101" s="33">
        <f t="shared" si="292"/>
        <v>0</v>
      </c>
    </row>
    <row r="6102" spans="1:15" x14ac:dyDescent="0.25">
      <c r="A6102" s="64" t="s">
        <v>194</v>
      </c>
      <c r="B6102" s="79" t="str">
        <f>IF('Twenty-Fifth'!B105="", "",'Twenty-Fifth'!B105)</f>
        <v/>
      </c>
      <c r="C6102" s="66" t="str">
        <f>IF('Twenty-Fifth'!C105="", "",'Twenty-Fifth'!C105)</f>
        <v/>
      </c>
      <c r="D6102" s="66" t="str">
        <f>IF('Twenty-Fifth'!D105="", "",'Twenty-Fifth'!D105)</f>
        <v/>
      </c>
      <c r="E6102" s="66" t="str">
        <f>IF('Twenty-Fifth'!E105="", "",'Twenty-Fifth'!E105)</f>
        <v/>
      </c>
      <c r="F6102" s="66" t="str">
        <f>IF('Twenty-Fifth'!F105="", "",'Twenty-Fifth'!F105)</f>
        <v/>
      </c>
      <c r="G6102" s="66" t="str">
        <f>IF('Twenty-Fifth'!G105="", "",'Twenty-Fifth'!G105)</f>
        <v/>
      </c>
      <c r="H6102" s="66" t="str">
        <f>IF('Twenty-Fifth'!H105="", "",'Twenty-Fifth'!H105)</f>
        <v/>
      </c>
      <c r="I6102" s="66" t="str">
        <f>IF('Twenty-Fifth'!I105="", "",'Twenty-Fifth'!I105)</f>
        <v/>
      </c>
      <c r="J6102" s="66" t="str">
        <f>IF('Twenty-Fifth'!J105="", "",'Twenty-Fifth'!J105)</f>
        <v/>
      </c>
      <c r="K6102" s="86" t="str">
        <f>IF('Twenty-Fifth'!K105="", "",'Twenty-Fifth'!K105)</f>
        <v/>
      </c>
      <c r="M6102" s="67" t="str">
        <f t="shared" si="290"/>
        <v/>
      </c>
      <c r="N6102" s="76" t="str">
        <f t="shared" si="291"/>
        <v/>
      </c>
      <c r="O6102" s="33">
        <f t="shared" si="292"/>
        <v>0</v>
      </c>
    </row>
    <row r="6103" spans="1:15" x14ac:dyDescent="0.25">
      <c r="A6103" s="64" t="s">
        <v>194</v>
      </c>
      <c r="B6103" s="79" t="str">
        <f>IF('Twenty-Fifth'!B106="", "",'Twenty-Fifth'!B106)</f>
        <v/>
      </c>
      <c r="C6103" s="66" t="str">
        <f>IF('Twenty-Fifth'!C106="", "",'Twenty-Fifth'!C106)</f>
        <v/>
      </c>
      <c r="D6103" s="66" t="str">
        <f>IF('Twenty-Fifth'!D106="", "",'Twenty-Fifth'!D106)</f>
        <v/>
      </c>
      <c r="E6103" s="66" t="str">
        <f>IF('Twenty-Fifth'!E106="", "",'Twenty-Fifth'!E106)</f>
        <v/>
      </c>
      <c r="F6103" s="66" t="str">
        <f>IF('Twenty-Fifth'!F106="", "",'Twenty-Fifth'!F106)</f>
        <v/>
      </c>
      <c r="G6103" s="66" t="str">
        <f>IF('Twenty-Fifth'!G106="", "",'Twenty-Fifth'!G106)</f>
        <v/>
      </c>
      <c r="H6103" s="66" t="str">
        <f>IF('Twenty-Fifth'!H106="", "",'Twenty-Fifth'!H106)</f>
        <v/>
      </c>
      <c r="I6103" s="66" t="str">
        <f>IF('Twenty-Fifth'!I106="", "",'Twenty-Fifth'!I106)</f>
        <v/>
      </c>
      <c r="J6103" s="66" t="str">
        <f>IF('Twenty-Fifth'!J106="", "",'Twenty-Fifth'!J106)</f>
        <v/>
      </c>
      <c r="K6103" s="86" t="str">
        <f>IF('Twenty-Fifth'!K106="", "",'Twenty-Fifth'!K106)</f>
        <v/>
      </c>
      <c r="M6103" s="67" t="str">
        <f t="shared" si="290"/>
        <v/>
      </c>
      <c r="N6103" s="76" t="str">
        <f t="shared" si="291"/>
        <v/>
      </c>
      <c r="O6103" s="33">
        <f t="shared" si="292"/>
        <v>0</v>
      </c>
    </row>
    <row r="6104" spans="1:15" x14ac:dyDescent="0.25">
      <c r="A6104" s="64" t="s">
        <v>194</v>
      </c>
      <c r="B6104" s="79" t="str">
        <f>IF('Twenty-Fifth'!B107="", "",'Twenty-Fifth'!B107)</f>
        <v/>
      </c>
      <c r="C6104" s="66" t="str">
        <f>IF('Twenty-Fifth'!C107="", "",'Twenty-Fifth'!C107)</f>
        <v/>
      </c>
      <c r="D6104" s="66" t="str">
        <f>IF('Twenty-Fifth'!D107="", "",'Twenty-Fifth'!D107)</f>
        <v/>
      </c>
      <c r="E6104" s="66" t="str">
        <f>IF('Twenty-Fifth'!E107="", "",'Twenty-Fifth'!E107)</f>
        <v/>
      </c>
      <c r="F6104" s="66" t="str">
        <f>IF('Twenty-Fifth'!F107="", "",'Twenty-Fifth'!F107)</f>
        <v/>
      </c>
      <c r="G6104" s="66" t="str">
        <f>IF('Twenty-Fifth'!G107="", "",'Twenty-Fifth'!G107)</f>
        <v/>
      </c>
      <c r="H6104" s="66" t="str">
        <f>IF('Twenty-Fifth'!H107="", "",'Twenty-Fifth'!H107)</f>
        <v/>
      </c>
      <c r="I6104" s="66" t="str">
        <f>IF('Twenty-Fifth'!I107="", "",'Twenty-Fifth'!I107)</f>
        <v/>
      </c>
      <c r="J6104" s="66" t="str">
        <f>IF('Twenty-Fifth'!J107="", "",'Twenty-Fifth'!J107)</f>
        <v/>
      </c>
      <c r="K6104" s="86" t="str">
        <f>IF('Twenty-Fifth'!K107="", "",'Twenty-Fifth'!K107)</f>
        <v/>
      </c>
      <c r="M6104" s="67" t="str">
        <f t="shared" si="290"/>
        <v/>
      </c>
      <c r="N6104" s="76" t="str">
        <f t="shared" si="291"/>
        <v/>
      </c>
      <c r="O6104" s="33">
        <f t="shared" si="292"/>
        <v>0</v>
      </c>
    </row>
    <row r="6105" spans="1:15" x14ac:dyDescent="0.25">
      <c r="A6105" s="64" t="s">
        <v>194</v>
      </c>
      <c r="B6105" s="79" t="str">
        <f>IF('Twenty-Fifth'!B108="", "",'Twenty-Fifth'!B108)</f>
        <v/>
      </c>
      <c r="C6105" s="66" t="str">
        <f>IF('Twenty-Fifth'!C108="", "",'Twenty-Fifth'!C108)</f>
        <v/>
      </c>
      <c r="D6105" s="66" t="str">
        <f>IF('Twenty-Fifth'!D108="", "",'Twenty-Fifth'!D108)</f>
        <v/>
      </c>
      <c r="E6105" s="66" t="str">
        <f>IF('Twenty-Fifth'!E108="", "",'Twenty-Fifth'!E108)</f>
        <v/>
      </c>
      <c r="F6105" s="66" t="str">
        <f>IF('Twenty-Fifth'!F108="", "",'Twenty-Fifth'!F108)</f>
        <v/>
      </c>
      <c r="G6105" s="66" t="str">
        <f>IF('Twenty-Fifth'!G108="", "",'Twenty-Fifth'!G108)</f>
        <v/>
      </c>
      <c r="H6105" s="66" t="str">
        <f>IF('Twenty-Fifth'!H108="", "",'Twenty-Fifth'!H108)</f>
        <v/>
      </c>
      <c r="I6105" s="66" t="str">
        <f>IF('Twenty-Fifth'!I108="", "",'Twenty-Fifth'!I108)</f>
        <v/>
      </c>
      <c r="J6105" s="66" t="str">
        <f>IF('Twenty-Fifth'!J108="", "",'Twenty-Fifth'!J108)</f>
        <v/>
      </c>
      <c r="K6105" s="86" t="str">
        <f>IF('Twenty-Fifth'!K108="", "",'Twenty-Fifth'!K108)</f>
        <v/>
      </c>
      <c r="M6105" s="67" t="str">
        <f t="shared" si="290"/>
        <v/>
      </c>
      <c r="N6105" s="76" t="str">
        <f t="shared" si="291"/>
        <v/>
      </c>
      <c r="O6105" s="33">
        <f t="shared" si="292"/>
        <v>0</v>
      </c>
    </row>
    <row r="6106" spans="1:15" x14ac:dyDescent="0.25">
      <c r="A6106" s="64" t="s">
        <v>194</v>
      </c>
      <c r="B6106" s="79" t="str">
        <f>IF('Twenty-Fifth'!B109="", "",'Twenty-Fifth'!B109)</f>
        <v/>
      </c>
      <c r="C6106" s="66" t="str">
        <f>IF('Twenty-Fifth'!C109="", "",'Twenty-Fifth'!C109)</f>
        <v/>
      </c>
      <c r="D6106" s="66" t="str">
        <f>IF('Twenty-Fifth'!D109="", "",'Twenty-Fifth'!D109)</f>
        <v/>
      </c>
      <c r="E6106" s="66" t="str">
        <f>IF('Twenty-Fifth'!E109="", "",'Twenty-Fifth'!E109)</f>
        <v/>
      </c>
      <c r="F6106" s="66" t="str">
        <f>IF('Twenty-Fifth'!F109="", "",'Twenty-Fifth'!F109)</f>
        <v/>
      </c>
      <c r="G6106" s="66" t="str">
        <f>IF('Twenty-Fifth'!G109="", "",'Twenty-Fifth'!G109)</f>
        <v/>
      </c>
      <c r="H6106" s="66" t="str">
        <f>IF('Twenty-Fifth'!H109="", "",'Twenty-Fifth'!H109)</f>
        <v/>
      </c>
      <c r="I6106" s="66" t="str">
        <f>IF('Twenty-Fifth'!I109="", "",'Twenty-Fifth'!I109)</f>
        <v/>
      </c>
      <c r="J6106" s="66" t="str">
        <f>IF('Twenty-Fifth'!J109="", "",'Twenty-Fifth'!J109)</f>
        <v/>
      </c>
      <c r="K6106" s="86" t="str">
        <f>IF('Twenty-Fifth'!K109="", "",'Twenty-Fifth'!K109)</f>
        <v/>
      </c>
      <c r="M6106" s="67" t="str">
        <f t="shared" si="290"/>
        <v/>
      </c>
      <c r="N6106" s="76" t="str">
        <f t="shared" si="291"/>
        <v/>
      </c>
      <c r="O6106" s="33">
        <f t="shared" si="292"/>
        <v>0</v>
      </c>
    </row>
    <row r="6107" spans="1:15" x14ac:dyDescent="0.25">
      <c r="A6107" s="64" t="s">
        <v>194</v>
      </c>
      <c r="B6107" s="79" t="str">
        <f>IF('Twenty-Fifth'!B110="", "",'Twenty-Fifth'!B110)</f>
        <v/>
      </c>
      <c r="C6107" s="66" t="str">
        <f>IF('Twenty-Fifth'!C110="", "",'Twenty-Fifth'!C110)</f>
        <v/>
      </c>
      <c r="D6107" s="66" t="str">
        <f>IF('Twenty-Fifth'!D110="", "",'Twenty-Fifth'!D110)</f>
        <v/>
      </c>
      <c r="E6107" s="66" t="str">
        <f>IF('Twenty-Fifth'!E110="", "",'Twenty-Fifth'!E110)</f>
        <v/>
      </c>
      <c r="F6107" s="66" t="str">
        <f>IF('Twenty-Fifth'!F110="", "",'Twenty-Fifth'!F110)</f>
        <v/>
      </c>
      <c r="G6107" s="66" t="str">
        <f>IF('Twenty-Fifth'!G110="", "",'Twenty-Fifth'!G110)</f>
        <v/>
      </c>
      <c r="H6107" s="66" t="str">
        <f>IF('Twenty-Fifth'!H110="", "",'Twenty-Fifth'!H110)</f>
        <v/>
      </c>
      <c r="I6107" s="66" t="str">
        <f>IF('Twenty-Fifth'!I110="", "",'Twenty-Fifth'!I110)</f>
        <v/>
      </c>
      <c r="J6107" s="66" t="str">
        <f>IF('Twenty-Fifth'!J110="", "",'Twenty-Fifth'!J110)</f>
        <v/>
      </c>
      <c r="K6107" s="86" t="str">
        <f>IF('Twenty-Fifth'!K110="", "",'Twenty-Fifth'!K110)</f>
        <v/>
      </c>
      <c r="M6107" s="67" t="str">
        <f t="shared" si="290"/>
        <v/>
      </c>
      <c r="N6107" s="76" t="str">
        <f t="shared" si="291"/>
        <v/>
      </c>
      <c r="O6107" s="33">
        <f t="shared" si="292"/>
        <v>0</v>
      </c>
    </row>
    <row r="6108" spans="1:15" x14ac:dyDescent="0.25">
      <c r="A6108" s="64" t="s">
        <v>194</v>
      </c>
      <c r="B6108" s="79" t="str">
        <f>IF('Twenty-Fifth'!B111="", "",'Twenty-Fifth'!B111)</f>
        <v/>
      </c>
      <c r="C6108" s="66" t="str">
        <f>IF('Twenty-Fifth'!C111="", "",'Twenty-Fifth'!C111)</f>
        <v/>
      </c>
      <c r="D6108" s="66" t="str">
        <f>IF('Twenty-Fifth'!D111="", "",'Twenty-Fifth'!D111)</f>
        <v/>
      </c>
      <c r="E6108" s="66" t="str">
        <f>IF('Twenty-Fifth'!E111="", "",'Twenty-Fifth'!E111)</f>
        <v/>
      </c>
      <c r="F6108" s="66" t="str">
        <f>IF('Twenty-Fifth'!F111="", "",'Twenty-Fifth'!F111)</f>
        <v/>
      </c>
      <c r="G6108" s="66" t="str">
        <f>IF('Twenty-Fifth'!G111="", "",'Twenty-Fifth'!G111)</f>
        <v/>
      </c>
      <c r="H6108" s="66" t="str">
        <f>IF('Twenty-Fifth'!H111="", "",'Twenty-Fifth'!H111)</f>
        <v/>
      </c>
      <c r="I6108" s="66" t="str">
        <f>IF('Twenty-Fifth'!I111="", "",'Twenty-Fifth'!I111)</f>
        <v/>
      </c>
      <c r="J6108" s="66" t="str">
        <f>IF('Twenty-Fifth'!J111="", "",'Twenty-Fifth'!J111)</f>
        <v/>
      </c>
      <c r="K6108" s="86" t="str">
        <f>IF('Twenty-Fifth'!K111="", "",'Twenty-Fifth'!K111)</f>
        <v/>
      </c>
      <c r="M6108" s="67" t="str">
        <f t="shared" si="290"/>
        <v/>
      </c>
      <c r="N6108" s="76" t="str">
        <f t="shared" si="291"/>
        <v/>
      </c>
      <c r="O6108" s="33">
        <f t="shared" si="292"/>
        <v>0</v>
      </c>
    </row>
    <row r="6109" spans="1:15" x14ac:dyDescent="0.25">
      <c r="A6109" s="64" t="s">
        <v>194</v>
      </c>
      <c r="B6109" s="79" t="str">
        <f>IF('Twenty-Fifth'!B112="", "",'Twenty-Fifth'!B112)</f>
        <v/>
      </c>
      <c r="C6109" s="66" t="str">
        <f>IF('Twenty-Fifth'!C112="", "",'Twenty-Fifth'!C112)</f>
        <v/>
      </c>
      <c r="D6109" s="66" t="str">
        <f>IF('Twenty-Fifth'!D112="", "",'Twenty-Fifth'!D112)</f>
        <v/>
      </c>
      <c r="E6109" s="66" t="str">
        <f>IF('Twenty-Fifth'!E112="", "",'Twenty-Fifth'!E112)</f>
        <v/>
      </c>
      <c r="F6109" s="66" t="str">
        <f>IF('Twenty-Fifth'!F112="", "",'Twenty-Fifth'!F112)</f>
        <v/>
      </c>
      <c r="G6109" s="66" t="str">
        <f>IF('Twenty-Fifth'!G112="", "",'Twenty-Fifth'!G112)</f>
        <v/>
      </c>
      <c r="H6109" s="66" t="str">
        <f>IF('Twenty-Fifth'!H112="", "",'Twenty-Fifth'!H112)</f>
        <v/>
      </c>
      <c r="I6109" s="66" t="str">
        <f>IF('Twenty-Fifth'!I112="", "",'Twenty-Fifth'!I112)</f>
        <v/>
      </c>
      <c r="J6109" s="66" t="str">
        <f>IF('Twenty-Fifth'!J112="", "",'Twenty-Fifth'!J112)</f>
        <v/>
      </c>
      <c r="K6109" s="86" t="str">
        <f>IF('Twenty-Fifth'!K112="", "",'Twenty-Fifth'!K112)</f>
        <v/>
      </c>
      <c r="M6109" s="67" t="str">
        <f t="shared" si="290"/>
        <v/>
      </c>
      <c r="N6109" s="76" t="str">
        <f t="shared" si="291"/>
        <v/>
      </c>
      <c r="O6109" s="33">
        <f t="shared" si="292"/>
        <v>0</v>
      </c>
    </row>
    <row r="6110" spans="1:15" x14ac:dyDescent="0.25">
      <c r="A6110" s="64" t="s">
        <v>194</v>
      </c>
      <c r="B6110" s="79" t="str">
        <f>IF('Twenty-Fifth'!B113="", "",'Twenty-Fifth'!B113)</f>
        <v/>
      </c>
      <c r="C6110" s="66" t="str">
        <f>IF('Twenty-Fifth'!C113="", "",'Twenty-Fifth'!C113)</f>
        <v/>
      </c>
      <c r="D6110" s="66" t="str">
        <f>IF('Twenty-Fifth'!D113="", "",'Twenty-Fifth'!D113)</f>
        <v/>
      </c>
      <c r="E6110" s="66" t="str">
        <f>IF('Twenty-Fifth'!E113="", "",'Twenty-Fifth'!E113)</f>
        <v/>
      </c>
      <c r="F6110" s="66" t="str">
        <f>IF('Twenty-Fifth'!F113="", "",'Twenty-Fifth'!F113)</f>
        <v/>
      </c>
      <c r="G6110" s="66" t="str">
        <f>IF('Twenty-Fifth'!G113="", "",'Twenty-Fifth'!G113)</f>
        <v/>
      </c>
      <c r="H6110" s="66" t="str">
        <f>IF('Twenty-Fifth'!H113="", "",'Twenty-Fifth'!H113)</f>
        <v/>
      </c>
      <c r="I6110" s="66" t="str">
        <f>IF('Twenty-Fifth'!I113="", "",'Twenty-Fifth'!I113)</f>
        <v/>
      </c>
      <c r="J6110" s="66" t="str">
        <f>IF('Twenty-Fifth'!J113="", "",'Twenty-Fifth'!J113)</f>
        <v/>
      </c>
      <c r="K6110" s="86" t="str">
        <f>IF('Twenty-Fifth'!K113="", "",'Twenty-Fifth'!K113)</f>
        <v/>
      </c>
      <c r="M6110" s="67" t="str">
        <f t="shared" si="290"/>
        <v/>
      </c>
      <c r="N6110" s="76" t="str">
        <f t="shared" si="291"/>
        <v/>
      </c>
      <c r="O6110" s="33">
        <f t="shared" si="292"/>
        <v>0</v>
      </c>
    </row>
    <row r="6111" spans="1:15" x14ac:dyDescent="0.25">
      <c r="A6111" s="64" t="s">
        <v>194</v>
      </c>
      <c r="B6111" s="79" t="str">
        <f>IF('Twenty-Fifth'!B114="", "",'Twenty-Fifth'!B114)</f>
        <v/>
      </c>
      <c r="C6111" s="66" t="str">
        <f>IF('Twenty-Fifth'!C114="", "",'Twenty-Fifth'!C114)</f>
        <v/>
      </c>
      <c r="D6111" s="66" t="str">
        <f>IF('Twenty-Fifth'!D114="", "",'Twenty-Fifth'!D114)</f>
        <v/>
      </c>
      <c r="E6111" s="66" t="str">
        <f>IF('Twenty-Fifth'!E114="", "",'Twenty-Fifth'!E114)</f>
        <v/>
      </c>
      <c r="F6111" s="66" t="str">
        <f>IF('Twenty-Fifth'!F114="", "",'Twenty-Fifth'!F114)</f>
        <v/>
      </c>
      <c r="G6111" s="66" t="str">
        <f>IF('Twenty-Fifth'!G114="", "",'Twenty-Fifth'!G114)</f>
        <v/>
      </c>
      <c r="H6111" s="66" t="str">
        <f>IF('Twenty-Fifth'!H114="", "",'Twenty-Fifth'!H114)</f>
        <v/>
      </c>
      <c r="I6111" s="66" t="str">
        <f>IF('Twenty-Fifth'!I114="", "",'Twenty-Fifth'!I114)</f>
        <v/>
      </c>
      <c r="J6111" s="66" t="str">
        <f>IF('Twenty-Fifth'!J114="", "",'Twenty-Fifth'!J114)</f>
        <v/>
      </c>
      <c r="K6111" s="86" t="str">
        <f>IF('Twenty-Fifth'!K114="", "",'Twenty-Fifth'!K114)</f>
        <v/>
      </c>
      <c r="M6111" s="67" t="str">
        <f t="shared" si="290"/>
        <v/>
      </c>
      <c r="N6111" s="76" t="str">
        <f t="shared" si="291"/>
        <v/>
      </c>
      <c r="O6111" s="33">
        <f t="shared" si="292"/>
        <v>0</v>
      </c>
    </row>
    <row r="6112" spans="1:15" x14ac:dyDescent="0.25">
      <c r="A6112" s="64" t="s">
        <v>194</v>
      </c>
      <c r="B6112" s="79" t="str">
        <f>IF('Twenty-Fifth'!B115="", "",'Twenty-Fifth'!B115)</f>
        <v/>
      </c>
      <c r="C6112" s="66" t="str">
        <f>IF('Twenty-Fifth'!C115="", "",'Twenty-Fifth'!C115)</f>
        <v/>
      </c>
      <c r="D6112" s="66" t="str">
        <f>IF('Twenty-Fifth'!D115="", "",'Twenty-Fifth'!D115)</f>
        <v/>
      </c>
      <c r="E6112" s="66" t="str">
        <f>IF('Twenty-Fifth'!E115="", "",'Twenty-Fifth'!E115)</f>
        <v/>
      </c>
      <c r="F6112" s="66" t="str">
        <f>IF('Twenty-Fifth'!F115="", "",'Twenty-Fifth'!F115)</f>
        <v/>
      </c>
      <c r="G6112" s="66" t="str">
        <f>IF('Twenty-Fifth'!G115="", "",'Twenty-Fifth'!G115)</f>
        <v/>
      </c>
      <c r="H6112" s="66" t="str">
        <f>IF('Twenty-Fifth'!H115="", "",'Twenty-Fifth'!H115)</f>
        <v/>
      </c>
      <c r="I6112" s="66" t="str">
        <f>IF('Twenty-Fifth'!I115="", "",'Twenty-Fifth'!I115)</f>
        <v/>
      </c>
      <c r="J6112" s="66" t="str">
        <f>IF('Twenty-Fifth'!J115="", "",'Twenty-Fifth'!J115)</f>
        <v/>
      </c>
      <c r="K6112" s="86" t="str">
        <f>IF('Twenty-Fifth'!K115="", "",'Twenty-Fifth'!K115)</f>
        <v/>
      </c>
      <c r="M6112" s="67" t="str">
        <f t="shared" si="290"/>
        <v/>
      </c>
      <c r="N6112" s="76" t="str">
        <f t="shared" si="291"/>
        <v/>
      </c>
      <c r="O6112" s="33">
        <f t="shared" si="292"/>
        <v>0</v>
      </c>
    </row>
    <row r="6113" spans="1:15" x14ac:dyDescent="0.25">
      <c r="A6113" s="64" t="s">
        <v>194</v>
      </c>
      <c r="B6113" s="79" t="str">
        <f>IF('Twenty-Fifth'!B116="", "",'Twenty-Fifth'!B116)</f>
        <v/>
      </c>
      <c r="C6113" s="66" t="str">
        <f>IF('Twenty-Fifth'!C116="", "",'Twenty-Fifth'!C116)</f>
        <v/>
      </c>
      <c r="D6113" s="66" t="str">
        <f>IF('Twenty-Fifth'!D116="", "",'Twenty-Fifth'!D116)</f>
        <v/>
      </c>
      <c r="E6113" s="66" t="str">
        <f>IF('Twenty-Fifth'!E116="", "",'Twenty-Fifth'!E116)</f>
        <v/>
      </c>
      <c r="F6113" s="66" t="str">
        <f>IF('Twenty-Fifth'!F116="", "",'Twenty-Fifth'!F116)</f>
        <v/>
      </c>
      <c r="G6113" s="66" t="str">
        <f>IF('Twenty-Fifth'!G116="", "",'Twenty-Fifth'!G116)</f>
        <v/>
      </c>
      <c r="H6113" s="66" t="str">
        <f>IF('Twenty-Fifth'!H116="", "",'Twenty-Fifth'!H116)</f>
        <v/>
      </c>
      <c r="I6113" s="66" t="str">
        <f>IF('Twenty-Fifth'!I116="", "",'Twenty-Fifth'!I116)</f>
        <v/>
      </c>
      <c r="J6113" s="66" t="str">
        <f>IF('Twenty-Fifth'!J116="", "",'Twenty-Fifth'!J116)</f>
        <v/>
      </c>
      <c r="K6113" s="86" t="str">
        <f>IF('Twenty-Fifth'!K116="", "",'Twenty-Fifth'!K116)</f>
        <v/>
      </c>
      <c r="M6113" s="67" t="str">
        <f t="shared" si="290"/>
        <v/>
      </c>
      <c r="N6113" s="76" t="str">
        <f t="shared" si="291"/>
        <v/>
      </c>
      <c r="O6113" s="33">
        <f t="shared" si="292"/>
        <v>0</v>
      </c>
    </row>
    <row r="6114" spans="1:15" x14ac:dyDescent="0.25">
      <c r="A6114" s="64" t="s">
        <v>194</v>
      </c>
      <c r="B6114" s="79" t="str">
        <f>IF('Twenty-Fifth'!B117="", "",'Twenty-Fifth'!B117)</f>
        <v/>
      </c>
      <c r="C6114" s="66" t="str">
        <f>IF('Twenty-Fifth'!C117="", "",'Twenty-Fifth'!C117)</f>
        <v/>
      </c>
      <c r="D6114" s="66" t="str">
        <f>IF('Twenty-Fifth'!D117="", "",'Twenty-Fifth'!D117)</f>
        <v/>
      </c>
      <c r="E6114" s="66" t="str">
        <f>IF('Twenty-Fifth'!E117="", "",'Twenty-Fifth'!E117)</f>
        <v/>
      </c>
      <c r="F6114" s="66" t="str">
        <f>IF('Twenty-Fifth'!F117="", "",'Twenty-Fifth'!F117)</f>
        <v/>
      </c>
      <c r="G6114" s="66" t="str">
        <f>IF('Twenty-Fifth'!G117="", "",'Twenty-Fifth'!G117)</f>
        <v/>
      </c>
      <c r="H6114" s="66" t="str">
        <f>IF('Twenty-Fifth'!H117="", "",'Twenty-Fifth'!H117)</f>
        <v/>
      </c>
      <c r="I6114" s="66" t="str">
        <f>IF('Twenty-Fifth'!I117="", "",'Twenty-Fifth'!I117)</f>
        <v/>
      </c>
      <c r="J6114" s="66" t="str">
        <f>IF('Twenty-Fifth'!J117="", "",'Twenty-Fifth'!J117)</f>
        <v/>
      </c>
      <c r="K6114" s="86" t="str">
        <f>IF('Twenty-Fifth'!K117="", "",'Twenty-Fifth'!K117)</f>
        <v/>
      </c>
      <c r="M6114" s="67" t="str">
        <f t="shared" si="290"/>
        <v/>
      </c>
      <c r="N6114" s="76" t="str">
        <f t="shared" si="291"/>
        <v/>
      </c>
      <c r="O6114" s="33">
        <f t="shared" si="292"/>
        <v>0</v>
      </c>
    </row>
    <row r="6115" spans="1:15" x14ac:dyDescent="0.25">
      <c r="A6115" s="64" t="s">
        <v>194</v>
      </c>
      <c r="B6115" s="79" t="str">
        <f>IF('Twenty-Fifth'!B118="", "",'Twenty-Fifth'!B118)</f>
        <v/>
      </c>
      <c r="C6115" s="66" t="str">
        <f>IF('Twenty-Fifth'!C118="", "",'Twenty-Fifth'!C118)</f>
        <v/>
      </c>
      <c r="D6115" s="66" t="str">
        <f>IF('Twenty-Fifth'!D118="", "",'Twenty-Fifth'!D118)</f>
        <v/>
      </c>
      <c r="E6115" s="66" t="str">
        <f>IF('Twenty-Fifth'!E118="", "",'Twenty-Fifth'!E118)</f>
        <v/>
      </c>
      <c r="F6115" s="66" t="str">
        <f>IF('Twenty-Fifth'!F118="", "",'Twenty-Fifth'!F118)</f>
        <v/>
      </c>
      <c r="G6115" s="66" t="str">
        <f>IF('Twenty-Fifth'!G118="", "",'Twenty-Fifth'!G118)</f>
        <v/>
      </c>
      <c r="H6115" s="66" t="str">
        <f>IF('Twenty-Fifth'!H118="", "",'Twenty-Fifth'!H118)</f>
        <v/>
      </c>
      <c r="I6115" s="66" t="str">
        <f>IF('Twenty-Fifth'!I118="", "",'Twenty-Fifth'!I118)</f>
        <v/>
      </c>
      <c r="J6115" s="66" t="str">
        <f>IF('Twenty-Fifth'!J118="", "",'Twenty-Fifth'!J118)</f>
        <v/>
      </c>
      <c r="K6115" s="86" t="str">
        <f>IF('Twenty-Fifth'!K118="", "",'Twenty-Fifth'!K118)</f>
        <v/>
      </c>
      <c r="M6115" s="67" t="str">
        <f t="shared" si="290"/>
        <v/>
      </c>
      <c r="N6115" s="76" t="str">
        <f t="shared" si="291"/>
        <v/>
      </c>
      <c r="O6115" s="33">
        <f t="shared" si="292"/>
        <v>0</v>
      </c>
    </row>
    <row r="6116" spans="1:15" x14ac:dyDescent="0.25">
      <c r="A6116" s="64" t="s">
        <v>194</v>
      </c>
      <c r="B6116" s="79" t="str">
        <f>IF('Twenty-Fifth'!B119="", "",'Twenty-Fifth'!B119)</f>
        <v/>
      </c>
      <c r="C6116" s="66" t="str">
        <f>IF('Twenty-Fifth'!C119="", "",'Twenty-Fifth'!C119)</f>
        <v/>
      </c>
      <c r="D6116" s="66" t="str">
        <f>IF('Twenty-Fifth'!D119="", "",'Twenty-Fifth'!D119)</f>
        <v/>
      </c>
      <c r="E6116" s="66" t="str">
        <f>IF('Twenty-Fifth'!E119="", "",'Twenty-Fifth'!E119)</f>
        <v/>
      </c>
      <c r="F6116" s="66" t="str">
        <f>IF('Twenty-Fifth'!F119="", "",'Twenty-Fifth'!F119)</f>
        <v/>
      </c>
      <c r="G6116" s="66" t="str">
        <f>IF('Twenty-Fifth'!G119="", "",'Twenty-Fifth'!G119)</f>
        <v/>
      </c>
      <c r="H6116" s="66" t="str">
        <f>IF('Twenty-Fifth'!H119="", "",'Twenty-Fifth'!H119)</f>
        <v/>
      </c>
      <c r="I6116" s="66" t="str">
        <f>IF('Twenty-Fifth'!I119="", "",'Twenty-Fifth'!I119)</f>
        <v/>
      </c>
      <c r="J6116" s="66" t="str">
        <f>IF('Twenty-Fifth'!J119="", "",'Twenty-Fifth'!J119)</f>
        <v/>
      </c>
      <c r="K6116" s="86" t="str">
        <f>IF('Twenty-Fifth'!K119="", "",'Twenty-Fifth'!K119)</f>
        <v/>
      </c>
      <c r="M6116" s="67" t="str">
        <f t="shared" si="290"/>
        <v/>
      </c>
      <c r="N6116" s="76" t="str">
        <f t="shared" si="291"/>
        <v/>
      </c>
      <c r="O6116" s="33">
        <f t="shared" si="292"/>
        <v>0</v>
      </c>
    </row>
    <row r="6117" spans="1:15" x14ac:dyDescent="0.25">
      <c r="A6117" s="64" t="s">
        <v>194</v>
      </c>
      <c r="B6117" s="79" t="str">
        <f>IF('Twenty-Fifth'!B120="", "",'Twenty-Fifth'!B120)</f>
        <v/>
      </c>
      <c r="C6117" s="66" t="str">
        <f>IF('Twenty-Fifth'!C120="", "",'Twenty-Fifth'!C120)</f>
        <v/>
      </c>
      <c r="D6117" s="66" t="str">
        <f>IF('Twenty-Fifth'!D120="", "",'Twenty-Fifth'!D120)</f>
        <v/>
      </c>
      <c r="E6117" s="66" t="str">
        <f>IF('Twenty-Fifth'!E120="", "",'Twenty-Fifth'!E120)</f>
        <v/>
      </c>
      <c r="F6117" s="66" t="str">
        <f>IF('Twenty-Fifth'!F120="", "",'Twenty-Fifth'!F120)</f>
        <v/>
      </c>
      <c r="G6117" s="66" t="str">
        <f>IF('Twenty-Fifth'!G120="", "",'Twenty-Fifth'!G120)</f>
        <v/>
      </c>
      <c r="H6117" s="66" t="str">
        <f>IF('Twenty-Fifth'!H120="", "",'Twenty-Fifth'!H120)</f>
        <v/>
      </c>
      <c r="I6117" s="66" t="str">
        <f>IF('Twenty-Fifth'!I120="", "",'Twenty-Fifth'!I120)</f>
        <v/>
      </c>
      <c r="J6117" s="66" t="str">
        <f>IF('Twenty-Fifth'!J120="", "",'Twenty-Fifth'!J120)</f>
        <v/>
      </c>
      <c r="K6117" s="86" t="str">
        <f>IF('Twenty-Fifth'!K120="", "",'Twenty-Fifth'!K120)</f>
        <v/>
      </c>
      <c r="M6117" s="67" t="str">
        <f t="shared" si="290"/>
        <v/>
      </c>
      <c r="N6117" s="76" t="str">
        <f t="shared" si="291"/>
        <v/>
      </c>
      <c r="O6117" s="33">
        <f t="shared" si="292"/>
        <v>0</v>
      </c>
    </row>
    <row r="6118" spans="1:15" x14ac:dyDescent="0.25">
      <c r="A6118" s="64" t="s">
        <v>194</v>
      </c>
      <c r="B6118" s="79" t="str">
        <f>IF('Twenty-Fifth'!B121="", "",'Twenty-Fifth'!B121)</f>
        <v/>
      </c>
      <c r="C6118" s="66" t="str">
        <f>IF('Twenty-Fifth'!C121="", "",'Twenty-Fifth'!C121)</f>
        <v/>
      </c>
      <c r="D6118" s="66" t="str">
        <f>IF('Twenty-Fifth'!D121="", "",'Twenty-Fifth'!D121)</f>
        <v/>
      </c>
      <c r="E6118" s="66" t="str">
        <f>IF('Twenty-Fifth'!E121="", "",'Twenty-Fifth'!E121)</f>
        <v/>
      </c>
      <c r="F6118" s="66" t="str">
        <f>IF('Twenty-Fifth'!F121="", "",'Twenty-Fifth'!F121)</f>
        <v/>
      </c>
      <c r="G6118" s="66" t="str">
        <f>IF('Twenty-Fifth'!G121="", "",'Twenty-Fifth'!G121)</f>
        <v/>
      </c>
      <c r="H6118" s="66" t="str">
        <f>IF('Twenty-Fifth'!H121="", "",'Twenty-Fifth'!H121)</f>
        <v/>
      </c>
      <c r="I6118" s="66" t="str">
        <f>IF('Twenty-Fifth'!I121="", "",'Twenty-Fifth'!I121)</f>
        <v/>
      </c>
      <c r="J6118" s="66" t="str">
        <f>IF('Twenty-Fifth'!J121="", "",'Twenty-Fifth'!J121)</f>
        <v/>
      </c>
      <c r="K6118" s="86" t="str">
        <f>IF('Twenty-Fifth'!K121="", "",'Twenty-Fifth'!K121)</f>
        <v/>
      </c>
      <c r="M6118" s="67" t="str">
        <f t="shared" si="290"/>
        <v/>
      </c>
      <c r="N6118" s="76" t="str">
        <f t="shared" si="291"/>
        <v/>
      </c>
      <c r="O6118" s="33">
        <f t="shared" si="292"/>
        <v>0</v>
      </c>
    </row>
    <row r="6119" spans="1:15" x14ac:dyDescent="0.25">
      <c r="A6119" s="64" t="s">
        <v>194</v>
      </c>
      <c r="B6119" s="79" t="str">
        <f>IF('Twenty-Fifth'!B122="", "",'Twenty-Fifth'!B122)</f>
        <v/>
      </c>
      <c r="C6119" s="66" t="str">
        <f>IF('Twenty-Fifth'!C122="", "",'Twenty-Fifth'!C122)</f>
        <v/>
      </c>
      <c r="D6119" s="66" t="str">
        <f>IF('Twenty-Fifth'!D122="", "",'Twenty-Fifth'!D122)</f>
        <v/>
      </c>
      <c r="E6119" s="66" t="str">
        <f>IF('Twenty-Fifth'!E122="", "",'Twenty-Fifth'!E122)</f>
        <v/>
      </c>
      <c r="F6119" s="66" t="str">
        <f>IF('Twenty-Fifth'!F122="", "",'Twenty-Fifth'!F122)</f>
        <v/>
      </c>
      <c r="G6119" s="66" t="str">
        <f>IF('Twenty-Fifth'!G122="", "",'Twenty-Fifth'!G122)</f>
        <v/>
      </c>
      <c r="H6119" s="66" t="str">
        <f>IF('Twenty-Fifth'!H122="", "",'Twenty-Fifth'!H122)</f>
        <v/>
      </c>
      <c r="I6119" s="66" t="str">
        <f>IF('Twenty-Fifth'!I122="", "",'Twenty-Fifth'!I122)</f>
        <v/>
      </c>
      <c r="J6119" s="66" t="str">
        <f>IF('Twenty-Fifth'!J122="", "",'Twenty-Fifth'!J122)</f>
        <v/>
      </c>
      <c r="K6119" s="86" t="str">
        <f>IF('Twenty-Fifth'!K122="", "",'Twenty-Fifth'!K122)</f>
        <v/>
      </c>
      <c r="M6119" s="67" t="str">
        <f t="shared" si="290"/>
        <v/>
      </c>
      <c r="N6119" s="76" t="str">
        <f t="shared" si="291"/>
        <v/>
      </c>
      <c r="O6119" s="33">
        <f t="shared" si="292"/>
        <v>0</v>
      </c>
    </row>
    <row r="6120" spans="1:15" x14ac:dyDescent="0.25">
      <c r="A6120" s="64" t="s">
        <v>194</v>
      </c>
      <c r="B6120" s="79" t="str">
        <f>IF('Twenty-Fifth'!B123="", "",'Twenty-Fifth'!B123)</f>
        <v/>
      </c>
      <c r="C6120" s="66" t="str">
        <f>IF('Twenty-Fifth'!C123="", "",'Twenty-Fifth'!C123)</f>
        <v/>
      </c>
      <c r="D6120" s="66" t="str">
        <f>IF('Twenty-Fifth'!D123="", "",'Twenty-Fifth'!D123)</f>
        <v/>
      </c>
      <c r="E6120" s="66" t="str">
        <f>IF('Twenty-Fifth'!E123="", "",'Twenty-Fifth'!E123)</f>
        <v/>
      </c>
      <c r="F6120" s="66" t="str">
        <f>IF('Twenty-Fifth'!F123="", "",'Twenty-Fifth'!F123)</f>
        <v/>
      </c>
      <c r="G6120" s="66" t="str">
        <f>IF('Twenty-Fifth'!G123="", "",'Twenty-Fifth'!G123)</f>
        <v/>
      </c>
      <c r="H6120" s="66" t="str">
        <f>IF('Twenty-Fifth'!H123="", "",'Twenty-Fifth'!H123)</f>
        <v/>
      </c>
      <c r="I6120" s="66" t="str">
        <f>IF('Twenty-Fifth'!I123="", "",'Twenty-Fifth'!I123)</f>
        <v/>
      </c>
      <c r="J6120" s="66" t="str">
        <f>IF('Twenty-Fifth'!J123="", "",'Twenty-Fifth'!J123)</f>
        <v/>
      </c>
      <c r="K6120" s="86" t="str">
        <f>IF('Twenty-Fifth'!K123="", "",'Twenty-Fifth'!K123)</f>
        <v/>
      </c>
      <c r="M6120" s="67" t="str">
        <f t="shared" si="290"/>
        <v/>
      </c>
      <c r="N6120" s="76" t="str">
        <f t="shared" si="291"/>
        <v/>
      </c>
      <c r="O6120" s="33">
        <f t="shared" si="292"/>
        <v>0</v>
      </c>
    </row>
    <row r="6121" spans="1:15" x14ac:dyDescent="0.25">
      <c r="A6121" s="64" t="s">
        <v>194</v>
      </c>
      <c r="B6121" s="79" t="str">
        <f>IF('Twenty-Fifth'!B124="", "",'Twenty-Fifth'!B124)</f>
        <v/>
      </c>
      <c r="C6121" s="66" t="str">
        <f>IF('Twenty-Fifth'!C124="", "",'Twenty-Fifth'!C124)</f>
        <v/>
      </c>
      <c r="D6121" s="66" t="str">
        <f>IF('Twenty-Fifth'!D124="", "",'Twenty-Fifth'!D124)</f>
        <v/>
      </c>
      <c r="E6121" s="66" t="str">
        <f>IF('Twenty-Fifth'!E124="", "",'Twenty-Fifth'!E124)</f>
        <v/>
      </c>
      <c r="F6121" s="66" t="str">
        <f>IF('Twenty-Fifth'!F124="", "",'Twenty-Fifth'!F124)</f>
        <v/>
      </c>
      <c r="G6121" s="66" t="str">
        <f>IF('Twenty-Fifth'!G124="", "",'Twenty-Fifth'!G124)</f>
        <v/>
      </c>
      <c r="H6121" s="66" t="str">
        <f>IF('Twenty-Fifth'!H124="", "",'Twenty-Fifth'!H124)</f>
        <v/>
      </c>
      <c r="I6121" s="66" t="str">
        <f>IF('Twenty-Fifth'!I124="", "",'Twenty-Fifth'!I124)</f>
        <v/>
      </c>
      <c r="J6121" s="66" t="str">
        <f>IF('Twenty-Fifth'!J124="", "",'Twenty-Fifth'!J124)</f>
        <v/>
      </c>
      <c r="K6121" s="86" t="str">
        <f>IF('Twenty-Fifth'!K124="", "",'Twenty-Fifth'!K124)</f>
        <v/>
      </c>
      <c r="M6121" s="67" t="str">
        <f t="shared" si="290"/>
        <v/>
      </c>
      <c r="N6121" s="76" t="str">
        <f t="shared" si="291"/>
        <v/>
      </c>
      <c r="O6121" s="33">
        <f t="shared" si="292"/>
        <v>0</v>
      </c>
    </row>
    <row r="6122" spans="1:15" x14ac:dyDescent="0.25">
      <c r="A6122" s="64" t="s">
        <v>194</v>
      </c>
      <c r="B6122" s="79" t="str">
        <f>IF('Twenty-Fifth'!B125="", "",'Twenty-Fifth'!B125)</f>
        <v/>
      </c>
      <c r="C6122" s="66" t="str">
        <f>IF('Twenty-Fifth'!C125="", "",'Twenty-Fifth'!C125)</f>
        <v/>
      </c>
      <c r="D6122" s="66" t="str">
        <f>IF('Twenty-Fifth'!D125="", "",'Twenty-Fifth'!D125)</f>
        <v/>
      </c>
      <c r="E6122" s="66" t="str">
        <f>IF('Twenty-Fifth'!E125="", "",'Twenty-Fifth'!E125)</f>
        <v/>
      </c>
      <c r="F6122" s="66" t="str">
        <f>IF('Twenty-Fifth'!F125="", "",'Twenty-Fifth'!F125)</f>
        <v/>
      </c>
      <c r="G6122" s="66" t="str">
        <f>IF('Twenty-Fifth'!G125="", "",'Twenty-Fifth'!G125)</f>
        <v/>
      </c>
      <c r="H6122" s="66" t="str">
        <f>IF('Twenty-Fifth'!H125="", "",'Twenty-Fifth'!H125)</f>
        <v/>
      </c>
      <c r="I6122" s="66" t="str">
        <f>IF('Twenty-Fifth'!I125="", "",'Twenty-Fifth'!I125)</f>
        <v/>
      </c>
      <c r="J6122" s="66" t="str">
        <f>IF('Twenty-Fifth'!J125="", "",'Twenty-Fifth'!J125)</f>
        <v/>
      </c>
      <c r="K6122" s="86" t="str">
        <f>IF('Twenty-Fifth'!K125="", "",'Twenty-Fifth'!K125)</f>
        <v/>
      </c>
      <c r="M6122" s="67" t="str">
        <f t="shared" si="290"/>
        <v/>
      </c>
      <c r="N6122" s="76" t="str">
        <f t="shared" si="291"/>
        <v/>
      </c>
      <c r="O6122" s="33">
        <f t="shared" si="292"/>
        <v>0</v>
      </c>
    </row>
    <row r="6123" spans="1:15" x14ac:dyDescent="0.25">
      <c r="A6123" s="64" t="s">
        <v>194</v>
      </c>
      <c r="B6123" s="79" t="str">
        <f>IF('Twenty-Fifth'!B126="", "",'Twenty-Fifth'!B126)</f>
        <v/>
      </c>
      <c r="C6123" s="66" t="str">
        <f>IF('Twenty-Fifth'!C126="", "",'Twenty-Fifth'!C126)</f>
        <v/>
      </c>
      <c r="D6123" s="66" t="str">
        <f>IF('Twenty-Fifth'!D126="", "",'Twenty-Fifth'!D126)</f>
        <v/>
      </c>
      <c r="E6123" s="66" t="str">
        <f>IF('Twenty-Fifth'!E126="", "",'Twenty-Fifth'!E126)</f>
        <v/>
      </c>
      <c r="F6123" s="66" t="str">
        <f>IF('Twenty-Fifth'!F126="", "",'Twenty-Fifth'!F126)</f>
        <v/>
      </c>
      <c r="G6123" s="66" t="str">
        <f>IF('Twenty-Fifth'!G126="", "",'Twenty-Fifth'!G126)</f>
        <v/>
      </c>
      <c r="H6123" s="66" t="str">
        <f>IF('Twenty-Fifth'!H126="", "",'Twenty-Fifth'!H126)</f>
        <v/>
      </c>
      <c r="I6123" s="66" t="str">
        <f>IF('Twenty-Fifth'!I126="", "",'Twenty-Fifth'!I126)</f>
        <v/>
      </c>
      <c r="J6123" s="66" t="str">
        <f>IF('Twenty-Fifth'!J126="", "",'Twenty-Fifth'!J126)</f>
        <v/>
      </c>
      <c r="K6123" s="86" t="str">
        <f>IF('Twenty-Fifth'!K126="", "",'Twenty-Fifth'!K126)</f>
        <v/>
      </c>
      <c r="M6123" s="67" t="str">
        <f t="shared" si="290"/>
        <v/>
      </c>
      <c r="N6123" s="76" t="str">
        <f t="shared" si="291"/>
        <v/>
      </c>
      <c r="O6123" s="33">
        <f t="shared" si="292"/>
        <v>0</v>
      </c>
    </row>
    <row r="6124" spans="1:15" x14ac:dyDescent="0.25">
      <c r="A6124" s="64" t="s">
        <v>194</v>
      </c>
      <c r="B6124" s="79" t="str">
        <f>IF('Twenty-Fifth'!B127="", "",'Twenty-Fifth'!B127)</f>
        <v/>
      </c>
      <c r="C6124" s="66" t="str">
        <f>IF('Twenty-Fifth'!C127="", "",'Twenty-Fifth'!C127)</f>
        <v/>
      </c>
      <c r="D6124" s="66" t="str">
        <f>IF('Twenty-Fifth'!D127="", "",'Twenty-Fifth'!D127)</f>
        <v/>
      </c>
      <c r="E6124" s="66" t="str">
        <f>IF('Twenty-Fifth'!E127="", "",'Twenty-Fifth'!E127)</f>
        <v/>
      </c>
      <c r="F6124" s="66" t="str">
        <f>IF('Twenty-Fifth'!F127="", "",'Twenty-Fifth'!F127)</f>
        <v/>
      </c>
      <c r="G6124" s="66" t="str">
        <f>IF('Twenty-Fifth'!G127="", "",'Twenty-Fifth'!G127)</f>
        <v/>
      </c>
      <c r="H6124" s="66" t="str">
        <f>IF('Twenty-Fifth'!H127="", "",'Twenty-Fifth'!H127)</f>
        <v/>
      </c>
      <c r="I6124" s="66" t="str">
        <f>IF('Twenty-Fifth'!I127="", "",'Twenty-Fifth'!I127)</f>
        <v/>
      </c>
      <c r="J6124" s="66" t="str">
        <f>IF('Twenty-Fifth'!J127="", "",'Twenty-Fifth'!J127)</f>
        <v/>
      </c>
      <c r="K6124" s="86" t="str">
        <f>IF('Twenty-Fifth'!K127="", "",'Twenty-Fifth'!K127)</f>
        <v/>
      </c>
      <c r="M6124" s="67" t="str">
        <f t="shared" si="290"/>
        <v/>
      </c>
      <c r="N6124" s="76" t="str">
        <f t="shared" si="291"/>
        <v/>
      </c>
      <c r="O6124" s="33">
        <f t="shared" si="292"/>
        <v>0</v>
      </c>
    </row>
    <row r="6125" spans="1:15" x14ac:dyDescent="0.25">
      <c r="A6125" s="64" t="s">
        <v>194</v>
      </c>
      <c r="B6125" s="79" t="str">
        <f>IF('Twenty-Fifth'!B128="", "",'Twenty-Fifth'!B128)</f>
        <v/>
      </c>
      <c r="C6125" s="66" t="str">
        <f>IF('Twenty-Fifth'!C128="", "",'Twenty-Fifth'!C128)</f>
        <v/>
      </c>
      <c r="D6125" s="66" t="str">
        <f>IF('Twenty-Fifth'!D128="", "",'Twenty-Fifth'!D128)</f>
        <v/>
      </c>
      <c r="E6125" s="66" t="str">
        <f>IF('Twenty-Fifth'!E128="", "",'Twenty-Fifth'!E128)</f>
        <v/>
      </c>
      <c r="F6125" s="66" t="str">
        <f>IF('Twenty-Fifth'!F128="", "",'Twenty-Fifth'!F128)</f>
        <v/>
      </c>
      <c r="G6125" s="66" t="str">
        <f>IF('Twenty-Fifth'!G128="", "",'Twenty-Fifth'!G128)</f>
        <v/>
      </c>
      <c r="H6125" s="66" t="str">
        <f>IF('Twenty-Fifth'!H128="", "",'Twenty-Fifth'!H128)</f>
        <v/>
      </c>
      <c r="I6125" s="66" t="str">
        <f>IF('Twenty-Fifth'!I128="", "",'Twenty-Fifth'!I128)</f>
        <v/>
      </c>
      <c r="J6125" s="66" t="str">
        <f>IF('Twenty-Fifth'!J128="", "",'Twenty-Fifth'!J128)</f>
        <v/>
      </c>
      <c r="K6125" s="86" t="str">
        <f>IF('Twenty-Fifth'!K128="", "",'Twenty-Fifth'!K128)</f>
        <v/>
      </c>
      <c r="M6125" s="67" t="str">
        <f t="shared" si="290"/>
        <v/>
      </c>
      <c r="N6125" s="76" t="str">
        <f t="shared" si="291"/>
        <v/>
      </c>
      <c r="O6125" s="33">
        <f t="shared" si="292"/>
        <v>0</v>
      </c>
    </row>
    <row r="6126" spans="1:15" x14ac:dyDescent="0.25">
      <c r="A6126" s="64" t="s">
        <v>194</v>
      </c>
      <c r="B6126" s="79" t="str">
        <f>IF('Twenty-Fifth'!B129="", "",'Twenty-Fifth'!B129)</f>
        <v/>
      </c>
      <c r="C6126" s="66" t="str">
        <f>IF('Twenty-Fifth'!C129="", "",'Twenty-Fifth'!C129)</f>
        <v/>
      </c>
      <c r="D6126" s="66" t="str">
        <f>IF('Twenty-Fifth'!D129="", "",'Twenty-Fifth'!D129)</f>
        <v/>
      </c>
      <c r="E6126" s="66" t="str">
        <f>IF('Twenty-Fifth'!E129="", "",'Twenty-Fifth'!E129)</f>
        <v/>
      </c>
      <c r="F6126" s="66" t="str">
        <f>IF('Twenty-Fifth'!F129="", "",'Twenty-Fifth'!F129)</f>
        <v/>
      </c>
      <c r="G6126" s="66" t="str">
        <f>IF('Twenty-Fifth'!G129="", "",'Twenty-Fifth'!G129)</f>
        <v/>
      </c>
      <c r="H6126" s="66" t="str">
        <f>IF('Twenty-Fifth'!H129="", "",'Twenty-Fifth'!H129)</f>
        <v/>
      </c>
      <c r="I6126" s="66" t="str">
        <f>IF('Twenty-Fifth'!I129="", "",'Twenty-Fifth'!I129)</f>
        <v/>
      </c>
      <c r="J6126" s="66" t="str">
        <f>IF('Twenty-Fifth'!J129="", "",'Twenty-Fifth'!J129)</f>
        <v/>
      </c>
      <c r="K6126" s="86" t="str">
        <f>IF('Twenty-Fifth'!K129="", "",'Twenty-Fifth'!K129)</f>
        <v/>
      </c>
      <c r="M6126" s="67" t="str">
        <f t="shared" si="290"/>
        <v/>
      </c>
      <c r="N6126" s="76" t="str">
        <f t="shared" si="291"/>
        <v/>
      </c>
      <c r="O6126" s="33">
        <f t="shared" si="292"/>
        <v>0</v>
      </c>
    </row>
    <row r="6127" spans="1:15" x14ac:dyDescent="0.25">
      <c r="A6127" s="64" t="s">
        <v>194</v>
      </c>
      <c r="B6127" s="79" t="str">
        <f>IF('Twenty-Fifth'!B130="", "",'Twenty-Fifth'!B130)</f>
        <v/>
      </c>
      <c r="C6127" s="66" t="str">
        <f>IF('Twenty-Fifth'!C130="", "",'Twenty-Fifth'!C130)</f>
        <v/>
      </c>
      <c r="D6127" s="66" t="str">
        <f>IF('Twenty-Fifth'!D130="", "",'Twenty-Fifth'!D130)</f>
        <v/>
      </c>
      <c r="E6127" s="66" t="str">
        <f>IF('Twenty-Fifth'!E130="", "",'Twenty-Fifth'!E130)</f>
        <v/>
      </c>
      <c r="F6127" s="66" t="str">
        <f>IF('Twenty-Fifth'!F130="", "",'Twenty-Fifth'!F130)</f>
        <v/>
      </c>
      <c r="G6127" s="66" t="str">
        <f>IF('Twenty-Fifth'!G130="", "",'Twenty-Fifth'!G130)</f>
        <v/>
      </c>
      <c r="H6127" s="66" t="str">
        <f>IF('Twenty-Fifth'!H130="", "",'Twenty-Fifth'!H130)</f>
        <v/>
      </c>
      <c r="I6127" s="66" t="str">
        <f>IF('Twenty-Fifth'!I130="", "",'Twenty-Fifth'!I130)</f>
        <v/>
      </c>
      <c r="J6127" s="66" t="str">
        <f>IF('Twenty-Fifth'!J130="", "",'Twenty-Fifth'!J130)</f>
        <v/>
      </c>
      <c r="K6127" s="86" t="str">
        <f>IF('Twenty-Fifth'!K130="", "",'Twenty-Fifth'!K130)</f>
        <v/>
      </c>
      <c r="M6127" s="67" t="str">
        <f t="shared" si="290"/>
        <v/>
      </c>
      <c r="N6127" s="76" t="str">
        <f t="shared" si="291"/>
        <v/>
      </c>
      <c r="O6127" s="33">
        <f t="shared" si="292"/>
        <v>0</v>
      </c>
    </row>
    <row r="6128" spans="1:15" x14ac:dyDescent="0.25">
      <c r="A6128" s="64" t="s">
        <v>194</v>
      </c>
      <c r="B6128" s="79" t="str">
        <f>IF('Twenty-Fifth'!B131="", "",'Twenty-Fifth'!B131)</f>
        <v/>
      </c>
      <c r="C6128" s="66" t="str">
        <f>IF('Twenty-Fifth'!C131="", "",'Twenty-Fifth'!C131)</f>
        <v/>
      </c>
      <c r="D6128" s="66" t="str">
        <f>IF('Twenty-Fifth'!D131="", "",'Twenty-Fifth'!D131)</f>
        <v/>
      </c>
      <c r="E6128" s="66" t="str">
        <f>IF('Twenty-Fifth'!E131="", "",'Twenty-Fifth'!E131)</f>
        <v/>
      </c>
      <c r="F6128" s="66" t="str">
        <f>IF('Twenty-Fifth'!F131="", "",'Twenty-Fifth'!F131)</f>
        <v/>
      </c>
      <c r="G6128" s="66" t="str">
        <f>IF('Twenty-Fifth'!G131="", "",'Twenty-Fifth'!G131)</f>
        <v/>
      </c>
      <c r="H6128" s="66" t="str">
        <f>IF('Twenty-Fifth'!H131="", "",'Twenty-Fifth'!H131)</f>
        <v/>
      </c>
      <c r="I6128" s="66" t="str">
        <f>IF('Twenty-Fifth'!I131="", "",'Twenty-Fifth'!I131)</f>
        <v/>
      </c>
      <c r="J6128" s="66" t="str">
        <f>IF('Twenty-Fifth'!J131="", "",'Twenty-Fifth'!J131)</f>
        <v/>
      </c>
      <c r="K6128" s="86" t="str">
        <f>IF('Twenty-Fifth'!K131="", "",'Twenty-Fifth'!K131)</f>
        <v/>
      </c>
      <c r="M6128" s="67" t="str">
        <f t="shared" si="290"/>
        <v/>
      </c>
      <c r="N6128" s="76" t="str">
        <f t="shared" si="291"/>
        <v/>
      </c>
      <c r="O6128" s="33">
        <f t="shared" si="292"/>
        <v>0</v>
      </c>
    </row>
    <row r="6129" spans="1:15" x14ac:dyDescent="0.25">
      <c r="A6129" s="64" t="s">
        <v>194</v>
      </c>
      <c r="B6129" s="79" t="str">
        <f>IF('Twenty-Fifth'!B132="", "",'Twenty-Fifth'!B132)</f>
        <v/>
      </c>
      <c r="C6129" s="66" t="str">
        <f>IF('Twenty-Fifth'!C132="", "",'Twenty-Fifth'!C132)</f>
        <v/>
      </c>
      <c r="D6129" s="66" t="str">
        <f>IF('Twenty-Fifth'!D132="", "",'Twenty-Fifth'!D132)</f>
        <v/>
      </c>
      <c r="E6129" s="66" t="str">
        <f>IF('Twenty-Fifth'!E132="", "",'Twenty-Fifth'!E132)</f>
        <v/>
      </c>
      <c r="F6129" s="66" t="str">
        <f>IF('Twenty-Fifth'!F132="", "",'Twenty-Fifth'!F132)</f>
        <v/>
      </c>
      <c r="G6129" s="66" t="str">
        <f>IF('Twenty-Fifth'!G132="", "",'Twenty-Fifth'!G132)</f>
        <v/>
      </c>
      <c r="H6129" s="66" t="str">
        <f>IF('Twenty-Fifth'!H132="", "",'Twenty-Fifth'!H132)</f>
        <v/>
      </c>
      <c r="I6129" s="66" t="str">
        <f>IF('Twenty-Fifth'!I132="", "",'Twenty-Fifth'!I132)</f>
        <v/>
      </c>
      <c r="J6129" s="66" t="str">
        <f>IF('Twenty-Fifth'!J132="", "",'Twenty-Fifth'!J132)</f>
        <v/>
      </c>
      <c r="K6129" s="86" t="str">
        <f>IF('Twenty-Fifth'!K132="", "",'Twenty-Fifth'!K132)</f>
        <v/>
      </c>
      <c r="M6129" s="67" t="str">
        <f t="shared" si="290"/>
        <v/>
      </c>
      <c r="N6129" s="76" t="str">
        <f t="shared" si="291"/>
        <v/>
      </c>
      <c r="O6129" s="33">
        <f t="shared" si="292"/>
        <v>0</v>
      </c>
    </row>
    <row r="6130" spans="1:15" x14ac:dyDescent="0.25">
      <c r="A6130" s="64" t="s">
        <v>194</v>
      </c>
      <c r="B6130" s="79" t="str">
        <f>IF('Twenty-Fifth'!B133="", "",'Twenty-Fifth'!B133)</f>
        <v/>
      </c>
      <c r="C6130" s="66" t="str">
        <f>IF('Twenty-Fifth'!C133="", "",'Twenty-Fifth'!C133)</f>
        <v/>
      </c>
      <c r="D6130" s="66" t="str">
        <f>IF('Twenty-Fifth'!D133="", "",'Twenty-Fifth'!D133)</f>
        <v/>
      </c>
      <c r="E6130" s="66" t="str">
        <f>IF('Twenty-Fifth'!E133="", "",'Twenty-Fifth'!E133)</f>
        <v/>
      </c>
      <c r="F6130" s="66" t="str">
        <f>IF('Twenty-Fifth'!F133="", "",'Twenty-Fifth'!F133)</f>
        <v/>
      </c>
      <c r="G6130" s="66" t="str">
        <f>IF('Twenty-Fifth'!G133="", "",'Twenty-Fifth'!G133)</f>
        <v/>
      </c>
      <c r="H6130" s="66" t="str">
        <f>IF('Twenty-Fifth'!H133="", "",'Twenty-Fifth'!H133)</f>
        <v/>
      </c>
      <c r="I6130" s="66" t="str">
        <f>IF('Twenty-Fifth'!I133="", "",'Twenty-Fifth'!I133)</f>
        <v/>
      </c>
      <c r="J6130" s="66" t="str">
        <f>IF('Twenty-Fifth'!J133="", "",'Twenty-Fifth'!J133)</f>
        <v/>
      </c>
      <c r="K6130" s="86" t="str">
        <f>IF('Twenty-Fifth'!K133="", "",'Twenty-Fifth'!K133)</f>
        <v/>
      </c>
      <c r="M6130" s="67" t="str">
        <f t="shared" si="290"/>
        <v/>
      </c>
      <c r="N6130" s="76" t="str">
        <f t="shared" si="291"/>
        <v/>
      </c>
      <c r="O6130" s="33">
        <f t="shared" si="292"/>
        <v>0</v>
      </c>
    </row>
    <row r="6131" spans="1:15" x14ac:dyDescent="0.25">
      <c r="A6131" s="64" t="s">
        <v>194</v>
      </c>
      <c r="B6131" s="79" t="str">
        <f>IF('Twenty-Fifth'!B134="", "",'Twenty-Fifth'!B134)</f>
        <v/>
      </c>
      <c r="C6131" s="66" t="str">
        <f>IF('Twenty-Fifth'!C134="", "",'Twenty-Fifth'!C134)</f>
        <v/>
      </c>
      <c r="D6131" s="66" t="str">
        <f>IF('Twenty-Fifth'!D134="", "",'Twenty-Fifth'!D134)</f>
        <v/>
      </c>
      <c r="E6131" s="66" t="str">
        <f>IF('Twenty-Fifth'!E134="", "",'Twenty-Fifth'!E134)</f>
        <v/>
      </c>
      <c r="F6131" s="66" t="str">
        <f>IF('Twenty-Fifth'!F134="", "",'Twenty-Fifth'!F134)</f>
        <v/>
      </c>
      <c r="G6131" s="66" t="str">
        <f>IF('Twenty-Fifth'!G134="", "",'Twenty-Fifth'!G134)</f>
        <v/>
      </c>
      <c r="H6131" s="66" t="str">
        <f>IF('Twenty-Fifth'!H134="", "",'Twenty-Fifth'!H134)</f>
        <v/>
      </c>
      <c r="I6131" s="66" t="str">
        <f>IF('Twenty-Fifth'!I134="", "",'Twenty-Fifth'!I134)</f>
        <v/>
      </c>
      <c r="J6131" s="66" t="str">
        <f>IF('Twenty-Fifth'!J134="", "",'Twenty-Fifth'!J134)</f>
        <v/>
      </c>
      <c r="K6131" s="86" t="str">
        <f>IF('Twenty-Fifth'!K134="", "",'Twenty-Fifth'!K134)</f>
        <v/>
      </c>
      <c r="M6131" s="67" t="str">
        <f t="shared" si="290"/>
        <v/>
      </c>
      <c r="N6131" s="76" t="str">
        <f t="shared" si="291"/>
        <v/>
      </c>
      <c r="O6131" s="33">
        <f t="shared" si="292"/>
        <v>0</v>
      </c>
    </row>
    <row r="6132" spans="1:15" x14ac:dyDescent="0.25">
      <c r="A6132" s="64" t="s">
        <v>194</v>
      </c>
      <c r="B6132" s="79" t="str">
        <f>IF('Twenty-Fifth'!B135="", "",'Twenty-Fifth'!B135)</f>
        <v/>
      </c>
      <c r="C6132" s="66" t="str">
        <f>IF('Twenty-Fifth'!C135="", "",'Twenty-Fifth'!C135)</f>
        <v/>
      </c>
      <c r="D6132" s="66" t="str">
        <f>IF('Twenty-Fifth'!D135="", "",'Twenty-Fifth'!D135)</f>
        <v/>
      </c>
      <c r="E6132" s="66" t="str">
        <f>IF('Twenty-Fifth'!E135="", "",'Twenty-Fifth'!E135)</f>
        <v/>
      </c>
      <c r="F6132" s="66" t="str">
        <f>IF('Twenty-Fifth'!F135="", "",'Twenty-Fifth'!F135)</f>
        <v/>
      </c>
      <c r="G6132" s="66" t="str">
        <f>IF('Twenty-Fifth'!G135="", "",'Twenty-Fifth'!G135)</f>
        <v/>
      </c>
      <c r="H6132" s="66" t="str">
        <f>IF('Twenty-Fifth'!H135="", "",'Twenty-Fifth'!H135)</f>
        <v/>
      </c>
      <c r="I6132" s="66" t="str">
        <f>IF('Twenty-Fifth'!I135="", "",'Twenty-Fifth'!I135)</f>
        <v/>
      </c>
      <c r="J6132" s="66" t="str">
        <f>IF('Twenty-Fifth'!J135="", "",'Twenty-Fifth'!J135)</f>
        <v/>
      </c>
      <c r="K6132" s="86" t="str">
        <f>IF('Twenty-Fifth'!K135="", "",'Twenty-Fifth'!K135)</f>
        <v/>
      </c>
      <c r="M6132" s="67" t="str">
        <f t="shared" si="290"/>
        <v/>
      </c>
      <c r="N6132" s="76" t="str">
        <f t="shared" si="291"/>
        <v/>
      </c>
      <c r="O6132" s="33">
        <f t="shared" si="292"/>
        <v>0</v>
      </c>
    </row>
    <row r="6133" spans="1:15" x14ac:dyDescent="0.25">
      <c r="A6133" s="64" t="s">
        <v>194</v>
      </c>
      <c r="B6133" s="79" t="str">
        <f>IF('Twenty-Fifth'!B136="", "",'Twenty-Fifth'!B136)</f>
        <v/>
      </c>
      <c r="C6133" s="66" t="str">
        <f>IF('Twenty-Fifth'!C136="", "",'Twenty-Fifth'!C136)</f>
        <v/>
      </c>
      <c r="D6133" s="66" t="str">
        <f>IF('Twenty-Fifth'!D136="", "",'Twenty-Fifth'!D136)</f>
        <v/>
      </c>
      <c r="E6133" s="66" t="str">
        <f>IF('Twenty-Fifth'!E136="", "",'Twenty-Fifth'!E136)</f>
        <v/>
      </c>
      <c r="F6133" s="66" t="str">
        <f>IF('Twenty-Fifth'!F136="", "",'Twenty-Fifth'!F136)</f>
        <v/>
      </c>
      <c r="G6133" s="66" t="str">
        <f>IF('Twenty-Fifth'!G136="", "",'Twenty-Fifth'!G136)</f>
        <v/>
      </c>
      <c r="H6133" s="66" t="str">
        <f>IF('Twenty-Fifth'!H136="", "",'Twenty-Fifth'!H136)</f>
        <v/>
      </c>
      <c r="I6133" s="66" t="str">
        <f>IF('Twenty-Fifth'!I136="", "",'Twenty-Fifth'!I136)</f>
        <v/>
      </c>
      <c r="J6133" s="66" t="str">
        <f>IF('Twenty-Fifth'!J136="", "",'Twenty-Fifth'!J136)</f>
        <v/>
      </c>
      <c r="K6133" s="86" t="str">
        <f>IF('Twenty-Fifth'!K136="", "",'Twenty-Fifth'!K136)</f>
        <v/>
      </c>
      <c r="M6133" s="67" t="str">
        <f t="shared" si="290"/>
        <v/>
      </c>
      <c r="N6133" s="76" t="str">
        <f t="shared" si="291"/>
        <v/>
      </c>
      <c r="O6133" s="33">
        <f t="shared" si="292"/>
        <v>0</v>
      </c>
    </row>
    <row r="6134" spans="1:15" x14ac:dyDescent="0.25">
      <c r="A6134" s="64" t="s">
        <v>194</v>
      </c>
      <c r="B6134" s="79" t="str">
        <f>IF('Twenty-Fifth'!B137="", "",'Twenty-Fifth'!B137)</f>
        <v/>
      </c>
      <c r="C6134" s="66" t="str">
        <f>IF('Twenty-Fifth'!C137="", "",'Twenty-Fifth'!C137)</f>
        <v/>
      </c>
      <c r="D6134" s="66" t="str">
        <f>IF('Twenty-Fifth'!D137="", "",'Twenty-Fifth'!D137)</f>
        <v/>
      </c>
      <c r="E6134" s="66" t="str">
        <f>IF('Twenty-Fifth'!E137="", "",'Twenty-Fifth'!E137)</f>
        <v/>
      </c>
      <c r="F6134" s="66" t="str">
        <f>IF('Twenty-Fifth'!F137="", "",'Twenty-Fifth'!F137)</f>
        <v/>
      </c>
      <c r="G6134" s="66" t="str">
        <f>IF('Twenty-Fifth'!G137="", "",'Twenty-Fifth'!G137)</f>
        <v/>
      </c>
      <c r="H6134" s="66" t="str">
        <f>IF('Twenty-Fifth'!H137="", "",'Twenty-Fifth'!H137)</f>
        <v/>
      </c>
      <c r="I6134" s="66" t="str">
        <f>IF('Twenty-Fifth'!I137="", "",'Twenty-Fifth'!I137)</f>
        <v/>
      </c>
      <c r="J6134" s="66" t="str">
        <f>IF('Twenty-Fifth'!J137="", "",'Twenty-Fifth'!J137)</f>
        <v/>
      </c>
      <c r="K6134" s="86" t="str">
        <f>IF('Twenty-Fifth'!K137="", "",'Twenty-Fifth'!K137)</f>
        <v/>
      </c>
      <c r="M6134" s="67" t="str">
        <f t="shared" si="290"/>
        <v/>
      </c>
      <c r="N6134" s="76" t="str">
        <f t="shared" si="291"/>
        <v/>
      </c>
      <c r="O6134" s="33">
        <f t="shared" si="292"/>
        <v>0</v>
      </c>
    </row>
    <row r="6135" spans="1:15" x14ac:dyDescent="0.25">
      <c r="A6135" s="64" t="s">
        <v>194</v>
      </c>
      <c r="B6135" s="79" t="str">
        <f>IF('Twenty-Fifth'!B138="", "",'Twenty-Fifth'!B138)</f>
        <v/>
      </c>
      <c r="C6135" s="66" t="str">
        <f>IF('Twenty-Fifth'!C138="", "",'Twenty-Fifth'!C138)</f>
        <v/>
      </c>
      <c r="D6135" s="66" t="str">
        <f>IF('Twenty-Fifth'!D138="", "",'Twenty-Fifth'!D138)</f>
        <v/>
      </c>
      <c r="E6135" s="66" t="str">
        <f>IF('Twenty-Fifth'!E138="", "",'Twenty-Fifth'!E138)</f>
        <v/>
      </c>
      <c r="F6135" s="66" t="str">
        <f>IF('Twenty-Fifth'!F138="", "",'Twenty-Fifth'!F138)</f>
        <v/>
      </c>
      <c r="G6135" s="66" t="str">
        <f>IF('Twenty-Fifth'!G138="", "",'Twenty-Fifth'!G138)</f>
        <v/>
      </c>
      <c r="H6135" s="66" t="str">
        <f>IF('Twenty-Fifth'!H138="", "",'Twenty-Fifth'!H138)</f>
        <v/>
      </c>
      <c r="I6135" s="66" t="str">
        <f>IF('Twenty-Fifth'!I138="", "",'Twenty-Fifth'!I138)</f>
        <v/>
      </c>
      <c r="J6135" s="66" t="str">
        <f>IF('Twenty-Fifth'!J138="", "",'Twenty-Fifth'!J138)</f>
        <v/>
      </c>
      <c r="K6135" s="86" t="str">
        <f>IF('Twenty-Fifth'!K138="", "",'Twenty-Fifth'!K138)</f>
        <v/>
      </c>
      <c r="M6135" s="67" t="str">
        <f t="shared" si="290"/>
        <v/>
      </c>
      <c r="N6135" s="76" t="str">
        <f t="shared" si="291"/>
        <v/>
      </c>
      <c r="O6135" s="33">
        <f t="shared" si="292"/>
        <v>0</v>
      </c>
    </row>
    <row r="6136" spans="1:15" x14ac:dyDescent="0.25">
      <c r="A6136" s="64" t="s">
        <v>194</v>
      </c>
      <c r="B6136" s="79" t="str">
        <f>IF('Twenty-Fifth'!B139="", "",'Twenty-Fifth'!B139)</f>
        <v/>
      </c>
      <c r="C6136" s="66" t="str">
        <f>IF('Twenty-Fifth'!C139="", "",'Twenty-Fifth'!C139)</f>
        <v/>
      </c>
      <c r="D6136" s="66" t="str">
        <f>IF('Twenty-Fifth'!D139="", "",'Twenty-Fifth'!D139)</f>
        <v/>
      </c>
      <c r="E6136" s="66" t="str">
        <f>IF('Twenty-Fifth'!E139="", "",'Twenty-Fifth'!E139)</f>
        <v/>
      </c>
      <c r="F6136" s="66" t="str">
        <f>IF('Twenty-Fifth'!F139="", "",'Twenty-Fifth'!F139)</f>
        <v/>
      </c>
      <c r="G6136" s="66" t="str">
        <f>IF('Twenty-Fifth'!G139="", "",'Twenty-Fifth'!G139)</f>
        <v/>
      </c>
      <c r="H6136" s="66" t="str">
        <f>IF('Twenty-Fifth'!H139="", "",'Twenty-Fifth'!H139)</f>
        <v/>
      </c>
      <c r="I6136" s="66" t="str">
        <f>IF('Twenty-Fifth'!I139="", "",'Twenty-Fifth'!I139)</f>
        <v/>
      </c>
      <c r="J6136" s="66" t="str">
        <f>IF('Twenty-Fifth'!J139="", "",'Twenty-Fifth'!J139)</f>
        <v/>
      </c>
      <c r="K6136" s="86" t="str">
        <f>IF('Twenty-Fifth'!K139="", "",'Twenty-Fifth'!K139)</f>
        <v/>
      </c>
      <c r="M6136" s="67" t="str">
        <f t="shared" si="290"/>
        <v/>
      </c>
      <c r="N6136" s="76" t="str">
        <f t="shared" si="291"/>
        <v/>
      </c>
      <c r="O6136" s="33">
        <f t="shared" si="292"/>
        <v>0</v>
      </c>
    </row>
    <row r="6137" spans="1:15" x14ac:dyDescent="0.25">
      <c r="A6137" s="64" t="s">
        <v>194</v>
      </c>
      <c r="B6137" s="79" t="str">
        <f>IF('Twenty-Fifth'!B140="", "",'Twenty-Fifth'!B140)</f>
        <v/>
      </c>
      <c r="C6137" s="66" t="str">
        <f>IF('Twenty-Fifth'!C140="", "",'Twenty-Fifth'!C140)</f>
        <v/>
      </c>
      <c r="D6137" s="66" t="str">
        <f>IF('Twenty-Fifth'!D140="", "",'Twenty-Fifth'!D140)</f>
        <v/>
      </c>
      <c r="E6137" s="66" t="str">
        <f>IF('Twenty-Fifth'!E140="", "",'Twenty-Fifth'!E140)</f>
        <v/>
      </c>
      <c r="F6137" s="66" t="str">
        <f>IF('Twenty-Fifth'!F140="", "",'Twenty-Fifth'!F140)</f>
        <v/>
      </c>
      <c r="G6137" s="66" t="str">
        <f>IF('Twenty-Fifth'!G140="", "",'Twenty-Fifth'!G140)</f>
        <v/>
      </c>
      <c r="H6137" s="66" t="str">
        <f>IF('Twenty-Fifth'!H140="", "",'Twenty-Fifth'!H140)</f>
        <v/>
      </c>
      <c r="I6137" s="66" t="str">
        <f>IF('Twenty-Fifth'!I140="", "",'Twenty-Fifth'!I140)</f>
        <v/>
      </c>
      <c r="J6137" s="66" t="str">
        <f>IF('Twenty-Fifth'!J140="", "",'Twenty-Fifth'!J140)</f>
        <v/>
      </c>
      <c r="K6137" s="86" t="str">
        <f>IF('Twenty-Fifth'!K140="", "",'Twenty-Fifth'!K140)</f>
        <v/>
      </c>
      <c r="M6137" s="67" t="str">
        <f t="shared" si="290"/>
        <v/>
      </c>
      <c r="N6137" s="76" t="str">
        <f t="shared" si="291"/>
        <v/>
      </c>
      <c r="O6137" s="33">
        <f t="shared" si="292"/>
        <v>0</v>
      </c>
    </row>
    <row r="6138" spans="1:15" x14ac:dyDescent="0.25">
      <c r="A6138" s="64" t="s">
        <v>194</v>
      </c>
      <c r="B6138" s="79" t="str">
        <f>IF('Twenty-Fifth'!B141="", "",'Twenty-Fifth'!B141)</f>
        <v/>
      </c>
      <c r="C6138" s="66" t="str">
        <f>IF('Twenty-Fifth'!C141="", "",'Twenty-Fifth'!C141)</f>
        <v/>
      </c>
      <c r="D6138" s="66" t="str">
        <f>IF('Twenty-Fifth'!D141="", "",'Twenty-Fifth'!D141)</f>
        <v/>
      </c>
      <c r="E6138" s="66" t="str">
        <f>IF('Twenty-Fifth'!E141="", "",'Twenty-Fifth'!E141)</f>
        <v/>
      </c>
      <c r="F6138" s="66" t="str">
        <f>IF('Twenty-Fifth'!F141="", "",'Twenty-Fifth'!F141)</f>
        <v/>
      </c>
      <c r="G6138" s="66" t="str">
        <f>IF('Twenty-Fifth'!G141="", "",'Twenty-Fifth'!G141)</f>
        <v/>
      </c>
      <c r="H6138" s="66" t="str">
        <f>IF('Twenty-Fifth'!H141="", "",'Twenty-Fifth'!H141)</f>
        <v/>
      </c>
      <c r="I6138" s="66" t="str">
        <f>IF('Twenty-Fifth'!I141="", "",'Twenty-Fifth'!I141)</f>
        <v/>
      </c>
      <c r="J6138" s="66" t="str">
        <f>IF('Twenty-Fifth'!J141="", "",'Twenty-Fifth'!J141)</f>
        <v/>
      </c>
      <c r="K6138" s="86" t="str">
        <f>IF('Twenty-Fifth'!K141="", "",'Twenty-Fifth'!K141)</f>
        <v/>
      </c>
      <c r="M6138" s="67" t="str">
        <f t="shared" si="290"/>
        <v/>
      </c>
      <c r="N6138" s="76" t="str">
        <f t="shared" si="291"/>
        <v/>
      </c>
      <c r="O6138" s="33">
        <f t="shared" si="292"/>
        <v>0</v>
      </c>
    </row>
    <row r="6139" spans="1:15" x14ac:dyDescent="0.25">
      <c r="A6139" s="64" t="s">
        <v>194</v>
      </c>
      <c r="B6139" s="79" t="str">
        <f>IF('Twenty-Fifth'!B142="", "",'Twenty-Fifth'!B142)</f>
        <v/>
      </c>
      <c r="C6139" s="66" t="str">
        <f>IF('Twenty-Fifth'!C142="", "",'Twenty-Fifth'!C142)</f>
        <v/>
      </c>
      <c r="D6139" s="66" t="str">
        <f>IF('Twenty-Fifth'!D142="", "",'Twenty-Fifth'!D142)</f>
        <v/>
      </c>
      <c r="E6139" s="66" t="str">
        <f>IF('Twenty-Fifth'!E142="", "",'Twenty-Fifth'!E142)</f>
        <v/>
      </c>
      <c r="F6139" s="66" t="str">
        <f>IF('Twenty-Fifth'!F142="", "",'Twenty-Fifth'!F142)</f>
        <v/>
      </c>
      <c r="G6139" s="66" t="str">
        <f>IF('Twenty-Fifth'!G142="", "",'Twenty-Fifth'!G142)</f>
        <v/>
      </c>
      <c r="H6139" s="66" t="str">
        <f>IF('Twenty-Fifth'!H142="", "",'Twenty-Fifth'!H142)</f>
        <v/>
      </c>
      <c r="I6139" s="66" t="str">
        <f>IF('Twenty-Fifth'!I142="", "",'Twenty-Fifth'!I142)</f>
        <v/>
      </c>
      <c r="J6139" s="66" t="str">
        <f>IF('Twenty-Fifth'!J142="", "",'Twenty-Fifth'!J142)</f>
        <v/>
      </c>
      <c r="K6139" s="86" t="str">
        <f>IF('Twenty-Fifth'!K142="", "",'Twenty-Fifth'!K142)</f>
        <v/>
      </c>
      <c r="M6139" s="67" t="str">
        <f t="shared" si="290"/>
        <v/>
      </c>
      <c r="N6139" s="76" t="str">
        <f t="shared" si="291"/>
        <v/>
      </c>
      <c r="O6139" s="33">
        <f t="shared" si="292"/>
        <v>0</v>
      </c>
    </row>
    <row r="6140" spans="1:15" x14ac:dyDescent="0.25">
      <c r="A6140" s="64" t="s">
        <v>194</v>
      </c>
      <c r="B6140" s="79" t="str">
        <f>IF('Twenty-Fifth'!B143="", "",'Twenty-Fifth'!B143)</f>
        <v/>
      </c>
      <c r="C6140" s="66" t="str">
        <f>IF('Twenty-Fifth'!C143="", "",'Twenty-Fifth'!C143)</f>
        <v/>
      </c>
      <c r="D6140" s="66" t="str">
        <f>IF('Twenty-Fifth'!D143="", "",'Twenty-Fifth'!D143)</f>
        <v/>
      </c>
      <c r="E6140" s="66" t="str">
        <f>IF('Twenty-Fifth'!E143="", "",'Twenty-Fifth'!E143)</f>
        <v/>
      </c>
      <c r="F6140" s="66" t="str">
        <f>IF('Twenty-Fifth'!F143="", "",'Twenty-Fifth'!F143)</f>
        <v/>
      </c>
      <c r="G6140" s="66" t="str">
        <f>IF('Twenty-Fifth'!G143="", "",'Twenty-Fifth'!G143)</f>
        <v/>
      </c>
      <c r="H6140" s="66" t="str">
        <f>IF('Twenty-Fifth'!H143="", "",'Twenty-Fifth'!H143)</f>
        <v/>
      </c>
      <c r="I6140" s="66" t="str">
        <f>IF('Twenty-Fifth'!I143="", "",'Twenty-Fifth'!I143)</f>
        <v/>
      </c>
      <c r="J6140" s="66" t="str">
        <f>IF('Twenty-Fifth'!J143="", "",'Twenty-Fifth'!J143)</f>
        <v/>
      </c>
      <c r="K6140" s="86" t="str">
        <f>IF('Twenty-Fifth'!K143="", "",'Twenty-Fifth'!K143)</f>
        <v/>
      </c>
      <c r="M6140" s="67" t="str">
        <f t="shared" si="290"/>
        <v/>
      </c>
      <c r="N6140" s="76" t="str">
        <f t="shared" si="291"/>
        <v/>
      </c>
      <c r="O6140" s="33">
        <f t="shared" si="292"/>
        <v>0</v>
      </c>
    </row>
    <row r="6141" spans="1:15" x14ac:dyDescent="0.25">
      <c r="A6141" s="64" t="s">
        <v>194</v>
      </c>
      <c r="B6141" s="79" t="str">
        <f>IF('Twenty-Fifth'!B144="", "",'Twenty-Fifth'!B144)</f>
        <v/>
      </c>
      <c r="C6141" s="66" t="str">
        <f>IF('Twenty-Fifth'!C144="", "",'Twenty-Fifth'!C144)</f>
        <v/>
      </c>
      <c r="D6141" s="66" t="str">
        <f>IF('Twenty-Fifth'!D144="", "",'Twenty-Fifth'!D144)</f>
        <v/>
      </c>
      <c r="E6141" s="66" t="str">
        <f>IF('Twenty-Fifth'!E144="", "",'Twenty-Fifth'!E144)</f>
        <v/>
      </c>
      <c r="F6141" s="66" t="str">
        <f>IF('Twenty-Fifth'!F144="", "",'Twenty-Fifth'!F144)</f>
        <v/>
      </c>
      <c r="G6141" s="66" t="str">
        <f>IF('Twenty-Fifth'!G144="", "",'Twenty-Fifth'!G144)</f>
        <v/>
      </c>
      <c r="H6141" s="66" t="str">
        <f>IF('Twenty-Fifth'!H144="", "",'Twenty-Fifth'!H144)</f>
        <v/>
      </c>
      <c r="I6141" s="66" t="str">
        <f>IF('Twenty-Fifth'!I144="", "",'Twenty-Fifth'!I144)</f>
        <v/>
      </c>
      <c r="J6141" s="66" t="str">
        <f>IF('Twenty-Fifth'!J144="", "",'Twenty-Fifth'!J144)</f>
        <v/>
      </c>
      <c r="K6141" s="86" t="str">
        <f>IF('Twenty-Fifth'!K144="", "",'Twenty-Fifth'!K144)</f>
        <v/>
      </c>
      <c r="M6141" s="67" t="str">
        <f t="shared" si="290"/>
        <v/>
      </c>
      <c r="N6141" s="76" t="str">
        <f t="shared" si="291"/>
        <v/>
      </c>
      <c r="O6141" s="33">
        <f t="shared" si="292"/>
        <v>0</v>
      </c>
    </row>
    <row r="6142" spans="1:15" x14ac:dyDescent="0.25">
      <c r="A6142" s="64" t="s">
        <v>194</v>
      </c>
      <c r="B6142" s="79" t="str">
        <f>IF('Twenty-Fifth'!B145="", "",'Twenty-Fifth'!B145)</f>
        <v/>
      </c>
      <c r="C6142" s="66" t="str">
        <f>IF('Twenty-Fifth'!C145="", "",'Twenty-Fifth'!C145)</f>
        <v/>
      </c>
      <c r="D6142" s="66" t="str">
        <f>IF('Twenty-Fifth'!D145="", "",'Twenty-Fifth'!D145)</f>
        <v/>
      </c>
      <c r="E6142" s="66" t="str">
        <f>IF('Twenty-Fifth'!E145="", "",'Twenty-Fifth'!E145)</f>
        <v/>
      </c>
      <c r="F6142" s="66" t="str">
        <f>IF('Twenty-Fifth'!F145="", "",'Twenty-Fifth'!F145)</f>
        <v/>
      </c>
      <c r="G6142" s="66" t="str">
        <f>IF('Twenty-Fifth'!G145="", "",'Twenty-Fifth'!G145)</f>
        <v/>
      </c>
      <c r="H6142" s="66" t="str">
        <f>IF('Twenty-Fifth'!H145="", "",'Twenty-Fifth'!H145)</f>
        <v/>
      </c>
      <c r="I6142" s="66" t="str">
        <f>IF('Twenty-Fifth'!I145="", "",'Twenty-Fifth'!I145)</f>
        <v/>
      </c>
      <c r="J6142" s="66" t="str">
        <f>IF('Twenty-Fifth'!J145="", "",'Twenty-Fifth'!J145)</f>
        <v/>
      </c>
      <c r="K6142" s="86" t="str">
        <f>IF('Twenty-Fifth'!K145="", "",'Twenty-Fifth'!K145)</f>
        <v/>
      </c>
      <c r="M6142" s="67" t="str">
        <f t="shared" si="290"/>
        <v/>
      </c>
      <c r="N6142" s="76" t="str">
        <f t="shared" si="291"/>
        <v/>
      </c>
      <c r="O6142" s="33">
        <f t="shared" si="292"/>
        <v>0</v>
      </c>
    </row>
    <row r="6143" spans="1:15" x14ac:dyDescent="0.25">
      <c r="A6143" s="64" t="s">
        <v>194</v>
      </c>
      <c r="B6143" s="79" t="str">
        <f>IF('Twenty-Fifth'!B146="", "",'Twenty-Fifth'!B146)</f>
        <v/>
      </c>
      <c r="C6143" s="66" t="str">
        <f>IF('Twenty-Fifth'!C146="", "",'Twenty-Fifth'!C146)</f>
        <v/>
      </c>
      <c r="D6143" s="66" t="str">
        <f>IF('Twenty-Fifth'!D146="", "",'Twenty-Fifth'!D146)</f>
        <v/>
      </c>
      <c r="E6143" s="66" t="str">
        <f>IF('Twenty-Fifth'!E146="", "",'Twenty-Fifth'!E146)</f>
        <v/>
      </c>
      <c r="F6143" s="66" t="str">
        <f>IF('Twenty-Fifth'!F146="", "",'Twenty-Fifth'!F146)</f>
        <v/>
      </c>
      <c r="G6143" s="66" t="str">
        <f>IF('Twenty-Fifth'!G146="", "",'Twenty-Fifth'!G146)</f>
        <v/>
      </c>
      <c r="H6143" s="66" t="str">
        <f>IF('Twenty-Fifth'!H146="", "",'Twenty-Fifth'!H146)</f>
        <v/>
      </c>
      <c r="I6143" s="66" t="str">
        <f>IF('Twenty-Fifth'!I146="", "",'Twenty-Fifth'!I146)</f>
        <v/>
      </c>
      <c r="J6143" s="66" t="str">
        <f>IF('Twenty-Fifth'!J146="", "",'Twenty-Fifth'!J146)</f>
        <v/>
      </c>
      <c r="K6143" s="86" t="str">
        <f>IF('Twenty-Fifth'!K146="", "",'Twenty-Fifth'!K146)</f>
        <v/>
      </c>
      <c r="M6143" s="67" t="str">
        <f t="shared" ref="M6143:M6206" si="293">IF(C6143="PwC",(7-COUNTIF(B6143:H6143,"")),"")</f>
        <v/>
      </c>
      <c r="N6143" s="76" t="str">
        <f t="shared" ref="N6143:N6206" si="294">IF(C6143="Carer",(7-COUNTIF(B6143:H6143,"")),"")</f>
        <v/>
      </c>
      <c r="O6143" s="33">
        <f t="shared" si="292"/>
        <v>0</v>
      </c>
    </row>
    <row r="6144" spans="1:15" x14ac:dyDescent="0.25">
      <c r="A6144" s="64" t="s">
        <v>194</v>
      </c>
      <c r="B6144" s="79" t="str">
        <f>IF('Twenty-Fifth'!B147="", "",'Twenty-Fifth'!B147)</f>
        <v/>
      </c>
      <c r="C6144" s="66" t="str">
        <f>IF('Twenty-Fifth'!C147="", "",'Twenty-Fifth'!C147)</f>
        <v/>
      </c>
      <c r="D6144" s="66" t="str">
        <f>IF('Twenty-Fifth'!D147="", "",'Twenty-Fifth'!D147)</f>
        <v/>
      </c>
      <c r="E6144" s="66" t="str">
        <f>IF('Twenty-Fifth'!E147="", "",'Twenty-Fifth'!E147)</f>
        <v/>
      </c>
      <c r="F6144" s="66" t="str">
        <f>IF('Twenty-Fifth'!F147="", "",'Twenty-Fifth'!F147)</f>
        <v/>
      </c>
      <c r="G6144" s="66" t="str">
        <f>IF('Twenty-Fifth'!G147="", "",'Twenty-Fifth'!G147)</f>
        <v/>
      </c>
      <c r="H6144" s="66" t="str">
        <f>IF('Twenty-Fifth'!H147="", "",'Twenty-Fifth'!H147)</f>
        <v/>
      </c>
      <c r="I6144" s="66" t="str">
        <f>IF('Twenty-Fifth'!I147="", "",'Twenty-Fifth'!I147)</f>
        <v/>
      </c>
      <c r="J6144" s="66" t="str">
        <f>IF('Twenty-Fifth'!J147="", "",'Twenty-Fifth'!J147)</f>
        <v/>
      </c>
      <c r="K6144" s="86" t="str">
        <f>IF('Twenty-Fifth'!K147="", "",'Twenty-Fifth'!K147)</f>
        <v/>
      </c>
      <c r="M6144" s="67" t="str">
        <f t="shared" si="293"/>
        <v/>
      </c>
      <c r="N6144" s="76" t="str">
        <f t="shared" si="294"/>
        <v/>
      </c>
      <c r="O6144" s="33">
        <f t="shared" si="292"/>
        <v>0</v>
      </c>
    </row>
    <row r="6145" spans="1:15" x14ac:dyDescent="0.25">
      <c r="A6145" s="64" t="s">
        <v>194</v>
      </c>
      <c r="B6145" s="79" t="str">
        <f>IF('Twenty-Fifth'!B148="", "",'Twenty-Fifth'!B148)</f>
        <v/>
      </c>
      <c r="C6145" s="66" t="str">
        <f>IF('Twenty-Fifth'!C148="", "",'Twenty-Fifth'!C148)</f>
        <v/>
      </c>
      <c r="D6145" s="66" t="str">
        <f>IF('Twenty-Fifth'!D148="", "",'Twenty-Fifth'!D148)</f>
        <v/>
      </c>
      <c r="E6145" s="66" t="str">
        <f>IF('Twenty-Fifth'!E148="", "",'Twenty-Fifth'!E148)</f>
        <v/>
      </c>
      <c r="F6145" s="66" t="str">
        <f>IF('Twenty-Fifth'!F148="", "",'Twenty-Fifth'!F148)</f>
        <v/>
      </c>
      <c r="G6145" s="66" t="str">
        <f>IF('Twenty-Fifth'!G148="", "",'Twenty-Fifth'!G148)</f>
        <v/>
      </c>
      <c r="H6145" s="66" t="str">
        <f>IF('Twenty-Fifth'!H148="", "",'Twenty-Fifth'!H148)</f>
        <v/>
      </c>
      <c r="I6145" s="66" t="str">
        <f>IF('Twenty-Fifth'!I148="", "",'Twenty-Fifth'!I148)</f>
        <v/>
      </c>
      <c r="J6145" s="66" t="str">
        <f>IF('Twenty-Fifth'!J148="", "",'Twenty-Fifth'!J148)</f>
        <v/>
      </c>
      <c r="K6145" s="86" t="str">
        <f>IF('Twenty-Fifth'!K148="", "",'Twenty-Fifth'!K148)</f>
        <v/>
      </c>
      <c r="M6145" s="67" t="str">
        <f t="shared" si="293"/>
        <v/>
      </c>
      <c r="N6145" s="76" t="str">
        <f t="shared" si="294"/>
        <v/>
      </c>
      <c r="O6145" s="33">
        <f t="shared" si="292"/>
        <v>0</v>
      </c>
    </row>
    <row r="6146" spans="1:15" x14ac:dyDescent="0.25">
      <c r="A6146" s="64" t="s">
        <v>194</v>
      </c>
      <c r="B6146" s="79" t="str">
        <f>IF('Twenty-Fifth'!B149="", "",'Twenty-Fifth'!B149)</f>
        <v/>
      </c>
      <c r="C6146" s="66" t="str">
        <f>IF('Twenty-Fifth'!C149="", "",'Twenty-Fifth'!C149)</f>
        <v/>
      </c>
      <c r="D6146" s="66" t="str">
        <f>IF('Twenty-Fifth'!D149="", "",'Twenty-Fifth'!D149)</f>
        <v/>
      </c>
      <c r="E6146" s="66" t="str">
        <f>IF('Twenty-Fifth'!E149="", "",'Twenty-Fifth'!E149)</f>
        <v/>
      </c>
      <c r="F6146" s="66" t="str">
        <f>IF('Twenty-Fifth'!F149="", "",'Twenty-Fifth'!F149)</f>
        <v/>
      </c>
      <c r="G6146" s="66" t="str">
        <f>IF('Twenty-Fifth'!G149="", "",'Twenty-Fifth'!G149)</f>
        <v/>
      </c>
      <c r="H6146" s="66" t="str">
        <f>IF('Twenty-Fifth'!H149="", "",'Twenty-Fifth'!H149)</f>
        <v/>
      </c>
      <c r="I6146" s="66" t="str">
        <f>IF('Twenty-Fifth'!I149="", "",'Twenty-Fifth'!I149)</f>
        <v/>
      </c>
      <c r="J6146" s="66" t="str">
        <f>IF('Twenty-Fifth'!J149="", "",'Twenty-Fifth'!J149)</f>
        <v/>
      </c>
      <c r="K6146" s="86" t="str">
        <f>IF('Twenty-Fifth'!K149="", "",'Twenty-Fifth'!K149)</f>
        <v/>
      </c>
      <c r="M6146" s="67" t="str">
        <f t="shared" si="293"/>
        <v/>
      </c>
      <c r="N6146" s="76" t="str">
        <f t="shared" si="294"/>
        <v/>
      </c>
      <c r="O6146" s="33">
        <f t="shared" si="292"/>
        <v>0</v>
      </c>
    </row>
    <row r="6147" spans="1:15" x14ac:dyDescent="0.25">
      <c r="A6147" s="64" t="s">
        <v>194</v>
      </c>
      <c r="B6147" s="79" t="str">
        <f>IF('Twenty-Fifth'!B150="", "",'Twenty-Fifth'!B150)</f>
        <v/>
      </c>
      <c r="C6147" s="66" t="str">
        <f>IF('Twenty-Fifth'!C150="", "",'Twenty-Fifth'!C150)</f>
        <v/>
      </c>
      <c r="D6147" s="66" t="str">
        <f>IF('Twenty-Fifth'!D150="", "",'Twenty-Fifth'!D150)</f>
        <v/>
      </c>
      <c r="E6147" s="66" t="str">
        <f>IF('Twenty-Fifth'!E150="", "",'Twenty-Fifth'!E150)</f>
        <v/>
      </c>
      <c r="F6147" s="66" t="str">
        <f>IF('Twenty-Fifth'!F150="", "",'Twenty-Fifth'!F150)</f>
        <v/>
      </c>
      <c r="G6147" s="66" t="str">
        <f>IF('Twenty-Fifth'!G150="", "",'Twenty-Fifth'!G150)</f>
        <v/>
      </c>
      <c r="H6147" s="66" t="str">
        <f>IF('Twenty-Fifth'!H150="", "",'Twenty-Fifth'!H150)</f>
        <v/>
      </c>
      <c r="I6147" s="66" t="str">
        <f>IF('Twenty-Fifth'!I150="", "",'Twenty-Fifth'!I150)</f>
        <v/>
      </c>
      <c r="J6147" s="66" t="str">
        <f>IF('Twenty-Fifth'!J150="", "",'Twenty-Fifth'!J150)</f>
        <v/>
      </c>
      <c r="K6147" s="86" t="str">
        <f>IF('Twenty-Fifth'!K150="", "",'Twenty-Fifth'!K150)</f>
        <v/>
      </c>
      <c r="M6147" s="67" t="str">
        <f t="shared" si="293"/>
        <v/>
      </c>
      <c r="N6147" s="76" t="str">
        <f t="shared" si="294"/>
        <v/>
      </c>
      <c r="O6147" s="33">
        <f t="shared" si="292"/>
        <v>0</v>
      </c>
    </row>
    <row r="6148" spans="1:15" x14ac:dyDescent="0.25">
      <c r="A6148" s="64" t="s">
        <v>194</v>
      </c>
      <c r="B6148" s="79" t="str">
        <f>IF('Twenty-Fifth'!B151="", "",'Twenty-Fifth'!B151)</f>
        <v/>
      </c>
      <c r="C6148" s="66" t="str">
        <f>IF('Twenty-Fifth'!C151="", "",'Twenty-Fifth'!C151)</f>
        <v/>
      </c>
      <c r="D6148" s="66" t="str">
        <f>IF('Twenty-Fifth'!D151="", "",'Twenty-Fifth'!D151)</f>
        <v/>
      </c>
      <c r="E6148" s="66" t="str">
        <f>IF('Twenty-Fifth'!E151="", "",'Twenty-Fifth'!E151)</f>
        <v/>
      </c>
      <c r="F6148" s="66" t="str">
        <f>IF('Twenty-Fifth'!F151="", "",'Twenty-Fifth'!F151)</f>
        <v/>
      </c>
      <c r="G6148" s="66" t="str">
        <f>IF('Twenty-Fifth'!G151="", "",'Twenty-Fifth'!G151)</f>
        <v/>
      </c>
      <c r="H6148" s="66" t="str">
        <f>IF('Twenty-Fifth'!H151="", "",'Twenty-Fifth'!H151)</f>
        <v/>
      </c>
      <c r="I6148" s="66" t="str">
        <f>IF('Twenty-Fifth'!I151="", "",'Twenty-Fifth'!I151)</f>
        <v/>
      </c>
      <c r="J6148" s="66" t="str">
        <f>IF('Twenty-Fifth'!J151="", "",'Twenty-Fifth'!J151)</f>
        <v/>
      </c>
      <c r="K6148" s="86" t="str">
        <f>IF('Twenty-Fifth'!K151="", "",'Twenty-Fifth'!K151)</f>
        <v/>
      </c>
      <c r="M6148" s="67" t="str">
        <f t="shared" si="293"/>
        <v/>
      </c>
      <c r="N6148" s="76" t="str">
        <f t="shared" si="294"/>
        <v/>
      </c>
      <c r="O6148" s="33">
        <f t="shared" si="292"/>
        <v>0</v>
      </c>
    </row>
    <row r="6149" spans="1:15" x14ac:dyDescent="0.25">
      <c r="A6149" s="64" t="s">
        <v>194</v>
      </c>
      <c r="B6149" s="79" t="str">
        <f>IF('Twenty-Fifth'!B152="", "",'Twenty-Fifth'!B152)</f>
        <v/>
      </c>
      <c r="C6149" s="66" t="str">
        <f>IF('Twenty-Fifth'!C152="", "",'Twenty-Fifth'!C152)</f>
        <v/>
      </c>
      <c r="D6149" s="66" t="str">
        <f>IF('Twenty-Fifth'!D152="", "",'Twenty-Fifth'!D152)</f>
        <v/>
      </c>
      <c r="E6149" s="66" t="str">
        <f>IF('Twenty-Fifth'!E152="", "",'Twenty-Fifth'!E152)</f>
        <v/>
      </c>
      <c r="F6149" s="66" t="str">
        <f>IF('Twenty-Fifth'!F152="", "",'Twenty-Fifth'!F152)</f>
        <v/>
      </c>
      <c r="G6149" s="66" t="str">
        <f>IF('Twenty-Fifth'!G152="", "",'Twenty-Fifth'!G152)</f>
        <v/>
      </c>
      <c r="H6149" s="66" t="str">
        <f>IF('Twenty-Fifth'!H152="", "",'Twenty-Fifth'!H152)</f>
        <v/>
      </c>
      <c r="I6149" s="66" t="str">
        <f>IF('Twenty-Fifth'!I152="", "",'Twenty-Fifth'!I152)</f>
        <v/>
      </c>
      <c r="J6149" s="66" t="str">
        <f>IF('Twenty-Fifth'!J152="", "",'Twenty-Fifth'!J152)</f>
        <v/>
      </c>
      <c r="K6149" s="86" t="str">
        <f>IF('Twenty-Fifth'!K152="", "",'Twenty-Fifth'!K152)</f>
        <v/>
      </c>
      <c r="M6149" s="67" t="str">
        <f t="shared" si="293"/>
        <v/>
      </c>
      <c r="N6149" s="76" t="str">
        <f t="shared" si="294"/>
        <v/>
      </c>
      <c r="O6149" s="33">
        <f t="shared" si="292"/>
        <v>0</v>
      </c>
    </row>
    <row r="6150" spans="1:15" x14ac:dyDescent="0.25">
      <c r="A6150" s="64" t="s">
        <v>194</v>
      </c>
      <c r="B6150" s="79" t="str">
        <f>IF('Twenty-Fifth'!B153="", "",'Twenty-Fifth'!B153)</f>
        <v/>
      </c>
      <c r="C6150" s="66" t="str">
        <f>IF('Twenty-Fifth'!C153="", "",'Twenty-Fifth'!C153)</f>
        <v/>
      </c>
      <c r="D6150" s="66" t="str">
        <f>IF('Twenty-Fifth'!D153="", "",'Twenty-Fifth'!D153)</f>
        <v/>
      </c>
      <c r="E6150" s="66" t="str">
        <f>IF('Twenty-Fifth'!E153="", "",'Twenty-Fifth'!E153)</f>
        <v/>
      </c>
      <c r="F6150" s="66" t="str">
        <f>IF('Twenty-Fifth'!F153="", "",'Twenty-Fifth'!F153)</f>
        <v/>
      </c>
      <c r="G6150" s="66" t="str">
        <f>IF('Twenty-Fifth'!G153="", "",'Twenty-Fifth'!G153)</f>
        <v/>
      </c>
      <c r="H6150" s="66" t="str">
        <f>IF('Twenty-Fifth'!H153="", "",'Twenty-Fifth'!H153)</f>
        <v/>
      </c>
      <c r="I6150" s="66" t="str">
        <f>IF('Twenty-Fifth'!I153="", "",'Twenty-Fifth'!I153)</f>
        <v/>
      </c>
      <c r="J6150" s="66" t="str">
        <f>IF('Twenty-Fifth'!J153="", "",'Twenty-Fifth'!J153)</f>
        <v/>
      </c>
      <c r="K6150" s="86" t="str">
        <f>IF('Twenty-Fifth'!K153="", "",'Twenty-Fifth'!K153)</f>
        <v/>
      </c>
      <c r="M6150" s="67" t="str">
        <f t="shared" si="293"/>
        <v/>
      </c>
      <c r="N6150" s="76" t="str">
        <f t="shared" si="294"/>
        <v/>
      </c>
      <c r="O6150" s="33">
        <f t="shared" si="292"/>
        <v>0</v>
      </c>
    </row>
    <row r="6151" spans="1:15" x14ac:dyDescent="0.25">
      <c r="A6151" s="64" t="s">
        <v>194</v>
      </c>
      <c r="B6151" s="79" t="str">
        <f>IF('Twenty-Fifth'!B154="", "",'Twenty-Fifth'!B154)</f>
        <v/>
      </c>
      <c r="C6151" s="66" t="str">
        <f>IF('Twenty-Fifth'!C154="", "",'Twenty-Fifth'!C154)</f>
        <v/>
      </c>
      <c r="D6151" s="66" t="str">
        <f>IF('Twenty-Fifth'!D154="", "",'Twenty-Fifth'!D154)</f>
        <v/>
      </c>
      <c r="E6151" s="66" t="str">
        <f>IF('Twenty-Fifth'!E154="", "",'Twenty-Fifth'!E154)</f>
        <v/>
      </c>
      <c r="F6151" s="66" t="str">
        <f>IF('Twenty-Fifth'!F154="", "",'Twenty-Fifth'!F154)</f>
        <v/>
      </c>
      <c r="G6151" s="66" t="str">
        <f>IF('Twenty-Fifth'!G154="", "",'Twenty-Fifth'!G154)</f>
        <v/>
      </c>
      <c r="H6151" s="66" t="str">
        <f>IF('Twenty-Fifth'!H154="", "",'Twenty-Fifth'!H154)</f>
        <v/>
      </c>
      <c r="I6151" s="66" t="str">
        <f>IF('Twenty-Fifth'!I154="", "",'Twenty-Fifth'!I154)</f>
        <v/>
      </c>
      <c r="J6151" s="66" t="str">
        <f>IF('Twenty-Fifth'!J154="", "",'Twenty-Fifth'!J154)</f>
        <v/>
      </c>
      <c r="K6151" s="86" t="str">
        <f>IF('Twenty-Fifth'!K154="", "",'Twenty-Fifth'!K154)</f>
        <v/>
      </c>
      <c r="M6151" s="67" t="str">
        <f t="shared" si="293"/>
        <v/>
      </c>
      <c r="N6151" s="76" t="str">
        <f t="shared" si="294"/>
        <v/>
      </c>
      <c r="O6151" s="33">
        <f t="shared" si="292"/>
        <v>0</v>
      </c>
    </row>
    <row r="6152" spans="1:15" x14ac:dyDescent="0.25">
      <c r="A6152" s="64" t="s">
        <v>194</v>
      </c>
      <c r="B6152" s="79" t="str">
        <f>IF('Twenty-Fifth'!B155="", "",'Twenty-Fifth'!B155)</f>
        <v/>
      </c>
      <c r="C6152" s="66" t="str">
        <f>IF('Twenty-Fifth'!C155="", "",'Twenty-Fifth'!C155)</f>
        <v/>
      </c>
      <c r="D6152" s="66" t="str">
        <f>IF('Twenty-Fifth'!D155="", "",'Twenty-Fifth'!D155)</f>
        <v/>
      </c>
      <c r="E6152" s="66" t="str">
        <f>IF('Twenty-Fifth'!E155="", "",'Twenty-Fifth'!E155)</f>
        <v/>
      </c>
      <c r="F6152" s="66" t="str">
        <f>IF('Twenty-Fifth'!F155="", "",'Twenty-Fifth'!F155)</f>
        <v/>
      </c>
      <c r="G6152" s="66" t="str">
        <f>IF('Twenty-Fifth'!G155="", "",'Twenty-Fifth'!G155)</f>
        <v/>
      </c>
      <c r="H6152" s="66" t="str">
        <f>IF('Twenty-Fifth'!H155="", "",'Twenty-Fifth'!H155)</f>
        <v/>
      </c>
      <c r="I6152" s="66" t="str">
        <f>IF('Twenty-Fifth'!I155="", "",'Twenty-Fifth'!I155)</f>
        <v/>
      </c>
      <c r="J6152" s="66" t="str">
        <f>IF('Twenty-Fifth'!J155="", "",'Twenty-Fifth'!J155)</f>
        <v/>
      </c>
      <c r="K6152" s="86" t="str">
        <f>IF('Twenty-Fifth'!K155="", "",'Twenty-Fifth'!K155)</f>
        <v/>
      </c>
      <c r="M6152" s="67" t="str">
        <f t="shared" si="293"/>
        <v/>
      </c>
      <c r="N6152" s="76" t="str">
        <f t="shared" si="294"/>
        <v/>
      </c>
      <c r="O6152" s="33">
        <f t="shared" si="292"/>
        <v>0</v>
      </c>
    </row>
    <row r="6153" spans="1:15" x14ac:dyDescent="0.25">
      <c r="A6153" s="64" t="s">
        <v>194</v>
      </c>
      <c r="B6153" s="79" t="str">
        <f>IF('Twenty-Fifth'!B156="", "",'Twenty-Fifth'!B156)</f>
        <v/>
      </c>
      <c r="C6153" s="66" t="str">
        <f>IF('Twenty-Fifth'!C156="", "",'Twenty-Fifth'!C156)</f>
        <v/>
      </c>
      <c r="D6153" s="66" t="str">
        <f>IF('Twenty-Fifth'!D156="", "",'Twenty-Fifth'!D156)</f>
        <v/>
      </c>
      <c r="E6153" s="66" t="str">
        <f>IF('Twenty-Fifth'!E156="", "",'Twenty-Fifth'!E156)</f>
        <v/>
      </c>
      <c r="F6153" s="66" t="str">
        <f>IF('Twenty-Fifth'!F156="", "",'Twenty-Fifth'!F156)</f>
        <v/>
      </c>
      <c r="G6153" s="66" t="str">
        <f>IF('Twenty-Fifth'!G156="", "",'Twenty-Fifth'!G156)</f>
        <v/>
      </c>
      <c r="H6153" s="66" t="str">
        <f>IF('Twenty-Fifth'!H156="", "",'Twenty-Fifth'!H156)</f>
        <v/>
      </c>
      <c r="I6153" s="66" t="str">
        <f>IF('Twenty-Fifth'!I156="", "",'Twenty-Fifth'!I156)</f>
        <v/>
      </c>
      <c r="J6153" s="66" t="str">
        <f>IF('Twenty-Fifth'!J156="", "",'Twenty-Fifth'!J156)</f>
        <v/>
      </c>
      <c r="K6153" s="86" t="str">
        <f>IF('Twenty-Fifth'!K156="", "",'Twenty-Fifth'!K156)</f>
        <v/>
      </c>
      <c r="M6153" s="67" t="str">
        <f t="shared" si="293"/>
        <v/>
      </c>
      <c r="N6153" s="76" t="str">
        <f t="shared" si="294"/>
        <v/>
      </c>
      <c r="O6153" s="33">
        <f t="shared" si="292"/>
        <v>0</v>
      </c>
    </row>
    <row r="6154" spans="1:15" x14ac:dyDescent="0.25">
      <c r="A6154" s="64" t="s">
        <v>194</v>
      </c>
      <c r="B6154" s="79" t="str">
        <f>IF('Twenty-Fifth'!B157="", "",'Twenty-Fifth'!B157)</f>
        <v/>
      </c>
      <c r="C6154" s="66" t="str">
        <f>IF('Twenty-Fifth'!C157="", "",'Twenty-Fifth'!C157)</f>
        <v/>
      </c>
      <c r="D6154" s="66" t="str">
        <f>IF('Twenty-Fifth'!D157="", "",'Twenty-Fifth'!D157)</f>
        <v/>
      </c>
      <c r="E6154" s="66" t="str">
        <f>IF('Twenty-Fifth'!E157="", "",'Twenty-Fifth'!E157)</f>
        <v/>
      </c>
      <c r="F6154" s="66" t="str">
        <f>IF('Twenty-Fifth'!F157="", "",'Twenty-Fifth'!F157)</f>
        <v/>
      </c>
      <c r="G6154" s="66" t="str">
        <f>IF('Twenty-Fifth'!G157="", "",'Twenty-Fifth'!G157)</f>
        <v/>
      </c>
      <c r="H6154" s="66" t="str">
        <f>IF('Twenty-Fifth'!H157="", "",'Twenty-Fifth'!H157)</f>
        <v/>
      </c>
      <c r="I6154" s="66" t="str">
        <f>IF('Twenty-Fifth'!I157="", "",'Twenty-Fifth'!I157)</f>
        <v/>
      </c>
      <c r="J6154" s="66" t="str">
        <f>IF('Twenty-Fifth'!J157="", "",'Twenty-Fifth'!J157)</f>
        <v/>
      </c>
      <c r="K6154" s="86" t="str">
        <f>IF('Twenty-Fifth'!K157="", "",'Twenty-Fifth'!K157)</f>
        <v/>
      </c>
      <c r="M6154" s="67" t="str">
        <f t="shared" si="293"/>
        <v/>
      </c>
      <c r="N6154" s="76" t="str">
        <f t="shared" si="294"/>
        <v/>
      </c>
      <c r="O6154" s="33">
        <f t="shared" ref="O6154:O6217" si="295">SUM(M6154:N6154)</f>
        <v>0</v>
      </c>
    </row>
    <row r="6155" spans="1:15" x14ac:dyDescent="0.25">
      <c r="A6155" s="64" t="s">
        <v>194</v>
      </c>
      <c r="B6155" s="79" t="str">
        <f>IF('Twenty-Fifth'!B158="", "",'Twenty-Fifth'!B158)</f>
        <v/>
      </c>
      <c r="C6155" s="66" t="str">
        <f>IF('Twenty-Fifth'!C158="", "",'Twenty-Fifth'!C158)</f>
        <v/>
      </c>
      <c r="D6155" s="66" t="str">
        <f>IF('Twenty-Fifth'!D158="", "",'Twenty-Fifth'!D158)</f>
        <v/>
      </c>
      <c r="E6155" s="66" t="str">
        <f>IF('Twenty-Fifth'!E158="", "",'Twenty-Fifth'!E158)</f>
        <v/>
      </c>
      <c r="F6155" s="66" t="str">
        <f>IF('Twenty-Fifth'!F158="", "",'Twenty-Fifth'!F158)</f>
        <v/>
      </c>
      <c r="G6155" s="66" t="str">
        <f>IF('Twenty-Fifth'!G158="", "",'Twenty-Fifth'!G158)</f>
        <v/>
      </c>
      <c r="H6155" s="66" t="str">
        <f>IF('Twenty-Fifth'!H158="", "",'Twenty-Fifth'!H158)</f>
        <v/>
      </c>
      <c r="I6155" s="66" t="str">
        <f>IF('Twenty-Fifth'!I158="", "",'Twenty-Fifth'!I158)</f>
        <v/>
      </c>
      <c r="J6155" s="66" t="str">
        <f>IF('Twenty-Fifth'!J158="", "",'Twenty-Fifth'!J158)</f>
        <v/>
      </c>
      <c r="K6155" s="86" t="str">
        <f>IF('Twenty-Fifth'!K158="", "",'Twenty-Fifth'!K158)</f>
        <v/>
      </c>
      <c r="M6155" s="67" t="str">
        <f t="shared" si="293"/>
        <v/>
      </c>
      <c r="N6155" s="76" t="str">
        <f t="shared" si="294"/>
        <v/>
      </c>
      <c r="O6155" s="33">
        <f t="shared" si="295"/>
        <v>0</v>
      </c>
    </row>
    <row r="6156" spans="1:15" x14ac:dyDescent="0.25">
      <c r="A6156" s="64" t="s">
        <v>194</v>
      </c>
      <c r="B6156" s="79" t="str">
        <f>IF('Twenty-Fifth'!B159="", "",'Twenty-Fifth'!B159)</f>
        <v/>
      </c>
      <c r="C6156" s="66" t="str">
        <f>IF('Twenty-Fifth'!C159="", "",'Twenty-Fifth'!C159)</f>
        <v/>
      </c>
      <c r="D6156" s="66" t="str">
        <f>IF('Twenty-Fifth'!D159="", "",'Twenty-Fifth'!D159)</f>
        <v/>
      </c>
      <c r="E6156" s="66" t="str">
        <f>IF('Twenty-Fifth'!E159="", "",'Twenty-Fifth'!E159)</f>
        <v/>
      </c>
      <c r="F6156" s="66" t="str">
        <f>IF('Twenty-Fifth'!F159="", "",'Twenty-Fifth'!F159)</f>
        <v/>
      </c>
      <c r="G6156" s="66" t="str">
        <f>IF('Twenty-Fifth'!G159="", "",'Twenty-Fifth'!G159)</f>
        <v/>
      </c>
      <c r="H6156" s="66" t="str">
        <f>IF('Twenty-Fifth'!H159="", "",'Twenty-Fifth'!H159)</f>
        <v/>
      </c>
      <c r="I6156" s="66" t="str">
        <f>IF('Twenty-Fifth'!I159="", "",'Twenty-Fifth'!I159)</f>
        <v/>
      </c>
      <c r="J6156" s="66" t="str">
        <f>IF('Twenty-Fifth'!J159="", "",'Twenty-Fifth'!J159)</f>
        <v/>
      </c>
      <c r="K6156" s="86" t="str">
        <f>IF('Twenty-Fifth'!K159="", "",'Twenty-Fifth'!K159)</f>
        <v/>
      </c>
      <c r="M6156" s="67" t="str">
        <f t="shared" si="293"/>
        <v/>
      </c>
      <c r="N6156" s="76" t="str">
        <f t="shared" si="294"/>
        <v/>
      </c>
      <c r="O6156" s="33">
        <f t="shared" si="295"/>
        <v>0</v>
      </c>
    </row>
    <row r="6157" spans="1:15" x14ac:dyDescent="0.25">
      <c r="A6157" s="64" t="s">
        <v>194</v>
      </c>
      <c r="B6157" s="79" t="str">
        <f>IF('Twenty-Fifth'!B160="", "",'Twenty-Fifth'!B160)</f>
        <v/>
      </c>
      <c r="C6157" s="66" t="str">
        <f>IF('Twenty-Fifth'!C160="", "",'Twenty-Fifth'!C160)</f>
        <v/>
      </c>
      <c r="D6157" s="66" t="str">
        <f>IF('Twenty-Fifth'!D160="", "",'Twenty-Fifth'!D160)</f>
        <v/>
      </c>
      <c r="E6157" s="66" t="str">
        <f>IF('Twenty-Fifth'!E160="", "",'Twenty-Fifth'!E160)</f>
        <v/>
      </c>
      <c r="F6157" s="66" t="str">
        <f>IF('Twenty-Fifth'!F160="", "",'Twenty-Fifth'!F160)</f>
        <v/>
      </c>
      <c r="G6157" s="66" t="str">
        <f>IF('Twenty-Fifth'!G160="", "",'Twenty-Fifth'!G160)</f>
        <v/>
      </c>
      <c r="H6157" s="66" t="str">
        <f>IF('Twenty-Fifth'!H160="", "",'Twenty-Fifth'!H160)</f>
        <v/>
      </c>
      <c r="I6157" s="66" t="str">
        <f>IF('Twenty-Fifth'!I160="", "",'Twenty-Fifth'!I160)</f>
        <v/>
      </c>
      <c r="J6157" s="66" t="str">
        <f>IF('Twenty-Fifth'!J160="", "",'Twenty-Fifth'!J160)</f>
        <v/>
      </c>
      <c r="K6157" s="86" t="str">
        <f>IF('Twenty-Fifth'!K160="", "",'Twenty-Fifth'!K160)</f>
        <v/>
      </c>
      <c r="M6157" s="67" t="str">
        <f t="shared" si="293"/>
        <v/>
      </c>
      <c r="N6157" s="76" t="str">
        <f t="shared" si="294"/>
        <v/>
      </c>
      <c r="O6157" s="33">
        <f t="shared" si="295"/>
        <v>0</v>
      </c>
    </row>
    <row r="6158" spans="1:15" x14ac:dyDescent="0.25">
      <c r="A6158" s="64" t="s">
        <v>194</v>
      </c>
      <c r="B6158" s="79" t="str">
        <f>IF('Twenty-Fifth'!B161="", "",'Twenty-Fifth'!B161)</f>
        <v/>
      </c>
      <c r="C6158" s="66" t="str">
        <f>IF('Twenty-Fifth'!C161="", "",'Twenty-Fifth'!C161)</f>
        <v/>
      </c>
      <c r="D6158" s="66" t="str">
        <f>IF('Twenty-Fifth'!D161="", "",'Twenty-Fifth'!D161)</f>
        <v/>
      </c>
      <c r="E6158" s="66" t="str">
        <f>IF('Twenty-Fifth'!E161="", "",'Twenty-Fifth'!E161)</f>
        <v/>
      </c>
      <c r="F6158" s="66" t="str">
        <f>IF('Twenty-Fifth'!F161="", "",'Twenty-Fifth'!F161)</f>
        <v/>
      </c>
      <c r="G6158" s="66" t="str">
        <f>IF('Twenty-Fifth'!G161="", "",'Twenty-Fifth'!G161)</f>
        <v/>
      </c>
      <c r="H6158" s="66" t="str">
        <f>IF('Twenty-Fifth'!H161="", "",'Twenty-Fifth'!H161)</f>
        <v/>
      </c>
      <c r="I6158" s="66" t="str">
        <f>IF('Twenty-Fifth'!I161="", "",'Twenty-Fifth'!I161)</f>
        <v/>
      </c>
      <c r="J6158" s="66" t="str">
        <f>IF('Twenty-Fifth'!J161="", "",'Twenty-Fifth'!J161)</f>
        <v/>
      </c>
      <c r="K6158" s="86" t="str">
        <f>IF('Twenty-Fifth'!K161="", "",'Twenty-Fifth'!K161)</f>
        <v/>
      </c>
      <c r="M6158" s="67" t="str">
        <f t="shared" si="293"/>
        <v/>
      </c>
      <c r="N6158" s="76" t="str">
        <f t="shared" si="294"/>
        <v/>
      </c>
      <c r="O6158" s="33">
        <f t="shared" si="295"/>
        <v>0</v>
      </c>
    </row>
    <row r="6159" spans="1:15" x14ac:dyDescent="0.25">
      <c r="A6159" s="64" t="s">
        <v>194</v>
      </c>
      <c r="B6159" s="79" t="str">
        <f>IF('Twenty-Fifth'!B162="", "",'Twenty-Fifth'!B162)</f>
        <v/>
      </c>
      <c r="C6159" s="66" t="str">
        <f>IF('Twenty-Fifth'!C162="", "",'Twenty-Fifth'!C162)</f>
        <v/>
      </c>
      <c r="D6159" s="66" t="str">
        <f>IF('Twenty-Fifth'!D162="", "",'Twenty-Fifth'!D162)</f>
        <v/>
      </c>
      <c r="E6159" s="66" t="str">
        <f>IF('Twenty-Fifth'!E162="", "",'Twenty-Fifth'!E162)</f>
        <v/>
      </c>
      <c r="F6159" s="66" t="str">
        <f>IF('Twenty-Fifth'!F162="", "",'Twenty-Fifth'!F162)</f>
        <v/>
      </c>
      <c r="G6159" s="66" t="str">
        <f>IF('Twenty-Fifth'!G162="", "",'Twenty-Fifth'!G162)</f>
        <v/>
      </c>
      <c r="H6159" s="66" t="str">
        <f>IF('Twenty-Fifth'!H162="", "",'Twenty-Fifth'!H162)</f>
        <v/>
      </c>
      <c r="I6159" s="66" t="str">
        <f>IF('Twenty-Fifth'!I162="", "",'Twenty-Fifth'!I162)</f>
        <v/>
      </c>
      <c r="J6159" s="66" t="str">
        <f>IF('Twenty-Fifth'!J162="", "",'Twenty-Fifth'!J162)</f>
        <v/>
      </c>
      <c r="K6159" s="86" t="str">
        <f>IF('Twenty-Fifth'!K162="", "",'Twenty-Fifth'!K162)</f>
        <v/>
      </c>
      <c r="M6159" s="67" t="str">
        <f t="shared" si="293"/>
        <v/>
      </c>
      <c r="N6159" s="76" t="str">
        <f t="shared" si="294"/>
        <v/>
      </c>
      <c r="O6159" s="33">
        <f t="shared" si="295"/>
        <v>0</v>
      </c>
    </row>
    <row r="6160" spans="1:15" x14ac:dyDescent="0.25">
      <c r="A6160" s="64" t="s">
        <v>194</v>
      </c>
      <c r="B6160" s="79" t="str">
        <f>IF('Twenty-Fifth'!B163="", "",'Twenty-Fifth'!B163)</f>
        <v/>
      </c>
      <c r="C6160" s="66" t="str">
        <f>IF('Twenty-Fifth'!C163="", "",'Twenty-Fifth'!C163)</f>
        <v/>
      </c>
      <c r="D6160" s="66" t="str">
        <f>IF('Twenty-Fifth'!D163="", "",'Twenty-Fifth'!D163)</f>
        <v/>
      </c>
      <c r="E6160" s="66" t="str">
        <f>IF('Twenty-Fifth'!E163="", "",'Twenty-Fifth'!E163)</f>
        <v/>
      </c>
      <c r="F6160" s="66" t="str">
        <f>IF('Twenty-Fifth'!F163="", "",'Twenty-Fifth'!F163)</f>
        <v/>
      </c>
      <c r="G6160" s="66" t="str">
        <f>IF('Twenty-Fifth'!G163="", "",'Twenty-Fifth'!G163)</f>
        <v/>
      </c>
      <c r="H6160" s="66" t="str">
        <f>IF('Twenty-Fifth'!H163="", "",'Twenty-Fifth'!H163)</f>
        <v/>
      </c>
      <c r="I6160" s="66" t="str">
        <f>IF('Twenty-Fifth'!I163="", "",'Twenty-Fifth'!I163)</f>
        <v/>
      </c>
      <c r="J6160" s="66" t="str">
        <f>IF('Twenty-Fifth'!J163="", "",'Twenty-Fifth'!J163)</f>
        <v/>
      </c>
      <c r="K6160" s="86" t="str">
        <f>IF('Twenty-Fifth'!K163="", "",'Twenty-Fifth'!K163)</f>
        <v/>
      </c>
      <c r="M6160" s="67" t="str">
        <f t="shared" si="293"/>
        <v/>
      </c>
      <c r="N6160" s="76" t="str">
        <f t="shared" si="294"/>
        <v/>
      </c>
      <c r="O6160" s="33">
        <f t="shared" si="295"/>
        <v>0</v>
      </c>
    </row>
    <row r="6161" spans="1:15" x14ac:dyDescent="0.25">
      <c r="A6161" s="64" t="s">
        <v>194</v>
      </c>
      <c r="B6161" s="79" t="str">
        <f>IF('Twenty-Fifth'!B164="", "",'Twenty-Fifth'!B164)</f>
        <v/>
      </c>
      <c r="C6161" s="66" t="str">
        <f>IF('Twenty-Fifth'!C164="", "",'Twenty-Fifth'!C164)</f>
        <v/>
      </c>
      <c r="D6161" s="66" t="str">
        <f>IF('Twenty-Fifth'!D164="", "",'Twenty-Fifth'!D164)</f>
        <v/>
      </c>
      <c r="E6161" s="66" t="str">
        <f>IF('Twenty-Fifth'!E164="", "",'Twenty-Fifth'!E164)</f>
        <v/>
      </c>
      <c r="F6161" s="66" t="str">
        <f>IF('Twenty-Fifth'!F164="", "",'Twenty-Fifth'!F164)</f>
        <v/>
      </c>
      <c r="G6161" s="66" t="str">
        <f>IF('Twenty-Fifth'!G164="", "",'Twenty-Fifth'!G164)</f>
        <v/>
      </c>
      <c r="H6161" s="66" t="str">
        <f>IF('Twenty-Fifth'!H164="", "",'Twenty-Fifth'!H164)</f>
        <v/>
      </c>
      <c r="I6161" s="66" t="str">
        <f>IF('Twenty-Fifth'!I164="", "",'Twenty-Fifth'!I164)</f>
        <v/>
      </c>
      <c r="J6161" s="66" t="str">
        <f>IF('Twenty-Fifth'!J164="", "",'Twenty-Fifth'!J164)</f>
        <v/>
      </c>
      <c r="K6161" s="86" t="str">
        <f>IF('Twenty-Fifth'!K164="", "",'Twenty-Fifth'!K164)</f>
        <v/>
      </c>
      <c r="M6161" s="67" t="str">
        <f t="shared" si="293"/>
        <v/>
      </c>
      <c r="N6161" s="76" t="str">
        <f t="shared" si="294"/>
        <v/>
      </c>
      <c r="O6161" s="33">
        <f t="shared" si="295"/>
        <v>0</v>
      </c>
    </row>
    <row r="6162" spans="1:15" x14ac:dyDescent="0.25">
      <c r="A6162" s="64" t="s">
        <v>194</v>
      </c>
      <c r="B6162" s="79" t="str">
        <f>IF('Twenty-Fifth'!B165="", "",'Twenty-Fifth'!B165)</f>
        <v/>
      </c>
      <c r="C6162" s="66" t="str">
        <f>IF('Twenty-Fifth'!C165="", "",'Twenty-Fifth'!C165)</f>
        <v/>
      </c>
      <c r="D6162" s="66" t="str">
        <f>IF('Twenty-Fifth'!D165="", "",'Twenty-Fifth'!D165)</f>
        <v/>
      </c>
      <c r="E6162" s="66" t="str">
        <f>IF('Twenty-Fifth'!E165="", "",'Twenty-Fifth'!E165)</f>
        <v/>
      </c>
      <c r="F6162" s="66" t="str">
        <f>IF('Twenty-Fifth'!F165="", "",'Twenty-Fifth'!F165)</f>
        <v/>
      </c>
      <c r="G6162" s="66" t="str">
        <f>IF('Twenty-Fifth'!G165="", "",'Twenty-Fifth'!G165)</f>
        <v/>
      </c>
      <c r="H6162" s="66" t="str">
        <f>IF('Twenty-Fifth'!H165="", "",'Twenty-Fifth'!H165)</f>
        <v/>
      </c>
      <c r="I6162" s="66" t="str">
        <f>IF('Twenty-Fifth'!I165="", "",'Twenty-Fifth'!I165)</f>
        <v/>
      </c>
      <c r="J6162" s="66" t="str">
        <f>IF('Twenty-Fifth'!J165="", "",'Twenty-Fifth'!J165)</f>
        <v/>
      </c>
      <c r="K6162" s="86" t="str">
        <f>IF('Twenty-Fifth'!K165="", "",'Twenty-Fifth'!K165)</f>
        <v/>
      </c>
      <c r="M6162" s="67" t="str">
        <f t="shared" si="293"/>
        <v/>
      </c>
      <c r="N6162" s="76" t="str">
        <f t="shared" si="294"/>
        <v/>
      </c>
      <c r="O6162" s="33">
        <f t="shared" si="295"/>
        <v>0</v>
      </c>
    </row>
    <row r="6163" spans="1:15" x14ac:dyDescent="0.25">
      <c r="A6163" s="64" t="s">
        <v>194</v>
      </c>
      <c r="B6163" s="79" t="str">
        <f>IF('Twenty-Fifth'!B166="", "",'Twenty-Fifth'!B166)</f>
        <v/>
      </c>
      <c r="C6163" s="66" t="str">
        <f>IF('Twenty-Fifth'!C166="", "",'Twenty-Fifth'!C166)</f>
        <v/>
      </c>
      <c r="D6163" s="66" t="str">
        <f>IF('Twenty-Fifth'!D166="", "",'Twenty-Fifth'!D166)</f>
        <v/>
      </c>
      <c r="E6163" s="66" t="str">
        <f>IF('Twenty-Fifth'!E166="", "",'Twenty-Fifth'!E166)</f>
        <v/>
      </c>
      <c r="F6163" s="66" t="str">
        <f>IF('Twenty-Fifth'!F166="", "",'Twenty-Fifth'!F166)</f>
        <v/>
      </c>
      <c r="G6163" s="66" t="str">
        <f>IF('Twenty-Fifth'!G166="", "",'Twenty-Fifth'!G166)</f>
        <v/>
      </c>
      <c r="H6163" s="66" t="str">
        <f>IF('Twenty-Fifth'!H166="", "",'Twenty-Fifth'!H166)</f>
        <v/>
      </c>
      <c r="I6163" s="66" t="str">
        <f>IF('Twenty-Fifth'!I166="", "",'Twenty-Fifth'!I166)</f>
        <v/>
      </c>
      <c r="J6163" s="66" t="str">
        <f>IF('Twenty-Fifth'!J166="", "",'Twenty-Fifth'!J166)</f>
        <v/>
      </c>
      <c r="K6163" s="86" t="str">
        <f>IF('Twenty-Fifth'!K166="", "",'Twenty-Fifth'!K166)</f>
        <v/>
      </c>
      <c r="M6163" s="67" t="str">
        <f t="shared" si="293"/>
        <v/>
      </c>
      <c r="N6163" s="76" t="str">
        <f t="shared" si="294"/>
        <v/>
      </c>
      <c r="O6163" s="33">
        <f t="shared" si="295"/>
        <v>0</v>
      </c>
    </row>
    <row r="6164" spans="1:15" x14ac:dyDescent="0.25">
      <c r="A6164" s="64" t="s">
        <v>194</v>
      </c>
      <c r="B6164" s="79" t="str">
        <f>IF('Twenty-Fifth'!B167="", "",'Twenty-Fifth'!B167)</f>
        <v/>
      </c>
      <c r="C6164" s="66" t="str">
        <f>IF('Twenty-Fifth'!C167="", "",'Twenty-Fifth'!C167)</f>
        <v/>
      </c>
      <c r="D6164" s="66" t="str">
        <f>IF('Twenty-Fifth'!D167="", "",'Twenty-Fifth'!D167)</f>
        <v/>
      </c>
      <c r="E6164" s="66" t="str">
        <f>IF('Twenty-Fifth'!E167="", "",'Twenty-Fifth'!E167)</f>
        <v/>
      </c>
      <c r="F6164" s="66" t="str">
        <f>IF('Twenty-Fifth'!F167="", "",'Twenty-Fifth'!F167)</f>
        <v/>
      </c>
      <c r="G6164" s="66" t="str">
        <f>IF('Twenty-Fifth'!G167="", "",'Twenty-Fifth'!G167)</f>
        <v/>
      </c>
      <c r="H6164" s="66" t="str">
        <f>IF('Twenty-Fifth'!H167="", "",'Twenty-Fifth'!H167)</f>
        <v/>
      </c>
      <c r="I6164" s="66" t="str">
        <f>IF('Twenty-Fifth'!I167="", "",'Twenty-Fifth'!I167)</f>
        <v/>
      </c>
      <c r="J6164" s="66" t="str">
        <f>IF('Twenty-Fifth'!J167="", "",'Twenty-Fifth'!J167)</f>
        <v/>
      </c>
      <c r="K6164" s="86" t="str">
        <f>IF('Twenty-Fifth'!K167="", "",'Twenty-Fifth'!K167)</f>
        <v/>
      </c>
      <c r="M6164" s="67" t="str">
        <f t="shared" si="293"/>
        <v/>
      </c>
      <c r="N6164" s="76" t="str">
        <f t="shared" si="294"/>
        <v/>
      </c>
      <c r="O6164" s="33">
        <f t="shared" si="295"/>
        <v>0</v>
      </c>
    </row>
    <row r="6165" spans="1:15" x14ac:dyDescent="0.25">
      <c r="A6165" s="64" t="s">
        <v>194</v>
      </c>
      <c r="B6165" s="79" t="str">
        <f>IF('Twenty-Fifth'!B168="", "",'Twenty-Fifth'!B168)</f>
        <v/>
      </c>
      <c r="C6165" s="66" t="str">
        <f>IF('Twenty-Fifth'!C168="", "",'Twenty-Fifth'!C168)</f>
        <v/>
      </c>
      <c r="D6165" s="66" t="str">
        <f>IF('Twenty-Fifth'!D168="", "",'Twenty-Fifth'!D168)</f>
        <v/>
      </c>
      <c r="E6165" s="66" t="str">
        <f>IF('Twenty-Fifth'!E168="", "",'Twenty-Fifth'!E168)</f>
        <v/>
      </c>
      <c r="F6165" s="66" t="str">
        <f>IF('Twenty-Fifth'!F168="", "",'Twenty-Fifth'!F168)</f>
        <v/>
      </c>
      <c r="G6165" s="66" t="str">
        <f>IF('Twenty-Fifth'!G168="", "",'Twenty-Fifth'!G168)</f>
        <v/>
      </c>
      <c r="H6165" s="66" t="str">
        <f>IF('Twenty-Fifth'!H168="", "",'Twenty-Fifth'!H168)</f>
        <v/>
      </c>
      <c r="I6165" s="66" t="str">
        <f>IF('Twenty-Fifth'!I168="", "",'Twenty-Fifth'!I168)</f>
        <v/>
      </c>
      <c r="J6165" s="66" t="str">
        <f>IF('Twenty-Fifth'!J168="", "",'Twenty-Fifth'!J168)</f>
        <v/>
      </c>
      <c r="K6165" s="86" t="str">
        <f>IF('Twenty-Fifth'!K168="", "",'Twenty-Fifth'!K168)</f>
        <v/>
      </c>
      <c r="M6165" s="67" t="str">
        <f t="shared" si="293"/>
        <v/>
      </c>
      <c r="N6165" s="76" t="str">
        <f t="shared" si="294"/>
        <v/>
      </c>
      <c r="O6165" s="33">
        <f t="shared" si="295"/>
        <v>0</v>
      </c>
    </row>
    <row r="6166" spans="1:15" x14ac:dyDescent="0.25">
      <c r="A6166" s="64" t="s">
        <v>194</v>
      </c>
      <c r="B6166" s="79" t="str">
        <f>IF('Twenty-Fifth'!B169="", "",'Twenty-Fifth'!B169)</f>
        <v/>
      </c>
      <c r="C6166" s="66" t="str">
        <f>IF('Twenty-Fifth'!C169="", "",'Twenty-Fifth'!C169)</f>
        <v/>
      </c>
      <c r="D6166" s="66" t="str">
        <f>IF('Twenty-Fifth'!D169="", "",'Twenty-Fifth'!D169)</f>
        <v/>
      </c>
      <c r="E6166" s="66" t="str">
        <f>IF('Twenty-Fifth'!E169="", "",'Twenty-Fifth'!E169)</f>
        <v/>
      </c>
      <c r="F6166" s="66" t="str">
        <f>IF('Twenty-Fifth'!F169="", "",'Twenty-Fifth'!F169)</f>
        <v/>
      </c>
      <c r="G6166" s="66" t="str">
        <f>IF('Twenty-Fifth'!G169="", "",'Twenty-Fifth'!G169)</f>
        <v/>
      </c>
      <c r="H6166" s="66" t="str">
        <f>IF('Twenty-Fifth'!H169="", "",'Twenty-Fifth'!H169)</f>
        <v/>
      </c>
      <c r="I6166" s="66" t="str">
        <f>IF('Twenty-Fifth'!I169="", "",'Twenty-Fifth'!I169)</f>
        <v/>
      </c>
      <c r="J6166" s="66" t="str">
        <f>IF('Twenty-Fifth'!J169="", "",'Twenty-Fifth'!J169)</f>
        <v/>
      </c>
      <c r="K6166" s="86" t="str">
        <f>IF('Twenty-Fifth'!K169="", "",'Twenty-Fifth'!K169)</f>
        <v/>
      </c>
      <c r="M6166" s="67" t="str">
        <f t="shared" si="293"/>
        <v/>
      </c>
      <c r="N6166" s="76" t="str">
        <f t="shared" si="294"/>
        <v/>
      </c>
      <c r="O6166" s="33">
        <f t="shared" si="295"/>
        <v>0</v>
      </c>
    </row>
    <row r="6167" spans="1:15" x14ac:dyDescent="0.25">
      <c r="A6167" s="64" t="s">
        <v>194</v>
      </c>
      <c r="B6167" s="79" t="str">
        <f>IF('Twenty-Fifth'!B170="", "",'Twenty-Fifth'!B170)</f>
        <v/>
      </c>
      <c r="C6167" s="66" t="str">
        <f>IF('Twenty-Fifth'!C170="", "",'Twenty-Fifth'!C170)</f>
        <v/>
      </c>
      <c r="D6167" s="66" t="str">
        <f>IF('Twenty-Fifth'!D170="", "",'Twenty-Fifth'!D170)</f>
        <v/>
      </c>
      <c r="E6167" s="66" t="str">
        <f>IF('Twenty-Fifth'!E170="", "",'Twenty-Fifth'!E170)</f>
        <v/>
      </c>
      <c r="F6167" s="66" t="str">
        <f>IF('Twenty-Fifth'!F170="", "",'Twenty-Fifth'!F170)</f>
        <v/>
      </c>
      <c r="G6167" s="66" t="str">
        <f>IF('Twenty-Fifth'!G170="", "",'Twenty-Fifth'!G170)</f>
        <v/>
      </c>
      <c r="H6167" s="66" t="str">
        <f>IF('Twenty-Fifth'!H170="", "",'Twenty-Fifth'!H170)</f>
        <v/>
      </c>
      <c r="I6167" s="66" t="str">
        <f>IF('Twenty-Fifth'!I170="", "",'Twenty-Fifth'!I170)</f>
        <v/>
      </c>
      <c r="J6167" s="66" t="str">
        <f>IF('Twenty-Fifth'!J170="", "",'Twenty-Fifth'!J170)</f>
        <v/>
      </c>
      <c r="K6167" s="86" t="str">
        <f>IF('Twenty-Fifth'!K170="", "",'Twenty-Fifth'!K170)</f>
        <v/>
      </c>
      <c r="M6167" s="67" t="str">
        <f t="shared" si="293"/>
        <v/>
      </c>
      <c r="N6167" s="76" t="str">
        <f t="shared" si="294"/>
        <v/>
      </c>
      <c r="O6167" s="33">
        <f t="shared" si="295"/>
        <v>0</v>
      </c>
    </row>
    <row r="6168" spans="1:15" x14ac:dyDescent="0.25">
      <c r="A6168" s="64" t="s">
        <v>194</v>
      </c>
      <c r="B6168" s="79" t="str">
        <f>IF('Twenty-Fifth'!B171="", "",'Twenty-Fifth'!B171)</f>
        <v/>
      </c>
      <c r="C6168" s="66" t="str">
        <f>IF('Twenty-Fifth'!C171="", "",'Twenty-Fifth'!C171)</f>
        <v/>
      </c>
      <c r="D6168" s="66" t="str">
        <f>IF('Twenty-Fifth'!D171="", "",'Twenty-Fifth'!D171)</f>
        <v/>
      </c>
      <c r="E6168" s="66" t="str">
        <f>IF('Twenty-Fifth'!E171="", "",'Twenty-Fifth'!E171)</f>
        <v/>
      </c>
      <c r="F6168" s="66" t="str">
        <f>IF('Twenty-Fifth'!F171="", "",'Twenty-Fifth'!F171)</f>
        <v/>
      </c>
      <c r="G6168" s="66" t="str">
        <f>IF('Twenty-Fifth'!G171="", "",'Twenty-Fifth'!G171)</f>
        <v/>
      </c>
      <c r="H6168" s="66" t="str">
        <f>IF('Twenty-Fifth'!H171="", "",'Twenty-Fifth'!H171)</f>
        <v/>
      </c>
      <c r="I6168" s="66" t="str">
        <f>IF('Twenty-Fifth'!I171="", "",'Twenty-Fifth'!I171)</f>
        <v/>
      </c>
      <c r="J6168" s="66" t="str">
        <f>IF('Twenty-Fifth'!J171="", "",'Twenty-Fifth'!J171)</f>
        <v/>
      </c>
      <c r="K6168" s="86" t="str">
        <f>IF('Twenty-Fifth'!K171="", "",'Twenty-Fifth'!K171)</f>
        <v/>
      </c>
      <c r="M6168" s="67" t="str">
        <f t="shared" si="293"/>
        <v/>
      </c>
      <c r="N6168" s="76" t="str">
        <f t="shared" si="294"/>
        <v/>
      </c>
      <c r="O6168" s="33">
        <f t="shared" si="295"/>
        <v>0</v>
      </c>
    </row>
    <row r="6169" spans="1:15" x14ac:dyDescent="0.25">
      <c r="A6169" s="64" t="s">
        <v>194</v>
      </c>
      <c r="B6169" s="79" t="str">
        <f>IF('Twenty-Fifth'!B172="", "",'Twenty-Fifth'!B172)</f>
        <v/>
      </c>
      <c r="C6169" s="66" t="str">
        <f>IF('Twenty-Fifth'!C172="", "",'Twenty-Fifth'!C172)</f>
        <v/>
      </c>
      <c r="D6169" s="66" t="str">
        <f>IF('Twenty-Fifth'!D172="", "",'Twenty-Fifth'!D172)</f>
        <v/>
      </c>
      <c r="E6169" s="66" t="str">
        <f>IF('Twenty-Fifth'!E172="", "",'Twenty-Fifth'!E172)</f>
        <v/>
      </c>
      <c r="F6169" s="66" t="str">
        <f>IF('Twenty-Fifth'!F172="", "",'Twenty-Fifth'!F172)</f>
        <v/>
      </c>
      <c r="G6169" s="66" t="str">
        <f>IF('Twenty-Fifth'!G172="", "",'Twenty-Fifth'!G172)</f>
        <v/>
      </c>
      <c r="H6169" s="66" t="str">
        <f>IF('Twenty-Fifth'!H172="", "",'Twenty-Fifth'!H172)</f>
        <v/>
      </c>
      <c r="I6169" s="66" t="str">
        <f>IF('Twenty-Fifth'!I172="", "",'Twenty-Fifth'!I172)</f>
        <v/>
      </c>
      <c r="J6169" s="66" t="str">
        <f>IF('Twenty-Fifth'!J172="", "",'Twenty-Fifth'!J172)</f>
        <v/>
      </c>
      <c r="K6169" s="86" t="str">
        <f>IF('Twenty-Fifth'!K172="", "",'Twenty-Fifth'!K172)</f>
        <v/>
      </c>
      <c r="M6169" s="67" t="str">
        <f t="shared" si="293"/>
        <v/>
      </c>
      <c r="N6169" s="76" t="str">
        <f t="shared" si="294"/>
        <v/>
      </c>
      <c r="O6169" s="33">
        <f t="shared" si="295"/>
        <v>0</v>
      </c>
    </row>
    <row r="6170" spans="1:15" x14ac:dyDescent="0.25">
      <c r="A6170" s="64" t="s">
        <v>194</v>
      </c>
      <c r="B6170" s="79" t="str">
        <f>IF('Twenty-Fifth'!B173="", "",'Twenty-Fifth'!B173)</f>
        <v/>
      </c>
      <c r="C6170" s="66" t="str">
        <f>IF('Twenty-Fifth'!C173="", "",'Twenty-Fifth'!C173)</f>
        <v/>
      </c>
      <c r="D6170" s="66" t="str">
        <f>IF('Twenty-Fifth'!D173="", "",'Twenty-Fifth'!D173)</f>
        <v/>
      </c>
      <c r="E6170" s="66" t="str">
        <f>IF('Twenty-Fifth'!E173="", "",'Twenty-Fifth'!E173)</f>
        <v/>
      </c>
      <c r="F6170" s="66" t="str">
        <f>IF('Twenty-Fifth'!F173="", "",'Twenty-Fifth'!F173)</f>
        <v/>
      </c>
      <c r="G6170" s="66" t="str">
        <f>IF('Twenty-Fifth'!G173="", "",'Twenty-Fifth'!G173)</f>
        <v/>
      </c>
      <c r="H6170" s="66" t="str">
        <f>IF('Twenty-Fifth'!H173="", "",'Twenty-Fifth'!H173)</f>
        <v/>
      </c>
      <c r="I6170" s="66" t="str">
        <f>IF('Twenty-Fifth'!I173="", "",'Twenty-Fifth'!I173)</f>
        <v/>
      </c>
      <c r="J6170" s="66" t="str">
        <f>IF('Twenty-Fifth'!J173="", "",'Twenty-Fifth'!J173)</f>
        <v/>
      </c>
      <c r="K6170" s="86" t="str">
        <f>IF('Twenty-Fifth'!K173="", "",'Twenty-Fifth'!K173)</f>
        <v/>
      </c>
      <c r="M6170" s="67" t="str">
        <f t="shared" si="293"/>
        <v/>
      </c>
      <c r="N6170" s="76" t="str">
        <f t="shared" si="294"/>
        <v/>
      </c>
      <c r="O6170" s="33">
        <f t="shared" si="295"/>
        <v>0</v>
      </c>
    </row>
    <row r="6171" spans="1:15" x14ac:dyDescent="0.25">
      <c r="A6171" s="64" t="s">
        <v>194</v>
      </c>
      <c r="B6171" s="79" t="str">
        <f>IF('Twenty-Fifth'!B174="", "",'Twenty-Fifth'!B174)</f>
        <v/>
      </c>
      <c r="C6171" s="66" t="str">
        <f>IF('Twenty-Fifth'!C174="", "",'Twenty-Fifth'!C174)</f>
        <v/>
      </c>
      <c r="D6171" s="66" t="str">
        <f>IF('Twenty-Fifth'!D174="", "",'Twenty-Fifth'!D174)</f>
        <v/>
      </c>
      <c r="E6171" s="66" t="str">
        <f>IF('Twenty-Fifth'!E174="", "",'Twenty-Fifth'!E174)</f>
        <v/>
      </c>
      <c r="F6171" s="66" t="str">
        <f>IF('Twenty-Fifth'!F174="", "",'Twenty-Fifth'!F174)</f>
        <v/>
      </c>
      <c r="G6171" s="66" t="str">
        <f>IF('Twenty-Fifth'!G174="", "",'Twenty-Fifth'!G174)</f>
        <v/>
      </c>
      <c r="H6171" s="66" t="str">
        <f>IF('Twenty-Fifth'!H174="", "",'Twenty-Fifth'!H174)</f>
        <v/>
      </c>
      <c r="I6171" s="66" t="str">
        <f>IF('Twenty-Fifth'!I174="", "",'Twenty-Fifth'!I174)</f>
        <v/>
      </c>
      <c r="J6171" s="66" t="str">
        <f>IF('Twenty-Fifth'!J174="", "",'Twenty-Fifth'!J174)</f>
        <v/>
      </c>
      <c r="K6171" s="86" t="str">
        <f>IF('Twenty-Fifth'!K174="", "",'Twenty-Fifth'!K174)</f>
        <v/>
      </c>
      <c r="M6171" s="67" t="str">
        <f t="shared" si="293"/>
        <v/>
      </c>
      <c r="N6171" s="76" t="str">
        <f t="shared" si="294"/>
        <v/>
      </c>
      <c r="O6171" s="33">
        <f t="shared" si="295"/>
        <v>0</v>
      </c>
    </row>
    <row r="6172" spans="1:15" x14ac:dyDescent="0.25">
      <c r="A6172" s="64" t="s">
        <v>194</v>
      </c>
      <c r="B6172" s="79" t="str">
        <f>IF('Twenty-Fifth'!B175="", "",'Twenty-Fifth'!B175)</f>
        <v/>
      </c>
      <c r="C6172" s="66" t="str">
        <f>IF('Twenty-Fifth'!C175="", "",'Twenty-Fifth'!C175)</f>
        <v/>
      </c>
      <c r="D6172" s="66" t="str">
        <f>IF('Twenty-Fifth'!D175="", "",'Twenty-Fifth'!D175)</f>
        <v/>
      </c>
      <c r="E6172" s="66" t="str">
        <f>IF('Twenty-Fifth'!E175="", "",'Twenty-Fifth'!E175)</f>
        <v/>
      </c>
      <c r="F6172" s="66" t="str">
        <f>IF('Twenty-Fifth'!F175="", "",'Twenty-Fifth'!F175)</f>
        <v/>
      </c>
      <c r="G6172" s="66" t="str">
        <f>IF('Twenty-Fifth'!G175="", "",'Twenty-Fifth'!G175)</f>
        <v/>
      </c>
      <c r="H6172" s="66" t="str">
        <f>IF('Twenty-Fifth'!H175="", "",'Twenty-Fifth'!H175)</f>
        <v/>
      </c>
      <c r="I6172" s="66" t="str">
        <f>IF('Twenty-Fifth'!I175="", "",'Twenty-Fifth'!I175)</f>
        <v/>
      </c>
      <c r="J6172" s="66" t="str">
        <f>IF('Twenty-Fifth'!J175="", "",'Twenty-Fifth'!J175)</f>
        <v/>
      </c>
      <c r="K6172" s="86" t="str">
        <f>IF('Twenty-Fifth'!K175="", "",'Twenty-Fifth'!K175)</f>
        <v/>
      </c>
      <c r="M6172" s="67" t="str">
        <f t="shared" si="293"/>
        <v/>
      </c>
      <c r="N6172" s="76" t="str">
        <f t="shared" si="294"/>
        <v/>
      </c>
      <c r="O6172" s="33">
        <f t="shared" si="295"/>
        <v>0</v>
      </c>
    </row>
    <row r="6173" spans="1:15" x14ac:dyDescent="0.25">
      <c r="A6173" s="64" t="s">
        <v>194</v>
      </c>
      <c r="B6173" s="79" t="str">
        <f>IF('Twenty-Fifth'!B176="", "",'Twenty-Fifth'!B176)</f>
        <v/>
      </c>
      <c r="C6173" s="66" t="str">
        <f>IF('Twenty-Fifth'!C176="", "",'Twenty-Fifth'!C176)</f>
        <v/>
      </c>
      <c r="D6173" s="66" t="str">
        <f>IF('Twenty-Fifth'!D176="", "",'Twenty-Fifth'!D176)</f>
        <v/>
      </c>
      <c r="E6173" s="66" t="str">
        <f>IF('Twenty-Fifth'!E176="", "",'Twenty-Fifth'!E176)</f>
        <v/>
      </c>
      <c r="F6173" s="66" t="str">
        <f>IF('Twenty-Fifth'!F176="", "",'Twenty-Fifth'!F176)</f>
        <v/>
      </c>
      <c r="G6173" s="66" t="str">
        <f>IF('Twenty-Fifth'!G176="", "",'Twenty-Fifth'!G176)</f>
        <v/>
      </c>
      <c r="H6173" s="66" t="str">
        <f>IF('Twenty-Fifth'!H176="", "",'Twenty-Fifth'!H176)</f>
        <v/>
      </c>
      <c r="I6173" s="66" t="str">
        <f>IF('Twenty-Fifth'!I176="", "",'Twenty-Fifth'!I176)</f>
        <v/>
      </c>
      <c r="J6173" s="66" t="str">
        <f>IF('Twenty-Fifth'!J176="", "",'Twenty-Fifth'!J176)</f>
        <v/>
      </c>
      <c r="K6173" s="86" t="str">
        <f>IF('Twenty-Fifth'!K176="", "",'Twenty-Fifth'!K176)</f>
        <v/>
      </c>
      <c r="M6173" s="67" t="str">
        <f t="shared" si="293"/>
        <v/>
      </c>
      <c r="N6173" s="76" t="str">
        <f t="shared" si="294"/>
        <v/>
      </c>
      <c r="O6173" s="33">
        <f t="shared" si="295"/>
        <v>0</v>
      </c>
    </row>
    <row r="6174" spans="1:15" x14ac:dyDescent="0.25">
      <c r="A6174" s="64" t="s">
        <v>194</v>
      </c>
      <c r="B6174" s="79" t="str">
        <f>IF('Twenty-Fifth'!B177="", "",'Twenty-Fifth'!B177)</f>
        <v/>
      </c>
      <c r="C6174" s="66" t="str">
        <f>IF('Twenty-Fifth'!C177="", "",'Twenty-Fifth'!C177)</f>
        <v/>
      </c>
      <c r="D6174" s="66" t="str">
        <f>IF('Twenty-Fifth'!D177="", "",'Twenty-Fifth'!D177)</f>
        <v/>
      </c>
      <c r="E6174" s="66" t="str">
        <f>IF('Twenty-Fifth'!E177="", "",'Twenty-Fifth'!E177)</f>
        <v/>
      </c>
      <c r="F6174" s="66" t="str">
        <f>IF('Twenty-Fifth'!F177="", "",'Twenty-Fifth'!F177)</f>
        <v/>
      </c>
      <c r="G6174" s="66" t="str">
        <f>IF('Twenty-Fifth'!G177="", "",'Twenty-Fifth'!G177)</f>
        <v/>
      </c>
      <c r="H6174" s="66" t="str">
        <f>IF('Twenty-Fifth'!H177="", "",'Twenty-Fifth'!H177)</f>
        <v/>
      </c>
      <c r="I6174" s="66" t="str">
        <f>IF('Twenty-Fifth'!I177="", "",'Twenty-Fifth'!I177)</f>
        <v/>
      </c>
      <c r="J6174" s="66" t="str">
        <f>IF('Twenty-Fifth'!J177="", "",'Twenty-Fifth'!J177)</f>
        <v/>
      </c>
      <c r="K6174" s="86" t="str">
        <f>IF('Twenty-Fifth'!K177="", "",'Twenty-Fifth'!K177)</f>
        <v/>
      </c>
      <c r="M6174" s="67" t="str">
        <f t="shared" si="293"/>
        <v/>
      </c>
      <c r="N6174" s="76" t="str">
        <f t="shared" si="294"/>
        <v/>
      </c>
      <c r="O6174" s="33">
        <f t="shared" si="295"/>
        <v>0</v>
      </c>
    </row>
    <row r="6175" spans="1:15" x14ac:dyDescent="0.25">
      <c r="A6175" s="64" t="s">
        <v>194</v>
      </c>
      <c r="B6175" s="79" t="str">
        <f>IF('Twenty-Fifth'!B178="", "",'Twenty-Fifth'!B178)</f>
        <v/>
      </c>
      <c r="C6175" s="66" t="str">
        <f>IF('Twenty-Fifth'!C178="", "",'Twenty-Fifth'!C178)</f>
        <v/>
      </c>
      <c r="D6175" s="66" t="str">
        <f>IF('Twenty-Fifth'!D178="", "",'Twenty-Fifth'!D178)</f>
        <v/>
      </c>
      <c r="E6175" s="66" t="str">
        <f>IF('Twenty-Fifth'!E178="", "",'Twenty-Fifth'!E178)</f>
        <v/>
      </c>
      <c r="F6175" s="66" t="str">
        <f>IF('Twenty-Fifth'!F178="", "",'Twenty-Fifth'!F178)</f>
        <v/>
      </c>
      <c r="G6175" s="66" t="str">
        <f>IF('Twenty-Fifth'!G178="", "",'Twenty-Fifth'!G178)</f>
        <v/>
      </c>
      <c r="H6175" s="66" t="str">
        <f>IF('Twenty-Fifth'!H178="", "",'Twenty-Fifth'!H178)</f>
        <v/>
      </c>
      <c r="I6175" s="66" t="str">
        <f>IF('Twenty-Fifth'!I178="", "",'Twenty-Fifth'!I178)</f>
        <v/>
      </c>
      <c r="J6175" s="66" t="str">
        <f>IF('Twenty-Fifth'!J178="", "",'Twenty-Fifth'!J178)</f>
        <v/>
      </c>
      <c r="K6175" s="86" t="str">
        <f>IF('Twenty-Fifth'!K178="", "",'Twenty-Fifth'!K178)</f>
        <v/>
      </c>
      <c r="M6175" s="67" t="str">
        <f t="shared" si="293"/>
        <v/>
      </c>
      <c r="N6175" s="76" t="str">
        <f t="shared" si="294"/>
        <v/>
      </c>
      <c r="O6175" s="33">
        <f t="shared" si="295"/>
        <v>0</v>
      </c>
    </row>
    <row r="6176" spans="1:15" x14ac:dyDescent="0.25">
      <c r="A6176" s="64" t="s">
        <v>194</v>
      </c>
      <c r="B6176" s="79" t="str">
        <f>IF('Twenty-Fifth'!B179="", "",'Twenty-Fifth'!B179)</f>
        <v/>
      </c>
      <c r="C6176" s="66" t="str">
        <f>IF('Twenty-Fifth'!C179="", "",'Twenty-Fifth'!C179)</f>
        <v/>
      </c>
      <c r="D6176" s="66" t="str">
        <f>IF('Twenty-Fifth'!D179="", "",'Twenty-Fifth'!D179)</f>
        <v/>
      </c>
      <c r="E6176" s="66" t="str">
        <f>IF('Twenty-Fifth'!E179="", "",'Twenty-Fifth'!E179)</f>
        <v/>
      </c>
      <c r="F6176" s="66" t="str">
        <f>IF('Twenty-Fifth'!F179="", "",'Twenty-Fifth'!F179)</f>
        <v/>
      </c>
      <c r="G6176" s="66" t="str">
        <f>IF('Twenty-Fifth'!G179="", "",'Twenty-Fifth'!G179)</f>
        <v/>
      </c>
      <c r="H6176" s="66" t="str">
        <f>IF('Twenty-Fifth'!H179="", "",'Twenty-Fifth'!H179)</f>
        <v/>
      </c>
      <c r="I6176" s="66" t="str">
        <f>IF('Twenty-Fifth'!I179="", "",'Twenty-Fifth'!I179)</f>
        <v/>
      </c>
      <c r="J6176" s="66" t="str">
        <f>IF('Twenty-Fifth'!J179="", "",'Twenty-Fifth'!J179)</f>
        <v/>
      </c>
      <c r="K6176" s="86" t="str">
        <f>IF('Twenty-Fifth'!K179="", "",'Twenty-Fifth'!K179)</f>
        <v/>
      </c>
      <c r="M6176" s="67" t="str">
        <f t="shared" si="293"/>
        <v/>
      </c>
      <c r="N6176" s="76" t="str">
        <f t="shared" si="294"/>
        <v/>
      </c>
      <c r="O6176" s="33">
        <f t="shared" si="295"/>
        <v>0</v>
      </c>
    </row>
    <row r="6177" spans="1:15" x14ac:dyDescent="0.25">
      <c r="A6177" s="64" t="s">
        <v>194</v>
      </c>
      <c r="B6177" s="79" t="str">
        <f>IF('Twenty-Fifth'!B180="", "",'Twenty-Fifth'!B180)</f>
        <v/>
      </c>
      <c r="C6177" s="66" t="str">
        <f>IF('Twenty-Fifth'!C180="", "",'Twenty-Fifth'!C180)</f>
        <v/>
      </c>
      <c r="D6177" s="66" t="str">
        <f>IF('Twenty-Fifth'!D180="", "",'Twenty-Fifth'!D180)</f>
        <v/>
      </c>
      <c r="E6177" s="66" t="str">
        <f>IF('Twenty-Fifth'!E180="", "",'Twenty-Fifth'!E180)</f>
        <v/>
      </c>
      <c r="F6177" s="66" t="str">
        <f>IF('Twenty-Fifth'!F180="", "",'Twenty-Fifth'!F180)</f>
        <v/>
      </c>
      <c r="G6177" s="66" t="str">
        <f>IF('Twenty-Fifth'!G180="", "",'Twenty-Fifth'!G180)</f>
        <v/>
      </c>
      <c r="H6177" s="66" t="str">
        <f>IF('Twenty-Fifth'!H180="", "",'Twenty-Fifth'!H180)</f>
        <v/>
      </c>
      <c r="I6177" s="66" t="str">
        <f>IF('Twenty-Fifth'!I180="", "",'Twenty-Fifth'!I180)</f>
        <v/>
      </c>
      <c r="J6177" s="66" t="str">
        <f>IF('Twenty-Fifth'!J180="", "",'Twenty-Fifth'!J180)</f>
        <v/>
      </c>
      <c r="K6177" s="86" t="str">
        <f>IF('Twenty-Fifth'!K180="", "",'Twenty-Fifth'!K180)</f>
        <v/>
      </c>
      <c r="M6177" s="67" t="str">
        <f t="shared" si="293"/>
        <v/>
      </c>
      <c r="N6177" s="76" t="str">
        <f t="shared" si="294"/>
        <v/>
      </c>
      <c r="O6177" s="33">
        <f t="shared" si="295"/>
        <v>0</v>
      </c>
    </row>
    <row r="6178" spans="1:15" x14ac:dyDescent="0.25">
      <c r="A6178" s="64" t="s">
        <v>194</v>
      </c>
      <c r="B6178" s="79" t="str">
        <f>IF('Twenty-Fifth'!B181="", "",'Twenty-Fifth'!B181)</f>
        <v/>
      </c>
      <c r="C6178" s="66" t="str">
        <f>IF('Twenty-Fifth'!C181="", "",'Twenty-Fifth'!C181)</f>
        <v/>
      </c>
      <c r="D6178" s="66" t="str">
        <f>IF('Twenty-Fifth'!D181="", "",'Twenty-Fifth'!D181)</f>
        <v/>
      </c>
      <c r="E6178" s="66" t="str">
        <f>IF('Twenty-Fifth'!E181="", "",'Twenty-Fifth'!E181)</f>
        <v/>
      </c>
      <c r="F6178" s="66" t="str">
        <f>IF('Twenty-Fifth'!F181="", "",'Twenty-Fifth'!F181)</f>
        <v/>
      </c>
      <c r="G6178" s="66" t="str">
        <f>IF('Twenty-Fifth'!G181="", "",'Twenty-Fifth'!G181)</f>
        <v/>
      </c>
      <c r="H6178" s="66" t="str">
        <f>IF('Twenty-Fifth'!H181="", "",'Twenty-Fifth'!H181)</f>
        <v/>
      </c>
      <c r="I6178" s="66" t="str">
        <f>IF('Twenty-Fifth'!I181="", "",'Twenty-Fifth'!I181)</f>
        <v/>
      </c>
      <c r="J6178" s="66" t="str">
        <f>IF('Twenty-Fifth'!J181="", "",'Twenty-Fifth'!J181)</f>
        <v/>
      </c>
      <c r="K6178" s="86" t="str">
        <f>IF('Twenty-Fifth'!K181="", "",'Twenty-Fifth'!K181)</f>
        <v/>
      </c>
      <c r="M6178" s="67" t="str">
        <f t="shared" si="293"/>
        <v/>
      </c>
      <c r="N6178" s="76" t="str">
        <f t="shared" si="294"/>
        <v/>
      </c>
      <c r="O6178" s="33">
        <f t="shared" si="295"/>
        <v>0</v>
      </c>
    </row>
    <row r="6179" spans="1:15" x14ac:dyDescent="0.25">
      <c r="A6179" s="64" t="s">
        <v>194</v>
      </c>
      <c r="B6179" s="79" t="str">
        <f>IF('Twenty-Fifth'!B182="", "",'Twenty-Fifth'!B182)</f>
        <v/>
      </c>
      <c r="C6179" s="66" t="str">
        <f>IF('Twenty-Fifth'!C182="", "",'Twenty-Fifth'!C182)</f>
        <v/>
      </c>
      <c r="D6179" s="66" t="str">
        <f>IF('Twenty-Fifth'!D182="", "",'Twenty-Fifth'!D182)</f>
        <v/>
      </c>
      <c r="E6179" s="66" t="str">
        <f>IF('Twenty-Fifth'!E182="", "",'Twenty-Fifth'!E182)</f>
        <v/>
      </c>
      <c r="F6179" s="66" t="str">
        <f>IF('Twenty-Fifth'!F182="", "",'Twenty-Fifth'!F182)</f>
        <v/>
      </c>
      <c r="G6179" s="66" t="str">
        <f>IF('Twenty-Fifth'!G182="", "",'Twenty-Fifth'!G182)</f>
        <v/>
      </c>
      <c r="H6179" s="66" t="str">
        <f>IF('Twenty-Fifth'!H182="", "",'Twenty-Fifth'!H182)</f>
        <v/>
      </c>
      <c r="I6179" s="66" t="str">
        <f>IF('Twenty-Fifth'!I182="", "",'Twenty-Fifth'!I182)</f>
        <v/>
      </c>
      <c r="J6179" s="66" t="str">
        <f>IF('Twenty-Fifth'!J182="", "",'Twenty-Fifth'!J182)</f>
        <v/>
      </c>
      <c r="K6179" s="86" t="str">
        <f>IF('Twenty-Fifth'!K182="", "",'Twenty-Fifth'!K182)</f>
        <v/>
      </c>
      <c r="M6179" s="67" t="str">
        <f t="shared" si="293"/>
        <v/>
      </c>
      <c r="N6179" s="76" t="str">
        <f t="shared" si="294"/>
        <v/>
      </c>
      <c r="O6179" s="33">
        <f t="shared" si="295"/>
        <v>0</v>
      </c>
    </row>
    <row r="6180" spans="1:15" x14ac:dyDescent="0.25">
      <c r="A6180" s="64" t="s">
        <v>194</v>
      </c>
      <c r="B6180" s="79" t="str">
        <f>IF('Twenty-Fifth'!B183="", "",'Twenty-Fifth'!B183)</f>
        <v/>
      </c>
      <c r="C6180" s="66" t="str">
        <f>IF('Twenty-Fifth'!C183="", "",'Twenty-Fifth'!C183)</f>
        <v/>
      </c>
      <c r="D6180" s="66" t="str">
        <f>IF('Twenty-Fifth'!D183="", "",'Twenty-Fifth'!D183)</f>
        <v/>
      </c>
      <c r="E6180" s="66" t="str">
        <f>IF('Twenty-Fifth'!E183="", "",'Twenty-Fifth'!E183)</f>
        <v/>
      </c>
      <c r="F6180" s="66" t="str">
        <f>IF('Twenty-Fifth'!F183="", "",'Twenty-Fifth'!F183)</f>
        <v/>
      </c>
      <c r="G6180" s="66" t="str">
        <f>IF('Twenty-Fifth'!G183="", "",'Twenty-Fifth'!G183)</f>
        <v/>
      </c>
      <c r="H6180" s="66" t="str">
        <f>IF('Twenty-Fifth'!H183="", "",'Twenty-Fifth'!H183)</f>
        <v/>
      </c>
      <c r="I6180" s="66" t="str">
        <f>IF('Twenty-Fifth'!I183="", "",'Twenty-Fifth'!I183)</f>
        <v/>
      </c>
      <c r="J6180" s="66" t="str">
        <f>IF('Twenty-Fifth'!J183="", "",'Twenty-Fifth'!J183)</f>
        <v/>
      </c>
      <c r="K6180" s="86" t="str">
        <f>IF('Twenty-Fifth'!K183="", "",'Twenty-Fifth'!K183)</f>
        <v/>
      </c>
      <c r="M6180" s="67" t="str">
        <f t="shared" si="293"/>
        <v/>
      </c>
      <c r="N6180" s="76" t="str">
        <f t="shared" si="294"/>
        <v/>
      </c>
      <c r="O6180" s="33">
        <f t="shared" si="295"/>
        <v>0</v>
      </c>
    </row>
    <row r="6181" spans="1:15" x14ac:dyDescent="0.25">
      <c r="A6181" s="64" t="s">
        <v>194</v>
      </c>
      <c r="B6181" s="79" t="str">
        <f>IF('Twenty-Fifth'!B184="", "",'Twenty-Fifth'!B184)</f>
        <v/>
      </c>
      <c r="C6181" s="66" t="str">
        <f>IF('Twenty-Fifth'!C184="", "",'Twenty-Fifth'!C184)</f>
        <v/>
      </c>
      <c r="D6181" s="66" t="str">
        <f>IF('Twenty-Fifth'!D184="", "",'Twenty-Fifth'!D184)</f>
        <v/>
      </c>
      <c r="E6181" s="66" t="str">
        <f>IF('Twenty-Fifth'!E184="", "",'Twenty-Fifth'!E184)</f>
        <v/>
      </c>
      <c r="F6181" s="66" t="str">
        <f>IF('Twenty-Fifth'!F184="", "",'Twenty-Fifth'!F184)</f>
        <v/>
      </c>
      <c r="G6181" s="66" t="str">
        <f>IF('Twenty-Fifth'!G184="", "",'Twenty-Fifth'!G184)</f>
        <v/>
      </c>
      <c r="H6181" s="66" t="str">
        <f>IF('Twenty-Fifth'!H184="", "",'Twenty-Fifth'!H184)</f>
        <v/>
      </c>
      <c r="I6181" s="66" t="str">
        <f>IF('Twenty-Fifth'!I184="", "",'Twenty-Fifth'!I184)</f>
        <v/>
      </c>
      <c r="J6181" s="66" t="str">
        <f>IF('Twenty-Fifth'!J184="", "",'Twenty-Fifth'!J184)</f>
        <v/>
      </c>
      <c r="K6181" s="86" t="str">
        <f>IF('Twenty-Fifth'!K184="", "",'Twenty-Fifth'!K184)</f>
        <v/>
      </c>
      <c r="M6181" s="67" t="str">
        <f t="shared" si="293"/>
        <v/>
      </c>
      <c r="N6181" s="76" t="str">
        <f t="shared" si="294"/>
        <v/>
      </c>
      <c r="O6181" s="33">
        <f t="shared" si="295"/>
        <v>0</v>
      </c>
    </row>
    <row r="6182" spans="1:15" x14ac:dyDescent="0.25">
      <c r="A6182" s="64" t="s">
        <v>194</v>
      </c>
      <c r="B6182" s="79" t="str">
        <f>IF('Twenty-Fifth'!B185="", "",'Twenty-Fifth'!B185)</f>
        <v/>
      </c>
      <c r="C6182" s="66" t="str">
        <f>IF('Twenty-Fifth'!C185="", "",'Twenty-Fifth'!C185)</f>
        <v/>
      </c>
      <c r="D6182" s="66" t="str">
        <f>IF('Twenty-Fifth'!D185="", "",'Twenty-Fifth'!D185)</f>
        <v/>
      </c>
      <c r="E6182" s="66" t="str">
        <f>IF('Twenty-Fifth'!E185="", "",'Twenty-Fifth'!E185)</f>
        <v/>
      </c>
      <c r="F6182" s="66" t="str">
        <f>IF('Twenty-Fifth'!F185="", "",'Twenty-Fifth'!F185)</f>
        <v/>
      </c>
      <c r="G6182" s="66" t="str">
        <f>IF('Twenty-Fifth'!G185="", "",'Twenty-Fifth'!G185)</f>
        <v/>
      </c>
      <c r="H6182" s="66" t="str">
        <f>IF('Twenty-Fifth'!H185="", "",'Twenty-Fifth'!H185)</f>
        <v/>
      </c>
      <c r="I6182" s="66" t="str">
        <f>IF('Twenty-Fifth'!I185="", "",'Twenty-Fifth'!I185)</f>
        <v/>
      </c>
      <c r="J6182" s="66" t="str">
        <f>IF('Twenty-Fifth'!J185="", "",'Twenty-Fifth'!J185)</f>
        <v/>
      </c>
      <c r="K6182" s="86" t="str">
        <f>IF('Twenty-Fifth'!K185="", "",'Twenty-Fifth'!K185)</f>
        <v/>
      </c>
      <c r="M6182" s="67" t="str">
        <f t="shared" si="293"/>
        <v/>
      </c>
      <c r="N6182" s="76" t="str">
        <f t="shared" si="294"/>
        <v/>
      </c>
      <c r="O6182" s="33">
        <f t="shared" si="295"/>
        <v>0</v>
      </c>
    </row>
    <row r="6183" spans="1:15" x14ac:dyDescent="0.25">
      <c r="A6183" s="64" t="s">
        <v>194</v>
      </c>
      <c r="B6183" s="79" t="str">
        <f>IF('Twenty-Fifth'!B186="", "",'Twenty-Fifth'!B186)</f>
        <v/>
      </c>
      <c r="C6183" s="66" t="str">
        <f>IF('Twenty-Fifth'!C186="", "",'Twenty-Fifth'!C186)</f>
        <v/>
      </c>
      <c r="D6183" s="66" t="str">
        <f>IF('Twenty-Fifth'!D186="", "",'Twenty-Fifth'!D186)</f>
        <v/>
      </c>
      <c r="E6183" s="66" t="str">
        <f>IF('Twenty-Fifth'!E186="", "",'Twenty-Fifth'!E186)</f>
        <v/>
      </c>
      <c r="F6183" s="66" t="str">
        <f>IF('Twenty-Fifth'!F186="", "",'Twenty-Fifth'!F186)</f>
        <v/>
      </c>
      <c r="G6183" s="66" t="str">
        <f>IF('Twenty-Fifth'!G186="", "",'Twenty-Fifth'!G186)</f>
        <v/>
      </c>
      <c r="H6183" s="66" t="str">
        <f>IF('Twenty-Fifth'!H186="", "",'Twenty-Fifth'!H186)</f>
        <v/>
      </c>
      <c r="I6183" s="66" t="str">
        <f>IF('Twenty-Fifth'!I186="", "",'Twenty-Fifth'!I186)</f>
        <v/>
      </c>
      <c r="J6183" s="66" t="str">
        <f>IF('Twenty-Fifth'!J186="", "",'Twenty-Fifth'!J186)</f>
        <v/>
      </c>
      <c r="K6183" s="86" t="str">
        <f>IF('Twenty-Fifth'!K186="", "",'Twenty-Fifth'!K186)</f>
        <v/>
      </c>
      <c r="M6183" s="67" t="str">
        <f t="shared" si="293"/>
        <v/>
      </c>
      <c r="N6183" s="76" t="str">
        <f t="shared" si="294"/>
        <v/>
      </c>
      <c r="O6183" s="33">
        <f t="shared" si="295"/>
        <v>0</v>
      </c>
    </row>
    <row r="6184" spans="1:15" x14ac:dyDescent="0.25">
      <c r="A6184" s="64" t="s">
        <v>194</v>
      </c>
      <c r="B6184" s="79" t="str">
        <f>IF('Twenty-Fifth'!B187="", "",'Twenty-Fifth'!B187)</f>
        <v/>
      </c>
      <c r="C6184" s="66" t="str">
        <f>IF('Twenty-Fifth'!C187="", "",'Twenty-Fifth'!C187)</f>
        <v/>
      </c>
      <c r="D6184" s="66" t="str">
        <f>IF('Twenty-Fifth'!D187="", "",'Twenty-Fifth'!D187)</f>
        <v/>
      </c>
      <c r="E6184" s="66" t="str">
        <f>IF('Twenty-Fifth'!E187="", "",'Twenty-Fifth'!E187)</f>
        <v/>
      </c>
      <c r="F6184" s="66" t="str">
        <f>IF('Twenty-Fifth'!F187="", "",'Twenty-Fifth'!F187)</f>
        <v/>
      </c>
      <c r="G6184" s="66" t="str">
        <f>IF('Twenty-Fifth'!G187="", "",'Twenty-Fifth'!G187)</f>
        <v/>
      </c>
      <c r="H6184" s="66" t="str">
        <f>IF('Twenty-Fifth'!H187="", "",'Twenty-Fifth'!H187)</f>
        <v/>
      </c>
      <c r="I6184" s="66" t="str">
        <f>IF('Twenty-Fifth'!I187="", "",'Twenty-Fifth'!I187)</f>
        <v/>
      </c>
      <c r="J6184" s="66" t="str">
        <f>IF('Twenty-Fifth'!J187="", "",'Twenty-Fifth'!J187)</f>
        <v/>
      </c>
      <c r="K6184" s="86" t="str">
        <f>IF('Twenty-Fifth'!K187="", "",'Twenty-Fifth'!K187)</f>
        <v/>
      </c>
      <c r="M6184" s="67" t="str">
        <f t="shared" si="293"/>
        <v/>
      </c>
      <c r="N6184" s="76" t="str">
        <f t="shared" si="294"/>
        <v/>
      </c>
      <c r="O6184" s="33">
        <f t="shared" si="295"/>
        <v>0</v>
      </c>
    </row>
    <row r="6185" spans="1:15" x14ac:dyDescent="0.25">
      <c r="A6185" s="64" t="s">
        <v>194</v>
      </c>
      <c r="B6185" s="79" t="str">
        <f>IF('Twenty-Fifth'!B188="", "",'Twenty-Fifth'!B188)</f>
        <v/>
      </c>
      <c r="C6185" s="66" t="str">
        <f>IF('Twenty-Fifth'!C188="", "",'Twenty-Fifth'!C188)</f>
        <v/>
      </c>
      <c r="D6185" s="66" t="str">
        <f>IF('Twenty-Fifth'!D188="", "",'Twenty-Fifth'!D188)</f>
        <v/>
      </c>
      <c r="E6185" s="66" t="str">
        <f>IF('Twenty-Fifth'!E188="", "",'Twenty-Fifth'!E188)</f>
        <v/>
      </c>
      <c r="F6185" s="66" t="str">
        <f>IF('Twenty-Fifth'!F188="", "",'Twenty-Fifth'!F188)</f>
        <v/>
      </c>
      <c r="G6185" s="66" t="str">
        <f>IF('Twenty-Fifth'!G188="", "",'Twenty-Fifth'!G188)</f>
        <v/>
      </c>
      <c r="H6185" s="66" t="str">
        <f>IF('Twenty-Fifth'!H188="", "",'Twenty-Fifth'!H188)</f>
        <v/>
      </c>
      <c r="I6185" s="66" t="str">
        <f>IF('Twenty-Fifth'!I188="", "",'Twenty-Fifth'!I188)</f>
        <v/>
      </c>
      <c r="J6185" s="66" t="str">
        <f>IF('Twenty-Fifth'!J188="", "",'Twenty-Fifth'!J188)</f>
        <v/>
      </c>
      <c r="K6185" s="86" t="str">
        <f>IF('Twenty-Fifth'!K188="", "",'Twenty-Fifth'!K188)</f>
        <v/>
      </c>
      <c r="M6185" s="67" t="str">
        <f t="shared" si="293"/>
        <v/>
      </c>
      <c r="N6185" s="76" t="str">
        <f t="shared" si="294"/>
        <v/>
      </c>
      <c r="O6185" s="33">
        <f t="shared" si="295"/>
        <v>0</v>
      </c>
    </row>
    <row r="6186" spans="1:15" x14ac:dyDescent="0.25">
      <c r="A6186" s="64" t="s">
        <v>194</v>
      </c>
      <c r="B6186" s="79" t="str">
        <f>IF('Twenty-Fifth'!B189="", "",'Twenty-Fifth'!B189)</f>
        <v/>
      </c>
      <c r="C6186" s="66" t="str">
        <f>IF('Twenty-Fifth'!C189="", "",'Twenty-Fifth'!C189)</f>
        <v/>
      </c>
      <c r="D6186" s="66" t="str">
        <f>IF('Twenty-Fifth'!D189="", "",'Twenty-Fifth'!D189)</f>
        <v/>
      </c>
      <c r="E6186" s="66" t="str">
        <f>IF('Twenty-Fifth'!E189="", "",'Twenty-Fifth'!E189)</f>
        <v/>
      </c>
      <c r="F6186" s="66" t="str">
        <f>IF('Twenty-Fifth'!F189="", "",'Twenty-Fifth'!F189)</f>
        <v/>
      </c>
      <c r="G6186" s="66" t="str">
        <f>IF('Twenty-Fifth'!G189="", "",'Twenty-Fifth'!G189)</f>
        <v/>
      </c>
      <c r="H6186" s="66" t="str">
        <f>IF('Twenty-Fifth'!H189="", "",'Twenty-Fifth'!H189)</f>
        <v/>
      </c>
      <c r="I6186" s="66" t="str">
        <f>IF('Twenty-Fifth'!I189="", "",'Twenty-Fifth'!I189)</f>
        <v/>
      </c>
      <c r="J6186" s="66" t="str">
        <f>IF('Twenty-Fifth'!J189="", "",'Twenty-Fifth'!J189)</f>
        <v/>
      </c>
      <c r="K6186" s="86" t="str">
        <f>IF('Twenty-Fifth'!K189="", "",'Twenty-Fifth'!K189)</f>
        <v/>
      </c>
      <c r="M6186" s="67" t="str">
        <f t="shared" si="293"/>
        <v/>
      </c>
      <c r="N6186" s="76" t="str">
        <f t="shared" si="294"/>
        <v/>
      </c>
      <c r="O6186" s="33">
        <f t="shared" si="295"/>
        <v>0</v>
      </c>
    </row>
    <row r="6187" spans="1:15" x14ac:dyDescent="0.25">
      <c r="A6187" s="64" t="s">
        <v>194</v>
      </c>
      <c r="B6187" s="79" t="str">
        <f>IF('Twenty-Fifth'!B190="", "",'Twenty-Fifth'!B190)</f>
        <v/>
      </c>
      <c r="C6187" s="66" t="str">
        <f>IF('Twenty-Fifth'!C190="", "",'Twenty-Fifth'!C190)</f>
        <v/>
      </c>
      <c r="D6187" s="66" t="str">
        <f>IF('Twenty-Fifth'!D190="", "",'Twenty-Fifth'!D190)</f>
        <v/>
      </c>
      <c r="E6187" s="66" t="str">
        <f>IF('Twenty-Fifth'!E190="", "",'Twenty-Fifth'!E190)</f>
        <v/>
      </c>
      <c r="F6187" s="66" t="str">
        <f>IF('Twenty-Fifth'!F190="", "",'Twenty-Fifth'!F190)</f>
        <v/>
      </c>
      <c r="G6187" s="66" t="str">
        <f>IF('Twenty-Fifth'!G190="", "",'Twenty-Fifth'!G190)</f>
        <v/>
      </c>
      <c r="H6187" s="66" t="str">
        <f>IF('Twenty-Fifth'!H190="", "",'Twenty-Fifth'!H190)</f>
        <v/>
      </c>
      <c r="I6187" s="66" t="str">
        <f>IF('Twenty-Fifth'!I190="", "",'Twenty-Fifth'!I190)</f>
        <v/>
      </c>
      <c r="J6187" s="66" t="str">
        <f>IF('Twenty-Fifth'!J190="", "",'Twenty-Fifth'!J190)</f>
        <v/>
      </c>
      <c r="K6187" s="86" t="str">
        <f>IF('Twenty-Fifth'!K190="", "",'Twenty-Fifth'!K190)</f>
        <v/>
      </c>
      <c r="M6187" s="67" t="str">
        <f t="shared" si="293"/>
        <v/>
      </c>
      <c r="N6187" s="76" t="str">
        <f t="shared" si="294"/>
        <v/>
      </c>
      <c r="O6187" s="33">
        <f t="shared" si="295"/>
        <v>0</v>
      </c>
    </row>
    <row r="6188" spans="1:15" x14ac:dyDescent="0.25">
      <c r="A6188" s="64" t="s">
        <v>194</v>
      </c>
      <c r="B6188" s="79" t="str">
        <f>IF('Twenty-Fifth'!B191="", "",'Twenty-Fifth'!B191)</f>
        <v/>
      </c>
      <c r="C6188" s="66" t="str">
        <f>IF('Twenty-Fifth'!C191="", "",'Twenty-Fifth'!C191)</f>
        <v/>
      </c>
      <c r="D6188" s="66" t="str">
        <f>IF('Twenty-Fifth'!D191="", "",'Twenty-Fifth'!D191)</f>
        <v/>
      </c>
      <c r="E6188" s="66" t="str">
        <f>IF('Twenty-Fifth'!E191="", "",'Twenty-Fifth'!E191)</f>
        <v/>
      </c>
      <c r="F6188" s="66" t="str">
        <f>IF('Twenty-Fifth'!F191="", "",'Twenty-Fifth'!F191)</f>
        <v/>
      </c>
      <c r="G6188" s="66" t="str">
        <f>IF('Twenty-Fifth'!G191="", "",'Twenty-Fifth'!G191)</f>
        <v/>
      </c>
      <c r="H6188" s="66" t="str">
        <f>IF('Twenty-Fifth'!H191="", "",'Twenty-Fifth'!H191)</f>
        <v/>
      </c>
      <c r="I6188" s="66" t="str">
        <f>IF('Twenty-Fifth'!I191="", "",'Twenty-Fifth'!I191)</f>
        <v/>
      </c>
      <c r="J6188" s="66" t="str">
        <f>IF('Twenty-Fifth'!J191="", "",'Twenty-Fifth'!J191)</f>
        <v/>
      </c>
      <c r="K6188" s="86" t="str">
        <f>IF('Twenty-Fifth'!K191="", "",'Twenty-Fifth'!K191)</f>
        <v/>
      </c>
      <c r="M6188" s="67" t="str">
        <f t="shared" si="293"/>
        <v/>
      </c>
      <c r="N6188" s="76" t="str">
        <f t="shared" si="294"/>
        <v/>
      </c>
      <c r="O6188" s="33">
        <f t="shared" si="295"/>
        <v>0</v>
      </c>
    </row>
    <row r="6189" spans="1:15" x14ac:dyDescent="0.25">
      <c r="A6189" s="64" t="s">
        <v>194</v>
      </c>
      <c r="B6189" s="79" t="str">
        <f>IF('Twenty-Fifth'!B192="", "",'Twenty-Fifth'!B192)</f>
        <v/>
      </c>
      <c r="C6189" s="66" t="str">
        <f>IF('Twenty-Fifth'!C192="", "",'Twenty-Fifth'!C192)</f>
        <v/>
      </c>
      <c r="D6189" s="66" t="str">
        <f>IF('Twenty-Fifth'!D192="", "",'Twenty-Fifth'!D192)</f>
        <v/>
      </c>
      <c r="E6189" s="66" t="str">
        <f>IF('Twenty-Fifth'!E192="", "",'Twenty-Fifth'!E192)</f>
        <v/>
      </c>
      <c r="F6189" s="66" t="str">
        <f>IF('Twenty-Fifth'!F192="", "",'Twenty-Fifth'!F192)</f>
        <v/>
      </c>
      <c r="G6189" s="66" t="str">
        <f>IF('Twenty-Fifth'!G192="", "",'Twenty-Fifth'!G192)</f>
        <v/>
      </c>
      <c r="H6189" s="66" t="str">
        <f>IF('Twenty-Fifth'!H192="", "",'Twenty-Fifth'!H192)</f>
        <v/>
      </c>
      <c r="I6189" s="66" t="str">
        <f>IF('Twenty-Fifth'!I192="", "",'Twenty-Fifth'!I192)</f>
        <v/>
      </c>
      <c r="J6189" s="66" t="str">
        <f>IF('Twenty-Fifth'!J192="", "",'Twenty-Fifth'!J192)</f>
        <v/>
      </c>
      <c r="K6189" s="86" t="str">
        <f>IF('Twenty-Fifth'!K192="", "",'Twenty-Fifth'!K192)</f>
        <v/>
      </c>
      <c r="M6189" s="67" t="str">
        <f t="shared" si="293"/>
        <v/>
      </c>
      <c r="N6189" s="76" t="str">
        <f t="shared" si="294"/>
        <v/>
      </c>
      <c r="O6189" s="33">
        <f t="shared" si="295"/>
        <v>0</v>
      </c>
    </row>
    <row r="6190" spans="1:15" x14ac:dyDescent="0.25">
      <c r="A6190" s="64" t="s">
        <v>194</v>
      </c>
      <c r="B6190" s="79" t="str">
        <f>IF('Twenty-Fifth'!B193="", "",'Twenty-Fifth'!B193)</f>
        <v/>
      </c>
      <c r="C6190" s="66" t="str">
        <f>IF('Twenty-Fifth'!C193="", "",'Twenty-Fifth'!C193)</f>
        <v/>
      </c>
      <c r="D6190" s="66" t="str">
        <f>IF('Twenty-Fifth'!D193="", "",'Twenty-Fifth'!D193)</f>
        <v/>
      </c>
      <c r="E6190" s="66" t="str">
        <f>IF('Twenty-Fifth'!E193="", "",'Twenty-Fifth'!E193)</f>
        <v/>
      </c>
      <c r="F6190" s="66" t="str">
        <f>IF('Twenty-Fifth'!F193="", "",'Twenty-Fifth'!F193)</f>
        <v/>
      </c>
      <c r="G6190" s="66" t="str">
        <f>IF('Twenty-Fifth'!G193="", "",'Twenty-Fifth'!G193)</f>
        <v/>
      </c>
      <c r="H6190" s="66" t="str">
        <f>IF('Twenty-Fifth'!H193="", "",'Twenty-Fifth'!H193)</f>
        <v/>
      </c>
      <c r="I6190" s="66" t="str">
        <f>IF('Twenty-Fifth'!I193="", "",'Twenty-Fifth'!I193)</f>
        <v/>
      </c>
      <c r="J6190" s="66" t="str">
        <f>IF('Twenty-Fifth'!J193="", "",'Twenty-Fifth'!J193)</f>
        <v/>
      </c>
      <c r="K6190" s="86" t="str">
        <f>IF('Twenty-Fifth'!K193="", "",'Twenty-Fifth'!K193)</f>
        <v/>
      </c>
      <c r="M6190" s="67" t="str">
        <f t="shared" si="293"/>
        <v/>
      </c>
      <c r="N6190" s="76" t="str">
        <f t="shared" si="294"/>
        <v/>
      </c>
      <c r="O6190" s="33">
        <f t="shared" si="295"/>
        <v>0</v>
      </c>
    </row>
    <row r="6191" spans="1:15" x14ac:dyDescent="0.25">
      <c r="A6191" s="64" t="s">
        <v>194</v>
      </c>
      <c r="B6191" s="79" t="str">
        <f>IF('Twenty-Fifth'!B194="", "",'Twenty-Fifth'!B194)</f>
        <v/>
      </c>
      <c r="C6191" s="66" t="str">
        <f>IF('Twenty-Fifth'!C194="", "",'Twenty-Fifth'!C194)</f>
        <v/>
      </c>
      <c r="D6191" s="66" t="str">
        <f>IF('Twenty-Fifth'!D194="", "",'Twenty-Fifth'!D194)</f>
        <v/>
      </c>
      <c r="E6191" s="66" t="str">
        <f>IF('Twenty-Fifth'!E194="", "",'Twenty-Fifth'!E194)</f>
        <v/>
      </c>
      <c r="F6191" s="66" t="str">
        <f>IF('Twenty-Fifth'!F194="", "",'Twenty-Fifth'!F194)</f>
        <v/>
      </c>
      <c r="G6191" s="66" t="str">
        <f>IF('Twenty-Fifth'!G194="", "",'Twenty-Fifth'!G194)</f>
        <v/>
      </c>
      <c r="H6191" s="66" t="str">
        <f>IF('Twenty-Fifth'!H194="", "",'Twenty-Fifth'!H194)</f>
        <v/>
      </c>
      <c r="I6191" s="66" t="str">
        <f>IF('Twenty-Fifth'!I194="", "",'Twenty-Fifth'!I194)</f>
        <v/>
      </c>
      <c r="J6191" s="66" t="str">
        <f>IF('Twenty-Fifth'!J194="", "",'Twenty-Fifth'!J194)</f>
        <v/>
      </c>
      <c r="K6191" s="86" t="str">
        <f>IF('Twenty-Fifth'!K194="", "",'Twenty-Fifth'!K194)</f>
        <v/>
      </c>
      <c r="M6191" s="67" t="str">
        <f t="shared" si="293"/>
        <v/>
      </c>
      <c r="N6191" s="76" t="str">
        <f t="shared" si="294"/>
        <v/>
      </c>
      <c r="O6191" s="33">
        <f t="shared" si="295"/>
        <v>0</v>
      </c>
    </row>
    <row r="6192" spans="1:15" x14ac:dyDescent="0.25">
      <c r="A6192" s="64" t="s">
        <v>194</v>
      </c>
      <c r="B6192" s="79" t="str">
        <f>IF('Twenty-Fifth'!B195="", "",'Twenty-Fifth'!B195)</f>
        <v/>
      </c>
      <c r="C6192" s="66" t="str">
        <f>IF('Twenty-Fifth'!C195="", "",'Twenty-Fifth'!C195)</f>
        <v/>
      </c>
      <c r="D6192" s="66" t="str">
        <f>IF('Twenty-Fifth'!D195="", "",'Twenty-Fifth'!D195)</f>
        <v/>
      </c>
      <c r="E6192" s="66" t="str">
        <f>IF('Twenty-Fifth'!E195="", "",'Twenty-Fifth'!E195)</f>
        <v/>
      </c>
      <c r="F6192" s="66" t="str">
        <f>IF('Twenty-Fifth'!F195="", "",'Twenty-Fifth'!F195)</f>
        <v/>
      </c>
      <c r="G6192" s="66" t="str">
        <f>IF('Twenty-Fifth'!G195="", "",'Twenty-Fifth'!G195)</f>
        <v/>
      </c>
      <c r="H6192" s="66" t="str">
        <f>IF('Twenty-Fifth'!H195="", "",'Twenty-Fifth'!H195)</f>
        <v/>
      </c>
      <c r="I6192" s="66" t="str">
        <f>IF('Twenty-Fifth'!I195="", "",'Twenty-Fifth'!I195)</f>
        <v/>
      </c>
      <c r="J6192" s="66" t="str">
        <f>IF('Twenty-Fifth'!J195="", "",'Twenty-Fifth'!J195)</f>
        <v/>
      </c>
      <c r="K6192" s="86" t="str">
        <f>IF('Twenty-Fifth'!K195="", "",'Twenty-Fifth'!K195)</f>
        <v/>
      </c>
      <c r="M6192" s="67" t="str">
        <f t="shared" si="293"/>
        <v/>
      </c>
      <c r="N6192" s="76" t="str">
        <f t="shared" si="294"/>
        <v/>
      </c>
      <c r="O6192" s="33">
        <f t="shared" si="295"/>
        <v>0</v>
      </c>
    </row>
    <row r="6193" spans="1:15" x14ac:dyDescent="0.25">
      <c r="A6193" s="64" t="s">
        <v>194</v>
      </c>
      <c r="B6193" s="79" t="str">
        <f>IF('Twenty-Fifth'!B196="", "",'Twenty-Fifth'!B196)</f>
        <v/>
      </c>
      <c r="C6193" s="66" t="str">
        <f>IF('Twenty-Fifth'!C196="", "",'Twenty-Fifth'!C196)</f>
        <v/>
      </c>
      <c r="D6193" s="66" t="str">
        <f>IF('Twenty-Fifth'!D196="", "",'Twenty-Fifth'!D196)</f>
        <v/>
      </c>
      <c r="E6193" s="66" t="str">
        <f>IF('Twenty-Fifth'!E196="", "",'Twenty-Fifth'!E196)</f>
        <v/>
      </c>
      <c r="F6193" s="66" t="str">
        <f>IF('Twenty-Fifth'!F196="", "",'Twenty-Fifth'!F196)</f>
        <v/>
      </c>
      <c r="G6193" s="66" t="str">
        <f>IF('Twenty-Fifth'!G196="", "",'Twenty-Fifth'!G196)</f>
        <v/>
      </c>
      <c r="H6193" s="66" t="str">
        <f>IF('Twenty-Fifth'!H196="", "",'Twenty-Fifth'!H196)</f>
        <v/>
      </c>
      <c r="I6193" s="66" t="str">
        <f>IF('Twenty-Fifth'!I196="", "",'Twenty-Fifth'!I196)</f>
        <v/>
      </c>
      <c r="J6193" s="66" t="str">
        <f>IF('Twenty-Fifth'!J196="", "",'Twenty-Fifth'!J196)</f>
        <v/>
      </c>
      <c r="K6193" s="86" t="str">
        <f>IF('Twenty-Fifth'!K196="", "",'Twenty-Fifth'!K196)</f>
        <v/>
      </c>
      <c r="M6193" s="67" t="str">
        <f t="shared" si="293"/>
        <v/>
      </c>
      <c r="N6193" s="76" t="str">
        <f t="shared" si="294"/>
        <v/>
      </c>
      <c r="O6193" s="33">
        <f t="shared" si="295"/>
        <v>0</v>
      </c>
    </row>
    <row r="6194" spans="1:15" x14ac:dyDescent="0.25">
      <c r="A6194" s="64" t="s">
        <v>194</v>
      </c>
      <c r="B6194" s="79" t="str">
        <f>IF('Twenty-Fifth'!B197="", "",'Twenty-Fifth'!B197)</f>
        <v/>
      </c>
      <c r="C6194" s="66" t="str">
        <f>IF('Twenty-Fifth'!C197="", "",'Twenty-Fifth'!C197)</f>
        <v/>
      </c>
      <c r="D6194" s="66" t="str">
        <f>IF('Twenty-Fifth'!D197="", "",'Twenty-Fifth'!D197)</f>
        <v/>
      </c>
      <c r="E6194" s="66" t="str">
        <f>IF('Twenty-Fifth'!E197="", "",'Twenty-Fifth'!E197)</f>
        <v/>
      </c>
      <c r="F6194" s="66" t="str">
        <f>IF('Twenty-Fifth'!F197="", "",'Twenty-Fifth'!F197)</f>
        <v/>
      </c>
      <c r="G6194" s="66" t="str">
        <f>IF('Twenty-Fifth'!G197="", "",'Twenty-Fifth'!G197)</f>
        <v/>
      </c>
      <c r="H6194" s="66" t="str">
        <f>IF('Twenty-Fifth'!H197="", "",'Twenty-Fifth'!H197)</f>
        <v/>
      </c>
      <c r="I6194" s="66" t="str">
        <f>IF('Twenty-Fifth'!I197="", "",'Twenty-Fifth'!I197)</f>
        <v/>
      </c>
      <c r="J6194" s="66" t="str">
        <f>IF('Twenty-Fifth'!J197="", "",'Twenty-Fifth'!J197)</f>
        <v/>
      </c>
      <c r="K6194" s="86" t="str">
        <f>IF('Twenty-Fifth'!K197="", "",'Twenty-Fifth'!K197)</f>
        <v/>
      </c>
      <c r="M6194" s="67" t="str">
        <f t="shared" si="293"/>
        <v/>
      </c>
      <c r="N6194" s="76" t="str">
        <f t="shared" si="294"/>
        <v/>
      </c>
      <c r="O6194" s="33">
        <f t="shared" si="295"/>
        <v>0</v>
      </c>
    </row>
    <row r="6195" spans="1:15" x14ac:dyDescent="0.25">
      <c r="A6195" s="64" t="s">
        <v>194</v>
      </c>
      <c r="B6195" s="79" t="str">
        <f>IF('Twenty-Fifth'!B198="", "",'Twenty-Fifth'!B198)</f>
        <v/>
      </c>
      <c r="C6195" s="66" t="str">
        <f>IF('Twenty-Fifth'!C198="", "",'Twenty-Fifth'!C198)</f>
        <v/>
      </c>
      <c r="D6195" s="66" t="str">
        <f>IF('Twenty-Fifth'!D198="", "",'Twenty-Fifth'!D198)</f>
        <v/>
      </c>
      <c r="E6195" s="66" t="str">
        <f>IF('Twenty-Fifth'!E198="", "",'Twenty-Fifth'!E198)</f>
        <v/>
      </c>
      <c r="F6195" s="66" t="str">
        <f>IF('Twenty-Fifth'!F198="", "",'Twenty-Fifth'!F198)</f>
        <v/>
      </c>
      <c r="G6195" s="66" t="str">
        <f>IF('Twenty-Fifth'!G198="", "",'Twenty-Fifth'!G198)</f>
        <v/>
      </c>
      <c r="H6195" s="66" t="str">
        <f>IF('Twenty-Fifth'!H198="", "",'Twenty-Fifth'!H198)</f>
        <v/>
      </c>
      <c r="I6195" s="66" t="str">
        <f>IF('Twenty-Fifth'!I198="", "",'Twenty-Fifth'!I198)</f>
        <v/>
      </c>
      <c r="J6195" s="66" t="str">
        <f>IF('Twenty-Fifth'!J198="", "",'Twenty-Fifth'!J198)</f>
        <v/>
      </c>
      <c r="K6195" s="86" t="str">
        <f>IF('Twenty-Fifth'!K198="", "",'Twenty-Fifth'!K198)</f>
        <v/>
      </c>
      <c r="M6195" s="67" t="str">
        <f t="shared" si="293"/>
        <v/>
      </c>
      <c r="N6195" s="76" t="str">
        <f t="shared" si="294"/>
        <v/>
      </c>
      <c r="O6195" s="33">
        <f t="shared" si="295"/>
        <v>0</v>
      </c>
    </row>
    <row r="6196" spans="1:15" x14ac:dyDescent="0.25">
      <c r="A6196" s="64" t="s">
        <v>194</v>
      </c>
      <c r="B6196" s="79" t="str">
        <f>IF('Twenty-Fifth'!B199="", "",'Twenty-Fifth'!B199)</f>
        <v/>
      </c>
      <c r="C6196" s="66" t="str">
        <f>IF('Twenty-Fifth'!C199="", "",'Twenty-Fifth'!C199)</f>
        <v/>
      </c>
      <c r="D6196" s="66" t="str">
        <f>IF('Twenty-Fifth'!D199="", "",'Twenty-Fifth'!D199)</f>
        <v/>
      </c>
      <c r="E6196" s="66" t="str">
        <f>IF('Twenty-Fifth'!E199="", "",'Twenty-Fifth'!E199)</f>
        <v/>
      </c>
      <c r="F6196" s="66" t="str">
        <f>IF('Twenty-Fifth'!F199="", "",'Twenty-Fifth'!F199)</f>
        <v/>
      </c>
      <c r="G6196" s="66" t="str">
        <f>IF('Twenty-Fifth'!G199="", "",'Twenty-Fifth'!G199)</f>
        <v/>
      </c>
      <c r="H6196" s="66" t="str">
        <f>IF('Twenty-Fifth'!H199="", "",'Twenty-Fifth'!H199)</f>
        <v/>
      </c>
      <c r="I6196" s="66" t="str">
        <f>IF('Twenty-Fifth'!I199="", "",'Twenty-Fifth'!I199)</f>
        <v/>
      </c>
      <c r="J6196" s="66" t="str">
        <f>IF('Twenty-Fifth'!J199="", "",'Twenty-Fifth'!J199)</f>
        <v/>
      </c>
      <c r="K6196" s="86" t="str">
        <f>IF('Twenty-Fifth'!K199="", "",'Twenty-Fifth'!K199)</f>
        <v/>
      </c>
      <c r="M6196" s="67" t="str">
        <f t="shared" si="293"/>
        <v/>
      </c>
      <c r="N6196" s="76" t="str">
        <f t="shared" si="294"/>
        <v/>
      </c>
      <c r="O6196" s="33">
        <f t="shared" si="295"/>
        <v>0</v>
      </c>
    </row>
    <row r="6197" spans="1:15" x14ac:dyDescent="0.25">
      <c r="A6197" s="64" t="s">
        <v>194</v>
      </c>
      <c r="B6197" s="79" t="str">
        <f>IF('Twenty-Fifth'!B200="", "",'Twenty-Fifth'!B200)</f>
        <v/>
      </c>
      <c r="C6197" s="66" t="str">
        <f>IF('Twenty-Fifth'!C200="", "",'Twenty-Fifth'!C200)</f>
        <v/>
      </c>
      <c r="D6197" s="66" t="str">
        <f>IF('Twenty-Fifth'!D200="", "",'Twenty-Fifth'!D200)</f>
        <v/>
      </c>
      <c r="E6197" s="66" t="str">
        <f>IF('Twenty-Fifth'!E200="", "",'Twenty-Fifth'!E200)</f>
        <v/>
      </c>
      <c r="F6197" s="66" t="str">
        <f>IF('Twenty-Fifth'!F200="", "",'Twenty-Fifth'!F200)</f>
        <v/>
      </c>
      <c r="G6197" s="66" t="str">
        <f>IF('Twenty-Fifth'!G200="", "",'Twenty-Fifth'!G200)</f>
        <v/>
      </c>
      <c r="H6197" s="66" t="str">
        <f>IF('Twenty-Fifth'!H200="", "",'Twenty-Fifth'!H200)</f>
        <v/>
      </c>
      <c r="I6197" s="66" t="str">
        <f>IF('Twenty-Fifth'!I200="", "",'Twenty-Fifth'!I200)</f>
        <v/>
      </c>
      <c r="J6197" s="66" t="str">
        <f>IF('Twenty-Fifth'!J200="", "",'Twenty-Fifth'!J200)</f>
        <v/>
      </c>
      <c r="K6197" s="86" t="str">
        <f>IF('Twenty-Fifth'!K200="", "",'Twenty-Fifth'!K200)</f>
        <v/>
      </c>
      <c r="M6197" s="67" t="str">
        <f t="shared" si="293"/>
        <v/>
      </c>
      <c r="N6197" s="76" t="str">
        <f t="shared" si="294"/>
        <v/>
      </c>
      <c r="O6197" s="33">
        <f t="shared" si="295"/>
        <v>0</v>
      </c>
    </row>
    <row r="6198" spans="1:15" x14ac:dyDescent="0.25">
      <c r="A6198" s="64" t="s">
        <v>194</v>
      </c>
      <c r="B6198" s="79" t="str">
        <f>IF('Twenty-Fifth'!B201="", "",'Twenty-Fifth'!B201)</f>
        <v/>
      </c>
      <c r="C6198" s="66" t="str">
        <f>IF('Twenty-Fifth'!C201="", "",'Twenty-Fifth'!C201)</f>
        <v/>
      </c>
      <c r="D6198" s="66" t="str">
        <f>IF('Twenty-Fifth'!D201="", "",'Twenty-Fifth'!D201)</f>
        <v/>
      </c>
      <c r="E6198" s="66" t="str">
        <f>IF('Twenty-Fifth'!E201="", "",'Twenty-Fifth'!E201)</f>
        <v/>
      </c>
      <c r="F6198" s="66" t="str">
        <f>IF('Twenty-Fifth'!F201="", "",'Twenty-Fifth'!F201)</f>
        <v/>
      </c>
      <c r="G6198" s="66" t="str">
        <f>IF('Twenty-Fifth'!G201="", "",'Twenty-Fifth'!G201)</f>
        <v/>
      </c>
      <c r="H6198" s="66" t="str">
        <f>IF('Twenty-Fifth'!H201="", "",'Twenty-Fifth'!H201)</f>
        <v/>
      </c>
      <c r="I6198" s="66" t="str">
        <f>IF('Twenty-Fifth'!I201="", "",'Twenty-Fifth'!I201)</f>
        <v/>
      </c>
      <c r="J6198" s="66" t="str">
        <f>IF('Twenty-Fifth'!J201="", "",'Twenty-Fifth'!J201)</f>
        <v/>
      </c>
      <c r="K6198" s="86" t="str">
        <f>IF('Twenty-Fifth'!K201="", "",'Twenty-Fifth'!K201)</f>
        <v/>
      </c>
      <c r="M6198" s="67" t="str">
        <f t="shared" si="293"/>
        <v/>
      </c>
      <c r="N6198" s="76" t="str">
        <f t="shared" si="294"/>
        <v/>
      </c>
      <c r="O6198" s="33">
        <f t="shared" si="295"/>
        <v>0</v>
      </c>
    </row>
    <row r="6199" spans="1:15" x14ac:dyDescent="0.25">
      <c r="A6199" s="64" t="s">
        <v>194</v>
      </c>
      <c r="B6199" s="79" t="str">
        <f>IF('Twenty-Fifth'!B202="", "",'Twenty-Fifth'!B202)</f>
        <v/>
      </c>
      <c r="C6199" s="66" t="str">
        <f>IF('Twenty-Fifth'!C202="", "",'Twenty-Fifth'!C202)</f>
        <v/>
      </c>
      <c r="D6199" s="66" t="str">
        <f>IF('Twenty-Fifth'!D202="", "",'Twenty-Fifth'!D202)</f>
        <v/>
      </c>
      <c r="E6199" s="66" t="str">
        <f>IF('Twenty-Fifth'!E202="", "",'Twenty-Fifth'!E202)</f>
        <v/>
      </c>
      <c r="F6199" s="66" t="str">
        <f>IF('Twenty-Fifth'!F202="", "",'Twenty-Fifth'!F202)</f>
        <v/>
      </c>
      <c r="G6199" s="66" t="str">
        <f>IF('Twenty-Fifth'!G202="", "",'Twenty-Fifth'!G202)</f>
        <v/>
      </c>
      <c r="H6199" s="66" t="str">
        <f>IF('Twenty-Fifth'!H202="", "",'Twenty-Fifth'!H202)</f>
        <v/>
      </c>
      <c r="I6199" s="66" t="str">
        <f>IF('Twenty-Fifth'!I202="", "",'Twenty-Fifth'!I202)</f>
        <v/>
      </c>
      <c r="J6199" s="66" t="str">
        <f>IF('Twenty-Fifth'!J202="", "",'Twenty-Fifth'!J202)</f>
        <v/>
      </c>
      <c r="K6199" s="86" t="str">
        <f>IF('Twenty-Fifth'!K202="", "",'Twenty-Fifth'!K202)</f>
        <v/>
      </c>
      <c r="M6199" s="67" t="str">
        <f t="shared" si="293"/>
        <v/>
      </c>
      <c r="N6199" s="76" t="str">
        <f t="shared" si="294"/>
        <v/>
      </c>
      <c r="O6199" s="33">
        <f t="shared" si="295"/>
        <v>0</v>
      </c>
    </row>
    <row r="6200" spans="1:15" x14ac:dyDescent="0.25">
      <c r="A6200" s="64" t="s">
        <v>194</v>
      </c>
      <c r="B6200" s="79" t="str">
        <f>IF('Twenty-Fifth'!B203="", "",'Twenty-Fifth'!B203)</f>
        <v/>
      </c>
      <c r="C6200" s="66" t="str">
        <f>IF('Twenty-Fifth'!C203="", "",'Twenty-Fifth'!C203)</f>
        <v/>
      </c>
      <c r="D6200" s="66" t="str">
        <f>IF('Twenty-Fifth'!D203="", "",'Twenty-Fifth'!D203)</f>
        <v/>
      </c>
      <c r="E6200" s="66" t="str">
        <f>IF('Twenty-Fifth'!E203="", "",'Twenty-Fifth'!E203)</f>
        <v/>
      </c>
      <c r="F6200" s="66" t="str">
        <f>IF('Twenty-Fifth'!F203="", "",'Twenty-Fifth'!F203)</f>
        <v/>
      </c>
      <c r="G6200" s="66" t="str">
        <f>IF('Twenty-Fifth'!G203="", "",'Twenty-Fifth'!G203)</f>
        <v/>
      </c>
      <c r="H6200" s="66" t="str">
        <f>IF('Twenty-Fifth'!H203="", "",'Twenty-Fifth'!H203)</f>
        <v/>
      </c>
      <c r="I6200" s="66" t="str">
        <f>IF('Twenty-Fifth'!I203="", "",'Twenty-Fifth'!I203)</f>
        <v/>
      </c>
      <c r="J6200" s="66" t="str">
        <f>IF('Twenty-Fifth'!J203="", "",'Twenty-Fifth'!J203)</f>
        <v/>
      </c>
      <c r="K6200" s="86" t="str">
        <f>IF('Twenty-Fifth'!K203="", "",'Twenty-Fifth'!K203)</f>
        <v/>
      </c>
      <c r="M6200" s="67" t="str">
        <f t="shared" si="293"/>
        <v/>
      </c>
      <c r="N6200" s="76" t="str">
        <f t="shared" si="294"/>
        <v/>
      </c>
      <c r="O6200" s="33">
        <f t="shared" si="295"/>
        <v>0</v>
      </c>
    </row>
    <row r="6201" spans="1:15" x14ac:dyDescent="0.25">
      <c r="A6201" s="64" t="s">
        <v>194</v>
      </c>
      <c r="B6201" s="79" t="str">
        <f>IF('Twenty-Fifth'!B204="", "",'Twenty-Fifth'!B204)</f>
        <v/>
      </c>
      <c r="C6201" s="66" t="str">
        <f>IF('Twenty-Fifth'!C204="", "",'Twenty-Fifth'!C204)</f>
        <v/>
      </c>
      <c r="D6201" s="66" t="str">
        <f>IF('Twenty-Fifth'!D204="", "",'Twenty-Fifth'!D204)</f>
        <v/>
      </c>
      <c r="E6201" s="66" t="str">
        <f>IF('Twenty-Fifth'!E204="", "",'Twenty-Fifth'!E204)</f>
        <v/>
      </c>
      <c r="F6201" s="66" t="str">
        <f>IF('Twenty-Fifth'!F204="", "",'Twenty-Fifth'!F204)</f>
        <v/>
      </c>
      <c r="G6201" s="66" t="str">
        <f>IF('Twenty-Fifth'!G204="", "",'Twenty-Fifth'!G204)</f>
        <v/>
      </c>
      <c r="H6201" s="66" t="str">
        <f>IF('Twenty-Fifth'!H204="", "",'Twenty-Fifth'!H204)</f>
        <v/>
      </c>
      <c r="I6201" s="66" t="str">
        <f>IF('Twenty-Fifth'!I204="", "",'Twenty-Fifth'!I204)</f>
        <v/>
      </c>
      <c r="J6201" s="66" t="str">
        <f>IF('Twenty-Fifth'!J204="", "",'Twenty-Fifth'!J204)</f>
        <v/>
      </c>
      <c r="K6201" s="86" t="str">
        <f>IF('Twenty-Fifth'!K204="", "",'Twenty-Fifth'!K204)</f>
        <v/>
      </c>
      <c r="M6201" s="67" t="str">
        <f t="shared" si="293"/>
        <v/>
      </c>
      <c r="N6201" s="76" t="str">
        <f t="shared" si="294"/>
        <v/>
      </c>
      <c r="O6201" s="33">
        <f t="shared" si="295"/>
        <v>0</v>
      </c>
    </row>
    <row r="6202" spans="1:15" x14ac:dyDescent="0.25">
      <c r="A6202" s="64" t="s">
        <v>194</v>
      </c>
      <c r="B6202" s="79" t="str">
        <f>IF('Twenty-Fifth'!B205="", "",'Twenty-Fifth'!B205)</f>
        <v/>
      </c>
      <c r="C6202" s="66" t="str">
        <f>IF('Twenty-Fifth'!C205="", "",'Twenty-Fifth'!C205)</f>
        <v/>
      </c>
      <c r="D6202" s="66" t="str">
        <f>IF('Twenty-Fifth'!D205="", "",'Twenty-Fifth'!D205)</f>
        <v/>
      </c>
      <c r="E6202" s="66" t="str">
        <f>IF('Twenty-Fifth'!E205="", "",'Twenty-Fifth'!E205)</f>
        <v/>
      </c>
      <c r="F6202" s="66" t="str">
        <f>IF('Twenty-Fifth'!F205="", "",'Twenty-Fifth'!F205)</f>
        <v/>
      </c>
      <c r="G6202" s="66" t="str">
        <f>IF('Twenty-Fifth'!G205="", "",'Twenty-Fifth'!G205)</f>
        <v/>
      </c>
      <c r="H6202" s="66" t="str">
        <f>IF('Twenty-Fifth'!H205="", "",'Twenty-Fifth'!H205)</f>
        <v/>
      </c>
      <c r="I6202" s="66" t="str">
        <f>IF('Twenty-Fifth'!I205="", "",'Twenty-Fifth'!I205)</f>
        <v/>
      </c>
      <c r="J6202" s="66" t="str">
        <f>IF('Twenty-Fifth'!J205="", "",'Twenty-Fifth'!J205)</f>
        <v/>
      </c>
      <c r="K6202" s="86" t="str">
        <f>IF('Twenty-Fifth'!K205="", "",'Twenty-Fifth'!K205)</f>
        <v/>
      </c>
      <c r="M6202" s="67" t="str">
        <f t="shared" si="293"/>
        <v/>
      </c>
      <c r="N6202" s="76" t="str">
        <f t="shared" si="294"/>
        <v/>
      </c>
      <c r="O6202" s="33">
        <f t="shared" si="295"/>
        <v>0</v>
      </c>
    </row>
    <row r="6203" spans="1:15" x14ac:dyDescent="0.25">
      <c r="A6203" s="64" t="s">
        <v>194</v>
      </c>
      <c r="B6203" s="79" t="str">
        <f>IF('Twenty-Fifth'!B206="", "",'Twenty-Fifth'!B206)</f>
        <v/>
      </c>
      <c r="C6203" s="66" t="str">
        <f>IF('Twenty-Fifth'!C206="", "",'Twenty-Fifth'!C206)</f>
        <v/>
      </c>
      <c r="D6203" s="66" t="str">
        <f>IF('Twenty-Fifth'!D206="", "",'Twenty-Fifth'!D206)</f>
        <v/>
      </c>
      <c r="E6203" s="66" t="str">
        <f>IF('Twenty-Fifth'!E206="", "",'Twenty-Fifth'!E206)</f>
        <v/>
      </c>
      <c r="F6203" s="66" t="str">
        <f>IF('Twenty-Fifth'!F206="", "",'Twenty-Fifth'!F206)</f>
        <v/>
      </c>
      <c r="G6203" s="66" t="str">
        <f>IF('Twenty-Fifth'!G206="", "",'Twenty-Fifth'!G206)</f>
        <v/>
      </c>
      <c r="H6203" s="66" t="str">
        <f>IF('Twenty-Fifth'!H206="", "",'Twenty-Fifth'!H206)</f>
        <v/>
      </c>
      <c r="I6203" s="66" t="str">
        <f>IF('Twenty-Fifth'!I206="", "",'Twenty-Fifth'!I206)</f>
        <v/>
      </c>
      <c r="J6203" s="66" t="str">
        <f>IF('Twenty-Fifth'!J206="", "",'Twenty-Fifth'!J206)</f>
        <v/>
      </c>
      <c r="K6203" s="86" t="str">
        <f>IF('Twenty-Fifth'!K206="", "",'Twenty-Fifth'!K206)</f>
        <v/>
      </c>
      <c r="M6203" s="67" t="str">
        <f t="shared" si="293"/>
        <v/>
      </c>
      <c r="N6203" s="76" t="str">
        <f t="shared" si="294"/>
        <v/>
      </c>
      <c r="O6203" s="33">
        <f t="shared" si="295"/>
        <v>0</v>
      </c>
    </row>
    <row r="6204" spans="1:15" x14ac:dyDescent="0.25">
      <c r="A6204" s="64" t="s">
        <v>194</v>
      </c>
      <c r="B6204" s="79" t="str">
        <f>IF('Twenty-Fifth'!B207="", "",'Twenty-Fifth'!B207)</f>
        <v/>
      </c>
      <c r="C6204" s="66" t="str">
        <f>IF('Twenty-Fifth'!C207="", "",'Twenty-Fifth'!C207)</f>
        <v/>
      </c>
      <c r="D6204" s="66" t="str">
        <f>IF('Twenty-Fifth'!D207="", "",'Twenty-Fifth'!D207)</f>
        <v/>
      </c>
      <c r="E6204" s="66" t="str">
        <f>IF('Twenty-Fifth'!E207="", "",'Twenty-Fifth'!E207)</f>
        <v/>
      </c>
      <c r="F6204" s="66" t="str">
        <f>IF('Twenty-Fifth'!F207="", "",'Twenty-Fifth'!F207)</f>
        <v/>
      </c>
      <c r="G6204" s="66" t="str">
        <f>IF('Twenty-Fifth'!G207="", "",'Twenty-Fifth'!G207)</f>
        <v/>
      </c>
      <c r="H6204" s="66" t="str">
        <f>IF('Twenty-Fifth'!H207="", "",'Twenty-Fifth'!H207)</f>
        <v/>
      </c>
      <c r="I6204" s="66" t="str">
        <f>IF('Twenty-Fifth'!I207="", "",'Twenty-Fifth'!I207)</f>
        <v/>
      </c>
      <c r="J6204" s="66" t="str">
        <f>IF('Twenty-Fifth'!J207="", "",'Twenty-Fifth'!J207)</f>
        <v/>
      </c>
      <c r="K6204" s="86" t="str">
        <f>IF('Twenty-Fifth'!K207="", "",'Twenty-Fifth'!K207)</f>
        <v/>
      </c>
      <c r="M6204" s="67" t="str">
        <f t="shared" si="293"/>
        <v/>
      </c>
      <c r="N6204" s="76" t="str">
        <f t="shared" si="294"/>
        <v/>
      </c>
      <c r="O6204" s="33">
        <f t="shared" si="295"/>
        <v>0</v>
      </c>
    </row>
    <row r="6205" spans="1:15" x14ac:dyDescent="0.25">
      <c r="A6205" s="64" t="s">
        <v>194</v>
      </c>
      <c r="B6205" s="79" t="str">
        <f>IF('Twenty-Fifth'!B208="", "",'Twenty-Fifth'!B208)</f>
        <v/>
      </c>
      <c r="C6205" s="66" t="str">
        <f>IF('Twenty-Fifth'!C208="", "",'Twenty-Fifth'!C208)</f>
        <v/>
      </c>
      <c r="D6205" s="66" t="str">
        <f>IF('Twenty-Fifth'!D208="", "",'Twenty-Fifth'!D208)</f>
        <v/>
      </c>
      <c r="E6205" s="66" t="str">
        <f>IF('Twenty-Fifth'!E208="", "",'Twenty-Fifth'!E208)</f>
        <v/>
      </c>
      <c r="F6205" s="66" t="str">
        <f>IF('Twenty-Fifth'!F208="", "",'Twenty-Fifth'!F208)</f>
        <v/>
      </c>
      <c r="G6205" s="66" t="str">
        <f>IF('Twenty-Fifth'!G208="", "",'Twenty-Fifth'!G208)</f>
        <v/>
      </c>
      <c r="H6205" s="66" t="str">
        <f>IF('Twenty-Fifth'!H208="", "",'Twenty-Fifth'!H208)</f>
        <v/>
      </c>
      <c r="I6205" s="66" t="str">
        <f>IF('Twenty-Fifth'!I208="", "",'Twenty-Fifth'!I208)</f>
        <v/>
      </c>
      <c r="J6205" s="66" t="str">
        <f>IF('Twenty-Fifth'!J208="", "",'Twenty-Fifth'!J208)</f>
        <v/>
      </c>
      <c r="K6205" s="86" t="str">
        <f>IF('Twenty-Fifth'!K208="", "",'Twenty-Fifth'!K208)</f>
        <v/>
      </c>
      <c r="M6205" s="67" t="str">
        <f t="shared" si="293"/>
        <v/>
      </c>
      <c r="N6205" s="76" t="str">
        <f t="shared" si="294"/>
        <v/>
      </c>
      <c r="O6205" s="33">
        <f t="shared" si="295"/>
        <v>0</v>
      </c>
    </row>
    <row r="6206" spans="1:15" x14ac:dyDescent="0.25">
      <c r="A6206" s="64" t="s">
        <v>194</v>
      </c>
      <c r="B6206" s="79" t="str">
        <f>IF('Twenty-Fifth'!B209="", "",'Twenty-Fifth'!B209)</f>
        <v/>
      </c>
      <c r="C6206" s="66" t="str">
        <f>IF('Twenty-Fifth'!C209="", "",'Twenty-Fifth'!C209)</f>
        <v/>
      </c>
      <c r="D6206" s="66" t="str">
        <f>IF('Twenty-Fifth'!D209="", "",'Twenty-Fifth'!D209)</f>
        <v/>
      </c>
      <c r="E6206" s="66" t="str">
        <f>IF('Twenty-Fifth'!E209="", "",'Twenty-Fifth'!E209)</f>
        <v/>
      </c>
      <c r="F6206" s="66" t="str">
        <f>IF('Twenty-Fifth'!F209="", "",'Twenty-Fifth'!F209)</f>
        <v/>
      </c>
      <c r="G6206" s="66" t="str">
        <f>IF('Twenty-Fifth'!G209="", "",'Twenty-Fifth'!G209)</f>
        <v/>
      </c>
      <c r="H6206" s="66" t="str">
        <f>IF('Twenty-Fifth'!H209="", "",'Twenty-Fifth'!H209)</f>
        <v/>
      </c>
      <c r="I6206" s="66" t="str">
        <f>IF('Twenty-Fifth'!I209="", "",'Twenty-Fifth'!I209)</f>
        <v/>
      </c>
      <c r="J6206" s="66" t="str">
        <f>IF('Twenty-Fifth'!J209="", "",'Twenty-Fifth'!J209)</f>
        <v/>
      </c>
      <c r="K6206" s="86" t="str">
        <f>IF('Twenty-Fifth'!K209="", "",'Twenty-Fifth'!K209)</f>
        <v/>
      </c>
      <c r="M6206" s="67" t="str">
        <f t="shared" si="293"/>
        <v/>
      </c>
      <c r="N6206" s="76" t="str">
        <f t="shared" si="294"/>
        <v/>
      </c>
      <c r="O6206" s="33">
        <f t="shared" si="295"/>
        <v>0</v>
      </c>
    </row>
    <row r="6207" spans="1:15" x14ac:dyDescent="0.25">
      <c r="A6207" s="64" t="s">
        <v>194</v>
      </c>
      <c r="B6207" s="79" t="str">
        <f>IF('Twenty-Fifth'!B210="", "",'Twenty-Fifth'!B210)</f>
        <v/>
      </c>
      <c r="C6207" s="66" t="str">
        <f>IF('Twenty-Fifth'!C210="", "",'Twenty-Fifth'!C210)</f>
        <v/>
      </c>
      <c r="D6207" s="66" t="str">
        <f>IF('Twenty-Fifth'!D210="", "",'Twenty-Fifth'!D210)</f>
        <v/>
      </c>
      <c r="E6207" s="66" t="str">
        <f>IF('Twenty-Fifth'!E210="", "",'Twenty-Fifth'!E210)</f>
        <v/>
      </c>
      <c r="F6207" s="66" t="str">
        <f>IF('Twenty-Fifth'!F210="", "",'Twenty-Fifth'!F210)</f>
        <v/>
      </c>
      <c r="G6207" s="66" t="str">
        <f>IF('Twenty-Fifth'!G210="", "",'Twenty-Fifth'!G210)</f>
        <v/>
      </c>
      <c r="H6207" s="66" t="str">
        <f>IF('Twenty-Fifth'!H210="", "",'Twenty-Fifth'!H210)</f>
        <v/>
      </c>
      <c r="I6207" s="66" t="str">
        <f>IF('Twenty-Fifth'!I210="", "",'Twenty-Fifth'!I210)</f>
        <v/>
      </c>
      <c r="J6207" s="66" t="str">
        <f>IF('Twenty-Fifth'!J210="", "",'Twenty-Fifth'!J210)</f>
        <v/>
      </c>
      <c r="K6207" s="86" t="str">
        <f>IF('Twenty-Fifth'!K210="", "",'Twenty-Fifth'!K210)</f>
        <v/>
      </c>
      <c r="M6207" s="67" t="str">
        <f t="shared" ref="M6207:M6270" si="296">IF(C6207="PwC",(7-COUNTIF(B6207:H6207,"")),"")</f>
        <v/>
      </c>
      <c r="N6207" s="76" t="str">
        <f t="shared" ref="N6207:N6270" si="297">IF(C6207="Carer",(7-COUNTIF(B6207:H6207,"")),"")</f>
        <v/>
      </c>
      <c r="O6207" s="33">
        <f t="shared" si="295"/>
        <v>0</v>
      </c>
    </row>
    <row r="6208" spans="1:15" x14ac:dyDescent="0.25">
      <c r="A6208" s="64" t="s">
        <v>194</v>
      </c>
      <c r="B6208" s="79" t="str">
        <f>IF('Twenty-Fifth'!B211="", "",'Twenty-Fifth'!B211)</f>
        <v/>
      </c>
      <c r="C6208" s="66" t="str">
        <f>IF('Twenty-Fifth'!C211="", "",'Twenty-Fifth'!C211)</f>
        <v/>
      </c>
      <c r="D6208" s="66" t="str">
        <f>IF('Twenty-Fifth'!D211="", "",'Twenty-Fifth'!D211)</f>
        <v/>
      </c>
      <c r="E6208" s="66" t="str">
        <f>IF('Twenty-Fifth'!E211="", "",'Twenty-Fifth'!E211)</f>
        <v/>
      </c>
      <c r="F6208" s="66" t="str">
        <f>IF('Twenty-Fifth'!F211="", "",'Twenty-Fifth'!F211)</f>
        <v/>
      </c>
      <c r="G6208" s="66" t="str">
        <f>IF('Twenty-Fifth'!G211="", "",'Twenty-Fifth'!G211)</f>
        <v/>
      </c>
      <c r="H6208" s="66" t="str">
        <f>IF('Twenty-Fifth'!H211="", "",'Twenty-Fifth'!H211)</f>
        <v/>
      </c>
      <c r="I6208" s="66" t="str">
        <f>IF('Twenty-Fifth'!I211="", "",'Twenty-Fifth'!I211)</f>
        <v/>
      </c>
      <c r="J6208" s="66" t="str">
        <f>IF('Twenty-Fifth'!J211="", "",'Twenty-Fifth'!J211)</f>
        <v/>
      </c>
      <c r="K6208" s="86" t="str">
        <f>IF('Twenty-Fifth'!K211="", "",'Twenty-Fifth'!K211)</f>
        <v/>
      </c>
      <c r="M6208" s="67" t="str">
        <f t="shared" si="296"/>
        <v/>
      </c>
      <c r="N6208" s="76" t="str">
        <f t="shared" si="297"/>
        <v/>
      </c>
      <c r="O6208" s="33">
        <f t="shared" si="295"/>
        <v>0</v>
      </c>
    </row>
    <row r="6209" spans="1:15" x14ac:dyDescent="0.25">
      <c r="A6209" s="64" t="s">
        <v>194</v>
      </c>
      <c r="B6209" s="79" t="str">
        <f>IF('Twenty-Fifth'!B212="", "",'Twenty-Fifth'!B212)</f>
        <v/>
      </c>
      <c r="C6209" s="66" t="str">
        <f>IF('Twenty-Fifth'!C212="", "",'Twenty-Fifth'!C212)</f>
        <v/>
      </c>
      <c r="D6209" s="66" t="str">
        <f>IF('Twenty-Fifth'!D212="", "",'Twenty-Fifth'!D212)</f>
        <v/>
      </c>
      <c r="E6209" s="66" t="str">
        <f>IF('Twenty-Fifth'!E212="", "",'Twenty-Fifth'!E212)</f>
        <v/>
      </c>
      <c r="F6209" s="66" t="str">
        <f>IF('Twenty-Fifth'!F212="", "",'Twenty-Fifth'!F212)</f>
        <v/>
      </c>
      <c r="G6209" s="66" t="str">
        <f>IF('Twenty-Fifth'!G212="", "",'Twenty-Fifth'!G212)</f>
        <v/>
      </c>
      <c r="H6209" s="66" t="str">
        <f>IF('Twenty-Fifth'!H212="", "",'Twenty-Fifth'!H212)</f>
        <v/>
      </c>
      <c r="I6209" s="66" t="str">
        <f>IF('Twenty-Fifth'!I212="", "",'Twenty-Fifth'!I212)</f>
        <v/>
      </c>
      <c r="J6209" s="66" t="str">
        <f>IF('Twenty-Fifth'!J212="", "",'Twenty-Fifth'!J212)</f>
        <v/>
      </c>
      <c r="K6209" s="86" t="str">
        <f>IF('Twenty-Fifth'!K212="", "",'Twenty-Fifth'!K212)</f>
        <v/>
      </c>
      <c r="M6209" s="67" t="str">
        <f t="shared" si="296"/>
        <v/>
      </c>
      <c r="N6209" s="76" t="str">
        <f t="shared" si="297"/>
        <v/>
      </c>
      <c r="O6209" s="33">
        <f t="shared" si="295"/>
        <v>0</v>
      </c>
    </row>
    <row r="6210" spans="1:15" x14ac:dyDescent="0.25">
      <c r="A6210" s="64" t="s">
        <v>194</v>
      </c>
      <c r="B6210" s="79" t="str">
        <f>IF('Twenty-Fifth'!B213="", "",'Twenty-Fifth'!B213)</f>
        <v/>
      </c>
      <c r="C6210" s="66" t="str">
        <f>IF('Twenty-Fifth'!C213="", "",'Twenty-Fifth'!C213)</f>
        <v/>
      </c>
      <c r="D6210" s="66" t="str">
        <f>IF('Twenty-Fifth'!D213="", "",'Twenty-Fifth'!D213)</f>
        <v/>
      </c>
      <c r="E6210" s="66" t="str">
        <f>IF('Twenty-Fifth'!E213="", "",'Twenty-Fifth'!E213)</f>
        <v/>
      </c>
      <c r="F6210" s="66" t="str">
        <f>IF('Twenty-Fifth'!F213="", "",'Twenty-Fifth'!F213)</f>
        <v/>
      </c>
      <c r="G6210" s="66" t="str">
        <f>IF('Twenty-Fifth'!G213="", "",'Twenty-Fifth'!G213)</f>
        <v/>
      </c>
      <c r="H6210" s="66" t="str">
        <f>IF('Twenty-Fifth'!H213="", "",'Twenty-Fifth'!H213)</f>
        <v/>
      </c>
      <c r="I6210" s="66" t="str">
        <f>IF('Twenty-Fifth'!I213="", "",'Twenty-Fifth'!I213)</f>
        <v/>
      </c>
      <c r="J6210" s="66" t="str">
        <f>IF('Twenty-Fifth'!J213="", "",'Twenty-Fifth'!J213)</f>
        <v/>
      </c>
      <c r="K6210" s="86" t="str">
        <f>IF('Twenty-Fifth'!K213="", "",'Twenty-Fifth'!K213)</f>
        <v/>
      </c>
      <c r="M6210" s="67" t="str">
        <f t="shared" si="296"/>
        <v/>
      </c>
      <c r="N6210" s="76" t="str">
        <f t="shared" si="297"/>
        <v/>
      </c>
      <c r="O6210" s="33">
        <f t="shared" si="295"/>
        <v>0</v>
      </c>
    </row>
    <row r="6211" spans="1:15" x14ac:dyDescent="0.25">
      <c r="A6211" s="64" t="s">
        <v>194</v>
      </c>
      <c r="B6211" s="79" t="str">
        <f>IF('Twenty-Fifth'!B214="", "",'Twenty-Fifth'!B214)</f>
        <v/>
      </c>
      <c r="C6211" s="66" t="str">
        <f>IF('Twenty-Fifth'!C214="", "",'Twenty-Fifth'!C214)</f>
        <v/>
      </c>
      <c r="D6211" s="66" t="str">
        <f>IF('Twenty-Fifth'!D214="", "",'Twenty-Fifth'!D214)</f>
        <v/>
      </c>
      <c r="E6211" s="66" t="str">
        <f>IF('Twenty-Fifth'!E214="", "",'Twenty-Fifth'!E214)</f>
        <v/>
      </c>
      <c r="F6211" s="66" t="str">
        <f>IF('Twenty-Fifth'!F214="", "",'Twenty-Fifth'!F214)</f>
        <v/>
      </c>
      <c r="G6211" s="66" t="str">
        <f>IF('Twenty-Fifth'!G214="", "",'Twenty-Fifth'!G214)</f>
        <v/>
      </c>
      <c r="H6211" s="66" t="str">
        <f>IF('Twenty-Fifth'!H214="", "",'Twenty-Fifth'!H214)</f>
        <v/>
      </c>
      <c r="I6211" s="66" t="str">
        <f>IF('Twenty-Fifth'!I214="", "",'Twenty-Fifth'!I214)</f>
        <v/>
      </c>
      <c r="J6211" s="66" t="str">
        <f>IF('Twenty-Fifth'!J214="", "",'Twenty-Fifth'!J214)</f>
        <v/>
      </c>
      <c r="K6211" s="86" t="str">
        <f>IF('Twenty-Fifth'!K214="", "",'Twenty-Fifth'!K214)</f>
        <v/>
      </c>
      <c r="M6211" s="67" t="str">
        <f t="shared" si="296"/>
        <v/>
      </c>
      <c r="N6211" s="76" t="str">
        <f t="shared" si="297"/>
        <v/>
      </c>
      <c r="O6211" s="33">
        <f t="shared" si="295"/>
        <v>0</v>
      </c>
    </row>
    <row r="6212" spans="1:15" x14ac:dyDescent="0.25">
      <c r="A6212" s="64" t="s">
        <v>194</v>
      </c>
      <c r="B6212" s="79" t="str">
        <f>IF('Twenty-Fifth'!B215="", "",'Twenty-Fifth'!B215)</f>
        <v/>
      </c>
      <c r="C6212" s="66" t="str">
        <f>IF('Twenty-Fifth'!C215="", "",'Twenty-Fifth'!C215)</f>
        <v/>
      </c>
      <c r="D6212" s="66" t="str">
        <f>IF('Twenty-Fifth'!D215="", "",'Twenty-Fifth'!D215)</f>
        <v/>
      </c>
      <c r="E6212" s="66" t="str">
        <f>IF('Twenty-Fifth'!E215="", "",'Twenty-Fifth'!E215)</f>
        <v/>
      </c>
      <c r="F6212" s="66" t="str">
        <f>IF('Twenty-Fifth'!F215="", "",'Twenty-Fifth'!F215)</f>
        <v/>
      </c>
      <c r="G6212" s="66" t="str">
        <f>IF('Twenty-Fifth'!G215="", "",'Twenty-Fifth'!G215)</f>
        <v/>
      </c>
      <c r="H6212" s="66" t="str">
        <f>IF('Twenty-Fifth'!H215="", "",'Twenty-Fifth'!H215)</f>
        <v/>
      </c>
      <c r="I6212" s="66" t="str">
        <f>IF('Twenty-Fifth'!I215="", "",'Twenty-Fifth'!I215)</f>
        <v/>
      </c>
      <c r="J6212" s="66" t="str">
        <f>IF('Twenty-Fifth'!J215="", "",'Twenty-Fifth'!J215)</f>
        <v/>
      </c>
      <c r="K6212" s="86" t="str">
        <f>IF('Twenty-Fifth'!K215="", "",'Twenty-Fifth'!K215)</f>
        <v/>
      </c>
      <c r="M6212" s="67" t="str">
        <f t="shared" si="296"/>
        <v/>
      </c>
      <c r="N6212" s="76" t="str">
        <f t="shared" si="297"/>
        <v/>
      </c>
      <c r="O6212" s="33">
        <f t="shared" si="295"/>
        <v>0</v>
      </c>
    </row>
    <row r="6213" spans="1:15" x14ac:dyDescent="0.25">
      <c r="A6213" s="64" t="s">
        <v>194</v>
      </c>
      <c r="B6213" s="79" t="str">
        <f>IF('Twenty-Fifth'!B216="", "",'Twenty-Fifth'!B216)</f>
        <v/>
      </c>
      <c r="C6213" s="66" t="str">
        <f>IF('Twenty-Fifth'!C216="", "",'Twenty-Fifth'!C216)</f>
        <v/>
      </c>
      <c r="D6213" s="66" t="str">
        <f>IF('Twenty-Fifth'!D216="", "",'Twenty-Fifth'!D216)</f>
        <v/>
      </c>
      <c r="E6213" s="66" t="str">
        <f>IF('Twenty-Fifth'!E216="", "",'Twenty-Fifth'!E216)</f>
        <v/>
      </c>
      <c r="F6213" s="66" t="str">
        <f>IF('Twenty-Fifth'!F216="", "",'Twenty-Fifth'!F216)</f>
        <v/>
      </c>
      <c r="G6213" s="66" t="str">
        <f>IF('Twenty-Fifth'!G216="", "",'Twenty-Fifth'!G216)</f>
        <v/>
      </c>
      <c r="H6213" s="66" t="str">
        <f>IF('Twenty-Fifth'!H216="", "",'Twenty-Fifth'!H216)</f>
        <v/>
      </c>
      <c r="I6213" s="66" t="str">
        <f>IF('Twenty-Fifth'!I216="", "",'Twenty-Fifth'!I216)</f>
        <v/>
      </c>
      <c r="J6213" s="66" t="str">
        <f>IF('Twenty-Fifth'!J216="", "",'Twenty-Fifth'!J216)</f>
        <v/>
      </c>
      <c r="K6213" s="86" t="str">
        <f>IF('Twenty-Fifth'!K216="", "",'Twenty-Fifth'!K216)</f>
        <v/>
      </c>
      <c r="M6213" s="67" t="str">
        <f t="shared" si="296"/>
        <v/>
      </c>
      <c r="N6213" s="76" t="str">
        <f t="shared" si="297"/>
        <v/>
      </c>
      <c r="O6213" s="33">
        <f t="shared" si="295"/>
        <v>0</v>
      </c>
    </row>
    <row r="6214" spans="1:15" x14ac:dyDescent="0.25">
      <c r="A6214" s="64" t="s">
        <v>194</v>
      </c>
      <c r="B6214" s="79" t="str">
        <f>IF('Twenty-Fifth'!B217="", "",'Twenty-Fifth'!B217)</f>
        <v/>
      </c>
      <c r="C6214" s="66" t="str">
        <f>IF('Twenty-Fifth'!C217="", "",'Twenty-Fifth'!C217)</f>
        <v/>
      </c>
      <c r="D6214" s="66" t="str">
        <f>IF('Twenty-Fifth'!D217="", "",'Twenty-Fifth'!D217)</f>
        <v/>
      </c>
      <c r="E6214" s="66" t="str">
        <f>IF('Twenty-Fifth'!E217="", "",'Twenty-Fifth'!E217)</f>
        <v/>
      </c>
      <c r="F6214" s="66" t="str">
        <f>IF('Twenty-Fifth'!F217="", "",'Twenty-Fifth'!F217)</f>
        <v/>
      </c>
      <c r="G6214" s="66" t="str">
        <f>IF('Twenty-Fifth'!G217="", "",'Twenty-Fifth'!G217)</f>
        <v/>
      </c>
      <c r="H6214" s="66" t="str">
        <f>IF('Twenty-Fifth'!H217="", "",'Twenty-Fifth'!H217)</f>
        <v/>
      </c>
      <c r="I6214" s="66" t="str">
        <f>IF('Twenty-Fifth'!I217="", "",'Twenty-Fifth'!I217)</f>
        <v/>
      </c>
      <c r="J6214" s="66" t="str">
        <f>IF('Twenty-Fifth'!J217="", "",'Twenty-Fifth'!J217)</f>
        <v/>
      </c>
      <c r="K6214" s="86" t="str">
        <f>IF('Twenty-Fifth'!K217="", "",'Twenty-Fifth'!K217)</f>
        <v/>
      </c>
      <c r="M6214" s="67" t="str">
        <f t="shared" si="296"/>
        <v/>
      </c>
      <c r="N6214" s="76" t="str">
        <f t="shared" si="297"/>
        <v/>
      </c>
      <c r="O6214" s="33">
        <f t="shared" si="295"/>
        <v>0</v>
      </c>
    </row>
    <row r="6215" spans="1:15" x14ac:dyDescent="0.25">
      <c r="A6215" s="64" t="s">
        <v>194</v>
      </c>
      <c r="B6215" s="79" t="str">
        <f>IF('Twenty-Fifth'!B218="", "",'Twenty-Fifth'!B218)</f>
        <v/>
      </c>
      <c r="C6215" s="66" t="str">
        <f>IF('Twenty-Fifth'!C218="", "",'Twenty-Fifth'!C218)</f>
        <v/>
      </c>
      <c r="D6215" s="66" t="str">
        <f>IF('Twenty-Fifth'!D218="", "",'Twenty-Fifth'!D218)</f>
        <v/>
      </c>
      <c r="E6215" s="66" t="str">
        <f>IF('Twenty-Fifth'!E218="", "",'Twenty-Fifth'!E218)</f>
        <v/>
      </c>
      <c r="F6215" s="66" t="str">
        <f>IF('Twenty-Fifth'!F218="", "",'Twenty-Fifth'!F218)</f>
        <v/>
      </c>
      <c r="G6215" s="66" t="str">
        <f>IF('Twenty-Fifth'!G218="", "",'Twenty-Fifth'!G218)</f>
        <v/>
      </c>
      <c r="H6215" s="66" t="str">
        <f>IF('Twenty-Fifth'!H218="", "",'Twenty-Fifth'!H218)</f>
        <v/>
      </c>
      <c r="I6215" s="66" t="str">
        <f>IF('Twenty-Fifth'!I218="", "",'Twenty-Fifth'!I218)</f>
        <v/>
      </c>
      <c r="J6215" s="66" t="str">
        <f>IF('Twenty-Fifth'!J218="", "",'Twenty-Fifth'!J218)</f>
        <v/>
      </c>
      <c r="K6215" s="86" t="str">
        <f>IF('Twenty-Fifth'!K218="", "",'Twenty-Fifth'!K218)</f>
        <v/>
      </c>
      <c r="M6215" s="67" t="str">
        <f t="shared" si="296"/>
        <v/>
      </c>
      <c r="N6215" s="76" t="str">
        <f t="shared" si="297"/>
        <v/>
      </c>
      <c r="O6215" s="33">
        <f t="shared" si="295"/>
        <v>0</v>
      </c>
    </row>
    <row r="6216" spans="1:15" x14ac:dyDescent="0.25">
      <c r="A6216" s="64" t="s">
        <v>194</v>
      </c>
      <c r="B6216" s="79" t="str">
        <f>IF('Twenty-Fifth'!B219="", "",'Twenty-Fifth'!B219)</f>
        <v/>
      </c>
      <c r="C6216" s="66" t="str">
        <f>IF('Twenty-Fifth'!C219="", "",'Twenty-Fifth'!C219)</f>
        <v/>
      </c>
      <c r="D6216" s="66" t="str">
        <f>IF('Twenty-Fifth'!D219="", "",'Twenty-Fifth'!D219)</f>
        <v/>
      </c>
      <c r="E6216" s="66" t="str">
        <f>IF('Twenty-Fifth'!E219="", "",'Twenty-Fifth'!E219)</f>
        <v/>
      </c>
      <c r="F6216" s="66" t="str">
        <f>IF('Twenty-Fifth'!F219="", "",'Twenty-Fifth'!F219)</f>
        <v/>
      </c>
      <c r="G6216" s="66" t="str">
        <f>IF('Twenty-Fifth'!G219="", "",'Twenty-Fifth'!G219)</f>
        <v/>
      </c>
      <c r="H6216" s="66" t="str">
        <f>IF('Twenty-Fifth'!H219="", "",'Twenty-Fifth'!H219)</f>
        <v/>
      </c>
      <c r="I6216" s="66" t="str">
        <f>IF('Twenty-Fifth'!I219="", "",'Twenty-Fifth'!I219)</f>
        <v/>
      </c>
      <c r="J6216" s="66" t="str">
        <f>IF('Twenty-Fifth'!J219="", "",'Twenty-Fifth'!J219)</f>
        <v/>
      </c>
      <c r="K6216" s="86" t="str">
        <f>IF('Twenty-Fifth'!K219="", "",'Twenty-Fifth'!K219)</f>
        <v/>
      </c>
      <c r="M6216" s="67" t="str">
        <f t="shared" si="296"/>
        <v/>
      </c>
      <c r="N6216" s="76" t="str">
        <f t="shared" si="297"/>
        <v/>
      </c>
      <c r="O6216" s="33">
        <f t="shared" si="295"/>
        <v>0</v>
      </c>
    </row>
    <row r="6217" spans="1:15" x14ac:dyDescent="0.25">
      <c r="A6217" s="64" t="s">
        <v>194</v>
      </c>
      <c r="B6217" s="79" t="str">
        <f>IF('Twenty-Fifth'!B220="", "",'Twenty-Fifth'!B220)</f>
        <v/>
      </c>
      <c r="C6217" s="66" t="str">
        <f>IF('Twenty-Fifth'!C220="", "",'Twenty-Fifth'!C220)</f>
        <v/>
      </c>
      <c r="D6217" s="66" t="str">
        <f>IF('Twenty-Fifth'!D220="", "",'Twenty-Fifth'!D220)</f>
        <v/>
      </c>
      <c r="E6217" s="66" t="str">
        <f>IF('Twenty-Fifth'!E220="", "",'Twenty-Fifth'!E220)</f>
        <v/>
      </c>
      <c r="F6217" s="66" t="str">
        <f>IF('Twenty-Fifth'!F220="", "",'Twenty-Fifth'!F220)</f>
        <v/>
      </c>
      <c r="G6217" s="66" t="str">
        <f>IF('Twenty-Fifth'!G220="", "",'Twenty-Fifth'!G220)</f>
        <v/>
      </c>
      <c r="H6217" s="66" t="str">
        <f>IF('Twenty-Fifth'!H220="", "",'Twenty-Fifth'!H220)</f>
        <v/>
      </c>
      <c r="I6217" s="66" t="str">
        <f>IF('Twenty-Fifth'!I220="", "",'Twenty-Fifth'!I220)</f>
        <v/>
      </c>
      <c r="J6217" s="66" t="str">
        <f>IF('Twenty-Fifth'!J220="", "",'Twenty-Fifth'!J220)</f>
        <v/>
      </c>
      <c r="K6217" s="86" t="str">
        <f>IF('Twenty-Fifth'!K220="", "",'Twenty-Fifth'!K220)</f>
        <v/>
      </c>
      <c r="M6217" s="67" t="str">
        <f t="shared" si="296"/>
        <v/>
      </c>
      <c r="N6217" s="76" t="str">
        <f t="shared" si="297"/>
        <v/>
      </c>
      <c r="O6217" s="33">
        <f t="shared" si="295"/>
        <v>0</v>
      </c>
    </row>
    <row r="6218" spans="1:15" x14ac:dyDescent="0.25">
      <c r="A6218" s="64" t="s">
        <v>194</v>
      </c>
      <c r="B6218" s="79" t="str">
        <f>IF('Twenty-Fifth'!B221="", "",'Twenty-Fifth'!B221)</f>
        <v/>
      </c>
      <c r="C6218" s="66" t="str">
        <f>IF('Twenty-Fifth'!C221="", "",'Twenty-Fifth'!C221)</f>
        <v/>
      </c>
      <c r="D6218" s="66" t="str">
        <f>IF('Twenty-Fifth'!D221="", "",'Twenty-Fifth'!D221)</f>
        <v/>
      </c>
      <c r="E6218" s="66" t="str">
        <f>IF('Twenty-Fifth'!E221="", "",'Twenty-Fifth'!E221)</f>
        <v/>
      </c>
      <c r="F6218" s="66" t="str">
        <f>IF('Twenty-Fifth'!F221="", "",'Twenty-Fifth'!F221)</f>
        <v/>
      </c>
      <c r="G6218" s="66" t="str">
        <f>IF('Twenty-Fifth'!G221="", "",'Twenty-Fifth'!G221)</f>
        <v/>
      </c>
      <c r="H6218" s="66" t="str">
        <f>IF('Twenty-Fifth'!H221="", "",'Twenty-Fifth'!H221)</f>
        <v/>
      </c>
      <c r="I6218" s="66" t="str">
        <f>IF('Twenty-Fifth'!I221="", "",'Twenty-Fifth'!I221)</f>
        <v/>
      </c>
      <c r="J6218" s="66" t="str">
        <f>IF('Twenty-Fifth'!J221="", "",'Twenty-Fifth'!J221)</f>
        <v/>
      </c>
      <c r="K6218" s="86" t="str">
        <f>IF('Twenty-Fifth'!K221="", "",'Twenty-Fifth'!K221)</f>
        <v/>
      </c>
      <c r="M6218" s="67" t="str">
        <f t="shared" si="296"/>
        <v/>
      </c>
      <c r="N6218" s="76" t="str">
        <f t="shared" si="297"/>
        <v/>
      </c>
      <c r="O6218" s="33">
        <f t="shared" ref="O6218:O6281" si="298">SUM(M6218:N6218)</f>
        <v>0</v>
      </c>
    </row>
    <row r="6219" spans="1:15" x14ac:dyDescent="0.25">
      <c r="A6219" s="64" t="s">
        <v>194</v>
      </c>
      <c r="B6219" s="79" t="str">
        <f>IF('Twenty-Fifth'!B222="", "",'Twenty-Fifth'!B222)</f>
        <v/>
      </c>
      <c r="C6219" s="66" t="str">
        <f>IF('Twenty-Fifth'!C222="", "",'Twenty-Fifth'!C222)</f>
        <v/>
      </c>
      <c r="D6219" s="66" t="str">
        <f>IF('Twenty-Fifth'!D222="", "",'Twenty-Fifth'!D222)</f>
        <v/>
      </c>
      <c r="E6219" s="66" t="str">
        <f>IF('Twenty-Fifth'!E222="", "",'Twenty-Fifth'!E222)</f>
        <v/>
      </c>
      <c r="F6219" s="66" t="str">
        <f>IF('Twenty-Fifth'!F222="", "",'Twenty-Fifth'!F222)</f>
        <v/>
      </c>
      <c r="G6219" s="66" t="str">
        <f>IF('Twenty-Fifth'!G222="", "",'Twenty-Fifth'!G222)</f>
        <v/>
      </c>
      <c r="H6219" s="66" t="str">
        <f>IF('Twenty-Fifth'!H222="", "",'Twenty-Fifth'!H222)</f>
        <v/>
      </c>
      <c r="I6219" s="66" t="str">
        <f>IF('Twenty-Fifth'!I222="", "",'Twenty-Fifth'!I222)</f>
        <v/>
      </c>
      <c r="J6219" s="66" t="str">
        <f>IF('Twenty-Fifth'!J222="", "",'Twenty-Fifth'!J222)</f>
        <v/>
      </c>
      <c r="K6219" s="86" t="str">
        <f>IF('Twenty-Fifth'!K222="", "",'Twenty-Fifth'!K222)</f>
        <v/>
      </c>
      <c r="M6219" s="67" t="str">
        <f t="shared" si="296"/>
        <v/>
      </c>
      <c r="N6219" s="76" t="str">
        <f t="shared" si="297"/>
        <v/>
      </c>
      <c r="O6219" s="33">
        <f t="shared" si="298"/>
        <v>0</v>
      </c>
    </row>
    <row r="6220" spans="1:15" x14ac:dyDescent="0.25">
      <c r="A6220" s="64" t="s">
        <v>194</v>
      </c>
      <c r="B6220" s="79" t="str">
        <f>IF('Twenty-Fifth'!B223="", "",'Twenty-Fifth'!B223)</f>
        <v/>
      </c>
      <c r="C6220" s="66" t="str">
        <f>IF('Twenty-Fifth'!C223="", "",'Twenty-Fifth'!C223)</f>
        <v/>
      </c>
      <c r="D6220" s="66" t="str">
        <f>IF('Twenty-Fifth'!D223="", "",'Twenty-Fifth'!D223)</f>
        <v/>
      </c>
      <c r="E6220" s="66" t="str">
        <f>IF('Twenty-Fifth'!E223="", "",'Twenty-Fifth'!E223)</f>
        <v/>
      </c>
      <c r="F6220" s="66" t="str">
        <f>IF('Twenty-Fifth'!F223="", "",'Twenty-Fifth'!F223)</f>
        <v/>
      </c>
      <c r="G6220" s="66" t="str">
        <f>IF('Twenty-Fifth'!G223="", "",'Twenty-Fifth'!G223)</f>
        <v/>
      </c>
      <c r="H6220" s="66" t="str">
        <f>IF('Twenty-Fifth'!H223="", "",'Twenty-Fifth'!H223)</f>
        <v/>
      </c>
      <c r="I6220" s="66" t="str">
        <f>IF('Twenty-Fifth'!I223="", "",'Twenty-Fifth'!I223)</f>
        <v/>
      </c>
      <c r="J6220" s="66" t="str">
        <f>IF('Twenty-Fifth'!J223="", "",'Twenty-Fifth'!J223)</f>
        <v/>
      </c>
      <c r="K6220" s="86" t="str">
        <f>IF('Twenty-Fifth'!K223="", "",'Twenty-Fifth'!K223)</f>
        <v/>
      </c>
      <c r="M6220" s="67" t="str">
        <f t="shared" si="296"/>
        <v/>
      </c>
      <c r="N6220" s="76" t="str">
        <f t="shared" si="297"/>
        <v/>
      </c>
      <c r="O6220" s="33">
        <f t="shared" si="298"/>
        <v>0</v>
      </c>
    </row>
    <row r="6221" spans="1:15" x14ac:dyDescent="0.25">
      <c r="A6221" s="64" t="s">
        <v>194</v>
      </c>
      <c r="B6221" s="79" t="str">
        <f>IF('Twenty-Fifth'!B224="", "",'Twenty-Fifth'!B224)</f>
        <v/>
      </c>
      <c r="C6221" s="66" t="str">
        <f>IF('Twenty-Fifth'!C224="", "",'Twenty-Fifth'!C224)</f>
        <v/>
      </c>
      <c r="D6221" s="66" t="str">
        <f>IF('Twenty-Fifth'!D224="", "",'Twenty-Fifth'!D224)</f>
        <v/>
      </c>
      <c r="E6221" s="66" t="str">
        <f>IF('Twenty-Fifth'!E224="", "",'Twenty-Fifth'!E224)</f>
        <v/>
      </c>
      <c r="F6221" s="66" t="str">
        <f>IF('Twenty-Fifth'!F224="", "",'Twenty-Fifth'!F224)</f>
        <v/>
      </c>
      <c r="G6221" s="66" t="str">
        <f>IF('Twenty-Fifth'!G224="", "",'Twenty-Fifth'!G224)</f>
        <v/>
      </c>
      <c r="H6221" s="66" t="str">
        <f>IF('Twenty-Fifth'!H224="", "",'Twenty-Fifth'!H224)</f>
        <v/>
      </c>
      <c r="I6221" s="66" t="str">
        <f>IF('Twenty-Fifth'!I224="", "",'Twenty-Fifth'!I224)</f>
        <v/>
      </c>
      <c r="J6221" s="66" t="str">
        <f>IF('Twenty-Fifth'!J224="", "",'Twenty-Fifth'!J224)</f>
        <v/>
      </c>
      <c r="K6221" s="86" t="str">
        <f>IF('Twenty-Fifth'!K224="", "",'Twenty-Fifth'!K224)</f>
        <v/>
      </c>
      <c r="M6221" s="67" t="str">
        <f t="shared" si="296"/>
        <v/>
      </c>
      <c r="N6221" s="76" t="str">
        <f t="shared" si="297"/>
        <v/>
      </c>
      <c r="O6221" s="33">
        <f t="shared" si="298"/>
        <v>0</v>
      </c>
    </row>
    <row r="6222" spans="1:15" x14ac:dyDescent="0.25">
      <c r="A6222" s="64" t="s">
        <v>194</v>
      </c>
      <c r="B6222" s="79" t="str">
        <f>IF('Twenty-Fifth'!B225="", "",'Twenty-Fifth'!B225)</f>
        <v/>
      </c>
      <c r="C6222" s="66" t="str">
        <f>IF('Twenty-Fifth'!C225="", "",'Twenty-Fifth'!C225)</f>
        <v/>
      </c>
      <c r="D6222" s="66" t="str">
        <f>IF('Twenty-Fifth'!D225="", "",'Twenty-Fifth'!D225)</f>
        <v/>
      </c>
      <c r="E6222" s="66" t="str">
        <f>IF('Twenty-Fifth'!E225="", "",'Twenty-Fifth'!E225)</f>
        <v/>
      </c>
      <c r="F6222" s="66" t="str">
        <f>IF('Twenty-Fifth'!F225="", "",'Twenty-Fifth'!F225)</f>
        <v/>
      </c>
      <c r="G6222" s="66" t="str">
        <f>IF('Twenty-Fifth'!G225="", "",'Twenty-Fifth'!G225)</f>
        <v/>
      </c>
      <c r="H6222" s="66" t="str">
        <f>IF('Twenty-Fifth'!H225="", "",'Twenty-Fifth'!H225)</f>
        <v/>
      </c>
      <c r="I6222" s="66" t="str">
        <f>IF('Twenty-Fifth'!I225="", "",'Twenty-Fifth'!I225)</f>
        <v/>
      </c>
      <c r="J6222" s="66" t="str">
        <f>IF('Twenty-Fifth'!J225="", "",'Twenty-Fifth'!J225)</f>
        <v/>
      </c>
      <c r="K6222" s="86" t="str">
        <f>IF('Twenty-Fifth'!K225="", "",'Twenty-Fifth'!K225)</f>
        <v/>
      </c>
      <c r="M6222" s="67" t="str">
        <f t="shared" si="296"/>
        <v/>
      </c>
      <c r="N6222" s="76" t="str">
        <f t="shared" si="297"/>
        <v/>
      </c>
      <c r="O6222" s="33">
        <f t="shared" si="298"/>
        <v>0</v>
      </c>
    </row>
    <row r="6223" spans="1:15" x14ac:dyDescent="0.25">
      <c r="A6223" s="64" t="s">
        <v>194</v>
      </c>
      <c r="B6223" s="79" t="str">
        <f>IF('Twenty-Fifth'!B226="", "",'Twenty-Fifth'!B226)</f>
        <v/>
      </c>
      <c r="C6223" s="66" t="str">
        <f>IF('Twenty-Fifth'!C226="", "",'Twenty-Fifth'!C226)</f>
        <v/>
      </c>
      <c r="D6223" s="66" t="str">
        <f>IF('Twenty-Fifth'!D226="", "",'Twenty-Fifth'!D226)</f>
        <v/>
      </c>
      <c r="E6223" s="66" t="str">
        <f>IF('Twenty-Fifth'!E226="", "",'Twenty-Fifth'!E226)</f>
        <v/>
      </c>
      <c r="F6223" s="66" t="str">
        <f>IF('Twenty-Fifth'!F226="", "",'Twenty-Fifth'!F226)</f>
        <v/>
      </c>
      <c r="G6223" s="66" t="str">
        <f>IF('Twenty-Fifth'!G226="", "",'Twenty-Fifth'!G226)</f>
        <v/>
      </c>
      <c r="H6223" s="66" t="str">
        <f>IF('Twenty-Fifth'!H226="", "",'Twenty-Fifth'!H226)</f>
        <v/>
      </c>
      <c r="I6223" s="66" t="str">
        <f>IF('Twenty-Fifth'!I226="", "",'Twenty-Fifth'!I226)</f>
        <v/>
      </c>
      <c r="J6223" s="66" t="str">
        <f>IF('Twenty-Fifth'!J226="", "",'Twenty-Fifth'!J226)</f>
        <v/>
      </c>
      <c r="K6223" s="86" t="str">
        <f>IF('Twenty-Fifth'!K226="", "",'Twenty-Fifth'!K226)</f>
        <v/>
      </c>
      <c r="M6223" s="67" t="str">
        <f t="shared" si="296"/>
        <v/>
      </c>
      <c r="N6223" s="76" t="str">
        <f t="shared" si="297"/>
        <v/>
      </c>
      <c r="O6223" s="33">
        <f t="shared" si="298"/>
        <v>0</v>
      </c>
    </row>
    <row r="6224" spans="1:15" x14ac:dyDescent="0.25">
      <c r="A6224" s="64" t="s">
        <v>194</v>
      </c>
      <c r="B6224" s="79" t="str">
        <f>IF('Twenty-Fifth'!B227="", "",'Twenty-Fifth'!B227)</f>
        <v/>
      </c>
      <c r="C6224" s="66" t="str">
        <f>IF('Twenty-Fifth'!C227="", "",'Twenty-Fifth'!C227)</f>
        <v/>
      </c>
      <c r="D6224" s="66" t="str">
        <f>IF('Twenty-Fifth'!D227="", "",'Twenty-Fifth'!D227)</f>
        <v/>
      </c>
      <c r="E6224" s="66" t="str">
        <f>IF('Twenty-Fifth'!E227="", "",'Twenty-Fifth'!E227)</f>
        <v/>
      </c>
      <c r="F6224" s="66" t="str">
        <f>IF('Twenty-Fifth'!F227="", "",'Twenty-Fifth'!F227)</f>
        <v/>
      </c>
      <c r="G6224" s="66" t="str">
        <f>IF('Twenty-Fifth'!G227="", "",'Twenty-Fifth'!G227)</f>
        <v/>
      </c>
      <c r="H6224" s="66" t="str">
        <f>IF('Twenty-Fifth'!H227="", "",'Twenty-Fifth'!H227)</f>
        <v/>
      </c>
      <c r="I6224" s="66" t="str">
        <f>IF('Twenty-Fifth'!I227="", "",'Twenty-Fifth'!I227)</f>
        <v/>
      </c>
      <c r="J6224" s="66" t="str">
        <f>IF('Twenty-Fifth'!J227="", "",'Twenty-Fifth'!J227)</f>
        <v/>
      </c>
      <c r="K6224" s="86" t="str">
        <f>IF('Twenty-Fifth'!K227="", "",'Twenty-Fifth'!K227)</f>
        <v/>
      </c>
      <c r="M6224" s="67" t="str">
        <f t="shared" si="296"/>
        <v/>
      </c>
      <c r="N6224" s="76" t="str">
        <f t="shared" si="297"/>
        <v/>
      </c>
      <c r="O6224" s="33">
        <f t="shared" si="298"/>
        <v>0</v>
      </c>
    </row>
    <row r="6225" spans="1:15" x14ac:dyDescent="0.25">
      <c r="A6225" s="64" t="s">
        <v>194</v>
      </c>
      <c r="B6225" s="79" t="str">
        <f>IF('Twenty-Fifth'!B228="", "",'Twenty-Fifth'!B228)</f>
        <v/>
      </c>
      <c r="C6225" s="66" t="str">
        <f>IF('Twenty-Fifth'!C228="", "",'Twenty-Fifth'!C228)</f>
        <v/>
      </c>
      <c r="D6225" s="66" t="str">
        <f>IF('Twenty-Fifth'!D228="", "",'Twenty-Fifth'!D228)</f>
        <v/>
      </c>
      <c r="E6225" s="66" t="str">
        <f>IF('Twenty-Fifth'!E228="", "",'Twenty-Fifth'!E228)</f>
        <v/>
      </c>
      <c r="F6225" s="66" t="str">
        <f>IF('Twenty-Fifth'!F228="", "",'Twenty-Fifth'!F228)</f>
        <v/>
      </c>
      <c r="G6225" s="66" t="str">
        <f>IF('Twenty-Fifth'!G228="", "",'Twenty-Fifth'!G228)</f>
        <v/>
      </c>
      <c r="H6225" s="66" t="str">
        <f>IF('Twenty-Fifth'!H228="", "",'Twenty-Fifth'!H228)</f>
        <v/>
      </c>
      <c r="I6225" s="66" t="str">
        <f>IF('Twenty-Fifth'!I228="", "",'Twenty-Fifth'!I228)</f>
        <v/>
      </c>
      <c r="J6225" s="66" t="str">
        <f>IF('Twenty-Fifth'!J228="", "",'Twenty-Fifth'!J228)</f>
        <v/>
      </c>
      <c r="K6225" s="86" t="str">
        <f>IF('Twenty-Fifth'!K228="", "",'Twenty-Fifth'!K228)</f>
        <v/>
      </c>
      <c r="M6225" s="67" t="str">
        <f t="shared" si="296"/>
        <v/>
      </c>
      <c r="N6225" s="76" t="str">
        <f t="shared" si="297"/>
        <v/>
      </c>
      <c r="O6225" s="33">
        <f t="shared" si="298"/>
        <v>0</v>
      </c>
    </row>
    <row r="6226" spans="1:15" x14ac:dyDescent="0.25">
      <c r="A6226" s="64" t="s">
        <v>194</v>
      </c>
      <c r="B6226" s="79" t="str">
        <f>IF('Twenty-Fifth'!B229="", "",'Twenty-Fifth'!B229)</f>
        <v/>
      </c>
      <c r="C6226" s="66" t="str">
        <f>IF('Twenty-Fifth'!C229="", "",'Twenty-Fifth'!C229)</f>
        <v/>
      </c>
      <c r="D6226" s="66" t="str">
        <f>IF('Twenty-Fifth'!D229="", "",'Twenty-Fifth'!D229)</f>
        <v/>
      </c>
      <c r="E6226" s="66" t="str">
        <f>IF('Twenty-Fifth'!E229="", "",'Twenty-Fifth'!E229)</f>
        <v/>
      </c>
      <c r="F6226" s="66" t="str">
        <f>IF('Twenty-Fifth'!F229="", "",'Twenty-Fifth'!F229)</f>
        <v/>
      </c>
      <c r="G6226" s="66" t="str">
        <f>IF('Twenty-Fifth'!G229="", "",'Twenty-Fifth'!G229)</f>
        <v/>
      </c>
      <c r="H6226" s="66" t="str">
        <f>IF('Twenty-Fifth'!H229="", "",'Twenty-Fifth'!H229)</f>
        <v/>
      </c>
      <c r="I6226" s="66" t="str">
        <f>IF('Twenty-Fifth'!I229="", "",'Twenty-Fifth'!I229)</f>
        <v/>
      </c>
      <c r="J6226" s="66" t="str">
        <f>IF('Twenty-Fifth'!J229="", "",'Twenty-Fifth'!J229)</f>
        <v/>
      </c>
      <c r="K6226" s="86" t="str">
        <f>IF('Twenty-Fifth'!K229="", "",'Twenty-Fifth'!K229)</f>
        <v/>
      </c>
      <c r="M6226" s="67" t="str">
        <f t="shared" si="296"/>
        <v/>
      </c>
      <c r="N6226" s="76" t="str">
        <f t="shared" si="297"/>
        <v/>
      </c>
      <c r="O6226" s="33">
        <f t="shared" si="298"/>
        <v>0</v>
      </c>
    </row>
    <row r="6227" spans="1:15" x14ac:dyDescent="0.25">
      <c r="A6227" s="64" t="s">
        <v>194</v>
      </c>
      <c r="B6227" s="79" t="str">
        <f>IF('Twenty-Fifth'!B230="", "",'Twenty-Fifth'!B230)</f>
        <v/>
      </c>
      <c r="C6227" s="66" t="str">
        <f>IF('Twenty-Fifth'!C230="", "",'Twenty-Fifth'!C230)</f>
        <v/>
      </c>
      <c r="D6227" s="66" t="str">
        <f>IF('Twenty-Fifth'!D230="", "",'Twenty-Fifth'!D230)</f>
        <v/>
      </c>
      <c r="E6227" s="66" t="str">
        <f>IF('Twenty-Fifth'!E230="", "",'Twenty-Fifth'!E230)</f>
        <v/>
      </c>
      <c r="F6227" s="66" t="str">
        <f>IF('Twenty-Fifth'!F230="", "",'Twenty-Fifth'!F230)</f>
        <v/>
      </c>
      <c r="G6227" s="66" t="str">
        <f>IF('Twenty-Fifth'!G230="", "",'Twenty-Fifth'!G230)</f>
        <v/>
      </c>
      <c r="H6227" s="66" t="str">
        <f>IF('Twenty-Fifth'!H230="", "",'Twenty-Fifth'!H230)</f>
        <v/>
      </c>
      <c r="I6227" s="66" t="str">
        <f>IF('Twenty-Fifth'!I230="", "",'Twenty-Fifth'!I230)</f>
        <v/>
      </c>
      <c r="J6227" s="66" t="str">
        <f>IF('Twenty-Fifth'!J230="", "",'Twenty-Fifth'!J230)</f>
        <v/>
      </c>
      <c r="K6227" s="86" t="str">
        <f>IF('Twenty-Fifth'!K230="", "",'Twenty-Fifth'!K230)</f>
        <v/>
      </c>
      <c r="M6227" s="67" t="str">
        <f t="shared" si="296"/>
        <v/>
      </c>
      <c r="N6227" s="76" t="str">
        <f t="shared" si="297"/>
        <v/>
      </c>
      <c r="O6227" s="33">
        <f t="shared" si="298"/>
        <v>0</v>
      </c>
    </row>
    <row r="6228" spans="1:15" x14ac:dyDescent="0.25">
      <c r="A6228" s="64" t="s">
        <v>194</v>
      </c>
      <c r="B6228" s="79" t="str">
        <f>IF('Twenty-Fifth'!B231="", "",'Twenty-Fifth'!B231)</f>
        <v/>
      </c>
      <c r="C6228" s="66" t="str">
        <f>IF('Twenty-Fifth'!C231="", "",'Twenty-Fifth'!C231)</f>
        <v/>
      </c>
      <c r="D6228" s="66" t="str">
        <f>IF('Twenty-Fifth'!D231="", "",'Twenty-Fifth'!D231)</f>
        <v/>
      </c>
      <c r="E6228" s="66" t="str">
        <f>IF('Twenty-Fifth'!E231="", "",'Twenty-Fifth'!E231)</f>
        <v/>
      </c>
      <c r="F6228" s="66" t="str">
        <f>IF('Twenty-Fifth'!F231="", "",'Twenty-Fifth'!F231)</f>
        <v/>
      </c>
      <c r="G6228" s="66" t="str">
        <f>IF('Twenty-Fifth'!G231="", "",'Twenty-Fifth'!G231)</f>
        <v/>
      </c>
      <c r="H6228" s="66" t="str">
        <f>IF('Twenty-Fifth'!H231="", "",'Twenty-Fifth'!H231)</f>
        <v/>
      </c>
      <c r="I6228" s="66" t="str">
        <f>IF('Twenty-Fifth'!I231="", "",'Twenty-Fifth'!I231)</f>
        <v/>
      </c>
      <c r="J6228" s="66" t="str">
        <f>IF('Twenty-Fifth'!J231="", "",'Twenty-Fifth'!J231)</f>
        <v/>
      </c>
      <c r="K6228" s="86" t="str">
        <f>IF('Twenty-Fifth'!K231="", "",'Twenty-Fifth'!K231)</f>
        <v/>
      </c>
      <c r="M6228" s="67" t="str">
        <f t="shared" si="296"/>
        <v/>
      </c>
      <c r="N6228" s="76" t="str">
        <f t="shared" si="297"/>
        <v/>
      </c>
      <c r="O6228" s="33">
        <f t="shared" si="298"/>
        <v>0</v>
      </c>
    </row>
    <row r="6229" spans="1:15" x14ac:dyDescent="0.25">
      <c r="A6229" s="64" t="s">
        <v>194</v>
      </c>
      <c r="B6229" s="79" t="str">
        <f>IF('Twenty-Fifth'!B232="", "",'Twenty-Fifth'!B232)</f>
        <v/>
      </c>
      <c r="C6229" s="66" t="str">
        <f>IF('Twenty-Fifth'!C232="", "",'Twenty-Fifth'!C232)</f>
        <v/>
      </c>
      <c r="D6229" s="66" t="str">
        <f>IF('Twenty-Fifth'!D232="", "",'Twenty-Fifth'!D232)</f>
        <v/>
      </c>
      <c r="E6229" s="66" t="str">
        <f>IF('Twenty-Fifth'!E232="", "",'Twenty-Fifth'!E232)</f>
        <v/>
      </c>
      <c r="F6229" s="66" t="str">
        <f>IF('Twenty-Fifth'!F232="", "",'Twenty-Fifth'!F232)</f>
        <v/>
      </c>
      <c r="G6229" s="66" t="str">
        <f>IF('Twenty-Fifth'!G232="", "",'Twenty-Fifth'!G232)</f>
        <v/>
      </c>
      <c r="H6229" s="66" t="str">
        <f>IF('Twenty-Fifth'!H232="", "",'Twenty-Fifth'!H232)</f>
        <v/>
      </c>
      <c r="I6229" s="66" t="str">
        <f>IF('Twenty-Fifth'!I232="", "",'Twenty-Fifth'!I232)</f>
        <v/>
      </c>
      <c r="J6229" s="66" t="str">
        <f>IF('Twenty-Fifth'!J232="", "",'Twenty-Fifth'!J232)</f>
        <v/>
      </c>
      <c r="K6229" s="86" t="str">
        <f>IF('Twenty-Fifth'!K232="", "",'Twenty-Fifth'!K232)</f>
        <v/>
      </c>
      <c r="M6229" s="67" t="str">
        <f t="shared" si="296"/>
        <v/>
      </c>
      <c r="N6229" s="76" t="str">
        <f t="shared" si="297"/>
        <v/>
      </c>
      <c r="O6229" s="33">
        <f t="shared" si="298"/>
        <v>0</v>
      </c>
    </row>
    <row r="6230" spans="1:15" x14ac:dyDescent="0.25">
      <c r="A6230" s="64" t="s">
        <v>194</v>
      </c>
      <c r="B6230" s="79" t="str">
        <f>IF('Twenty-Fifth'!B233="", "",'Twenty-Fifth'!B233)</f>
        <v/>
      </c>
      <c r="C6230" s="66" t="str">
        <f>IF('Twenty-Fifth'!C233="", "",'Twenty-Fifth'!C233)</f>
        <v/>
      </c>
      <c r="D6230" s="66" t="str">
        <f>IF('Twenty-Fifth'!D233="", "",'Twenty-Fifth'!D233)</f>
        <v/>
      </c>
      <c r="E6230" s="66" t="str">
        <f>IF('Twenty-Fifth'!E233="", "",'Twenty-Fifth'!E233)</f>
        <v/>
      </c>
      <c r="F6230" s="66" t="str">
        <f>IF('Twenty-Fifth'!F233="", "",'Twenty-Fifth'!F233)</f>
        <v/>
      </c>
      <c r="G6230" s="66" t="str">
        <f>IF('Twenty-Fifth'!G233="", "",'Twenty-Fifth'!G233)</f>
        <v/>
      </c>
      <c r="H6230" s="66" t="str">
        <f>IF('Twenty-Fifth'!H233="", "",'Twenty-Fifth'!H233)</f>
        <v/>
      </c>
      <c r="I6230" s="66" t="str">
        <f>IF('Twenty-Fifth'!I233="", "",'Twenty-Fifth'!I233)</f>
        <v/>
      </c>
      <c r="J6230" s="66" t="str">
        <f>IF('Twenty-Fifth'!J233="", "",'Twenty-Fifth'!J233)</f>
        <v/>
      </c>
      <c r="K6230" s="86" t="str">
        <f>IF('Twenty-Fifth'!K233="", "",'Twenty-Fifth'!K233)</f>
        <v/>
      </c>
      <c r="M6230" s="67" t="str">
        <f t="shared" si="296"/>
        <v/>
      </c>
      <c r="N6230" s="76" t="str">
        <f t="shared" si="297"/>
        <v/>
      </c>
      <c r="O6230" s="33">
        <f t="shared" si="298"/>
        <v>0</v>
      </c>
    </row>
    <row r="6231" spans="1:15" x14ac:dyDescent="0.25">
      <c r="A6231" s="64" t="s">
        <v>194</v>
      </c>
      <c r="B6231" s="79" t="str">
        <f>IF('Twenty-Fifth'!B234="", "",'Twenty-Fifth'!B234)</f>
        <v/>
      </c>
      <c r="C6231" s="66" t="str">
        <f>IF('Twenty-Fifth'!C234="", "",'Twenty-Fifth'!C234)</f>
        <v/>
      </c>
      <c r="D6231" s="66" t="str">
        <f>IF('Twenty-Fifth'!D234="", "",'Twenty-Fifth'!D234)</f>
        <v/>
      </c>
      <c r="E6231" s="66" t="str">
        <f>IF('Twenty-Fifth'!E234="", "",'Twenty-Fifth'!E234)</f>
        <v/>
      </c>
      <c r="F6231" s="66" t="str">
        <f>IF('Twenty-Fifth'!F234="", "",'Twenty-Fifth'!F234)</f>
        <v/>
      </c>
      <c r="G6231" s="66" t="str">
        <f>IF('Twenty-Fifth'!G234="", "",'Twenty-Fifth'!G234)</f>
        <v/>
      </c>
      <c r="H6231" s="66" t="str">
        <f>IF('Twenty-Fifth'!H234="", "",'Twenty-Fifth'!H234)</f>
        <v/>
      </c>
      <c r="I6231" s="66" t="str">
        <f>IF('Twenty-Fifth'!I234="", "",'Twenty-Fifth'!I234)</f>
        <v/>
      </c>
      <c r="J6231" s="66" t="str">
        <f>IF('Twenty-Fifth'!J234="", "",'Twenty-Fifth'!J234)</f>
        <v/>
      </c>
      <c r="K6231" s="86" t="str">
        <f>IF('Twenty-Fifth'!K234="", "",'Twenty-Fifth'!K234)</f>
        <v/>
      </c>
      <c r="M6231" s="67" t="str">
        <f t="shared" si="296"/>
        <v/>
      </c>
      <c r="N6231" s="76" t="str">
        <f t="shared" si="297"/>
        <v/>
      </c>
      <c r="O6231" s="33">
        <f t="shared" si="298"/>
        <v>0</v>
      </c>
    </row>
    <row r="6232" spans="1:15" x14ac:dyDescent="0.25">
      <c r="A6232" s="64" t="s">
        <v>194</v>
      </c>
      <c r="B6232" s="79" t="str">
        <f>IF('Twenty-Fifth'!B235="", "",'Twenty-Fifth'!B235)</f>
        <v/>
      </c>
      <c r="C6232" s="66" t="str">
        <f>IF('Twenty-Fifth'!C235="", "",'Twenty-Fifth'!C235)</f>
        <v/>
      </c>
      <c r="D6232" s="66" t="str">
        <f>IF('Twenty-Fifth'!D235="", "",'Twenty-Fifth'!D235)</f>
        <v/>
      </c>
      <c r="E6232" s="66" t="str">
        <f>IF('Twenty-Fifth'!E235="", "",'Twenty-Fifth'!E235)</f>
        <v/>
      </c>
      <c r="F6232" s="66" t="str">
        <f>IF('Twenty-Fifth'!F235="", "",'Twenty-Fifth'!F235)</f>
        <v/>
      </c>
      <c r="G6232" s="66" t="str">
        <f>IF('Twenty-Fifth'!G235="", "",'Twenty-Fifth'!G235)</f>
        <v/>
      </c>
      <c r="H6232" s="66" t="str">
        <f>IF('Twenty-Fifth'!H235="", "",'Twenty-Fifth'!H235)</f>
        <v/>
      </c>
      <c r="I6232" s="66" t="str">
        <f>IF('Twenty-Fifth'!I235="", "",'Twenty-Fifth'!I235)</f>
        <v/>
      </c>
      <c r="J6232" s="66" t="str">
        <f>IF('Twenty-Fifth'!J235="", "",'Twenty-Fifth'!J235)</f>
        <v/>
      </c>
      <c r="K6232" s="86" t="str">
        <f>IF('Twenty-Fifth'!K235="", "",'Twenty-Fifth'!K235)</f>
        <v/>
      </c>
      <c r="M6232" s="67" t="str">
        <f t="shared" si="296"/>
        <v/>
      </c>
      <c r="N6232" s="76" t="str">
        <f t="shared" si="297"/>
        <v/>
      </c>
      <c r="O6232" s="33">
        <f t="shared" si="298"/>
        <v>0</v>
      </c>
    </row>
    <row r="6233" spans="1:15" x14ac:dyDescent="0.25">
      <c r="A6233" s="64" t="s">
        <v>194</v>
      </c>
      <c r="B6233" s="79" t="str">
        <f>IF('Twenty-Fifth'!B236="", "",'Twenty-Fifth'!B236)</f>
        <v/>
      </c>
      <c r="C6233" s="66" t="str">
        <f>IF('Twenty-Fifth'!C236="", "",'Twenty-Fifth'!C236)</f>
        <v/>
      </c>
      <c r="D6233" s="66" t="str">
        <f>IF('Twenty-Fifth'!D236="", "",'Twenty-Fifth'!D236)</f>
        <v/>
      </c>
      <c r="E6233" s="66" t="str">
        <f>IF('Twenty-Fifth'!E236="", "",'Twenty-Fifth'!E236)</f>
        <v/>
      </c>
      <c r="F6233" s="66" t="str">
        <f>IF('Twenty-Fifth'!F236="", "",'Twenty-Fifth'!F236)</f>
        <v/>
      </c>
      <c r="G6233" s="66" t="str">
        <f>IF('Twenty-Fifth'!G236="", "",'Twenty-Fifth'!G236)</f>
        <v/>
      </c>
      <c r="H6233" s="66" t="str">
        <f>IF('Twenty-Fifth'!H236="", "",'Twenty-Fifth'!H236)</f>
        <v/>
      </c>
      <c r="I6233" s="66" t="str">
        <f>IF('Twenty-Fifth'!I236="", "",'Twenty-Fifth'!I236)</f>
        <v/>
      </c>
      <c r="J6233" s="66" t="str">
        <f>IF('Twenty-Fifth'!J236="", "",'Twenty-Fifth'!J236)</f>
        <v/>
      </c>
      <c r="K6233" s="86" t="str">
        <f>IF('Twenty-Fifth'!K236="", "",'Twenty-Fifth'!K236)</f>
        <v/>
      </c>
      <c r="M6233" s="67" t="str">
        <f t="shared" si="296"/>
        <v/>
      </c>
      <c r="N6233" s="76" t="str">
        <f t="shared" si="297"/>
        <v/>
      </c>
      <c r="O6233" s="33">
        <f t="shared" si="298"/>
        <v>0</v>
      </c>
    </row>
    <row r="6234" spans="1:15" x14ac:dyDescent="0.25">
      <c r="A6234" s="64" t="s">
        <v>194</v>
      </c>
      <c r="B6234" s="79" t="str">
        <f>IF('Twenty-Fifth'!B237="", "",'Twenty-Fifth'!B237)</f>
        <v/>
      </c>
      <c r="C6234" s="66" t="str">
        <f>IF('Twenty-Fifth'!C237="", "",'Twenty-Fifth'!C237)</f>
        <v/>
      </c>
      <c r="D6234" s="66" t="str">
        <f>IF('Twenty-Fifth'!D237="", "",'Twenty-Fifth'!D237)</f>
        <v/>
      </c>
      <c r="E6234" s="66" t="str">
        <f>IF('Twenty-Fifth'!E237="", "",'Twenty-Fifth'!E237)</f>
        <v/>
      </c>
      <c r="F6234" s="66" t="str">
        <f>IF('Twenty-Fifth'!F237="", "",'Twenty-Fifth'!F237)</f>
        <v/>
      </c>
      <c r="G6234" s="66" t="str">
        <f>IF('Twenty-Fifth'!G237="", "",'Twenty-Fifth'!G237)</f>
        <v/>
      </c>
      <c r="H6234" s="66" t="str">
        <f>IF('Twenty-Fifth'!H237="", "",'Twenty-Fifth'!H237)</f>
        <v/>
      </c>
      <c r="I6234" s="66" t="str">
        <f>IF('Twenty-Fifth'!I237="", "",'Twenty-Fifth'!I237)</f>
        <v/>
      </c>
      <c r="J6234" s="66" t="str">
        <f>IF('Twenty-Fifth'!J237="", "",'Twenty-Fifth'!J237)</f>
        <v/>
      </c>
      <c r="K6234" s="86" t="str">
        <f>IF('Twenty-Fifth'!K237="", "",'Twenty-Fifth'!K237)</f>
        <v/>
      </c>
      <c r="M6234" s="67" t="str">
        <f t="shared" si="296"/>
        <v/>
      </c>
      <c r="N6234" s="76" t="str">
        <f t="shared" si="297"/>
        <v/>
      </c>
      <c r="O6234" s="33">
        <f t="shared" si="298"/>
        <v>0</v>
      </c>
    </row>
    <row r="6235" spans="1:15" x14ac:dyDescent="0.25">
      <c r="A6235" s="64" t="s">
        <v>194</v>
      </c>
      <c r="B6235" s="79" t="str">
        <f>IF('Twenty-Fifth'!B238="", "",'Twenty-Fifth'!B238)</f>
        <v/>
      </c>
      <c r="C6235" s="66" t="str">
        <f>IF('Twenty-Fifth'!C238="", "",'Twenty-Fifth'!C238)</f>
        <v/>
      </c>
      <c r="D6235" s="66" t="str">
        <f>IF('Twenty-Fifth'!D238="", "",'Twenty-Fifth'!D238)</f>
        <v/>
      </c>
      <c r="E6235" s="66" t="str">
        <f>IF('Twenty-Fifth'!E238="", "",'Twenty-Fifth'!E238)</f>
        <v/>
      </c>
      <c r="F6235" s="66" t="str">
        <f>IF('Twenty-Fifth'!F238="", "",'Twenty-Fifth'!F238)</f>
        <v/>
      </c>
      <c r="G6235" s="66" t="str">
        <f>IF('Twenty-Fifth'!G238="", "",'Twenty-Fifth'!G238)</f>
        <v/>
      </c>
      <c r="H6235" s="66" t="str">
        <f>IF('Twenty-Fifth'!H238="", "",'Twenty-Fifth'!H238)</f>
        <v/>
      </c>
      <c r="I6235" s="66" t="str">
        <f>IF('Twenty-Fifth'!I238="", "",'Twenty-Fifth'!I238)</f>
        <v/>
      </c>
      <c r="J6235" s="66" t="str">
        <f>IF('Twenty-Fifth'!J238="", "",'Twenty-Fifth'!J238)</f>
        <v/>
      </c>
      <c r="K6235" s="86" t="str">
        <f>IF('Twenty-Fifth'!K238="", "",'Twenty-Fifth'!K238)</f>
        <v/>
      </c>
      <c r="M6235" s="67" t="str">
        <f t="shared" si="296"/>
        <v/>
      </c>
      <c r="N6235" s="76" t="str">
        <f t="shared" si="297"/>
        <v/>
      </c>
      <c r="O6235" s="33">
        <f t="shared" si="298"/>
        <v>0</v>
      </c>
    </row>
    <row r="6236" spans="1:15" x14ac:dyDescent="0.25">
      <c r="A6236" s="64" t="s">
        <v>194</v>
      </c>
      <c r="B6236" s="79" t="str">
        <f>IF('Twenty-Fifth'!B239="", "",'Twenty-Fifth'!B239)</f>
        <v/>
      </c>
      <c r="C6236" s="66" t="str">
        <f>IF('Twenty-Fifth'!C239="", "",'Twenty-Fifth'!C239)</f>
        <v/>
      </c>
      <c r="D6236" s="66" t="str">
        <f>IF('Twenty-Fifth'!D239="", "",'Twenty-Fifth'!D239)</f>
        <v/>
      </c>
      <c r="E6236" s="66" t="str">
        <f>IF('Twenty-Fifth'!E239="", "",'Twenty-Fifth'!E239)</f>
        <v/>
      </c>
      <c r="F6236" s="66" t="str">
        <f>IF('Twenty-Fifth'!F239="", "",'Twenty-Fifth'!F239)</f>
        <v/>
      </c>
      <c r="G6236" s="66" t="str">
        <f>IF('Twenty-Fifth'!G239="", "",'Twenty-Fifth'!G239)</f>
        <v/>
      </c>
      <c r="H6236" s="66" t="str">
        <f>IF('Twenty-Fifth'!H239="", "",'Twenty-Fifth'!H239)</f>
        <v/>
      </c>
      <c r="I6236" s="66" t="str">
        <f>IF('Twenty-Fifth'!I239="", "",'Twenty-Fifth'!I239)</f>
        <v/>
      </c>
      <c r="J6236" s="66" t="str">
        <f>IF('Twenty-Fifth'!J239="", "",'Twenty-Fifth'!J239)</f>
        <v/>
      </c>
      <c r="K6236" s="86" t="str">
        <f>IF('Twenty-Fifth'!K239="", "",'Twenty-Fifth'!K239)</f>
        <v/>
      </c>
      <c r="M6236" s="67" t="str">
        <f t="shared" si="296"/>
        <v/>
      </c>
      <c r="N6236" s="76" t="str">
        <f t="shared" si="297"/>
        <v/>
      </c>
      <c r="O6236" s="33">
        <f t="shared" si="298"/>
        <v>0</v>
      </c>
    </row>
    <row r="6237" spans="1:15" x14ac:dyDescent="0.25">
      <c r="A6237" s="64" t="s">
        <v>194</v>
      </c>
      <c r="B6237" s="79" t="str">
        <f>IF('Twenty-Fifth'!B240="", "",'Twenty-Fifth'!B240)</f>
        <v/>
      </c>
      <c r="C6237" s="66" t="str">
        <f>IF('Twenty-Fifth'!C240="", "",'Twenty-Fifth'!C240)</f>
        <v/>
      </c>
      <c r="D6237" s="66" t="str">
        <f>IF('Twenty-Fifth'!D240="", "",'Twenty-Fifth'!D240)</f>
        <v/>
      </c>
      <c r="E6237" s="66" t="str">
        <f>IF('Twenty-Fifth'!E240="", "",'Twenty-Fifth'!E240)</f>
        <v/>
      </c>
      <c r="F6237" s="66" t="str">
        <f>IF('Twenty-Fifth'!F240="", "",'Twenty-Fifth'!F240)</f>
        <v/>
      </c>
      <c r="G6237" s="66" t="str">
        <f>IF('Twenty-Fifth'!G240="", "",'Twenty-Fifth'!G240)</f>
        <v/>
      </c>
      <c r="H6237" s="66" t="str">
        <f>IF('Twenty-Fifth'!H240="", "",'Twenty-Fifth'!H240)</f>
        <v/>
      </c>
      <c r="I6237" s="66" t="str">
        <f>IF('Twenty-Fifth'!I240="", "",'Twenty-Fifth'!I240)</f>
        <v/>
      </c>
      <c r="J6237" s="66" t="str">
        <f>IF('Twenty-Fifth'!J240="", "",'Twenty-Fifth'!J240)</f>
        <v/>
      </c>
      <c r="K6237" s="86" t="str">
        <f>IF('Twenty-Fifth'!K240="", "",'Twenty-Fifth'!K240)</f>
        <v/>
      </c>
      <c r="M6237" s="67" t="str">
        <f t="shared" si="296"/>
        <v/>
      </c>
      <c r="N6237" s="76" t="str">
        <f t="shared" si="297"/>
        <v/>
      </c>
      <c r="O6237" s="33">
        <f t="shared" si="298"/>
        <v>0</v>
      </c>
    </row>
    <row r="6238" spans="1:15" x14ac:dyDescent="0.25">
      <c r="A6238" s="64" t="s">
        <v>194</v>
      </c>
      <c r="B6238" s="79" t="str">
        <f>IF('Twenty-Fifth'!B241="", "",'Twenty-Fifth'!B241)</f>
        <v/>
      </c>
      <c r="C6238" s="66" t="str">
        <f>IF('Twenty-Fifth'!C241="", "",'Twenty-Fifth'!C241)</f>
        <v/>
      </c>
      <c r="D6238" s="66" t="str">
        <f>IF('Twenty-Fifth'!D241="", "",'Twenty-Fifth'!D241)</f>
        <v/>
      </c>
      <c r="E6238" s="66" t="str">
        <f>IF('Twenty-Fifth'!E241="", "",'Twenty-Fifth'!E241)</f>
        <v/>
      </c>
      <c r="F6238" s="66" t="str">
        <f>IF('Twenty-Fifth'!F241="", "",'Twenty-Fifth'!F241)</f>
        <v/>
      </c>
      <c r="G6238" s="66" t="str">
        <f>IF('Twenty-Fifth'!G241="", "",'Twenty-Fifth'!G241)</f>
        <v/>
      </c>
      <c r="H6238" s="66" t="str">
        <f>IF('Twenty-Fifth'!H241="", "",'Twenty-Fifth'!H241)</f>
        <v/>
      </c>
      <c r="I6238" s="66" t="str">
        <f>IF('Twenty-Fifth'!I241="", "",'Twenty-Fifth'!I241)</f>
        <v/>
      </c>
      <c r="J6238" s="66" t="str">
        <f>IF('Twenty-Fifth'!J241="", "",'Twenty-Fifth'!J241)</f>
        <v/>
      </c>
      <c r="K6238" s="86" t="str">
        <f>IF('Twenty-Fifth'!K241="", "",'Twenty-Fifth'!K241)</f>
        <v/>
      </c>
      <c r="M6238" s="67" t="str">
        <f t="shared" si="296"/>
        <v/>
      </c>
      <c r="N6238" s="76" t="str">
        <f t="shared" si="297"/>
        <v/>
      </c>
      <c r="O6238" s="33">
        <f t="shared" si="298"/>
        <v>0</v>
      </c>
    </row>
    <row r="6239" spans="1:15" x14ac:dyDescent="0.25">
      <c r="A6239" s="64" t="s">
        <v>194</v>
      </c>
      <c r="B6239" s="79" t="str">
        <f>IF('Twenty-Fifth'!B242="", "",'Twenty-Fifth'!B242)</f>
        <v/>
      </c>
      <c r="C6239" s="66" t="str">
        <f>IF('Twenty-Fifth'!C242="", "",'Twenty-Fifth'!C242)</f>
        <v/>
      </c>
      <c r="D6239" s="66" t="str">
        <f>IF('Twenty-Fifth'!D242="", "",'Twenty-Fifth'!D242)</f>
        <v/>
      </c>
      <c r="E6239" s="66" t="str">
        <f>IF('Twenty-Fifth'!E242="", "",'Twenty-Fifth'!E242)</f>
        <v/>
      </c>
      <c r="F6239" s="66" t="str">
        <f>IF('Twenty-Fifth'!F242="", "",'Twenty-Fifth'!F242)</f>
        <v/>
      </c>
      <c r="G6239" s="66" t="str">
        <f>IF('Twenty-Fifth'!G242="", "",'Twenty-Fifth'!G242)</f>
        <v/>
      </c>
      <c r="H6239" s="66" t="str">
        <f>IF('Twenty-Fifth'!H242="", "",'Twenty-Fifth'!H242)</f>
        <v/>
      </c>
      <c r="I6239" s="66" t="str">
        <f>IF('Twenty-Fifth'!I242="", "",'Twenty-Fifth'!I242)</f>
        <v/>
      </c>
      <c r="J6239" s="66" t="str">
        <f>IF('Twenty-Fifth'!J242="", "",'Twenty-Fifth'!J242)</f>
        <v/>
      </c>
      <c r="K6239" s="86" t="str">
        <f>IF('Twenty-Fifth'!K242="", "",'Twenty-Fifth'!K242)</f>
        <v/>
      </c>
      <c r="M6239" s="67" t="str">
        <f t="shared" si="296"/>
        <v/>
      </c>
      <c r="N6239" s="76" t="str">
        <f t="shared" si="297"/>
        <v/>
      </c>
      <c r="O6239" s="33">
        <f t="shared" si="298"/>
        <v>0</v>
      </c>
    </row>
    <row r="6240" spans="1:15" x14ac:dyDescent="0.25">
      <c r="A6240" s="64" t="s">
        <v>194</v>
      </c>
      <c r="B6240" s="79" t="str">
        <f>IF('Twenty-Fifth'!B243="", "",'Twenty-Fifth'!B243)</f>
        <v/>
      </c>
      <c r="C6240" s="66" t="str">
        <f>IF('Twenty-Fifth'!C243="", "",'Twenty-Fifth'!C243)</f>
        <v/>
      </c>
      <c r="D6240" s="66" t="str">
        <f>IF('Twenty-Fifth'!D243="", "",'Twenty-Fifth'!D243)</f>
        <v/>
      </c>
      <c r="E6240" s="66" t="str">
        <f>IF('Twenty-Fifth'!E243="", "",'Twenty-Fifth'!E243)</f>
        <v/>
      </c>
      <c r="F6240" s="66" t="str">
        <f>IF('Twenty-Fifth'!F243="", "",'Twenty-Fifth'!F243)</f>
        <v/>
      </c>
      <c r="G6240" s="66" t="str">
        <f>IF('Twenty-Fifth'!G243="", "",'Twenty-Fifth'!G243)</f>
        <v/>
      </c>
      <c r="H6240" s="66" t="str">
        <f>IF('Twenty-Fifth'!H243="", "",'Twenty-Fifth'!H243)</f>
        <v/>
      </c>
      <c r="I6240" s="66" t="str">
        <f>IF('Twenty-Fifth'!I243="", "",'Twenty-Fifth'!I243)</f>
        <v/>
      </c>
      <c r="J6240" s="66" t="str">
        <f>IF('Twenty-Fifth'!J243="", "",'Twenty-Fifth'!J243)</f>
        <v/>
      </c>
      <c r="K6240" s="86" t="str">
        <f>IF('Twenty-Fifth'!K243="", "",'Twenty-Fifth'!K243)</f>
        <v/>
      </c>
      <c r="M6240" s="67" t="str">
        <f t="shared" si="296"/>
        <v/>
      </c>
      <c r="N6240" s="76" t="str">
        <f t="shared" si="297"/>
        <v/>
      </c>
      <c r="O6240" s="33">
        <f t="shared" si="298"/>
        <v>0</v>
      </c>
    </row>
    <row r="6241" spans="1:15" x14ac:dyDescent="0.25">
      <c r="A6241" s="64" t="s">
        <v>194</v>
      </c>
      <c r="B6241" s="79" t="str">
        <f>IF('Twenty-Fifth'!B244="", "",'Twenty-Fifth'!B244)</f>
        <v/>
      </c>
      <c r="C6241" s="66" t="str">
        <f>IF('Twenty-Fifth'!C244="", "",'Twenty-Fifth'!C244)</f>
        <v/>
      </c>
      <c r="D6241" s="66" t="str">
        <f>IF('Twenty-Fifth'!D244="", "",'Twenty-Fifth'!D244)</f>
        <v/>
      </c>
      <c r="E6241" s="66" t="str">
        <f>IF('Twenty-Fifth'!E244="", "",'Twenty-Fifth'!E244)</f>
        <v/>
      </c>
      <c r="F6241" s="66" t="str">
        <f>IF('Twenty-Fifth'!F244="", "",'Twenty-Fifth'!F244)</f>
        <v/>
      </c>
      <c r="G6241" s="66" t="str">
        <f>IF('Twenty-Fifth'!G244="", "",'Twenty-Fifth'!G244)</f>
        <v/>
      </c>
      <c r="H6241" s="66" t="str">
        <f>IF('Twenty-Fifth'!H244="", "",'Twenty-Fifth'!H244)</f>
        <v/>
      </c>
      <c r="I6241" s="66" t="str">
        <f>IF('Twenty-Fifth'!I244="", "",'Twenty-Fifth'!I244)</f>
        <v/>
      </c>
      <c r="J6241" s="66" t="str">
        <f>IF('Twenty-Fifth'!J244="", "",'Twenty-Fifth'!J244)</f>
        <v/>
      </c>
      <c r="K6241" s="86" t="str">
        <f>IF('Twenty-Fifth'!K244="", "",'Twenty-Fifth'!K244)</f>
        <v/>
      </c>
      <c r="M6241" s="67" t="str">
        <f t="shared" si="296"/>
        <v/>
      </c>
      <c r="N6241" s="76" t="str">
        <f t="shared" si="297"/>
        <v/>
      </c>
      <c r="O6241" s="33">
        <f t="shared" si="298"/>
        <v>0</v>
      </c>
    </row>
    <row r="6242" spans="1:15" x14ac:dyDescent="0.25">
      <c r="A6242" s="64" t="s">
        <v>194</v>
      </c>
      <c r="B6242" s="79" t="str">
        <f>IF('Twenty-Fifth'!B245="", "",'Twenty-Fifth'!B245)</f>
        <v/>
      </c>
      <c r="C6242" s="66" t="str">
        <f>IF('Twenty-Fifth'!C245="", "",'Twenty-Fifth'!C245)</f>
        <v/>
      </c>
      <c r="D6242" s="66" t="str">
        <f>IF('Twenty-Fifth'!D245="", "",'Twenty-Fifth'!D245)</f>
        <v/>
      </c>
      <c r="E6242" s="66" t="str">
        <f>IF('Twenty-Fifth'!E245="", "",'Twenty-Fifth'!E245)</f>
        <v/>
      </c>
      <c r="F6242" s="66" t="str">
        <f>IF('Twenty-Fifth'!F245="", "",'Twenty-Fifth'!F245)</f>
        <v/>
      </c>
      <c r="G6242" s="66" t="str">
        <f>IF('Twenty-Fifth'!G245="", "",'Twenty-Fifth'!G245)</f>
        <v/>
      </c>
      <c r="H6242" s="66" t="str">
        <f>IF('Twenty-Fifth'!H245="", "",'Twenty-Fifth'!H245)</f>
        <v/>
      </c>
      <c r="I6242" s="66" t="str">
        <f>IF('Twenty-Fifth'!I245="", "",'Twenty-Fifth'!I245)</f>
        <v/>
      </c>
      <c r="J6242" s="66" t="str">
        <f>IF('Twenty-Fifth'!J245="", "",'Twenty-Fifth'!J245)</f>
        <v/>
      </c>
      <c r="K6242" s="86" t="str">
        <f>IF('Twenty-Fifth'!K245="", "",'Twenty-Fifth'!K245)</f>
        <v/>
      </c>
      <c r="M6242" s="67" t="str">
        <f t="shared" si="296"/>
        <v/>
      </c>
      <c r="N6242" s="76" t="str">
        <f t="shared" si="297"/>
        <v/>
      </c>
      <c r="O6242" s="33">
        <f t="shared" si="298"/>
        <v>0</v>
      </c>
    </row>
    <row r="6243" spans="1:15" x14ac:dyDescent="0.25">
      <c r="A6243" s="64" t="s">
        <v>194</v>
      </c>
      <c r="B6243" s="79" t="str">
        <f>IF('Twenty-Fifth'!B246="", "",'Twenty-Fifth'!B246)</f>
        <v/>
      </c>
      <c r="C6243" s="66" t="str">
        <f>IF('Twenty-Fifth'!C246="", "",'Twenty-Fifth'!C246)</f>
        <v/>
      </c>
      <c r="D6243" s="66" t="str">
        <f>IF('Twenty-Fifth'!D246="", "",'Twenty-Fifth'!D246)</f>
        <v/>
      </c>
      <c r="E6243" s="66" t="str">
        <f>IF('Twenty-Fifth'!E246="", "",'Twenty-Fifth'!E246)</f>
        <v/>
      </c>
      <c r="F6243" s="66" t="str">
        <f>IF('Twenty-Fifth'!F246="", "",'Twenty-Fifth'!F246)</f>
        <v/>
      </c>
      <c r="G6243" s="66" t="str">
        <f>IF('Twenty-Fifth'!G246="", "",'Twenty-Fifth'!G246)</f>
        <v/>
      </c>
      <c r="H6243" s="66" t="str">
        <f>IF('Twenty-Fifth'!H246="", "",'Twenty-Fifth'!H246)</f>
        <v/>
      </c>
      <c r="I6243" s="66" t="str">
        <f>IF('Twenty-Fifth'!I246="", "",'Twenty-Fifth'!I246)</f>
        <v/>
      </c>
      <c r="J6243" s="66" t="str">
        <f>IF('Twenty-Fifth'!J246="", "",'Twenty-Fifth'!J246)</f>
        <v/>
      </c>
      <c r="K6243" s="86" t="str">
        <f>IF('Twenty-Fifth'!K246="", "",'Twenty-Fifth'!K246)</f>
        <v/>
      </c>
      <c r="M6243" s="67" t="str">
        <f t="shared" si="296"/>
        <v/>
      </c>
      <c r="N6243" s="76" t="str">
        <f t="shared" si="297"/>
        <v/>
      </c>
      <c r="O6243" s="33">
        <f t="shared" si="298"/>
        <v>0</v>
      </c>
    </row>
    <row r="6244" spans="1:15" x14ac:dyDescent="0.25">
      <c r="A6244" s="64" t="s">
        <v>194</v>
      </c>
      <c r="B6244" s="79" t="str">
        <f>IF('Twenty-Fifth'!B247="", "",'Twenty-Fifth'!B247)</f>
        <v/>
      </c>
      <c r="C6244" s="66" t="str">
        <f>IF('Twenty-Fifth'!C247="", "",'Twenty-Fifth'!C247)</f>
        <v/>
      </c>
      <c r="D6244" s="66" t="str">
        <f>IF('Twenty-Fifth'!D247="", "",'Twenty-Fifth'!D247)</f>
        <v/>
      </c>
      <c r="E6244" s="66" t="str">
        <f>IF('Twenty-Fifth'!E247="", "",'Twenty-Fifth'!E247)</f>
        <v/>
      </c>
      <c r="F6244" s="66" t="str">
        <f>IF('Twenty-Fifth'!F247="", "",'Twenty-Fifth'!F247)</f>
        <v/>
      </c>
      <c r="G6244" s="66" t="str">
        <f>IF('Twenty-Fifth'!G247="", "",'Twenty-Fifth'!G247)</f>
        <v/>
      </c>
      <c r="H6244" s="66" t="str">
        <f>IF('Twenty-Fifth'!H247="", "",'Twenty-Fifth'!H247)</f>
        <v/>
      </c>
      <c r="I6244" s="66" t="str">
        <f>IF('Twenty-Fifth'!I247="", "",'Twenty-Fifth'!I247)</f>
        <v/>
      </c>
      <c r="J6244" s="66" t="str">
        <f>IF('Twenty-Fifth'!J247="", "",'Twenty-Fifth'!J247)</f>
        <v/>
      </c>
      <c r="K6244" s="86" t="str">
        <f>IF('Twenty-Fifth'!K247="", "",'Twenty-Fifth'!K247)</f>
        <v/>
      </c>
      <c r="M6244" s="67" t="str">
        <f t="shared" si="296"/>
        <v/>
      </c>
      <c r="N6244" s="76" t="str">
        <f t="shared" si="297"/>
        <v/>
      </c>
      <c r="O6244" s="33">
        <f t="shared" si="298"/>
        <v>0</v>
      </c>
    </row>
    <row r="6245" spans="1:15" x14ac:dyDescent="0.25">
      <c r="A6245" s="64" t="s">
        <v>194</v>
      </c>
      <c r="B6245" s="79" t="str">
        <f>IF('Twenty-Fifth'!B248="", "",'Twenty-Fifth'!B248)</f>
        <v/>
      </c>
      <c r="C6245" s="66" t="str">
        <f>IF('Twenty-Fifth'!C248="", "",'Twenty-Fifth'!C248)</f>
        <v/>
      </c>
      <c r="D6245" s="66" t="str">
        <f>IF('Twenty-Fifth'!D248="", "",'Twenty-Fifth'!D248)</f>
        <v/>
      </c>
      <c r="E6245" s="66" t="str">
        <f>IF('Twenty-Fifth'!E248="", "",'Twenty-Fifth'!E248)</f>
        <v/>
      </c>
      <c r="F6245" s="66" t="str">
        <f>IF('Twenty-Fifth'!F248="", "",'Twenty-Fifth'!F248)</f>
        <v/>
      </c>
      <c r="G6245" s="66" t="str">
        <f>IF('Twenty-Fifth'!G248="", "",'Twenty-Fifth'!G248)</f>
        <v/>
      </c>
      <c r="H6245" s="66" t="str">
        <f>IF('Twenty-Fifth'!H248="", "",'Twenty-Fifth'!H248)</f>
        <v/>
      </c>
      <c r="I6245" s="66" t="str">
        <f>IF('Twenty-Fifth'!I248="", "",'Twenty-Fifth'!I248)</f>
        <v/>
      </c>
      <c r="J6245" s="66" t="str">
        <f>IF('Twenty-Fifth'!J248="", "",'Twenty-Fifth'!J248)</f>
        <v/>
      </c>
      <c r="K6245" s="86" t="str">
        <f>IF('Twenty-Fifth'!K248="", "",'Twenty-Fifth'!K248)</f>
        <v/>
      </c>
      <c r="M6245" s="67" t="str">
        <f t="shared" si="296"/>
        <v/>
      </c>
      <c r="N6245" s="76" t="str">
        <f t="shared" si="297"/>
        <v/>
      </c>
      <c r="O6245" s="33">
        <f t="shared" si="298"/>
        <v>0</v>
      </c>
    </row>
    <row r="6246" spans="1:15" x14ac:dyDescent="0.25">
      <c r="A6246" s="64" t="s">
        <v>194</v>
      </c>
      <c r="B6246" s="79" t="str">
        <f>IF('Twenty-Fifth'!B249="", "",'Twenty-Fifth'!B249)</f>
        <v/>
      </c>
      <c r="C6246" s="66" t="str">
        <f>IF('Twenty-Fifth'!C249="", "",'Twenty-Fifth'!C249)</f>
        <v/>
      </c>
      <c r="D6246" s="66" t="str">
        <f>IF('Twenty-Fifth'!D249="", "",'Twenty-Fifth'!D249)</f>
        <v/>
      </c>
      <c r="E6246" s="66" t="str">
        <f>IF('Twenty-Fifth'!E249="", "",'Twenty-Fifth'!E249)</f>
        <v/>
      </c>
      <c r="F6246" s="66" t="str">
        <f>IF('Twenty-Fifth'!F249="", "",'Twenty-Fifth'!F249)</f>
        <v/>
      </c>
      <c r="G6246" s="66" t="str">
        <f>IF('Twenty-Fifth'!G249="", "",'Twenty-Fifth'!G249)</f>
        <v/>
      </c>
      <c r="H6246" s="66" t="str">
        <f>IF('Twenty-Fifth'!H249="", "",'Twenty-Fifth'!H249)</f>
        <v/>
      </c>
      <c r="I6246" s="66" t="str">
        <f>IF('Twenty-Fifth'!I249="", "",'Twenty-Fifth'!I249)</f>
        <v/>
      </c>
      <c r="J6246" s="66" t="str">
        <f>IF('Twenty-Fifth'!J249="", "",'Twenty-Fifth'!J249)</f>
        <v/>
      </c>
      <c r="K6246" s="86" t="str">
        <f>IF('Twenty-Fifth'!K249="", "",'Twenty-Fifth'!K249)</f>
        <v/>
      </c>
      <c r="M6246" s="67" t="str">
        <f t="shared" si="296"/>
        <v/>
      </c>
      <c r="N6246" s="76" t="str">
        <f t="shared" si="297"/>
        <v/>
      </c>
      <c r="O6246" s="33">
        <f t="shared" si="298"/>
        <v>0</v>
      </c>
    </row>
    <row r="6247" spans="1:15" x14ac:dyDescent="0.25">
      <c r="A6247" s="64" t="s">
        <v>194</v>
      </c>
      <c r="B6247" s="79" t="str">
        <f>IF('Twenty-Fifth'!B250="", "",'Twenty-Fifth'!B250)</f>
        <v/>
      </c>
      <c r="C6247" s="66" t="str">
        <f>IF('Twenty-Fifth'!C250="", "",'Twenty-Fifth'!C250)</f>
        <v/>
      </c>
      <c r="D6247" s="66" t="str">
        <f>IF('Twenty-Fifth'!D250="", "",'Twenty-Fifth'!D250)</f>
        <v/>
      </c>
      <c r="E6247" s="66" t="str">
        <f>IF('Twenty-Fifth'!E250="", "",'Twenty-Fifth'!E250)</f>
        <v/>
      </c>
      <c r="F6247" s="66" t="str">
        <f>IF('Twenty-Fifth'!F250="", "",'Twenty-Fifth'!F250)</f>
        <v/>
      </c>
      <c r="G6247" s="66" t="str">
        <f>IF('Twenty-Fifth'!G250="", "",'Twenty-Fifth'!G250)</f>
        <v/>
      </c>
      <c r="H6247" s="66" t="str">
        <f>IF('Twenty-Fifth'!H250="", "",'Twenty-Fifth'!H250)</f>
        <v/>
      </c>
      <c r="I6247" s="66" t="str">
        <f>IF('Twenty-Fifth'!I250="", "",'Twenty-Fifth'!I250)</f>
        <v/>
      </c>
      <c r="J6247" s="66" t="str">
        <f>IF('Twenty-Fifth'!J250="", "",'Twenty-Fifth'!J250)</f>
        <v/>
      </c>
      <c r="K6247" s="86" t="str">
        <f>IF('Twenty-Fifth'!K250="", "",'Twenty-Fifth'!K250)</f>
        <v/>
      </c>
      <c r="M6247" s="67" t="str">
        <f t="shared" si="296"/>
        <v/>
      </c>
      <c r="N6247" s="76" t="str">
        <f t="shared" si="297"/>
        <v/>
      </c>
      <c r="O6247" s="33">
        <f t="shared" si="298"/>
        <v>0</v>
      </c>
    </row>
    <row r="6248" spans="1:15" x14ac:dyDescent="0.25">
      <c r="A6248" s="64" t="s">
        <v>194</v>
      </c>
      <c r="B6248" s="79" t="str">
        <f>IF('Twenty-Fifth'!B251="", "",'Twenty-Fifth'!B251)</f>
        <v/>
      </c>
      <c r="C6248" s="66" t="str">
        <f>IF('Twenty-Fifth'!C251="", "",'Twenty-Fifth'!C251)</f>
        <v/>
      </c>
      <c r="D6248" s="66" t="str">
        <f>IF('Twenty-Fifth'!D251="", "",'Twenty-Fifth'!D251)</f>
        <v/>
      </c>
      <c r="E6248" s="66" t="str">
        <f>IF('Twenty-Fifth'!E251="", "",'Twenty-Fifth'!E251)</f>
        <v/>
      </c>
      <c r="F6248" s="66" t="str">
        <f>IF('Twenty-Fifth'!F251="", "",'Twenty-Fifth'!F251)</f>
        <v/>
      </c>
      <c r="G6248" s="66" t="str">
        <f>IF('Twenty-Fifth'!G251="", "",'Twenty-Fifth'!G251)</f>
        <v/>
      </c>
      <c r="H6248" s="66" t="str">
        <f>IF('Twenty-Fifth'!H251="", "",'Twenty-Fifth'!H251)</f>
        <v/>
      </c>
      <c r="I6248" s="66" t="str">
        <f>IF('Twenty-Fifth'!I251="", "",'Twenty-Fifth'!I251)</f>
        <v/>
      </c>
      <c r="J6248" s="66" t="str">
        <f>IF('Twenty-Fifth'!J251="", "",'Twenty-Fifth'!J251)</f>
        <v/>
      </c>
      <c r="K6248" s="86" t="str">
        <f>IF('Twenty-Fifth'!K251="", "",'Twenty-Fifth'!K251)</f>
        <v/>
      </c>
      <c r="M6248" s="67" t="str">
        <f t="shared" si="296"/>
        <v/>
      </c>
      <c r="N6248" s="76" t="str">
        <f t="shared" si="297"/>
        <v/>
      </c>
      <c r="O6248" s="33">
        <f t="shared" si="298"/>
        <v>0</v>
      </c>
    </row>
    <row r="6249" spans="1:15" x14ac:dyDescent="0.25">
      <c r="A6249" s="64" t="s">
        <v>194</v>
      </c>
      <c r="B6249" s="79" t="str">
        <f>IF('Twenty-Fifth'!B252="", "",'Twenty-Fifth'!B252)</f>
        <v/>
      </c>
      <c r="C6249" s="66" t="str">
        <f>IF('Twenty-Fifth'!C252="", "",'Twenty-Fifth'!C252)</f>
        <v/>
      </c>
      <c r="D6249" s="66" t="str">
        <f>IF('Twenty-Fifth'!D252="", "",'Twenty-Fifth'!D252)</f>
        <v/>
      </c>
      <c r="E6249" s="66" t="str">
        <f>IF('Twenty-Fifth'!E252="", "",'Twenty-Fifth'!E252)</f>
        <v/>
      </c>
      <c r="F6249" s="66" t="str">
        <f>IF('Twenty-Fifth'!F252="", "",'Twenty-Fifth'!F252)</f>
        <v/>
      </c>
      <c r="G6249" s="66" t="str">
        <f>IF('Twenty-Fifth'!G252="", "",'Twenty-Fifth'!G252)</f>
        <v/>
      </c>
      <c r="H6249" s="66" t="str">
        <f>IF('Twenty-Fifth'!H252="", "",'Twenty-Fifth'!H252)</f>
        <v/>
      </c>
      <c r="I6249" s="66" t="str">
        <f>IF('Twenty-Fifth'!I252="", "",'Twenty-Fifth'!I252)</f>
        <v/>
      </c>
      <c r="J6249" s="66" t="str">
        <f>IF('Twenty-Fifth'!J252="", "",'Twenty-Fifth'!J252)</f>
        <v/>
      </c>
      <c r="K6249" s="86" t="str">
        <f>IF('Twenty-Fifth'!K252="", "",'Twenty-Fifth'!K252)</f>
        <v/>
      </c>
      <c r="M6249" s="67" t="str">
        <f t="shared" si="296"/>
        <v/>
      </c>
      <c r="N6249" s="76" t="str">
        <f t="shared" si="297"/>
        <v/>
      </c>
      <c r="O6249" s="33">
        <f t="shared" si="298"/>
        <v>0</v>
      </c>
    </row>
    <row r="6250" spans="1:15" x14ac:dyDescent="0.25">
      <c r="A6250" s="64" t="s">
        <v>194</v>
      </c>
      <c r="B6250" s="79" t="str">
        <f>IF('Twenty-Fifth'!B253="", "",'Twenty-Fifth'!B253)</f>
        <v/>
      </c>
      <c r="C6250" s="66" t="str">
        <f>IF('Twenty-Fifth'!C253="", "",'Twenty-Fifth'!C253)</f>
        <v/>
      </c>
      <c r="D6250" s="66" t="str">
        <f>IF('Twenty-Fifth'!D253="", "",'Twenty-Fifth'!D253)</f>
        <v/>
      </c>
      <c r="E6250" s="66" t="str">
        <f>IF('Twenty-Fifth'!E253="", "",'Twenty-Fifth'!E253)</f>
        <v/>
      </c>
      <c r="F6250" s="66" t="str">
        <f>IF('Twenty-Fifth'!F253="", "",'Twenty-Fifth'!F253)</f>
        <v/>
      </c>
      <c r="G6250" s="66" t="str">
        <f>IF('Twenty-Fifth'!G253="", "",'Twenty-Fifth'!G253)</f>
        <v/>
      </c>
      <c r="H6250" s="66" t="str">
        <f>IF('Twenty-Fifth'!H253="", "",'Twenty-Fifth'!H253)</f>
        <v/>
      </c>
      <c r="I6250" s="66" t="str">
        <f>IF('Twenty-Fifth'!I253="", "",'Twenty-Fifth'!I253)</f>
        <v/>
      </c>
      <c r="J6250" s="66" t="str">
        <f>IF('Twenty-Fifth'!J253="", "",'Twenty-Fifth'!J253)</f>
        <v/>
      </c>
      <c r="K6250" s="86" t="str">
        <f>IF('Twenty-Fifth'!K253="", "",'Twenty-Fifth'!K253)</f>
        <v/>
      </c>
      <c r="M6250" s="67" t="str">
        <f t="shared" si="296"/>
        <v/>
      </c>
      <c r="N6250" s="76" t="str">
        <f t="shared" si="297"/>
        <v/>
      </c>
      <c r="O6250" s="33">
        <f t="shared" si="298"/>
        <v>0</v>
      </c>
    </row>
    <row r="6251" spans="1:15" ht="15.75" thickBot="1" x14ac:dyDescent="0.3">
      <c r="A6251" s="68" t="s">
        <v>194</v>
      </c>
      <c r="B6251" s="80" t="str">
        <f>IF('Twenty-Fifth'!B254="", "",'Twenty-Fifth'!B254)</f>
        <v/>
      </c>
      <c r="C6251" s="70" t="str">
        <f>IF('Twenty-Fifth'!C254="", "",'Twenty-Fifth'!C254)</f>
        <v/>
      </c>
      <c r="D6251" s="70" t="str">
        <f>IF('Twenty-Fifth'!D254="", "",'Twenty-Fifth'!D254)</f>
        <v/>
      </c>
      <c r="E6251" s="70" t="str">
        <f>IF('Twenty-Fifth'!E254="", "",'Twenty-Fifth'!E254)</f>
        <v/>
      </c>
      <c r="F6251" s="70" t="str">
        <f>IF('Twenty-Fifth'!F254="", "",'Twenty-Fifth'!F254)</f>
        <v/>
      </c>
      <c r="G6251" s="70" t="str">
        <f>IF('Twenty-Fifth'!G254="", "",'Twenty-Fifth'!G254)</f>
        <v/>
      </c>
      <c r="H6251" s="70" t="str">
        <f>IF('Twenty-Fifth'!H254="", "",'Twenty-Fifth'!H254)</f>
        <v/>
      </c>
      <c r="I6251" s="70" t="str">
        <f>IF('Twenty-Fifth'!I254="", "",'Twenty-Fifth'!I254)</f>
        <v/>
      </c>
      <c r="J6251" s="70" t="str">
        <f>IF('Twenty-Fifth'!J254="", "",'Twenty-Fifth'!J254)</f>
        <v/>
      </c>
      <c r="K6251" s="90" t="str">
        <f>IF('Twenty-Fifth'!K254="", "",'Twenty-Fifth'!K254)</f>
        <v/>
      </c>
      <c r="L6251" s="91"/>
      <c r="M6251" s="71" t="str">
        <f t="shared" si="296"/>
        <v/>
      </c>
      <c r="N6251" s="77" t="str">
        <f t="shared" si="297"/>
        <v/>
      </c>
      <c r="O6251" s="33">
        <f t="shared" si="298"/>
        <v>0</v>
      </c>
    </row>
    <row r="6252" spans="1:15" x14ac:dyDescent="0.25">
      <c r="A6252" s="64" t="s">
        <v>210</v>
      </c>
      <c r="B6252" s="79" t="str">
        <f>IF('Twenty-Sixth'!B5="", "",'Twenty-Sixth'!B5)</f>
        <v>Centre Head</v>
      </c>
      <c r="C6252" s="66" t="str">
        <f>IF('Twenty-Sixth'!C5="", "",'Twenty-Sixth'!C5)</f>
        <v>PwC</v>
      </c>
      <c r="D6252" s="66" t="str">
        <f>IF('Twenty-Sixth'!D5="", "",'Twenty-Sixth'!D5)</f>
        <v>New</v>
      </c>
      <c r="E6252" s="66" t="str">
        <f>IF('Twenty-Sixth'!E5="", "",'Twenty-Sixth'!E5)</f>
        <v>Female</v>
      </c>
      <c r="F6252" s="66" t="str">
        <f>IF('Twenty-Sixth'!F5="", "",'Twenty-Sixth'!F5)</f>
        <v>Head/Neck</v>
      </c>
      <c r="G6252" s="66" t="str">
        <f>IF('Twenty-Sixth'!G5="", "",'Twenty-Sixth'!G5)</f>
        <v>Non-Curative Intent</v>
      </c>
      <c r="H6252" s="66" t="str">
        <f>IF('Twenty-Sixth'!H5="", "",'Twenty-Sixth'!H5)</f>
        <v>Drop-In</v>
      </c>
      <c r="I6252" s="66" t="str">
        <f>IF('Twenty-Sixth'!I5="", "",'Twenty-Sixth'!I5)</f>
        <v/>
      </c>
      <c r="J6252" s="66" t="str">
        <f>IF('Twenty-Sixth'!J5="", "",'Twenty-Sixth'!J5)</f>
        <v/>
      </c>
      <c r="K6252" s="86" t="str">
        <f>IF('Twenty-Sixth'!K5="", "",'Twenty-Sixth'!K5)</f>
        <v/>
      </c>
      <c r="M6252" s="67">
        <f t="shared" si="296"/>
        <v>7</v>
      </c>
      <c r="N6252" s="76" t="str">
        <f t="shared" si="297"/>
        <v/>
      </c>
      <c r="O6252" s="33">
        <f t="shared" si="298"/>
        <v>7</v>
      </c>
    </row>
    <row r="6253" spans="1:15" x14ac:dyDescent="0.25">
      <c r="A6253" s="64" t="s">
        <v>210</v>
      </c>
      <c r="B6253" s="79" t="str">
        <f>IF('Twenty-Sixth'!B6="", "",'Twenty-Sixth'!B6)</f>
        <v>Centre Head</v>
      </c>
      <c r="C6253" s="66" t="str">
        <f>IF('Twenty-Sixth'!C6="", "",'Twenty-Sixth'!C6)</f>
        <v>PwC</v>
      </c>
      <c r="D6253" s="66" t="str">
        <f>IF('Twenty-Sixth'!D6="", "",'Twenty-Sixth'!D6)</f>
        <v>Returning</v>
      </c>
      <c r="E6253" s="66" t="str">
        <f>IF('Twenty-Sixth'!E6="", "",'Twenty-Sixth'!E6)</f>
        <v>Male</v>
      </c>
      <c r="F6253" s="66" t="str">
        <f>IF('Twenty-Sixth'!F6="", "",'Twenty-Sixth'!F6)</f>
        <v>Prostate</v>
      </c>
      <c r="G6253" s="66" t="str">
        <f>IF('Twenty-Sixth'!G6="", "",'Twenty-Sixth'!G6)</f>
        <v>Post Treatment - Curative Intent</v>
      </c>
      <c r="H6253" s="66" t="str">
        <f>IF('Twenty-Sixth'!H6="", "",'Twenty-Sixth'!H6)</f>
        <v>Drop-In</v>
      </c>
      <c r="I6253" s="66" t="str">
        <f>IF('Twenty-Sixth'!I6="", "",'Twenty-Sixth'!I6)</f>
        <v/>
      </c>
      <c r="J6253" s="66" t="str">
        <f>IF('Twenty-Sixth'!J6="", "",'Twenty-Sixth'!J6)</f>
        <v/>
      </c>
      <c r="K6253" s="86" t="str">
        <f>IF('Twenty-Sixth'!K6="", "",'Twenty-Sixth'!K6)</f>
        <v/>
      </c>
      <c r="M6253" s="67">
        <f t="shared" si="296"/>
        <v>7</v>
      </c>
      <c r="N6253" s="76" t="str">
        <f t="shared" si="297"/>
        <v/>
      </c>
      <c r="O6253" s="33">
        <f t="shared" si="298"/>
        <v>7</v>
      </c>
    </row>
    <row r="6254" spans="1:15" x14ac:dyDescent="0.25">
      <c r="A6254" s="64" t="s">
        <v>210</v>
      </c>
      <c r="B6254" s="79" t="str">
        <f>IF('Twenty-Sixth'!B7="", "",'Twenty-Sixth'!B7)</f>
        <v>CSS</v>
      </c>
      <c r="C6254" s="66" t="str">
        <f>IF('Twenty-Sixth'!C7="", "",'Twenty-Sixth'!C7)</f>
        <v>Carer</v>
      </c>
      <c r="D6254" s="66" t="str">
        <f>IF('Twenty-Sixth'!D7="", "",'Twenty-Sixth'!D7)</f>
        <v>Returning</v>
      </c>
      <c r="E6254" s="66" t="str">
        <f>IF('Twenty-Sixth'!E7="", "",'Twenty-Sixth'!E7)</f>
        <v>Male</v>
      </c>
      <c r="F6254" s="66" t="str">
        <f>IF('Twenty-Sixth'!F7="", "",'Twenty-Sixth'!F7)</f>
        <v>Breast</v>
      </c>
      <c r="G6254" s="66" t="str">
        <f>IF('Twenty-Sixth'!G7="", "",'Twenty-Sixth'!G7)</f>
        <v>Non-Curative Intent</v>
      </c>
      <c r="H6254" s="66" t="str">
        <f>IF('Twenty-Sixth'!H7="", "",'Twenty-Sixth'!H7)</f>
        <v>Telephone Support</v>
      </c>
      <c r="I6254" s="66" t="str">
        <f>IF('Twenty-Sixth'!I7="", "",'Twenty-Sixth'!I7)</f>
        <v/>
      </c>
      <c r="J6254" s="66" t="str">
        <f>IF('Twenty-Sixth'!J7="", "",'Twenty-Sixth'!J7)</f>
        <v/>
      </c>
      <c r="K6254" s="86" t="str">
        <f>IF('Twenty-Sixth'!K7="", "",'Twenty-Sixth'!K7)</f>
        <v/>
      </c>
      <c r="M6254" s="67" t="str">
        <f t="shared" si="296"/>
        <v/>
      </c>
      <c r="N6254" s="76">
        <f t="shared" si="297"/>
        <v>7</v>
      </c>
      <c r="O6254" s="33">
        <f t="shared" si="298"/>
        <v>7</v>
      </c>
    </row>
    <row r="6255" spans="1:15" x14ac:dyDescent="0.25">
      <c r="A6255" s="64" t="s">
        <v>210</v>
      </c>
      <c r="B6255" s="79" t="str">
        <f>IF('Twenty-Sixth'!B8="", "",'Twenty-Sixth'!B8)</f>
        <v>CSS</v>
      </c>
      <c r="C6255" s="66" t="str">
        <f>IF('Twenty-Sixth'!C8="", "",'Twenty-Sixth'!C8)</f>
        <v>PwC</v>
      </c>
      <c r="D6255" s="66" t="str">
        <f>IF('Twenty-Sixth'!D8="", "",'Twenty-Sixth'!D8)</f>
        <v>Returning</v>
      </c>
      <c r="E6255" s="66" t="str">
        <f>IF('Twenty-Sixth'!E8="", "",'Twenty-Sixth'!E8)</f>
        <v>Female</v>
      </c>
      <c r="F6255" s="66" t="str">
        <f>IF('Twenty-Sixth'!F8="", "",'Twenty-Sixth'!F8)</f>
        <v>Gynae</v>
      </c>
      <c r="G6255" s="66" t="str">
        <f>IF('Twenty-Sixth'!G8="", "",'Twenty-Sixth'!G8)</f>
        <v>Non-Curative Intent</v>
      </c>
      <c r="H6255" s="66" t="str">
        <f>IF('Twenty-Sixth'!H8="", "",'Twenty-Sixth'!H8)</f>
        <v>Telephone Support</v>
      </c>
      <c r="I6255" s="66" t="str">
        <f>IF('Twenty-Sixth'!I8="", "",'Twenty-Sixth'!I8)</f>
        <v/>
      </c>
      <c r="J6255" s="66" t="str">
        <f>IF('Twenty-Sixth'!J8="", "",'Twenty-Sixth'!J8)</f>
        <v/>
      </c>
      <c r="K6255" s="86" t="str">
        <f>IF('Twenty-Sixth'!K8="", "",'Twenty-Sixth'!K8)</f>
        <v/>
      </c>
      <c r="M6255" s="67">
        <f t="shared" si="296"/>
        <v>7</v>
      </c>
      <c r="N6255" s="76" t="str">
        <f t="shared" si="297"/>
        <v/>
      </c>
      <c r="O6255" s="33">
        <f t="shared" si="298"/>
        <v>7</v>
      </c>
    </row>
    <row r="6256" spans="1:15" x14ac:dyDescent="0.25">
      <c r="A6256" s="64" t="s">
        <v>210</v>
      </c>
      <c r="B6256" s="79" t="str">
        <f>IF('Twenty-Sixth'!B9="", "",'Twenty-Sixth'!B9)</f>
        <v>CSS</v>
      </c>
      <c r="C6256" s="66" t="str">
        <f>IF('Twenty-Sixth'!C9="", "",'Twenty-Sixth'!C9)</f>
        <v>PwC</v>
      </c>
      <c r="D6256" s="66" t="str">
        <f>IF('Twenty-Sixth'!D9="", "",'Twenty-Sixth'!D9)</f>
        <v>New</v>
      </c>
      <c r="E6256" s="66" t="str">
        <f>IF('Twenty-Sixth'!E9="", "",'Twenty-Sixth'!E9)</f>
        <v>Female</v>
      </c>
      <c r="F6256" s="66" t="str">
        <f>IF('Twenty-Sixth'!F9="", "",'Twenty-Sixth'!F9)</f>
        <v>Gynae</v>
      </c>
      <c r="G6256" s="66" t="str">
        <f>IF('Twenty-Sixth'!G9="", "",'Twenty-Sixth'!G9)</f>
        <v>Non-Curative Intent</v>
      </c>
      <c r="H6256" s="66" t="str">
        <f>IF('Twenty-Sixth'!H9="", "",'Twenty-Sixth'!H9)</f>
        <v>Booked</v>
      </c>
      <c r="I6256" s="66" t="str">
        <f>IF('Twenty-Sixth'!I9="", "",'Twenty-Sixth'!I9)</f>
        <v>Psych Support - Individual</v>
      </c>
      <c r="J6256" s="66" t="str">
        <f>IF('Twenty-Sixth'!J9="", "",'Twenty-Sixth'!J9)</f>
        <v/>
      </c>
      <c r="K6256" s="86" t="str">
        <f>IF('Twenty-Sixth'!K9="", "",'Twenty-Sixth'!K9)</f>
        <v/>
      </c>
      <c r="M6256" s="67">
        <f t="shared" si="296"/>
        <v>7</v>
      </c>
      <c r="N6256" s="76" t="str">
        <f t="shared" si="297"/>
        <v/>
      </c>
      <c r="O6256" s="33">
        <f t="shared" si="298"/>
        <v>7</v>
      </c>
    </row>
    <row r="6257" spans="1:15" x14ac:dyDescent="0.25">
      <c r="A6257" s="64" t="s">
        <v>210</v>
      </c>
      <c r="B6257" s="79" t="str">
        <f>IF('Twenty-Sixth'!B10="", "",'Twenty-Sixth'!B10)</f>
        <v>Benefits Advisor</v>
      </c>
      <c r="C6257" s="66" t="str">
        <f>IF('Twenty-Sixth'!C10="", "",'Twenty-Sixth'!C10)</f>
        <v>PwC</v>
      </c>
      <c r="D6257" s="66" t="str">
        <f>IF('Twenty-Sixth'!D10="", "",'Twenty-Sixth'!D10)</f>
        <v>Returning</v>
      </c>
      <c r="E6257" s="66" t="str">
        <f>IF('Twenty-Sixth'!E10="", "",'Twenty-Sixth'!E10)</f>
        <v>Male</v>
      </c>
      <c r="F6257" s="66" t="str">
        <f>IF('Twenty-Sixth'!F10="", "",'Twenty-Sixth'!F10)</f>
        <v>Urolog</v>
      </c>
      <c r="G6257" s="66" t="str">
        <f>IF('Twenty-Sixth'!G10="", "",'Twenty-Sixth'!G10)</f>
        <v>Non-Curative Intent</v>
      </c>
      <c r="H6257" s="66" t="str">
        <f>IF('Twenty-Sixth'!H10="", "",'Twenty-Sixth'!H10)</f>
        <v>Drop-In</v>
      </c>
      <c r="I6257" s="66" t="str">
        <f>IF('Twenty-Sixth'!I10="", "",'Twenty-Sixth'!I10)</f>
        <v/>
      </c>
      <c r="J6257" s="66" t="str">
        <f>IF('Twenty-Sixth'!J10="", "",'Twenty-Sixth'!J10)</f>
        <v/>
      </c>
      <c r="K6257" s="86" t="str">
        <f>IF('Twenty-Sixth'!K10="", "",'Twenty-Sixth'!K10)</f>
        <v/>
      </c>
      <c r="M6257" s="67">
        <f t="shared" si="296"/>
        <v>7</v>
      </c>
      <c r="N6257" s="76" t="str">
        <f t="shared" si="297"/>
        <v/>
      </c>
      <c r="O6257" s="33">
        <f t="shared" si="298"/>
        <v>7</v>
      </c>
    </row>
    <row r="6258" spans="1:15" x14ac:dyDescent="0.25">
      <c r="A6258" s="64" t="s">
        <v>210</v>
      </c>
      <c r="B6258" s="79" t="str">
        <f>IF('Twenty-Sixth'!B11="", "",'Twenty-Sixth'!B11)</f>
        <v>Benefits Advisor</v>
      </c>
      <c r="C6258" s="66" t="str">
        <f>IF('Twenty-Sixth'!C11="", "",'Twenty-Sixth'!C11)</f>
        <v>PwC</v>
      </c>
      <c r="D6258" s="66" t="str">
        <f>IF('Twenty-Sixth'!D11="", "",'Twenty-Sixth'!D11)</f>
        <v>New</v>
      </c>
      <c r="E6258" s="66" t="str">
        <f>IF('Twenty-Sixth'!E11="", "",'Twenty-Sixth'!E11)</f>
        <v>Male</v>
      </c>
      <c r="F6258" s="66" t="str">
        <f>IF('Twenty-Sixth'!F11="", "",'Twenty-Sixth'!F11)</f>
        <v>Lower GI</v>
      </c>
      <c r="G6258" s="66" t="str">
        <f>IF('Twenty-Sixth'!G11="", "",'Twenty-Sixth'!G11)</f>
        <v>Non-Curative Intent</v>
      </c>
      <c r="H6258" s="66" t="str">
        <f>IF('Twenty-Sixth'!H11="", "",'Twenty-Sixth'!H11)</f>
        <v>Booked</v>
      </c>
      <c r="I6258" s="66" t="str">
        <f>IF('Twenty-Sixth'!I11="", "",'Twenty-Sixth'!I11)</f>
        <v>Benefits - Family</v>
      </c>
      <c r="J6258" s="66" t="str">
        <f>IF('Twenty-Sixth'!J11="", "",'Twenty-Sixth'!J11)</f>
        <v/>
      </c>
      <c r="K6258" s="86" t="str">
        <f>IF('Twenty-Sixth'!K11="", "",'Twenty-Sixth'!K11)</f>
        <v/>
      </c>
      <c r="M6258" s="67">
        <f t="shared" si="296"/>
        <v>7</v>
      </c>
      <c r="N6258" s="76" t="str">
        <f t="shared" si="297"/>
        <v/>
      </c>
      <c r="O6258" s="33">
        <f t="shared" si="298"/>
        <v>7</v>
      </c>
    </row>
    <row r="6259" spans="1:15" x14ac:dyDescent="0.25">
      <c r="A6259" s="64" t="s">
        <v>210</v>
      </c>
      <c r="B6259" s="79" t="str">
        <f>IF('Twenty-Sixth'!B12="", "",'Twenty-Sixth'!B12)</f>
        <v>Benefits Advisor</v>
      </c>
      <c r="C6259" s="66" t="str">
        <f>IF('Twenty-Sixth'!C12="", "",'Twenty-Sixth'!C12)</f>
        <v>Carer</v>
      </c>
      <c r="D6259" s="66" t="str">
        <f>IF('Twenty-Sixth'!D12="", "",'Twenty-Sixth'!D12)</f>
        <v>New</v>
      </c>
      <c r="E6259" s="66" t="str">
        <f>IF('Twenty-Sixth'!E12="", "",'Twenty-Sixth'!E12)</f>
        <v>Female</v>
      </c>
      <c r="F6259" s="66" t="str">
        <f>IF('Twenty-Sixth'!F12="", "",'Twenty-Sixth'!F12)</f>
        <v>Lower GI</v>
      </c>
      <c r="G6259" s="66" t="str">
        <f>IF('Twenty-Sixth'!G12="", "",'Twenty-Sixth'!G12)</f>
        <v>Non-Curative Intent</v>
      </c>
      <c r="H6259" s="66" t="str">
        <f>IF('Twenty-Sixth'!H12="", "",'Twenty-Sixth'!H12)</f>
        <v>Booked</v>
      </c>
      <c r="I6259" s="66" t="str">
        <f>IF('Twenty-Sixth'!I12="", "",'Twenty-Sixth'!I12)</f>
        <v>Benefits - Family</v>
      </c>
      <c r="J6259" s="66" t="str">
        <f>IF('Twenty-Sixth'!J12="", "",'Twenty-Sixth'!J12)</f>
        <v/>
      </c>
      <c r="K6259" s="86" t="str">
        <f>IF('Twenty-Sixth'!K12="", "",'Twenty-Sixth'!K12)</f>
        <v/>
      </c>
      <c r="M6259" s="67" t="str">
        <f t="shared" si="296"/>
        <v/>
      </c>
      <c r="N6259" s="76">
        <f t="shared" si="297"/>
        <v>7</v>
      </c>
      <c r="O6259" s="33">
        <f t="shared" si="298"/>
        <v>7</v>
      </c>
    </row>
    <row r="6260" spans="1:15" x14ac:dyDescent="0.25">
      <c r="A6260" s="64" t="s">
        <v>210</v>
      </c>
      <c r="B6260" s="79" t="str">
        <f>IF('Twenty-Sixth'!B13="", "",'Twenty-Sixth'!B13)</f>
        <v>Benefits Advisor</v>
      </c>
      <c r="C6260" s="66" t="str">
        <f>IF('Twenty-Sixth'!C13="", "",'Twenty-Sixth'!C13)</f>
        <v>Carer</v>
      </c>
      <c r="D6260" s="66" t="str">
        <f>IF('Twenty-Sixth'!D13="", "",'Twenty-Sixth'!D13)</f>
        <v>New</v>
      </c>
      <c r="E6260" s="66" t="str">
        <f>IF('Twenty-Sixth'!E13="", "",'Twenty-Sixth'!E13)</f>
        <v>Female</v>
      </c>
      <c r="F6260" s="66" t="str">
        <f>IF('Twenty-Sixth'!F13="", "",'Twenty-Sixth'!F13)</f>
        <v>Lower GI</v>
      </c>
      <c r="G6260" s="66" t="str">
        <f>IF('Twenty-Sixth'!G13="", "",'Twenty-Sixth'!G13)</f>
        <v>Non-Curative Intent</v>
      </c>
      <c r="H6260" s="66" t="str">
        <f>IF('Twenty-Sixth'!H13="", "",'Twenty-Sixth'!H13)</f>
        <v>Booked</v>
      </c>
      <c r="I6260" s="66" t="str">
        <f>IF('Twenty-Sixth'!I13="", "",'Twenty-Sixth'!I13)</f>
        <v>Benefits - Family</v>
      </c>
      <c r="J6260" s="66" t="str">
        <f>IF('Twenty-Sixth'!J13="", "",'Twenty-Sixth'!J13)</f>
        <v/>
      </c>
      <c r="K6260" s="86" t="str">
        <f>IF('Twenty-Sixth'!K13="", "",'Twenty-Sixth'!K13)</f>
        <v/>
      </c>
      <c r="M6260" s="67" t="str">
        <f t="shared" si="296"/>
        <v/>
      </c>
      <c r="N6260" s="76">
        <f t="shared" si="297"/>
        <v>7</v>
      </c>
      <c r="O6260" s="33">
        <f t="shared" si="298"/>
        <v>7</v>
      </c>
    </row>
    <row r="6261" spans="1:15" x14ac:dyDescent="0.25">
      <c r="A6261" s="64" t="s">
        <v>210</v>
      </c>
      <c r="B6261" s="79" t="str">
        <f>IF('Twenty-Sixth'!B14="", "",'Twenty-Sixth'!B14)</f>
        <v>Benefits Advisor</v>
      </c>
      <c r="C6261" s="66" t="str">
        <f>IF('Twenty-Sixth'!C14="", "",'Twenty-Sixth'!C14)</f>
        <v>Carer</v>
      </c>
      <c r="D6261" s="66" t="str">
        <f>IF('Twenty-Sixth'!D14="", "",'Twenty-Sixth'!D14)</f>
        <v>New</v>
      </c>
      <c r="E6261" s="66" t="str">
        <f>IF('Twenty-Sixth'!E14="", "",'Twenty-Sixth'!E14)</f>
        <v>Female</v>
      </c>
      <c r="F6261" s="66" t="str">
        <f>IF('Twenty-Sixth'!F14="", "",'Twenty-Sixth'!F14)</f>
        <v>Lower GI</v>
      </c>
      <c r="G6261" s="66" t="str">
        <f>IF('Twenty-Sixth'!G14="", "",'Twenty-Sixth'!G14)</f>
        <v>Non-Curative Intent</v>
      </c>
      <c r="H6261" s="66" t="str">
        <f>IF('Twenty-Sixth'!H14="", "",'Twenty-Sixth'!H14)</f>
        <v>Booked</v>
      </c>
      <c r="I6261" s="66" t="str">
        <f>IF('Twenty-Sixth'!I14="", "",'Twenty-Sixth'!I14)</f>
        <v>Benefits - Family</v>
      </c>
      <c r="J6261" s="66" t="str">
        <f>IF('Twenty-Sixth'!J14="", "",'Twenty-Sixth'!J14)</f>
        <v/>
      </c>
      <c r="K6261" s="86" t="str">
        <f>IF('Twenty-Sixth'!K14="", "",'Twenty-Sixth'!K14)</f>
        <v/>
      </c>
      <c r="M6261" s="67" t="str">
        <f t="shared" si="296"/>
        <v/>
      </c>
      <c r="N6261" s="76">
        <f t="shared" si="297"/>
        <v>7</v>
      </c>
      <c r="O6261" s="33">
        <f t="shared" si="298"/>
        <v>7</v>
      </c>
    </row>
    <row r="6262" spans="1:15" x14ac:dyDescent="0.25">
      <c r="A6262" s="64" t="s">
        <v>210</v>
      </c>
      <c r="B6262" s="79" t="str">
        <f>IF('Twenty-Sixth'!B15="", "",'Twenty-Sixth'!B15)</f>
        <v>CSS</v>
      </c>
      <c r="C6262" s="66" t="str">
        <f>IF('Twenty-Sixth'!C15="", "",'Twenty-Sixth'!C15)</f>
        <v>PwC</v>
      </c>
      <c r="D6262" s="66" t="str">
        <f>IF('Twenty-Sixth'!D15="", "",'Twenty-Sixth'!D15)</f>
        <v>Returning</v>
      </c>
      <c r="E6262" s="66" t="str">
        <f>IF('Twenty-Sixth'!E15="", "",'Twenty-Sixth'!E15)</f>
        <v>Male</v>
      </c>
      <c r="F6262" s="66" t="str">
        <f>IF('Twenty-Sixth'!F15="", "",'Twenty-Sixth'!F15)</f>
        <v>Prostate</v>
      </c>
      <c r="G6262" s="66" t="str">
        <f>IF('Twenty-Sixth'!G15="", "",'Twenty-Sixth'!G15)</f>
        <v>Non-Curative Intent</v>
      </c>
      <c r="H6262" s="66" t="str">
        <f>IF('Twenty-Sixth'!H15="", "",'Twenty-Sixth'!H15)</f>
        <v>Drop-In</v>
      </c>
      <c r="I6262" s="66" t="str">
        <f>IF('Twenty-Sixth'!I15="", "",'Twenty-Sixth'!I15)</f>
        <v/>
      </c>
      <c r="J6262" s="66" t="str">
        <f>IF('Twenty-Sixth'!J15="", "",'Twenty-Sixth'!J15)</f>
        <v/>
      </c>
      <c r="K6262" s="86" t="str">
        <f>IF('Twenty-Sixth'!K15="", "",'Twenty-Sixth'!K15)</f>
        <v/>
      </c>
      <c r="M6262" s="67">
        <f t="shared" si="296"/>
        <v>7</v>
      </c>
      <c r="N6262" s="76" t="str">
        <f t="shared" si="297"/>
        <v/>
      </c>
      <c r="O6262" s="33">
        <f t="shared" si="298"/>
        <v>7</v>
      </c>
    </row>
    <row r="6263" spans="1:15" x14ac:dyDescent="0.25">
      <c r="A6263" s="64" t="s">
        <v>210</v>
      </c>
      <c r="B6263" s="79" t="str">
        <f>IF('Twenty-Sixth'!B16="", "",'Twenty-Sixth'!B16)</f>
        <v>CSS</v>
      </c>
      <c r="C6263" s="66" t="str">
        <f>IF('Twenty-Sixth'!C16="", "",'Twenty-Sixth'!C16)</f>
        <v>PwC</v>
      </c>
      <c r="D6263" s="66" t="str">
        <f>IF('Twenty-Sixth'!D16="", "",'Twenty-Sixth'!D16)</f>
        <v>Returning</v>
      </c>
      <c r="E6263" s="66" t="str">
        <f>IF('Twenty-Sixth'!E16="", "",'Twenty-Sixth'!E16)</f>
        <v>Male</v>
      </c>
      <c r="F6263" s="66" t="str">
        <f>IF('Twenty-Sixth'!F16="", "",'Twenty-Sixth'!F16)</f>
        <v>Prostate</v>
      </c>
      <c r="G6263" s="66" t="str">
        <f>IF('Twenty-Sixth'!G16="", "",'Twenty-Sixth'!G16)</f>
        <v>Non-Curative Intent</v>
      </c>
      <c r="H6263" s="66" t="str">
        <f>IF('Twenty-Sixth'!H16="", "",'Twenty-Sixth'!H16)</f>
        <v>Programme</v>
      </c>
      <c r="I6263" s="66" t="str">
        <f>IF('Twenty-Sixth'!I16="", "",'Twenty-Sixth'!I16)</f>
        <v>Meditation</v>
      </c>
      <c r="J6263" s="66" t="str">
        <f>IF('Twenty-Sixth'!J16="", "",'Twenty-Sixth'!J16)</f>
        <v/>
      </c>
      <c r="K6263" s="86" t="str">
        <f>IF('Twenty-Sixth'!K16="", "",'Twenty-Sixth'!K16)</f>
        <v/>
      </c>
      <c r="M6263" s="67">
        <f t="shared" si="296"/>
        <v>7</v>
      </c>
      <c r="N6263" s="76" t="str">
        <f t="shared" si="297"/>
        <v/>
      </c>
      <c r="O6263" s="33">
        <f t="shared" si="298"/>
        <v>7</v>
      </c>
    </row>
    <row r="6264" spans="1:15" x14ac:dyDescent="0.25">
      <c r="A6264" s="64" t="s">
        <v>210</v>
      </c>
      <c r="B6264" s="79" t="str">
        <f>IF('Twenty-Sixth'!B17="", "",'Twenty-Sixth'!B17)</f>
        <v>CSS</v>
      </c>
      <c r="C6264" s="66" t="str">
        <f>IF('Twenty-Sixth'!C17="", "",'Twenty-Sixth'!C17)</f>
        <v>PwC</v>
      </c>
      <c r="D6264" s="66" t="str">
        <f>IF('Twenty-Sixth'!D17="", "",'Twenty-Sixth'!D17)</f>
        <v>Returning</v>
      </c>
      <c r="E6264" s="66" t="str">
        <f>IF('Twenty-Sixth'!E17="", "",'Twenty-Sixth'!E17)</f>
        <v>Male</v>
      </c>
      <c r="F6264" s="66" t="str">
        <f>IF('Twenty-Sixth'!F17="", "",'Twenty-Sixth'!F17)</f>
        <v>Sarcoma</v>
      </c>
      <c r="G6264" s="66" t="str">
        <f>IF('Twenty-Sixth'!G17="", "",'Twenty-Sixth'!G17)</f>
        <v>Non-Curative Intent</v>
      </c>
      <c r="H6264" s="66" t="str">
        <f>IF('Twenty-Sixth'!H17="", "",'Twenty-Sixth'!H17)</f>
        <v>Programme</v>
      </c>
      <c r="I6264" s="66" t="str">
        <f>IF('Twenty-Sixth'!I17="", "",'Twenty-Sixth'!I17)</f>
        <v>Meditation</v>
      </c>
      <c r="J6264" s="66" t="str">
        <f>IF('Twenty-Sixth'!J17="", "",'Twenty-Sixth'!J17)</f>
        <v/>
      </c>
      <c r="K6264" s="86" t="str">
        <f>IF('Twenty-Sixth'!K17="", "",'Twenty-Sixth'!K17)</f>
        <v/>
      </c>
      <c r="M6264" s="67">
        <f t="shared" si="296"/>
        <v>7</v>
      </c>
      <c r="N6264" s="76" t="str">
        <f t="shared" si="297"/>
        <v/>
      </c>
      <c r="O6264" s="33">
        <f t="shared" si="298"/>
        <v>7</v>
      </c>
    </row>
    <row r="6265" spans="1:15" x14ac:dyDescent="0.25">
      <c r="A6265" s="64" t="s">
        <v>210</v>
      </c>
      <c r="B6265" s="79" t="str">
        <f>IF('Twenty-Sixth'!B18="", "",'Twenty-Sixth'!B18)</f>
        <v>CSS</v>
      </c>
      <c r="C6265" s="66" t="str">
        <f>IF('Twenty-Sixth'!C18="", "",'Twenty-Sixth'!C18)</f>
        <v>Carer</v>
      </c>
      <c r="D6265" s="66" t="str">
        <f>IF('Twenty-Sixth'!D18="", "",'Twenty-Sixth'!D18)</f>
        <v>Returning</v>
      </c>
      <c r="E6265" s="66" t="str">
        <f>IF('Twenty-Sixth'!E18="", "",'Twenty-Sixth'!E18)</f>
        <v>Female</v>
      </c>
      <c r="F6265" s="66" t="str">
        <f>IF('Twenty-Sixth'!F18="", "",'Twenty-Sixth'!F18)</f>
        <v>Sarcoma</v>
      </c>
      <c r="G6265" s="66" t="str">
        <f>IF('Twenty-Sixth'!G18="", "",'Twenty-Sixth'!G18)</f>
        <v>Non-Curative Intent</v>
      </c>
      <c r="H6265" s="66" t="str">
        <f>IF('Twenty-Sixth'!H18="", "",'Twenty-Sixth'!H18)</f>
        <v>Programme</v>
      </c>
      <c r="I6265" s="66" t="str">
        <f>IF('Twenty-Sixth'!I18="", "",'Twenty-Sixth'!I18)</f>
        <v>Meditation</v>
      </c>
      <c r="J6265" s="66" t="str">
        <f>IF('Twenty-Sixth'!J18="", "",'Twenty-Sixth'!J18)</f>
        <v/>
      </c>
      <c r="K6265" s="86" t="str">
        <f>IF('Twenty-Sixth'!K18="", "",'Twenty-Sixth'!K18)</f>
        <v/>
      </c>
      <c r="M6265" s="67" t="str">
        <f t="shared" si="296"/>
        <v/>
      </c>
      <c r="N6265" s="76">
        <f t="shared" si="297"/>
        <v>7</v>
      </c>
      <c r="O6265" s="33">
        <f t="shared" si="298"/>
        <v>7</v>
      </c>
    </row>
    <row r="6266" spans="1:15" x14ac:dyDescent="0.25">
      <c r="A6266" s="64" t="s">
        <v>210</v>
      </c>
      <c r="B6266" s="79" t="str">
        <f>IF('Twenty-Sixth'!B19="", "",'Twenty-Sixth'!B19)</f>
        <v>CSS</v>
      </c>
      <c r="C6266" s="66" t="str">
        <f>IF('Twenty-Sixth'!C19="", "",'Twenty-Sixth'!C19)</f>
        <v>PwC</v>
      </c>
      <c r="D6266" s="66" t="str">
        <f>IF('Twenty-Sixth'!D19="", "",'Twenty-Sixth'!D19)</f>
        <v>Returning</v>
      </c>
      <c r="E6266" s="66" t="str">
        <f>IF('Twenty-Sixth'!E19="", "",'Twenty-Sixth'!E19)</f>
        <v>Female</v>
      </c>
      <c r="F6266" s="66" t="str">
        <f>IF('Twenty-Sixth'!F19="", "",'Twenty-Sixth'!F19)</f>
        <v>Rare</v>
      </c>
      <c r="G6266" s="66" t="str">
        <f>IF('Twenty-Sixth'!G19="", "",'Twenty-Sixth'!G19)</f>
        <v>Non-Curative Intent</v>
      </c>
      <c r="H6266" s="66" t="str">
        <f>IF('Twenty-Sixth'!H19="", "",'Twenty-Sixth'!H19)</f>
        <v>Booked</v>
      </c>
      <c r="I6266" s="66" t="str">
        <f>IF('Twenty-Sixth'!I19="", "",'Twenty-Sixth'!I19)</f>
        <v>Psych Support - Individual</v>
      </c>
      <c r="J6266" s="66" t="str">
        <f>IF('Twenty-Sixth'!J19="", "",'Twenty-Sixth'!J19)</f>
        <v/>
      </c>
      <c r="K6266" s="86" t="str">
        <f>IF('Twenty-Sixth'!K19="", "",'Twenty-Sixth'!K19)</f>
        <v/>
      </c>
      <c r="M6266" s="67">
        <f t="shared" si="296"/>
        <v>7</v>
      </c>
      <c r="N6266" s="76" t="str">
        <f t="shared" si="297"/>
        <v/>
      </c>
      <c r="O6266" s="33">
        <f t="shared" si="298"/>
        <v>7</v>
      </c>
    </row>
    <row r="6267" spans="1:15" x14ac:dyDescent="0.25">
      <c r="A6267" s="64" t="s">
        <v>210</v>
      </c>
      <c r="B6267" s="79" t="str">
        <f>IF('Twenty-Sixth'!B20="", "",'Twenty-Sixth'!B20)</f>
        <v>Sessional Staff</v>
      </c>
      <c r="C6267" s="66" t="str">
        <f>IF('Twenty-Sixth'!C20="", "",'Twenty-Sixth'!C20)</f>
        <v>PwC</v>
      </c>
      <c r="D6267" s="66" t="str">
        <f>IF('Twenty-Sixth'!D20="", "",'Twenty-Sixth'!D20)</f>
        <v>Returning</v>
      </c>
      <c r="E6267" s="66" t="str">
        <f>IF('Twenty-Sixth'!E20="", "",'Twenty-Sixth'!E20)</f>
        <v>Female</v>
      </c>
      <c r="F6267" s="66" t="str">
        <f>IF('Twenty-Sixth'!F20="", "",'Twenty-Sixth'!F20)</f>
        <v>Gynae</v>
      </c>
      <c r="G6267" s="66" t="str">
        <f>IF('Twenty-Sixth'!G20="", "",'Twenty-Sixth'!G20)</f>
        <v>Curative Intent</v>
      </c>
      <c r="H6267" s="66" t="str">
        <f>IF('Twenty-Sixth'!H20="", "",'Twenty-Sixth'!H20)</f>
        <v>Programme</v>
      </c>
      <c r="I6267" s="66" t="str">
        <f>IF('Twenty-Sixth'!I20="", "",'Twenty-Sixth'!I20)</f>
        <v>Nutrition</v>
      </c>
      <c r="J6267" s="66" t="str">
        <f>IF('Twenty-Sixth'!J20="", "",'Twenty-Sixth'!J20)</f>
        <v/>
      </c>
      <c r="K6267" s="86" t="str">
        <f>IF('Twenty-Sixth'!K20="", "",'Twenty-Sixth'!K20)</f>
        <v/>
      </c>
      <c r="M6267" s="67">
        <f t="shared" si="296"/>
        <v>7</v>
      </c>
      <c r="N6267" s="76" t="str">
        <f t="shared" si="297"/>
        <v/>
      </c>
      <c r="O6267" s="33">
        <f t="shared" si="298"/>
        <v>7</v>
      </c>
    </row>
    <row r="6268" spans="1:15" x14ac:dyDescent="0.25">
      <c r="A6268" s="64" t="s">
        <v>210</v>
      </c>
      <c r="B6268" s="79" t="str">
        <f>IF('Twenty-Sixth'!B21="", "",'Twenty-Sixth'!B21)</f>
        <v>Centre Head</v>
      </c>
      <c r="C6268" s="66" t="str">
        <f>IF('Twenty-Sixth'!C21="", "",'Twenty-Sixth'!C21)</f>
        <v>PwC</v>
      </c>
      <c r="D6268" s="66" t="str">
        <f>IF('Twenty-Sixth'!D21="", "",'Twenty-Sixth'!D21)</f>
        <v>Returning</v>
      </c>
      <c r="E6268" s="66" t="str">
        <f>IF('Twenty-Sixth'!E21="", "",'Twenty-Sixth'!E21)</f>
        <v>Female</v>
      </c>
      <c r="F6268" s="66" t="str">
        <f>IF('Twenty-Sixth'!F21="", "",'Twenty-Sixth'!F21)</f>
        <v>Sarcoma</v>
      </c>
      <c r="G6268" s="66" t="str">
        <f>IF('Twenty-Sixth'!G21="", "",'Twenty-Sixth'!G21)</f>
        <v>Post Treatment - Curative Intent</v>
      </c>
      <c r="H6268" s="66" t="str">
        <f>IF('Twenty-Sixth'!H21="", "",'Twenty-Sixth'!H21)</f>
        <v>Booked</v>
      </c>
      <c r="I6268" s="66" t="str">
        <f>IF('Twenty-Sixth'!I21="", "",'Twenty-Sixth'!I21)</f>
        <v>Psych Support - Individual</v>
      </c>
      <c r="J6268" s="66" t="str">
        <f>IF('Twenty-Sixth'!J21="", "",'Twenty-Sixth'!J21)</f>
        <v/>
      </c>
      <c r="K6268" s="86" t="str">
        <f>IF('Twenty-Sixth'!K21="", "",'Twenty-Sixth'!K21)</f>
        <v/>
      </c>
      <c r="M6268" s="67">
        <f t="shared" si="296"/>
        <v>7</v>
      </c>
      <c r="N6268" s="76" t="str">
        <f t="shared" si="297"/>
        <v/>
      </c>
      <c r="O6268" s="33">
        <f t="shared" si="298"/>
        <v>7</v>
      </c>
    </row>
    <row r="6269" spans="1:15" x14ac:dyDescent="0.25">
      <c r="A6269" s="64" t="s">
        <v>210</v>
      </c>
      <c r="B6269" s="79" t="str">
        <f>IF('Twenty-Sixth'!B22="", "",'Twenty-Sixth'!B22)</f>
        <v>Centre Head</v>
      </c>
      <c r="C6269" s="66" t="str">
        <f>IF('Twenty-Sixth'!C22="", "",'Twenty-Sixth'!C22)</f>
        <v>PwC</v>
      </c>
      <c r="D6269" s="66" t="str">
        <f>IF('Twenty-Sixth'!D22="", "",'Twenty-Sixth'!D22)</f>
        <v>Returning</v>
      </c>
      <c r="E6269" s="66" t="str">
        <f>IF('Twenty-Sixth'!E22="", "",'Twenty-Sixth'!E22)</f>
        <v>Female</v>
      </c>
      <c r="F6269" s="66" t="str">
        <f>IF('Twenty-Sixth'!F22="", "",'Twenty-Sixth'!F22)</f>
        <v>Breast</v>
      </c>
      <c r="G6269" s="66" t="str">
        <f>IF('Twenty-Sixth'!G22="", "",'Twenty-Sixth'!G22)</f>
        <v>Non-Curative Intent</v>
      </c>
      <c r="H6269" s="66" t="str">
        <f>IF('Twenty-Sixth'!H22="", "",'Twenty-Sixth'!H22)</f>
        <v>Drop-In</v>
      </c>
      <c r="I6269" s="66" t="str">
        <f>IF('Twenty-Sixth'!I22="", "",'Twenty-Sixth'!I22)</f>
        <v/>
      </c>
      <c r="J6269" s="66" t="str">
        <f>IF('Twenty-Sixth'!J22="", "",'Twenty-Sixth'!J22)</f>
        <v/>
      </c>
      <c r="K6269" s="86" t="str">
        <f>IF('Twenty-Sixth'!K22="", "",'Twenty-Sixth'!K22)</f>
        <v/>
      </c>
      <c r="M6269" s="67">
        <f t="shared" si="296"/>
        <v>7</v>
      </c>
      <c r="N6269" s="76" t="str">
        <f t="shared" si="297"/>
        <v/>
      </c>
      <c r="O6269" s="33">
        <f t="shared" si="298"/>
        <v>7</v>
      </c>
    </row>
    <row r="6270" spans="1:15" x14ac:dyDescent="0.25">
      <c r="A6270" s="64" t="s">
        <v>210</v>
      </c>
      <c r="B6270" s="79" t="str">
        <f>IF('Twenty-Sixth'!B23="", "",'Twenty-Sixth'!B23)</f>
        <v>Centre Head</v>
      </c>
      <c r="C6270" s="66" t="str">
        <f>IF('Twenty-Sixth'!C23="", "",'Twenty-Sixth'!C23)</f>
        <v>Carer</v>
      </c>
      <c r="D6270" s="66" t="str">
        <f>IF('Twenty-Sixth'!D23="", "",'Twenty-Sixth'!D23)</f>
        <v>Returning</v>
      </c>
      <c r="E6270" s="66" t="str">
        <f>IF('Twenty-Sixth'!E23="", "",'Twenty-Sixth'!E23)</f>
        <v>Male</v>
      </c>
      <c r="F6270" s="66" t="str">
        <f>IF('Twenty-Sixth'!F23="", "",'Twenty-Sixth'!F23)</f>
        <v>Breast</v>
      </c>
      <c r="G6270" s="66" t="str">
        <f>IF('Twenty-Sixth'!G23="", "",'Twenty-Sixth'!G23)</f>
        <v>Non-Curative Intent</v>
      </c>
      <c r="H6270" s="66" t="str">
        <f>IF('Twenty-Sixth'!H23="", "",'Twenty-Sixth'!H23)</f>
        <v>Drop-In</v>
      </c>
      <c r="I6270" s="66" t="str">
        <f>IF('Twenty-Sixth'!I23="", "",'Twenty-Sixth'!I23)</f>
        <v/>
      </c>
      <c r="J6270" s="66" t="str">
        <f>IF('Twenty-Sixth'!J23="", "",'Twenty-Sixth'!J23)</f>
        <v/>
      </c>
      <c r="K6270" s="86" t="str">
        <f>IF('Twenty-Sixth'!K23="", "",'Twenty-Sixth'!K23)</f>
        <v/>
      </c>
      <c r="M6270" s="67" t="str">
        <f t="shared" si="296"/>
        <v/>
      </c>
      <c r="N6270" s="76">
        <f t="shared" si="297"/>
        <v>7</v>
      </c>
      <c r="O6270" s="33">
        <f t="shared" si="298"/>
        <v>7</v>
      </c>
    </row>
    <row r="6271" spans="1:15" x14ac:dyDescent="0.25">
      <c r="A6271" s="64" t="s">
        <v>210</v>
      </c>
      <c r="B6271" s="79" t="str">
        <f>IF('Twenty-Sixth'!B24="", "",'Twenty-Sixth'!B24)</f>
        <v>Centre Head</v>
      </c>
      <c r="C6271" s="66" t="str">
        <f>IF('Twenty-Sixth'!C24="", "",'Twenty-Sixth'!C24)</f>
        <v>PwC</v>
      </c>
      <c r="D6271" s="66" t="str">
        <f>IF('Twenty-Sixth'!D24="", "",'Twenty-Sixth'!D24)</f>
        <v>Returning</v>
      </c>
      <c r="E6271" s="66" t="str">
        <f>IF('Twenty-Sixth'!E24="", "",'Twenty-Sixth'!E24)</f>
        <v>Male</v>
      </c>
      <c r="F6271" s="66" t="str">
        <f>IF('Twenty-Sixth'!F24="", "",'Twenty-Sixth'!F24)</f>
        <v>Prostate</v>
      </c>
      <c r="G6271" s="66" t="str">
        <f>IF('Twenty-Sixth'!G24="", "",'Twenty-Sixth'!G24)</f>
        <v>Post Treatment - Curative Intent</v>
      </c>
      <c r="H6271" s="66" t="str">
        <f>IF('Twenty-Sixth'!H24="", "",'Twenty-Sixth'!H24)</f>
        <v>Drop-In</v>
      </c>
      <c r="I6271" s="66" t="str">
        <f>IF('Twenty-Sixth'!I24="", "",'Twenty-Sixth'!I24)</f>
        <v/>
      </c>
      <c r="J6271" s="66" t="str">
        <f>IF('Twenty-Sixth'!J24="", "",'Twenty-Sixth'!J24)</f>
        <v/>
      </c>
      <c r="K6271" s="86" t="str">
        <f>IF('Twenty-Sixth'!K24="", "",'Twenty-Sixth'!K24)</f>
        <v/>
      </c>
      <c r="M6271" s="67">
        <f t="shared" ref="M6271:M6334" si="299">IF(C6271="PwC",(7-COUNTIF(B6271:H6271,"")),"")</f>
        <v>7</v>
      </c>
      <c r="N6271" s="76" t="str">
        <f t="shared" ref="N6271:N6334" si="300">IF(C6271="Carer",(7-COUNTIF(B6271:H6271,"")),"")</f>
        <v/>
      </c>
      <c r="O6271" s="33">
        <f t="shared" si="298"/>
        <v>7</v>
      </c>
    </row>
    <row r="6272" spans="1:15" x14ac:dyDescent="0.25">
      <c r="A6272" s="64" t="s">
        <v>210</v>
      </c>
      <c r="B6272" s="79" t="str">
        <f>IF('Twenty-Sixth'!B25="", "",'Twenty-Sixth'!B25)</f>
        <v>Centre Head</v>
      </c>
      <c r="C6272" s="66" t="str">
        <f>IF('Twenty-Sixth'!C25="", "",'Twenty-Sixth'!C25)</f>
        <v>Carer</v>
      </c>
      <c r="D6272" s="66" t="str">
        <f>IF('Twenty-Sixth'!D25="", "",'Twenty-Sixth'!D25)</f>
        <v>Returning</v>
      </c>
      <c r="E6272" s="66" t="str">
        <f>IF('Twenty-Sixth'!E25="", "",'Twenty-Sixth'!E25)</f>
        <v>Male</v>
      </c>
      <c r="F6272" s="66" t="str">
        <f>IF('Twenty-Sixth'!F25="", "",'Twenty-Sixth'!F25)</f>
        <v>Breast</v>
      </c>
      <c r="G6272" s="66" t="str">
        <f>IF('Twenty-Sixth'!G25="", "",'Twenty-Sixth'!G25)</f>
        <v>Bereaved</v>
      </c>
      <c r="H6272" s="66" t="str">
        <f>IF('Twenty-Sixth'!H25="", "",'Twenty-Sixth'!H25)</f>
        <v>Drop-In</v>
      </c>
      <c r="I6272" s="66" t="str">
        <f>IF('Twenty-Sixth'!I25="", "",'Twenty-Sixth'!I25)</f>
        <v/>
      </c>
      <c r="J6272" s="66" t="str">
        <f>IF('Twenty-Sixth'!J25="", "",'Twenty-Sixth'!J25)</f>
        <v/>
      </c>
      <c r="K6272" s="86" t="str">
        <f>IF('Twenty-Sixth'!K25="", "",'Twenty-Sixth'!K25)</f>
        <v/>
      </c>
      <c r="M6272" s="67" t="str">
        <f t="shared" si="299"/>
        <v/>
      </c>
      <c r="N6272" s="76">
        <f t="shared" si="300"/>
        <v>7</v>
      </c>
      <c r="O6272" s="33">
        <f t="shared" si="298"/>
        <v>7</v>
      </c>
    </row>
    <row r="6273" spans="1:15" x14ac:dyDescent="0.25">
      <c r="A6273" s="64" t="s">
        <v>210</v>
      </c>
      <c r="B6273" s="79" t="str">
        <f>IF('Twenty-Sixth'!B26="", "",'Twenty-Sixth'!B26)</f>
        <v>Centre Head</v>
      </c>
      <c r="C6273" s="66" t="str">
        <f>IF('Twenty-Sixth'!C26="", "",'Twenty-Sixth'!C26)</f>
        <v>Carer</v>
      </c>
      <c r="D6273" s="66" t="str">
        <f>IF('Twenty-Sixth'!D26="", "",'Twenty-Sixth'!D26)</f>
        <v>Returning</v>
      </c>
      <c r="E6273" s="66" t="str">
        <f>IF('Twenty-Sixth'!E26="", "",'Twenty-Sixth'!E26)</f>
        <v>Female</v>
      </c>
      <c r="F6273" s="66" t="str">
        <f>IF('Twenty-Sixth'!F26="", "",'Twenty-Sixth'!F26)</f>
        <v>Prostate</v>
      </c>
      <c r="G6273" s="66" t="str">
        <f>IF('Twenty-Sixth'!G26="", "",'Twenty-Sixth'!G26)</f>
        <v>Non-Curative Intent</v>
      </c>
      <c r="H6273" s="66" t="str">
        <f>IF('Twenty-Sixth'!H26="", "",'Twenty-Sixth'!H26)</f>
        <v>Programme</v>
      </c>
      <c r="I6273" s="66" t="str">
        <f>IF('Twenty-Sixth'!I26="", "",'Twenty-Sixth'!I26)</f>
        <v>FSG Family and Friends</v>
      </c>
      <c r="J6273" s="66" t="str">
        <f>IF('Twenty-Sixth'!J26="", "",'Twenty-Sixth'!J26)</f>
        <v/>
      </c>
      <c r="K6273" s="86" t="str">
        <f>IF('Twenty-Sixth'!K26="", "",'Twenty-Sixth'!K26)</f>
        <v/>
      </c>
      <c r="M6273" s="67" t="str">
        <f t="shared" si="299"/>
        <v/>
      </c>
      <c r="N6273" s="76">
        <f t="shared" si="300"/>
        <v>7</v>
      </c>
      <c r="O6273" s="33">
        <f t="shared" si="298"/>
        <v>7</v>
      </c>
    </row>
    <row r="6274" spans="1:15" x14ac:dyDescent="0.25">
      <c r="A6274" s="64" t="s">
        <v>210</v>
      </c>
      <c r="B6274" s="79" t="str">
        <f>IF('Twenty-Sixth'!B27="", "",'Twenty-Sixth'!B27)</f>
        <v>Centre Head</v>
      </c>
      <c r="C6274" s="66" t="str">
        <f>IF('Twenty-Sixth'!C27="", "",'Twenty-Sixth'!C27)</f>
        <v>Carer</v>
      </c>
      <c r="D6274" s="66" t="str">
        <f>IF('Twenty-Sixth'!D27="", "",'Twenty-Sixth'!D27)</f>
        <v>Returning</v>
      </c>
      <c r="E6274" s="66" t="str">
        <f>IF('Twenty-Sixth'!E27="", "",'Twenty-Sixth'!E27)</f>
        <v>Female</v>
      </c>
      <c r="F6274" s="66" t="str">
        <f>IF('Twenty-Sixth'!F27="", "",'Twenty-Sixth'!F27)</f>
        <v>Haemat</v>
      </c>
      <c r="G6274" s="66" t="str">
        <f>IF('Twenty-Sixth'!G27="", "",'Twenty-Sixth'!G27)</f>
        <v>Non-Curative Intent</v>
      </c>
      <c r="H6274" s="66" t="str">
        <f>IF('Twenty-Sixth'!H27="", "",'Twenty-Sixth'!H27)</f>
        <v>Programme</v>
      </c>
      <c r="I6274" s="66" t="str">
        <f>IF('Twenty-Sixth'!I27="", "",'Twenty-Sixth'!I27)</f>
        <v>FSG Family and Friends</v>
      </c>
      <c r="J6274" s="66" t="str">
        <f>IF('Twenty-Sixth'!J27="", "",'Twenty-Sixth'!J27)</f>
        <v/>
      </c>
      <c r="K6274" s="86" t="str">
        <f>IF('Twenty-Sixth'!K27="", "",'Twenty-Sixth'!K27)</f>
        <v/>
      </c>
      <c r="M6274" s="67" t="str">
        <f t="shared" si="299"/>
        <v/>
      </c>
      <c r="N6274" s="76">
        <f t="shared" si="300"/>
        <v>7</v>
      </c>
      <c r="O6274" s="33">
        <f t="shared" si="298"/>
        <v>7</v>
      </c>
    </row>
    <row r="6275" spans="1:15" x14ac:dyDescent="0.25">
      <c r="A6275" s="64" t="s">
        <v>210</v>
      </c>
      <c r="B6275" s="79" t="str">
        <f>IF('Twenty-Sixth'!B28="", "",'Twenty-Sixth'!B28)</f>
        <v>Centre Head</v>
      </c>
      <c r="C6275" s="66" t="str">
        <f>IF('Twenty-Sixth'!C28="", "",'Twenty-Sixth'!C28)</f>
        <v>Carer</v>
      </c>
      <c r="D6275" s="66" t="str">
        <f>IF('Twenty-Sixth'!D28="", "",'Twenty-Sixth'!D28)</f>
        <v>Returning</v>
      </c>
      <c r="E6275" s="66" t="str">
        <f>IF('Twenty-Sixth'!E28="", "",'Twenty-Sixth'!E28)</f>
        <v>Female</v>
      </c>
      <c r="F6275" s="66" t="str">
        <f>IF('Twenty-Sixth'!F28="", "",'Twenty-Sixth'!F28)</f>
        <v>Lung</v>
      </c>
      <c r="G6275" s="66" t="str">
        <f>IF('Twenty-Sixth'!G28="", "",'Twenty-Sixth'!G28)</f>
        <v>Non-Curative Intent</v>
      </c>
      <c r="H6275" s="66" t="str">
        <f>IF('Twenty-Sixth'!H28="", "",'Twenty-Sixth'!H28)</f>
        <v>Programme</v>
      </c>
      <c r="I6275" s="66" t="str">
        <f>IF('Twenty-Sixth'!I28="", "",'Twenty-Sixth'!I28)</f>
        <v>FSG Family and Friends</v>
      </c>
      <c r="J6275" s="66" t="str">
        <f>IF('Twenty-Sixth'!J28="", "",'Twenty-Sixth'!J28)</f>
        <v/>
      </c>
      <c r="K6275" s="86" t="str">
        <f>IF('Twenty-Sixth'!K28="", "",'Twenty-Sixth'!K28)</f>
        <v/>
      </c>
      <c r="M6275" s="67" t="str">
        <f t="shared" si="299"/>
        <v/>
      </c>
      <c r="N6275" s="76">
        <f t="shared" si="300"/>
        <v>7</v>
      </c>
      <c r="O6275" s="33">
        <f t="shared" si="298"/>
        <v>7</v>
      </c>
    </row>
    <row r="6276" spans="1:15" x14ac:dyDescent="0.25">
      <c r="A6276" s="64" t="s">
        <v>210</v>
      </c>
      <c r="B6276" s="79" t="str">
        <f>IF('Twenty-Sixth'!B29="", "",'Twenty-Sixth'!B29)</f>
        <v>Centre Head</v>
      </c>
      <c r="C6276" s="66" t="str">
        <f>IF('Twenty-Sixth'!C29="", "",'Twenty-Sixth'!C29)</f>
        <v>Carer</v>
      </c>
      <c r="D6276" s="66" t="str">
        <f>IF('Twenty-Sixth'!D29="", "",'Twenty-Sixth'!D29)</f>
        <v>Returning</v>
      </c>
      <c r="E6276" s="66" t="str">
        <f>IF('Twenty-Sixth'!E29="", "",'Twenty-Sixth'!E29)</f>
        <v>Female</v>
      </c>
      <c r="F6276" s="66" t="str">
        <f>IF('Twenty-Sixth'!F29="", "",'Twenty-Sixth'!F29)</f>
        <v>Lung</v>
      </c>
      <c r="G6276" s="66" t="str">
        <f>IF('Twenty-Sixth'!G29="", "",'Twenty-Sixth'!G29)</f>
        <v>Non-Curative Intent</v>
      </c>
      <c r="H6276" s="66" t="str">
        <f>IF('Twenty-Sixth'!H29="", "",'Twenty-Sixth'!H29)</f>
        <v>Programme</v>
      </c>
      <c r="I6276" s="66" t="str">
        <f>IF('Twenty-Sixth'!I29="", "",'Twenty-Sixth'!I29)</f>
        <v>FSG Family and Friends</v>
      </c>
      <c r="J6276" s="66" t="str">
        <f>IF('Twenty-Sixth'!J29="", "",'Twenty-Sixth'!J29)</f>
        <v/>
      </c>
      <c r="K6276" s="86" t="str">
        <f>IF('Twenty-Sixth'!K29="", "",'Twenty-Sixth'!K29)</f>
        <v/>
      </c>
      <c r="M6276" s="67" t="str">
        <f t="shared" si="299"/>
        <v/>
      </c>
      <c r="N6276" s="76">
        <f t="shared" si="300"/>
        <v>7</v>
      </c>
      <c r="O6276" s="33">
        <f t="shared" si="298"/>
        <v>7</v>
      </c>
    </row>
    <row r="6277" spans="1:15" x14ac:dyDescent="0.25">
      <c r="A6277" s="64" t="s">
        <v>210</v>
      </c>
      <c r="B6277" s="79" t="str">
        <f>IF('Twenty-Sixth'!B30="", "",'Twenty-Sixth'!B30)</f>
        <v>Centre Head</v>
      </c>
      <c r="C6277" s="66" t="str">
        <f>IF('Twenty-Sixth'!C30="", "",'Twenty-Sixth'!C30)</f>
        <v>Carer</v>
      </c>
      <c r="D6277" s="66" t="str">
        <f>IF('Twenty-Sixth'!D30="", "",'Twenty-Sixth'!D30)</f>
        <v>Returning</v>
      </c>
      <c r="E6277" s="66" t="str">
        <f>IF('Twenty-Sixth'!E30="", "",'Twenty-Sixth'!E30)</f>
        <v>Female</v>
      </c>
      <c r="F6277" s="66" t="str">
        <f>IF('Twenty-Sixth'!F30="", "",'Twenty-Sixth'!F30)</f>
        <v>Lower GI</v>
      </c>
      <c r="G6277" s="66" t="str">
        <f>IF('Twenty-Sixth'!G30="", "",'Twenty-Sixth'!G30)</f>
        <v>Non-Curative Intent</v>
      </c>
      <c r="H6277" s="66" t="str">
        <f>IF('Twenty-Sixth'!H30="", "",'Twenty-Sixth'!H30)</f>
        <v>Programme</v>
      </c>
      <c r="I6277" s="66" t="str">
        <f>IF('Twenty-Sixth'!I30="", "",'Twenty-Sixth'!I30)</f>
        <v>FSG Family and Friends</v>
      </c>
      <c r="J6277" s="66" t="str">
        <f>IF('Twenty-Sixth'!J30="", "",'Twenty-Sixth'!J30)</f>
        <v/>
      </c>
      <c r="K6277" s="86" t="str">
        <f>IF('Twenty-Sixth'!K30="", "",'Twenty-Sixth'!K30)</f>
        <v/>
      </c>
      <c r="M6277" s="67" t="str">
        <f t="shared" si="299"/>
        <v/>
      </c>
      <c r="N6277" s="76">
        <f t="shared" si="300"/>
        <v>7</v>
      </c>
      <c r="O6277" s="33">
        <f t="shared" si="298"/>
        <v>7</v>
      </c>
    </row>
    <row r="6278" spans="1:15" x14ac:dyDescent="0.25">
      <c r="A6278" s="64" t="s">
        <v>210</v>
      </c>
      <c r="B6278" s="79" t="str">
        <f>IF('Twenty-Sixth'!B31="", "",'Twenty-Sixth'!B31)</f>
        <v>Sessional Staff</v>
      </c>
      <c r="C6278" s="66" t="str">
        <f>IF('Twenty-Sixth'!C31="", "",'Twenty-Sixth'!C31)</f>
        <v>PwC</v>
      </c>
      <c r="D6278" s="66" t="str">
        <f>IF('Twenty-Sixth'!D31="", "",'Twenty-Sixth'!D31)</f>
        <v>New</v>
      </c>
      <c r="E6278" s="66" t="str">
        <f>IF('Twenty-Sixth'!E31="", "",'Twenty-Sixth'!E31)</f>
        <v>Female</v>
      </c>
      <c r="F6278" s="66" t="str">
        <f>IF('Twenty-Sixth'!F31="", "",'Twenty-Sixth'!F31)</f>
        <v>Not Stated</v>
      </c>
      <c r="G6278" s="66" t="str">
        <f>IF('Twenty-Sixth'!G31="", "",'Twenty-Sixth'!G31)</f>
        <v>Not Stated</v>
      </c>
      <c r="H6278" s="66" t="str">
        <f>IF('Twenty-Sixth'!H31="", "",'Twenty-Sixth'!H31)</f>
        <v>Programme</v>
      </c>
      <c r="I6278" s="66" t="str">
        <f>IF('Twenty-Sixth'!I31="", "",'Twenty-Sixth'!I31)</f>
        <v>Look Good Feel Better</v>
      </c>
      <c r="J6278" s="66" t="str">
        <f>IF('Twenty-Sixth'!J31="", "",'Twenty-Sixth'!J31)</f>
        <v/>
      </c>
      <c r="K6278" s="86" t="str">
        <f>IF('Twenty-Sixth'!K31="", "",'Twenty-Sixth'!K31)</f>
        <v/>
      </c>
      <c r="M6278" s="67">
        <f t="shared" si="299"/>
        <v>7</v>
      </c>
      <c r="N6278" s="76" t="str">
        <f t="shared" si="300"/>
        <v/>
      </c>
      <c r="O6278" s="33">
        <f t="shared" si="298"/>
        <v>7</v>
      </c>
    </row>
    <row r="6279" spans="1:15" x14ac:dyDescent="0.25">
      <c r="A6279" s="64" t="s">
        <v>210</v>
      </c>
      <c r="B6279" s="79" t="str">
        <f>IF('Twenty-Sixth'!B32="", "",'Twenty-Sixth'!B32)</f>
        <v>Sessional Staff</v>
      </c>
      <c r="C6279" s="66" t="str">
        <f>IF('Twenty-Sixth'!C32="", "",'Twenty-Sixth'!C32)</f>
        <v>PwC</v>
      </c>
      <c r="D6279" s="66" t="str">
        <f>IF('Twenty-Sixth'!D32="", "",'Twenty-Sixth'!D32)</f>
        <v>New</v>
      </c>
      <c r="E6279" s="66" t="str">
        <f>IF('Twenty-Sixth'!E32="", "",'Twenty-Sixth'!E32)</f>
        <v>Female</v>
      </c>
      <c r="F6279" s="66" t="str">
        <f>IF('Twenty-Sixth'!F32="", "",'Twenty-Sixth'!F32)</f>
        <v>Not Stated</v>
      </c>
      <c r="G6279" s="66" t="str">
        <f>IF('Twenty-Sixth'!G32="", "",'Twenty-Sixth'!G32)</f>
        <v>Not Stated</v>
      </c>
      <c r="H6279" s="66" t="str">
        <f>IF('Twenty-Sixth'!H32="", "",'Twenty-Sixth'!H32)</f>
        <v>Programme</v>
      </c>
      <c r="I6279" s="66" t="str">
        <f>IF('Twenty-Sixth'!I32="", "",'Twenty-Sixth'!I32)</f>
        <v>Look Good Feel Better</v>
      </c>
      <c r="J6279" s="66" t="str">
        <f>IF('Twenty-Sixth'!J32="", "",'Twenty-Sixth'!J32)</f>
        <v/>
      </c>
      <c r="K6279" s="86" t="str">
        <f>IF('Twenty-Sixth'!K32="", "",'Twenty-Sixth'!K32)</f>
        <v/>
      </c>
      <c r="M6279" s="67">
        <f t="shared" si="299"/>
        <v>7</v>
      </c>
      <c r="N6279" s="76" t="str">
        <f t="shared" si="300"/>
        <v/>
      </c>
      <c r="O6279" s="33">
        <f t="shared" si="298"/>
        <v>7</v>
      </c>
    </row>
    <row r="6280" spans="1:15" x14ac:dyDescent="0.25">
      <c r="A6280" s="64" t="s">
        <v>210</v>
      </c>
      <c r="B6280" s="79" t="str">
        <f>IF('Twenty-Sixth'!B33="", "",'Twenty-Sixth'!B33)</f>
        <v>Sessional Staff</v>
      </c>
      <c r="C6280" s="66" t="str">
        <f>IF('Twenty-Sixth'!C33="", "",'Twenty-Sixth'!C33)</f>
        <v>PwC</v>
      </c>
      <c r="D6280" s="66" t="str">
        <f>IF('Twenty-Sixth'!D33="", "",'Twenty-Sixth'!D33)</f>
        <v>New</v>
      </c>
      <c r="E6280" s="66" t="str">
        <f>IF('Twenty-Sixth'!E33="", "",'Twenty-Sixth'!E33)</f>
        <v>Female</v>
      </c>
      <c r="F6280" s="66" t="str">
        <f>IF('Twenty-Sixth'!F33="", "",'Twenty-Sixth'!F33)</f>
        <v>Not Stated</v>
      </c>
      <c r="G6280" s="66" t="str">
        <f>IF('Twenty-Sixth'!G33="", "",'Twenty-Sixth'!G33)</f>
        <v>Not Stated</v>
      </c>
      <c r="H6280" s="66" t="str">
        <f>IF('Twenty-Sixth'!H33="", "",'Twenty-Sixth'!H33)</f>
        <v>Programme</v>
      </c>
      <c r="I6280" s="66" t="str">
        <f>IF('Twenty-Sixth'!I33="", "",'Twenty-Sixth'!I33)</f>
        <v>Look Good Feel Better</v>
      </c>
      <c r="J6280" s="66" t="str">
        <f>IF('Twenty-Sixth'!J33="", "",'Twenty-Sixth'!J33)</f>
        <v/>
      </c>
      <c r="K6280" s="86" t="str">
        <f>IF('Twenty-Sixth'!K33="", "",'Twenty-Sixth'!K33)</f>
        <v/>
      </c>
      <c r="M6280" s="67">
        <f t="shared" si="299"/>
        <v>7</v>
      </c>
      <c r="N6280" s="76" t="str">
        <f t="shared" si="300"/>
        <v/>
      </c>
      <c r="O6280" s="33">
        <f t="shared" si="298"/>
        <v>7</v>
      </c>
    </row>
    <row r="6281" spans="1:15" x14ac:dyDescent="0.25">
      <c r="A6281" s="64" t="s">
        <v>210</v>
      </c>
      <c r="B6281" s="79" t="str">
        <f>IF('Twenty-Sixth'!B34="", "",'Twenty-Sixth'!B34)</f>
        <v>Sessional Staff</v>
      </c>
      <c r="C6281" s="66" t="str">
        <f>IF('Twenty-Sixth'!C34="", "",'Twenty-Sixth'!C34)</f>
        <v>PwC</v>
      </c>
      <c r="D6281" s="66" t="str">
        <f>IF('Twenty-Sixth'!D34="", "",'Twenty-Sixth'!D34)</f>
        <v>New</v>
      </c>
      <c r="E6281" s="66" t="str">
        <f>IF('Twenty-Sixth'!E34="", "",'Twenty-Sixth'!E34)</f>
        <v>Female</v>
      </c>
      <c r="F6281" s="66" t="str">
        <f>IF('Twenty-Sixth'!F34="", "",'Twenty-Sixth'!F34)</f>
        <v>Not Stated</v>
      </c>
      <c r="G6281" s="66" t="str">
        <f>IF('Twenty-Sixth'!G34="", "",'Twenty-Sixth'!G34)</f>
        <v>Not Stated</v>
      </c>
      <c r="H6281" s="66" t="str">
        <f>IF('Twenty-Sixth'!H34="", "",'Twenty-Sixth'!H34)</f>
        <v>Programme</v>
      </c>
      <c r="I6281" s="66" t="str">
        <f>IF('Twenty-Sixth'!I34="", "",'Twenty-Sixth'!I34)</f>
        <v>Look Good Feel Better</v>
      </c>
      <c r="J6281" s="66" t="str">
        <f>IF('Twenty-Sixth'!J34="", "",'Twenty-Sixth'!J34)</f>
        <v/>
      </c>
      <c r="K6281" s="86" t="str">
        <f>IF('Twenty-Sixth'!K34="", "",'Twenty-Sixth'!K34)</f>
        <v/>
      </c>
      <c r="M6281" s="67">
        <f t="shared" si="299"/>
        <v>7</v>
      </c>
      <c r="N6281" s="76" t="str">
        <f t="shared" si="300"/>
        <v/>
      </c>
      <c r="O6281" s="33">
        <f t="shared" si="298"/>
        <v>7</v>
      </c>
    </row>
    <row r="6282" spans="1:15" x14ac:dyDescent="0.25">
      <c r="A6282" s="64" t="s">
        <v>210</v>
      </c>
      <c r="B6282" s="79" t="str">
        <f>IF('Twenty-Sixth'!B35="", "",'Twenty-Sixth'!B35)</f>
        <v>Sessional Staff</v>
      </c>
      <c r="C6282" s="66" t="str">
        <f>IF('Twenty-Sixth'!C35="", "",'Twenty-Sixth'!C35)</f>
        <v>PwC</v>
      </c>
      <c r="D6282" s="66" t="str">
        <f>IF('Twenty-Sixth'!D35="", "",'Twenty-Sixth'!D35)</f>
        <v>New</v>
      </c>
      <c r="E6282" s="66" t="str">
        <f>IF('Twenty-Sixth'!E35="", "",'Twenty-Sixth'!E35)</f>
        <v>Female</v>
      </c>
      <c r="F6282" s="66" t="str">
        <f>IF('Twenty-Sixth'!F35="", "",'Twenty-Sixth'!F35)</f>
        <v>Not Stated</v>
      </c>
      <c r="G6282" s="66" t="str">
        <f>IF('Twenty-Sixth'!G35="", "",'Twenty-Sixth'!G35)</f>
        <v>Not Stated</v>
      </c>
      <c r="H6282" s="66" t="str">
        <f>IF('Twenty-Sixth'!H35="", "",'Twenty-Sixth'!H35)</f>
        <v>Programme</v>
      </c>
      <c r="I6282" s="66" t="str">
        <f>IF('Twenty-Sixth'!I35="", "",'Twenty-Sixth'!I35)</f>
        <v>Look Good Feel Better</v>
      </c>
      <c r="J6282" s="66" t="str">
        <f>IF('Twenty-Sixth'!J35="", "",'Twenty-Sixth'!J35)</f>
        <v/>
      </c>
      <c r="K6282" s="86" t="str">
        <f>IF('Twenty-Sixth'!K35="", "",'Twenty-Sixth'!K35)</f>
        <v/>
      </c>
      <c r="M6282" s="67">
        <f t="shared" si="299"/>
        <v>7</v>
      </c>
      <c r="N6282" s="76" t="str">
        <f t="shared" si="300"/>
        <v/>
      </c>
      <c r="O6282" s="33">
        <f t="shared" ref="O6282:O6345" si="301">SUM(M6282:N6282)</f>
        <v>7</v>
      </c>
    </row>
    <row r="6283" spans="1:15" x14ac:dyDescent="0.25">
      <c r="A6283" s="64" t="s">
        <v>210</v>
      </c>
      <c r="B6283" s="79" t="str">
        <f>IF('Twenty-Sixth'!B36="", "",'Twenty-Sixth'!B36)</f>
        <v>Sessional Staff</v>
      </c>
      <c r="C6283" s="66" t="str">
        <f>IF('Twenty-Sixth'!C36="", "",'Twenty-Sixth'!C36)</f>
        <v>PwC</v>
      </c>
      <c r="D6283" s="66" t="str">
        <f>IF('Twenty-Sixth'!D36="", "",'Twenty-Sixth'!D36)</f>
        <v>New</v>
      </c>
      <c r="E6283" s="66" t="str">
        <f>IF('Twenty-Sixth'!E36="", "",'Twenty-Sixth'!E36)</f>
        <v>Female</v>
      </c>
      <c r="F6283" s="66" t="str">
        <f>IF('Twenty-Sixth'!F36="", "",'Twenty-Sixth'!F36)</f>
        <v>Not Stated</v>
      </c>
      <c r="G6283" s="66" t="str">
        <f>IF('Twenty-Sixth'!G36="", "",'Twenty-Sixth'!G36)</f>
        <v>Not Stated</v>
      </c>
      <c r="H6283" s="66" t="str">
        <f>IF('Twenty-Sixth'!H36="", "",'Twenty-Sixth'!H36)</f>
        <v>Programme</v>
      </c>
      <c r="I6283" s="66" t="str">
        <f>IF('Twenty-Sixth'!I36="", "",'Twenty-Sixth'!I36)</f>
        <v>Look Good Feel Better</v>
      </c>
      <c r="J6283" s="66" t="str">
        <f>IF('Twenty-Sixth'!J36="", "",'Twenty-Sixth'!J36)</f>
        <v/>
      </c>
      <c r="K6283" s="86" t="str">
        <f>IF('Twenty-Sixth'!K36="", "",'Twenty-Sixth'!K36)</f>
        <v/>
      </c>
      <c r="M6283" s="67">
        <f t="shared" si="299"/>
        <v>7</v>
      </c>
      <c r="N6283" s="76" t="str">
        <f t="shared" si="300"/>
        <v/>
      </c>
      <c r="O6283" s="33">
        <f t="shared" si="301"/>
        <v>7</v>
      </c>
    </row>
    <row r="6284" spans="1:15" x14ac:dyDescent="0.25">
      <c r="A6284" s="64" t="s">
        <v>210</v>
      </c>
      <c r="B6284" s="79" t="str">
        <f>IF('Twenty-Sixth'!B37="", "",'Twenty-Sixth'!B37)</f>
        <v>Sessional Staff</v>
      </c>
      <c r="C6284" s="66" t="str">
        <f>IF('Twenty-Sixth'!C37="", "",'Twenty-Sixth'!C37)</f>
        <v>PwC</v>
      </c>
      <c r="D6284" s="66" t="str">
        <f>IF('Twenty-Sixth'!D37="", "",'Twenty-Sixth'!D37)</f>
        <v>New</v>
      </c>
      <c r="E6284" s="66" t="str">
        <f>IF('Twenty-Sixth'!E37="", "",'Twenty-Sixth'!E37)</f>
        <v>Female</v>
      </c>
      <c r="F6284" s="66" t="str">
        <f>IF('Twenty-Sixth'!F37="", "",'Twenty-Sixth'!F37)</f>
        <v>Not Stated</v>
      </c>
      <c r="G6284" s="66" t="str">
        <f>IF('Twenty-Sixth'!G37="", "",'Twenty-Sixth'!G37)</f>
        <v>Not Stated</v>
      </c>
      <c r="H6284" s="66" t="str">
        <f>IF('Twenty-Sixth'!H37="", "",'Twenty-Sixth'!H37)</f>
        <v>Programme</v>
      </c>
      <c r="I6284" s="66" t="str">
        <f>IF('Twenty-Sixth'!I37="", "",'Twenty-Sixth'!I37)</f>
        <v>Look Good Feel Better</v>
      </c>
      <c r="J6284" s="66" t="str">
        <f>IF('Twenty-Sixth'!J37="", "",'Twenty-Sixth'!J37)</f>
        <v/>
      </c>
      <c r="K6284" s="86" t="str">
        <f>IF('Twenty-Sixth'!K37="", "",'Twenty-Sixth'!K37)</f>
        <v/>
      </c>
      <c r="M6284" s="67">
        <f t="shared" si="299"/>
        <v>7</v>
      </c>
      <c r="N6284" s="76" t="str">
        <f t="shared" si="300"/>
        <v/>
      </c>
      <c r="O6284" s="33">
        <f t="shared" si="301"/>
        <v>7</v>
      </c>
    </row>
    <row r="6285" spans="1:15" x14ac:dyDescent="0.25">
      <c r="A6285" s="64" t="s">
        <v>210</v>
      </c>
      <c r="B6285" s="79" t="str">
        <f>IF('Twenty-Sixth'!B38="", "",'Twenty-Sixth'!B38)</f>
        <v>Sessional Staff</v>
      </c>
      <c r="C6285" s="66" t="str">
        <f>IF('Twenty-Sixth'!C38="", "",'Twenty-Sixth'!C38)</f>
        <v>PwC</v>
      </c>
      <c r="D6285" s="66" t="str">
        <f>IF('Twenty-Sixth'!D38="", "",'Twenty-Sixth'!D38)</f>
        <v>New</v>
      </c>
      <c r="E6285" s="66" t="str">
        <f>IF('Twenty-Sixth'!E38="", "",'Twenty-Sixth'!E38)</f>
        <v>Female</v>
      </c>
      <c r="F6285" s="66" t="str">
        <f>IF('Twenty-Sixth'!F38="", "",'Twenty-Sixth'!F38)</f>
        <v>Not Stated</v>
      </c>
      <c r="G6285" s="66" t="str">
        <f>IF('Twenty-Sixth'!G38="", "",'Twenty-Sixth'!G38)</f>
        <v>Not Stated</v>
      </c>
      <c r="H6285" s="66" t="str">
        <f>IF('Twenty-Sixth'!H38="", "",'Twenty-Sixth'!H38)</f>
        <v>Programme</v>
      </c>
      <c r="I6285" s="66" t="str">
        <f>IF('Twenty-Sixth'!I38="", "",'Twenty-Sixth'!I38)</f>
        <v>Look Good Feel Better</v>
      </c>
      <c r="J6285" s="66" t="str">
        <f>IF('Twenty-Sixth'!J38="", "",'Twenty-Sixth'!J38)</f>
        <v/>
      </c>
      <c r="K6285" s="86" t="str">
        <f>IF('Twenty-Sixth'!K38="", "",'Twenty-Sixth'!K38)</f>
        <v/>
      </c>
      <c r="M6285" s="67">
        <f t="shared" si="299"/>
        <v>7</v>
      </c>
      <c r="N6285" s="76" t="str">
        <f t="shared" si="300"/>
        <v/>
      </c>
      <c r="O6285" s="33">
        <f t="shared" si="301"/>
        <v>7</v>
      </c>
    </row>
    <row r="6286" spans="1:15" x14ac:dyDescent="0.25">
      <c r="A6286" s="64" t="s">
        <v>210</v>
      </c>
      <c r="B6286" s="79" t="str">
        <f>IF('Twenty-Sixth'!B39="", "",'Twenty-Sixth'!B39)</f>
        <v>Sessional Staff</v>
      </c>
      <c r="C6286" s="66" t="str">
        <f>IF('Twenty-Sixth'!C39="", "",'Twenty-Sixth'!C39)</f>
        <v>PwC</v>
      </c>
      <c r="D6286" s="66" t="str">
        <f>IF('Twenty-Sixth'!D39="", "",'Twenty-Sixth'!D39)</f>
        <v>New</v>
      </c>
      <c r="E6286" s="66" t="str">
        <f>IF('Twenty-Sixth'!E39="", "",'Twenty-Sixth'!E39)</f>
        <v>Female</v>
      </c>
      <c r="F6286" s="66" t="str">
        <f>IF('Twenty-Sixth'!F39="", "",'Twenty-Sixth'!F39)</f>
        <v>Not Stated</v>
      </c>
      <c r="G6286" s="66" t="str">
        <f>IF('Twenty-Sixth'!G39="", "",'Twenty-Sixth'!G39)</f>
        <v>Not Stated</v>
      </c>
      <c r="H6286" s="66" t="str">
        <f>IF('Twenty-Sixth'!H39="", "",'Twenty-Sixth'!H39)</f>
        <v>Programme</v>
      </c>
      <c r="I6286" s="66" t="str">
        <f>IF('Twenty-Sixth'!I39="", "",'Twenty-Sixth'!I39)</f>
        <v>Look Good Feel Better</v>
      </c>
      <c r="J6286" s="66" t="str">
        <f>IF('Twenty-Sixth'!J39="", "",'Twenty-Sixth'!J39)</f>
        <v/>
      </c>
      <c r="K6286" s="86" t="str">
        <f>IF('Twenty-Sixth'!K39="", "",'Twenty-Sixth'!K39)</f>
        <v/>
      </c>
      <c r="M6286" s="67">
        <f t="shared" si="299"/>
        <v>7</v>
      </c>
      <c r="N6286" s="76" t="str">
        <f t="shared" si="300"/>
        <v/>
      </c>
      <c r="O6286" s="33">
        <f t="shared" si="301"/>
        <v>7</v>
      </c>
    </row>
    <row r="6287" spans="1:15" x14ac:dyDescent="0.25">
      <c r="A6287" s="64" t="s">
        <v>210</v>
      </c>
      <c r="B6287" s="79" t="str">
        <f>IF('Twenty-Sixth'!B40="", "",'Twenty-Sixth'!B40)</f>
        <v>Sessional Staff</v>
      </c>
      <c r="C6287" s="66" t="str">
        <f>IF('Twenty-Sixth'!C40="", "",'Twenty-Sixth'!C40)</f>
        <v>PwC</v>
      </c>
      <c r="D6287" s="66" t="str">
        <f>IF('Twenty-Sixth'!D40="", "",'Twenty-Sixth'!D40)</f>
        <v>New</v>
      </c>
      <c r="E6287" s="66" t="str">
        <f>IF('Twenty-Sixth'!E40="", "",'Twenty-Sixth'!E40)</f>
        <v>Female</v>
      </c>
      <c r="F6287" s="66" t="str">
        <f>IF('Twenty-Sixth'!F40="", "",'Twenty-Sixth'!F40)</f>
        <v>Not Stated</v>
      </c>
      <c r="G6287" s="66" t="str">
        <f>IF('Twenty-Sixth'!G40="", "",'Twenty-Sixth'!G40)</f>
        <v>Not Stated</v>
      </c>
      <c r="H6287" s="66" t="str">
        <f>IF('Twenty-Sixth'!H40="", "",'Twenty-Sixth'!H40)</f>
        <v>Programme</v>
      </c>
      <c r="I6287" s="66" t="str">
        <f>IF('Twenty-Sixth'!I40="", "",'Twenty-Sixth'!I40)</f>
        <v>Look Good Feel Better</v>
      </c>
      <c r="J6287" s="66" t="str">
        <f>IF('Twenty-Sixth'!J40="", "",'Twenty-Sixth'!J40)</f>
        <v/>
      </c>
      <c r="K6287" s="86" t="str">
        <f>IF('Twenty-Sixth'!K40="", "",'Twenty-Sixth'!K40)</f>
        <v/>
      </c>
      <c r="M6287" s="67">
        <f t="shared" si="299"/>
        <v>7</v>
      </c>
      <c r="N6287" s="76" t="str">
        <f t="shared" si="300"/>
        <v/>
      </c>
      <c r="O6287" s="33">
        <f t="shared" si="301"/>
        <v>7</v>
      </c>
    </row>
    <row r="6288" spans="1:15" x14ac:dyDescent="0.25">
      <c r="A6288" s="64" t="s">
        <v>210</v>
      </c>
      <c r="B6288" s="79" t="str">
        <f>IF('Twenty-Sixth'!B41="", "",'Twenty-Sixth'!B41)</f>
        <v>Sessional Staff</v>
      </c>
      <c r="C6288" s="66" t="str">
        <f>IF('Twenty-Sixth'!C41="", "",'Twenty-Sixth'!C41)</f>
        <v>PwC</v>
      </c>
      <c r="D6288" s="66" t="str">
        <f>IF('Twenty-Sixth'!D41="", "",'Twenty-Sixth'!D41)</f>
        <v>New</v>
      </c>
      <c r="E6288" s="66" t="str">
        <f>IF('Twenty-Sixth'!E41="", "",'Twenty-Sixth'!E41)</f>
        <v>Female</v>
      </c>
      <c r="F6288" s="66" t="str">
        <f>IF('Twenty-Sixth'!F41="", "",'Twenty-Sixth'!F41)</f>
        <v>Not Stated</v>
      </c>
      <c r="G6288" s="66" t="str">
        <f>IF('Twenty-Sixth'!G41="", "",'Twenty-Sixth'!G41)</f>
        <v>Not Stated</v>
      </c>
      <c r="H6288" s="66" t="str">
        <f>IF('Twenty-Sixth'!H41="", "",'Twenty-Sixth'!H41)</f>
        <v>Programme</v>
      </c>
      <c r="I6288" s="66" t="str">
        <f>IF('Twenty-Sixth'!I41="", "",'Twenty-Sixth'!I41)</f>
        <v>Look Good Feel Better</v>
      </c>
      <c r="J6288" s="66" t="str">
        <f>IF('Twenty-Sixth'!J41="", "",'Twenty-Sixth'!J41)</f>
        <v/>
      </c>
      <c r="K6288" s="86" t="str">
        <f>IF('Twenty-Sixth'!K41="", "",'Twenty-Sixth'!K41)</f>
        <v/>
      </c>
      <c r="M6288" s="67">
        <f t="shared" si="299"/>
        <v>7</v>
      </c>
      <c r="N6288" s="76" t="str">
        <f t="shared" si="300"/>
        <v/>
      </c>
      <c r="O6288" s="33">
        <f t="shared" si="301"/>
        <v>7</v>
      </c>
    </row>
    <row r="6289" spans="1:15" x14ac:dyDescent="0.25">
      <c r="A6289" s="64" t="s">
        <v>210</v>
      </c>
      <c r="B6289" s="79" t="str">
        <f>IF('Twenty-Sixth'!B42="", "",'Twenty-Sixth'!B42)</f>
        <v>Sessional Staff</v>
      </c>
      <c r="C6289" s="66" t="str">
        <f>IF('Twenty-Sixth'!C42="", "",'Twenty-Sixth'!C42)</f>
        <v>PwC</v>
      </c>
      <c r="D6289" s="66" t="str">
        <f>IF('Twenty-Sixth'!D42="", "",'Twenty-Sixth'!D42)</f>
        <v>New</v>
      </c>
      <c r="E6289" s="66" t="str">
        <f>IF('Twenty-Sixth'!E42="", "",'Twenty-Sixth'!E42)</f>
        <v>Female</v>
      </c>
      <c r="F6289" s="66" t="str">
        <f>IF('Twenty-Sixth'!F42="", "",'Twenty-Sixth'!F42)</f>
        <v>Not Stated</v>
      </c>
      <c r="G6289" s="66" t="str">
        <f>IF('Twenty-Sixth'!G42="", "",'Twenty-Sixth'!G42)</f>
        <v>Not Stated</v>
      </c>
      <c r="H6289" s="66" t="str">
        <f>IF('Twenty-Sixth'!H42="", "",'Twenty-Sixth'!H42)</f>
        <v>Programme</v>
      </c>
      <c r="I6289" s="66" t="str">
        <f>IF('Twenty-Sixth'!I42="", "",'Twenty-Sixth'!I42)</f>
        <v>Look Good Feel Better</v>
      </c>
      <c r="J6289" s="66" t="str">
        <f>IF('Twenty-Sixth'!J42="", "",'Twenty-Sixth'!J42)</f>
        <v/>
      </c>
      <c r="K6289" s="86" t="str">
        <f>IF('Twenty-Sixth'!K42="", "",'Twenty-Sixth'!K42)</f>
        <v/>
      </c>
      <c r="M6289" s="67">
        <f t="shared" si="299"/>
        <v>7</v>
      </c>
      <c r="N6289" s="76" t="str">
        <f t="shared" si="300"/>
        <v/>
      </c>
      <c r="O6289" s="33">
        <f t="shared" si="301"/>
        <v>7</v>
      </c>
    </row>
    <row r="6290" spans="1:15" x14ac:dyDescent="0.25">
      <c r="A6290" s="64" t="s">
        <v>210</v>
      </c>
      <c r="B6290" s="79" t="str">
        <f>IF('Twenty-Sixth'!B43="", "",'Twenty-Sixth'!B43)</f>
        <v>CSS</v>
      </c>
      <c r="C6290" s="66" t="str">
        <f>IF('Twenty-Sixth'!C43="", "",'Twenty-Sixth'!C43)</f>
        <v>Carer</v>
      </c>
      <c r="D6290" s="66" t="str">
        <f>IF('Twenty-Sixth'!D43="", "",'Twenty-Sixth'!D43)</f>
        <v>Returning</v>
      </c>
      <c r="E6290" s="66" t="str">
        <f>IF('Twenty-Sixth'!E43="", "",'Twenty-Sixth'!E43)</f>
        <v>Male</v>
      </c>
      <c r="F6290" s="66" t="str">
        <f>IF('Twenty-Sixth'!F43="", "",'Twenty-Sixth'!F43)</f>
        <v>Breast</v>
      </c>
      <c r="G6290" s="66" t="str">
        <f>IF('Twenty-Sixth'!G43="", "",'Twenty-Sixth'!G43)</f>
        <v>Non-Curative Intent</v>
      </c>
      <c r="H6290" s="66" t="str">
        <f>IF('Twenty-Sixth'!H43="", "",'Twenty-Sixth'!H43)</f>
        <v>Drop-In</v>
      </c>
      <c r="I6290" s="66" t="str">
        <f>IF('Twenty-Sixth'!I43="", "",'Twenty-Sixth'!I43)</f>
        <v/>
      </c>
      <c r="J6290" s="66" t="str">
        <f>IF('Twenty-Sixth'!J43="", "",'Twenty-Sixth'!J43)</f>
        <v/>
      </c>
      <c r="K6290" s="86" t="str">
        <f>IF('Twenty-Sixth'!K43="", "",'Twenty-Sixth'!K43)</f>
        <v/>
      </c>
      <c r="M6290" s="67" t="str">
        <f t="shared" si="299"/>
        <v/>
      </c>
      <c r="N6290" s="76">
        <f t="shared" si="300"/>
        <v>7</v>
      </c>
      <c r="O6290" s="33">
        <f t="shared" si="301"/>
        <v>7</v>
      </c>
    </row>
    <row r="6291" spans="1:15" x14ac:dyDescent="0.25">
      <c r="A6291" s="64" t="s">
        <v>210</v>
      </c>
      <c r="B6291" s="79" t="str">
        <f>IF('Twenty-Sixth'!B44="", "",'Twenty-Sixth'!B44)</f>
        <v>CSS</v>
      </c>
      <c r="C6291" s="66" t="str">
        <f>IF('Twenty-Sixth'!C44="", "",'Twenty-Sixth'!C44)</f>
        <v>PwC</v>
      </c>
      <c r="D6291" s="66" t="str">
        <f>IF('Twenty-Sixth'!D44="", "",'Twenty-Sixth'!D44)</f>
        <v>Returning</v>
      </c>
      <c r="E6291" s="66" t="str">
        <f>IF('Twenty-Sixth'!E44="", "",'Twenty-Sixth'!E44)</f>
        <v>Female</v>
      </c>
      <c r="F6291" s="66" t="str">
        <f>IF('Twenty-Sixth'!F44="", "",'Twenty-Sixth'!F44)</f>
        <v>Brain/CNS</v>
      </c>
      <c r="G6291" s="66" t="str">
        <f>IF('Twenty-Sixth'!G44="", "",'Twenty-Sixth'!G44)</f>
        <v>Non-Curative Intent</v>
      </c>
      <c r="H6291" s="66" t="str">
        <f>IF('Twenty-Sixth'!H44="", "",'Twenty-Sixth'!H44)</f>
        <v>Booked</v>
      </c>
      <c r="I6291" s="66" t="str">
        <f>IF('Twenty-Sixth'!I44="", "",'Twenty-Sixth'!I44)</f>
        <v>Psych Support - Individual</v>
      </c>
      <c r="J6291" s="66" t="str">
        <f>IF('Twenty-Sixth'!J44="", "",'Twenty-Sixth'!J44)</f>
        <v/>
      </c>
      <c r="K6291" s="86" t="str">
        <f>IF('Twenty-Sixth'!K44="", "",'Twenty-Sixth'!K44)</f>
        <v/>
      </c>
      <c r="M6291" s="67">
        <f t="shared" si="299"/>
        <v>7</v>
      </c>
      <c r="N6291" s="76" t="str">
        <f t="shared" si="300"/>
        <v/>
      </c>
      <c r="O6291" s="33">
        <f t="shared" si="301"/>
        <v>7</v>
      </c>
    </row>
    <row r="6292" spans="1:15" x14ac:dyDescent="0.25">
      <c r="A6292" s="64" t="s">
        <v>210</v>
      </c>
      <c r="B6292" s="79" t="str">
        <f>IF('Twenty-Sixth'!B45="", "",'Twenty-Sixth'!B45)</f>
        <v>CSS</v>
      </c>
      <c r="C6292" s="66" t="str">
        <f>IF('Twenty-Sixth'!C45="", "",'Twenty-Sixth'!C45)</f>
        <v>PwC</v>
      </c>
      <c r="D6292" s="66" t="str">
        <f>IF('Twenty-Sixth'!D45="", "",'Twenty-Sixth'!D45)</f>
        <v>Returning</v>
      </c>
      <c r="E6292" s="66" t="str">
        <f>IF('Twenty-Sixth'!E45="", "",'Twenty-Sixth'!E45)</f>
        <v>Female</v>
      </c>
      <c r="F6292" s="66" t="str">
        <f>IF('Twenty-Sixth'!F45="", "",'Twenty-Sixth'!F45)</f>
        <v>Breast</v>
      </c>
      <c r="G6292" s="66" t="str">
        <f>IF('Twenty-Sixth'!G45="", "",'Twenty-Sixth'!G45)</f>
        <v>Post Treatment - Curative Intent</v>
      </c>
      <c r="H6292" s="66" t="str">
        <f>IF('Twenty-Sixth'!H45="", "",'Twenty-Sixth'!H45)</f>
        <v>Booked</v>
      </c>
      <c r="I6292" s="66" t="str">
        <f>IF('Twenty-Sixth'!I45="", "",'Twenty-Sixth'!I45)</f>
        <v>Psych Support - Individual</v>
      </c>
      <c r="J6292" s="66" t="str">
        <f>IF('Twenty-Sixth'!J45="", "",'Twenty-Sixth'!J45)</f>
        <v/>
      </c>
      <c r="K6292" s="86" t="str">
        <f>IF('Twenty-Sixth'!K45="", "",'Twenty-Sixth'!K45)</f>
        <v/>
      </c>
      <c r="M6292" s="67">
        <f t="shared" si="299"/>
        <v>7</v>
      </c>
      <c r="N6292" s="76" t="str">
        <f t="shared" si="300"/>
        <v/>
      </c>
      <c r="O6292" s="33">
        <f t="shared" si="301"/>
        <v>7</v>
      </c>
    </row>
    <row r="6293" spans="1:15" x14ac:dyDescent="0.25">
      <c r="A6293" s="64" t="s">
        <v>210</v>
      </c>
      <c r="B6293" s="79" t="str">
        <f>IF('Twenty-Sixth'!B46="", "",'Twenty-Sixth'!B46)</f>
        <v>CSS</v>
      </c>
      <c r="C6293" s="66" t="str">
        <f>IF('Twenty-Sixth'!C46="", "",'Twenty-Sixth'!C46)</f>
        <v>PwC</v>
      </c>
      <c r="D6293" s="66" t="str">
        <f>IF('Twenty-Sixth'!D46="", "",'Twenty-Sixth'!D46)</f>
        <v>Returning</v>
      </c>
      <c r="E6293" s="66" t="str">
        <f>IF('Twenty-Sixth'!E46="", "",'Twenty-Sixth'!E46)</f>
        <v>Female</v>
      </c>
      <c r="F6293" s="66" t="str">
        <f>IF('Twenty-Sixth'!F46="", "",'Twenty-Sixth'!F46)</f>
        <v>Breast</v>
      </c>
      <c r="G6293" s="66" t="str">
        <f>IF('Twenty-Sixth'!G46="", "",'Twenty-Sixth'!G46)</f>
        <v>Post Treatment - Curative Intent</v>
      </c>
      <c r="H6293" s="66" t="str">
        <f>IF('Twenty-Sixth'!H46="", "",'Twenty-Sixth'!H46)</f>
        <v>Booked</v>
      </c>
      <c r="I6293" s="66" t="str">
        <f>IF('Twenty-Sixth'!I46="", "",'Twenty-Sixth'!I46)</f>
        <v>Psych Support - Individual</v>
      </c>
      <c r="J6293" s="66" t="str">
        <f>IF('Twenty-Sixth'!J46="", "",'Twenty-Sixth'!J46)</f>
        <v/>
      </c>
      <c r="K6293" s="86" t="str">
        <f>IF('Twenty-Sixth'!K46="", "",'Twenty-Sixth'!K46)</f>
        <v/>
      </c>
      <c r="M6293" s="67">
        <f t="shared" si="299"/>
        <v>7</v>
      </c>
      <c r="N6293" s="76" t="str">
        <f t="shared" si="300"/>
        <v/>
      </c>
      <c r="O6293" s="33">
        <f t="shared" si="301"/>
        <v>7</v>
      </c>
    </row>
    <row r="6294" spans="1:15" x14ac:dyDescent="0.25">
      <c r="A6294" s="64" t="s">
        <v>210</v>
      </c>
      <c r="B6294" s="79" t="str">
        <f>IF('Twenty-Sixth'!B47="", "",'Twenty-Sixth'!B47)</f>
        <v>CSS</v>
      </c>
      <c r="C6294" s="66" t="str">
        <f>IF('Twenty-Sixth'!C47="", "",'Twenty-Sixth'!C47)</f>
        <v>Carer</v>
      </c>
      <c r="D6294" s="66" t="str">
        <f>IF('Twenty-Sixth'!D47="", "",'Twenty-Sixth'!D47)</f>
        <v>Returning</v>
      </c>
      <c r="E6294" s="66" t="str">
        <f>IF('Twenty-Sixth'!E47="", "",'Twenty-Sixth'!E47)</f>
        <v>Female</v>
      </c>
      <c r="F6294" s="66" t="str">
        <f>IF('Twenty-Sixth'!F47="", "",'Twenty-Sixth'!F47)</f>
        <v>Urolog</v>
      </c>
      <c r="G6294" s="66" t="str">
        <f>IF('Twenty-Sixth'!G47="", "",'Twenty-Sixth'!G47)</f>
        <v>Bereaved</v>
      </c>
      <c r="H6294" s="66" t="str">
        <f>IF('Twenty-Sixth'!H47="", "",'Twenty-Sixth'!H47)</f>
        <v>Booked</v>
      </c>
      <c r="I6294" s="66" t="str">
        <f>IF('Twenty-Sixth'!I47="", "",'Twenty-Sixth'!I47)</f>
        <v>Psych Support - Individual</v>
      </c>
      <c r="J6294" s="66" t="str">
        <f>IF('Twenty-Sixth'!J47="", "",'Twenty-Sixth'!J47)</f>
        <v/>
      </c>
      <c r="K6294" s="86" t="str">
        <f>IF('Twenty-Sixth'!K47="", "",'Twenty-Sixth'!K47)</f>
        <v/>
      </c>
      <c r="M6294" s="67" t="str">
        <f t="shared" si="299"/>
        <v/>
      </c>
      <c r="N6294" s="76">
        <f t="shared" si="300"/>
        <v>7</v>
      </c>
      <c r="O6294" s="33">
        <f t="shared" si="301"/>
        <v>7</v>
      </c>
    </row>
    <row r="6295" spans="1:15" x14ac:dyDescent="0.25">
      <c r="A6295" s="64" t="s">
        <v>210</v>
      </c>
      <c r="B6295" s="79" t="str">
        <f>IF('Twenty-Sixth'!B48="", "",'Twenty-Sixth'!B48)</f>
        <v>CSS</v>
      </c>
      <c r="C6295" s="66" t="str">
        <f>IF('Twenty-Sixth'!C48="", "",'Twenty-Sixth'!C48)</f>
        <v>Carer</v>
      </c>
      <c r="D6295" s="66" t="str">
        <f>IF('Twenty-Sixth'!D48="", "",'Twenty-Sixth'!D48)</f>
        <v>Returning</v>
      </c>
      <c r="E6295" s="66" t="str">
        <f>IF('Twenty-Sixth'!E48="", "",'Twenty-Sixth'!E48)</f>
        <v>Male</v>
      </c>
      <c r="F6295" s="66" t="str">
        <f>IF('Twenty-Sixth'!F48="", "",'Twenty-Sixth'!F48)</f>
        <v>Breast</v>
      </c>
      <c r="G6295" s="66" t="str">
        <f>IF('Twenty-Sixth'!G48="", "",'Twenty-Sixth'!G48)</f>
        <v>Curative Intent</v>
      </c>
      <c r="H6295" s="66" t="str">
        <f>IF('Twenty-Sixth'!H48="", "",'Twenty-Sixth'!H48)</f>
        <v>Drop-In</v>
      </c>
      <c r="I6295" s="66" t="str">
        <f>IF('Twenty-Sixth'!I48="", "",'Twenty-Sixth'!I48)</f>
        <v/>
      </c>
      <c r="J6295" s="66" t="str">
        <f>IF('Twenty-Sixth'!J48="", "",'Twenty-Sixth'!J48)</f>
        <v/>
      </c>
      <c r="K6295" s="86" t="str">
        <f>IF('Twenty-Sixth'!K48="", "",'Twenty-Sixth'!K48)</f>
        <v/>
      </c>
      <c r="M6295" s="67" t="str">
        <f t="shared" si="299"/>
        <v/>
      </c>
      <c r="N6295" s="76">
        <f t="shared" si="300"/>
        <v>7</v>
      </c>
      <c r="O6295" s="33">
        <f t="shared" si="301"/>
        <v>7</v>
      </c>
    </row>
    <row r="6296" spans="1:15" x14ac:dyDescent="0.25">
      <c r="A6296" s="64" t="s">
        <v>210</v>
      </c>
      <c r="B6296" s="79" t="str">
        <f>IF('Twenty-Sixth'!B49="", "",'Twenty-Sixth'!B49)</f>
        <v>CSS</v>
      </c>
      <c r="C6296" s="66" t="str">
        <f>IF('Twenty-Sixth'!C49="", "",'Twenty-Sixth'!C49)</f>
        <v>PwC</v>
      </c>
      <c r="D6296" s="66" t="str">
        <f>IF('Twenty-Sixth'!D49="", "",'Twenty-Sixth'!D49)</f>
        <v>Returning</v>
      </c>
      <c r="E6296" s="66" t="str">
        <f>IF('Twenty-Sixth'!E49="", "",'Twenty-Sixth'!E49)</f>
        <v>Female</v>
      </c>
      <c r="F6296" s="66" t="str">
        <f>IF('Twenty-Sixth'!F49="", "",'Twenty-Sixth'!F49)</f>
        <v>Breast</v>
      </c>
      <c r="G6296" s="66" t="str">
        <f>IF('Twenty-Sixth'!G49="", "",'Twenty-Sixth'!G49)</f>
        <v>Post Treatment - Curative Intent</v>
      </c>
      <c r="H6296" s="66" t="str">
        <f>IF('Twenty-Sixth'!H49="", "",'Twenty-Sixth'!H49)</f>
        <v>Drop-In</v>
      </c>
      <c r="I6296" s="66" t="str">
        <f>IF('Twenty-Sixth'!I49="", "",'Twenty-Sixth'!I49)</f>
        <v/>
      </c>
      <c r="J6296" s="66" t="str">
        <f>IF('Twenty-Sixth'!J49="", "",'Twenty-Sixth'!J49)</f>
        <v/>
      </c>
      <c r="K6296" s="86" t="str">
        <f>IF('Twenty-Sixth'!K49="", "",'Twenty-Sixth'!K49)</f>
        <v/>
      </c>
      <c r="M6296" s="67">
        <f t="shared" si="299"/>
        <v>7</v>
      </c>
      <c r="N6296" s="76" t="str">
        <f t="shared" si="300"/>
        <v/>
      </c>
      <c r="O6296" s="33">
        <f t="shared" si="301"/>
        <v>7</v>
      </c>
    </row>
    <row r="6297" spans="1:15" x14ac:dyDescent="0.25">
      <c r="A6297" s="64" t="s">
        <v>210</v>
      </c>
      <c r="B6297" s="79" t="str">
        <f>IF('Twenty-Sixth'!B50="", "",'Twenty-Sixth'!B50)</f>
        <v>CSS</v>
      </c>
      <c r="C6297" s="66" t="str">
        <f>IF('Twenty-Sixth'!C50="", "",'Twenty-Sixth'!C50)</f>
        <v>PwC</v>
      </c>
      <c r="D6297" s="66" t="str">
        <f>IF('Twenty-Sixth'!D50="", "",'Twenty-Sixth'!D50)</f>
        <v>New</v>
      </c>
      <c r="E6297" s="66" t="str">
        <f>IF('Twenty-Sixth'!E50="", "",'Twenty-Sixth'!E50)</f>
        <v>Female</v>
      </c>
      <c r="F6297" s="66" t="str">
        <f>IF('Twenty-Sixth'!F50="", "",'Twenty-Sixth'!F50)</f>
        <v>Breast</v>
      </c>
      <c r="G6297" s="66" t="str">
        <f>IF('Twenty-Sixth'!G50="", "",'Twenty-Sixth'!G50)</f>
        <v>Curative Intent</v>
      </c>
      <c r="H6297" s="66" t="str">
        <f>IF('Twenty-Sixth'!H50="", "",'Twenty-Sixth'!H50)</f>
        <v>Drop-In</v>
      </c>
      <c r="I6297" s="66" t="str">
        <f>IF('Twenty-Sixth'!I50="", "",'Twenty-Sixth'!I50)</f>
        <v/>
      </c>
      <c r="J6297" s="66" t="str">
        <f>IF('Twenty-Sixth'!J50="", "",'Twenty-Sixth'!J50)</f>
        <v/>
      </c>
      <c r="K6297" s="86" t="str">
        <f>IF('Twenty-Sixth'!K50="", "",'Twenty-Sixth'!K50)</f>
        <v/>
      </c>
      <c r="M6297" s="67">
        <f t="shared" si="299"/>
        <v>7</v>
      </c>
      <c r="N6297" s="76" t="str">
        <f t="shared" si="300"/>
        <v/>
      </c>
      <c r="O6297" s="33">
        <f t="shared" si="301"/>
        <v>7</v>
      </c>
    </row>
    <row r="6298" spans="1:15" x14ac:dyDescent="0.25">
      <c r="A6298" s="64" t="s">
        <v>210</v>
      </c>
      <c r="B6298" s="79" t="str">
        <f>IF('Twenty-Sixth'!B51="", "",'Twenty-Sixth'!B51)</f>
        <v>CSS</v>
      </c>
      <c r="C6298" s="66" t="str">
        <f>IF('Twenty-Sixth'!C51="", "",'Twenty-Sixth'!C51)</f>
        <v>Carer</v>
      </c>
      <c r="D6298" s="66" t="str">
        <f>IF('Twenty-Sixth'!D51="", "",'Twenty-Sixth'!D51)</f>
        <v>New</v>
      </c>
      <c r="E6298" s="66" t="str">
        <f>IF('Twenty-Sixth'!E51="", "",'Twenty-Sixth'!E51)</f>
        <v>Male</v>
      </c>
      <c r="F6298" s="66" t="str">
        <f>IF('Twenty-Sixth'!F51="", "",'Twenty-Sixth'!F51)</f>
        <v>Breast</v>
      </c>
      <c r="G6298" s="66" t="str">
        <f>IF('Twenty-Sixth'!G51="", "",'Twenty-Sixth'!G51)</f>
        <v>Curative Intent</v>
      </c>
      <c r="H6298" s="66" t="str">
        <f>IF('Twenty-Sixth'!H51="", "",'Twenty-Sixth'!H51)</f>
        <v>Drop-In</v>
      </c>
      <c r="I6298" s="66" t="str">
        <f>IF('Twenty-Sixth'!I51="", "",'Twenty-Sixth'!I51)</f>
        <v/>
      </c>
      <c r="J6298" s="66" t="str">
        <f>IF('Twenty-Sixth'!J51="", "",'Twenty-Sixth'!J51)</f>
        <v/>
      </c>
      <c r="K6298" s="86" t="str">
        <f>IF('Twenty-Sixth'!K51="", "",'Twenty-Sixth'!K51)</f>
        <v/>
      </c>
      <c r="M6298" s="67" t="str">
        <f t="shared" si="299"/>
        <v/>
      </c>
      <c r="N6298" s="76">
        <f t="shared" si="300"/>
        <v>7</v>
      </c>
      <c r="O6298" s="33">
        <f t="shared" si="301"/>
        <v>7</v>
      </c>
    </row>
    <row r="6299" spans="1:15" x14ac:dyDescent="0.25">
      <c r="A6299" s="64" t="s">
        <v>210</v>
      </c>
      <c r="B6299" s="79" t="str">
        <f>IF('Twenty-Sixth'!B52="", "",'Twenty-Sixth'!B52)</f>
        <v>CSS</v>
      </c>
      <c r="C6299" s="66" t="str">
        <f>IF('Twenty-Sixth'!C52="", "",'Twenty-Sixth'!C52)</f>
        <v>PwC</v>
      </c>
      <c r="D6299" s="66" t="str">
        <f>IF('Twenty-Sixth'!D52="", "",'Twenty-Sixth'!D52)</f>
        <v>Returning</v>
      </c>
      <c r="E6299" s="66" t="str">
        <f>IF('Twenty-Sixth'!E52="", "",'Twenty-Sixth'!E52)</f>
        <v>Male</v>
      </c>
      <c r="F6299" s="66" t="str">
        <f>IF('Twenty-Sixth'!F52="", "",'Twenty-Sixth'!F52)</f>
        <v>Urolog</v>
      </c>
      <c r="G6299" s="66" t="str">
        <f>IF('Twenty-Sixth'!G52="", "",'Twenty-Sixth'!G52)</f>
        <v>Curative Intent</v>
      </c>
      <c r="H6299" s="66" t="str">
        <f>IF('Twenty-Sixth'!H52="", "",'Twenty-Sixth'!H52)</f>
        <v>Drop-In</v>
      </c>
      <c r="I6299" s="66" t="str">
        <f>IF('Twenty-Sixth'!I52="", "",'Twenty-Sixth'!I52)</f>
        <v/>
      </c>
      <c r="J6299" s="66" t="str">
        <f>IF('Twenty-Sixth'!J52="", "",'Twenty-Sixth'!J52)</f>
        <v/>
      </c>
      <c r="K6299" s="86" t="str">
        <f>IF('Twenty-Sixth'!K52="", "",'Twenty-Sixth'!K52)</f>
        <v/>
      </c>
      <c r="M6299" s="67">
        <f t="shared" si="299"/>
        <v>7</v>
      </c>
      <c r="N6299" s="76" t="str">
        <f t="shared" si="300"/>
        <v/>
      </c>
      <c r="O6299" s="33">
        <f t="shared" si="301"/>
        <v>7</v>
      </c>
    </row>
    <row r="6300" spans="1:15" x14ac:dyDescent="0.25">
      <c r="A6300" s="64" t="s">
        <v>210</v>
      </c>
      <c r="B6300" s="79" t="str">
        <f>IF('Twenty-Sixth'!B53="", "",'Twenty-Sixth'!B53)</f>
        <v>Benefits Advisor</v>
      </c>
      <c r="C6300" s="66" t="str">
        <f>IF('Twenty-Sixth'!C53="", "",'Twenty-Sixth'!C53)</f>
        <v>Carer</v>
      </c>
      <c r="D6300" s="66" t="str">
        <f>IF('Twenty-Sixth'!D53="", "",'Twenty-Sixth'!D53)</f>
        <v>Returning</v>
      </c>
      <c r="E6300" s="66" t="str">
        <f>IF('Twenty-Sixth'!E53="", "",'Twenty-Sixth'!E53)</f>
        <v>Female</v>
      </c>
      <c r="F6300" s="66" t="str">
        <f>IF('Twenty-Sixth'!F53="", "",'Twenty-Sixth'!F53)</f>
        <v>Prostate</v>
      </c>
      <c r="G6300" s="66" t="str">
        <f>IF('Twenty-Sixth'!G53="", "",'Twenty-Sixth'!G53)</f>
        <v>Non-Curative Intent</v>
      </c>
      <c r="H6300" s="66" t="str">
        <f>IF('Twenty-Sixth'!H53="", "",'Twenty-Sixth'!H53)</f>
        <v>Telephone Support</v>
      </c>
      <c r="I6300" s="66" t="str">
        <f>IF('Twenty-Sixth'!I53="", "",'Twenty-Sixth'!I53)</f>
        <v>Benefits - Individual</v>
      </c>
      <c r="J6300" s="66" t="str">
        <f>IF('Twenty-Sixth'!J53="", "",'Twenty-Sixth'!J53)</f>
        <v/>
      </c>
      <c r="K6300" s="86" t="str">
        <f>IF('Twenty-Sixth'!K53="", "",'Twenty-Sixth'!K53)</f>
        <v/>
      </c>
      <c r="M6300" s="67" t="str">
        <f t="shared" si="299"/>
        <v/>
      </c>
      <c r="N6300" s="76">
        <f t="shared" si="300"/>
        <v>7</v>
      </c>
      <c r="O6300" s="33">
        <f t="shared" si="301"/>
        <v>7</v>
      </c>
    </row>
    <row r="6301" spans="1:15" x14ac:dyDescent="0.25">
      <c r="A6301" s="64" t="s">
        <v>210</v>
      </c>
      <c r="B6301" s="79" t="str">
        <f>IF('Twenty-Sixth'!B54="", "",'Twenty-Sixth'!B54)</f>
        <v>Centre Head</v>
      </c>
      <c r="C6301" s="66" t="str">
        <f>IF('Twenty-Sixth'!C54="", "",'Twenty-Sixth'!C54)</f>
        <v>PwC</v>
      </c>
      <c r="D6301" s="66" t="str">
        <f>IF('Twenty-Sixth'!D54="", "",'Twenty-Sixth'!D54)</f>
        <v>Returning</v>
      </c>
      <c r="E6301" s="66" t="str">
        <f>IF('Twenty-Sixth'!E54="", "",'Twenty-Sixth'!E54)</f>
        <v>Female</v>
      </c>
      <c r="F6301" s="66" t="str">
        <f>IF('Twenty-Sixth'!F54="", "",'Twenty-Sixth'!F54)</f>
        <v>Breast</v>
      </c>
      <c r="G6301" s="66" t="str">
        <f>IF('Twenty-Sixth'!G54="", "",'Twenty-Sixth'!G54)</f>
        <v>Curative Intent</v>
      </c>
      <c r="H6301" s="66" t="str">
        <f>IF('Twenty-Sixth'!H54="", "",'Twenty-Sixth'!H54)</f>
        <v>Drop-In</v>
      </c>
      <c r="I6301" s="66" t="str">
        <f>IF('Twenty-Sixth'!I54="", "",'Twenty-Sixth'!I54)</f>
        <v/>
      </c>
      <c r="J6301" s="66" t="str">
        <f>IF('Twenty-Sixth'!J54="", "",'Twenty-Sixth'!J54)</f>
        <v/>
      </c>
      <c r="K6301" s="86" t="str">
        <f>IF('Twenty-Sixth'!K54="", "",'Twenty-Sixth'!K54)</f>
        <v/>
      </c>
      <c r="M6301" s="67">
        <f t="shared" si="299"/>
        <v>7</v>
      </c>
      <c r="N6301" s="76" t="str">
        <f t="shared" si="300"/>
        <v/>
      </c>
      <c r="O6301" s="33">
        <f t="shared" si="301"/>
        <v>7</v>
      </c>
    </row>
    <row r="6302" spans="1:15" x14ac:dyDescent="0.25">
      <c r="A6302" s="64" t="s">
        <v>210</v>
      </c>
      <c r="B6302" s="79" t="str">
        <f>IF('Twenty-Sixth'!B55="", "",'Twenty-Sixth'!B55)</f>
        <v>Centre Head</v>
      </c>
      <c r="C6302" s="66" t="str">
        <f>IF('Twenty-Sixth'!C55="", "",'Twenty-Sixth'!C55)</f>
        <v>Carer</v>
      </c>
      <c r="D6302" s="66" t="str">
        <f>IF('Twenty-Sixth'!D55="", "",'Twenty-Sixth'!D55)</f>
        <v>Returning</v>
      </c>
      <c r="E6302" s="66" t="str">
        <f>IF('Twenty-Sixth'!E55="", "",'Twenty-Sixth'!E55)</f>
        <v>Male</v>
      </c>
      <c r="F6302" s="66" t="str">
        <f>IF('Twenty-Sixth'!F55="", "",'Twenty-Sixth'!F55)</f>
        <v>Breast</v>
      </c>
      <c r="G6302" s="66" t="str">
        <f>IF('Twenty-Sixth'!G55="", "",'Twenty-Sixth'!G55)</f>
        <v>Curative Intent</v>
      </c>
      <c r="H6302" s="66" t="str">
        <f>IF('Twenty-Sixth'!H55="", "",'Twenty-Sixth'!H55)</f>
        <v>Drop-In</v>
      </c>
      <c r="I6302" s="66" t="str">
        <f>IF('Twenty-Sixth'!I55="", "",'Twenty-Sixth'!I55)</f>
        <v/>
      </c>
      <c r="J6302" s="66" t="str">
        <f>IF('Twenty-Sixth'!J55="", "",'Twenty-Sixth'!J55)</f>
        <v/>
      </c>
      <c r="K6302" s="86" t="str">
        <f>IF('Twenty-Sixth'!K55="", "",'Twenty-Sixth'!K55)</f>
        <v/>
      </c>
      <c r="M6302" s="67" t="str">
        <f t="shared" si="299"/>
        <v/>
      </c>
      <c r="N6302" s="76">
        <f t="shared" si="300"/>
        <v>7</v>
      </c>
      <c r="O6302" s="33">
        <f t="shared" si="301"/>
        <v>7</v>
      </c>
    </row>
    <row r="6303" spans="1:15" x14ac:dyDescent="0.25">
      <c r="A6303" s="64" t="s">
        <v>210</v>
      </c>
      <c r="B6303" s="79" t="str">
        <f>IF('Twenty-Sixth'!B56="", "",'Twenty-Sixth'!B56)</f>
        <v>Sessional Staff</v>
      </c>
      <c r="C6303" s="66" t="str">
        <f>IF('Twenty-Sixth'!C56="", "",'Twenty-Sixth'!C56)</f>
        <v>PwC</v>
      </c>
      <c r="D6303" s="66" t="str">
        <f>IF('Twenty-Sixth'!D56="", "",'Twenty-Sixth'!D56)</f>
        <v>Returning</v>
      </c>
      <c r="E6303" s="66" t="str">
        <f>IF('Twenty-Sixth'!E56="", "",'Twenty-Sixth'!E56)</f>
        <v>Male</v>
      </c>
      <c r="F6303" s="66" t="str">
        <f>IF('Twenty-Sixth'!F56="", "",'Twenty-Sixth'!F56)</f>
        <v>Not Stated</v>
      </c>
      <c r="G6303" s="66" t="str">
        <f>IF('Twenty-Sixth'!G56="", "",'Twenty-Sixth'!G56)</f>
        <v>Not Stated</v>
      </c>
      <c r="H6303" s="66" t="str">
        <f>IF('Twenty-Sixth'!H56="", "",'Twenty-Sixth'!H56)</f>
        <v>Programme</v>
      </c>
      <c r="I6303" s="66" t="str">
        <f>IF('Twenty-Sixth'!I56="", "",'Twenty-Sixth'!I56)</f>
        <v>Nordic Walking</v>
      </c>
      <c r="J6303" s="66" t="str">
        <f>IF('Twenty-Sixth'!J56="", "",'Twenty-Sixth'!J56)</f>
        <v/>
      </c>
      <c r="K6303" s="86" t="str">
        <f>IF('Twenty-Sixth'!K56="", "",'Twenty-Sixth'!K56)</f>
        <v/>
      </c>
      <c r="M6303" s="67">
        <f t="shared" si="299"/>
        <v>7</v>
      </c>
      <c r="N6303" s="76" t="str">
        <f t="shared" si="300"/>
        <v/>
      </c>
      <c r="O6303" s="33">
        <f t="shared" si="301"/>
        <v>7</v>
      </c>
    </row>
    <row r="6304" spans="1:15" x14ac:dyDescent="0.25">
      <c r="A6304" s="64" t="s">
        <v>210</v>
      </c>
      <c r="B6304" s="79" t="str">
        <f>IF('Twenty-Sixth'!B57="", "",'Twenty-Sixth'!B57)</f>
        <v>Sessional Staff</v>
      </c>
      <c r="C6304" s="66" t="str">
        <f>IF('Twenty-Sixth'!C57="", "",'Twenty-Sixth'!C57)</f>
        <v>PwC</v>
      </c>
      <c r="D6304" s="66" t="str">
        <f>IF('Twenty-Sixth'!D57="", "",'Twenty-Sixth'!D57)</f>
        <v>Returning</v>
      </c>
      <c r="E6304" s="66" t="str">
        <f>IF('Twenty-Sixth'!E57="", "",'Twenty-Sixth'!E57)</f>
        <v>Male</v>
      </c>
      <c r="F6304" s="66" t="str">
        <f>IF('Twenty-Sixth'!F57="", "",'Twenty-Sixth'!F57)</f>
        <v>Not Stated</v>
      </c>
      <c r="G6304" s="66" t="str">
        <f>IF('Twenty-Sixth'!G57="", "",'Twenty-Sixth'!G57)</f>
        <v>Not Stated</v>
      </c>
      <c r="H6304" s="66" t="str">
        <f>IF('Twenty-Sixth'!H57="", "",'Twenty-Sixth'!H57)</f>
        <v>Programme</v>
      </c>
      <c r="I6304" s="66" t="str">
        <f>IF('Twenty-Sixth'!I57="", "",'Twenty-Sixth'!I57)</f>
        <v>Nordic Walking</v>
      </c>
      <c r="J6304" s="66" t="str">
        <f>IF('Twenty-Sixth'!J57="", "",'Twenty-Sixth'!J57)</f>
        <v/>
      </c>
      <c r="K6304" s="86" t="str">
        <f>IF('Twenty-Sixth'!K57="", "",'Twenty-Sixth'!K57)</f>
        <v/>
      </c>
      <c r="M6304" s="67">
        <f t="shared" si="299"/>
        <v>7</v>
      </c>
      <c r="N6304" s="76" t="str">
        <f t="shared" si="300"/>
        <v/>
      </c>
      <c r="O6304" s="33">
        <f t="shared" si="301"/>
        <v>7</v>
      </c>
    </row>
    <row r="6305" spans="1:15" x14ac:dyDescent="0.25">
      <c r="A6305" s="64" t="s">
        <v>210</v>
      </c>
      <c r="B6305" s="79" t="str">
        <f>IF('Twenty-Sixth'!B58="", "",'Twenty-Sixth'!B58)</f>
        <v>Sessional Staff</v>
      </c>
      <c r="C6305" s="66" t="str">
        <f>IF('Twenty-Sixth'!C58="", "",'Twenty-Sixth'!C58)</f>
        <v>PwC</v>
      </c>
      <c r="D6305" s="66" t="str">
        <f>IF('Twenty-Sixth'!D58="", "",'Twenty-Sixth'!D58)</f>
        <v>Returning</v>
      </c>
      <c r="E6305" s="66" t="str">
        <f>IF('Twenty-Sixth'!E58="", "",'Twenty-Sixth'!E58)</f>
        <v>Male</v>
      </c>
      <c r="F6305" s="66" t="str">
        <f>IF('Twenty-Sixth'!F58="", "",'Twenty-Sixth'!F58)</f>
        <v>Not Stated</v>
      </c>
      <c r="G6305" s="66" t="str">
        <f>IF('Twenty-Sixth'!G58="", "",'Twenty-Sixth'!G58)</f>
        <v>Not Stated</v>
      </c>
      <c r="H6305" s="66" t="str">
        <f>IF('Twenty-Sixth'!H58="", "",'Twenty-Sixth'!H58)</f>
        <v>Programme</v>
      </c>
      <c r="I6305" s="66" t="str">
        <f>IF('Twenty-Sixth'!I58="", "",'Twenty-Sixth'!I58)</f>
        <v>Nordic Walking</v>
      </c>
      <c r="J6305" s="66" t="str">
        <f>IF('Twenty-Sixth'!J58="", "",'Twenty-Sixth'!J58)</f>
        <v/>
      </c>
      <c r="K6305" s="86" t="str">
        <f>IF('Twenty-Sixth'!K58="", "",'Twenty-Sixth'!K58)</f>
        <v/>
      </c>
      <c r="M6305" s="67">
        <f t="shared" si="299"/>
        <v>7</v>
      </c>
      <c r="N6305" s="76" t="str">
        <f t="shared" si="300"/>
        <v/>
      </c>
      <c r="O6305" s="33">
        <f t="shared" si="301"/>
        <v>7</v>
      </c>
    </row>
    <row r="6306" spans="1:15" x14ac:dyDescent="0.25">
      <c r="A6306" s="64" t="s">
        <v>210</v>
      </c>
      <c r="B6306" s="79" t="str">
        <f>IF('Twenty-Sixth'!B59="", "",'Twenty-Sixth'!B59)</f>
        <v>Sessional Staff</v>
      </c>
      <c r="C6306" s="66" t="str">
        <f>IF('Twenty-Sixth'!C59="", "",'Twenty-Sixth'!C59)</f>
        <v>PwC</v>
      </c>
      <c r="D6306" s="66" t="str">
        <f>IF('Twenty-Sixth'!D59="", "",'Twenty-Sixth'!D59)</f>
        <v>Returning</v>
      </c>
      <c r="E6306" s="66" t="str">
        <f>IF('Twenty-Sixth'!E59="", "",'Twenty-Sixth'!E59)</f>
        <v>Female</v>
      </c>
      <c r="F6306" s="66" t="str">
        <f>IF('Twenty-Sixth'!F59="", "",'Twenty-Sixth'!F59)</f>
        <v>Not Stated</v>
      </c>
      <c r="G6306" s="66" t="str">
        <f>IF('Twenty-Sixth'!G59="", "",'Twenty-Sixth'!G59)</f>
        <v>Not Stated</v>
      </c>
      <c r="H6306" s="66" t="str">
        <f>IF('Twenty-Sixth'!H59="", "",'Twenty-Sixth'!H59)</f>
        <v>Programme</v>
      </c>
      <c r="I6306" s="66" t="str">
        <f>IF('Twenty-Sixth'!I59="", "",'Twenty-Sixth'!I59)</f>
        <v>Nordic Walking</v>
      </c>
      <c r="J6306" s="66" t="str">
        <f>IF('Twenty-Sixth'!J59="", "",'Twenty-Sixth'!J59)</f>
        <v/>
      </c>
      <c r="K6306" s="86" t="str">
        <f>IF('Twenty-Sixth'!K59="", "",'Twenty-Sixth'!K59)</f>
        <v/>
      </c>
      <c r="M6306" s="67">
        <f t="shared" si="299"/>
        <v>7</v>
      </c>
      <c r="N6306" s="76" t="str">
        <f t="shared" si="300"/>
        <v/>
      </c>
      <c r="O6306" s="33">
        <f t="shared" si="301"/>
        <v>7</v>
      </c>
    </row>
    <row r="6307" spans="1:15" x14ac:dyDescent="0.25">
      <c r="A6307" s="64" t="s">
        <v>210</v>
      </c>
      <c r="B6307" s="79" t="str">
        <f>IF('Twenty-Sixth'!B60="", "",'Twenty-Sixth'!B60)</f>
        <v>Sessional Staff</v>
      </c>
      <c r="C6307" s="66" t="str">
        <f>IF('Twenty-Sixth'!C60="", "",'Twenty-Sixth'!C60)</f>
        <v>PwC</v>
      </c>
      <c r="D6307" s="66" t="str">
        <f>IF('Twenty-Sixth'!D60="", "",'Twenty-Sixth'!D60)</f>
        <v>Returning</v>
      </c>
      <c r="E6307" s="66" t="str">
        <f>IF('Twenty-Sixth'!E60="", "",'Twenty-Sixth'!E60)</f>
        <v>Female</v>
      </c>
      <c r="F6307" s="66" t="str">
        <f>IF('Twenty-Sixth'!F60="", "",'Twenty-Sixth'!F60)</f>
        <v>Not Stated</v>
      </c>
      <c r="G6307" s="66" t="str">
        <f>IF('Twenty-Sixth'!G60="", "",'Twenty-Sixth'!G60)</f>
        <v>Not Stated</v>
      </c>
      <c r="H6307" s="66" t="str">
        <f>IF('Twenty-Sixth'!H60="", "",'Twenty-Sixth'!H60)</f>
        <v>Programme</v>
      </c>
      <c r="I6307" s="66" t="str">
        <f>IF('Twenty-Sixth'!I60="", "",'Twenty-Sixth'!I60)</f>
        <v>Nordic Walking</v>
      </c>
      <c r="J6307" s="66" t="str">
        <f>IF('Twenty-Sixth'!J60="", "",'Twenty-Sixth'!J60)</f>
        <v/>
      </c>
      <c r="K6307" s="86" t="str">
        <f>IF('Twenty-Sixth'!K60="", "",'Twenty-Sixth'!K60)</f>
        <v/>
      </c>
      <c r="M6307" s="67">
        <f t="shared" si="299"/>
        <v>7</v>
      </c>
      <c r="N6307" s="76" t="str">
        <f t="shared" si="300"/>
        <v/>
      </c>
      <c r="O6307" s="33">
        <f t="shared" si="301"/>
        <v>7</v>
      </c>
    </row>
    <row r="6308" spans="1:15" x14ac:dyDescent="0.25">
      <c r="A6308" s="64" t="s">
        <v>210</v>
      </c>
      <c r="B6308" s="79" t="str">
        <f>IF('Twenty-Sixth'!B61="", "",'Twenty-Sixth'!B61)</f>
        <v>Sessional Staff</v>
      </c>
      <c r="C6308" s="66" t="str">
        <f>IF('Twenty-Sixth'!C61="", "",'Twenty-Sixth'!C61)</f>
        <v>PwC</v>
      </c>
      <c r="D6308" s="66" t="str">
        <f>IF('Twenty-Sixth'!D61="", "",'Twenty-Sixth'!D61)</f>
        <v>Returning</v>
      </c>
      <c r="E6308" s="66" t="str">
        <f>IF('Twenty-Sixth'!E61="", "",'Twenty-Sixth'!E61)</f>
        <v>Female</v>
      </c>
      <c r="F6308" s="66" t="str">
        <f>IF('Twenty-Sixth'!F61="", "",'Twenty-Sixth'!F61)</f>
        <v>Not Stated</v>
      </c>
      <c r="G6308" s="66" t="str">
        <f>IF('Twenty-Sixth'!G61="", "",'Twenty-Sixth'!G61)</f>
        <v>Not Stated</v>
      </c>
      <c r="H6308" s="66" t="str">
        <f>IF('Twenty-Sixth'!H61="", "",'Twenty-Sixth'!H61)</f>
        <v>Programme</v>
      </c>
      <c r="I6308" s="66" t="str">
        <f>IF('Twenty-Sixth'!I61="", "",'Twenty-Sixth'!I61)</f>
        <v>Nordic Walking</v>
      </c>
      <c r="J6308" s="66" t="str">
        <f>IF('Twenty-Sixth'!J61="", "",'Twenty-Sixth'!J61)</f>
        <v/>
      </c>
      <c r="K6308" s="86" t="str">
        <f>IF('Twenty-Sixth'!K61="", "",'Twenty-Sixth'!K61)</f>
        <v/>
      </c>
      <c r="M6308" s="67">
        <f t="shared" si="299"/>
        <v>7</v>
      </c>
      <c r="N6308" s="76" t="str">
        <f t="shared" si="300"/>
        <v/>
      </c>
      <c r="O6308" s="33">
        <f t="shared" si="301"/>
        <v>7</v>
      </c>
    </row>
    <row r="6309" spans="1:15" x14ac:dyDescent="0.25">
      <c r="A6309" s="64" t="s">
        <v>210</v>
      </c>
      <c r="B6309" s="79" t="str">
        <f>IF('Twenty-Sixth'!B62="", "",'Twenty-Sixth'!B62)</f>
        <v>Sessional Staff</v>
      </c>
      <c r="C6309" s="66" t="str">
        <f>IF('Twenty-Sixth'!C62="", "",'Twenty-Sixth'!C62)</f>
        <v>PwC</v>
      </c>
      <c r="D6309" s="66" t="str">
        <f>IF('Twenty-Sixth'!D62="", "",'Twenty-Sixth'!D62)</f>
        <v>Returning</v>
      </c>
      <c r="E6309" s="66" t="str">
        <f>IF('Twenty-Sixth'!E62="", "",'Twenty-Sixth'!E62)</f>
        <v>Female</v>
      </c>
      <c r="F6309" s="66" t="str">
        <f>IF('Twenty-Sixth'!F62="", "",'Twenty-Sixth'!F62)</f>
        <v>Not Stated</v>
      </c>
      <c r="G6309" s="66" t="str">
        <f>IF('Twenty-Sixth'!G62="", "",'Twenty-Sixth'!G62)</f>
        <v>Not Stated</v>
      </c>
      <c r="H6309" s="66" t="str">
        <f>IF('Twenty-Sixth'!H62="", "",'Twenty-Sixth'!H62)</f>
        <v>Programme</v>
      </c>
      <c r="I6309" s="66" t="str">
        <f>IF('Twenty-Sixth'!I62="", "",'Twenty-Sixth'!I62)</f>
        <v>Nordic Walking</v>
      </c>
      <c r="J6309" s="66" t="str">
        <f>IF('Twenty-Sixth'!J62="", "",'Twenty-Sixth'!J62)</f>
        <v/>
      </c>
      <c r="K6309" s="86" t="str">
        <f>IF('Twenty-Sixth'!K62="", "",'Twenty-Sixth'!K62)</f>
        <v/>
      </c>
      <c r="M6309" s="67">
        <f t="shared" si="299"/>
        <v>7</v>
      </c>
      <c r="N6309" s="76" t="str">
        <f t="shared" si="300"/>
        <v/>
      </c>
      <c r="O6309" s="33">
        <f t="shared" si="301"/>
        <v>7</v>
      </c>
    </row>
    <row r="6310" spans="1:15" x14ac:dyDescent="0.25">
      <c r="A6310" s="64" t="s">
        <v>210</v>
      </c>
      <c r="B6310" s="79" t="str">
        <f>IF('Twenty-Sixth'!B63="", "",'Twenty-Sixth'!B63)</f>
        <v>Sessional Staff</v>
      </c>
      <c r="C6310" s="66" t="str">
        <f>IF('Twenty-Sixth'!C63="", "",'Twenty-Sixth'!C63)</f>
        <v>PwC</v>
      </c>
      <c r="D6310" s="66" t="str">
        <f>IF('Twenty-Sixth'!D63="", "",'Twenty-Sixth'!D63)</f>
        <v>Returning</v>
      </c>
      <c r="E6310" s="66" t="str">
        <f>IF('Twenty-Sixth'!E63="", "",'Twenty-Sixth'!E63)</f>
        <v>Female</v>
      </c>
      <c r="F6310" s="66" t="str">
        <f>IF('Twenty-Sixth'!F63="", "",'Twenty-Sixth'!F63)</f>
        <v>Not Stated</v>
      </c>
      <c r="G6310" s="66" t="str">
        <f>IF('Twenty-Sixth'!G63="", "",'Twenty-Sixth'!G63)</f>
        <v>Not Stated</v>
      </c>
      <c r="H6310" s="66" t="str">
        <f>IF('Twenty-Sixth'!H63="", "",'Twenty-Sixth'!H63)</f>
        <v>Programme</v>
      </c>
      <c r="I6310" s="66" t="str">
        <f>IF('Twenty-Sixth'!I63="", "",'Twenty-Sixth'!I63)</f>
        <v>Nordic Walking</v>
      </c>
      <c r="J6310" s="66" t="str">
        <f>IF('Twenty-Sixth'!J63="", "",'Twenty-Sixth'!J63)</f>
        <v/>
      </c>
      <c r="K6310" s="86" t="str">
        <f>IF('Twenty-Sixth'!K63="", "",'Twenty-Sixth'!K63)</f>
        <v/>
      </c>
      <c r="M6310" s="67">
        <f t="shared" si="299"/>
        <v>7</v>
      </c>
      <c r="N6310" s="76" t="str">
        <f t="shared" si="300"/>
        <v/>
      </c>
      <c r="O6310" s="33">
        <f t="shared" si="301"/>
        <v>7</v>
      </c>
    </row>
    <row r="6311" spans="1:15" x14ac:dyDescent="0.25">
      <c r="A6311" s="64" t="s">
        <v>210</v>
      </c>
      <c r="B6311" s="79" t="str">
        <f>IF('Twenty-Sixth'!B64="", "",'Twenty-Sixth'!B64)</f>
        <v>Sessional Staff</v>
      </c>
      <c r="C6311" s="66" t="str">
        <f>IF('Twenty-Sixth'!C64="", "",'Twenty-Sixth'!C64)</f>
        <v>PwC</v>
      </c>
      <c r="D6311" s="66" t="str">
        <f>IF('Twenty-Sixth'!D64="", "",'Twenty-Sixth'!D64)</f>
        <v>Returning</v>
      </c>
      <c r="E6311" s="66" t="str">
        <f>IF('Twenty-Sixth'!E64="", "",'Twenty-Sixth'!E64)</f>
        <v>Female</v>
      </c>
      <c r="F6311" s="66" t="str">
        <f>IF('Twenty-Sixth'!F64="", "",'Twenty-Sixth'!F64)</f>
        <v>Not Stated</v>
      </c>
      <c r="G6311" s="66" t="str">
        <f>IF('Twenty-Sixth'!G64="", "",'Twenty-Sixth'!G64)</f>
        <v>Not Stated</v>
      </c>
      <c r="H6311" s="66" t="str">
        <f>IF('Twenty-Sixth'!H64="", "",'Twenty-Sixth'!H64)</f>
        <v>Programme</v>
      </c>
      <c r="I6311" s="66" t="str">
        <f>IF('Twenty-Sixth'!I64="", "",'Twenty-Sixth'!I64)</f>
        <v>Nordic Walking</v>
      </c>
      <c r="J6311" s="66" t="str">
        <f>IF('Twenty-Sixth'!J64="", "",'Twenty-Sixth'!J64)</f>
        <v/>
      </c>
      <c r="K6311" s="86" t="str">
        <f>IF('Twenty-Sixth'!K64="", "",'Twenty-Sixth'!K64)</f>
        <v/>
      </c>
      <c r="M6311" s="67">
        <f t="shared" si="299"/>
        <v>7</v>
      </c>
      <c r="N6311" s="76" t="str">
        <f t="shared" si="300"/>
        <v/>
      </c>
      <c r="O6311" s="33">
        <f t="shared" si="301"/>
        <v>7</v>
      </c>
    </row>
    <row r="6312" spans="1:15" x14ac:dyDescent="0.25">
      <c r="A6312" s="64" t="s">
        <v>210</v>
      </c>
      <c r="B6312" s="79" t="str">
        <f>IF('Twenty-Sixth'!B65="", "",'Twenty-Sixth'!B65)</f>
        <v>Sessional Staff</v>
      </c>
      <c r="C6312" s="66" t="str">
        <f>IF('Twenty-Sixth'!C65="", "",'Twenty-Sixth'!C65)</f>
        <v>PwC</v>
      </c>
      <c r="D6312" s="66" t="str">
        <f>IF('Twenty-Sixth'!D65="", "",'Twenty-Sixth'!D65)</f>
        <v>Returning</v>
      </c>
      <c r="E6312" s="66" t="str">
        <f>IF('Twenty-Sixth'!E65="", "",'Twenty-Sixth'!E65)</f>
        <v>Female</v>
      </c>
      <c r="F6312" s="66" t="str">
        <f>IF('Twenty-Sixth'!F65="", "",'Twenty-Sixth'!F65)</f>
        <v>Not Stated</v>
      </c>
      <c r="G6312" s="66" t="str">
        <f>IF('Twenty-Sixth'!G65="", "",'Twenty-Sixth'!G65)</f>
        <v>Not Stated</v>
      </c>
      <c r="H6312" s="66" t="str">
        <f>IF('Twenty-Sixth'!H65="", "",'Twenty-Sixth'!H65)</f>
        <v>Programme</v>
      </c>
      <c r="I6312" s="66" t="str">
        <f>IF('Twenty-Sixth'!I65="", "",'Twenty-Sixth'!I65)</f>
        <v>Nordic Walking</v>
      </c>
      <c r="J6312" s="66" t="str">
        <f>IF('Twenty-Sixth'!J65="", "",'Twenty-Sixth'!J65)</f>
        <v/>
      </c>
      <c r="K6312" s="86" t="str">
        <f>IF('Twenty-Sixth'!K65="", "",'Twenty-Sixth'!K65)</f>
        <v/>
      </c>
      <c r="M6312" s="67">
        <f t="shared" si="299"/>
        <v>7</v>
      </c>
      <c r="N6312" s="76" t="str">
        <f t="shared" si="300"/>
        <v/>
      </c>
      <c r="O6312" s="33">
        <f t="shared" si="301"/>
        <v>7</v>
      </c>
    </row>
    <row r="6313" spans="1:15" x14ac:dyDescent="0.25">
      <c r="A6313" s="64" t="s">
        <v>210</v>
      </c>
      <c r="B6313" s="79" t="str">
        <f>IF('Twenty-Sixth'!B66="", "",'Twenty-Sixth'!B66)</f>
        <v>Sessional Staff</v>
      </c>
      <c r="C6313" s="66" t="str">
        <f>IF('Twenty-Sixth'!C66="", "",'Twenty-Sixth'!C66)</f>
        <v>PwC</v>
      </c>
      <c r="D6313" s="66" t="str">
        <f>IF('Twenty-Sixth'!D66="", "",'Twenty-Sixth'!D66)</f>
        <v>Returning</v>
      </c>
      <c r="E6313" s="66" t="str">
        <f>IF('Twenty-Sixth'!E66="", "",'Twenty-Sixth'!E66)</f>
        <v>Female</v>
      </c>
      <c r="F6313" s="66" t="str">
        <f>IF('Twenty-Sixth'!F66="", "",'Twenty-Sixth'!F66)</f>
        <v>Not Stated</v>
      </c>
      <c r="G6313" s="66" t="str">
        <f>IF('Twenty-Sixth'!G66="", "",'Twenty-Sixth'!G66)</f>
        <v>Not Stated</v>
      </c>
      <c r="H6313" s="66" t="str">
        <f>IF('Twenty-Sixth'!H66="", "",'Twenty-Sixth'!H66)</f>
        <v>Programme</v>
      </c>
      <c r="I6313" s="66" t="str">
        <f>IF('Twenty-Sixth'!I66="", "",'Twenty-Sixth'!I66)</f>
        <v>Nordic Walking</v>
      </c>
      <c r="J6313" s="66" t="str">
        <f>IF('Twenty-Sixth'!J66="", "",'Twenty-Sixth'!J66)</f>
        <v/>
      </c>
      <c r="K6313" s="86" t="str">
        <f>IF('Twenty-Sixth'!K66="", "",'Twenty-Sixth'!K66)</f>
        <v/>
      </c>
      <c r="M6313" s="67">
        <f t="shared" si="299"/>
        <v>7</v>
      </c>
      <c r="N6313" s="76" t="str">
        <f t="shared" si="300"/>
        <v/>
      </c>
      <c r="O6313" s="33">
        <f t="shared" si="301"/>
        <v>7</v>
      </c>
    </row>
    <row r="6314" spans="1:15" x14ac:dyDescent="0.25">
      <c r="A6314" s="64" t="s">
        <v>210</v>
      </c>
      <c r="B6314" s="79" t="str">
        <f>IF('Twenty-Sixth'!B67="", "",'Twenty-Sixth'!B67)</f>
        <v>Centre Head</v>
      </c>
      <c r="C6314" s="66" t="str">
        <f>IF('Twenty-Sixth'!C67="", "",'Twenty-Sixth'!C67)</f>
        <v>PwC</v>
      </c>
      <c r="D6314" s="66" t="str">
        <f>IF('Twenty-Sixth'!D67="", "",'Twenty-Sixth'!D67)</f>
        <v>New</v>
      </c>
      <c r="E6314" s="66" t="str">
        <f>IF('Twenty-Sixth'!E67="", "",'Twenty-Sixth'!E67)</f>
        <v>Female</v>
      </c>
      <c r="F6314" s="66" t="str">
        <f>IF('Twenty-Sixth'!F67="", "",'Twenty-Sixth'!F67)</f>
        <v>Breast</v>
      </c>
      <c r="G6314" s="66" t="str">
        <f>IF('Twenty-Sixth'!G67="", "",'Twenty-Sixth'!G67)</f>
        <v>Curative Intent</v>
      </c>
      <c r="H6314" s="66" t="str">
        <f>IF('Twenty-Sixth'!H67="", "",'Twenty-Sixth'!H67)</f>
        <v>Drop-In</v>
      </c>
      <c r="I6314" s="66" t="str">
        <f>IF('Twenty-Sixth'!I67="", "",'Twenty-Sixth'!I67)</f>
        <v/>
      </c>
      <c r="J6314" s="66" t="str">
        <f>IF('Twenty-Sixth'!J67="", "",'Twenty-Sixth'!J67)</f>
        <v/>
      </c>
      <c r="K6314" s="86" t="str">
        <f>IF('Twenty-Sixth'!K67="", "",'Twenty-Sixth'!K67)</f>
        <v/>
      </c>
      <c r="M6314" s="67">
        <f t="shared" si="299"/>
        <v>7</v>
      </c>
      <c r="N6314" s="76" t="str">
        <f t="shared" si="300"/>
        <v/>
      </c>
      <c r="O6314" s="33">
        <f t="shared" si="301"/>
        <v>7</v>
      </c>
    </row>
    <row r="6315" spans="1:15" x14ac:dyDescent="0.25">
      <c r="A6315" s="64" t="s">
        <v>210</v>
      </c>
      <c r="B6315" s="79" t="str">
        <f>IF('Twenty-Sixth'!B68="", "",'Twenty-Sixth'!B68)</f>
        <v>Centre Head</v>
      </c>
      <c r="C6315" s="66" t="str">
        <f>IF('Twenty-Sixth'!C68="", "",'Twenty-Sixth'!C68)</f>
        <v>Carer</v>
      </c>
      <c r="D6315" s="66" t="str">
        <f>IF('Twenty-Sixth'!D68="", "",'Twenty-Sixth'!D68)</f>
        <v>New</v>
      </c>
      <c r="E6315" s="66" t="str">
        <f>IF('Twenty-Sixth'!E68="", "",'Twenty-Sixth'!E68)</f>
        <v>Male</v>
      </c>
      <c r="F6315" s="66" t="str">
        <f>IF('Twenty-Sixth'!F68="", "",'Twenty-Sixth'!F68)</f>
        <v>Breast</v>
      </c>
      <c r="G6315" s="66" t="str">
        <f>IF('Twenty-Sixth'!G68="", "",'Twenty-Sixth'!G68)</f>
        <v>Curative Intent</v>
      </c>
      <c r="H6315" s="66" t="str">
        <f>IF('Twenty-Sixth'!H68="", "",'Twenty-Sixth'!H68)</f>
        <v>Drop-In</v>
      </c>
      <c r="I6315" s="66" t="str">
        <f>IF('Twenty-Sixth'!I68="", "",'Twenty-Sixth'!I68)</f>
        <v/>
      </c>
      <c r="J6315" s="66" t="str">
        <f>IF('Twenty-Sixth'!J68="", "",'Twenty-Sixth'!J68)</f>
        <v/>
      </c>
      <c r="K6315" s="86" t="str">
        <f>IF('Twenty-Sixth'!K68="", "",'Twenty-Sixth'!K68)</f>
        <v/>
      </c>
      <c r="M6315" s="67" t="str">
        <f t="shared" si="299"/>
        <v/>
      </c>
      <c r="N6315" s="76">
        <f t="shared" si="300"/>
        <v>7</v>
      </c>
      <c r="O6315" s="33">
        <f t="shared" si="301"/>
        <v>7</v>
      </c>
    </row>
    <row r="6316" spans="1:15" x14ac:dyDescent="0.25">
      <c r="A6316" s="64" t="s">
        <v>210</v>
      </c>
      <c r="B6316" s="79" t="str">
        <f>IF('Twenty-Sixth'!B69="", "",'Twenty-Sixth'!B69)</f>
        <v>Centre Head</v>
      </c>
      <c r="C6316" s="66" t="str">
        <f>IF('Twenty-Sixth'!C69="", "",'Twenty-Sixth'!C69)</f>
        <v>Carer</v>
      </c>
      <c r="D6316" s="66" t="str">
        <f>IF('Twenty-Sixth'!D69="", "",'Twenty-Sixth'!D69)</f>
        <v>New</v>
      </c>
      <c r="E6316" s="66" t="str">
        <f>IF('Twenty-Sixth'!E69="", "",'Twenty-Sixth'!E69)</f>
        <v>Male</v>
      </c>
      <c r="F6316" s="66" t="str">
        <f>IF('Twenty-Sixth'!F69="", "",'Twenty-Sixth'!F69)</f>
        <v>Breast</v>
      </c>
      <c r="G6316" s="66" t="str">
        <f>IF('Twenty-Sixth'!G69="", "",'Twenty-Sixth'!G69)</f>
        <v>Curative Intent</v>
      </c>
      <c r="H6316" s="66" t="str">
        <f>IF('Twenty-Sixth'!H69="", "",'Twenty-Sixth'!H69)</f>
        <v>Drop-In</v>
      </c>
      <c r="I6316" s="66" t="str">
        <f>IF('Twenty-Sixth'!I69="", "",'Twenty-Sixth'!I69)</f>
        <v/>
      </c>
      <c r="J6316" s="66" t="str">
        <f>IF('Twenty-Sixth'!J69="", "",'Twenty-Sixth'!J69)</f>
        <v/>
      </c>
      <c r="K6316" s="86" t="str">
        <f>IF('Twenty-Sixth'!K69="", "",'Twenty-Sixth'!K69)</f>
        <v/>
      </c>
      <c r="M6316" s="67" t="str">
        <f t="shared" si="299"/>
        <v/>
      </c>
      <c r="N6316" s="76">
        <f t="shared" si="300"/>
        <v>7</v>
      </c>
      <c r="O6316" s="33">
        <f t="shared" si="301"/>
        <v>7</v>
      </c>
    </row>
    <row r="6317" spans="1:15" x14ac:dyDescent="0.25">
      <c r="A6317" s="64" t="s">
        <v>210</v>
      </c>
      <c r="B6317" s="79" t="str">
        <f>IF('Twenty-Sixth'!B70="", "",'Twenty-Sixth'!B70)</f>
        <v>Centre Head</v>
      </c>
      <c r="C6317" s="66" t="str">
        <f>IF('Twenty-Sixth'!C70="", "",'Twenty-Sixth'!C70)</f>
        <v>PwC</v>
      </c>
      <c r="D6317" s="66" t="str">
        <f>IF('Twenty-Sixth'!D70="", "",'Twenty-Sixth'!D70)</f>
        <v>New</v>
      </c>
      <c r="E6317" s="66" t="str">
        <f>IF('Twenty-Sixth'!E70="", "",'Twenty-Sixth'!E70)</f>
        <v>Male</v>
      </c>
      <c r="F6317" s="66" t="str">
        <f>IF('Twenty-Sixth'!F70="", "",'Twenty-Sixth'!F70)</f>
        <v>Lower GI</v>
      </c>
      <c r="G6317" s="66" t="str">
        <f>IF('Twenty-Sixth'!G70="", "",'Twenty-Sixth'!G70)</f>
        <v>Post Treatment - Curative Intent</v>
      </c>
      <c r="H6317" s="66" t="str">
        <f>IF('Twenty-Sixth'!H70="", "",'Twenty-Sixth'!H70)</f>
        <v>Drop-In</v>
      </c>
      <c r="I6317" s="66" t="str">
        <f>IF('Twenty-Sixth'!I70="", "",'Twenty-Sixth'!I70)</f>
        <v/>
      </c>
      <c r="J6317" s="66" t="str">
        <f>IF('Twenty-Sixth'!J70="", "",'Twenty-Sixth'!J70)</f>
        <v/>
      </c>
      <c r="K6317" s="86" t="str">
        <f>IF('Twenty-Sixth'!K70="", "",'Twenty-Sixth'!K70)</f>
        <v/>
      </c>
      <c r="M6317" s="67">
        <f t="shared" si="299"/>
        <v>7</v>
      </c>
      <c r="N6317" s="76" t="str">
        <f t="shared" si="300"/>
        <v/>
      </c>
      <c r="O6317" s="33">
        <f t="shared" si="301"/>
        <v>7</v>
      </c>
    </row>
    <row r="6318" spans="1:15" x14ac:dyDescent="0.25">
      <c r="A6318" s="64" t="s">
        <v>210</v>
      </c>
      <c r="B6318" s="79" t="str">
        <f>IF('Twenty-Sixth'!B71="", "",'Twenty-Sixth'!B71)</f>
        <v>Centre Head</v>
      </c>
      <c r="C6318" s="66" t="str">
        <f>IF('Twenty-Sixth'!C71="", "",'Twenty-Sixth'!C71)</f>
        <v>Carer</v>
      </c>
      <c r="D6318" s="66" t="str">
        <f>IF('Twenty-Sixth'!D71="", "",'Twenty-Sixth'!D71)</f>
        <v>New</v>
      </c>
      <c r="E6318" s="66" t="str">
        <f>IF('Twenty-Sixth'!E71="", "",'Twenty-Sixth'!E71)</f>
        <v>Female</v>
      </c>
      <c r="F6318" s="66" t="str">
        <f>IF('Twenty-Sixth'!F71="", "",'Twenty-Sixth'!F71)</f>
        <v>Lung</v>
      </c>
      <c r="G6318" s="66" t="str">
        <f>IF('Twenty-Sixth'!G71="", "",'Twenty-Sixth'!G71)</f>
        <v>Non-Curative Intent</v>
      </c>
      <c r="H6318" s="66" t="str">
        <f>IF('Twenty-Sixth'!H71="", "",'Twenty-Sixth'!H71)</f>
        <v>Drop-In</v>
      </c>
      <c r="I6318" s="66" t="str">
        <f>IF('Twenty-Sixth'!I71="", "",'Twenty-Sixth'!I71)</f>
        <v/>
      </c>
      <c r="J6318" s="66" t="str">
        <f>IF('Twenty-Sixth'!J71="", "",'Twenty-Sixth'!J71)</f>
        <v/>
      </c>
      <c r="K6318" s="86" t="str">
        <f>IF('Twenty-Sixth'!K71="", "",'Twenty-Sixth'!K71)</f>
        <v/>
      </c>
      <c r="M6318" s="67" t="str">
        <f t="shared" si="299"/>
        <v/>
      </c>
      <c r="N6318" s="76">
        <f t="shared" si="300"/>
        <v>7</v>
      </c>
      <c r="O6318" s="33">
        <f t="shared" si="301"/>
        <v>7</v>
      </c>
    </row>
    <row r="6319" spans="1:15" x14ac:dyDescent="0.25">
      <c r="A6319" s="64" t="s">
        <v>210</v>
      </c>
      <c r="B6319" s="79" t="str">
        <f>IF('Twenty-Sixth'!B72="", "",'Twenty-Sixth'!B72)</f>
        <v>Centre Head</v>
      </c>
      <c r="C6319" s="66" t="str">
        <f>IF('Twenty-Sixth'!C72="", "",'Twenty-Sixth'!C72)</f>
        <v>PwC</v>
      </c>
      <c r="D6319" s="66" t="str">
        <f>IF('Twenty-Sixth'!D72="", "",'Twenty-Sixth'!D72)</f>
        <v>New</v>
      </c>
      <c r="E6319" s="66" t="str">
        <f>IF('Twenty-Sixth'!E72="", "",'Twenty-Sixth'!E72)</f>
        <v>Female</v>
      </c>
      <c r="F6319" s="66" t="str">
        <f>IF('Twenty-Sixth'!F72="", "",'Twenty-Sixth'!F72)</f>
        <v>Lower GI</v>
      </c>
      <c r="G6319" s="66" t="str">
        <f>IF('Twenty-Sixth'!G72="", "",'Twenty-Sixth'!G72)</f>
        <v>Non-Curative Intent</v>
      </c>
      <c r="H6319" s="66" t="str">
        <f>IF('Twenty-Sixth'!H72="", "",'Twenty-Sixth'!H72)</f>
        <v>Drop-In</v>
      </c>
      <c r="I6319" s="66" t="str">
        <f>IF('Twenty-Sixth'!I72="", "",'Twenty-Sixth'!I72)</f>
        <v/>
      </c>
      <c r="J6319" s="66" t="str">
        <f>IF('Twenty-Sixth'!J72="", "",'Twenty-Sixth'!J72)</f>
        <v/>
      </c>
      <c r="K6319" s="86" t="str">
        <f>IF('Twenty-Sixth'!K72="", "",'Twenty-Sixth'!K72)</f>
        <v/>
      </c>
      <c r="M6319" s="67">
        <f t="shared" si="299"/>
        <v>7</v>
      </c>
      <c r="N6319" s="76" t="str">
        <f t="shared" si="300"/>
        <v/>
      </c>
      <c r="O6319" s="33">
        <f t="shared" si="301"/>
        <v>7</v>
      </c>
    </row>
    <row r="6320" spans="1:15" x14ac:dyDescent="0.25">
      <c r="A6320" s="64" t="s">
        <v>210</v>
      </c>
      <c r="B6320" s="79" t="str">
        <f>IF('Twenty-Sixth'!B73="", "",'Twenty-Sixth'!B73)</f>
        <v>Psychologist</v>
      </c>
      <c r="C6320" s="66" t="str">
        <f>IF('Twenty-Sixth'!C73="", "",'Twenty-Sixth'!C73)</f>
        <v>PwC</v>
      </c>
      <c r="D6320" s="66" t="str">
        <f>IF('Twenty-Sixth'!D73="", "",'Twenty-Sixth'!D73)</f>
        <v>Returning</v>
      </c>
      <c r="E6320" s="66" t="str">
        <f>IF('Twenty-Sixth'!E73="", "",'Twenty-Sixth'!E73)</f>
        <v>Female</v>
      </c>
      <c r="F6320" s="66" t="str">
        <f>IF('Twenty-Sixth'!F73="", "",'Twenty-Sixth'!F73)</f>
        <v>Breast</v>
      </c>
      <c r="G6320" s="66" t="str">
        <f>IF('Twenty-Sixth'!G73="", "",'Twenty-Sixth'!G73)</f>
        <v>Non-Curative Intent</v>
      </c>
      <c r="H6320" s="66" t="str">
        <f>IF('Twenty-Sixth'!H73="", "",'Twenty-Sixth'!H73)</f>
        <v>Booked</v>
      </c>
      <c r="I6320" s="66" t="str">
        <f>IF('Twenty-Sixth'!I73="", "",'Twenty-Sixth'!I73)</f>
        <v>Psych Support - Individual</v>
      </c>
      <c r="J6320" s="66" t="str">
        <f>IF('Twenty-Sixth'!J73="", "",'Twenty-Sixth'!J73)</f>
        <v/>
      </c>
      <c r="K6320" s="86" t="str">
        <f>IF('Twenty-Sixth'!K73="", "",'Twenty-Sixth'!K73)</f>
        <v/>
      </c>
      <c r="M6320" s="67">
        <f t="shared" si="299"/>
        <v>7</v>
      </c>
      <c r="N6320" s="76" t="str">
        <f t="shared" si="300"/>
        <v/>
      </c>
      <c r="O6320" s="33">
        <f t="shared" si="301"/>
        <v>7</v>
      </c>
    </row>
    <row r="6321" spans="1:15" x14ac:dyDescent="0.25">
      <c r="A6321" s="64" t="s">
        <v>210</v>
      </c>
      <c r="B6321" s="79" t="str">
        <f>IF('Twenty-Sixth'!B74="", "",'Twenty-Sixth'!B74)</f>
        <v>Psychologist</v>
      </c>
      <c r="C6321" s="66" t="str">
        <f>IF('Twenty-Sixth'!C74="", "",'Twenty-Sixth'!C74)</f>
        <v>PwC</v>
      </c>
      <c r="D6321" s="66" t="str">
        <f>IF('Twenty-Sixth'!D74="", "",'Twenty-Sixth'!D74)</f>
        <v>Returning</v>
      </c>
      <c r="E6321" s="66" t="str">
        <f>IF('Twenty-Sixth'!E74="", "",'Twenty-Sixth'!E74)</f>
        <v>Female</v>
      </c>
      <c r="F6321" s="66" t="str">
        <f>IF('Twenty-Sixth'!F74="", "",'Twenty-Sixth'!F74)</f>
        <v>Breast</v>
      </c>
      <c r="G6321" s="66" t="str">
        <f>IF('Twenty-Sixth'!G74="", "",'Twenty-Sixth'!G74)</f>
        <v>Post Treatment - Curative Intent</v>
      </c>
      <c r="H6321" s="66" t="str">
        <f>IF('Twenty-Sixth'!H74="", "",'Twenty-Sixth'!H74)</f>
        <v>Booked</v>
      </c>
      <c r="I6321" s="66" t="str">
        <f>IF('Twenty-Sixth'!I74="", "",'Twenty-Sixth'!I74)</f>
        <v>Psych Support - Individual</v>
      </c>
      <c r="J6321" s="66" t="str">
        <f>IF('Twenty-Sixth'!J74="", "",'Twenty-Sixth'!J74)</f>
        <v/>
      </c>
      <c r="K6321" s="86" t="str">
        <f>IF('Twenty-Sixth'!K74="", "",'Twenty-Sixth'!K74)</f>
        <v/>
      </c>
      <c r="M6321" s="67">
        <f t="shared" si="299"/>
        <v>7</v>
      </c>
      <c r="N6321" s="76" t="str">
        <f t="shared" si="300"/>
        <v/>
      </c>
      <c r="O6321" s="33">
        <f t="shared" si="301"/>
        <v>7</v>
      </c>
    </row>
    <row r="6322" spans="1:15" x14ac:dyDescent="0.25">
      <c r="A6322" s="64" t="s">
        <v>210</v>
      </c>
      <c r="B6322" s="79" t="str">
        <f>IF('Twenty-Sixth'!B75="", "",'Twenty-Sixth'!B75)</f>
        <v>Psychologist</v>
      </c>
      <c r="C6322" s="66" t="str">
        <f>IF('Twenty-Sixth'!C75="", "",'Twenty-Sixth'!C75)</f>
        <v>Carer</v>
      </c>
      <c r="D6322" s="66" t="str">
        <f>IF('Twenty-Sixth'!D75="", "",'Twenty-Sixth'!D75)</f>
        <v>Returning</v>
      </c>
      <c r="E6322" s="66" t="str">
        <f>IF('Twenty-Sixth'!E75="", "",'Twenty-Sixth'!E75)</f>
        <v>Male</v>
      </c>
      <c r="F6322" s="66" t="str">
        <f>IF('Twenty-Sixth'!F75="", "",'Twenty-Sixth'!F75)</f>
        <v>Breast</v>
      </c>
      <c r="G6322" s="66" t="str">
        <f>IF('Twenty-Sixth'!G75="", "",'Twenty-Sixth'!G75)</f>
        <v>Post Treatment - Curative Intent</v>
      </c>
      <c r="H6322" s="66" t="str">
        <f>IF('Twenty-Sixth'!H75="", "",'Twenty-Sixth'!H75)</f>
        <v>Booked</v>
      </c>
      <c r="I6322" s="66" t="str">
        <f>IF('Twenty-Sixth'!I75="", "",'Twenty-Sixth'!I75)</f>
        <v>Psych Support - Individual</v>
      </c>
      <c r="J6322" s="66" t="str">
        <f>IF('Twenty-Sixth'!J75="", "",'Twenty-Sixth'!J75)</f>
        <v/>
      </c>
      <c r="K6322" s="86" t="str">
        <f>IF('Twenty-Sixth'!K75="", "",'Twenty-Sixth'!K75)</f>
        <v/>
      </c>
      <c r="M6322" s="67" t="str">
        <f t="shared" si="299"/>
        <v/>
      </c>
      <c r="N6322" s="76">
        <f t="shared" si="300"/>
        <v>7</v>
      </c>
      <c r="O6322" s="33">
        <f t="shared" si="301"/>
        <v>7</v>
      </c>
    </row>
    <row r="6323" spans="1:15" x14ac:dyDescent="0.25">
      <c r="A6323" s="64" t="s">
        <v>210</v>
      </c>
      <c r="B6323" s="79" t="str">
        <f>IF('Twenty-Sixth'!B76="", "",'Twenty-Sixth'!B76)</f>
        <v>Psychologist</v>
      </c>
      <c r="C6323" s="66" t="str">
        <f>IF('Twenty-Sixth'!C76="", "",'Twenty-Sixth'!C76)</f>
        <v>Carer</v>
      </c>
      <c r="D6323" s="66" t="str">
        <f>IF('Twenty-Sixth'!D76="", "",'Twenty-Sixth'!D76)</f>
        <v>Returning</v>
      </c>
      <c r="E6323" s="66" t="str">
        <f>IF('Twenty-Sixth'!E76="", "",'Twenty-Sixth'!E76)</f>
        <v>Male</v>
      </c>
      <c r="F6323" s="66" t="str">
        <f>IF('Twenty-Sixth'!F76="", "",'Twenty-Sixth'!F76)</f>
        <v>Breast</v>
      </c>
      <c r="G6323" s="66" t="str">
        <f>IF('Twenty-Sixth'!G76="", "",'Twenty-Sixth'!G76)</f>
        <v>Post Treatment - Curative Intent</v>
      </c>
      <c r="H6323" s="66" t="str">
        <f>IF('Twenty-Sixth'!H76="", "",'Twenty-Sixth'!H76)</f>
        <v>Booked</v>
      </c>
      <c r="I6323" s="66" t="str">
        <f>IF('Twenty-Sixth'!I76="", "",'Twenty-Sixth'!I76)</f>
        <v>Psych Support - Individual</v>
      </c>
      <c r="J6323" s="66" t="str">
        <f>IF('Twenty-Sixth'!J76="", "",'Twenty-Sixth'!J76)</f>
        <v/>
      </c>
      <c r="K6323" s="86" t="str">
        <f>IF('Twenty-Sixth'!K76="", "",'Twenty-Sixth'!K76)</f>
        <v/>
      </c>
      <c r="M6323" s="67" t="str">
        <f t="shared" si="299"/>
        <v/>
      </c>
      <c r="N6323" s="76">
        <f t="shared" si="300"/>
        <v>7</v>
      </c>
      <c r="O6323" s="33">
        <f t="shared" si="301"/>
        <v>7</v>
      </c>
    </row>
    <row r="6324" spans="1:15" x14ac:dyDescent="0.25">
      <c r="A6324" s="64" t="s">
        <v>210</v>
      </c>
      <c r="B6324" s="79" t="str">
        <f>IF('Twenty-Sixth'!B77="", "",'Twenty-Sixth'!B77)</f>
        <v>Psychologist</v>
      </c>
      <c r="C6324" s="66" t="str">
        <f>IF('Twenty-Sixth'!C77="", "",'Twenty-Sixth'!C77)</f>
        <v>Carer</v>
      </c>
      <c r="D6324" s="66" t="str">
        <f>IF('Twenty-Sixth'!D77="", "",'Twenty-Sixth'!D77)</f>
        <v>Returning</v>
      </c>
      <c r="E6324" s="66" t="str">
        <f>IF('Twenty-Sixth'!E77="", "",'Twenty-Sixth'!E77)</f>
        <v>Male</v>
      </c>
      <c r="F6324" s="66" t="str">
        <f>IF('Twenty-Sixth'!F77="", "",'Twenty-Sixth'!F77)</f>
        <v>Breast</v>
      </c>
      <c r="G6324" s="66" t="str">
        <f>IF('Twenty-Sixth'!G77="", "",'Twenty-Sixth'!G77)</f>
        <v>Bereaved</v>
      </c>
      <c r="H6324" s="66" t="str">
        <f>IF('Twenty-Sixth'!H77="", "",'Twenty-Sixth'!H77)</f>
        <v>Programme</v>
      </c>
      <c r="I6324" s="66" t="str">
        <f>IF('Twenty-Sixth'!I77="", "",'Twenty-Sixth'!I77)</f>
        <v>FSG Bereavement</v>
      </c>
      <c r="J6324" s="66" t="str">
        <f>IF('Twenty-Sixth'!J77="", "",'Twenty-Sixth'!J77)</f>
        <v/>
      </c>
      <c r="K6324" s="86" t="str">
        <f>IF('Twenty-Sixth'!K77="", "",'Twenty-Sixth'!K77)</f>
        <v/>
      </c>
      <c r="M6324" s="67" t="str">
        <f t="shared" si="299"/>
        <v/>
      </c>
      <c r="N6324" s="76">
        <f t="shared" si="300"/>
        <v>7</v>
      </c>
      <c r="O6324" s="33">
        <f t="shared" si="301"/>
        <v>7</v>
      </c>
    </row>
    <row r="6325" spans="1:15" x14ac:dyDescent="0.25">
      <c r="A6325" s="64" t="s">
        <v>210</v>
      </c>
      <c r="B6325" s="79" t="str">
        <f>IF('Twenty-Sixth'!B78="", "",'Twenty-Sixth'!B78)</f>
        <v>Psychologist</v>
      </c>
      <c r="C6325" s="66" t="str">
        <f>IF('Twenty-Sixth'!C78="", "",'Twenty-Sixth'!C78)</f>
        <v>Carer</v>
      </c>
      <c r="D6325" s="66" t="str">
        <f>IF('Twenty-Sixth'!D78="", "",'Twenty-Sixth'!D78)</f>
        <v>Returning</v>
      </c>
      <c r="E6325" s="66" t="str">
        <f>IF('Twenty-Sixth'!E78="", "",'Twenty-Sixth'!E78)</f>
        <v>Female</v>
      </c>
      <c r="F6325" s="66" t="str">
        <f>IF('Twenty-Sixth'!F78="", "",'Twenty-Sixth'!F78)</f>
        <v>Lung</v>
      </c>
      <c r="G6325" s="66" t="str">
        <f>IF('Twenty-Sixth'!G78="", "",'Twenty-Sixth'!G78)</f>
        <v>Bereaved</v>
      </c>
      <c r="H6325" s="66" t="str">
        <f>IF('Twenty-Sixth'!H78="", "",'Twenty-Sixth'!H78)</f>
        <v>Programme</v>
      </c>
      <c r="I6325" s="66" t="str">
        <f>IF('Twenty-Sixth'!I78="", "",'Twenty-Sixth'!I78)</f>
        <v>FSG Bereavement</v>
      </c>
      <c r="J6325" s="66" t="str">
        <f>IF('Twenty-Sixth'!J78="", "",'Twenty-Sixth'!J78)</f>
        <v/>
      </c>
      <c r="K6325" s="86" t="str">
        <f>IF('Twenty-Sixth'!K78="", "",'Twenty-Sixth'!K78)</f>
        <v/>
      </c>
      <c r="M6325" s="67" t="str">
        <f t="shared" si="299"/>
        <v/>
      </c>
      <c r="N6325" s="76">
        <f t="shared" si="300"/>
        <v>7</v>
      </c>
      <c r="O6325" s="33">
        <f t="shared" si="301"/>
        <v>7</v>
      </c>
    </row>
    <row r="6326" spans="1:15" x14ac:dyDescent="0.25">
      <c r="A6326" s="64" t="s">
        <v>210</v>
      </c>
      <c r="B6326" s="79" t="str">
        <f>IF('Twenty-Sixth'!B79="", "",'Twenty-Sixth'!B79)</f>
        <v>Psychologist</v>
      </c>
      <c r="C6326" s="66" t="str">
        <f>IF('Twenty-Sixth'!C79="", "",'Twenty-Sixth'!C79)</f>
        <v>Carer</v>
      </c>
      <c r="D6326" s="66" t="str">
        <f>IF('Twenty-Sixth'!D79="", "",'Twenty-Sixth'!D79)</f>
        <v>Returning</v>
      </c>
      <c r="E6326" s="66" t="str">
        <f>IF('Twenty-Sixth'!E79="", "",'Twenty-Sixth'!E79)</f>
        <v>Female</v>
      </c>
      <c r="F6326" s="66" t="str">
        <f>IF('Twenty-Sixth'!F79="", "",'Twenty-Sixth'!F79)</f>
        <v>Breast</v>
      </c>
      <c r="G6326" s="66" t="str">
        <f>IF('Twenty-Sixth'!G79="", "",'Twenty-Sixth'!G79)</f>
        <v>Bereaved</v>
      </c>
      <c r="H6326" s="66" t="str">
        <f>IF('Twenty-Sixth'!H79="", "",'Twenty-Sixth'!H79)</f>
        <v>Programme</v>
      </c>
      <c r="I6326" s="66" t="str">
        <f>IF('Twenty-Sixth'!I79="", "",'Twenty-Sixth'!I79)</f>
        <v>FSG Bereavement</v>
      </c>
      <c r="J6326" s="66" t="str">
        <f>IF('Twenty-Sixth'!J79="", "",'Twenty-Sixth'!J79)</f>
        <v/>
      </c>
      <c r="K6326" s="86" t="str">
        <f>IF('Twenty-Sixth'!K79="", "",'Twenty-Sixth'!K79)</f>
        <v/>
      </c>
      <c r="M6326" s="67" t="str">
        <f t="shared" si="299"/>
        <v/>
      </c>
      <c r="N6326" s="76">
        <f t="shared" si="300"/>
        <v>7</v>
      </c>
      <c r="O6326" s="33">
        <f t="shared" si="301"/>
        <v>7</v>
      </c>
    </row>
    <row r="6327" spans="1:15" x14ac:dyDescent="0.25">
      <c r="A6327" s="64" t="s">
        <v>210</v>
      </c>
      <c r="B6327" s="79" t="str">
        <f>IF('Twenty-Sixth'!B80="", "",'Twenty-Sixth'!B80)</f>
        <v>Psychologist</v>
      </c>
      <c r="C6327" s="66" t="str">
        <f>IF('Twenty-Sixth'!C80="", "",'Twenty-Sixth'!C80)</f>
        <v>PwC</v>
      </c>
      <c r="D6327" s="66" t="str">
        <f>IF('Twenty-Sixth'!D80="", "",'Twenty-Sixth'!D80)</f>
        <v>New</v>
      </c>
      <c r="E6327" s="66" t="str">
        <f>IF('Twenty-Sixth'!E80="", "",'Twenty-Sixth'!E80)</f>
        <v>Female</v>
      </c>
      <c r="F6327" s="66" t="str">
        <f>IF('Twenty-Sixth'!F80="", "",'Twenty-Sixth'!F80)</f>
        <v>Breast</v>
      </c>
      <c r="G6327" s="66" t="str">
        <f>IF('Twenty-Sixth'!G80="", "",'Twenty-Sixth'!G80)</f>
        <v>Curative Intent</v>
      </c>
      <c r="H6327" s="66" t="str">
        <f>IF('Twenty-Sixth'!H80="", "",'Twenty-Sixth'!H80)</f>
        <v>Booked</v>
      </c>
      <c r="I6327" s="66" t="str">
        <f>IF('Twenty-Sixth'!I80="", "",'Twenty-Sixth'!I80)</f>
        <v>Psych Support - Individual</v>
      </c>
      <c r="J6327" s="66" t="str">
        <f>IF('Twenty-Sixth'!J80="", "",'Twenty-Sixth'!J80)</f>
        <v/>
      </c>
      <c r="K6327" s="86" t="str">
        <f>IF('Twenty-Sixth'!K80="", "",'Twenty-Sixth'!K80)</f>
        <v/>
      </c>
      <c r="M6327" s="67">
        <f t="shared" si="299"/>
        <v>7</v>
      </c>
      <c r="N6327" s="76" t="str">
        <f t="shared" si="300"/>
        <v/>
      </c>
      <c r="O6327" s="33">
        <f t="shared" si="301"/>
        <v>7</v>
      </c>
    </row>
    <row r="6328" spans="1:15" x14ac:dyDescent="0.25">
      <c r="A6328" s="64" t="s">
        <v>210</v>
      </c>
      <c r="B6328" s="79" t="str">
        <f>IF('Twenty-Sixth'!B81="", "",'Twenty-Sixth'!B81)</f>
        <v>Psychologist</v>
      </c>
      <c r="C6328" s="66" t="str">
        <f>IF('Twenty-Sixth'!C81="", "",'Twenty-Sixth'!C81)</f>
        <v>PwC</v>
      </c>
      <c r="D6328" s="66" t="str">
        <f>IF('Twenty-Sixth'!D81="", "",'Twenty-Sixth'!D81)</f>
        <v>Returning</v>
      </c>
      <c r="E6328" s="66" t="str">
        <f>IF('Twenty-Sixth'!E81="", "",'Twenty-Sixth'!E81)</f>
        <v>Female</v>
      </c>
      <c r="F6328" s="66" t="str">
        <f>IF('Twenty-Sixth'!F81="", "",'Twenty-Sixth'!F81)</f>
        <v>Lower GI</v>
      </c>
      <c r="G6328" s="66" t="str">
        <f>IF('Twenty-Sixth'!G81="", "",'Twenty-Sixth'!G81)</f>
        <v>Non-Curative Intent</v>
      </c>
      <c r="H6328" s="66" t="str">
        <f>IF('Twenty-Sixth'!H81="", "",'Twenty-Sixth'!H81)</f>
        <v>Booked</v>
      </c>
      <c r="I6328" s="66" t="str">
        <f>IF('Twenty-Sixth'!I81="", "",'Twenty-Sixth'!I81)</f>
        <v>Psych Support - Individual</v>
      </c>
      <c r="J6328" s="66" t="str">
        <f>IF('Twenty-Sixth'!J81="", "",'Twenty-Sixth'!J81)</f>
        <v/>
      </c>
      <c r="K6328" s="86" t="str">
        <f>IF('Twenty-Sixth'!K81="", "",'Twenty-Sixth'!K81)</f>
        <v/>
      </c>
      <c r="M6328" s="67">
        <f t="shared" si="299"/>
        <v>7</v>
      </c>
      <c r="N6328" s="76" t="str">
        <f t="shared" si="300"/>
        <v/>
      </c>
      <c r="O6328" s="33">
        <f t="shared" si="301"/>
        <v>7</v>
      </c>
    </row>
    <row r="6329" spans="1:15" x14ac:dyDescent="0.25">
      <c r="A6329" s="64" t="s">
        <v>210</v>
      </c>
      <c r="B6329" s="79" t="str">
        <f>IF('Twenty-Sixth'!B82="", "",'Twenty-Sixth'!B82)</f>
        <v>Psychologist</v>
      </c>
      <c r="C6329" s="66" t="str">
        <f>IF('Twenty-Sixth'!C82="", "",'Twenty-Sixth'!C82)</f>
        <v>Carer</v>
      </c>
      <c r="D6329" s="66" t="str">
        <f>IF('Twenty-Sixth'!D82="", "",'Twenty-Sixth'!D82)</f>
        <v>Returning</v>
      </c>
      <c r="E6329" s="66" t="str">
        <f>IF('Twenty-Sixth'!E82="", "",'Twenty-Sixth'!E82)</f>
        <v>Male</v>
      </c>
      <c r="F6329" s="66" t="str">
        <f>IF('Twenty-Sixth'!F82="", "",'Twenty-Sixth'!F82)</f>
        <v>Lower GI</v>
      </c>
      <c r="G6329" s="66" t="str">
        <f>IF('Twenty-Sixth'!G82="", "",'Twenty-Sixth'!G82)</f>
        <v>Bereaved</v>
      </c>
      <c r="H6329" s="66" t="str">
        <f>IF('Twenty-Sixth'!H82="", "",'Twenty-Sixth'!H82)</f>
        <v>Booked</v>
      </c>
      <c r="I6329" s="66" t="str">
        <f>IF('Twenty-Sixth'!I82="", "",'Twenty-Sixth'!I82)</f>
        <v>Psych Support - Individual</v>
      </c>
      <c r="J6329" s="66" t="str">
        <f>IF('Twenty-Sixth'!J82="", "",'Twenty-Sixth'!J82)</f>
        <v/>
      </c>
      <c r="K6329" s="86" t="str">
        <f>IF('Twenty-Sixth'!K82="", "",'Twenty-Sixth'!K82)</f>
        <v/>
      </c>
      <c r="M6329" s="67" t="str">
        <f t="shared" si="299"/>
        <v/>
      </c>
      <c r="N6329" s="76">
        <f t="shared" si="300"/>
        <v>7</v>
      </c>
      <c r="O6329" s="33">
        <f t="shared" si="301"/>
        <v>7</v>
      </c>
    </row>
    <row r="6330" spans="1:15" x14ac:dyDescent="0.25">
      <c r="A6330" s="64" t="s">
        <v>210</v>
      </c>
      <c r="B6330" s="79" t="str">
        <f>IF('Twenty-Sixth'!B83="", "",'Twenty-Sixth'!B83)</f>
        <v>Psychologist</v>
      </c>
      <c r="C6330" s="66" t="str">
        <f>IF('Twenty-Sixth'!C83="", "",'Twenty-Sixth'!C83)</f>
        <v>Carer</v>
      </c>
      <c r="D6330" s="66" t="str">
        <f>IF('Twenty-Sixth'!D83="", "",'Twenty-Sixth'!D83)</f>
        <v>Returning</v>
      </c>
      <c r="E6330" s="66" t="str">
        <f>IF('Twenty-Sixth'!E83="", "",'Twenty-Sixth'!E83)</f>
        <v>Female</v>
      </c>
      <c r="F6330" s="66" t="str">
        <f>IF('Twenty-Sixth'!F83="", "",'Twenty-Sixth'!F83)</f>
        <v>Lower GI</v>
      </c>
      <c r="G6330" s="66" t="str">
        <f>IF('Twenty-Sixth'!G83="", "",'Twenty-Sixth'!G83)</f>
        <v>Bereaved</v>
      </c>
      <c r="H6330" s="66" t="str">
        <f>IF('Twenty-Sixth'!H83="", "",'Twenty-Sixth'!H83)</f>
        <v>Booked</v>
      </c>
      <c r="I6330" s="66" t="str">
        <f>IF('Twenty-Sixth'!I83="", "",'Twenty-Sixth'!I83)</f>
        <v>Psych Support - Individual</v>
      </c>
      <c r="J6330" s="66" t="str">
        <f>IF('Twenty-Sixth'!J83="", "",'Twenty-Sixth'!J83)</f>
        <v/>
      </c>
      <c r="K6330" s="86" t="str">
        <f>IF('Twenty-Sixth'!K83="", "",'Twenty-Sixth'!K83)</f>
        <v/>
      </c>
      <c r="M6330" s="67" t="str">
        <f t="shared" si="299"/>
        <v/>
      </c>
      <c r="N6330" s="76">
        <f t="shared" si="300"/>
        <v>7</v>
      </c>
      <c r="O6330" s="33">
        <f t="shared" si="301"/>
        <v>7</v>
      </c>
    </row>
    <row r="6331" spans="1:15" x14ac:dyDescent="0.25">
      <c r="A6331" s="64" t="s">
        <v>210</v>
      </c>
      <c r="B6331" s="79" t="str">
        <f>IF('Twenty-Sixth'!B84="", "",'Twenty-Sixth'!B84)</f>
        <v>Centre Head</v>
      </c>
      <c r="C6331" s="66" t="str">
        <f>IF('Twenty-Sixth'!C84="", "",'Twenty-Sixth'!C84)</f>
        <v>PwC</v>
      </c>
      <c r="D6331" s="66" t="str">
        <f>IF('Twenty-Sixth'!D84="", "",'Twenty-Sixth'!D84)</f>
        <v>Returning</v>
      </c>
      <c r="E6331" s="66" t="str">
        <f>IF('Twenty-Sixth'!E84="", "",'Twenty-Sixth'!E84)</f>
        <v>Male</v>
      </c>
      <c r="F6331" s="66" t="str">
        <f>IF('Twenty-Sixth'!F84="", "",'Twenty-Sixth'!F84)</f>
        <v>Brain/CNS</v>
      </c>
      <c r="G6331" s="66" t="str">
        <f>IF('Twenty-Sixth'!G84="", "",'Twenty-Sixth'!G84)</f>
        <v>Non-Curative Intent</v>
      </c>
      <c r="H6331" s="66" t="str">
        <f>IF('Twenty-Sixth'!H84="", "",'Twenty-Sixth'!H84)</f>
        <v>Booked</v>
      </c>
      <c r="I6331" s="66" t="str">
        <f>IF('Twenty-Sixth'!I84="", "",'Twenty-Sixth'!I84)</f>
        <v>Psych Support - Individual</v>
      </c>
      <c r="J6331" s="66" t="str">
        <f>IF('Twenty-Sixth'!J84="", "",'Twenty-Sixth'!J84)</f>
        <v/>
      </c>
      <c r="K6331" s="86" t="str">
        <f>IF('Twenty-Sixth'!K84="", "",'Twenty-Sixth'!K84)</f>
        <v/>
      </c>
      <c r="M6331" s="67">
        <f t="shared" si="299"/>
        <v>7</v>
      </c>
      <c r="N6331" s="76" t="str">
        <f t="shared" si="300"/>
        <v/>
      </c>
      <c r="O6331" s="33">
        <f t="shared" si="301"/>
        <v>7</v>
      </c>
    </row>
    <row r="6332" spans="1:15" x14ac:dyDescent="0.25">
      <c r="A6332" s="64" t="s">
        <v>210</v>
      </c>
      <c r="B6332" s="79" t="str">
        <f>IF('Twenty-Sixth'!B85="", "",'Twenty-Sixth'!B85)</f>
        <v>Centre Head</v>
      </c>
      <c r="C6332" s="66" t="str">
        <f>IF('Twenty-Sixth'!C85="", "",'Twenty-Sixth'!C85)</f>
        <v>Carer</v>
      </c>
      <c r="D6332" s="66" t="str">
        <f>IF('Twenty-Sixth'!D85="", "",'Twenty-Sixth'!D85)</f>
        <v>Returning</v>
      </c>
      <c r="E6332" s="66" t="str">
        <f>IF('Twenty-Sixth'!E85="", "",'Twenty-Sixth'!E85)</f>
        <v>Female</v>
      </c>
      <c r="F6332" s="66" t="str">
        <f>IF('Twenty-Sixth'!F85="", "",'Twenty-Sixth'!F85)</f>
        <v>Brain/CNS</v>
      </c>
      <c r="G6332" s="66" t="str">
        <f>IF('Twenty-Sixth'!G85="", "",'Twenty-Sixth'!G85)</f>
        <v>Non-Curative Intent</v>
      </c>
      <c r="H6332" s="66" t="str">
        <f>IF('Twenty-Sixth'!H85="", "",'Twenty-Sixth'!H85)</f>
        <v>Booked</v>
      </c>
      <c r="I6332" s="66" t="str">
        <f>IF('Twenty-Sixth'!I85="", "",'Twenty-Sixth'!I85)</f>
        <v>Psych Support - Individual</v>
      </c>
      <c r="J6332" s="66" t="str">
        <f>IF('Twenty-Sixth'!J85="", "",'Twenty-Sixth'!J85)</f>
        <v/>
      </c>
      <c r="K6332" s="86" t="str">
        <f>IF('Twenty-Sixth'!K85="", "",'Twenty-Sixth'!K85)</f>
        <v/>
      </c>
      <c r="M6332" s="67" t="str">
        <f t="shared" si="299"/>
        <v/>
      </c>
      <c r="N6332" s="76">
        <f t="shared" si="300"/>
        <v>7</v>
      </c>
      <c r="O6332" s="33">
        <f t="shared" si="301"/>
        <v>7</v>
      </c>
    </row>
    <row r="6333" spans="1:15" x14ac:dyDescent="0.25">
      <c r="A6333" s="64" t="s">
        <v>210</v>
      </c>
      <c r="B6333" s="79" t="str">
        <f>IF('Twenty-Sixth'!B86="", "",'Twenty-Sixth'!B86)</f>
        <v>Centre Head</v>
      </c>
      <c r="C6333" s="66" t="str">
        <f>IF('Twenty-Sixth'!C86="", "",'Twenty-Sixth'!C86)</f>
        <v>Carer</v>
      </c>
      <c r="D6333" s="66" t="str">
        <f>IF('Twenty-Sixth'!D86="", "",'Twenty-Sixth'!D86)</f>
        <v>Returning</v>
      </c>
      <c r="E6333" s="66" t="str">
        <f>IF('Twenty-Sixth'!E86="", "",'Twenty-Sixth'!E86)</f>
        <v>Under 18 Female</v>
      </c>
      <c r="F6333" s="66" t="str">
        <f>IF('Twenty-Sixth'!F86="", "",'Twenty-Sixth'!F86)</f>
        <v>Brain/CNS</v>
      </c>
      <c r="G6333" s="66" t="str">
        <f>IF('Twenty-Sixth'!G86="", "",'Twenty-Sixth'!G86)</f>
        <v>Non-Curative Intent</v>
      </c>
      <c r="H6333" s="66" t="str">
        <f>IF('Twenty-Sixth'!H86="", "",'Twenty-Sixth'!H86)</f>
        <v>Drop-In</v>
      </c>
      <c r="I6333" s="66" t="str">
        <f>IF('Twenty-Sixth'!I86="", "",'Twenty-Sixth'!I86)</f>
        <v/>
      </c>
      <c r="J6333" s="66" t="str">
        <f>IF('Twenty-Sixth'!J86="", "",'Twenty-Sixth'!J86)</f>
        <v/>
      </c>
      <c r="K6333" s="86" t="str">
        <f>IF('Twenty-Sixth'!K86="", "",'Twenty-Sixth'!K86)</f>
        <v/>
      </c>
      <c r="M6333" s="67" t="str">
        <f t="shared" si="299"/>
        <v/>
      </c>
      <c r="N6333" s="76">
        <f t="shared" si="300"/>
        <v>7</v>
      </c>
      <c r="O6333" s="33">
        <f t="shared" si="301"/>
        <v>7</v>
      </c>
    </row>
    <row r="6334" spans="1:15" x14ac:dyDescent="0.25">
      <c r="A6334" s="64" t="s">
        <v>210</v>
      </c>
      <c r="B6334" s="79" t="str">
        <f>IF('Twenty-Sixth'!B87="", "",'Twenty-Sixth'!B87)</f>
        <v>Centre Head</v>
      </c>
      <c r="C6334" s="66" t="str">
        <f>IF('Twenty-Sixth'!C87="", "",'Twenty-Sixth'!C87)</f>
        <v>Carer</v>
      </c>
      <c r="D6334" s="66" t="str">
        <f>IF('Twenty-Sixth'!D87="", "",'Twenty-Sixth'!D87)</f>
        <v>Returning</v>
      </c>
      <c r="E6334" s="66" t="str">
        <f>IF('Twenty-Sixth'!E87="", "",'Twenty-Sixth'!E87)</f>
        <v>Under 18 Female</v>
      </c>
      <c r="F6334" s="66" t="str">
        <f>IF('Twenty-Sixth'!F87="", "",'Twenty-Sixth'!F87)</f>
        <v>Brain/CNS</v>
      </c>
      <c r="G6334" s="66" t="str">
        <f>IF('Twenty-Sixth'!G87="", "",'Twenty-Sixth'!G87)</f>
        <v>Non-Curative Intent</v>
      </c>
      <c r="H6334" s="66" t="str">
        <f>IF('Twenty-Sixth'!H87="", "",'Twenty-Sixth'!H87)</f>
        <v>Drop-In</v>
      </c>
      <c r="I6334" s="66" t="str">
        <f>IF('Twenty-Sixth'!I87="", "",'Twenty-Sixth'!I87)</f>
        <v/>
      </c>
      <c r="J6334" s="66" t="str">
        <f>IF('Twenty-Sixth'!J87="", "",'Twenty-Sixth'!J87)</f>
        <v/>
      </c>
      <c r="K6334" s="86" t="str">
        <f>IF('Twenty-Sixth'!K87="", "",'Twenty-Sixth'!K87)</f>
        <v/>
      </c>
      <c r="M6334" s="67" t="str">
        <f t="shared" si="299"/>
        <v/>
      </c>
      <c r="N6334" s="76">
        <f t="shared" si="300"/>
        <v>7</v>
      </c>
      <c r="O6334" s="33">
        <f t="shared" si="301"/>
        <v>7</v>
      </c>
    </row>
    <row r="6335" spans="1:15" x14ac:dyDescent="0.25">
      <c r="A6335" s="64" t="s">
        <v>210</v>
      </c>
      <c r="B6335" s="79" t="str">
        <f>IF('Twenty-Sixth'!B88="", "",'Twenty-Sixth'!B88)</f>
        <v>Centre Head</v>
      </c>
      <c r="C6335" s="66" t="str">
        <f>IF('Twenty-Sixth'!C88="", "",'Twenty-Sixth'!C88)</f>
        <v>PwC</v>
      </c>
      <c r="D6335" s="66" t="str">
        <f>IF('Twenty-Sixth'!D88="", "",'Twenty-Sixth'!D88)</f>
        <v>Returning</v>
      </c>
      <c r="E6335" s="66" t="str">
        <f>IF('Twenty-Sixth'!E88="", "",'Twenty-Sixth'!E88)</f>
        <v>Male</v>
      </c>
      <c r="F6335" s="66" t="str">
        <f>IF('Twenty-Sixth'!F88="", "",'Twenty-Sixth'!F88)</f>
        <v>Head/Neck</v>
      </c>
      <c r="G6335" s="66" t="str">
        <f>IF('Twenty-Sixth'!G88="", "",'Twenty-Sixth'!G88)</f>
        <v>Curative Intent</v>
      </c>
      <c r="H6335" s="66" t="str">
        <f>IF('Twenty-Sixth'!H88="", "",'Twenty-Sixth'!H88)</f>
        <v>Drop-In</v>
      </c>
      <c r="I6335" s="66" t="str">
        <f>IF('Twenty-Sixth'!I88="", "",'Twenty-Sixth'!I88)</f>
        <v/>
      </c>
      <c r="J6335" s="66" t="str">
        <f>IF('Twenty-Sixth'!J88="", "",'Twenty-Sixth'!J88)</f>
        <v/>
      </c>
      <c r="K6335" s="86" t="str">
        <f>IF('Twenty-Sixth'!K88="", "",'Twenty-Sixth'!K88)</f>
        <v/>
      </c>
      <c r="M6335" s="67">
        <f t="shared" ref="M6335:M6398" si="302">IF(C6335="PwC",(7-COUNTIF(B6335:H6335,"")),"")</f>
        <v>7</v>
      </c>
      <c r="N6335" s="76" t="str">
        <f t="shared" ref="N6335:N6398" si="303">IF(C6335="Carer",(7-COUNTIF(B6335:H6335,"")),"")</f>
        <v/>
      </c>
      <c r="O6335" s="33">
        <f t="shared" si="301"/>
        <v>7</v>
      </c>
    </row>
    <row r="6336" spans="1:15" x14ac:dyDescent="0.25">
      <c r="A6336" s="64" t="s">
        <v>210</v>
      </c>
      <c r="B6336" s="79" t="str">
        <f>IF('Twenty-Sixth'!B89="", "",'Twenty-Sixth'!B89)</f>
        <v>Benefits Advisor</v>
      </c>
      <c r="C6336" s="66" t="str">
        <f>IF('Twenty-Sixth'!C89="", "",'Twenty-Sixth'!C89)</f>
        <v>PwC</v>
      </c>
      <c r="D6336" s="66" t="str">
        <f>IF('Twenty-Sixth'!D89="", "",'Twenty-Sixth'!D89)</f>
        <v>Returning</v>
      </c>
      <c r="E6336" s="66" t="str">
        <f>IF('Twenty-Sixth'!E89="", "",'Twenty-Sixth'!E89)</f>
        <v>Male</v>
      </c>
      <c r="F6336" s="66" t="str">
        <f>IF('Twenty-Sixth'!F89="", "",'Twenty-Sixth'!F89)</f>
        <v>Skin/Mel</v>
      </c>
      <c r="G6336" s="66" t="str">
        <f>IF('Twenty-Sixth'!G89="", "",'Twenty-Sixth'!G89)</f>
        <v>Non-Curative Intent</v>
      </c>
      <c r="H6336" s="66" t="str">
        <f>IF('Twenty-Sixth'!H89="", "",'Twenty-Sixth'!H89)</f>
        <v>Telephone Support</v>
      </c>
      <c r="I6336" s="66" t="str">
        <f>IF('Twenty-Sixth'!I89="", "",'Twenty-Sixth'!I89)</f>
        <v>Benefits - Individual</v>
      </c>
      <c r="J6336" s="66" t="str">
        <f>IF('Twenty-Sixth'!J89="", "",'Twenty-Sixth'!J89)</f>
        <v/>
      </c>
      <c r="K6336" s="86" t="str">
        <f>IF('Twenty-Sixth'!K89="", "",'Twenty-Sixth'!K89)</f>
        <v/>
      </c>
      <c r="M6336" s="67">
        <f t="shared" si="302"/>
        <v>7</v>
      </c>
      <c r="N6336" s="76" t="str">
        <f t="shared" si="303"/>
        <v/>
      </c>
      <c r="O6336" s="33">
        <f t="shared" si="301"/>
        <v>7</v>
      </c>
    </row>
    <row r="6337" spans="1:15" x14ac:dyDescent="0.25">
      <c r="A6337" s="64" t="s">
        <v>210</v>
      </c>
      <c r="B6337" s="79" t="str">
        <f>IF('Twenty-Sixth'!B90="", "",'Twenty-Sixth'!B90)</f>
        <v>Psychologist</v>
      </c>
      <c r="C6337" s="66" t="str">
        <f>IF('Twenty-Sixth'!C90="", "",'Twenty-Sixth'!C90)</f>
        <v>PwC</v>
      </c>
      <c r="D6337" s="66" t="str">
        <f>IF('Twenty-Sixth'!D90="", "",'Twenty-Sixth'!D90)</f>
        <v>Returning</v>
      </c>
      <c r="E6337" s="66" t="str">
        <f>IF('Twenty-Sixth'!E90="", "",'Twenty-Sixth'!E90)</f>
        <v>Male</v>
      </c>
      <c r="F6337" s="66" t="str">
        <f>IF('Twenty-Sixth'!F90="", "",'Twenty-Sixth'!F90)</f>
        <v>Brain/CNS</v>
      </c>
      <c r="G6337" s="66" t="str">
        <f>IF('Twenty-Sixth'!G90="", "",'Twenty-Sixth'!G90)</f>
        <v>Non-Curative Intent</v>
      </c>
      <c r="H6337" s="66" t="str">
        <f>IF('Twenty-Sixth'!H90="", "",'Twenty-Sixth'!H90)</f>
        <v>Booked</v>
      </c>
      <c r="I6337" s="66" t="str">
        <f>IF('Twenty-Sixth'!I90="", "",'Twenty-Sixth'!I90)</f>
        <v>Psych Support - Individual</v>
      </c>
      <c r="J6337" s="66" t="str">
        <f>IF('Twenty-Sixth'!J90="", "",'Twenty-Sixth'!J90)</f>
        <v/>
      </c>
      <c r="K6337" s="86" t="str">
        <f>IF('Twenty-Sixth'!K90="", "",'Twenty-Sixth'!K90)</f>
        <v/>
      </c>
      <c r="M6337" s="67">
        <f t="shared" si="302"/>
        <v>7</v>
      </c>
      <c r="N6337" s="76" t="str">
        <f t="shared" si="303"/>
        <v/>
      </c>
      <c r="O6337" s="33">
        <f t="shared" si="301"/>
        <v>7</v>
      </c>
    </row>
    <row r="6338" spans="1:15" x14ac:dyDescent="0.25">
      <c r="A6338" s="64" t="s">
        <v>210</v>
      </c>
      <c r="B6338" s="79" t="str">
        <f>IF('Twenty-Sixth'!B91="", "",'Twenty-Sixth'!B91)</f>
        <v>Psychologist</v>
      </c>
      <c r="C6338" s="66" t="str">
        <f>IF('Twenty-Sixth'!C91="", "",'Twenty-Sixth'!C91)</f>
        <v>Carer</v>
      </c>
      <c r="D6338" s="66" t="str">
        <f>IF('Twenty-Sixth'!D91="", "",'Twenty-Sixth'!D91)</f>
        <v>Returning</v>
      </c>
      <c r="E6338" s="66" t="str">
        <f>IF('Twenty-Sixth'!E91="", "",'Twenty-Sixth'!E91)</f>
        <v>Female</v>
      </c>
      <c r="F6338" s="66" t="str">
        <f>IF('Twenty-Sixth'!F91="", "",'Twenty-Sixth'!F91)</f>
        <v>Brain/CNS</v>
      </c>
      <c r="G6338" s="66" t="str">
        <f>IF('Twenty-Sixth'!G91="", "",'Twenty-Sixth'!G91)</f>
        <v>Non-Curative Intent</v>
      </c>
      <c r="H6338" s="66" t="str">
        <f>IF('Twenty-Sixth'!H91="", "",'Twenty-Sixth'!H91)</f>
        <v>Booked</v>
      </c>
      <c r="I6338" s="66" t="str">
        <f>IF('Twenty-Sixth'!I91="", "",'Twenty-Sixth'!I91)</f>
        <v>Psych Support - Individual</v>
      </c>
      <c r="J6338" s="66" t="str">
        <f>IF('Twenty-Sixth'!J91="", "",'Twenty-Sixth'!J91)</f>
        <v/>
      </c>
      <c r="K6338" s="86" t="str">
        <f>IF('Twenty-Sixth'!K91="", "",'Twenty-Sixth'!K91)</f>
        <v/>
      </c>
      <c r="M6338" s="67" t="str">
        <f t="shared" si="302"/>
        <v/>
      </c>
      <c r="N6338" s="76">
        <f t="shared" si="303"/>
        <v>7</v>
      </c>
      <c r="O6338" s="33">
        <f t="shared" si="301"/>
        <v>7</v>
      </c>
    </row>
    <row r="6339" spans="1:15" x14ac:dyDescent="0.25">
      <c r="A6339" s="64" t="s">
        <v>210</v>
      </c>
      <c r="B6339" s="79" t="str">
        <f>IF('Twenty-Sixth'!B92="", "",'Twenty-Sixth'!B92)</f>
        <v>Psychologist</v>
      </c>
      <c r="C6339" s="66" t="str">
        <f>IF('Twenty-Sixth'!C92="", "",'Twenty-Sixth'!C92)</f>
        <v>PwC</v>
      </c>
      <c r="D6339" s="66" t="str">
        <f>IF('Twenty-Sixth'!D92="", "",'Twenty-Sixth'!D92)</f>
        <v>Returning</v>
      </c>
      <c r="E6339" s="66" t="str">
        <f>IF('Twenty-Sixth'!E92="", "",'Twenty-Sixth'!E92)</f>
        <v>Male</v>
      </c>
      <c r="F6339" s="66" t="str">
        <f>IF('Twenty-Sixth'!F92="", "",'Twenty-Sixth'!F92)</f>
        <v>Testicular</v>
      </c>
      <c r="G6339" s="66" t="str">
        <f>IF('Twenty-Sixth'!G92="", "",'Twenty-Sixth'!G92)</f>
        <v>Curative Intent</v>
      </c>
      <c r="H6339" s="66" t="str">
        <f>IF('Twenty-Sixth'!H92="", "",'Twenty-Sixth'!H92)</f>
        <v>Booked</v>
      </c>
      <c r="I6339" s="66" t="str">
        <f>IF('Twenty-Sixth'!I92="", "",'Twenty-Sixth'!I92)</f>
        <v>Psych Support - Individual</v>
      </c>
      <c r="J6339" s="66" t="str">
        <f>IF('Twenty-Sixth'!J92="", "",'Twenty-Sixth'!J92)</f>
        <v/>
      </c>
      <c r="K6339" s="86" t="str">
        <f>IF('Twenty-Sixth'!K92="", "",'Twenty-Sixth'!K92)</f>
        <v/>
      </c>
      <c r="M6339" s="67">
        <f t="shared" si="302"/>
        <v>7</v>
      </c>
      <c r="N6339" s="76" t="str">
        <f t="shared" si="303"/>
        <v/>
      </c>
      <c r="O6339" s="33">
        <f t="shared" si="301"/>
        <v>7</v>
      </c>
    </row>
    <row r="6340" spans="1:15" x14ac:dyDescent="0.25">
      <c r="A6340" s="64" t="s">
        <v>210</v>
      </c>
      <c r="B6340" s="79" t="str">
        <f>IF('Twenty-Sixth'!B93="", "",'Twenty-Sixth'!B93)</f>
        <v>Psychologist</v>
      </c>
      <c r="C6340" s="66" t="str">
        <f>IF('Twenty-Sixth'!C93="", "",'Twenty-Sixth'!C93)</f>
        <v>Carer</v>
      </c>
      <c r="D6340" s="66" t="str">
        <f>IF('Twenty-Sixth'!D93="", "",'Twenty-Sixth'!D93)</f>
        <v>Returning</v>
      </c>
      <c r="E6340" s="66" t="str">
        <f>IF('Twenty-Sixth'!E93="", "",'Twenty-Sixth'!E93)</f>
        <v>Female</v>
      </c>
      <c r="F6340" s="66" t="str">
        <f>IF('Twenty-Sixth'!F93="", "",'Twenty-Sixth'!F93)</f>
        <v>Brain/CNS</v>
      </c>
      <c r="G6340" s="66" t="str">
        <f>IF('Twenty-Sixth'!G93="", "",'Twenty-Sixth'!G93)</f>
        <v>Bereaved</v>
      </c>
      <c r="H6340" s="66" t="str">
        <f>IF('Twenty-Sixth'!H93="", "",'Twenty-Sixth'!H93)</f>
        <v>Booked</v>
      </c>
      <c r="I6340" s="66" t="str">
        <f>IF('Twenty-Sixth'!I93="", "",'Twenty-Sixth'!I93)</f>
        <v>Psych Support - Individual</v>
      </c>
      <c r="J6340" s="66" t="str">
        <f>IF('Twenty-Sixth'!J93="", "",'Twenty-Sixth'!J93)</f>
        <v/>
      </c>
      <c r="K6340" s="86" t="str">
        <f>IF('Twenty-Sixth'!K93="", "",'Twenty-Sixth'!K93)</f>
        <v/>
      </c>
      <c r="M6340" s="67" t="str">
        <f t="shared" si="302"/>
        <v/>
      </c>
      <c r="N6340" s="76">
        <f t="shared" si="303"/>
        <v>7</v>
      </c>
      <c r="O6340" s="33">
        <f t="shared" si="301"/>
        <v>7</v>
      </c>
    </row>
    <row r="6341" spans="1:15" x14ac:dyDescent="0.25">
      <c r="A6341" s="64" t="s">
        <v>210</v>
      </c>
      <c r="B6341" s="79" t="str">
        <f>IF('Twenty-Sixth'!B94="", "",'Twenty-Sixth'!B94)</f>
        <v>Psychologist</v>
      </c>
      <c r="C6341" s="66" t="str">
        <f>IF('Twenty-Sixth'!C94="", "",'Twenty-Sixth'!C94)</f>
        <v>PwC</v>
      </c>
      <c r="D6341" s="66" t="str">
        <f>IF('Twenty-Sixth'!D94="", "",'Twenty-Sixth'!D94)</f>
        <v>Returning</v>
      </c>
      <c r="E6341" s="66" t="str">
        <f>IF('Twenty-Sixth'!E94="", "",'Twenty-Sixth'!E94)</f>
        <v>Male</v>
      </c>
      <c r="F6341" s="66" t="str">
        <f>IF('Twenty-Sixth'!F94="", "",'Twenty-Sixth'!F94)</f>
        <v>Lower GI</v>
      </c>
      <c r="G6341" s="66" t="str">
        <f>IF('Twenty-Sixth'!G94="", "",'Twenty-Sixth'!G94)</f>
        <v>Non-Curative Intent</v>
      </c>
      <c r="H6341" s="66" t="str">
        <f>IF('Twenty-Sixth'!H94="", "",'Twenty-Sixth'!H94)</f>
        <v>Booked</v>
      </c>
      <c r="I6341" s="66" t="str">
        <f>IF('Twenty-Sixth'!I94="", "",'Twenty-Sixth'!I94)</f>
        <v>Psych Support - Individual</v>
      </c>
      <c r="J6341" s="66" t="str">
        <f>IF('Twenty-Sixth'!J94="", "",'Twenty-Sixth'!J94)</f>
        <v/>
      </c>
      <c r="K6341" s="86" t="str">
        <f>IF('Twenty-Sixth'!K94="", "",'Twenty-Sixth'!K94)</f>
        <v/>
      </c>
      <c r="M6341" s="67">
        <f t="shared" si="302"/>
        <v>7</v>
      </c>
      <c r="N6341" s="76" t="str">
        <f t="shared" si="303"/>
        <v/>
      </c>
      <c r="O6341" s="33">
        <f t="shared" si="301"/>
        <v>7</v>
      </c>
    </row>
    <row r="6342" spans="1:15" x14ac:dyDescent="0.25">
      <c r="A6342" s="64" t="s">
        <v>210</v>
      </c>
      <c r="B6342" s="79" t="str">
        <f>IF('Twenty-Sixth'!B95="", "",'Twenty-Sixth'!B95)</f>
        <v>Psychologist</v>
      </c>
      <c r="C6342" s="66" t="str">
        <f>IF('Twenty-Sixth'!C95="", "",'Twenty-Sixth'!C95)</f>
        <v>PwC</v>
      </c>
      <c r="D6342" s="66" t="str">
        <f>IF('Twenty-Sixth'!D95="", "",'Twenty-Sixth'!D95)</f>
        <v>Returning</v>
      </c>
      <c r="E6342" s="66" t="str">
        <f>IF('Twenty-Sixth'!E95="", "",'Twenty-Sixth'!E95)</f>
        <v>Female</v>
      </c>
      <c r="F6342" s="66" t="str">
        <f>IF('Twenty-Sixth'!F95="", "",'Twenty-Sixth'!F95)</f>
        <v>Breast</v>
      </c>
      <c r="G6342" s="66" t="str">
        <f>IF('Twenty-Sixth'!G95="", "",'Twenty-Sixth'!G95)</f>
        <v>Curative Intent</v>
      </c>
      <c r="H6342" s="66" t="str">
        <f>IF('Twenty-Sixth'!H95="", "",'Twenty-Sixth'!H95)</f>
        <v>Booked</v>
      </c>
      <c r="I6342" s="66" t="str">
        <f>IF('Twenty-Sixth'!I95="", "",'Twenty-Sixth'!I95)</f>
        <v>Psych Support - Individual</v>
      </c>
      <c r="J6342" s="66" t="str">
        <f>IF('Twenty-Sixth'!J95="", "",'Twenty-Sixth'!J95)</f>
        <v/>
      </c>
      <c r="K6342" s="86" t="str">
        <f>IF('Twenty-Sixth'!K95="", "",'Twenty-Sixth'!K95)</f>
        <v/>
      </c>
      <c r="M6342" s="67">
        <f t="shared" si="302"/>
        <v>7</v>
      </c>
      <c r="N6342" s="76" t="str">
        <f t="shared" si="303"/>
        <v/>
      </c>
      <c r="O6342" s="33">
        <f t="shared" si="301"/>
        <v>7</v>
      </c>
    </row>
    <row r="6343" spans="1:15" x14ac:dyDescent="0.25">
      <c r="A6343" s="64" t="s">
        <v>210</v>
      </c>
      <c r="B6343" s="79" t="str">
        <f>IF('Twenty-Sixth'!B96="", "",'Twenty-Sixth'!B96)</f>
        <v>CSS</v>
      </c>
      <c r="C6343" s="66" t="str">
        <f>IF('Twenty-Sixth'!C96="", "",'Twenty-Sixth'!C96)</f>
        <v>PwC</v>
      </c>
      <c r="D6343" s="66" t="str">
        <f>IF('Twenty-Sixth'!D96="", "",'Twenty-Sixth'!D96)</f>
        <v>Returning</v>
      </c>
      <c r="E6343" s="66" t="str">
        <f>IF('Twenty-Sixth'!E96="", "",'Twenty-Sixth'!E96)</f>
        <v>Male</v>
      </c>
      <c r="F6343" s="66" t="str">
        <f>IF('Twenty-Sixth'!F96="", "",'Twenty-Sixth'!F96)</f>
        <v>Urolog</v>
      </c>
      <c r="G6343" s="66" t="str">
        <f>IF('Twenty-Sixth'!G96="", "",'Twenty-Sixth'!G96)</f>
        <v>Post Treatment - Curative Intent</v>
      </c>
      <c r="H6343" s="66" t="str">
        <f>IF('Twenty-Sixth'!H96="", "",'Twenty-Sixth'!H96)</f>
        <v>Programme</v>
      </c>
      <c r="I6343" s="66" t="str">
        <f>IF('Twenty-Sixth'!I96="", "",'Twenty-Sixth'!I96)</f>
        <v>FSG General</v>
      </c>
      <c r="J6343" s="66" t="str">
        <f>IF('Twenty-Sixth'!J96="", "",'Twenty-Sixth'!J96)</f>
        <v/>
      </c>
      <c r="K6343" s="86" t="str">
        <f>IF('Twenty-Sixth'!K96="", "",'Twenty-Sixth'!K96)</f>
        <v/>
      </c>
      <c r="M6343" s="67">
        <f t="shared" si="302"/>
        <v>7</v>
      </c>
      <c r="N6343" s="76" t="str">
        <f t="shared" si="303"/>
        <v/>
      </c>
      <c r="O6343" s="33">
        <f t="shared" si="301"/>
        <v>7</v>
      </c>
    </row>
    <row r="6344" spans="1:15" x14ac:dyDescent="0.25">
      <c r="A6344" s="64" t="s">
        <v>210</v>
      </c>
      <c r="B6344" s="79" t="str">
        <f>IF('Twenty-Sixth'!B97="", "",'Twenty-Sixth'!B97)</f>
        <v>CSS</v>
      </c>
      <c r="C6344" s="66" t="str">
        <f>IF('Twenty-Sixth'!C97="", "",'Twenty-Sixth'!C97)</f>
        <v>PwC</v>
      </c>
      <c r="D6344" s="66" t="str">
        <f>IF('Twenty-Sixth'!D97="", "",'Twenty-Sixth'!D97)</f>
        <v>Returning</v>
      </c>
      <c r="E6344" s="66" t="str">
        <f>IF('Twenty-Sixth'!E97="", "",'Twenty-Sixth'!E97)</f>
        <v>Male</v>
      </c>
      <c r="F6344" s="66" t="str">
        <f>IF('Twenty-Sixth'!F97="", "",'Twenty-Sixth'!F97)</f>
        <v>Urolog</v>
      </c>
      <c r="G6344" s="66" t="str">
        <f>IF('Twenty-Sixth'!G97="", "",'Twenty-Sixth'!G97)</f>
        <v>Post Treatment - Curative Intent</v>
      </c>
      <c r="H6344" s="66" t="str">
        <f>IF('Twenty-Sixth'!H97="", "",'Twenty-Sixth'!H97)</f>
        <v>Programme</v>
      </c>
      <c r="I6344" s="66" t="str">
        <f>IF('Twenty-Sixth'!I97="", "",'Twenty-Sixth'!I97)</f>
        <v>FSG General</v>
      </c>
      <c r="J6344" s="66" t="str">
        <f>IF('Twenty-Sixth'!J97="", "",'Twenty-Sixth'!J97)</f>
        <v/>
      </c>
      <c r="K6344" s="86" t="str">
        <f>IF('Twenty-Sixth'!K97="", "",'Twenty-Sixth'!K97)</f>
        <v/>
      </c>
      <c r="M6344" s="67">
        <f t="shared" si="302"/>
        <v>7</v>
      </c>
      <c r="N6344" s="76" t="str">
        <f t="shared" si="303"/>
        <v/>
      </c>
      <c r="O6344" s="33">
        <f t="shared" si="301"/>
        <v>7</v>
      </c>
    </row>
    <row r="6345" spans="1:15" x14ac:dyDescent="0.25">
      <c r="A6345" s="64" t="s">
        <v>210</v>
      </c>
      <c r="B6345" s="79" t="str">
        <f>IF('Twenty-Sixth'!B98="", "",'Twenty-Sixth'!B98)</f>
        <v>CSS</v>
      </c>
      <c r="C6345" s="66" t="str">
        <f>IF('Twenty-Sixth'!C98="", "",'Twenty-Sixth'!C98)</f>
        <v>PwC</v>
      </c>
      <c r="D6345" s="66" t="str">
        <f>IF('Twenty-Sixth'!D98="", "",'Twenty-Sixth'!D98)</f>
        <v>Returning</v>
      </c>
      <c r="E6345" s="66" t="str">
        <f>IF('Twenty-Sixth'!E98="", "",'Twenty-Sixth'!E98)</f>
        <v>Male</v>
      </c>
      <c r="F6345" s="66" t="str">
        <f>IF('Twenty-Sixth'!F98="", "",'Twenty-Sixth'!F98)</f>
        <v>Urolog</v>
      </c>
      <c r="G6345" s="66" t="str">
        <f>IF('Twenty-Sixth'!G98="", "",'Twenty-Sixth'!G98)</f>
        <v>Post Treatment - Curative Intent</v>
      </c>
      <c r="H6345" s="66" t="str">
        <f>IF('Twenty-Sixth'!H98="", "",'Twenty-Sixth'!H98)</f>
        <v>Programme</v>
      </c>
      <c r="I6345" s="66" t="str">
        <f>IF('Twenty-Sixth'!I98="", "",'Twenty-Sixth'!I98)</f>
        <v>FSG General</v>
      </c>
      <c r="J6345" s="66" t="str">
        <f>IF('Twenty-Sixth'!J98="", "",'Twenty-Sixth'!J98)</f>
        <v/>
      </c>
      <c r="K6345" s="86" t="str">
        <f>IF('Twenty-Sixth'!K98="", "",'Twenty-Sixth'!K98)</f>
        <v/>
      </c>
      <c r="M6345" s="67">
        <f t="shared" si="302"/>
        <v>7</v>
      </c>
      <c r="N6345" s="76" t="str">
        <f t="shared" si="303"/>
        <v/>
      </c>
      <c r="O6345" s="33">
        <f t="shared" si="301"/>
        <v>7</v>
      </c>
    </row>
    <row r="6346" spans="1:15" x14ac:dyDescent="0.25">
      <c r="A6346" s="64" t="s">
        <v>210</v>
      </c>
      <c r="B6346" s="79" t="str">
        <f>IF('Twenty-Sixth'!B99="", "",'Twenty-Sixth'!B99)</f>
        <v>CSS</v>
      </c>
      <c r="C6346" s="66" t="str">
        <f>IF('Twenty-Sixth'!C99="", "",'Twenty-Sixth'!C99)</f>
        <v>PwC</v>
      </c>
      <c r="D6346" s="66" t="str">
        <f>IF('Twenty-Sixth'!D99="", "",'Twenty-Sixth'!D99)</f>
        <v>Returning</v>
      </c>
      <c r="E6346" s="66" t="str">
        <f>IF('Twenty-Sixth'!E99="", "",'Twenty-Sixth'!E99)</f>
        <v>Male</v>
      </c>
      <c r="F6346" s="66" t="str">
        <f>IF('Twenty-Sixth'!F99="", "",'Twenty-Sixth'!F99)</f>
        <v>Urolog</v>
      </c>
      <c r="G6346" s="66" t="str">
        <f>IF('Twenty-Sixth'!G99="", "",'Twenty-Sixth'!G99)</f>
        <v>Post Treatment - Curative Intent</v>
      </c>
      <c r="H6346" s="66" t="str">
        <f>IF('Twenty-Sixth'!H99="", "",'Twenty-Sixth'!H99)</f>
        <v>Programme</v>
      </c>
      <c r="I6346" s="66" t="str">
        <f>IF('Twenty-Sixth'!I99="", "",'Twenty-Sixth'!I99)</f>
        <v>FSG General</v>
      </c>
      <c r="J6346" s="66" t="str">
        <f>IF('Twenty-Sixth'!J99="", "",'Twenty-Sixth'!J99)</f>
        <v/>
      </c>
      <c r="K6346" s="86" t="str">
        <f>IF('Twenty-Sixth'!K99="", "",'Twenty-Sixth'!K99)</f>
        <v/>
      </c>
      <c r="M6346" s="67">
        <f t="shared" si="302"/>
        <v>7</v>
      </c>
      <c r="N6346" s="76" t="str">
        <f t="shared" si="303"/>
        <v/>
      </c>
      <c r="O6346" s="33">
        <f t="shared" ref="O6346:O6409" si="304">SUM(M6346:N6346)</f>
        <v>7</v>
      </c>
    </row>
    <row r="6347" spans="1:15" x14ac:dyDescent="0.25">
      <c r="A6347" s="64" t="s">
        <v>210</v>
      </c>
      <c r="B6347" s="79" t="str">
        <f>IF('Twenty-Sixth'!B100="", "",'Twenty-Sixth'!B100)</f>
        <v>CSS</v>
      </c>
      <c r="C6347" s="66" t="str">
        <f>IF('Twenty-Sixth'!C100="", "",'Twenty-Sixth'!C100)</f>
        <v>PwC</v>
      </c>
      <c r="D6347" s="66" t="str">
        <f>IF('Twenty-Sixth'!D100="", "",'Twenty-Sixth'!D100)</f>
        <v>Returning</v>
      </c>
      <c r="E6347" s="66" t="str">
        <f>IF('Twenty-Sixth'!E100="", "",'Twenty-Sixth'!E100)</f>
        <v>Male</v>
      </c>
      <c r="F6347" s="66" t="str">
        <f>IF('Twenty-Sixth'!F100="", "",'Twenty-Sixth'!F100)</f>
        <v>Urolog</v>
      </c>
      <c r="G6347" s="66" t="str">
        <f>IF('Twenty-Sixth'!G100="", "",'Twenty-Sixth'!G100)</f>
        <v>Post Treatment - Curative Intent</v>
      </c>
      <c r="H6347" s="66" t="str">
        <f>IF('Twenty-Sixth'!H100="", "",'Twenty-Sixth'!H100)</f>
        <v>Programme</v>
      </c>
      <c r="I6347" s="66" t="str">
        <f>IF('Twenty-Sixth'!I100="", "",'Twenty-Sixth'!I100)</f>
        <v>FSG General</v>
      </c>
      <c r="J6347" s="66" t="str">
        <f>IF('Twenty-Sixth'!J100="", "",'Twenty-Sixth'!J100)</f>
        <v/>
      </c>
      <c r="K6347" s="86" t="str">
        <f>IF('Twenty-Sixth'!K100="", "",'Twenty-Sixth'!K100)</f>
        <v/>
      </c>
      <c r="M6347" s="67">
        <f t="shared" si="302"/>
        <v>7</v>
      </c>
      <c r="N6347" s="76" t="str">
        <f t="shared" si="303"/>
        <v/>
      </c>
      <c r="O6347" s="33">
        <f t="shared" si="304"/>
        <v>7</v>
      </c>
    </row>
    <row r="6348" spans="1:15" x14ac:dyDescent="0.25">
      <c r="A6348" s="64" t="s">
        <v>210</v>
      </c>
      <c r="B6348" s="79" t="str">
        <f>IF('Twenty-Sixth'!B101="", "",'Twenty-Sixth'!B101)</f>
        <v>CSS</v>
      </c>
      <c r="C6348" s="66" t="str">
        <f>IF('Twenty-Sixth'!C101="", "",'Twenty-Sixth'!C101)</f>
        <v>Carer</v>
      </c>
      <c r="D6348" s="66" t="str">
        <f>IF('Twenty-Sixth'!D101="", "",'Twenty-Sixth'!D101)</f>
        <v>Returning</v>
      </c>
      <c r="E6348" s="66" t="str">
        <f>IF('Twenty-Sixth'!E101="", "",'Twenty-Sixth'!E101)</f>
        <v>Female</v>
      </c>
      <c r="F6348" s="66" t="str">
        <f>IF('Twenty-Sixth'!F101="", "",'Twenty-Sixth'!F101)</f>
        <v>Urolog</v>
      </c>
      <c r="G6348" s="66" t="str">
        <f>IF('Twenty-Sixth'!G101="", "",'Twenty-Sixth'!G101)</f>
        <v>Post Treatment - Curative Intent</v>
      </c>
      <c r="H6348" s="66" t="str">
        <f>IF('Twenty-Sixth'!H101="", "",'Twenty-Sixth'!H101)</f>
        <v>Programme</v>
      </c>
      <c r="I6348" s="66" t="str">
        <f>IF('Twenty-Sixth'!I101="", "",'Twenty-Sixth'!I101)</f>
        <v>FSG General</v>
      </c>
      <c r="J6348" s="66" t="str">
        <f>IF('Twenty-Sixth'!J101="", "",'Twenty-Sixth'!J101)</f>
        <v/>
      </c>
      <c r="K6348" s="86" t="str">
        <f>IF('Twenty-Sixth'!K101="", "",'Twenty-Sixth'!K101)</f>
        <v/>
      </c>
      <c r="M6348" s="67" t="str">
        <f t="shared" si="302"/>
        <v/>
      </c>
      <c r="N6348" s="76">
        <f t="shared" si="303"/>
        <v>7</v>
      </c>
      <c r="O6348" s="33">
        <f t="shared" si="304"/>
        <v>7</v>
      </c>
    </row>
    <row r="6349" spans="1:15" x14ac:dyDescent="0.25">
      <c r="A6349" s="64" t="s">
        <v>210</v>
      </c>
      <c r="B6349" s="79" t="str">
        <f>IF('Twenty-Sixth'!B102="", "",'Twenty-Sixth'!B102)</f>
        <v>CSS</v>
      </c>
      <c r="C6349" s="66" t="str">
        <f>IF('Twenty-Sixth'!C102="", "",'Twenty-Sixth'!C102)</f>
        <v>Carer</v>
      </c>
      <c r="D6349" s="66" t="str">
        <f>IF('Twenty-Sixth'!D102="", "",'Twenty-Sixth'!D102)</f>
        <v>New</v>
      </c>
      <c r="E6349" s="66" t="str">
        <f>IF('Twenty-Sixth'!E102="", "",'Twenty-Sixth'!E102)</f>
        <v>Female</v>
      </c>
      <c r="F6349" s="66" t="str">
        <f>IF('Twenty-Sixth'!F102="", "",'Twenty-Sixth'!F102)</f>
        <v>Urolog</v>
      </c>
      <c r="G6349" s="66" t="str">
        <f>IF('Twenty-Sixth'!G102="", "",'Twenty-Sixth'!G102)</f>
        <v>Post Treatment - Curative Intent</v>
      </c>
      <c r="H6349" s="66" t="str">
        <f>IF('Twenty-Sixth'!H102="", "",'Twenty-Sixth'!H102)</f>
        <v>Programme</v>
      </c>
      <c r="I6349" s="66" t="str">
        <f>IF('Twenty-Sixth'!I102="", "",'Twenty-Sixth'!I102)</f>
        <v>FSG General</v>
      </c>
      <c r="J6349" s="66" t="str">
        <f>IF('Twenty-Sixth'!J102="", "",'Twenty-Sixth'!J102)</f>
        <v/>
      </c>
      <c r="K6349" s="86" t="str">
        <f>IF('Twenty-Sixth'!K102="", "",'Twenty-Sixth'!K102)</f>
        <v/>
      </c>
      <c r="M6349" s="67" t="str">
        <f t="shared" si="302"/>
        <v/>
      </c>
      <c r="N6349" s="76">
        <f t="shared" si="303"/>
        <v>7</v>
      </c>
      <c r="O6349" s="33">
        <f t="shared" si="304"/>
        <v>7</v>
      </c>
    </row>
    <row r="6350" spans="1:15" x14ac:dyDescent="0.25">
      <c r="A6350" s="64" t="s">
        <v>210</v>
      </c>
      <c r="B6350" s="79" t="str">
        <f>IF('Twenty-Sixth'!B103="", "",'Twenty-Sixth'!B103)</f>
        <v>CSS</v>
      </c>
      <c r="C6350" s="66" t="str">
        <f>IF('Twenty-Sixth'!C103="", "",'Twenty-Sixth'!C103)</f>
        <v>PwC</v>
      </c>
      <c r="D6350" s="66" t="str">
        <f>IF('Twenty-Sixth'!D103="", "",'Twenty-Sixth'!D103)</f>
        <v>New</v>
      </c>
      <c r="E6350" s="66" t="str">
        <f>IF('Twenty-Sixth'!E103="", "",'Twenty-Sixth'!E103)</f>
        <v>Female</v>
      </c>
      <c r="F6350" s="66" t="str">
        <f>IF('Twenty-Sixth'!F103="", "",'Twenty-Sixth'!F103)</f>
        <v>Urolog</v>
      </c>
      <c r="G6350" s="66" t="str">
        <f>IF('Twenty-Sixth'!G103="", "",'Twenty-Sixth'!G103)</f>
        <v>Curative Intent</v>
      </c>
      <c r="H6350" s="66" t="str">
        <f>IF('Twenty-Sixth'!H103="", "",'Twenty-Sixth'!H103)</f>
        <v>Programme</v>
      </c>
      <c r="I6350" s="66" t="str">
        <f>IF('Twenty-Sixth'!I103="", "",'Twenty-Sixth'!I103)</f>
        <v>FSG General</v>
      </c>
      <c r="J6350" s="66" t="str">
        <f>IF('Twenty-Sixth'!J103="", "",'Twenty-Sixth'!J103)</f>
        <v/>
      </c>
      <c r="K6350" s="86" t="str">
        <f>IF('Twenty-Sixth'!K103="", "",'Twenty-Sixth'!K103)</f>
        <v/>
      </c>
      <c r="M6350" s="67">
        <f t="shared" si="302"/>
        <v>7</v>
      </c>
      <c r="N6350" s="76" t="str">
        <f t="shared" si="303"/>
        <v/>
      </c>
      <c r="O6350" s="33">
        <f t="shared" si="304"/>
        <v>7</v>
      </c>
    </row>
    <row r="6351" spans="1:15" x14ac:dyDescent="0.25">
      <c r="A6351" s="64" t="s">
        <v>210</v>
      </c>
      <c r="B6351" s="79" t="str">
        <f>IF('Twenty-Sixth'!B104="", "",'Twenty-Sixth'!B104)</f>
        <v>Centre Head</v>
      </c>
      <c r="C6351" s="66" t="str">
        <f>IF('Twenty-Sixth'!C104="", "",'Twenty-Sixth'!C104)</f>
        <v>PwC</v>
      </c>
      <c r="D6351" s="66" t="str">
        <f>IF('Twenty-Sixth'!D104="", "",'Twenty-Sixth'!D104)</f>
        <v>Returning</v>
      </c>
      <c r="E6351" s="66" t="str">
        <f>IF('Twenty-Sixth'!E104="", "",'Twenty-Sixth'!E104)</f>
        <v>Male</v>
      </c>
      <c r="F6351" s="66" t="str">
        <f>IF('Twenty-Sixth'!F104="", "",'Twenty-Sixth'!F104)</f>
        <v>Haemat</v>
      </c>
      <c r="G6351" s="66" t="str">
        <f>IF('Twenty-Sixth'!G104="", "",'Twenty-Sixth'!G104)</f>
        <v>Post Treatment - Curative Intent</v>
      </c>
      <c r="H6351" s="66" t="str">
        <f>IF('Twenty-Sixth'!H104="", "",'Twenty-Sixth'!H104)</f>
        <v>Programme</v>
      </c>
      <c r="I6351" s="66" t="str">
        <f>IF('Twenty-Sixth'!I104="", "",'Twenty-Sixth'!I104)</f>
        <v>FSG Young Person's</v>
      </c>
      <c r="J6351" s="66" t="str">
        <f>IF('Twenty-Sixth'!J104="", "",'Twenty-Sixth'!J104)</f>
        <v/>
      </c>
      <c r="K6351" s="86" t="str">
        <f>IF('Twenty-Sixth'!K104="", "",'Twenty-Sixth'!K104)</f>
        <v/>
      </c>
      <c r="M6351" s="67">
        <f t="shared" si="302"/>
        <v>7</v>
      </c>
      <c r="N6351" s="76" t="str">
        <f t="shared" si="303"/>
        <v/>
      </c>
      <c r="O6351" s="33">
        <f t="shared" si="304"/>
        <v>7</v>
      </c>
    </row>
    <row r="6352" spans="1:15" x14ac:dyDescent="0.25">
      <c r="A6352" s="64" t="s">
        <v>210</v>
      </c>
      <c r="B6352" s="79" t="str">
        <f>IF('Twenty-Sixth'!B105="", "",'Twenty-Sixth'!B105)</f>
        <v>Centre Head</v>
      </c>
      <c r="C6352" s="66" t="str">
        <f>IF('Twenty-Sixth'!C105="", "",'Twenty-Sixth'!C105)</f>
        <v>PwC</v>
      </c>
      <c r="D6352" s="66" t="str">
        <f>IF('Twenty-Sixth'!D105="", "",'Twenty-Sixth'!D105)</f>
        <v>Returning</v>
      </c>
      <c r="E6352" s="66" t="str">
        <f>IF('Twenty-Sixth'!E105="", "",'Twenty-Sixth'!E105)</f>
        <v>Male</v>
      </c>
      <c r="F6352" s="66" t="str">
        <f>IF('Twenty-Sixth'!F105="", "",'Twenty-Sixth'!F105)</f>
        <v>Haemat</v>
      </c>
      <c r="G6352" s="66" t="str">
        <f>IF('Twenty-Sixth'!G105="", "",'Twenty-Sixth'!G105)</f>
        <v>Post Treatment - Curative Intent</v>
      </c>
      <c r="H6352" s="66" t="str">
        <f>IF('Twenty-Sixth'!H105="", "",'Twenty-Sixth'!H105)</f>
        <v>Programme</v>
      </c>
      <c r="I6352" s="66" t="str">
        <f>IF('Twenty-Sixth'!I105="", "",'Twenty-Sixth'!I105)</f>
        <v>FSG Young Person's</v>
      </c>
      <c r="J6352" s="66" t="str">
        <f>IF('Twenty-Sixth'!J105="", "",'Twenty-Sixth'!J105)</f>
        <v/>
      </c>
      <c r="K6352" s="86" t="str">
        <f>IF('Twenty-Sixth'!K105="", "",'Twenty-Sixth'!K105)</f>
        <v/>
      </c>
      <c r="M6352" s="67">
        <f t="shared" si="302"/>
        <v>7</v>
      </c>
      <c r="N6352" s="76" t="str">
        <f t="shared" si="303"/>
        <v/>
      </c>
      <c r="O6352" s="33">
        <f t="shared" si="304"/>
        <v>7</v>
      </c>
    </row>
    <row r="6353" spans="1:15" x14ac:dyDescent="0.25">
      <c r="A6353" s="64" t="s">
        <v>210</v>
      </c>
      <c r="B6353" s="79" t="str">
        <f>IF('Twenty-Sixth'!B106="", "",'Twenty-Sixth'!B106)</f>
        <v>Centre Head</v>
      </c>
      <c r="C6353" s="66" t="str">
        <f>IF('Twenty-Sixth'!C106="", "",'Twenty-Sixth'!C106)</f>
        <v>PwC</v>
      </c>
      <c r="D6353" s="66" t="str">
        <f>IF('Twenty-Sixth'!D106="", "",'Twenty-Sixth'!D106)</f>
        <v>Returning</v>
      </c>
      <c r="E6353" s="66" t="str">
        <f>IF('Twenty-Sixth'!E106="", "",'Twenty-Sixth'!E106)</f>
        <v>Male</v>
      </c>
      <c r="F6353" s="66" t="str">
        <f>IF('Twenty-Sixth'!F106="", "",'Twenty-Sixth'!F106)</f>
        <v>Haemat</v>
      </c>
      <c r="G6353" s="66" t="str">
        <f>IF('Twenty-Sixth'!G106="", "",'Twenty-Sixth'!G106)</f>
        <v>Post Treatment - Curative Intent</v>
      </c>
      <c r="H6353" s="66" t="str">
        <f>IF('Twenty-Sixth'!H106="", "",'Twenty-Sixth'!H106)</f>
        <v>Programme</v>
      </c>
      <c r="I6353" s="66" t="str">
        <f>IF('Twenty-Sixth'!I106="", "",'Twenty-Sixth'!I106)</f>
        <v>FSG Young Person's</v>
      </c>
      <c r="J6353" s="66" t="str">
        <f>IF('Twenty-Sixth'!J106="", "",'Twenty-Sixth'!J106)</f>
        <v/>
      </c>
      <c r="K6353" s="86" t="str">
        <f>IF('Twenty-Sixth'!K106="", "",'Twenty-Sixth'!K106)</f>
        <v/>
      </c>
      <c r="M6353" s="67">
        <f t="shared" si="302"/>
        <v>7</v>
      </c>
      <c r="N6353" s="76" t="str">
        <f t="shared" si="303"/>
        <v/>
      </c>
      <c r="O6353" s="33">
        <f t="shared" si="304"/>
        <v>7</v>
      </c>
    </row>
    <row r="6354" spans="1:15" x14ac:dyDescent="0.25">
      <c r="A6354" s="64" t="s">
        <v>210</v>
      </c>
      <c r="B6354" s="79" t="str">
        <f>IF('Twenty-Sixth'!B107="", "",'Twenty-Sixth'!B107)</f>
        <v>Centre Head</v>
      </c>
      <c r="C6354" s="66" t="str">
        <f>IF('Twenty-Sixth'!C107="", "",'Twenty-Sixth'!C107)</f>
        <v>PwC</v>
      </c>
      <c r="D6354" s="66" t="str">
        <f>IF('Twenty-Sixth'!D107="", "",'Twenty-Sixth'!D107)</f>
        <v>Returning</v>
      </c>
      <c r="E6354" s="66" t="str">
        <f>IF('Twenty-Sixth'!E107="", "",'Twenty-Sixth'!E107)</f>
        <v>Male</v>
      </c>
      <c r="F6354" s="66" t="str">
        <f>IF('Twenty-Sixth'!F107="", "",'Twenty-Sixth'!F107)</f>
        <v>Haemat</v>
      </c>
      <c r="G6354" s="66" t="str">
        <f>IF('Twenty-Sixth'!G107="", "",'Twenty-Sixth'!G107)</f>
        <v>Post Treatment - Curative Intent</v>
      </c>
      <c r="H6354" s="66" t="str">
        <f>IF('Twenty-Sixth'!H107="", "",'Twenty-Sixth'!H107)</f>
        <v>Programme</v>
      </c>
      <c r="I6354" s="66" t="str">
        <f>IF('Twenty-Sixth'!I107="", "",'Twenty-Sixth'!I107)</f>
        <v>FSG Young Person's</v>
      </c>
      <c r="J6354" s="66" t="str">
        <f>IF('Twenty-Sixth'!J107="", "",'Twenty-Sixth'!J107)</f>
        <v/>
      </c>
      <c r="K6354" s="86" t="str">
        <f>IF('Twenty-Sixth'!K107="", "",'Twenty-Sixth'!K107)</f>
        <v/>
      </c>
      <c r="M6354" s="67">
        <f t="shared" si="302"/>
        <v>7</v>
      </c>
      <c r="N6354" s="76" t="str">
        <f t="shared" si="303"/>
        <v/>
      </c>
      <c r="O6354" s="33">
        <f t="shared" si="304"/>
        <v>7</v>
      </c>
    </row>
    <row r="6355" spans="1:15" x14ac:dyDescent="0.25">
      <c r="A6355" s="64" t="s">
        <v>210</v>
      </c>
      <c r="B6355" s="79" t="str">
        <f>IF('Twenty-Sixth'!B108="", "",'Twenty-Sixth'!B108)</f>
        <v>Centre Head</v>
      </c>
      <c r="C6355" s="66" t="str">
        <f>IF('Twenty-Sixth'!C108="", "",'Twenty-Sixth'!C108)</f>
        <v>PwC</v>
      </c>
      <c r="D6355" s="66" t="str">
        <f>IF('Twenty-Sixth'!D108="", "",'Twenty-Sixth'!D108)</f>
        <v>Returning</v>
      </c>
      <c r="E6355" s="66" t="str">
        <f>IF('Twenty-Sixth'!E108="", "",'Twenty-Sixth'!E108)</f>
        <v>Male</v>
      </c>
      <c r="F6355" s="66" t="str">
        <f>IF('Twenty-Sixth'!F108="", "",'Twenty-Sixth'!F108)</f>
        <v>Sarcoma</v>
      </c>
      <c r="G6355" s="66" t="str">
        <f>IF('Twenty-Sixth'!G108="", "",'Twenty-Sixth'!G108)</f>
        <v>Post Treatment - Curative Intent</v>
      </c>
      <c r="H6355" s="66" t="str">
        <f>IF('Twenty-Sixth'!H108="", "",'Twenty-Sixth'!H108)</f>
        <v>Programme</v>
      </c>
      <c r="I6355" s="66" t="str">
        <f>IF('Twenty-Sixth'!I108="", "",'Twenty-Sixth'!I108)</f>
        <v>FSG Young Person's</v>
      </c>
      <c r="J6355" s="66" t="str">
        <f>IF('Twenty-Sixth'!J108="", "",'Twenty-Sixth'!J108)</f>
        <v/>
      </c>
      <c r="K6355" s="86" t="str">
        <f>IF('Twenty-Sixth'!K108="", "",'Twenty-Sixth'!K108)</f>
        <v/>
      </c>
      <c r="M6355" s="67">
        <f t="shared" si="302"/>
        <v>7</v>
      </c>
      <c r="N6355" s="76" t="str">
        <f t="shared" si="303"/>
        <v/>
      </c>
      <c r="O6355" s="33">
        <f t="shared" si="304"/>
        <v>7</v>
      </c>
    </row>
    <row r="6356" spans="1:15" x14ac:dyDescent="0.25">
      <c r="A6356" s="64" t="s">
        <v>210</v>
      </c>
      <c r="B6356" s="79" t="str">
        <f>IF('Twenty-Sixth'!B109="", "",'Twenty-Sixth'!B109)</f>
        <v>Centre Head</v>
      </c>
      <c r="C6356" s="66" t="str">
        <f>IF('Twenty-Sixth'!C109="", "",'Twenty-Sixth'!C109)</f>
        <v>PwC</v>
      </c>
      <c r="D6356" s="66" t="str">
        <f>IF('Twenty-Sixth'!D109="", "",'Twenty-Sixth'!D109)</f>
        <v>Returning</v>
      </c>
      <c r="E6356" s="66" t="str">
        <f>IF('Twenty-Sixth'!E109="", "",'Twenty-Sixth'!E109)</f>
        <v>Male</v>
      </c>
      <c r="F6356" s="66" t="str">
        <f>IF('Twenty-Sixth'!F109="", "",'Twenty-Sixth'!F109)</f>
        <v>Sarcoma</v>
      </c>
      <c r="G6356" s="66" t="str">
        <f>IF('Twenty-Sixth'!G109="", "",'Twenty-Sixth'!G109)</f>
        <v>Non-Curative Intent</v>
      </c>
      <c r="H6356" s="66" t="str">
        <f>IF('Twenty-Sixth'!H109="", "",'Twenty-Sixth'!H109)</f>
        <v>Programme</v>
      </c>
      <c r="I6356" s="66" t="str">
        <f>IF('Twenty-Sixth'!I109="", "",'Twenty-Sixth'!I109)</f>
        <v>FSG Young Person's</v>
      </c>
      <c r="J6356" s="66" t="str">
        <f>IF('Twenty-Sixth'!J109="", "",'Twenty-Sixth'!J109)</f>
        <v/>
      </c>
      <c r="K6356" s="86" t="str">
        <f>IF('Twenty-Sixth'!K109="", "",'Twenty-Sixth'!K109)</f>
        <v/>
      </c>
      <c r="M6356" s="67">
        <f t="shared" si="302"/>
        <v>7</v>
      </c>
      <c r="N6356" s="76" t="str">
        <f t="shared" si="303"/>
        <v/>
      </c>
      <c r="O6356" s="33">
        <f t="shared" si="304"/>
        <v>7</v>
      </c>
    </row>
    <row r="6357" spans="1:15" x14ac:dyDescent="0.25">
      <c r="A6357" s="64" t="s">
        <v>210</v>
      </c>
      <c r="B6357" s="79" t="str">
        <f>IF('Twenty-Sixth'!B110="", "",'Twenty-Sixth'!B110)</f>
        <v>Centre Head</v>
      </c>
      <c r="C6357" s="66" t="str">
        <f>IF('Twenty-Sixth'!C110="", "",'Twenty-Sixth'!C110)</f>
        <v>PwC</v>
      </c>
      <c r="D6357" s="66" t="str">
        <f>IF('Twenty-Sixth'!D110="", "",'Twenty-Sixth'!D110)</f>
        <v>Returning</v>
      </c>
      <c r="E6357" s="66" t="str">
        <f>IF('Twenty-Sixth'!E110="", "",'Twenty-Sixth'!E110)</f>
        <v>Male</v>
      </c>
      <c r="F6357" s="66" t="str">
        <f>IF('Twenty-Sixth'!F110="", "",'Twenty-Sixth'!F110)</f>
        <v>Sarcoma</v>
      </c>
      <c r="G6357" s="66" t="str">
        <f>IF('Twenty-Sixth'!G110="", "",'Twenty-Sixth'!G110)</f>
        <v>Non-Curative Intent</v>
      </c>
      <c r="H6357" s="66" t="str">
        <f>IF('Twenty-Sixth'!H110="", "",'Twenty-Sixth'!H110)</f>
        <v>Programme</v>
      </c>
      <c r="I6357" s="66" t="str">
        <f>IF('Twenty-Sixth'!I110="", "",'Twenty-Sixth'!I110)</f>
        <v>FSG Young Person's</v>
      </c>
      <c r="J6357" s="66" t="str">
        <f>IF('Twenty-Sixth'!J110="", "",'Twenty-Sixth'!J110)</f>
        <v/>
      </c>
      <c r="K6357" s="86" t="str">
        <f>IF('Twenty-Sixth'!K110="", "",'Twenty-Sixth'!K110)</f>
        <v/>
      </c>
      <c r="M6357" s="67">
        <f t="shared" si="302"/>
        <v>7</v>
      </c>
      <c r="N6357" s="76" t="str">
        <f t="shared" si="303"/>
        <v/>
      </c>
      <c r="O6357" s="33">
        <f t="shared" si="304"/>
        <v>7</v>
      </c>
    </row>
    <row r="6358" spans="1:15" x14ac:dyDescent="0.25">
      <c r="A6358" s="64" t="s">
        <v>210</v>
      </c>
      <c r="B6358" s="79" t="str">
        <f>IF('Twenty-Sixth'!B111="", "",'Twenty-Sixth'!B111)</f>
        <v>Centre Head</v>
      </c>
      <c r="C6358" s="66" t="str">
        <f>IF('Twenty-Sixth'!C111="", "",'Twenty-Sixth'!C111)</f>
        <v>PwC</v>
      </c>
      <c r="D6358" s="66" t="str">
        <f>IF('Twenty-Sixth'!D111="", "",'Twenty-Sixth'!D111)</f>
        <v>Returning</v>
      </c>
      <c r="E6358" s="66" t="str">
        <f>IF('Twenty-Sixth'!E111="", "",'Twenty-Sixth'!E111)</f>
        <v>Male</v>
      </c>
      <c r="F6358" s="66" t="str">
        <f>IF('Twenty-Sixth'!F111="", "",'Twenty-Sixth'!F111)</f>
        <v>Rare</v>
      </c>
      <c r="G6358" s="66" t="str">
        <f>IF('Twenty-Sixth'!G111="", "",'Twenty-Sixth'!G111)</f>
        <v>Non-Curative Intent</v>
      </c>
      <c r="H6358" s="66" t="str">
        <f>IF('Twenty-Sixth'!H111="", "",'Twenty-Sixth'!H111)</f>
        <v>Programme</v>
      </c>
      <c r="I6358" s="66" t="str">
        <f>IF('Twenty-Sixth'!I111="", "",'Twenty-Sixth'!I111)</f>
        <v>FSG Young Person's</v>
      </c>
      <c r="J6358" s="66" t="str">
        <f>IF('Twenty-Sixth'!J111="", "",'Twenty-Sixth'!J111)</f>
        <v/>
      </c>
      <c r="K6358" s="86" t="str">
        <f>IF('Twenty-Sixth'!K111="", "",'Twenty-Sixth'!K111)</f>
        <v/>
      </c>
      <c r="M6358" s="67">
        <f t="shared" si="302"/>
        <v>7</v>
      </c>
      <c r="N6358" s="76" t="str">
        <f t="shared" si="303"/>
        <v/>
      </c>
      <c r="O6358" s="33">
        <f t="shared" si="304"/>
        <v>7</v>
      </c>
    </row>
    <row r="6359" spans="1:15" x14ac:dyDescent="0.25">
      <c r="A6359" s="64" t="s">
        <v>210</v>
      </c>
      <c r="B6359" s="79" t="str">
        <f>IF('Twenty-Sixth'!B112="", "",'Twenty-Sixth'!B112)</f>
        <v>Centre Head</v>
      </c>
      <c r="C6359" s="66" t="str">
        <f>IF('Twenty-Sixth'!C112="", "",'Twenty-Sixth'!C112)</f>
        <v>PwC</v>
      </c>
      <c r="D6359" s="66" t="str">
        <f>IF('Twenty-Sixth'!D112="", "",'Twenty-Sixth'!D112)</f>
        <v>Returning</v>
      </c>
      <c r="E6359" s="66" t="str">
        <f>IF('Twenty-Sixth'!E112="", "",'Twenty-Sixth'!E112)</f>
        <v>Male</v>
      </c>
      <c r="F6359" s="66" t="str">
        <f>IF('Twenty-Sixth'!F112="", "",'Twenty-Sixth'!F112)</f>
        <v>Skin/Mel</v>
      </c>
      <c r="G6359" s="66" t="str">
        <f>IF('Twenty-Sixth'!G112="", "",'Twenty-Sixth'!G112)</f>
        <v>Post Treatment - Curative Intent</v>
      </c>
      <c r="H6359" s="66" t="str">
        <f>IF('Twenty-Sixth'!H112="", "",'Twenty-Sixth'!H112)</f>
        <v>Programme</v>
      </c>
      <c r="I6359" s="66" t="str">
        <f>IF('Twenty-Sixth'!I112="", "",'Twenty-Sixth'!I112)</f>
        <v>FSG Young Person's</v>
      </c>
      <c r="J6359" s="66" t="str">
        <f>IF('Twenty-Sixth'!J112="", "",'Twenty-Sixth'!J112)</f>
        <v/>
      </c>
      <c r="K6359" s="86" t="str">
        <f>IF('Twenty-Sixth'!K112="", "",'Twenty-Sixth'!K112)</f>
        <v/>
      </c>
      <c r="M6359" s="67">
        <f t="shared" si="302"/>
        <v>7</v>
      </c>
      <c r="N6359" s="76" t="str">
        <f t="shared" si="303"/>
        <v/>
      </c>
      <c r="O6359" s="33">
        <f t="shared" si="304"/>
        <v>7</v>
      </c>
    </row>
    <row r="6360" spans="1:15" x14ac:dyDescent="0.25">
      <c r="A6360" s="64" t="s">
        <v>210</v>
      </c>
      <c r="B6360" s="79" t="str">
        <f>IF('Twenty-Sixth'!B113="", "",'Twenty-Sixth'!B113)</f>
        <v>Centre Head</v>
      </c>
      <c r="C6360" s="66" t="str">
        <f>IF('Twenty-Sixth'!C113="", "",'Twenty-Sixth'!C113)</f>
        <v>PwC</v>
      </c>
      <c r="D6360" s="66" t="str">
        <f>IF('Twenty-Sixth'!D113="", "",'Twenty-Sixth'!D113)</f>
        <v>Returning</v>
      </c>
      <c r="E6360" s="66" t="str">
        <f>IF('Twenty-Sixth'!E113="", "",'Twenty-Sixth'!E113)</f>
        <v>Male</v>
      </c>
      <c r="F6360" s="66" t="str">
        <f>IF('Twenty-Sixth'!F113="", "",'Twenty-Sixth'!F113)</f>
        <v>Brain/CNS</v>
      </c>
      <c r="G6360" s="66" t="str">
        <f>IF('Twenty-Sixth'!G113="", "",'Twenty-Sixth'!G113)</f>
        <v>Non-Curative Intent</v>
      </c>
      <c r="H6360" s="66" t="str">
        <f>IF('Twenty-Sixth'!H113="", "",'Twenty-Sixth'!H113)</f>
        <v>Programme</v>
      </c>
      <c r="I6360" s="66" t="str">
        <f>IF('Twenty-Sixth'!I113="", "",'Twenty-Sixth'!I113)</f>
        <v>FSG Young Person's</v>
      </c>
      <c r="J6360" s="66" t="str">
        <f>IF('Twenty-Sixth'!J113="", "",'Twenty-Sixth'!J113)</f>
        <v/>
      </c>
      <c r="K6360" s="86" t="str">
        <f>IF('Twenty-Sixth'!K113="", "",'Twenty-Sixth'!K113)</f>
        <v/>
      </c>
      <c r="M6360" s="67">
        <f t="shared" si="302"/>
        <v>7</v>
      </c>
      <c r="N6360" s="76" t="str">
        <f t="shared" si="303"/>
        <v/>
      </c>
      <c r="O6360" s="33">
        <f t="shared" si="304"/>
        <v>7</v>
      </c>
    </row>
    <row r="6361" spans="1:15" x14ac:dyDescent="0.25">
      <c r="A6361" s="64" t="s">
        <v>210</v>
      </c>
      <c r="B6361" s="79" t="str">
        <f>IF('Twenty-Sixth'!B114="", "",'Twenty-Sixth'!B114)</f>
        <v>Centre Head</v>
      </c>
      <c r="C6361" s="66" t="str">
        <f>IF('Twenty-Sixth'!C114="", "",'Twenty-Sixth'!C114)</f>
        <v>PwC</v>
      </c>
      <c r="D6361" s="66" t="str">
        <f>IF('Twenty-Sixth'!D114="", "",'Twenty-Sixth'!D114)</f>
        <v>Returning</v>
      </c>
      <c r="E6361" s="66" t="str">
        <f>IF('Twenty-Sixth'!E114="", "",'Twenty-Sixth'!E114)</f>
        <v>Male</v>
      </c>
      <c r="F6361" s="66" t="str">
        <f>IF('Twenty-Sixth'!F114="", "",'Twenty-Sixth'!F114)</f>
        <v>Brain/CNS</v>
      </c>
      <c r="G6361" s="66" t="str">
        <f>IF('Twenty-Sixth'!G114="", "",'Twenty-Sixth'!G114)</f>
        <v>Non-Curative Intent</v>
      </c>
      <c r="H6361" s="66" t="str">
        <f>IF('Twenty-Sixth'!H114="", "",'Twenty-Sixth'!H114)</f>
        <v>Programme</v>
      </c>
      <c r="I6361" s="66" t="str">
        <f>IF('Twenty-Sixth'!I114="", "",'Twenty-Sixth'!I114)</f>
        <v>FSG Young Person's</v>
      </c>
      <c r="J6361" s="66" t="str">
        <f>IF('Twenty-Sixth'!J114="", "",'Twenty-Sixth'!J114)</f>
        <v/>
      </c>
      <c r="K6361" s="86" t="str">
        <f>IF('Twenty-Sixth'!K114="", "",'Twenty-Sixth'!K114)</f>
        <v/>
      </c>
      <c r="M6361" s="67">
        <f t="shared" si="302"/>
        <v>7</v>
      </c>
      <c r="N6361" s="76" t="str">
        <f t="shared" si="303"/>
        <v/>
      </c>
      <c r="O6361" s="33">
        <f t="shared" si="304"/>
        <v>7</v>
      </c>
    </row>
    <row r="6362" spans="1:15" x14ac:dyDescent="0.25">
      <c r="A6362" s="64" t="s">
        <v>210</v>
      </c>
      <c r="B6362" s="79" t="str">
        <f>IF('Twenty-Sixth'!B115="", "",'Twenty-Sixth'!B115)</f>
        <v>Centre Head</v>
      </c>
      <c r="C6362" s="66" t="str">
        <f>IF('Twenty-Sixth'!C115="", "",'Twenty-Sixth'!C115)</f>
        <v>PwC</v>
      </c>
      <c r="D6362" s="66" t="str">
        <f>IF('Twenty-Sixth'!D115="", "",'Twenty-Sixth'!D115)</f>
        <v>Returning</v>
      </c>
      <c r="E6362" s="66" t="str">
        <f>IF('Twenty-Sixth'!E115="", "",'Twenty-Sixth'!E115)</f>
        <v>Male</v>
      </c>
      <c r="F6362" s="66" t="str">
        <f>IF('Twenty-Sixth'!F115="", "",'Twenty-Sixth'!F115)</f>
        <v>Brain/CNS</v>
      </c>
      <c r="G6362" s="66" t="str">
        <f>IF('Twenty-Sixth'!G115="", "",'Twenty-Sixth'!G115)</f>
        <v>Non-Curative Intent</v>
      </c>
      <c r="H6362" s="66" t="str">
        <f>IF('Twenty-Sixth'!H115="", "",'Twenty-Sixth'!H115)</f>
        <v>Programme</v>
      </c>
      <c r="I6362" s="66" t="str">
        <f>IF('Twenty-Sixth'!I115="", "",'Twenty-Sixth'!I115)</f>
        <v>FSG Young Person's</v>
      </c>
      <c r="J6362" s="66" t="str">
        <f>IF('Twenty-Sixth'!J115="", "",'Twenty-Sixth'!J115)</f>
        <v/>
      </c>
      <c r="K6362" s="86" t="str">
        <f>IF('Twenty-Sixth'!K115="", "",'Twenty-Sixth'!K115)</f>
        <v/>
      </c>
      <c r="M6362" s="67">
        <f t="shared" si="302"/>
        <v>7</v>
      </c>
      <c r="N6362" s="76" t="str">
        <f t="shared" si="303"/>
        <v/>
      </c>
      <c r="O6362" s="33">
        <f t="shared" si="304"/>
        <v>7</v>
      </c>
    </row>
    <row r="6363" spans="1:15" x14ac:dyDescent="0.25">
      <c r="A6363" s="64" t="s">
        <v>210</v>
      </c>
      <c r="B6363" s="79" t="str">
        <f>IF('Twenty-Sixth'!B116="", "",'Twenty-Sixth'!B116)</f>
        <v>Centre Head</v>
      </c>
      <c r="C6363" s="66" t="str">
        <f>IF('Twenty-Sixth'!C116="", "",'Twenty-Sixth'!C116)</f>
        <v>PwC</v>
      </c>
      <c r="D6363" s="66" t="str">
        <f>IF('Twenty-Sixth'!D116="", "",'Twenty-Sixth'!D116)</f>
        <v>Returning</v>
      </c>
      <c r="E6363" s="66" t="str">
        <f>IF('Twenty-Sixth'!E116="", "",'Twenty-Sixth'!E116)</f>
        <v>Female</v>
      </c>
      <c r="F6363" s="66" t="str">
        <f>IF('Twenty-Sixth'!F116="", "",'Twenty-Sixth'!F116)</f>
        <v>Brain/CNS</v>
      </c>
      <c r="G6363" s="66" t="str">
        <f>IF('Twenty-Sixth'!G116="", "",'Twenty-Sixth'!G116)</f>
        <v>Non-Curative Intent</v>
      </c>
      <c r="H6363" s="66" t="str">
        <f>IF('Twenty-Sixth'!H116="", "",'Twenty-Sixth'!H116)</f>
        <v>Programme</v>
      </c>
      <c r="I6363" s="66" t="str">
        <f>IF('Twenty-Sixth'!I116="", "",'Twenty-Sixth'!I116)</f>
        <v>FSG Young Person's</v>
      </c>
      <c r="J6363" s="66" t="str">
        <f>IF('Twenty-Sixth'!J116="", "",'Twenty-Sixth'!J116)</f>
        <v/>
      </c>
      <c r="K6363" s="86" t="str">
        <f>IF('Twenty-Sixth'!K116="", "",'Twenty-Sixth'!K116)</f>
        <v/>
      </c>
      <c r="M6363" s="67">
        <f t="shared" si="302"/>
        <v>7</v>
      </c>
      <c r="N6363" s="76" t="str">
        <f t="shared" si="303"/>
        <v/>
      </c>
      <c r="O6363" s="33">
        <f t="shared" si="304"/>
        <v>7</v>
      </c>
    </row>
    <row r="6364" spans="1:15" x14ac:dyDescent="0.25">
      <c r="A6364" s="64" t="s">
        <v>210</v>
      </c>
      <c r="B6364" s="79" t="str">
        <f>IF('Twenty-Sixth'!B117="", "",'Twenty-Sixth'!B117)</f>
        <v>Centre Head</v>
      </c>
      <c r="C6364" s="66" t="str">
        <f>IF('Twenty-Sixth'!C117="", "",'Twenty-Sixth'!C117)</f>
        <v>PwC</v>
      </c>
      <c r="D6364" s="66" t="str">
        <f>IF('Twenty-Sixth'!D117="", "",'Twenty-Sixth'!D117)</f>
        <v>Returning</v>
      </c>
      <c r="E6364" s="66" t="str">
        <f>IF('Twenty-Sixth'!E117="", "",'Twenty-Sixth'!E117)</f>
        <v>Female</v>
      </c>
      <c r="F6364" s="66" t="str">
        <f>IF('Twenty-Sixth'!F117="", "",'Twenty-Sixth'!F117)</f>
        <v>Brain/CNS</v>
      </c>
      <c r="G6364" s="66" t="str">
        <f>IF('Twenty-Sixth'!G117="", "",'Twenty-Sixth'!G117)</f>
        <v>Non-Curative Intent</v>
      </c>
      <c r="H6364" s="66" t="str">
        <f>IF('Twenty-Sixth'!H117="", "",'Twenty-Sixth'!H117)</f>
        <v>Programme</v>
      </c>
      <c r="I6364" s="66" t="str">
        <f>IF('Twenty-Sixth'!I117="", "",'Twenty-Sixth'!I117)</f>
        <v>FSG Young Person's</v>
      </c>
      <c r="J6364" s="66" t="str">
        <f>IF('Twenty-Sixth'!J117="", "",'Twenty-Sixth'!J117)</f>
        <v/>
      </c>
      <c r="K6364" s="86" t="str">
        <f>IF('Twenty-Sixth'!K117="", "",'Twenty-Sixth'!K117)</f>
        <v/>
      </c>
      <c r="M6364" s="67">
        <f t="shared" si="302"/>
        <v>7</v>
      </c>
      <c r="N6364" s="76" t="str">
        <f t="shared" si="303"/>
        <v/>
      </c>
      <c r="O6364" s="33">
        <f t="shared" si="304"/>
        <v>7</v>
      </c>
    </row>
    <row r="6365" spans="1:15" x14ac:dyDescent="0.25">
      <c r="A6365" s="64" t="s">
        <v>210</v>
      </c>
      <c r="B6365" s="79" t="str">
        <f>IF('Twenty-Sixth'!B118="", "",'Twenty-Sixth'!B118)</f>
        <v>Centre Head</v>
      </c>
      <c r="C6365" s="66" t="str">
        <f>IF('Twenty-Sixth'!C118="", "",'Twenty-Sixth'!C118)</f>
        <v>PwC</v>
      </c>
      <c r="D6365" s="66" t="str">
        <f>IF('Twenty-Sixth'!D118="", "",'Twenty-Sixth'!D118)</f>
        <v>Returning</v>
      </c>
      <c r="E6365" s="66" t="str">
        <f>IF('Twenty-Sixth'!E118="", "",'Twenty-Sixth'!E118)</f>
        <v>Female</v>
      </c>
      <c r="F6365" s="66" t="str">
        <f>IF('Twenty-Sixth'!F118="", "",'Twenty-Sixth'!F118)</f>
        <v>Brain/CNS</v>
      </c>
      <c r="G6365" s="66" t="str">
        <f>IF('Twenty-Sixth'!G118="", "",'Twenty-Sixth'!G118)</f>
        <v>Non-Curative Intent</v>
      </c>
      <c r="H6365" s="66" t="str">
        <f>IF('Twenty-Sixth'!H118="", "",'Twenty-Sixth'!H118)</f>
        <v>Programme</v>
      </c>
      <c r="I6365" s="66" t="str">
        <f>IF('Twenty-Sixth'!I118="", "",'Twenty-Sixth'!I118)</f>
        <v>FSG Young Person's</v>
      </c>
      <c r="J6365" s="66" t="str">
        <f>IF('Twenty-Sixth'!J118="", "",'Twenty-Sixth'!J118)</f>
        <v/>
      </c>
      <c r="K6365" s="86" t="str">
        <f>IF('Twenty-Sixth'!K118="", "",'Twenty-Sixth'!K118)</f>
        <v/>
      </c>
      <c r="M6365" s="67">
        <f t="shared" si="302"/>
        <v>7</v>
      </c>
      <c r="N6365" s="76" t="str">
        <f t="shared" si="303"/>
        <v/>
      </c>
      <c r="O6365" s="33">
        <f t="shared" si="304"/>
        <v>7</v>
      </c>
    </row>
    <row r="6366" spans="1:15" x14ac:dyDescent="0.25">
      <c r="A6366" s="64" t="s">
        <v>210</v>
      </c>
      <c r="B6366" s="79" t="str">
        <f>IF('Twenty-Sixth'!B119="", "",'Twenty-Sixth'!B119)</f>
        <v>Centre Head</v>
      </c>
      <c r="C6366" s="66" t="str">
        <f>IF('Twenty-Sixth'!C119="", "",'Twenty-Sixth'!C119)</f>
        <v>PwC</v>
      </c>
      <c r="D6366" s="66" t="str">
        <f>IF('Twenty-Sixth'!D119="", "",'Twenty-Sixth'!D119)</f>
        <v>Returning</v>
      </c>
      <c r="E6366" s="66" t="str">
        <f>IF('Twenty-Sixth'!E119="", "",'Twenty-Sixth'!E119)</f>
        <v>Female</v>
      </c>
      <c r="F6366" s="66" t="str">
        <f>IF('Twenty-Sixth'!F119="", "",'Twenty-Sixth'!F119)</f>
        <v>Brain/CNS</v>
      </c>
      <c r="G6366" s="66" t="str">
        <f>IF('Twenty-Sixth'!G119="", "",'Twenty-Sixth'!G119)</f>
        <v>Non-Curative Intent</v>
      </c>
      <c r="H6366" s="66" t="str">
        <f>IF('Twenty-Sixth'!H119="", "",'Twenty-Sixth'!H119)</f>
        <v>Programme</v>
      </c>
      <c r="I6366" s="66" t="str">
        <f>IF('Twenty-Sixth'!I119="", "",'Twenty-Sixth'!I119)</f>
        <v>FSG Young Person's</v>
      </c>
      <c r="J6366" s="66" t="str">
        <f>IF('Twenty-Sixth'!J119="", "",'Twenty-Sixth'!J119)</f>
        <v/>
      </c>
      <c r="K6366" s="86" t="str">
        <f>IF('Twenty-Sixth'!K119="", "",'Twenty-Sixth'!K119)</f>
        <v/>
      </c>
      <c r="M6366" s="67">
        <f t="shared" si="302"/>
        <v>7</v>
      </c>
      <c r="N6366" s="76" t="str">
        <f t="shared" si="303"/>
        <v/>
      </c>
      <c r="O6366" s="33">
        <f t="shared" si="304"/>
        <v>7</v>
      </c>
    </row>
    <row r="6367" spans="1:15" x14ac:dyDescent="0.25">
      <c r="A6367" s="64" t="s">
        <v>210</v>
      </c>
      <c r="B6367" s="79" t="str">
        <f>IF('Twenty-Sixth'!B120="", "",'Twenty-Sixth'!B120)</f>
        <v>Centre Head</v>
      </c>
      <c r="C6367" s="66" t="str">
        <f>IF('Twenty-Sixth'!C120="", "",'Twenty-Sixth'!C120)</f>
        <v>PwC</v>
      </c>
      <c r="D6367" s="66" t="str">
        <f>IF('Twenty-Sixth'!D120="", "",'Twenty-Sixth'!D120)</f>
        <v>Returning</v>
      </c>
      <c r="E6367" s="66" t="str">
        <f>IF('Twenty-Sixth'!E120="", "",'Twenty-Sixth'!E120)</f>
        <v>Female</v>
      </c>
      <c r="F6367" s="66" t="str">
        <f>IF('Twenty-Sixth'!F120="", "",'Twenty-Sixth'!F120)</f>
        <v>Haemat</v>
      </c>
      <c r="G6367" s="66" t="str">
        <f>IF('Twenty-Sixth'!G120="", "",'Twenty-Sixth'!G120)</f>
        <v>Non-Curative Intent</v>
      </c>
      <c r="H6367" s="66" t="str">
        <f>IF('Twenty-Sixth'!H120="", "",'Twenty-Sixth'!H120)</f>
        <v>Programme</v>
      </c>
      <c r="I6367" s="66" t="str">
        <f>IF('Twenty-Sixth'!I120="", "",'Twenty-Sixth'!I120)</f>
        <v>FSG Young Person's</v>
      </c>
      <c r="J6367" s="66" t="str">
        <f>IF('Twenty-Sixth'!J120="", "",'Twenty-Sixth'!J120)</f>
        <v/>
      </c>
      <c r="K6367" s="86" t="str">
        <f>IF('Twenty-Sixth'!K120="", "",'Twenty-Sixth'!K120)</f>
        <v/>
      </c>
      <c r="M6367" s="67">
        <f t="shared" si="302"/>
        <v>7</v>
      </c>
      <c r="N6367" s="76" t="str">
        <f t="shared" si="303"/>
        <v/>
      </c>
      <c r="O6367" s="33">
        <f t="shared" si="304"/>
        <v>7</v>
      </c>
    </row>
    <row r="6368" spans="1:15" x14ac:dyDescent="0.25">
      <c r="A6368" s="64" t="s">
        <v>210</v>
      </c>
      <c r="B6368" s="79" t="str">
        <f>IF('Twenty-Sixth'!B121="", "",'Twenty-Sixth'!B121)</f>
        <v>Centre Head</v>
      </c>
      <c r="C6368" s="66" t="str">
        <f>IF('Twenty-Sixth'!C121="", "",'Twenty-Sixth'!C121)</f>
        <v>PwC</v>
      </c>
      <c r="D6368" s="66" t="str">
        <f>IF('Twenty-Sixth'!D121="", "",'Twenty-Sixth'!D121)</f>
        <v>Returning</v>
      </c>
      <c r="E6368" s="66" t="str">
        <f>IF('Twenty-Sixth'!E121="", "",'Twenty-Sixth'!E121)</f>
        <v>Female</v>
      </c>
      <c r="F6368" s="66" t="str">
        <f>IF('Twenty-Sixth'!F121="", "",'Twenty-Sixth'!F121)</f>
        <v>Haemat</v>
      </c>
      <c r="G6368" s="66" t="str">
        <f>IF('Twenty-Sixth'!G121="", "",'Twenty-Sixth'!G121)</f>
        <v>Post Treatment - Curative Intent</v>
      </c>
      <c r="H6368" s="66" t="str">
        <f>IF('Twenty-Sixth'!H121="", "",'Twenty-Sixth'!H121)</f>
        <v>Programme</v>
      </c>
      <c r="I6368" s="66" t="str">
        <f>IF('Twenty-Sixth'!I121="", "",'Twenty-Sixth'!I121)</f>
        <v>FSG Young Person's</v>
      </c>
      <c r="J6368" s="66" t="str">
        <f>IF('Twenty-Sixth'!J121="", "",'Twenty-Sixth'!J121)</f>
        <v/>
      </c>
      <c r="K6368" s="86" t="str">
        <f>IF('Twenty-Sixth'!K121="", "",'Twenty-Sixth'!K121)</f>
        <v/>
      </c>
      <c r="M6368" s="67">
        <f t="shared" si="302"/>
        <v>7</v>
      </c>
      <c r="N6368" s="76" t="str">
        <f t="shared" si="303"/>
        <v/>
      </c>
      <c r="O6368" s="33">
        <f t="shared" si="304"/>
        <v>7</v>
      </c>
    </row>
    <row r="6369" spans="1:15" x14ac:dyDescent="0.25">
      <c r="A6369" s="64" t="s">
        <v>210</v>
      </c>
      <c r="B6369" s="79" t="str">
        <f>IF('Twenty-Sixth'!B122="", "",'Twenty-Sixth'!B122)</f>
        <v>Centre Head</v>
      </c>
      <c r="C6369" s="66" t="str">
        <f>IF('Twenty-Sixth'!C122="", "",'Twenty-Sixth'!C122)</f>
        <v>PwC</v>
      </c>
      <c r="D6369" s="66" t="str">
        <f>IF('Twenty-Sixth'!D122="", "",'Twenty-Sixth'!D122)</f>
        <v>Returning</v>
      </c>
      <c r="E6369" s="66" t="str">
        <f>IF('Twenty-Sixth'!E122="", "",'Twenty-Sixth'!E122)</f>
        <v>Female</v>
      </c>
      <c r="F6369" s="66" t="str">
        <f>IF('Twenty-Sixth'!F122="", "",'Twenty-Sixth'!F122)</f>
        <v>Haemat</v>
      </c>
      <c r="G6369" s="66" t="str">
        <f>IF('Twenty-Sixth'!G122="", "",'Twenty-Sixth'!G122)</f>
        <v>Post Treatment - Curative Intent</v>
      </c>
      <c r="H6369" s="66" t="str">
        <f>IF('Twenty-Sixth'!H122="", "",'Twenty-Sixth'!H122)</f>
        <v>Programme</v>
      </c>
      <c r="I6369" s="66" t="str">
        <f>IF('Twenty-Sixth'!I122="", "",'Twenty-Sixth'!I122)</f>
        <v>FSG Young Person's</v>
      </c>
      <c r="J6369" s="66" t="str">
        <f>IF('Twenty-Sixth'!J122="", "",'Twenty-Sixth'!J122)</f>
        <v/>
      </c>
      <c r="K6369" s="86" t="str">
        <f>IF('Twenty-Sixth'!K122="", "",'Twenty-Sixth'!K122)</f>
        <v/>
      </c>
      <c r="M6369" s="67">
        <f t="shared" si="302"/>
        <v>7</v>
      </c>
      <c r="N6369" s="76" t="str">
        <f t="shared" si="303"/>
        <v/>
      </c>
      <c r="O6369" s="33">
        <f t="shared" si="304"/>
        <v>7</v>
      </c>
    </row>
    <row r="6370" spans="1:15" x14ac:dyDescent="0.25">
      <c r="A6370" s="64" t="s">
        <v>210</v>
      </c>
      <c r="B6370" s="79" t="str">
        <f>IF('Twenty-Sixth'!B123="", "",'Twenty-Sixth'!B123)</f>
        <v>Centre Head</v>
      </c>
      <c r="C6370" s="66" t="str">
        <f>IF('Twenty-Sixth'!C123="", "",'Twenty-Sixth'!C123)</f>
        <v>PwC</v>
      </c>
      <c r="D6370" s="66" t="str">
        <f>IF('Twenty-Sixth'!D123="", "",'Twenty-Sixth'!D123)</f>
        <v>Returning</v>
      </c>
      <c r="E6370" s="66" t="str">
        <f>IF('Twenty-Sixth'!E123="", "",'Twenty-Sixth'!E123)</f>
        <v>Female</v>
      </c>
      <c r="F6370" s="66" t="str">
        <f>IF('Twenty-Sixth'!F123="", "",'Twenty-Sixth'!F123)</f>
        <v>Skin/Mel</v>
      </c>
      <c r="G6370" s="66" t="str">
        <f>IF('Twenty-Sixth'!G123="", "",'Twenty-Sixth'!G123)</f>
        <v>Post Treatment - Curative Intent</v>
      </c>
      <c r="H6370" s="66" t="str">
        <f>IF('Twenty-Sixth'!H123="", "",'Twenty-Sixth'!H123)</f>
        <v>Programme</v>
      </c>
      <c r="I6370" s="66" t="str">
        <f>IF('Twenty-Sixth'!I123="", "",'Twenty-Sixth'!I123)</f>
        <v>FSG Young Person's</v>
      </c>
      <c r="J6370" s="66" t="str">
        <f>IF('Twenty-Sixth'!J123="", "",'Twenty-Sixth'!J123)</f>
        <v/>
      </c>
      <c r="K6370" s="86" t="str">
        <f>IF('Twenty-Sixth'!K123="", "",'Twenty-Sixth'!K123)</f>
        <v/>
      </c>
      <c r="M6370" s="67">
        <f t="shared" si="302"/>
        <v>7</v>
      </c>
      <c r="N6370" s="76" t="str">
        <f t="shared" si="303"/>
        <v/>
      </c>
      <c r="O6370" s="33">
        <f t="shared" si="304"/>
        <v>7</v>
      </c>
    </row>
    <row r="6371" spans="1:15" x14ac:dyDescent="0.25">
      <c r="A6371" s="64" t="s">
        <v>210</v>
      </c>
      <c r="B6371" s="79" t="str">
        <f>IF('Twenty-Sixth'!B124="", "",'Twenty-Sixth'!B124)</f>
        <v>Centre Head</v>
      </c>
      <c r="C6371" s="66" t="str">
        <f>IF('Twenty-Sixth'!C124="", "",'Twenty-Sixth'!C124)</f>
        <v>PwC</v>
      </c>
      <c r="D6371" s="66" t="str">
        <f>IF('Twenty-Sixth'!D124="", "",'Twenty-Sixth'!D124)</f>
        <v>Returning</v>
      </c>
      <c r="E6371" s="66" t="str">
        <f>IF('Twenty-Sixth'!E124="", "",'Twenty-Sixth'!E124)</f>
        <v>Female</v>
      </c>
      <c r="F6371" s="66" t="str">
        <f>IF('Twenty-Sixth'!F124="", "",'Twenty-Sixth'!F124)</f>
        <v>Rare</v>
      </c>
      <c r="G6371" s="66" t="str">
        <f>IF('Twenty-Sixth'!G124="", "",'Twenty-Sixth'!G124)</f>
        <v>Non-Curative Intent</v>
      </c>
      <c r="H6371" s="66" t="str">
        <f>IF('Twenty-Sixth'!H124="", "",'Twenty-Sixth'!H124)</f>
        <v>Programme</v>
      </c>
      <c r="I6371" s="66" t="str">
        <f>IF('Twenty-Sixth'!I124="", "",'Twenty-Sixth'!I124)</f>
        <v>FSG Young Person's</v>
      </c>
      <c r="J6371" s="66" t="str">
        <f>IF('Twenty-Sixth'!J124="", "",'Twenty-Sixth'!J124)</f>
        <v/>
      </c>
      <c r="K6371" s="86" t="str">
        <f>IF('Twenty-Sixth'!K124="", "",'Twenty-Sixth'!K124)</f>
        <v/>
      </c>
      <c r="M6371" s="67">
        <f t="shared" si="302"/>
        <v>7</v>
      </c>
      <c r="N6371" s="76" t="str">
        <f t="shared" si="303"/>
        <v/>
      </c>
      <c r="O6371" s="33">
        <f t="shared" si="304"/>
        <v>7</v>
      </c>
    </row>
    <row r="6372" spans="1:15" x14ac:dyDescent="0.25">
      <c r="A6372" s="64" t="s">
        <v>210</v>
      </c>
      <c r="B6372" s="79" t="str">
        <f>IF('Twenty-Sixth'!B125="", "",'Twenty-Sixth'!B125)</f>
        <v>Centre Head</v>
      </c>
      <c r="C6372" s="66" t="str">
        <f>IF('Twenty-Sixth'!C125="", "",'Twenty-Sixth'!C125)</f>
        <v>PwC</v>
      </c>
      <c r="D6372" s="66" t="str">
        <f>IF('Twenty-Sixth'!D125="", "",'Twenty-Sixth'!D125)</f>
        <v>Returning</v>
      </c>
      <c r="E6372" s="66" t="str">
        <f>IF('Twenty-Sixth'!E125="", "",'Twenty-Sixth'!E125)</f>
        <v>Female</v>
      </c>
      <c r="F6372" s="66" t="str">
        <f>IF('Twenty-Sixth'!F125="", "",'Twenty-Sixth'!F125)</f>
        <v>Rare</v>
      </c>
      <c r="G6372" s="66" t="str">
        <f>IF('Twenty-Sixth'!G125="", "",'Twenty-Sixth'!G125)</f>
        <v>Non-Curative Intent</v>
      </c>
      <c r="H6372" s="66" t="str">
        <f>IF('Twenty-Sixth'!H125="", "",'Twenty-Sixth'!H125)</f>
        <v>Programme</v>
      </c>
      <c r="I6372" s="66" t="str">
        <f>IF('Twenty-Sixth'!I125="", "",'Twenty-Sixth'!I125)</f>
        <v>FSG Young Person's</v>
      </c>
      <c r="J6372" s="66" t="str">
        <f>IF('Twenty-Sixth'!J125="", "",'Twenty-Sixth'!J125)</f>
        <v/>
      </c>
      <c r="K6372" s="86" t="str">
        <f>IF('Twenty-Sixth'!K125="", "",'Twenty-Sixth'!K125)</f>
        <v/>
      </c>
      <c r="M6372" s="67">
        <f t="shared" si="302"/>
        <v>7</v>
      </c>
      <c r="N6372" s="76" t="str">
        <f t="shared" si="303"/>
        <v/>
      </c>
      <c r="O6372" s="33">
        <f t="shared" si="304"/>
        <v>7</v>
      </c>
    </row>
    <row r="6373" spans="1:15" x14ac:dyDescent="0.25">
      <c r="A6373" s="64" t="s">
        <v>210</v>
      </c>
      <c r="B6373" s="79" t="str">
        <f>IF('Twenty-Sixth'!B126="", "",'Twenty-Sixth'!B126)</f>
        <v/>
      </c>
      <c r="C6373" s="66" t="str">
        <f>IF('Twenty-Sixth'!C126="", "",'Twenty-Sixth'!C126)</f>
        <v/>
      </c>
      <c r="D6373" s="66" t="str">
        <f>IF('Twenty-Sixth'!D126="", "",'Twenty-Sixth'!D126)</f>
        <v/>
      </c>
      <c r="E6373" s="66" t="str">
        <f>IF('Twenty-Sixth'!E126="", "",'Twenty-Sixth'!E126)</f>
        <v/>
      </c>
      <c r="F6373" s="66" t="str">
        <f>IF('Twenty-Sixth'!F126="", "",'Twenty-Sixth'!F126)</f>
        <v/>
      </c>
      <c r="G6373" s="66" t="str">
        <f>IF('Twenty-Sixth'!G126="", "",'Twenty-Sixth'!G126)</f>
        <v/>
      </c>
      <c r="H6373" s="66" t="str">
        <f>IF('Twenty-Sixth'!H126="", "",'Twenty-Sixth'!H126)</f>
        <v/>
      </c>
      <c r="I6373" s="66" t="str">
        <f>IF('Twenty-Sixth'!I126="", "",'Twenty-Sixth'!I126)</f>
        <v/>
      </c>
      <c r="J6373" s="66" t="str">
        <f>IF('Twenty-Sixth'!J126="", "",'Twenty-Sixth'!J126)</f>
        <v/>
      </c>
      <c r="K6373" s="86" t="str">
        <f>IF('Twenty-Sixth'!K126="", "",'Twenty-Sixth'!K126)</f>
        <v/>
      </c>
      <c r="M6373" s="67" t="str">
        <f t="shared" si="302"/>
        <v/>
      </c>
      <c r="N6373" s="76" t="str">
        <f t="shared" si="303"/>
        <v/>
      </c>
      <c r="O6373" s="33">
        <f t="shared" si="304"/>
        <v>0</v>
      </c>
    </row>
    <row r="6374" spans="1:15" x14ac:dyDescent="0.25">
      <c r="A6374" s="64" t="s">
        <v>210</v>
      </c>
      <c r="B6374" s="79" t="str">
        <f>IF('Twenty-Sixth'!B127="", "",'Twenty-Sixth'!B127)</f>
        <v/>
      </c>
      <c r="C6374" s="66" t="str">
        <f>IF('Twenty-Sixth'!C127="", "",'Twenty-Sixth'!C127)</f>
        <v/>
      </c>
      <c r="D6374" s="66" t="str">
        <f>IF('Twenty-Sixth'!D127="", "",'Twenty-Sixth'!D127)</f>
        <v/>
      </c>
      <c r="E6374" s="66" t="str">
        <f>IF('Twenty-Sixth'!E127="", "",'Twenty-Sixth'!E127)</f>
        <v/>
      </c>
      <c r="F6374" s="66" t="str">
        <f>IF('Twenty-Sixth'!F127="", "",'Twenty-Sixth'!F127)</f>
        <v/>
      </c>
      <c r="G6374" s="66" t="str">
        <f>IF('Twenty-Sixth'!G127="", "",'Twenty-Sixth'!G127)</f>
        <v/>
      </c>
      <c r="H6374" s="66" t="str">
        <f>IF('Twenty-Sixth'!H127="", "",'Twenty-Sixth'!H127)</f>
        <v/>
      </c>
      <c r="I6374" s="66" t="str">
        <f>IF('Twenty-Sixth'!I127="", "",'Twenty-Sixth'!I127)</f>
        <v/>
      </c>
      <c r="J6374" s="66" t="str">
        <f>IF('Twenty-Sixth'!J127="", "",'Twenty-Sixth'!J127)</f>
        <v/>
      </c>
      <c r="K6374" s="86" t="str">
        <f>IF('Twenty-Sixth'!K127="", "",'Twenty-Sixth'!K127)</f>
        <v/>
      </c>
      <c r="M6374" s="67" t="str">
        <f t="shared" si="302"/>
        <v/>
      </c>
      <c r="N6374" s="76" t="str">
        <f t="shared" si="303"/>
        <v/>
      </c>
      <c r="O6374" s="33">
        <f t="shared" si="304"/>
        <v>0</v>
      </c>
    </row>
    <row r="6375" spans="1:15" x14ac:dyDescent="0.25">
      <c r="A6375" s="64" t="s">
        <v>210</v>
      </c>
      <c r="B6375" s="79" t="str">
        <f>IF('Twenty-Sixth'!B128="", "",'Twenty-Sixth'!B128)</f>
        <v/>
      </c>
      <c r="C6375" s="66" t="str">
        <f>IF('Twenty-Sixth'!C128="", "",'Twenty-Sixth'!C128)</f>
        <v/>
      </c>
      <c r="D6375" s="66" t="str">
        <f>IF('Twenty-Sixth'!D128="", "",'Twenty-Sixth'!D128)</f>
        <v/>
      </c>
      <c r="E6375" s="66" t="str">
        <f>IF('Twenty-Sixth'!E128="", "",'Twenty-Sixth'!E128)</f>
        <v/>
      </c>
      <c r="F6375" s="66" t="str">
        <f>IF('Twenty-Sixth'!F128="", "",'Twenty-Sixth'!F128)</f>
        <v/>
      </c>
      <c r="G6375" s="66" t="str">
        <f>IF('Twenty-Sixth'!G128="", "",'Twenty-Sixth'!G128)</f>
        <v/>
      </c>
      <c r="H6375" s="66" t="str">
        <f>IF('Twenty-Sixth'!H128="", "",'Twenty-Sixth'!H128)</f>
        <v/>
      </c>
      <c r="I6375" s="66" t="str">
        <f>IF('Twenty-Sixth'!I128="", "",'Twenty-Sixth'!I128)</f>
        <v/>
      </c>
      <c r="J6375" s="66" t="str">
        <f>IF('Twenty-Sixth'!J128="", "",'Twenty-Sixth'!J128)</f>
        <v/>
      </c>
      <c r="K6375" s="86" t="str">
        <f>IF('Twenty-Sixth'!K128="", "",'Twenty-Sixth'!K128)</f>
        <v/>
      </c>
      <c r="M6375" s="67" t="str">
        <f t="shared" si="302"/>
        <v/>
      </c>
      <c r="N6375" s="76" t="str">
        <f t="shared" si="303"/>
        <v/>
      </c>
      <c r="O6375" s="33">
        <f t="shared" si="304"/>
        <v>0</v>
      </c>
    </row>
    <row r="6376" spans="1:15" x14ac:dyDescent="0.25">
      <c r="A6376" s="64" t="s">
        <v>210</v>
      </c>
      <c r="B6376" s="79" t="str">
        <f>IF('Twenty-Sixth'!B129="", "",'Twenty-Sixth'!B129)</f>
        <v/>
      </c>
      <c r="C6376" s="66" t="str">
        <f>IF('Twenty-Sixth'!C129="", "",'Twenty-Sixth'!C129)</f>
        <v/>
      </c>
      <c r="D6376" s="66" t="str">
        <f>IF('Twenty-Sixth'!D129="", "",'Twenty-Sixth'!D129)</f>
        <v/>
      </c>
      <c r="E6376" s="66" t="str">
        <f>IF('Twenty-Sixth'!E129="", "",'Twenty-Sixth'!E129)</f>
        <v/>
      </c>
      <c r="F6376" s="66" t="str">
        <f>IF('Twenty-Sixth'!F129="", "",'Twenty-Sixth'!F129)</f>
        <v/>
      </c>
      <c r="G6376" s="66" t="str">
        <f>IF('Twenty-Sixth'!G129="", "",'Twenty-Sixth'!G129)</f>
        <v/>
      </c>
      <c r="H6376" s="66" t="str">
        <f>IF('Twenty-Sixth'!H129="", "",'Twenty-Sixth'!H129)</f>
        <v/>
      </c>
      <c r="I6376" s="66" t="str">
        <f>IF('Twenty-Sixth'!I129="", "",'Twenty-Sixth'!I129)</f>
        <v/>
      </c>
      <c r="J6376" s="66" t="str">
        <f>IF('Twenty-Sixth'!J129="", "",'Twenty-Sixth'!J129)</f>
        <v/>
      </c>
      <c r="K6376" s="86" t="str">
        <f>IF('Twenty-Sixth'!K129="", "",'Twenty-Sixth'!K129)</f>
        <v/>
      </c>
      <c r="M6376" s="67" t="str">
        <f t="shared" si="302"/>
        <v/>
      </c>
      <c r="N6376" s="76" t="str">
        <f t="shared" si="303"/>
        <v/>
      </c>
      <c r="O6376" s="33">
        <f t="shared" si="304"/>
        <v>0</v>
      </c>
    </row>
    <row r="6377" spans="1:15" x14ac:dyDescent="0.25">
      <c r="A6377" s="64" t="s">
        <v>210</v>
      </c>
      <c r="B6377" s="79" t="str">
        <f>IF('Twenty-Sixth'!B130="", "",'Twenty-Sixth'!B130)</f>
        <v/>
      </c>
      <c r="C6377" s="66" t="str">
        <f>IF('Twenty-Sixth'!C130="", "",'Twenty-Sixth'!C130)</f>
        <v/>
      </c>
      <c r="D6377" s="66" t="str">
        <f>IF('Twenty-Sixth'!D130="", "",'Twenty-Sixth'!D130)</f>
        <v/>
      </c>
      <c r="E6377" s="66" t="str">
        <f>IF('Twenty-Sixth'!E130="", "",'Twenty-Sixth'!E130)</f>
        <v/>
      </c>
      <c r="F6377" s="66" t="str">
        <f>IF('Twenty-Sixth'!F130="", "",'Twenty-Sixth'!F130)</f>
        <v/>
      </c>
      <c r="G6377" s="66" t="str">
        <f>IF('Twenty-Sixth'!G130="", "",'Twenty-Sixth'!G130)</f>
        <v/>
      </c>
      <c r="H6377" s="66" t="str">
        <f>IF('Twenty-Sixth'!H130="", "",'Twenty-Sixth'!H130)</f>
        <v/>
      </c>
      <c r="I6377" s="66" t="str">
        <f>IF('Twenty-Sixth'!I130="", "",'Twenty-Sixth'!I130)</f>
        <v/>
      </c>
      <c r="J6377" s="66" t="str">
        <f>IF('Twenty-Sixth'!J130="", "",'Twenty-Sixth'!J130)</f>
        <v/>
      </c>
      <c r="K6377" s="86" t="str">
        <f>IF('Twenty-Sixth'!K130="", "",'Twenty-Sixth'!K130)</f>
        <v/>
      </c>
      <c r="M6377" s="67" t="str">
        <f t="shared" si="302"/>
        <v/>
      </c>
      <c r="N6377" s="76" t="str">
        <f t="shared" si="303"/>
        <v/>
      </c>
      <c r="O6377" s="33">
        <f t="shared" si="304"/>
        <v>0</v>
      </c>
    </row>
    <row r="6378" spans="1:15" x14ac:dyDescent="0.25">
      <c r="A6378" s="64" t="s">
        <v>210</v>
      </c>
      <c r="B6378" s="79" t="str">
        <f>IF('Twenty-Sixth'!B131="", "",'Twenty-Sixth'!B131)</f>
        <v/>
      </c>
      <c r="C6378" s="66" t="str">
        <f>IF('Twenty-Sixth'!C131="", "",'Twenty-Sixth'!C131)</f>
        <v/>
      </c>
      <c r="D6378" s="66" t="str">
        <f>IF('Twenty-Sixth'!D131="", "",'Twenty-Sixth'!D131)</f>
        <v/>
      </c>
      <c r="E6378" s="66" t="str">
        <f>IF('Twenty-Sixth'!E131="", "",'Twenty-Sixth'!E131)</f>
        <v/>
      </c>
      <c r="F6378" s="66" t="str">
        <f>IF('Twenty-Sixth'!F131="", "",'Twenty-Sixth'!F131)</f>
        <v/>
      </c>
      <c r="G6378" s="66" t="str">
        <f>IF('Twenty-Sixth'!G131="", "",'Twenty-Sixth'!G131)</f>
        <v/>
      </c>
      <c r="H6378" s="66" t="str">
        <f>IF('Twenty-Sixth'!H131="", "",'Twenty-Sixth'!H131)</f>
        <v/>
      </c>
      <c r="I6378" s="66" t="str">
        <f>IF('Twenty-Sixth'!I131="", "",'Twenty-Sixth'!I131)</f>
        <v/>
      </c>
      <c r="J6378" s="66" t="str">
        <f>IF('Twenty-Sixth'!J131="", "",'Twenty-Sixth'!J131)</f>
        <v/>
      </c>
      <c r="K6378" s="86" t="str">
        <f>IF('Twenty-Sixth'!K131="", "",'Twenty-Sixth'!K131)</f>
        <v/>
      </c>
      <c r="M6378" s="67" t="str">
        <f t="shared" si="302"/>
        <v/>
      </c>
      <c r="N6378" s="76" t="str">
        <f t="shared" si="303"/>
        <v/>
      </c>
      <c r="O6378" s="33">
        <f t="shared" si="304"/>
        <v>0</v>
      </c>
    </row>
    <row r="6379" spans="1:15" x14ac:dyDescent="0.25">
      <c r="A6379" s="64" t="s">
        <v>210</v>
      </c>
      <c r="B6379" s="79" t="str">
        <f>IF('Twenty-Sixth'!B132="", "",'Twenty-Sixth'!B132)</f>
        <v/>
      </c>
      <c r="C6379" s="66" t="str">
        <f>IF('Twenty-Sixth'!C132="", "",'Twenty-Sixth'!C132)</f>
        <v/>
      </c>
      <c r="D6379" s="66" t="str">
        <f>IF('Twenty-Sixth'!D132="", "",'Twenty-Sixth'!D132)</f>
        <v/>
      </c>
      <c r="E6379" s="66" t="str">
        <f>IF('Twenty-Sixth'!E132="", "",'Twenty-Sixth'!E132)</f>
        <v/>
      </c>
      <c r="F6379" s="66" t="str">
        <f>IF('Twenty-Sixth'!F132="", "",'Twenty-Sixth'!F132)</f>
        <v/>
      </c>
      <c r="G6379" s="66" t="str">
        <f>IF('Twenty-Sixth'!G132="", "",'Twenty-Sixth'!G132)</f>
        <v/>
      </c>
      <c r="H6379" s="66" t="str">
        <f>IF('Twenty-Sixth'!H132="", "",'Twenty-Sixth'!H132)</f>
        <v/>
      </c>
      <c r="I6379" s="66" t="str">
        <f>IF('Twenty-Sixth'!I132="", "",'Twenty-Sixth'!I132)</f>
        <v/>
      </c>
      <c r="J6379" s="66" t="str">
        <f>IF('Twenty-Sixth'!J132="", "",'Twenty-Sixth'!J132)</f>
        <v/>
      </c>
      <c r="K6379" s="86" t="str">
        <f>IF('Twenty-Sixth'!K132="", "",'Twenty-Sixth'!K132)</f>
        <v/>
      </c>
      <c r="M6379" s="67" t="str">
        <f t="shared" si="302"/>
        <v/>
      </c>
      <c r="N6379" s="76" t="str">
        <f t="shared" si="303"/>
        <v/>
      </c>
      <c r="O6379" s="33">
        <f t="shared" si="304"/>
        <v>0</v>
      </c>
    </row>
    <row r="6380" spans="1:15" x14ac:dyDescent="0.25">
      <c r="A6380" s="64" t="s">
        <v>210</v>
      </c>
      <c r="B6380" s="79" t="str">
        <f>IF('Twenty-Sixth'!B133="", "",'Twenty-Sixth'!B133)</f>
        <v/>
      </c>
      <c r="C6380" s="66" t="str">
        <f>IF('Twenty-Sixth'!C133="", "",'Twenty-Sixth'!C133)</f>
        <v/>
      </c>
      <c r="D6380" s="66" t="str">
        <f>IF('Twenty-Sixth'!D133="", "",'Twenty-Sixth'!D133)</f>
        <v/>
      </c>
      <c r="E6380" s="66" t="str">
        <f>IF('Twenty-Sixth'!E133="", "",'Twenty-Sixth'!E133)</f>
        <v/>
      </c>
      <c r="F6380" s="66" t="str">
        <f>IF('Twenty-Sixth'!F133="", "",'Twenty-Sixth'!F133)</f>
        <v/>
      </c>
      <c r="G6380" s="66" t="str">
        <f>IF('Twenty-Sixth'!G133="", "",'Twenty-Sixth'!G133)</f>
        <v/>
      </c>
      <c r="H6380" s="66" t="str">
        <f>IF('Twenty-Sixth'!H133="", "",'Twenty-Sixth'!H133)</f>
        <v/>
      </c>
      <c r="I6380" s="66" t="str">
        <f>IF('Twenty-Sixth'!I133="", "",'Twenty-Sixth'!I133)</f>
        <v/>
      </c>
      <c r="J6380" s="66" t="str">
        <f>IF('Twenty-Sixth'!J133="", "",'Twenty-Sixth'!J133)</f>
        <v/>
      </c>
      <c r="K6380" s="86" t="str">
        <f>IF('Twenty-Sixth'!K133="", "",'Twenty-Sixth'!K133)</f>
        <v/>
      </c>
      <c r="M6380" s="67" t="str">
        <f t="shared" si="302"/>
        <v/>
      </c>
      <c r="N6380" s="76" t="str">
        <f t="shared" si="303"/>
        <v/>
      </c>
      <c r="O6380" s="33">
        <f t="shared" si="304"/>
        <v>0</v>
      </c>
    </row>
    <row r="6381" spans="1:15" x14ac:dyDescent="0.25">
      <c r="A6381" s="64" t="s">
        <v>210</v>
      </c>
      <c r="B6381" s="79" t="str">
        <f>IF('Twenty-Sixth'!B134="", "",'Twenty-Sixth'!B134)</f>
        <v/>
      </c>
      <c r="C6381" s="66" t="str">
        <f>IF('Twenty-Sixth'!C134="", "",'Twenty-Sixth'!C134)</f>
        <v/>
      </c>
      <c r="D6381" s="66" t="str">
        <f>IF('Twenty-Sixth'!D134="", "",'Twenty-Sixth'!D134)</f>
        <v/>
      </c>
      <c r="E6381" s="66" t="str">
        <f>IF('Twenty-Sixth'!E134="", "",'Twenty-Sixth'!E134)</f>
        <v/>
      </c>
      <c r="F6381" s="66" t="str">
        <f>IF('Twenty-Sixth'!F134="", "",'Twenty-Sixth'!F134)</f>
        <v/>
      </c>
      <c r="G6381" s="66" t="str">
        <f>IF('Twenty-Sixth'!G134="", "",'Twenty-Sixth'!G134)</f>
        <v/>
      </c>
      <c r="H6381" s="66" t="str">
        <f>IF('Twenty-Sixth'!H134="", "",'Twenty-Sixth'!H134)</f>
        <v/>
      </c>
      <c r="I6381" s="66" t="str">
        <f>IF('Twenty-Sixth'!I134="", "",'Twenty-Sixth'!I134)</f>
        <v/>
      </c>
      <c r="J6381" s="66" t="str">
        <f>IF('Twenty-Sixth'!J134="", "",'Twenty-Sixth'!J134)</f>
        <v/>
      </c>
      <c r="K6381" s="86" t="str">
        <f>IF('Twenty-Sixth'!K134="", "",'Twenty-Sixth'!K134)</f>
        <v/>
      </c>
      <c r="M6381" s="67" t="str">
        <f t="shared" si="302"/>
        <v/>
      </c>
      <c r="N6381" s="76" t="str">
        <f t="shared" si="303"/>
        <v/>
      </c>
      <c r="O6381" s="33">
        <f t="shared" si="304"/>
        <v>0</v>
      </c>
    </row>
    <row r="6382" spans="1:15" x14ac:dyDescent="0.25">
      <c r="A6382" s="64" t="s">
        <v>210</v>
      </c>
      <c r="B6382" s="79" t="str">
        <f>IF('Twenty-Sixth'!B135="", "",'Twenty-Sixth'!B135)</f>
        <v/>
      </c>
      <c r="C6382" s="66" t="str">
        <f>IF('Twenty-Sixth'!C135="", "",'Twenty-Sixth'!C135)</f>
        <v/>
      </c>
      <c r="D6382" s="66" t="str">
        <f>IF('Twenty-Sixth'!D135="", "",'Twenty-Sixth'!D135)</f>
        <v/>
      </c>
      <c r="E6382" s="66" t="str">
        <f>IF('Twenty-Sixth'!E135="", "",'Twenty-Sixth'!E135)</f>
        <v/>
      </c>
      <c r="F6382" s="66" t="str">
        <f>IF('Twenty-Sixth'!F135="", "",'Twenty-Sixth'!F135)</f>
        <v/>
      </c>
      <c r="G6382" s="66" t="str">
        <f>IF('Twenty-Sixth'!G135="", "",'Twenty-Sixth'!G135)</f>
        <v/>
      </c>
      <c r="H6382" s="66" t="str">
        <f>IF('Twenty-Sixth'!H135="", "",'Twenty-Sixth'!H135)</f>
        <v/>
      </c>
      <c r="I6382" s="66" t="str">
        <f>IF('Twenty-Sixth'!I135="", "",'Twenty-Sixth'!I135)</f>
        <v/>
      </c>
      <c r="J6382" s="66" t="str">
        <f>IF('Twenty-Sixth'!J135="", "",'Twenty-Sixth'!J135)</f>
        <v/>
      </c>
      <c r="K6382" s="86" t="str">
        <f>IF('Twenty-Sixth'!K135="", "",'Twenty-Sixth'!K135)</f>
        <v/>
      </c>
      <c r="M6382" s="67" t="str">
        <f t="shared" si="302"/>
        <v/>
      </c>
      <c r="N6382" s="76" t="str">
        <f t="shared" si="303"/>
        <v/>
      </c>
      <c r="O6382" s="33">
        <f t="shared" si="304"/>
        <v>0</v>
      </c>
    </row>
    <row r="6383" spans="1:15" x14ac:dyDescent="0.25">
      <c r="A6383" s="64" t="s">
        <v>210</v>
      </c>
      <c r="B6383" s="79" t="str">
        <f>IF('Twenty-Sixth'!B136="", "",'Twenty-Sixth'!B136)</f>
        <v/>
      </c>
      <c r="C6383" s="66" t="str">
        <f>IF('Twenty-Sixth'!C136="", "",'Twenty-Sixth'!C136)</f>
        <v/>
      </c>
      <c r="D6383" s="66" t="str">
        <f>IF('Twenty-Sixth'!D136="", "",'Twenty-Sixth'!D136)</f>
        <v/>
      </c>
      <c r="E6383" s="66" t="str">
        <f>IF('Twenty-Sixth'!E136="", "",'Twenty-Sixth'!E136)</f>
        <v/>
      </c>
      <c r="F6383" s="66" t="str">
        <f>IF('Twenty-Sixth'!F136="", "",'Twenty-Sixth'!F136)</f>
        <v/>
      </c>
      <c r="G6383" s="66" t="str">
        <f>IF('Twenty-Sixth'!G136="", "",'Twenty-Sixth'!G136)</f>
        <v/>
      </c>
      <c r="H6383" s="66" t="str">
        <f>IF('Twenty-Sixth'!H136="", "",'Twenty-Sixth'!H136)</f>
        <v/>
      </c>
      <c r="I6383" s="66" t="str">
        <f>IF('Twenty-Sixth'!I136="", "",'Twenty-Sixth'!I136)</f>
        <v/>
      </c>
      <c r="J6383" s="66" t="str">
        <f>IF('Twenty-Sixth'!J136="", "",'Twenty-Sixth'!J136)</f>
        <v/>
      </c>
      <c r="K6383" s="86" t="str">
        <f>IF('Twenty-Sixth'!K136="", "",'Twenty-Sixth'!K136)</f>
        <v/>
      </c>
      <c r="M6383" s="67" t="str">
        <f t="shared" si="302"/>
        <v/>
      </c>
      <c r="N6383" s="76" t="str">
        <f t="shared" si="303"/>
        <v/>
      </c>
      <c r="O6383" s="33">
        <f t="shared" si="304"/>
        <v>0</v>
      </c>
    </row>
    <row r="6384" spans="1:15" x14ac:dyDescent="0.25">
      <c r="A6384" s="64" t="s">
        <v>210</v>
      </c>
      <c r="B6384" s="79" t="str">
        <f>IF('Twenty-Sixth'!B137="", "",'Twenty-Sixth'!B137)</f>
        <v/>
      </c>
      <c r="C6384" s="66" t="str">
        <f>IF('Twenty-Sixth'!C137="", "",'Twenty-Sixth'!C137)</f>
        <v/>
      </c>
      <c r="D6384" s="66" t="str">
        <f>IF('Twenty-Sixth'!D137="", "",'Twenty-Sixth'!D137)</f>
        <v/>
      </c>
      <c r="E6384" s="66" t="str">
        <f>IF('Twenty-Sixth'!E137="", "",'Twenty-Sixth'!E137)</f>
        <v/>
      </c>
      <c r="F6384" s="66" t="str">
        <f>IF('Twenty-Sixth'!F137="", "",'Twenty-Sixth'!F137)</f>
        <v/>
      </c>
      <c r="G6384" s="66" t="str">
        <f>IF('Twenty-Sixth'!G137="", "",'Twenty-Sixth'!G137)</f>
        <v/>
      </c>
      <c r="H6384" s="66" t="str">
        <f>IF('Twenty-Sixth'!H137="", "",'Twenty-Sixth'!H137)</f>
        <v/>
      </c>
      <c r="I6384" s="66" t="str">
        <f>IF('Twenty-Sixth'!I137="", "",'Twenty-Sixth'!I137)</f>
        <v/>
      </c>
      <c r="J6384" s="66" t="str">
        <f>IF('Twenty-Sixth'!J137="", "",'Twenty-Sixth'!J137)</f>
        <v/>
      </c>
      <c r="K6384" s="86" t="str">
        <f>IF('Twenty-Sixth'!K137="", "",'Twenty-Sixth'!K137)</f>
        <v/>
      </c>
      <c r="M6384" s="67" t="str">
        <f t="shared" si="302"/>
        <v/>
      </c>
      <c r="N6384" s="76" t="str">
        <f t="shared" si="303"/>
        <v/>
      </c>
      <c r="O6384" s="33">
        <f t="shared" si="304"/>
        <v>0</v>
      </c>
    </row>
    <row r="6385" spans="1:15" x14ac:dyDescent="0.25">
      <c r="A6385" s="64" t="s">
        <v>210</v>
      </c>
      <c r="B6385" s="79" t="str">
        <f>IF('Twenty-Sixth'!B138="", "",'Twenty-Sixth'!B138)</f>
        <v/>
      </c>
      <c r="C6385" s="66" t="str">
        <f>IF('Twenty-Sixth'!C138="", "",'Twenty-Sixth'!C138)</f>
        <v/>
      </c>
      <c r="D6385" s="66" t="str">
        <f>IF('Twenty-Sixth'!D138="", "",'Twenty-Sixth'!D138)</f>
        <v/>
      </c>
      <c r="E6385" s="66" t="str">
        <f>IF('Twenty-Sixth'!E138="", "",'Twenty-Sixth'!E138)</f>
        <v/>
      </c>
      <c r="F6385" s="66" t="str">
        <f>IF('Twenty-Sixth'!F138="", "",'Twenty-Sixth'!F138)</f>
        <v/>
      </c>
      <c r="G6385" s="66" t="str">
        <f>IF('Twenty-Sixth'!G138="", "",'Twenty-Sixth'!G138)</f>
        <v/>
      </c>
      <c r="H6385" s="66" t="str">
        <f>IF('Twenty-Sixth'!H138="", "",'Twenty-Sixth'!H138)</f>
        <v/>
      </c>
      <c r="I6385" s="66" t="str">
        <f>IF('Twenty-Sixth'!I138="", "",'Twenty-Sixth'!I138)</f>
        <v/>
      </c>
      <c r="J6385" s="66" t="str">
        <f>IF('Twenty-Sixth'!J138="", "",'Twenty-Sixth'!J138)</f>
        <v/>
      </c>
      <c r="K6385" s="86" t="str">
        <f>IF('Twenty-Sixth'!K138="", "",'Twenty-Sixth'!K138)</f>
        <v/>
      </c>
      <c r="M6385" s="67" t="str">
        <f t="shared" si="302"/>
        <v/>
      </c>
      <c r="N6385" s="76" t="str">
        <f t="shared" si="303"/>
        <v/>
      </c>
      <c r="O6385" s="33">
        <f t="shared" si="304"/>
        <v>0</v>
      </c>
    </row>
    <row r="6386" spans="1:15" x14ac:dyDescent="0.25">
      <c r="A6386" s="64" t="s">
        <v>210</v>
      </c>
      <c r="B6386" s="79" t="str">
        <f>IF('Twenty-Sixth'!B139="", "",'Twenty-Sixth'!B139)</f>
        <v/>
      </c>
      <c r="C6386" s="66" t="str">
        <f>IF('Twenty-Sixth'!C139="", "",'Twenty-Sixth'!C139)</f>
        <v/>
      </c>
      <c r="D6386" s="66" t="str">
        <f>IF('Twenty-Sixth'!D139="", "",'Twenty-Sixth'!D139)</f>
        <v/>
      </c>
      <c r="E6386" s="66" t="str">
        <f>IF('Twenty-Sixth'!E139="", "",'Twenty-Sixth'!E139)</f>
        <v/>
      </c>
      <c r="F6386" s="66" t="str">
        <f>IF('Twenty-Sixth'!F139="", "",'Twenty-Sixth'!F139)</f>
        <v/>
      </c>
      <c r="G6386" s="66" t="str">
        <f>IF('Twenty-Sixth'!G139="", "",'Twenty-Sixth'!G139)</f>
        <v/>
      </c>
      <c r="H6386" s="66" t="str">
        <f>IF('Twenty-Sixth'!H139="", "",'Twenty-Sixth'!H139)</f>
        <v/>
      </c>
      <c r="I6386" s="66" t="str">
        <f>IF('Twenty-Sixth'!I139="", "",'Twenty-Sixth'!I139)</f>
        <v/>
      </c>
      <c r="J6386" s="66" t="str">
        <f>IF('Twenty-Sixth'!J139="", "",'Twenty-Sixth'!J139)</f>
        <v/>
      </c>
      <c r="K6386" s="86" t="str">
        <f>IF('Twenty-Sixth'!K139="", "",'Twenty-Sixth'!K139)</f>
        <v/>
      </c>
      <c r="M6386" s="67" t="str">
        <f t="shared" si="302"/>
        <v/>
      </c>
      <c r="N6386" s="76" t="str">
        <f t="shared" si="303"/>
        <v/>
      </c>
      <c r="O6386" s="33">
        <f t="shared" si="304"/>
        <v>0</v>
      </c>
    </row>
    <row r="6387" spans="1:15" x14ac:dyDescent="0.25">
      <c r="A6387" s="64" t="s">
        <v>210</v>
      </c>
      <c r="B6387" s="79" t="str">
        <f>IF('Twenty-Sixth'!B140="", "",'Twenty-Sixth'!B140)</f>
        <v/>
      </c>
      <c r="C6387" s="66" t="str">
        <f>IF('Twenty-Sixth'!C140="", "",'Twenty-Sixth'!C140)</f>
        <v/>
      </c>
      <c r="D6387" s="66" t="str">
        <f>IF('Twenty-Sixth'!D140="", "",'Twenty-Sixth'!D140)</f>
        <v/>
      </c>
      <c r="E6387" s="66" t="str">
        <f>IF('Twenty-Sixth'!E140="", "",'Twenty-Sixth'!E140)</f>
        <v/>
      </c>
      <c r="F6387" s="66" t="str">
        <f>IF('Twenty-Sixth'!F140="", "",'Twenty-Sixth'!F140)</f>
        <v/>
      </c>
      <c r="G6387" s="66" t="str">
        <f>IF('Twenty-Sixth'!G140="", "",'Twenty-Sixth'!G140)</f>
        <v/>
      </c>
      <c r="H6387" s="66" t="str">
        <f>IF('Twenty-Sixth'!H140="", "",'Twenty-Sixth'!H140)</f>
        <v/>
      </c>
      <c r="I6387" s="66" t="str">
        <f>IF('Twenty-Sixth'!I140="", "",'Twenty-Sixth'!I140)</f>
        <v/>
      </c>
      <c r="J6387" s="66" t="str">
        <f>IF('Twenty-Sixth'!J140="", "",'Twenty-Sixth'!J140)</f>
        <v/>
      </c>
      <c r="K6387" s="86" t="str">
        <f>IF('Twenty-Sixth'!K140="", "",'Twenty-Sixth'!K140)</f>
        <v/>
      </c>
      <c r="M6387" s="67" t="str">
        <f t="shared" si="302"/>
        <v/>
      </c>
      <c r="N6387" s="76" t="str">
        <f t="shared" si="303"/>
        <v/>
      </c>
      <c r="O6387" s="33">
        <f t="shared" si="304"/>
        <v>0</v>
      </c>
    </row>
    <row r="6388" spans="1:15" x14ac:dyDescent="0.25">
      <c r="A6388" s="64" t="s">
        <v>210</v>
      </c>
      <c r="B6388" s="79" t="str">
        <f>IF('Twenty-Sixth'!B141="", "",'Twenty-Sixth'!B141)</f>
        <v/>
      </c>
      <c r="C6388" s="66" t="str">
        <f>IF('Twenty-Sixth'!C141="", "",'Twenty-Sixth'!C141)</f>
        <v/>
      </c>
      <c r="D6388" s="66" t="str">
        <f>IF('Twenty-Sixth'!D141="", "",'Twenty-Sixth'!D141)</f>
        <v/>
      </c>
      <c r="E6388" s="66" t="str">
        <f>IF('Twenty-Sixth'!E141="", "",'Twenty-Sixth'!E141)</f>
        <v/>
      </c>
      <c r="F6388" s="66" t="str">
        <f>IF('Twenty-Sixth'!F141="", "",'Twenty-Sixth'!F141)</f>
        <v/>
      </c>
      <c r="G6388" s="66" t="str">
        <f>IF('Twenty-Sixth'!G141="", "",'Twenty-Sixth'!G141)</f>
        <v/>
      </c>
      <c r="H6388" s="66" t="str">
        <f>IF('Twenty-Sixth'!H141="", "",'Twenty-Sixth'!H141)</f>
        <v/>
      </c>
      <c r="I6388" s="66" t="str">
        <f>IF('Twenty-Sixth'!I141="", "",'Twenty-Sixth'!I141)</f>
        <v/>
      </c>
      <c r="J6388" s="66" t="str">
        <f>IF('Twenty-Sixth'!J141="", "",'Twenty-Sixth'!J141)</f>
        <v/>
      </c>
      <c r="K6388" s="86" t="str">
        <f>IF('Twenty-Sixth'!K141="", "",'Twenty-Sixth'!K141)</f>
        <v/>
      </c>
      <c r="M6388" s="67" t="str">
        <f t="shared" si="302"/>
        <v/>
      </c>
      <c r="N6388" s="76" t="str">
        <f t="shared" si="303"/>
        <v/>
      </c>
      <c r="O6388" s="33">
        <f t="shared" si="304"/>
        <v>0</v>
      </c>
    </row>
    <row r="6389" spans="1:15" x14ac:dyDescent="0.25">
      <c r="A6389" s="64" t="s">
        <v>210</v>
      </c>
      <c r="B6389" s="79" t="str">
        <f>IF('Twenty-Sixth'!B142="", "",'Twenty-Sixth'!B142)</f>
        <v/>
      </c>
      <c r="C6389" s="66" t="str">
        <f>IF('Twenty-Sixth'!C142="", "",'Twenty-Sixth'!C142)</f>
        <v/>
      </c>
      <c r="D6389" s="66" t="str">
        <f>IF('Twenty-Sixth'!D142="", "",'Twenty-Sixth'!D142)</f>
        <v/>
      </c>
      <c r="E6389" s="66" t="str">
        <f>IF('Twenty-Sixth'!E142="", "",'Twenty-Sixth'!E142)</f>
        <v/>
      </c>
      <c r="F6389" s="66" t="str">
        <f>IF('Twenty-Sixth'!F142="", "",'Twenty-Sixth'!F142)</f>
        <v/>
      </c>
      <c r="G6389" s="66" t="str">
        <f>IF('Twenty-Sixth'!G142="", "",'Twenty-Sixth'!G142)</f>
        <v/>
      </c>
      <c r="H6389" s="66" t="str">
        <f>IF('Twenty-Sixth'!H142="", "",'Twenty-Sixth'!H142)</f>
        <v/>
      </c>
      <c r="I6389" s="66" t="str">
        <f>IF('Twenty-Sixth'!I142="", "",'Twenty-Sixth'!I142)</f>
        <v/>
      </c>
      <c r="J6389" s="66" t="str">
        <f>IF('Twenty-Sixth'!J142="", "",'Twenty-Sixth'!J142)</f>
        <v/>
      </c>
      <c r="K6389" s="86" t="str">
        <f>IF('Twenty-Sixth'!K142="", "",'Twenty-Sixth'!K142)</f>
        <v/>
      </c>
      <c r="M6389" s="67" t="str">
        <f t="shared" si="302"/>
        <v/>
      </c>
      <c r="N6389" s="76" t="str">
        <f t="shared" si="303"/>
        <v/>
      </c>
      <c r="O6389" s="33">
        <f t="shared" si="304"/>
        <v>0</v>
      </c>
    </row>
    <row r="6390" spans="1:15" x14ac:dyDescent="0.25">
      <c r="A6390" s="64" t="s">
        <v>210</v>
      </c>
      <c r="B6390" s="79" t="str">
        <f>IF('Twenty-Sixth'!B143="", "",'Twenty-Sixth'!B143)</f>
        <v/>
      </c>
      <c r="C6390" s="66" t="str">
        <f>IF('Twenty-Sixth'!C143="", "",'Twenty-Sixth'!C143)</f>
        <v/>
      </c>
      <c r="D6390" s="66" t="str">
        <f>IF('Twenty-Sixth'!D143="", "",'Twenty-Sixth'!D143)</f>
        <v/>
      </c>
      <c r="E6390" s="66" t="str">
        <f>IF('Twenty-Sixth'!E143="", "",'Twenty-Sixth'!E143)</f>
        <v/>
      </c>
      <c r="F6390" s="66" t="str">
        <f>IF('Twenty-Sixth'!F143="", "",'Twenty-Sixth'!F143)</f>
        <v/>
      </c>
      <c r="G6390" s="66" t="str">
        <f>IF('Twenty-Sixth'!G143="", "",'Twenty-Sixth'!G143)</f>
        <v/>
      </c>
      <c r="H6390" s="66" t="str">
        <f>IF('Twenty-Sixth'!H143="", "",'Twenty-Sixth'!H143)</f>
        <v/>
      </c>
      <c r="I6390" s="66" t="str">
        <f>IF('Twenty-Sixth'!I143="", "",'Twenty-Sixth'!I143)</f>
        <v/>
      </c>
      <c r="J6390" s="66" t="str">
        <f>IF('Twenty-Sixth'!J143="", "",'Twenty-Sixth'!J143)</f>
        <v/>
      </c>
      <c r="K6390" s="86" t="str">
        <f>IF('Twenty-Sixth'!K143="", "",'Twenty-Sixth'!K143)</f>
        <v/>
      </c>
      <c r="M6390" s="67" t="str">
        <f t="shared" si="302"/>
        <v/>
      </c>
      <c r="N6390" s="76" t="str">
        <f t="shared" si="303"/>
        <v/>
      </c>
      <c r="O6390" s="33">
        <f t="shared" si="304"/>
        <v>0</v>
      </c>
    </row>
    <row r="6391" spans="1:15" x14ac:dyDescent="0.25">
      <c r="A6391" s="64" t="s">
        <v>210</v>
      </c>
      <c r="B6391" s="79" t="str">
        <f>IF('Twenty-Sixth'!B144="", "",'Twenty-Sixth'!B144)</f>
        <v/>
      </c>
      <c r="C6391" s="66" t="str">
        <f>IF('Twenty-Sixth'!C144="", "",'Twenty-Sixth'!C144)</f>
        <v/>
      </c>
      <c r="D6391" s="66" t="str">
        <f>IF('Twenty-Sixth'!D144="", "",'Twenty-Sixth'!D144)</f>
        <v/>
      </c>
      <c r="E6391" s="66" t="str">
        <f>IF('Twenty-Sixth'!E144="", "",'Twenty-Sixth'!E144)</f>
        <v/>
      </c>
      <c r="F6391" s="66" t="str">
        <f>IF('Twenty-Sixth'!F144="", "",'Twenty-Sixth'!F144)</f>
        <v/>
      </c>
      <c r="G6391" s="66" t="str">
        <f>IF('Twenty-Sixth'!G144="", "",'Twenty-Sixth'!G144)</f>
        <v/>
      </c>
      <c r="H6391" s="66" t="str">
        <f>IF('Twenty-Sixth'!H144="", "",'Twenty-Sixth'!H144)</f>
        <v/>
      </c>
      <c r="I6391" s="66" t="str">
        <f>IF('Twenty-Sixth'!I144="", "",'Twenty-Sixth'!I144)</f>
        <v/>
      </c>
      <c r="J6391" s="66" t="str">
        <f>IF('Twenty-Sixth'!J144="", "",'Twenty-Sixth'!J144)</f>
        <v/>
      </c>
      <c r="K6391" s="86" t="str">
        <f>IF('Twenty-Sixth'!K144="", "",'Twenty-Sixth'!K144)</f>
        <v/>
      </c>
      <c r="M6391" s="67" t="str">
        <f t="shared" si="302"/>
        <v/>
      </c>
      <c r="N6391" s="76" t="str">
        <f t="shared" si="303"/>
        <v/>
      </c>
      <c r="O6391" s="33">
        <f t="shared" si="304"/>
        <v>0</v>
      </c>
    </row>
    <row r="6392" spans="1:15" x14ac:dyDescent="0.25">
      <c r="A6392" s="64" t="s">
        <v>210</v>
      </c>
      <c r="B6392" s="79" t="str">
        <f>IF('Twenty-Sixth'!B145="", "",'Twenty-Sixth'!B145)</f>
        <v/>
      </c>
      <c r="C6392" s="66" t="str">
        <f>IF('Twenty-Sixth'!C145="", "",'Twenty-Sixth'!C145)</f>
        <v/>
      </c>
      <c r="D6392" s="66" t="str">
        <f>IF('Twenty-Sixth'!D145="", "",'Twenty-Sixth'!D145)</f>
        <v/>
      </c>
      <c r="E6392" s="66" t="str">
        <f>IF('Twenty-Sixth'!E145="", "",'Twenty-Sixth'!E145)</f>
        <v/>
      </c>
      <c r="F6392" s="66" t="str">
        <f>IF('Twenty-Sixth'!F145="", "",'Twenty-Sixth'!F145)</f>
        <v/>
      </c>
      <c r="G6392" s="66" t="str">
        <f>IF('Twenty-Sixth'!G145="", "",'Twenty-Sixth'!G145)</f>
        <v/>
      </c>
      <c r="H6392" s="66" t="str">
        <f>IF('Twenty-Sixth'!H145="", "",'Twenty-Sixth'!H145)</f>
        <v/>
      </c>
      <c r="I6392" s="66" t="str">
        <f>IF('Twenty-Sixth'!I145="", "",'Twenty-Sixth'!I145)</f>
        <v/>
      </c>
      <c r="J6392" s="66" t="str">
        <f>IF('Twenty-Sixth'!J145="", "",'Twenty-Sixth'!J145)</f>
        <v/>
      </c>
      <c r="K6392" s="86" t="str">
        <f>IF('Twenty-Sixth'!K145="", "",'Twenty-Sixth'!K145)</f>
        <v/>
      </c>
      <c r="M6392" s="67" t="str">
        <f t="shared" si="302"/>
        <v/>
      </c>
      <c r="N6392" s="76" t="str">
        <f t="shared" si="303"/>
        <v/>
      </c>
      <c r="O6392" s="33">
        <f t="shared" si="304"/>
        <v>0</v>
      </c>
    </row>
    <row r="6393" spans="1:15" x14ac:dyDescent="0.25">
      <c r="A6393" s="64" t="s">
        <v>210</v>
      </c>
      <c r="B6393" s="79" t="str">
        <f>IF('Twenty-Sixth'!B146="", "",'Twenty-Sixth'!B146)</f>
        <v/>
      </c>
      <c r="C6393" s="66" t="str">
        <f>IF('Twenty-Sixth'!C146="", "",'Twenty-Sixth'!C146)</f>
        <v/>
      </c>
      <c r="D6393" s="66" t="str">
        <f>IF('Twenty-Sixth'!D146="", "",'Twenty-Sixth'!D146)</f>
        <v/>
      </c>
      <c r="E6393" s="66" t="str">
        <f>IF('Twenty-Sixth'!E146="", "",'Twenty-Sixth'!E146)</f>
        <v/>
      </c>
      <c r="F6393" s="66" t="str">
        <f>IF('Twenty-Sixth'!F146="", "",'Twenty-Sixth'!F146)</f>
        <v/>
      </c>
      <c r="G6393" s="66" t="str">
        <f>IF('Twenty-Sixth'!G146="", "",'Twenty-Sixth'!G146)</f>
        <v/>
      </c>
      <c r="H6393" s="66" t="str">
        <f>IF('Twenty-Sixth'!H146="", "",'Twenty-Sixth'!H146)</f>
        <v/>
      </c>
      <c r="I6393" s="66" t="str">
        <f>IF('Twenty-Sixth'!I146="", "",'Twenty-Sixth'!I146)</f>
        <v/>
      </c>
      <c r="J6393" s="66" t="str">
        <f>IF('Twenty-Sixth'!J146="", "",'Twenty-Sixth'!J146)</f>
        <v/>
      </c>
      <c r="K6393" s="86" t="str">
        <f>IF('Twenty-Sixth'!K146="", "",'Twenty-Sixth'!K146)</f>
        <v/>
      </c>
      <c r="M6393" s="67" t="str">
        <f t="shared" si="302"/>
        <v/>
      </c>
      <c r="N6393" s="76" t="str">
        <f t="shared" si="303"/>
        <v/>
      </c>
      <c r="O6393" s="33">
        <f t="shared" si="304"/>
        <v>0</v>
      </c>
    </row>
    <row r="6394" spans="1:15" x14ac:dyDescent="0.25">
      <c r="A6394" s="64" t="s">
        <v>210</v>
      </c>
      <c r="B6394" s="79" t="str">
        <f>IF('Twenty-Sixth'!B147="", "",'Twenty-Sixth'!B147)</f>
        <v/>
      </c>
      <c r="C6394" s="66" t="str">
        <f>IF('Twenty-Sixth'!C147="", "",'Twenty-Sixth'!C147)</f>
        <v/>
      </c>
      <c r="D6394" s="66" t="str">
        <f>IF('Twenty-Sixth'!D147="", "",'Twenty-Sixth'!D147)</f>
        <v/>
      </c>
      <c r="E6394" s="66" t="str">
        <f>IF('Twenty-Sixth'!E147="", "",'Twenty-Sixth'!E147)</f>
        <v/>
      </c>
      <c r="F6394" s="66" t="str">
        <f>IF('Twenty-Sixth'!F147="", "",'Twenty-Sixth'!F147)</f>
        <v/>
      </c>
      <c r="G6394" s="66" t="str">
        <f>IF('Twenty-Sixth'!G147="", "",'Twenty-Sixth'!G147)</f>
        <v/>
      </c>
      <c r="H6394" s="66" t="str">
        <f>IF('Twenty-Sixth'!H147="", "",'Twenty-Sixth'!H147)</f>
        <v/>
      </c>
      <c r="I6394" s="66" t="str">
        <f>IF('Twenty-Sixth'!I147="", "",'Twenty-Sixth'!I147)</f>
        <v/>
      </c>
      <c r="J6394" s="66" t="str">
        <f>IF('Twenty-Sixth'!J147="", "",'Twenty-Sixth'!J147)</f>
        <v/>
      </c>
      <c r="K6394" s="86" t="str">
        <f>IF('Twenty-Sixth'!K147="", "",'Twenty-Sixth'!K147)</f>
        <v/>
      </c>
      <c r="M6394" s="67" t="str">
        <f t="shared" si="302"/>
        <v/>
      </c>
      <c r="N6394" s="76" t="str">
        <f t="shared" si="303"/>
        <v/>
      </c>
      <c r="O6394" s="33">
        <f t="shared" si="304"/>
        <v>0</v>
      </c>
    </row>
    <row r="6395" spans="1:15" x14ac:dyDescent="0.25">
      <c r="A6395" s="64" t="s">
        <v>210</v>
      </c>
      <c r="B6395" s="79" t="str">
        <f>IF('Twenty-Sixth'!B148="", "",'Twenty-Sixth'!B148)</f>
        <v/>
      </c>
      <c r="C6395" s="66" t="str">
        <f>IF('Twenty-Sixth'!C148="", "",'Twenty-Sixth'!C148)</f>
        <v/>
      </c>
      <c r="D6395" s="66" t="str">
        <f>IF('Twenty-Sixth'!D148="", "",'Twenty-Sixth'!D148)</f>
        <v/>
      </c>
      <c r="E6395" s="66" t="str">
        <f>IF('Twenty-Sixth'!E148="", "",'Twenty-Sixth'!E148)</f>
        <v/>
      </c>
      <c r="F6395" s="66" t="str">
        <f>IF('Twenty-Sixth'!F148="", "",'Twenty-Sixth'!F148)</f>
        <v/>
      </c>
      <c r="G6395" s="66" t="str">
        <f>IF('Twenty-Sixth'!G148="", "",'Twenty-Sixth'!G148)</f>
        <v/>
      </c>
      <c r="H6395" s="66" t="str">
        <f>IF('Twenty-Sixth'!H148="", "",'Twenty-Sixth'!H148)</f>
        <v/>
      </c>
      <c r="I6395" s="66" t="str">
        <f>IF('Twenty-Sixth'!I148="", "",'Twenty-Sixth'!I148)</f>
        <v/>
      </c>
      <c r="J6395" s="66" t="str">
        <f>IF('Twenty-Sixth'!J148="", "",'Twenty-Sixth'!J148)</f>
        <v/>
      </c>
      <c r="K6395" s="86" t="str">
        <f>IF('Twenty-Sixth'!K148="", "",'Twenty-Sixth'!K148)</f>
        <v/>
      </c>
      <c r="M6395" s="67" t="str">
        <f t="shared" si="302"/>
        <v/>
      </c>
      <c r="N6395" s="76" t="str">
        <f t="shared" si="303"/>
        <v/>
      </c>
      <c r="O6395" s="33">
        <f t="shared" si="304"/>
        <v>0</v>
      </c>
    </row>
    <row r="6396" spans="1:15" x14ac:dyDescent="0.25">
      <c r="A6396" s="64" t="s">
        <v>210</v>
      </c>
      <c r="B6396" s="79" t="str">
        <f>IF('Twenty-Sixth'!B149="", "",'Twenty-Sixth'!B149)</f>
        <v/>
      </c>
      <c r="C6396" s="66" t="str">
        <f>IF('Twenty-Sixth'!C149="", "",'Twenty-Sixth'!C149)</f>
        <v/>
      </c>
      <c r="D6396" s="66" t="str">
        <f>IF('Twenty-Sixth'!D149="", "",'Twenty-Sixth'!D149)</f>
        <v/>
      </c>
      <c r="E6396" s="66" t="str">
        <f>IF('Twenty-Sixth'!E149="", "",'Twenty-Sixth'!E149)</f>
        <v/>
      </c>
      <c r="F6396" s="66" t="str">
        <f>IF('Twenty-Sixth'!F149="", "",'Twenty-Sixth'!F149)</f>
        <v/>
      </c>
      <c r="G6396" s="66" t="str">
        <f>IF('Twenty-Sixth'!G149="", "",'Twenty-Sixth'!G149)</f>
        <v/>
      </c>
      <c r="H6396" s="66" t="str">
        <f>IF('Twenty-Sixth'!H149="", "",'Twenty-Sixth'!H149)</f>
        <v/>
      </c>
      <c r="I6396" s="66" t="str">
        <f>IF('Twenty-Sixth'!I149="", "",'Twenty-Sixth'!I149)</f>
        <v/>
      </c>
      <c r="J6396" s="66" t="str">
        <f>IF('Twenty-Sixth'!J149="", "",'Twenty-Sixth'!J149)</f>
        <v/>
      </c>
      <c r="K6396" s="86" t="str">
        <f>IF('Twenty-Sixth'!K149="", "",'Twenty-Sixth'!K149)</f>
        <v/>
      </c>
      <c r="M6396" s="67" t="str">
        <f t="shared" si="302"/>
        <v/>
      </c>
      <c r="N6396" s="76" t="str">
        <f t="shared" si="303"/>
        <v/>
      </c>
      <c r="O6396" s="33">
        <f t="shared" si="304"/>
        <v>0</v>
      </c>
    </row>
    <row r="6397" spans="1:15" x14ac:dyDescent="0.25">
      <c r="A6397" s="64" t="s">
        <v>210</v>
      </c>
      <c r="B6397" s="79" t="str">
        <f>IF('Twenty-Sixth'!B150="", "",'Twenty-Sixth'!B150)</f>
        <v/>
      </c>
      <c r="C6397" s="66" t="str">
        <f>IF('Twenty-Sixth'!C150="", "",'Twenty-Sixth'!C150)</f>
        <v/>
      </c>
      <c r="D6397" s="66" t="str">
        <f>IF('Twenty-Sixth'!D150="", "",'Twenty-Sixth'!D150)</f>
        <v/>
      </c>
      <c r="E6397" s="66" t="str">
        <f>IF('Twenty-Sixth'!E150="", "",'Twenty-Sixth'!E150)</f>
        <v/>
      </c>
      <c r="F6397" s="66" t="str">
        <f>IF('Twenty-Sixth'!F150="", "",'Twenty-Sixth'!F150)</f>
        <v/>
      </c>
      <c r="G6397" s="66" t="str">
        <f>IF('Twenty-Sixth'!G150="", "",'Twenty-Sixth'!G150)</f>
        <v/>
      </c>
      <c r="H6397" s="66" t="str">
        <f>IF('Twenty-Sixth'!H150="", "",'Twenty-Sixth'!H150)</f>
        <v/>
      </c>
      <c r="I6397" s="66" t="str">
        <f>IF('Twenty-Sixth'!I150="", "",'Twenty-Sixth'!I150)</f>
        <v/>
      </c>
      <c r="J6397" s="66" t="str">
        <f>IF('Twenty-Sixth'!J150="", "",'Twenty-Sixth'!J150)</f>
        <v/>
      </c>
      <c r="K6397" s="86" t="str">
        <f>IF('Twenty-Sixth'!K150="", "",'Twenty-Sixth'!K150)</f>
        <v/>
      </c>
      <c r="M6397" s="67" t="str">
        <f t="shared" si="302"/>
        <v/>
      </c>
      <c r="N6397" s="76" t="str">
        <f t="shared" si="303"/>
        <v/>
      </c>
      <c r="O6397" s="33">
        <f t="shared" si="304"/>
        <v>0</v>
      </c>
    </row>
    <row r="6398" spans="1:15" x14ac:dyDescent="0.25">
      <c r="A6398" s="64" t="s">
        <v>210</v>
      </c>
      <c r="B6398" s="79" t="str">
        <f>IF('Twenty-Sixth'!B151="", "",'Twenty-Sixth'!B151)</f>
        <v/>
      </c>
      <c r="C6398" s="66" t="str">
        <f>IF('Twenty-Sixth'!C151="", "",'Twenty-Sixth'!C151)</f>
        <v/>
      </c>
      <c r="D6398" s="66" t="str">
        <f>IF('Twenty-Sixth'!D151="", "",'Twenty-Sixth'!D151)</f>
        <v/>
      </c>
      <c r="E6398" s="66" t="str">
        <f>IF('Twenty-Sixth'!E151="", "",'Twenty-Sixth'!E151)</f>
        <v/>
      </c>
      <c r="F6398" s="66" t="str">
        <f>IF('Twenty-Sixth'!F151="", "",'Twenty-Sixth'!F151)</f>
        <v/>
      </c>
      <c r="G6398" s="66" t="str">
        <f>IF('Twenty-Sixth'!G151="", "",'Twenty-Sixth'!G151)</f>
        <v/>
      </c>
      <c r="H6398" s="66" t="str">
        <f>IF('Twenty-Sixth'!H151="", "",'Twenty-Sixth'!H151)</f>
        <v/>
      </c>
      <c r="I6398" s="66" t="str">
        <f>IF('Twenty-Sixth'!I151="", "",'Twenty-Sixth'!I151)</f>
        <v/>
      </c>
      <c r="J6398" s="66" t="str">
        <f>IF('Twenty-Sixth'!J151="", "",'Twenty-Sixth'!J151)</f>
        <v/>
      </c>
      <c r="K6398" s="86" t="str">
        <f>IF('Twenty-Sixth'!K151="", "",'Twenty-Sixth'!K151)</f>
        <v/>
      </c>
      <c r="M6398" s="67" t="str">
        <f t="shared" si="302"/>
        <v/>
      </c>
      <c r="N6398" s="76" t="str">
        <f t="shared" si="303"/>
        <v/>
      </c>
      <c r="O6398" s="33">
        <f t="shared" si="304"/>
        <v>0</v>
      </c>
    </row>
    <row r="6399" spans="1:15" x14ac:dyDescent="0.25">
      <c r="A6399" s="64" t="s">
        <v>210</v>
      </c>
      <c r="B6399" s="79" t="str">
        <f>IF('Twenty-Sixth'!B152="", "",'Twenty-Sixth'!B152)</f>
        <v/>
      </c>
      <c r="C6399" s="66" t="str">
        <f>IF('Twenty-Sixth'!C152="", "",'Twenty-Sixth'!C152)</f>
        <v/>
      </c>
      <c r="D6399" s="66" t="str">
        <f>IF('Twenty-Sixth'!D152="", "",'Twenty-Sixth'!D152)</f>
        <v/>
      </c>
      <c r="E6399" s="66" t="str">
        <f>IF('Twenty-Sixth'!E152="", "",'Twenty-Sixth'!E152)</f>
        <v/>
      </c>
      <c r="F6399" s="66" t="str">
        <f>IF('Twenty-Sixth'!F152="", "",'Twenty-Sixth'!F152)</f>
        <v/>
      </c>
      <c r="G6399" s="66" t="str">
        <f>IF('Twenty-Sixth'!G152="", "",'Twenty-Sixth'!G152)</f>
        <v/>
      </c>
      <c r="H6399" s="66" t="str">
        <f>IF('Twenty-Sixth'!H152="", "",'Twenty-Sixth'!H152)</f>
        <v/>
      </c>
      <c r="I6399" s="66" t="str">
        <f>IF('Twenty-Sixth'!I152="", "",'Twenty-Sixth'!I152)</f>
        <v/>
      </c>
      <c r="J6399" s="66" t="str">
        <f>IF('Twenty-Sixth'!J152="", "",'Twenty-Sixth'!J152)</f>
        <v/>
      </c>
      <c r="K6399" s="86" t="str">
        <f>IF('Twenty-Sixth'!K152="", "",'Twenty-Sixth'!K152)</f>
        <v/>
      </c>
      <c r="M6399" s="67" t="str">
        <f t="shared" ref="M6399:M6462" si="305">IF(C6399="PwC",(7-COUNTIF(B6399:H6399,"")),"")</f>
        <v/>
      </c>
      <c r="N6399" s="76" t="str">
        <f t="shared" ref="N6399:N6462" si="306">IF(C6399="Carer",(7-COUNTIF(B6399:H6399,"")),"")</f>
        <v/>
      </c>
      <c r="O6399" s="33">
        <f t="shared" si="304"/>
        <v>0</v>
      </c>
    </row>
    <row r="6400" spans="1:15" x14ac:dyDescent="0.25">
      <c r="A6400" s="64" t="s">
        <v>210</v>
      </c>
      <c r="B6400" s="79" t="str">
        <f>IF('Twenty-Sixth'!B153="", "",'Twenty-Sixth'!B153)</f>
        <v/>
      </c>
      <c r="C6400" s="66" t="str">
        <f>IF('Twenty-Sixth'!C153="", "",'Twenty-Sixth'!C153)</f>
        <v/>
      </c>
      <c r="D6400" s="66" t="str">
        <f>IF('Twenty-Sixth'!D153="", "",'Twenty-Sixth'!D153)</f>
        <v/>
      </c>
      <c r="E6400" s="66" t="str">
        <f>IF('Twenty-Sixth'!E153="", "",'Twenty-Sixth'!E153)</f>
        <v/>
      </c>
      <c r="F6400" s="66" t="str">
        <f>IF('Twenty-Sixth'!F153="", "",'Twenty-Sixth'!F153)</f>
        <v/>
      </c>
      <c r="G6400" s="66" t="str">
        <f>IF('Twenty-Sixth'!G153="", "",'Twenty-Sixth'!G153)</f>
        <v/>
      </c>
      <c r="H6400" s="66" t="str">
        <f>IF('Twenty-Sixth'!H153="", "",'Twenty-Sixth'!H153)</f>
        <v/>
      </c>
      <c r="I6400" s="66" t="str">
        <f>IF('Twenty-Sixth'!I153="", "",'Twenty-Sixth'!I153)</f>
        <v/>
      </c>
      <c r="J6400" s="66" t="str">
        <f>IF('Twenty-Sixth'!J153="", "",'Twenty-Sixth'!J153)</f>
        <v/>
      </c>
      <c r="K6400" s="86" t="str">
        <f>IF('Twenty-Sixth'!K153="", "",'Twenty-Sixth'!K153)</f>
        <v/>
      </c>
      <c r="M6400" s="67" t="str">
        <f t="shared" si="305"/>
        <v/>
      </c>
      <c r="N6400" s="76" t="str">
        <f t="shared" si="306"/>
        <v/>
      </c>
      <c r="O6400" s="33">
        <f t="shared" si="304"/>
        <v>0</v>
      </c>
    </row>
    <row r="6401" spans="1:15" x14ac:dyDescent="0.25">
      <c r="A6401" s="64" t="s">
        <v>210</v>
      </c>
      <c r="B6401" s="79" t="str">
        <f>IF('Twenty-Sixth'!B154="", "",'Twenty-Sixth'!B154)</f>
        <v/>
      </c>
      <c r="C6401" s="66" t="str">
        <f>IF('Twenty-Sixth'!C154="", "",'Twenty-Sixth'!C154)</f>
        <v/>
      </c>
      <c r="D6401" s="66" t="str">
        <f>IF('Twenty-Sixth'!D154="", "",'Twenty-Sixth'!D154)</f>
        <v/>
      </c>
      <c r="E6401" s="66" t="str">
        <f>IF('Twenty-Sixth'!E154="", "",'Twenty-Sixth'!E154)</f>
        <v/>
      </c>
      <c r="F6401" s="66" t="str">
        <f>IF('Twenty-Sixth'!F154="", "",'Twenty-Sixth'!F154)</f>
        <v/>
      </c>
      <c r="G6401" s="66" t="str">
        <f>IF('Twenty-Sixth'!G154="", "",'Twenty-Sixth'!G154)</f>
        <v/>
      </c>
      <c r="H6401" s="66" t="str">
        <f>IF('Twenty-Sixth'!H154="", "",'Twenty-Sixth'!H154)</f>
        <v/>
      </c>
      <c r="I6401" s="66" t="str">
        <f>IF('Twenty-Sixth'!I154="", "",'Twenty-Sixth'!I154)</f>
        <v/>
      </c>
      <c r="J6401" s="66" t="str">
        <f>IF('Twenty-Sixth'!J154="", "",'Twenty-Sixth'!J154)</f>
        <v/>
      </c>
      <c r="K6401" s="86" t="str">
        <f>IF('Twenty-Sixth'!K154="", "",'Twenty-Sixth'!K154)</f>
        <v/>
      </c>
      <c r="M6401" s="67" t="str">
        <f t="shared" si="305"/>
        <v/>
      </c>
      <c r="N6401" s="76" t="str">
        <f t="shared" si="306"/>
        <v/>
      </c>
      <c r="O6401" s="33">
        <f t="shared" si="304"/>
        <v>0</v>
      </c>
    </row>
    <row r="6402" spans="1:15" x14ac:dyDescent="0.25">
      <c r="A6402" s="64" t="s">
        <v>210</v>
      </c>
      <c r="B6402" s="79" t="str">
        <f>IF('Twenty-Sixth'!B155="", "",'Twenty-Sixth'!B155)</f>
        <v/>
      </c>
      <c r="C6402" s="66" t="str">
        <f>IF('Twenty-Sixth'!C155="", "",'Twenty-Sixth'!C155)</f>
        <v/>
      </c>
      <c r="D6402" s="66" t="str">
        <f>IF('Twenty-Sixth'!D155="", "",'Twenty-Sixth'!D155)</f>
        <v/>
      </c>
      <c r="E6402" s="66" t="str">
        <f>IF('Twenty-Sixth'!E155="", "",'Twenty-Sixth'!E155)</f>
        <v/>
      </c>
      <c r="F6402" s="66" t="str">
        <f>IF('Twenty-Sixth'!F155="", "",'Twenty-Sixth'!F155)</f>
        <v/>
      </c>
      <c r="G6402" s="66" t="str">
        <f>IF('Twenty-Sixth'!G155="", "",'Twenty-Sixth'!G155)</f>
        <v/>
      </c>
      <c r="H6402" s="66" t="str">
        <f>IF('Twenty-Sixth'!H155="", "",'Twenty-Sixth'!H155)</f>
        <v/>
      </c>
      <c r="I6402" s="66" t="str">
        <f>IF('Twenty-Sixth'!I155="", "",'Twenty-Sixth'!I155)</f>
        <v/>
      </c>
      <c r="J6402" s="66" t="str">
        <f>IF('Twenty-Sixth'!J155="", "",'Twenty-Sixth'!J155)</f>
        <v/>
      </c>
      <c r="K6402" s="86" t="str">
        <f>IF('Twenty-Sixth'!K155="", "",'Twenty-Sixth'!K155)</f>
        <v/>
      </c>
      <c r="M6402" s="67" t="str">
        <f t="shared" si="305"/>
        <v/>
      </c>
      <c r="N6402" s="76" t="str">
        <f t="shared" si="306"/>
        <v/>
      </c>
      <c r="O6402" s="33">
        <f t="shared" si="304"/>
        <v>0</v>
      </c>
    </row>
    <row r="6403" spans="1:15" x14ac:dyDescent="0.25">
      <c r="A6403" s="64" t="s">
        <v>210</v>
      </c>
      <c r="B6403" s="79" t="str">
        <f>IF('Twenty-Sixth'!B156="", "",'Twenty-Sixth'!B156)</f>
        <v/>
      </c>
      <c r="C6403" s="66" t="str">
        <f>IF('Twenty-Sixth'!C156="", "",'Twenty-Sixth'!C156)</f>
        <v/>
      </c>
      <c r="D6403" s="66" t="str">
        <f>IF('Twenty-Sixth'!D156="", "",'Twenty-Sixth'!D156)</f>
        <v/>
      </c>
      <c r="E6403" s="66" t="str">
        <f>IF('Twenty-Sixth'!E156="", "",'Twenty-Sixth'!E156)</f>
        <v/>
      </c>
      <c r="F6403" s="66" t="str">
        <f>IF('Twenty-Sixth'!F156="", "",'Twenty-Sixth'!F156)</f>
        <v/>
      </c>
      <c r="G6403" s="66" t="str">
        <f>IF('Twenty-Sixth'!G156="", "",'Twenty-Sixth'!G156)</f>
        <v/>
      </c>
      <c r="H6403" s="66" t="str">
        <f>IF('Twenty-Sixth'!H156="", "",'Twenty-Sixth'!H156)</f>
        <v/>
      </c>
      <c r="I6403" s="66" t="str">
        <f>IF('Twenty-Sixth'!I156="", "",'Twenty-Sixth'!I156)</f>
        <v/>
      </c>
      <c r="J6403" s="66" t="str">
        <f>IF('Twenty-Sixth'!J156="", "",'Twenty-Sixth'!J156)</f>
        <v/>
      </c>
      <c r="K6403" s="86" t="str">
        <f>IF('Twenty-Sixth'!K156="", "",'Twenty-Sixth'!K156)</f>
        <v/>
      </c>
      <c r="M6403" s="67" t="str">
        <f t="shared" si="305"/>
        <v/>
      </c>
      <c r="N6403" s="76" t="str">
        <f t="shared" si="306"/>
        <v/>
      </c>
      <c r="O6403" s="33">
        <f t="shared" si="304"/>
        <v>0</v>
      </c>
    </row>
    <row r="6404" spans="1:15" x14ac:dyDescent="0.25">
      <c r="A6404" s="64" t="s">
        <v>210</v>
      </c>
      <c r="B6404" s="79" t="str">
        <f>IF('Twenty-Sixth'!B157="", "",'Twenty-Sixth'!B157)</f>
        <v/>
      </c>
      <c r="C6404" s="66" t="str">
        <f>IF('Twenty-Sixth'!C157="", "",'Twenty-Sixth'!C157)</f>
        <v/>
      </c>
      <c r="D6404" s="66" t="str">
        <f>IF('Twenty-Sixth'!D157="", "",'Twenty-Sixth'!D157)</f>
        <v/>
      </c>
      <c r="E6404" s="66" t="str">
        <f>IF('Twenty-Sixth'!E157="", "",'Twenty-Sixth'!E157)</f>
        <v/>
      </c>
      <c r="F6404" s="66" t="str">
        <f>IF('Twenty-Sixth'!F157="", "",'Twenty-Sixth'!F157)</f>
        <v/>
      </c>
      <c r="G6404" s="66" t="str">
        <f>IF('Twenty-Sixth'!G157="", "",'Twenty-Sixth'!G157)</f>
        <v/>
      </c>
      <c r="H6404" s="66" t="str">
        <f>IF('Twenty-Sixth'!H157="", "",'Twenty-Sixth'!H157)</f>
        <v/>
      </c>
      <c r="I6404" s="66" t="str">
        <f>IF('Twenty-Sixth'!I157="", "",'Twenty-Sixth'!I157)</f>
        <v/>
      </c>
      <c r="J6404" s="66" t="str">
        <f>IF('Twenty-Sixth'!J157="", "",'Twenty-Sixth'!J157)</f>
        <v/>
      </c>
      <c r="K6404" s="86" t="str">
        <f>IF('Twenty-Sixth'!K157="", "",'Twenty-Sixth'!K157)</f>
        <v/>
      </c>
      <c r="M6404" s="67" t="str">
        <f t="shared" si="305"/>
        <v/>
      </c>
      <c r="N6404" s="76" t="str">
        <f t="shared" si="306"/>
        <v/>
      </c>
      <c r="O6404" s="33">
        <f t="shared" si="304"/>
        <v>0</v>
      </c>
    </row>
    <row r="6405" spans="1:15" x14ac:dyDescent="0.25">
      <c r="A6405" s="64" t="s">
        <v>210</v>
      </c>
      <c r="B6405" s="79" t="str">
        <f>IF('Twenty-Sixth'!B158="", "",'Twenty-Sixth'!B158)</f>
        <v/>
      </c>
      <c r="C6405" s="66" t="str">
        <f>IF('Twenty-Sixth'!C158="", "",'Twenty-Sixth'!C158)</f>
        <v/>
      </c>
      <c r="D6405" s="66" t="str">
        <f>IF('Twenty-Sixth'!D158="", "",'Twenty-Sixth'!D158)</f>
        <v/>
      </c>
      <c r="E6405" s="66" t="str">
        <f>IF('Twenty-Sixth'!E158="", "",'Twenty-Sixth'!E158)</f>
        <v/>
      </c>
      <c r="F6405" s="66" t="str">
        <f>IF('Twenty-Sixth'!F158="", "",'Twenty-Sixth'!F158)</f>
        <v/>
      </c>
      <c r="G6405" s="66" t="str">
        <f>IF('Twenty-Sixth'!G158="", "",'Twenty-Sixth'!G158)</f>
        <v/>
      </c>
      <c r="H6405" s="66" t="str">
        <f>IF('Twenty-Sixth'!H158="", "",'Twenty-Sixth'!H158)</f>
        <v/>
      </c>
      <c r="I6405" s="66" t="str">
        <f>IF('Twenty-Sixth'!I158="", "",'Twenty-Sixth'!I158)</f>
        <v/>
      </c>
      <c r="J6405" s="66" t="str">
        <f>IF('Twenty-Sixth'!J158="", "",'Twenty-Sixth'!J158)</f>
        <v/>
      </c>
      <c r="K6405" s="86" t="str">
        <f>IF('Twenty-Sixth'!K158="", "",'Twenty-Sixth'!K158)</f>
        <v/>
      </c>
      <c r="M6405" s="67" t="str">
        <f t="shared" si="305"/>
        <v/>
      </c>
      <c r="N6405" s="76" t="str">
        <f t="shared" si="306"/>
        <v/>
      </c>
      <c r="O6405" s="33">
        <f t="shared" si="304"/>
        <v>0</v>
      </c>
    </row>
    <row r="6406" spans="1:15" x14ac:dyDescent="0.25">
      <c r="A6406" s="64" t="s">
        <v>210</v>
      </c>
      <c r="B6406" s="79" t="str">
        <f>IF('Twenty-Sixth'!B159="", "",'Twenty-Sixth'!B159)</f>
        <v/>
      </c>
      <c r="C6406" s="66" t="str">
        <f>IF('Twenty-Sixth'!C159="", "",'Twenty-Sixth'!C159)</f>
        <v/>
      </c>
      <c r="D6406" s="66" t="str">
        <f>IF('Twenty-Sixth'!D159="", "",'Twenty-Sixth'!D159)</f>
        <v/>
      </c>
      <c r="E6406" s="66" t="str">
        <f>IF('Twenty-Sixth'!E159="", "",'Twenty-Sixth'!E159)</f>
        <v/>
      </c>
      <c r="F6406" s="66" t="str">
        <f>IF('Twenty-Sixth'!F159="", "",'Twenty-Sixth'!F159)</f>
        <v/>
      </c>
      <c r="G6406" s="66" t="str">
        <f>IF('Twenty-Sixth'!G159="", "",'Twenty-Sixth'!G159)</f>
        <v/>
      </c>
      <c r="H6406" s="66" t="str">
        <f>IF('Twenty-Sixth'!H159="", "",'Twenty-Sixth'!H159)</f>
        <v/>
      </c>
      <c r="I6406" s="66" t="str">
        <f>IF('Twenty-Sixth'!I159="", "",'Twenty-Sixth'!I159)</f>
        <v/>
      </c>
      <c r="J6406" s="66" t="str">
        <f>IF('Twenty-Sixth'!J159="", "",'Twenty-Sixth'!J159)</f>
        <v/>
      </c>
      <c r="K6406" s="86" t="str">
        <f>IF('Twenty-Sixth'!K159="", "",'Twenty-Sixth'!K159)</f>
        <v/>
      </c>
      <c r="M6406" s="67" t="str">
        <f t="shared" si="305"/>
        <v/>
      </c>
      <c r="N6406" s="76" t="str">
        <f t="shared" si="306"/>
        <v/>
      </c>
      <c r="O6406" s="33">
        <f t="shared" si="304"/>
        <v>0</v>
      </c>
    </row>
    <row r="6407" spans="1:15" x14ac:dyDescent="0.25">
      <c r="A6407" s="64" t="s">
        <v>210</v>
      </c>
      <c r="B6407" s="79" t="str">
        <f>IF('Twenty-Sixth'!B160="", "",'Twenty-Sixth'!B160)</f>
        <v/>
      </c>
      <c r="C6407" s="66" t="str">
        <f>IF('Twenty-Sixth'!C160="", "",'Twenty-Sixth'!C160)</f>
        <v/>
      </c>
      <c r="D6407" s="66" t="str">
        <f>IF('Twenty-Sixth'!D160="", "",'Twenty-Sixth'!D160)</f>
        <v/>
      </c>
      <c r="E6407" s="66" t="str">
        <f>IF('Twenty-Sixth'!E160="", "",'Twenty-Sixth'!E160)</f>
        <v/>
      </c>
      <c r="F6407" s="66" t="str">
        <f>IF('Twenty-Sixth'!F160="", "",'Twenty-Sixth'!F160)</f>
        <v/>
      </c>
      <c r="G6407" s="66" t="str">
        <f>IF('Twenty-Sixth'!G160="", "",'Twenty-Sixth'!G160)</f>
        <v/>
      </c>
      <c r="H6407" s="66" t="str">
        <f>IF('Twenty-Sixth'!H160="", "",'Twenty-Sixth'!H160)</f>
        <v/>
      </c>
      <c r="I6407" s="66" t="str">
        <f>IF('Twenty-Sixth'!I160="", "",'Twenty-Sixth'!I160)</f>
        <v/>
      </c>
      <c r="J6407" s="66" t="str">
        <f>IF('Twenty-Sixth'!J160="", "",'Twenty-Sixth'!J160)</f>
        <v/>
      </c>
      <c r="K6407" s="86" t="str">
        <f>IF('Twenty-Sixth'!K160="", "",'Twenty-Sixth'!K160)</f>
        <v/>
      </c>
      <c r="M6407" s="67" t="str">
        <f t="shared" si="305"/>
        <v/>
      </c>
      <c r="N6407" s="76" t="str">
        <f t="shared" si="306"/>
        <v/>
      </c>
      <c r="O6407" s="33">
        <f t="shared" si="304"/>
        <v>0</v>
      </c>
    </row>
    <row r="6408" spans="1:15" x14ac:dyDescent="0.25">
      <c r="A6408" s="64" t="s">
        <v>210</v>
      </c>
      <c r="B6408" s="79" t="str">
        <f>IF('Twenty-Sixth'!B161="", "",'Twenty-Sixth'!B161)</f>
        <v/>
      </c>
      <c r="C6408" s="66" t="str">
        <f>IF('Twenty-Sixth'!C161="", "",'Twenty-Sixth'!C161)</f>
        <v/>
      </c>
      <c r="D6408" s="66" t="str">
        <f>IF('Twenty-Sixth'!D161="", "",'Twenty-Sixth'!D161)</f>
        <v/>
      </c>
      <c r="E6408" s="66" t="str">
        <f>IF('Twenty-Sixth'!E161="", "",'Twenty-Sixth'!E161)</f>
        <v/>
      </c>
      <c r="F6408" s="66" t="str">
        <f>IF('Twenty-Sixth'!F161="", "",'Twenty-Sixth'!F161)</f>
        <v/>
      </c>
      <c r="G6408" s="66" t="str">
        <f>IF('Twenty-Sixth'!G161="", "",'Twenty-Sixth'!G161)</f>
        <v/>
      </c>
      <c r="H6408" s="66" t="str">
        <f>IF('Twenty-Sixth'!H161="", "",'Twenty-Sixth'!H161)</f>
        <v/>
      </c>
      <c r="I6408" s="66" t="str">
        <f>IF('Twenty-Sixth'!I161="", "",'Twenty-Sixth'!I161)</f>
        <v/>
      </c>
      <c r="J6408" s="66" t="str">
        <f>IF('Twenty-Sixth'!J161="", "",'Twenty-Sixth'!J161)</f>
        <v/>
      </c>
      <c r="K6408" s="86" t="str">
        <f>IF('Twenty-Sixth'!K161="", "",'Twenty-Sixth'!K161)</f>
        <v/>
      </c>
      <c r="M6408" s="67" t="str">
        <f t="shared" si="305"/>
        <v/>
      </c>
      <c r="N6408" s="76" t="str">
        <f t="shared" si="306"/>
        <v/>
      </c>
      <c r="O6408" s="33">
        <f t="shared" si="304"/>
        <v>0</v>
      </c>
    </row>
    <row r="6409" spans="1:15" x14ac:dyDescent="0.25">
      <c r="A6409" s="64" t="s">
        <v>210</v>
      </c>
      <c r="B6409" s="79" t="str">
        <f>IF('Twenty-Sixth'!B162="", "",'Twenty-Sixth'!B162)</f>
        <v/>
      </c>
      <c r="C6409" s="66" t="str">
        <f>IF('Twenty-Sixth'!C162="", "",'Twenty-Sixth'!C162)</f>
        <v/>
      </c>
      <c r="D6409" s="66" t="str">
        <f>IF('Twenty-Sixth'!D162="", "",'Twenty-Sixth'!D162)</f>
        <v/>
      </c>
      <c r="E6409" s="66" t="str">
        <f>IF('Twenty-Sixth'!E162="", "",'Twenty-Sixth'!E162)</f>
        <v/>
      </c>
      <c r="F6409" s="66" t="str">
        <f>IF('Twenty-Sixth'!F162="", "",'Twenty-Sixth'!F162)</f>
        <v/>
      </c>
      <c r="G6409" s="66" t="str">
        <f>IF('Twenty-Sixth'!G162="", "",'Twenty-Sixth'!G162)</f>
        <v/>
      </c>
      <c r="H6409" s="66" t="str">
        <f>IF('Twenty-Sixth'!H162="", "",'Twenty-Sixth'!H162)</f>
        <v/>
      </c>
      <c r="I6409" s="66" t="str">
        <f>IF('Twenty-Sixth'!I162="", "",'Twenty-Sixth'!I162)</f>
        <v/>
      </c>
      <c r="J6409" s="66" t="str">
        <f>IF('Twenty-Sixth'!J162="", "",'Twenty-Sixth'!J162)</f>
        <v/>
      </c>
      <c r="K6409" s="86" t="str">
        <f>IF('Twenty-Sixth'!K162="", "",'Twenty-Sixth'!K162)</f>
        <v/>
      </c>
      <c r="M6409" s="67" t="str">
        <f t="shared" si="305"/>
        <v/>
      </c>
      <c r="N6409" s="76" t="str">
        <f t="shared" si="306"/>
        <v/>
      </c>
      <c r="O6409" s="33">
        <f t="shared" si="304"/>
        <v>0</v>
      </c>
    </row>
    <row r="6410" spans="1:15" x14ac:dyDescent="0.25">
      <c r="A6410" s="64" t="s">
        <v>210</v>
      </c>
      <c r="B6410" s="79" t="str">
        <f>IF('Twenty-Sixth'!B163="", "",'Twenty-Sixth'!B163)</f>
        <v/>
      </c>
      <c r="C6410" s="66" t="str">
        <f>IF('Twenty-Sixth'!C163="", "",'Twenty-Sixth'!C163)</f>
        <v/>
      </c>
      <c r="D6410" s="66" t="str">
        <f>IF('Twenty-Sixth'!D163="", "",'Twenty-Sixth'!D163)</f>
        <v/>
      </c>
      <c r="E6410" s="66" t="str">
        <f>IF('Twenty-Sixth'!E163="", "",'Twenty-Sixth'!E163)</f>
        <v/>
      </c>
      <c r="F6410" s="66" t="str">
        <f>IF('Twenty-Sixth'!F163="", "",'Twenty-Sixth'!F163)</f>
        <v/>
      </c>
      <c r="G6410" s="66" t="str">
        <f>IF('Twenty-Sixth'!G163="", "",'Twenty-Sixth'!G163)</f>
        <v/>
      </c>
      <c r="H6410" s="66" t="str">
        <f>IF('Twenty-Sixth'!H163="", "",'Twenty-Sixth'!H163)</f>
        <v/>
      </c>
      <c r="I6410" s="66" t="str">
        <f>IF('Twenty-Sixth'!I163="", "",'Twenty-Sixth'!I163)</f>
        <v/>
      </c>
      <c r="J6410" s="66" t="str">
        <f>IF('Twenty-Sixth'!J163="", "",'Twenty-Sixth'!J163)</f>
        <v/>
      </c>
      <c r="K6410" s="86" t="str">
        <f>IF('Twenty-Sixth'!K163="", "",'Twenty-Sixth'!K163)</f>
        <v/>
      </c>
      <c r="M6410" s="67" t="str">
        <f t="shared" si="305"/>
        <v/>
      </c>
      <c r="N6410" s="76" t="str">
        <f t="shared" si="306"/>
        <v/>
      </c>
      <c r="O6410" s="33">
        <f t="shared" ref="O6410:O6473" si="307">SUM(M6410:N6410)</f>
        <v>0</v>
      </c>
    </row>
    <row r="6411" spans="1:15" x14ac:dyDescent="0.25">
      <c r="A6411" s="64" t="s">
        <v>210</v>
      </c>
      <c r="B6411" s="79" t="str">
        <f>IF('Twenty-Sixth'!B164="", "",'Twenty-Sixth'!B164)</f>
        <v/>
      </c>
      <c r="C6411" s="66" t="str">
        <f>IF('Twenty-Sixth'!C164="", "",'Twenty-Sixth'!C164)</f>
        <v/>
      </c>
      <c r="D6411" s="66" t="str">
        <f>IF('Twenty-Sixth'!D164="", "",'Twenty-Sixth'!D164)</f>
        <v/>
      </c>
      <c r="E6411" s="66" t="str">
        <f>IF('Twenty-Sixth'!E164="", "",'Twenty-Sixth'!E164)</f>
        <v/>
      </c>
      <c r="F6411" s="66" t="str">
        <f>IF('Twenty-Sixth'!F164="", "",'Twenty-Sixth'!F164)</f>
        <v/>
      </c>
      <c r="G6411" s="66" t="str">
        <f>IF('Twenty-Sixth'!G164="", "",'Twenty-Sixth'!G164)</f>
        <v/>
      </c>
      <c r="H6411" s="66" t="str">
        <f>IF('Twenty-Sixth'!H164="", "",'Twenty-Sixth'!H164)</f>
        <v/>
      </c>
      <c r="I6411" s="66" t="str">
        <f>IF('Twenty-Sixth'!I164="", "",'Twenty-Sixth'!I164)</f>
        <v/>
      </c>
      <c r="J6411" s="66" t="str">
        <f>IF('Twenty-Sixth'!J164="", "",'Twenty-Sixth'!J164)</f>
        <v/>
      </c>
      <c r="K6411" s="86" t="str">
        <f>IF('Twenty-Sixth'!K164="", "",'Twenty-Sixth'!K164)</f>
        <v/>
      </c>
      <c r="M6411" s="67" t="str">
        <f t="shared" si="305"/>
        <v/>
      </c>
      <c r="N6411" s="76" t="str">
        <f t="shared" si="306"/>
        <v/>
      </c>
      <c r="O6411" s="33">
        <f t="shared" si="307"/>
        <v>0</v>
      </c>
    </row>
    <row r="6412" spans="1:15" x14ac:dyDescent="0.25">
      <c r="A6412" s="64" t="s">
        <v>210</v>
      </c>
      <c r="B6412" s="79" t="str">
        <f>IF('Twenty-Sixth'!B165="", "",'Twenty-Sixth'!B165)</f>
        <v/>
      </c>
      <c r="C6412" s="66" t="str">
        <f>IF('Twenty-Sixth'!C165="", "",'Twenty-Sixth'!C165)</f>
        <v/>
      </c>
      <c r="D6412" s="66" t="str">
        <f>IF('Twenty-Sixth'!D165="", "",'Twenty-Sixth'!D165)</f>
        <v/>
      </c>
      <c r="E6412" s="66" t="str">
        <f>IF('Twenty-Sixth'!E165="", "",'Twenty-Sixth'!E165)</f>
        <v/>
      </c>
      <c r="F6412" s="66" t="str">
        <f>IF('Twenty-Sixth'!F165="", "",'Twenty-Sixth'!F165)</f>
        <v/>
      </c>
      <c r="G6412" s="66" t="str">
        <f>IF('Twenty-Sixth'!G165="", "",'Twenty-Sixth'!G165)</f>
        <v/>
      </c>
      <c r="H6412" s="66" t="str">
        <f>IF('Twenty-Sixth'!H165="", "",'Twenty-Sixth'!H165)</f>
        <v/>
      </c>
      <c r="I6412" s="66" t="str">
        <f>IF('Twenty-Sixth'!I165="", "",'Twenty-Sixth'!I165)</f>
        <v/>
      </c>
      <c r="J6412" s="66" t="str">
        <f>IF('Twenty-Sixth'!J165="", "",'Twenty-Sixth'!J165)</f>
        <v/>
      </c>
      <c r="K6412" s="86" t="str">
        <f>IF('Twenty-Sixth'!K165="", "",'Twenty-Sixth'!K165)</f>
        <v/>
      </c>
      <c r="M6412" s="67" t="str">
        <f t="shared" si="305"/>
        <v/>
      </c>
      <c r="N6412" s="76" t="str">
        <f t="shared" si="306"/>
        <v/>
      </c>
      <c r="O6412" s="33">
        <f t="shared" si="307"/>
        <v>0</v>
      </c>
    </row>
    <row r="6413" spans="1:15" x14ac:dyDescent="0.25">
      <c r="A6413" s="64" t="s">
        <v>210</v>
      </c>
      <c r="B6413" s="79" t="str">
        <f>IF('Twenty-Sixth'!B166="", "",'Twenty-Sixth'!B166)</f>
        <v/>
      </c>
      <c r="C6413" s="66" t="str">
        <f>IF('Twenty-Sixth'!C166="", "",'Twenty-Sixth'!C166)</f>
        <v/>
      </c>
      <c r="D6413" s="66" t="str">
        <f>IF('Twenty-Sixth'!D166="", "",'Twenty-Sixth'!D166)</f>
        <v/>
      </c>
      <c r="E6413" s="66" t="str">
        <f>IF('Twenty-Sixth'!E166="", "",'Twenty-Sixth'!E166)</f>
        <v/>
      </c>
      <c r="F6413" s="66" t="str">
        <f>IF('Twenty-Sixth'!F166="", "",'Twenty-Sixth'!F166)</f>
        <v/>
      </c>
      <c r="G6413" s="66" t="str">
        <f>IF('Twenty-Sixth'!G166="", "",'Twenty-Sixth'!G166)</f>
        <v/>
      </c>
      <c r="H6413" s="66" t="str">
        <f>IF('Twenty-Sixth'!H166="", "",'Twenty-Sixth'!H166)</f>
        <v/>
      </c>
      <c r="I6413" s="66" t="str">
        <f>IF('Twenty-Sixth'!I166="", "",'Twenty-Sixth'!I166)</f>
        <v/>
      </c>
      <c r="J6413" s="66" t="str">
        <f>IF('Twenty-Sixth'!J166="", "",'Twenty-Sixth'!J166)</f>
        <v/>
      </c>
      <c r="K6413" s="86" t="str">
        <f>IF('Twenty-Sixth'!K166="", "",'Twenty-Sixth'!K166)</f>
        <v/>
      </c>
      <c r="M6413" s="67" t="str">
        <f t="shared" si="305"/>
        <v/>
      </c>
      <c r="N6413" s="76" t="str">
        <f t="shared" si="306"/>
        <v/>
      </c>
      <c r="O6413" s="33">
        <f t="shared" si="307"/>
        <v>0</v>
      </c>
    </row>
    <row r="6414" spans="1:15" x14ac:dyDescent="0.25">
      <c r="A6414" s="64" t="s">
        <v>210</v>
      </c>
      <c r="B6414" s="79" t="str">
        <f>IF('Twenty-Sixth'!B167="", "",'Twenty-Sixth'!B167)</f>
        <v/>
      </c>
      <c r="C6414" s="66" t="str">
        <f>IF('Twenty-Sixth'!C167="", "",'Twenty-Sixth'!C167)</f>
        <v/>
      </c>
      <c r="D6414" s="66" t="str">
        <f>IF('Twenty-Sixth'!D167="", "",'Twenty-Sixth'!D167)</f>
        <v/>
      </c>
      <c r="E6414" s="66" t="str">
        <f>IF('Twenty-Sixth'!E167="", "",'Twenty-Sixth'!E167)</f>
        <v/>
      </c>
      <c r="F6414" s="66" t="str">
        <f>IF('Twenty-Sixth'!F167="", "",'Twenty-Sixth'!F167)</f>
        <v/>
      </c>
      <c r="G6414" s="66" t="str">
        <f>IF('Twenty-Sixth'!G167="", "",'Twenty-Sixth'!G167)</f>
        <v/>
      </c>
      <c r="H6414" s="66" t="str">
        <f>IF('Twenty-Sixth'!H167="", "",'Twenty-Sixth'!H167)</f>
        <v/>
      </c>
      <c r="I6414" s="66" t="str">
        <f>IF('Twenty-Sixth'!I167="", "",'Twenty-Sixth'!I167)</f>
        <v/>
      </c>
      <c r="J6414" s="66" t="str">
        <f>IF('Twenty-Sixth'!J167="", "",'Twenty-Sixth'!J167)</f>
        <v/>
      </c>
      <c r="K6414" s="86" t="str">
        <f>IF('Twenty-Sixth'!K167="", "",'Twenty-Sixth'!K167)</f>
        <v/>
      </c>
      <c r="M6414" s="67" t="str">
        <f t="shared" si="305"/>
        <v/>
      </c>
      <c r="N6414" s="76" t="str">
        <f t="shared" si="306"/>
        <v/>
      </c>
      <c r="O6414" s="33">
        <f t="shared" si="307"/>
        <v>0</v>
      </c>
    </row>
    <row r="6415" spans="1:15" x14ac:dyDescent="0.25">
      <c r="A6415" s="64" t="s">
        <v>210</v>
      </c>
      <c r="B6415" s="79" t="str">
        <f>IF('Twenty-Sixth'!B168="", "",'Twenty-Sixth'!B168)</f>
        <v/>
      </c>
      <c r="C6415" s="66" t="str">
        <f>IF('Twenty-Sixth'!C168="", "",'Twenty-Sixth'!C168)</f>
        <v/>
      </c>
      <c r="D6415" s="66" t="str">
        <f>IF('Twenty-Sixth'!D168="", "",'Twenty-Sixth'!D168)</f>
        <v/>
      </c>
      <c r="E6415" s="66" t="str">
        <f>IF('Twenty-Sixth'!E168="", "",'Twenty-Sixth'!E168)</f>
        <v/>
      </c>
      <c r="F6415" s="66" t="str">
        <f>IF('Twenty-Sixth'!F168="", "",'Twenty-Sixth'!F168)</f>
        <v/>
      </c>
      <c r="G6415" s="66" t="str">
        <f>IF('Twenty-Sixth'!G168="", "",'Twenty-Sixth'!G168)</f>
        <v/>
      </c>
      <c r="H6415" s="66" t="str">
        <f>IF('Twenty-Sixth'!H168="", "",'Twenty-Sixth'!H168)</f>
        <v/>
      </c>
      <c r="I6415" s="66" t="str">
        <f>IF('Twenty-Sixth'!I168="", "",'Twenty-Sixth'!I168)</f>
        <v/>
      </c>
      <c r="J6415" s="66" t="str">
        <f>IF('Twenty-Sixth'!J168="", "",'Twenty-Sixth'!J168)</f>
        <v/>
      </c>
      <c r="K6415" s="86" t="str">
        <f>IF('Twenty-Sixth'!K168="", "",'Twenty-Sixth'!K168)</f>
        <v/>
      </c>
      <c r="M6415" s="67" t="str">
        <f t="shared" si="305"/>
        <v/>
      </c>
      <c r="N6415" s="76" t="str">
        <f t="shared" si="306"/>
        <v/>
      </c>
      <c r="O6415" s="33">
        <f t="shared" si="307"/>
        <v>0</v>
      </c>
    </row>
    <row r="6416" spans="1:15" x14ac:dyDescent="0.25">
      <c r="A6416" s="64" t="s">
        <v>210</v>
      </c>
      <c r="B6416" s="79" t="str">
        <f>IF('Twenty-Sixth'!B169="", "",'Twenty-Sixth'!B169)</f>
        <v/>
      </c>
      <c r="C6416" s="66" t="str">
        <f>IF('Twenty-Sixth'!C169="", "",'Twenty-Sixth'!C169)</f>
        <v/>
      </c>
      <c r="D6416" s="66" t="str">
        <f>IF('Twenty-Sixth'!D169="", "",'Twenty-Sixth'!D169)</f>
        <v/>
      </c>
      <c r="E6416" s="66" t="str">
        <f>IF('Twenty-Sixth'!E169="", "",'Twenty-Sixth'!E169)</f>
        <v/>
      </c>
      <c r="F6416" s="66" t="str">
        <f>IF('Twenty-Sixth'!F169="", "",'Twenty-Sixth'!F169)</f>
        <v/>
      </c>
      <c r="G6416" s="66" t="str">
        <f>IF('Twenty-Sixth'!G169="", "",'Twenty-Sixth'!G169)</f>
        <v/>
      </c>
      <c r="H6416" s="66" t="str">
        <f>IF('Twenty-Sixth'!H169="", "",'Twenty-Sixth'!H169)</f>
        <v/>
      </c>
      <c r="I6416" s="66" t="str">
        <f>IF('Twenty-Sixth'!I169="", "",'Twenty-Sixth'!I169)</f>
        <v/>
      </c>
      <c r="J6416" s="66" t="str">
        <f>IF('Twenty-Sixth'!J169="", "",'Twenty-Sixth'!J169)</f>
        <v/>
      </c>
      <c r="K6416" s="86" t="str">
        <f>IF('Twenty-Sixth'!K169="", "",'Twenty-Sixth'!K169)</f>
        <v/>
      </c>
      <c r="M6416" s="67" t="str">
        <f t="shared" si="305"/>
        <v/>
      </c>
      <c r="N6416" s="76" t="str">
        <f t="shared" si="306"/>
        <v/>
      </c>
      <c r="O6416" s="33">
        <f t="shared" si="307"/>
        <v>0</v>
      </c>
    </row>
    <row r="6417" spans="1:15" x14ac:dyDescent="0.25">
      <c r="A6417" s="64" t="s">
        <v>210</v>
      </c>
      <c r="B6417" s="79" t="str">
        <f>IF('Twenty-Sixth'!B170="", "",'Twenty-Sixth'!B170)</f>
        <v/>
      </c>
      <c r="C6417" s="66" t="str">
        <f>IF('Twenty-Sixth'!C170="", "",'Twenty-Sixth'!C170)</f>
        <v/>
      </c>
      <c r="D6417" s="66" t="str">
        <f>IF('Twenty-Sixth'!D170="", "",'Twenty-Sixth'!D170)</f>
        <v/>
      </c>
      <c r="E6417" s="66" t="str">
        <f>IF('Twenty-Sixth'!E170="", "",'Twenty-Sixth'!E170)</f>
        <v/>
      </c>
      <c r="F6417" s="66" t="str">
        <f>IF('Twenty-Sixth'!F170="", "",'Twenty-Sixth'!F170)</f>
        <v/>
      </c>
      <c r="G6417" s="66" t="str">
        <f>IF('Twenty-Sixth'!G170="", "",'Twenty-Sixth'!G170)</f>
        <v/>
      </c>
      <c r="H6417" s="66" t="str">
        <f>IF('Twenty-Sixth'!H170="", "",'Twenty-Sixth'!H170)</f>
        <v/>
      </c>
      <c r="I6417" s="66" t="str">
        <f>IF('Twenty-Sixth'!I170="", "",'Twenty-Sixth'!I170)</f>
        <v/>
      </c>
      <c r="J6417" s="66" t="str">
        <f>IF('Twenty-Sixth'!J170="", "",'Twenty-Sixth'!J170)</f>
        <v/>
      </c>
      <c r="K6417" s="86" t="str">
        <f>IF('Twenty-Sixth'!K170="", "",'Twenty-Sixth'!K170)</f>
        <v/>
      </c>
      <c r="M6417" s="67" t="str">
        <f t="shared" si="305"/>
        <v/>
      </c>
      <c r="N6417" s="76" t="str">
        <f t="shared" si="306"/>
        <v/>
      </c>
      <c r="O6417" s="33">
        <f t="shared" si="307"/>
        <v>0</v>
      </c>
    </row>
    <row r="6418" spans="1:15" x14ac:dyDescent="0.25">
      <c r="A6418" s="64" t="s">
        <v>210</v>
      </c>
      <c r="B6418" s="79" t="str">
        <f>IF('Twenty-Sixth'!B171="", "",'Twenty-Sixth'!B171)</f>
        <v/>
      </c>
      <c r="C6418" s="66" t="str">
        <f>IF('Twenty-Sixth'!C171="", "",'Twenty-Sixth'!C171)</f>
        <v/>
      </c>
      <c r="D6418" s="66" t="str">
        <f>IF('Twenty-Sixth'!D171="", "",'Twenty-Sixth'!D171)</f>
        <v/>
      </c>
      <c r="E6418" s="66" t="str">
        <f>IF('Twenty-Sixth'!E171="", "",'Twenty-Sixth'!E171)</f>
        <v/>
      </c>
      <c r="F6418" s="66" t="str">
        <f>IF('Twenty-Sixth'!F171="", "",'Twenty-Sixth'!F171)</f>
        <v/>
      </c>
      <c r="G6418" s="66" t="str">
        <f>IF('Twenty-Sixth'!G171="", "",'Twenty-Sixth'!G171)</f>
        <v/>
      </c>
      <c r="H6418" s="66" t="str">
        <f>IF('Twenty-Sixth'!H171="", "",'Twenty-Sixth'!H171)</f>
        <v/>
      </c>
      <c r="I6418" s="66" t="str">
        <f>IF('Twenty-Sixth'!I171="", "",'Twenty-Sixth'!I171)</f>
        <v/>
      </c>
      <c r="J6418" s="66" t="str">
        <f>IF('Twenty-Sixth'!J171="", "",'Twenty-Sixth'!J171)</f>
        <v/>
      </c>
      <c r="K6418" s="86" t="str">
        <f>IF('Twenty-Sixth'!K171="", "",'Twenty-Sixth'!K171)</f>
        <v/>
      </c>
      <c r="M6418" s="67" t="str">
        <f t="shared" si="305"/>
        <v/>
      </c>
      <c r="N6418" s="76" t="str">
        <f t="shared" si="306"/>
        <v/>
      </c>
      <c r="O6418" s="33">
        <f t="shared" si="307"/>
        <v>0</v>
      </c>
    </row>
    <row r="6419" spans="1:15" x14ac:dyDescent="0.25">
      <c r="A6419" s="64" t="s">
        <v>210</v>
      </c>
      <c r="B6419" s="79" t="str">
        <f>IF('Twenty-Sixth'!B172="", "",'Twenty-Sixth'!B172)</f>
        <v/>
      </c>
      <c r="C6419" s="66" t="str">
        <f>IF('Twenty-Sixth'!C172="", "",'Twenty-Sixth'!C172)</f>
        <v/>
      </c>
      <c r="D6419" s="66" t="str">
        <f>IF('Twenty-Sixth'!D172="", "",'Twenty-Sixth'!D172)</f>
        <v/>
      </c>
      <c r="E6419" s="66" t="str">
        <f>IF('Twenty-Sixth'!E172="", "",'Twenty-Sixth'!E172)</f>
        <v/>
      </c>
      <c r="F6419" s="66" t="str">
        <f>IF('Twenty-Sixth'!F172="", "",'Twenty-Sixth'!F172)</f>
        <v/>
      </c>
      <c r="G6419" s="66" t="str">
        <f>IF('Twenty-Sixth'!G172="", "",'Twenty-Sixth'!G172)</f>
        <v/>
      </c>
      <c r="H6419" s="66" t="str">
        <f>IF('Twenty-Sixth'!H172="", "",'Twenty-Sixth'!H172)</f>
        <v/>
      </c>
      <c r="I6419" s="66" t="str">
        <f>IF('Twenty-Sixth'!I172="", "",'Twenty-Sixth'!I172)</f>
        <v/>
      </c>
      <c r="J6419" s="66" t="str">
        <f>IF('Twenty-Sixth'!J172="", "",'Twenty-Sixth'!J172)</f>
        <v/>
      </c>
      <c r="K6419" s="86" t="str">
        <f>IF('Twenty-Sixth'!K172="", "",'Twenty-Sixth'!K172)</f>
        <v/>
      </c>
      <c r="M6419" s="67" t="str">
        <f t="shared" si="305"/>
        <v/>
      </c>
      <c r="N6419" s="76" t="str">
        <f t="shared" si="306"/>
        <v/>
      </c>
      <c r="O6419" s="33">
        <f t="shared" si="307"/>
        <v>0</v>
      </c>
    </row>
    <row r="6420" spans="1:15" x14ac:dyDescent="0.25">
      <c r="A6420" s="64" t="s">
        <v>210</v>
      </c>
      <c r="B6420" s="79" t="str">
        <f>IF('Twenty-Sixth'!B173="", "",'Twenty-Sixth'!B173)</f>
        <v/>
      </c>
      <c r="C6420" s="66" t="str">
        <f>IF('Twenty-Sixth'!C173="", "",'Twenty-Sixth'!C173)</f>
        <v/>
      </c>
      <c r="D6420" s="66" t="str">
        <f>IF('Twenty-Sixth'!D173="", "",'Twenty-Sixth'!D173)</f>
        <v/>
      </c>
      <c r="E6420" s="66" t="str">
        <f>IF('Twenty-Sixth'!E173="", "",'Twenty-Sixth'!E173)</f>
        <v/>
      </c>
      <c r="F6420" s="66" t="str">
        <f>IF('Twenty-Sixth'!F173="", "",'Twenty-Sixth'!F173)</f>
        <v/>
      </c>
      <c r="G6420" s="66" t="str">
        <f>IF('Twenty-Sixth'!G173="", "",'Twenty-Sixth'!G173)</f>
        <v/>
      </c>
      <c r="H6420" s="66" t="str">
        <f>IF('Twenty-Sixth'!H173="", "",'Twenty-Sixth'!H173)</f>
        <v/>
      </c>
      <c r="I6420" s="66" t="str">
        <f>IF('Twenty-Sixth'!I173="", "",'Twenty-Sixth'!I173)</f>
        <v/>
      </c>
      <c r="J6420" s="66" t="str">
        <f>IF('Twenty-Sixth'!J173="", "",'Twenty-Sixth'!J173)</f>
        <v/>
      </c>
      <c r="K6420" s="86" t="str">
        <f>IF('Twenty-Sixth'!K173="", "",'Twenty-Sixth'!K173)</f>
        <v/>
      </c>
      <c r="M6420" s="67" t="str">
        <f t="shared" si="305"/>
        <v/>
      </c>
      <c r="N6420" s="76" t="str">
        <f t="shared" si="306"/>
        <v/>
      </c>
      <c r="O6420" s="33">
        <f t="shared" si="307"/>
        <v>0</v>
      </c>
    </row>
    <row r="6421" spans="1:15" x14ac:dyDescent="0.25">
      <c r="A6421" s="64" t="s">
        <v>210</v>
      </c>
      <c r="B6421" s="79" t="str">
        <f>IF('Twenty-Sixth'!B174="", "",'Twenty-Sixth'!B174)</f>
        <v/>
      </c>
      <c r="C6421" s="66" t="str">
        <f>IF('Twenty-Sixth'!C174="", "",'Twenty-Sixth'!C174)</f>
        <v/>
      </c>
      <c r="D6421" s="66" t="str">
        <f>IF('Twenty-Sixth'!D174="", "",'Twenty-Sixth'!D174)</f>
        <v/>
      </c>
      <c r="E6421" s="66" t="str">
        <f>IF('Twenty-Sixth'!E174="", "",'Twenty-Sixth'!E174)</f>
        <v/>
      </c>
      <c r="F6421" s="66" t="str">
        <f>IF('Twenty-Sixth'!F174="", "",'Twenty-Sixth'!F174)</f>
        <v/>
      </c>
      <c r="G6421" s="66" t="str">
        <f>IF('Twenty-Sixth'!G174="", "",'Twenty-Sixth'!G174)</f>
        <v/>
      </c>
      <c r="H6421" s="66" t="str">
        <f>IF('Twenty-Sixth'!H174="", "",'Twenty-Sixth'!H174)</f>
        <v/>
      </c>
      <c r="I6421" s="66" t="str">
        <f>IF('Twenty-Sixth'!I174="", "",'Twenty-Sixth'!I174)</f>
        <v/>
      </c>
      <c r="J6421" s="66" t="str">
        <f>IF('Twenty-Sixth'!J174="", "",'Twenty-Sixth'!J174)</f>
        <v/>
      </c>
      <c r="K6421" s="86" t="str">
        <f>IF('Twenty-Sixth'!K174="", "",'Twenty-Sixth'!K174)</f>
        <v/>
      </c>
      <c r="M6421" s="67" t="str">
        <f t="shared" si="305"/>
        <v/>
      </c>
      <c r="N6421" s="76" t="str">
        <f t="shared" si="306"/>
        <v/>
      </c>
      <c r="O6421" s="33">
        <f t="shared" si="307"/>
        <v>0</v>
      </c>
    </row>
    <row r="6422" spans="1:15" x14ac:dyDescent="0.25">
      <c r="A6422" s="64" t="s">
        <v>210</v>
      </c>
      <c r="B6422" s="79" t="str">
        <f>IF('Twenty-Sixth'!B175="", "",'Twenty-Sixth'!B175)</f>
        <v/>
      </c>
      <c r="C6422" s="66" t="str">
        <f>IF('Twenty-Sixth'!C175="", "",'Twenty-Sixth'!C175)</f>
        <v/>
      </c>
      <c r="D6422" s="66" t="str">
        <f>IF('Twenty-Sixth'!D175="", "",'Twenty-Sixth'!D175)</f>
        <v/>
      </c>
      <c r="E6422" s="66" t="str">
        <f>IF('Twenty-Sixth'!E175="", "",'Twenty-Sixth'!E175)</f>
        <v/>
      </c>
      <c r="F6422" s="66" t="str">
        <f>IF('Twenty-Sixth'!F175="", "",'Twenty-Sixth'!F175)</f>
        <v/>
      </c>
      <c r="G6422" s="66" t="str">
        <f>IF('Twenty-Sixth'!G175="", "",'Twenty-Sixth'!G175)</f>
        <v/>
      </c>
      <c r="H6422" s="66" t="str">
        <f>IF('Twenty-Sixth'!H175="", "",'Twenty-Sixth'!H175)</f>
        <v/>
      </c>
      <c r="I6422" s="66" t="str">
        <f>IF('Twenty-Sixth'!I175="", "",'Twenty-Sixth'!I175)</f>
        <v/>
      </c>
      <c r="J6422" s="66" t="str">
        <f>IF('Twenty-Sixth'!J175="", "",'Twenty-Sixth'!J175)</f>
        <v/>
      </c>
      <c r="K6422" s="86" t="str">
        <f>IF('Twenty-Sixth'!K175="", "",'Twenty-Sixth'!K175)</f>
        <v/>
      </c>
      <c r="M6422" s="67" t="str">
        <f t="shared" si="305"/>
        <v/>
      </c>
      <c r="N6422" s="76" t="str">
        <f t="shared" si="306"/>
        <v/>
      </c>
      <c r="O6422" s="33">
        <f t="shared" si="307"/>
        <v>0</v>
      </c>
    </row>
    <row r="6423" spans="1:15" x14ac:dyDescent="0.25">
      <c r="A6423" s="64" t="s">
        <v>210</v>
      </c>
      <c r="B6423" s="79" t="str">
        <f>IF('Twenty-Sixth'!B176="", "",'Twenty-Sixth'!B176)</f>
        <v/>
      </c>
      <c r="C6423" s="66" t="str">
        <f>IF('Twenty-Sixth'!C176="", "",'Twenty-Sixth'!C176)</f>
        <v/>
      </c>
      <c r="D6423" s="66" t="str">
        <f>IF('Twenty-Sixth'!D176="", "",'Twenty-Sixth'!D176)</f>
        <v/>
      </c>
      <c r="E6423" s="66" t="str">
        <f>IF('Twenty-Sixth'!E176="", "",'Twenty-Sixth'!E176)</f>
        <v/>
      </c>
      <c r="F6423" s="66" t="str">
        <f>IF('Twenty-Sixth'!F176="", "",'Twenty-Sixth'!F176)</f>
        <v/>
      </c>
      <c r="G6423" s="66" t="str">
        <f>IF('Twenty-Sixth'!G176="", "",'Twenty-Sixth'!G176)</f>
        <v/>
      </c>
      <c r="H6423" s="66" t="str">
        <f>IF('Twenty-Sixth'!H176="", "",'Twenty-Sixth'!H176)</f>
        <v/>
      </c>
      <c r="I6423" s="66" t="str">
        <f>IF('Twenty-Sixth'!I176="", "",'Twenty-Sixth'!I176)</f>
        <v/>
      </c>
      <c r="J6423" s="66" t="str">
        <f>IF('Twenty-Sixth'!J176="", "",'Twenty-Sixth'!J176)</f>
        <v/>
      </c>
      <c r="K6423" s="86" t="str">
        <f>IF('Twenty-Sixth'!K176="", "",'Twenty-Sixth'!K176)</f>
        <v/>
      </c>
      <c r="M6423" s="67" t="str">
        <f t="shared" si="305"/>
        <v/>
      </c>
      <c r="N6423" s="76" t="str">
        <f t="shared" si="306"/>
        <v/>
      </c>
      <c r="O6423" s="33">
        <f t="shared" si="307"/>
        <v>0</v>
      </c>
    </row>
    <row r="6424" spans="1:15" x14ac:dyDescent="0.25">
      <c r="A6424" s="64" t="s">
        <v>210</v>
      </c>
      <c r="B6424" s="79" t="str">
        <f>IF('Twenty-Sixth'!B177="", "",'Twenty-Sixth'!B177)</f>
        <v/>
      </c>
      <c r="C6424" s="66" t="str">
        <f>IF('Twenty-Sixth'!C177="", "",'Twenty-Sixth'!C177)</f>
        <v/>
      </c>
      <c r="D6424" s="66" t="str">
        <f>IF('Twenty-Sixth'!D177="", "",'Twenty-Sixth'!D177)</f>
        <v/>
      </c>
      <c r="E6424" s="66" t="str">
        <f>IF('Twenty-Sixth'!E177="", "",'Twenty-Sixth'!E177)</f>
        <v/>
      </c>
      <c r="F6424" s="66" t="str">
        <f>IF('Twenty-Sixth'!F177="", "",'Twenty-Sixth'!F177)</f>
        <v/>
      </c>
      <c r="G6424" s="66" t="str">
        <f>IF('Twenty-Sixth'!G177="", "",'Twenty-Sixth'!G177)</f>
        <v/>
      </c>
      <c r="H6424" s="66" t="str">
        <f>IF('Twenty-Sixth'!H177="", "",'Twenty-Sixth'!H177)</f>
        <v/>
      </c>
      <c r="I6424" s="66" t="str">
        <f>IF('Twenty-Sixth'!I177="", "",'Twenty-Sixth'!I177)</f>
        <v/>
      </c>
      <c r="J6424" s="66" t="str">
        <f>IF('Twenty-Sixth'!J177="", "",'Twenty-Sixth'!J177)</f>
        <v/>
      </c>
      <c r="K6424" s="86" t="str">
        <f>IF('Twenty-Sixth'!K177="", "",'Twenty-Sixth'!K177)</f>
        <v/>
      </c>
      <c r="M6424" s="67" t="str">
        <f t="shared" si="305"/>
        <v/>
      </c>
      <c r="N6424" s="76" t="str">
        <f t="shared" si="306"/>
        <v/>
      </c>
      <c r="O6424" s="33">
        <f t="shared" si="307"/>
        <v>0</v>
      </c>
    </row>
    <row r="6425" spans="1:15" x14ac:dyDescent="0.25">
      <c r="A6425" s="64" t="s">
        <v>210</v>
      </c>
      <c r="B6425" s="79" t="str">
        <f>IF('Twenty-Sixth'!B178="", "",'Twenty-Sixth'!B178)</f>
        <v/>
      </c>
      <c r="C6425" s="66" t="str">
        <f>IF('Twenty-Sixth'!C178="", "",'Twenty-Sixth'!C178)</f>
        <v/>
      </c>
      <c r="D6425" s="66" t="str">
        <f>IF('Twenty-Sixth'!D178="", "",'Twenty-Sixth'!D178)</f>
        <v/>
      </c>
      <c r="E6425" s="66" t="str">
        <f>IF('Twenty-Sixth'!E178="", "",'Twenty-Sixth'!E178)</f>
        <v/>
      </c>
      <c r="F6425" s="66" t="str">
        <f>IF('Twenty-Sixth'!F178="", "",'Twenty-Sixth'!F178)</f>
        <v/>
      </c>
      <c r="G6425" s="66" t="str">
        <f>IF('Twenty-Sixth'!G178="", "",'Twenty-Sixth'!G178)</f>
        <v/>
      </c>
      <c r="H6425" s="66" t="str">
        <f>IF('Twenty-Sixth'!H178="", "",'Twenty-Sixth'!H178)</f>
        <v/>
      </c>
      <c r="I6425" s="66" t="str">
        <f>IF('Twenty-Sixth'!I178="", "",'Twenty-Sixth'!I178)</f>
        <v/>
      </c>
      <c r="J6425" s="66" t="str">
        <f>IF('Twenty-Sixth'!J178="", "",'Twenty-Sixth'!J178)</f>
        <v/>
      </c>
      <c r="K6425" s="86" t="str">
        <f>IF('Twenty-Sixth'!K178="", "",'Twenty-Sixth'!K178)</f>
        <v/>
      </c>
      <c r="M6425" s="67" t="str">
        <f t="shared" si="305"/>
        <v/>
      </c>
      <c r="N6425" s="76" t="str">
        <f t="shared" si="306"/>
        <v/>
      </c>
      <c r="O6425" s="33">
        <f t="shared" si="307"/>
        <v>0</v>
      </c>
    </row>
    <row r="6426" spans="1:15" x14ac:dyDescent="0.25">
      <c r="A6426" s="64" t="s">
        <v>210</v>
      </c>
      <c r="B6426" s="79" t="str">
        <f>IF('Twenty-Sixth'!B179="", "",'Twenty-Sixth'!B179)</f>
        <v/>
      </c>
      <c r="C6426" s="66" t="str">
        <f>IF('Twenty-Sixth'!C179="", "",'Twenty-Sixth'!C179)</f>
        <v/>
      </c>
      <c r="D6426" s="66" t="str">
        <f>IF('Twenty-Sixth'!D179="", "",'Twenty-Sixth'!D179)</f>
        <v/>
      </c>
      <c r="E6426" s="66" t="str">
        <f>IF('Twenty-Sixth'!E179="", "",'Twenty-Sixth'!E179)</f>
        <v/>
      </c>
      <c r="F6426" s="66" t="str">
        <f>IF('Twenty-Sixth'!F179="", "",'Twenty-Sixth'!F179)</f>
        <v/>
      </c>
      <c r="G6426" s="66" t="str">
        <f>IF('Twenty-Sixth'!G179="", "",'Twenty-Sixth'!G179)</f>
        <v/>
      </c>
      <c r="H6426" s="66" t="str">
        <f>IF('Twenty-Sixth'!H179="", "",'Twenty-Sixth'!H179)</f>
        <v/>
      </c>
      <c r="I6426" s="66" t="str">
        <f>IF('Twenty-Sixth'!I179="", "",'Twenty-Sixth'!I179)</f>
        <v/>
      </c>
      <c r="J6426" s="66" t="str">
        <f>IF('Twenty-Sixth'!J179="", "",'Twenty-Sixth'!J179)</f>
        <v/>
      </c>
      <c r="K6426" s="86" t="str">
        <f>IF('Twenty-Sixth'!K179="", "",'Twenty-Sixth'!K179)</f>
        <v/>
      </c>
      <c r="M6426" s="67" t="str">
        <f t="shared" si="305"/>
        <v/>
      </c>
      <c r="N6426" s="76" t="str">
        <f t="shared" si="306"/>
        <v/>
      </c>
      <c r="O6426" s="33">
        <f t="shared" si="307"/>
        <v>0</v>
      </c>
    </row>
    <row r="6427" spans="1:15" x14ac:dyDescent="0.25">
      <c r="A6427" s="64" t="s">
        <v>210</v>
      </c>
      <c r="B6427" s="79" t="str">
        <f>IF('Twenty-Sixth'!B180="", "",'Twenty-Sixth'!B180)</f>
        <v/>
      </c>
      <c r="C6427" s="66" t="str">
        <f>IF('Twenty-Sixth'!C180="", "",'Twenty-Sixth'!C180)</f>
        <v/>
      </c>
      <c r="D6427" s="66" t="str">
        <f>IF('Twenty-Sixth'!D180="", "",'Twenty-Sixth'!D180)</f>
        <v/>
      </c>
      <c r="E6427" s="66" t="str">
        <f>IF('Twenty-Sixth'!E180="", "",'Twenty-Sixth'!E180)</f>
        <v/>
      </c>
      <c r="F6427" s="66" t="str">
        <f>IF('Twenty-Sixth'!F180="", "",'Twenty-Sixth'!F180)</f>
        <v/>
      </c>
      <c r="G6427" s="66" t="str">
        <f>IF('Twenty-Sixth'!G180="", "",'Twenty-Sixth'!G180)</f>
        <v/>
      </c>
      <c r="H6427" s="66" t="str">
        <f>IF('Twenty-Sixth'!H180="", "",'Twenty-Sixth'!H180)</f>
        <v/>
      </c>
      <c r="I6427" s="66" t="str">
        <f>IF('Twenty-Sixth'!I180="", "",'Twenty-Sixth'!I180)</f>
        <v/>
      </c>
      <c r="J6427" s="66" t="str">
        <f>IF('Twenty-Sixth'!J180="", "",'Twenty-Sixth'!J180)</f>
        <v/>
      </c>
      <c r="K6427" s="86" t="str">
        <f>IF('Twenty-Sixth'!K180="", "",'Twenty-Sixth'!K180)</f>
        <v/>
      </c>
      <c r="M6427" s="67" t="str">
        <f t="shared" si="305"/>
        <v/>
      </c>
      <c r="N6427" s="76" t="str">
        <f t="shared" si="306"/>
        <v/>
      </c>
      <c r="O6427" s="33">
        <f t="shared" si="307"/>
        <v>0</v>
      </c>
    </row>
    <row r="6428" spans="1:15" x14ac:dyDescent="0.25">
      <c r="A6428" s="64" t="s">
        <v>210</v>
      </c>
      <c r="B6428" s="79" t="str">
        <f>IF('Twenty-Sixth'!B181="", "",'Twenty-Sixth'!B181)</f>
        <v/>
      </c>
      <c r="C6428" s="66" t="str">
        <f>IF('Twenty-Sixth'!C181="", "",'Twenty-Sixth'!C181)</f>
        <v/>
      </c>
      <c r="D6428" s="66" t="str">
        <f>IF('Twenty-Sixth'!D181="", "",'Twenty-Sixth'!D181)</f>
        <v/>
      </c>
      <c r="E6428" s="66" t="str">
        <f>IF('Twenty-Sixth'!E181="", "",'Twenty-Sixth'!E181)</f>
        <v/>
      </c>
      <c r="F6428" s="66" t="str">
        <f>IF('Twenty-Sixth'!F181="", "",'Twenty-Sixth'!F181)</f>
        <v/>
      </c>
      <c r="G6428" s="66" t="str">
        <f>IF('Twenty-Sixth'!G181="", "",'Twenty-Sixth'!G181)</f>
        <v/>
      </c>
      <c r="H6428" s="66" t="str">
        <f>IF('Twenty-Sixth'!H181="", "",'Twenty-Sixth'!H181)</f>
        <v/>
      </c>
      <c r="I6428" s="66" t="str">
        <f>IF('Twenty-Sixth'!I181="", "",'Twenty-Sixth'!I181)</f>
        <v/>
      </c>
      <c r="J6428" s="66" t="str">
        <f>IF('Twenty-Sixth'!J181="", "",'Twenty-Sixth'!J181)</f>
        <v/>
      </c>
      <c r="K6428" s="86" t="str">
        <f>IF('Twenty-Sixth'!K181="", "",'Twenty-Sixth'!K181)</f>
        <v/>
      </c>
      <c r="M6428" s="67" t="str">
        <f t="shared" si="305"/>
        <v/>
      </c>
      <c r="N6428" s="76" t="str">
        <f t="shared" si="306"/>
        <v/>
      </c>
      <c r="O6428" s="33">
        <f t="shared" si="307"/>
        <v>0</v>
      </c>
    </row>
    <row r="6429" spans="1:15" x14ac:dyDescent="0.25">
      <c r="A6429" s="64" t="s">
        <v>210</v>
      </c>
      <c r="B6429" s="79" t="str">
        <f>IF('Twenty-Sixth'!B182="", "",'Twenty-Sixth'!B182)</f>
        <v/>
      </c>
      <c r="C6429" s="66" t="str">
        <f>IF('Twenty-Sixth'!C182="", "",'Twenty-Sixth'!C182)</f>
        <v/>
      </c>
      <c r="D6429" s="66" t="str">
        <f>IF('Twenty-Sixth'!D182="", "",'Twenty-Sixth'!D182)</f>
        <v/>
      </c>
      <c r="E6429" s="66" t="str">
        <f>IF('Twenty-Sixth'!E182="", "",'Twenty-Sixth'!E182)</f>
        <v/>
      </c>
      <c r="F6429" s="66" t="str">
        <f>IF('Twenty-Sixth'!F182="", "",'Twenty-Sixth'!F182)</f>
        <v/>
      </c>
      <c r="G6429" s="66" t="str">
        <f>IF('Twenty-Sixth'!G182="", "",'Twenty-Sixth'!G182)</f>
        <v/>
      </c>
      <c r="H6429" s="66" t="str">
        <f>IF('Twenty-Sixth'!H182="", "",'Twenty-Sixth'!H182)</f>
        <v/>
      </c>
      <c r="I6429" s="66" t="str">
        <f>IF('Twenty-Sixth'!I182="", "",'Twenty-Sixth'!I182)</f>
        <v/>
      </c>
      <c r="J6429" s="66" t="str">
        <f>IF('Twenty-Sixth'!J182="", "",'Twenty-Sixth'!J182)</f>
        <v/>
      </c>
      <c r="K6429" s="86" t="str">
        <f>IF('Twenty-Sixth'!K182="", "",'Twenty-Sixth'!K182)</f>
        <v/>
      </c>
      <c r="M6429" s="67" t="str">
        <f t="shared" si="305"/>
        <v/>
      </c>
      <c r="N6429" s="76" t="str">
        <f t="shared" si="306"/>
        <v/>
      </c>
      <c r="O6429" s="33">
        <f t="shared" si="307"/>
        <v>0</v>
      </c>
    </row>
    <row r="6430" spans="1:15" x14ac:dyDescent="0.25">
      <c r="A6430" s="64" t="s">
        <v>210</v>
      </c>
      <c r="B6430" s="79" t="str">
        <f>IF('Twenty-Sixth'!B183="", "",'Twenty-Sixth'!B183)</f>
        <v/>
      </c>
      <c r="C6430" s="66" t="str">
        <f>IF('Twenty-Sixth'!C183="", "",'Twenty-Sixth'!C183)</f>
        <v/>
      </c>
      <c r="D6430" s="66" t="str">
        <f>IF('Twenty-Sixth'!D183="", "",'Twenty-Sixth'!D183)</f>
        <v/>
      </c>
      <c r="E6430" s="66" t="str">
        <f>IF('Twenty-Sixth'!E183="", "",'Twenty-Sixth'!E183)</f>
        <v/>
      </c>
      <c r="F6430" s="66" t="str">
        <f>IF('Twenty-Sixth'!F183="", "",'Twenty-Sixth'!F183)</f>
        <v/>
      </c>
      <c r="G6430" s="66" t="str">
        <f>IF('Twenty-Sixth'!G183="", "",'Twenty-Sixth'!G183)</f>
        <v/>
      </c>
      <c r="H6430" s="66" t="str">
        <f>IF('Twenty-Sixth'!H183="", "",'Twenty-Sixth'!H183)</f>
        <v/>
      </c>
      <c r="I6430" s="66" t="str">
        <f>IF('Twenty-Sixth'!I183="", "",'Twenty-Sixth'!I183)</f>
        <v/>
      </c>
      <c r="J6430" s="66" t="str">
        <f>IF('Twenty-Sixth'!J183="", "",'Twenty-Sixth'!J183)</f>
        <v/>
      </c>
      <c r="K6430" s="86" t="str">
        <f>IF('Twenty-Sixth'!K183="", "",'Twenty-Sixth'!K183)</f>
        <v/>
      </c>
      <c r="M6430" s="67" t="str">
        <f t="shared" si="305"/>
        <v/>
      </c>
      <c r="N6430" s="76" t="str">
        <f t="shared" si="306"/>
        <v/>
      </c>
      <c r="O6430" s="33">
        <f t="shared" si="307"/>
        <v>0</v>
      </c>
    </row>
    <row r="6431" spans="1:15" x14ac:dyDescent="0.25">
      <c r="A6431" s="64" t="s">
        <v>210</v>
      </c>
      <c r="B6431" s="79" t="str">
        <f>IF('Twenty-Sixth'!B184="", "",'Twenty-Sixth'!B184)</f>
        <v/>
      </c>
      <c r="C6431" s="66" t="str">
        <f>IF('Twenty-Sixth'!C184="", "",'Twenty-Sixth'!C184)</f>
        <v/>
      </c>
      <c r="D6431" s="66" t="str">
        <f>IF('Twenty-Sixth'!D184="", "",'Twenty-Sixth'!D184)</f>
        <v/>
      </c>
      <c r="E6431" s="66" t="str">
        <f>IF('Twenty-Sixth'!E184="", "",'Twenty-Sixth'!E184)</f>
        <v/>
      </c>
      <c r="F6431" s="66" t="str">
        <f>IF('Twenty-Sixth'!F184="", "",'Twenty-Sixth'!F184)</f>
        <v/>
      </c>
      <c r="G6431" s="66" t="str">
        <f>IF('Twenty-Sixth'!G184="", "",'Twenty-Sixth'!G184)</f>
        <v/>
      </c>
      <c r="H6431" s="66" t="str">
        <f>IF('Twenty-Sixth'!H184="", "",'Twenty-Sixth'!H184)</f>
        <v/>
      </c>
      <c r="I6431" s="66" t="str">
        <f>IF('Twenty-Sixth'!I184="", "",'Twenty-Sixth'!I184)</f>
        <v/>
      </c>
      <c r="J6431" s="66" t="str">
        <f>IF('Twenty-Sixth'!J184="", "",'Twenty-Sixth'!J184)</f>
        <v/>
      </c>
      <c r="K6431" s="86" t="str">
        <f>IF('Twenty-Sixth'!K184="", "",'Twenty-Sixth'!K184)</f>
        <v/>
      </c>
      <c r="M6431" s="67" t="str">
        <f t="shared" si="305"/>
        <v/>
      </c>
      <c r="N6431" s="76" t="str">
        <f t="shared" si="306"/>
        <v/>
      </c>
      <c r="O6431" s="33">
        <f t="shared" si="307"/>
        <v>0</v>
      </c>
    </row>
    <row r="6432" spans="1:15" x14ac:dyDescent="0.25">
      <c r="A6432" s="64" t="s">
        <v>210</v>
      </c>
      <c r="B6432" s="79" t="str">
        <f>IF('Twenty-Sixth'!B185="", "",'Twenty-Sixth'!B185)</f>
        <v/>
      </c>
      <c r="C6432" s="66" t="str">
        <f>IF('Twenty-Sixth'!C185="", "",'Twenty-Sixth'!C185)</f>
        <v/>
      </c>
      <c r="D6432" s="66" t="str">
        <f>IF('Twenty-Sixth'!D185="", "",'Twenty-Sixth'!D185)</f>
        <v/>
      </c>
      <c r="E6432" s="66" t="str">
        <f>IF('Twenty-Sixth'!E185="", "",'Twenty-Sixth'!E185)</f>
        <v/>
      </c>
      <c r="F6432" s="66" t="str">
        <f>IF('Twenty-Sixth'!F185="", "",'Twenty-Sixth'!F185)</f>
        <v/>
      </c>
      <c r="G6432" s="66" t="str">
        <f>IF('Twenty-Sixth'!G185="", "",'Twenty-Sixth'!G185)</f>
        <v/>
      </c>
      <c r="H6432" s="66" t="str">
        <f>IF('Twenty-Sixth'!H185="", "",'Twenty-Sixth'!H185)</f>
        <v/>
      </c>
      <c r="I6432" s="66" t="str">
        <f>IF('Twenty-Sixth'!I185="", "",'Twenty-Sixth'!I185)</f>
        <v/>
      </c>
      <c r="J6432" s="66" t="str">
        <f>IF('Twenty-Sixth'!J185="", "",'Twenty-Sixth'!J185)</f>
        <v/>
      </c>
      <c r="K6432" s="86" t="str">
        <f>IF('Twenty-Sixth'!K185="", "",'Twenty-Sixth'!K185)</f>
        <v/>
      </c>
      <c r="M6432" s="67" t="str">
        <f t="shared" si="305"/>
        <v/>
      </c>
      <c r="N6432" s="76" t="str">
        <f t="shared" si="306"/>
        <v/>
      </c>
      <c r="O6432" s="33">
        <f t="shared" si="307"/>
        <v>0</v>
      </c>
    </row>
    <row r="6433" spans="1:15" x14ac:dyDescent="0.25">
      <c r="A6433" s="64" t="s">
        <v>210</v>
      </c>
      <c r="B6433" s="79" t="str">
        <f>IF('Twenty-Sixth'!B186="", "",'Twenty-Sixth'!B186)</f>
        <v/>
      </c>
      <c r="C6433" s="66" t="str">
        <f>IF('Twenty-Sixth'!C186="", "",'Twenty-Sixth'!C186)</f>
        <v/>
      </c>
      <c r="D6433" s="66" t="str">
        <f>IF('Twenty-Sixth'!D186="", "",'Twenty-Sixth'!D186)</f>
        <v/>
      </c>
      <c r="E6433" s="66" t="str">
        <f>IF('Twenty-Sixth'!E186="", "",'Twenty-Sixth'!E186)</f>
        <v/>
      </c>
      <c r="F6433" s="66" t="str">
        <f>IF('Twenty-Sixth'!F186="", "",'Twenty-Sixth'!F186)</f>
        <v/>
      </c>
      <c r="G6433" s="66" t="str">
        <f>IF('Twenty-Sixth'!G186="", "",'Twenty-Sixth'!G186)</f>
        <v/>
      </c>
      <c r="H6433" s="66" t="str">
        <f>IF('Twenty-Sixth'!H186="", "",'Twenty-Sixth'!H186)</f>
        <v/>
      </c>
      <c r="I6433" s="66" t="str">
        <f>IF('Twenty-Sixth'!I186="", "",'Twenty-Sixth'!I186)</f>
        <v/>
      </c>
      <c r="J6433" s="66" t="str">
        <f>IF('Twenty-Sixth'!J186="", "",'Twenty-Sixth'!J186)</f>
        <v/>
      </c>
      <c r="K6433" s="86" t="str">
        <f>IF('Twenty-Sixth'!K186="", "",'Twenty-Sixth'!K186)</f>
        <v/>
      </c>
      <c r="M6433" s="67" t="str">
        <f t="shared" si="305"/>
        <v/>
      </c>
      <c r="N6433" s="76" t="str">
        <f t="shared" si="306"/>
        <v/>
      </c>
      <c r="O6433" s="33">
        <f t="shared" si="307"/>
        <v>0</v>
      </c>
    </row>
    <row r="6434" spans="1:15" x14ac:dyDescent="0.25">
      <c r="A6434" s="64" t="s">
        <v>210</v>
      </c>
      <c r="B6434" s="79" t="str">
        <f>IF('Twenty-Sixth'!B187="", "",'Twenty-Sixth'!B187)</f>
        <v/>
      </c>
      <c r="C6434" s="66" t="str">
        <f>IF('Twenty-Sixth'!C187="", "",'Twenty-Sixth'!C187)</f>
        <v/>
      </c>
      <c r="D6434" s="66" t="str">
        <f>IF('Twenty-Sixth'!D187="", "",'Twenty-Sixth'!D187)</f>
        <v/>
      </c>
      <c r="E6434" s="66" t="str">
        <f>IF('Twenty-Sixth'!E187="", "",'Twenty-Sixth'!E187)</f>
        <v/>
      </c>
      <c r="F6434" s="66" t="str">
        <f>IF('Twenty-Sixth'!F187="", "",'Twenty-Sixth'!F187)</f>
        <v/>
      </c>
      <c r="G6434" s="66" t="str">
        <f>IF('Twenty-Sixth'!G187="", "",'Twenty-Sixth'!G187)</f>
        <v/>
      </c>
      <c r="H6434" s="66" t="str">
        <f>IF('Twenty-Sixth'!H187="", "",'Twenty-Sixth'!H187)</f>
        <v/>
      </c>
      <c r="I6434" s="66" t="str">
        <f>IF('Twenty-Sixth'!I187="", "",'Twenty-Sixth'!I187)</f>
        <v/>
      </c>
      <c r="J6434" s="66" t="str">
        <f>IF('Twenty-Sixth'!J187="", "",'Twenty-Sixth'!J187)</f>
        <v/>
      </c>
      <c r="K6434" s="86" t="str">
        <f>IF('Twenty-Sixth'!K187="", "",'Twenty-Sixth'!K187)</f>
        <v/>
      </c>
      <c r="M6434" s="67" t="str">
        <f t="shared" si="305"/>
        <v/>
      </c>
      <c r="N6434" s="76" t="str">
        <f t="shared" si="306"/>
        <v/>
      </c>
      <c r="O6434" s="33">
        <f t="shared" si="307"/>
        <v>0</v>
      </c>
    </row>
    <row r="6435" spans="1:15" x14ac:dyDescent="0.25">
      <c r="A6435" s="64" t="s">
        <v>210</v>
      </c>
      <c r="B6435" s="79" t="str">
        <f>IF('Twenty-Sixth'!B188="", "",'Twenty-Sixth'!B188)</f>
        <v/>
      </c>
      <c r="C6435" s="66" t="str">
        <f>IF('Twenty-Sixth'!C188="", "",'Twenty-Sixth'!C188)</f>
        <v/>
      </c>
      <c r="D6435" s="66" t="str">
        <f>IF('Twenty-Sixth'!D188="", "",'Twenty-Sixth'!D188)</f>
        <v/>
      </c>
      <c r="E6435" s="66" t="str">
        <f>IF('Twenty-Sixth'!E188="", "",'Twenty-Sixth'!E188)</f>
        <v/>
      </c>
      <c r="F6435" s="66" t="str">
        <f>IF('Twenty-Sixth'!F188="", "",'Twenty-Sixth'!F188)</f>
        <v/>
      </c>
      <c r="G6435" s="66" t="str">
        <f>IF('Twenty-Sixth'!G188="", "",'Twenty-Sixth'!G188)</f>
        <v/>
      </c>
      <c r="H6435" s="66" t="str">
        <f>IF('Twenty-Sixth'!H188="", "",'Twenty-Sixth'!H188)</f>
        <v/>
      </c>
      <c r="I6435" s="66" t="str">
        <f>IF('Twenty-Sixth'!I188="", "",'Twenty-Sixth'!I188)</f>
        <v/>
      </c>
      <c r="J6435" s="66" t="str">
        <f>IF('Twenty-Sixth'!J188="", "",'Twenty-Sixth'!J188)</f>
        <v/>
      </c>
      <c r="K6435" s="86" t="str">
        <f>IF('Twenty-Sixth'!K188="", "",'Twenty-Sixth'!K188)</f>
        <v/>
      </c>
      <c r="M6435" s="67" t="str">
        <f t="shared" si="305"/>
        <v/>
      </c>
      <c r="N6435" s="76" t="str">
        <f t="shared" si="306"/>
        <v/>
      </c>
      <c r="O6435" s="33">
        <f t="shared" si="307"/>
        <v>0</v>
      </c>
    </row>
    <row r="6436" spans="1:15" x14ac:dyDescent="0.25">
      <c r="A6436" s="64" t="s">
        <v>210</v>
      </c>
      <c r="B6436" s="79" t="str">
        <f>IF('Twenty-Sixth'!B189="", "",'Twenty-Sixth'!B189)</f>
        <v/>
      </c>
      <c r="C6436" s="66" t="str">
        <f>IF('Twenty-Sixth'!C189="", "",'Twenty-Sixth'!C189)</f>
        <v/>
      </c>
      <c r="D6436" s="66" t="str">
        <f>IF('Twenty-Sixth'!D189="", "",'Twenty-Sixth'!D189)</f>
        <v/>
      </c>
      <c r="E6436" s="66" t="str">
        <f>IF('Twenty-Sixth'!E189="", "",'Twenty-Sixth'!E189)</f>
        <v/>
      </c>
      <c r="F6436" s="66" t="str">
        <f>IF('Twenty-Sixth'!F189="", "",'Twenty-Sixth'!F189)</f>
        <v/>
      </c>
      <c r="G6436" s="66" t="str">
        <f>IF('Twenty-Sixth'!G189="", "",'Twenty-Sixth'!G189)</f>
        <v/>
      </c>
      <c r="H6436" s="66" t="str">
        <f>IF('Twenty-Sixth'!H189="", "",'Twenty-Sixth'!H189)</f>
        <v/>
      </c>
      <c r="I6436" s="66" t="str">
        <f>IF('Twenty-Sixth'!I189="", "",'Twenty-Sixth'!I189)</f>
        <v/>
      </c>
      <c r="J6436" s="66" t="str">
        <f>IF('Twenty-Sixth'!J189="", "",'Twenty-Sixth'!J189)</f>
        <v/>
      </c>
      <c r="K6436" s="86" t="str">
        <f>IF('Twenty-Sixth'!K189="", "",'Twenty-Sixth'!K189)</f>
        <v/>
      </c>
      <c r="M6436" s="67" t="str">
        <f t="shared" si="305"/>
        <v/>
      </c>
      <c r="N6436" s="76" t="str">
        <f t="shared" si="306"/>
        <v/>
      </c>
      <c r="O6436" s="33">
        <f t="shared" si="307"/>
        <v>0</v>
      </c>
    </row>
    <row r="6437" spans="1:15" x14ac:dyDescent="0.25">
      <c r="A6437" s="64" t="s">
        <v>210</v>
      </c>
      <c r="B6437" s="79" t="str">
        <f>IF('Twenty-Sixth'!B190="", "",'Twenty-Sixth'!B190)</f>
        <v/>
      </c>
      <c r="C6437" s="66" t="str">
        <f>IF('Twenty-Sixth'!C190="", "",'Twenty-Sixth'!C190)</f>
        <v/>
      </c>
      <c r="D6437" s="66" t="str">
        <f>IF('Twenty-Sixth'!D190="", "",'Twenty-Sixth'!D190)</f>
        <v/>
      </c>
      <c r="E6437" s="66" t="str">
        <f>IF('Twenty-Sixth'!E190="", "",'Twenty-Sixth'!E190)</f>
        <v/>
      </c>
      <c r="F6437" s="66" t="str">
        <f>IF('Twenty-Sixth'!F190="", "",'Twenty-Sixth'!F190)</f>
        <v/>
      </c>
      <c r="G6437" s="66" t="str">
        <f>IF('Twenty-Sixth'!G190="", "",'Twenty-Sixth'!G190)</f>
        <v/>
      </c>
      <c r="H6437" s="66" t="str">
        <f>IF('Twenty-Sixth'!H190="", "",'Twenty-Sixth'!H190)</f>
        <v/>
      </c>
      <c r="I6437" s="66" t="str">
        <f>IF('Twenty-Sixth'!I190="", "",'Twenty-Sixth'!I190)</f>
        <v/>
      </c>
      <c r="J6437" s="66" t="str">
        <f>IF('Twenty-Sixth'!J190="", "",'Twenty-Sixth'!J190)</f>
        <v/>
      </c>
      <c r="K6437" s="86" t="str">
        <f>IF('Twenty-Sixth'!K190="", "",'Twenty-Sixth'!K190)</f>
        <v/>
      </c>
      <c r="M6437" s="67" t="str">
        <f t="shared" si="305"/>
        <v/>
      </c>
      <c r="N6437" s="76" t="str">
        <f t="shared" si="306"/>
        <v/>
      </c>
      <c r="O6437" s="33">
        <f t="shared" si="307"/>
        <v>0</v>
      </c>
    </row>
    <row r="6438" spans="1:15" x14ac:dyDescent="0.25">
      <c r="A6438" s="64" t="s">
        <v>210</v>
      </c>
      <c r="B6438" s="79" t="str">
        <f>IF('Twenty-Sixth'!B191="", "",'Twenty-Sixth'!B191)</f>
        <v/>
      </c>
      <c r="C6438" s="66" t="str">
        <f>IF('Twenty-Sixth'!C191="", "",'Twenty-Sixth'!C191)</f>
        <v/>
      </c>
      <c r="D6438" s="66" t="str">
        <f>IF('Twenty-Sixth'!D191="", "",'Twenty-Sixth'!D191)</f>
        <v/>
      </c>
      <c r="E6438" s="66" t="str">
        <f>IF('Twenty-Sixth'!E191="", "",'Twenty-Sixth'!E191)</f>
        <v/>
      </c>
      <c r="F6438" s="66" t="str">
        <f>IF('Twenty-Sixth'!F191="", "",'Twenty-Sixth'!F191)</f>
        <v/>
      </c>
      <c r="G6438" s="66" t="str">
        <f>IF('Twenty-Sixth'!G191="", "",'Twenty-Sixth'!G191)</f>
        <v/>
      </c>
      <c r="H6438" s="66" t="str">
        <f>IF('Twenty-Sixth'!H191="", "",'Twenty-Sixth'!H191)</f>
        <v/>
      </c>
      <c r="I6438" s="66" t="str">
        <f>IF('Twenty-Sixth'!I191="", "",'Twenty-Sixth'!I191)</f>
        <v/>
      </c>
      <c r="J6438" s="66" t="str">
        <f>IF('Twenty-Sixth'!J191="", "",'Twenty-Sixth'!J191)</f>
        <v/>
      </c>
      <c r="K6438" s="86" t="str">
        <f>IF('Twenty-Sixth'!K191="", "",'Twenty-Sixth'!K191)</f>
        <v/>
      </c>
      <c r="M6438" s="67" t="str">
        <f t="shared" si="305"/>
        <v/>
      </c>
      <c r="N6438" s="76" t="str">
        <f t="shared" si="306"/>
        <v/>
      </c>
      <c r="O6438" s="33">
        <f t="shared" si="307"/>
        <v>0</v>
      </c>
    </row>
    <row r="6439" spans="1:15" x14ac:dyDescent="0.25">
      <c r="A6439" s="64" t="s">
        <v>210</v>
      </c>
      <c r="B6439" s="79" t="str">
        <f>IF('Twenty-Sixth'!B192="", "",'Twenty-Sixth'!B192)</f>
        <v/>
      </c>
      <c r="C6439" s="66" t="str">
        <f>IF('Twenty-Sixth'!C192="", "",'Twenty-Sixth'!C192)</f>
        <v/>
      </c>
      <c r="D6439" s="66" t="str">
        <f>IF('Twenty-Sixth'!D192="", "",'Twenty-Sixth'!D192)</f>
        <v/>
      </c>
      <c r="E6439" s="66" t="str">
        <f>IF('Twenty-Sixth'!E192="", "",'Twenty-Sixth'!E192)</f>
        <v/>
      </c>
      <c r="F6439" s="66" t="str">
        <f>IF('Twenty-Sixth'!F192="", "",'Twenty-Sixth'!F192)</f>
        <v/>
      </c>
      <c r="G6439" s="66" t="str">
        <f>IF('Twenty-Sixth'!G192="", "",'Twenty-Sixth'!G192)</f>
        <v/>
      </c>
      <c r="H6439" s="66" t="str">
        <f>IF('Twenty-Sixth'!H192="", "",'Twenty-Sixth'!H192)</f>
        <v/>
      </c>
      <c r="I6439" s="66" t="str">
        <f>IF('Twenty-Sixth'!I192="", "",'Twenty-Sixth'!I192)</f>
        <v/>
      </c>
      <c r="J6439" s="66" t="str">
        <f>IF('Twenty-Sixth'!J192="", "",'Twenty-Sixth'!J192)</f>
        <v/>
      </c>
      <c r="K6439" s="86" t="str">
        <f>IF('Twenty-Sixth'!K192="", "",'Twenty-Sixth'!K192)</f>
        <v/>
      </c>
      <c r="M6439" s="67" t="str">
        <f t="shared" si="305"/>
        <v/>
      </c>
      <c r="N6439" s="76" t="str">
        <f t="shared" si="306"/>
        <v/>
      </c>
      <c r="O6439" s="33">
        <f t="shared" si="307"/>
        <v>0</v>
      </c>
    </row>
    <row r="6440" spans="1:15" x14ac:dyDescent="0.25">
      <c r="A6440" s="64" t="s">
        <v>210</v>
      </c>
      <c r="B6440" s="79" t="str">
        <f>IF('Twenty-Sixth'!B193="", "",'Twenty-Sixth'!B193)</f>
        <v/>
      </c>
      <c r="C6440" s="66" t="str">
        <f>IF('Twenty-Sixth'!C193="", "",'Twenty-Sixth'!C193)</f>
        <v/>
      </c>
      <c r="D6440" s="66" t="str">
        <f>IF('Twenty-Sixth'!D193="", "",'Twenty-Sixth'!D193)</f>
        <v/>
      </c>
      <c r="E6440" s="66" t="str">
        <f>IF('Twenty-Sixth'!E193="", "",'Twenty-Sixth'!E193)</f>
        <v/>
      </c>
      <c r="F6440" s="66" t="str">
        <f>IF('Twenty-Sixth'!F193="", "",'Twenty-Sixth'!F193)</f>
        <v/>
      </c>
      <c r="G6440" s="66" t="str">
        <f>IF('Twenty-Sixth'!G193="", "",'Twenty-Sixth'!G193)</f>
        <v/>
      </c>
      <c r="H6440" s="66" t="str">
        <f>IF('Twenty-Sixth'!H193="", "",'Twenty-Sixth'!H193)</f>
        <v/>
      </c>
      <c r="I6440" s="66" t="str">
        <f>IF('Twenty-Sixth'!I193="", "",'Twenty-Sixth'!I193)</f>
        <v/>
      </c>
      <c r="J6440" s="66" t="str">
        <f>IF('Twenty-Sixth'!J193="", "",'Twenty-Sixth'!J193)</f>
        <v/>
      </c>
      <c r="K6440" s="86" t="str">
        <f>IF('Twenty-Sixth'!K193="", "",'Twenty-Sixth'!K193)</f>
        <v/>
      </c>
      <c r="M6440" s="67" t="str">
        <f t="shared" si="305"/>
        <v/>
      </c>
      <c r="N6440" s="76" t="str">
        <f t="shared" si="306"/>
        <v/>
      </c>
      <c r="O6440" s="33">
        <f t="shared" si="307"/>
        <v>0</v>
      </c>
    </row>
    <row r="6441" spans="1:15" x14ac:dyDescent="0.25">
      <c r="A6441" s="64" t="s">
        <v>210</v>
      </c>
      <c r="B6441" s="79" t="str">
        <f>IF('Twenty-Sixth'!B194="", "",'Twenty-Sixth'!B194)</f>
        <v/>
      </c>
      <c r="C6441" s="66" t="str">
        <f>IF('Twenty-Sixth'!C194="", "",'Twenty-Sixth'!C194)</f>
        <v/>
      </c>
      <c r="D6441" s="66" t="str">
        <f>IF('Twenty-Sixth'!D194="", "",'Twenty-Sixth'!D194)</f>
        <v/>
      </c>
      <c r="E6441" s="66" t="str">
        <f>IF('Twenty-Sixth'!E194="", "",'Twenty-Sixth'!E194)</f>
        <v/>
      </c>
      <c r="F6441" s="66" t="str">
        <f>IF('Twenty-Sixth'!F194="", "",'Twenty-Sixth'!F194)</f>
        <v/>
      </c>
      <c r="G6441" s="66" t="str">
        <f>IF('Twenty-Sixth'!G194="", "",'Twenty-Sixth'!G194)</f>
        <v/>
      </c>
      <c r="H6441" s="66" t="str">
        <f>IF('Twenty-Sixth'!H194="", "",'Twenty-Sixth'!H194)</f>
        <v/>
      </c>
      <c r="I6441" s="66" t="str">
        <f>IF('Twenty-Sixth'!I194="", "",'Twenty-Sixth'!I194)</f>
        <v/>
      </c>
      <c r="J6441" s="66" t="str">
        <f>IF('Twenty-Sixth'!J194="", "",'Twenty-Sixth'!J194)</f>
        <v/>
      </c>
      <c r="K6441" s="86" t="str">
        <f>IF('Twenty-Sixth'!K194="", "",'Twenty-Sixth'!K194)</f>
        <v/>
      </c>
      <c r="M6441" s="67" t="str">
        <f t="shared" si="305"/>
        <v/>
      </c>
      <c r="N6441" s="76" t="str">
        <f t="shared" si="306"/>
        <v/>
      </c>
      <c r="O6441" s="33">
        <f t="shared" si="307"/>
        <v>0</v>
      </c>
    </row>
    <row r="6442" spans="1:15" x14ac:dyDescent="0.25">
      <c r="A6442" s="64" t="s">
        <v>210</v>
      </c>
      <c r="B6442" s="79" t="str">
        <f>IF('Twenty-Sixth'!B195="", "",'Twenty-Sixth'!B195)</f>
        <v/>
      </c>
      <c r="C6442" s="66" t="str">
        <f>IF('Twenty-Sixth'!C195="", "",'Twenty-Sixth'!C195)</f>
        <v/>
      </c>
      <c r="D6442" s="66" t="str">
        <f>IF('Twenty-Sixth'!D195="", "",'Twenty-Sixth'!D195)</f>
        <v/>
      </c>
      <c r="E6442" s="66" t="str">
        <f>IF('Twenty-Sixth'!E195="", "",'Twenty-Sixth'!E195)</f>
        <v/>
      </c>
      <c r="F6442" s="66" t="str">
        <f>IF('Twenty-Sixth'!F195="", "",'Twenty-Sixth'!F195)</f>
        <v/>
      </c>
      <c r="G6442" s="66" t="str">
        <f>IF('Twenty-Sixth'!G195="", "",'Twenty-Sixth'!G195)</f>
        <v/>
      </c>
      <c r="H6442" s="66" t="str">
        <f>IF('Twenty-Sixth'!H195="", "",'Twenty-Sixth'!H195)</f>
        <v/>
      </c>
      <c r="I6442" s="66" t="str">
        <f>IF('Twenty-Sixth'!I195="", "",'Twenty-Sixth'!I195)</f>
        <v/>
      </c>
      <c r="J6442" s="66" t="str">
        <f>IF('Twenty-Sixth'!J195="", "",'Twenty-Sixth'!J195)</f>
        <v/>
      </c>
      <c r="K6442" s="86" t="str">
        <f>IF('Twenty-Sixth'!K195="", "",'Twenty-Sixth'!K195)</f>
        <v/>
      </c>
      <c r="M6442" s="67" t="str">
        <f t="shared" si="305"/>
        <v/>
      </c>
      <c r="N6442" s="76" t="str">
        <f t="shared" si="306"/>
        <v/>
      </c>
      <c r="O6442" s="33">
        <f t="shared" si="307"/>
        <v>0</v>
      </c>
    </row>
    <row r="6443" spans="1:15" x14ac:dyDescent="0.25">
      <c r="A6443" s="64" t="s">
        <v>210</v>
      </c>
      <c r="B6443" s="79" t="str">
        <f>IF('Twenty-Sixth'!B196="", "",'Twenty-Sixth'!B196)</f>
        <v/>
      </c>
      <c r="C6443" s="66" t="str">
        <f>IF('Twenty-Sixth'!C196="", "",'Twenty-Sixth'!C196)</f>
        <v/>
      </c>
      <c r="D6443" s="66" t="str">
        <f>IF('Twenty-Sixth'!D196="", "",'Twenty-Sixth'!D196)</f>
        <v/>
      </c>
      <c r="E6443" s="66" t="str">
        <f>IF('Twenty-Sixth'!E196="", "",'Twenty-Sixth'!E196)</f>
        <v/>
      </c>
      <c r="F6443" s="66" t="str">
        <f>IF('Twenty-Sixth'!F196="", "",'Twenty-Sixth'!F196)</f>
        <v/>
      </c>
      <c r="G6443" s="66" t="str">
        <f>IF('Twenty-Sixth'!G196="", "",'Twenty-Sixth'!G196)</f>
        <v/>
      </c>
      <c r="H6443" s="66" t="str">
        <f>IF('Twenty-Sixth'!H196="", "",'Twenty-Sixth'!H196)</f>
        <v/>
      </c>
      <c r="I6443" s="66" t="str">
        <f>IF('Twenty-Sixth'!I196="", "",'Twenty-Sixth'!I196)</f>
        <v/>
      </c>
      <c r="J6443" s="66" t="str">
        <f>IF('Twenty-Sixth'!J196="", "",'Twenty-Sixth'!J196)</f>
        <v/>
      </c>
      <c r="K6443" s="86" t="str">
        <f>IF('Twenty-Sixth'!K196="", "",'Twenty-Sixth'!K196)</f>
        <v/>
      </c>
      <c r="M6443" s="67" t="str">
        <f t="shared" si="305"/>
        <v/>
      </c>
      <c r="N6443" s="76" t="str">
        <f t="shared" si="306"/>
        <v/>
      </c>
      <c r="O6443" s="33">
        <f t="shared" si="307"/>
        <v>0</v>
      </c>
    </row>
    <row r="6444" spans="1:15" x14ac:dyDescent="0.25">
      <c r="A6444" s="64" t="s">
        <v>210</v>
      </c>
      <c r="B6444" s="79" t="str">
        <f>IF('Twenty-Sixth'!B197="", "",'Twenty-Sixth'!B197)</f>
        <v/>
      </c>
      <c r="C6444" s="66" t="str">
        <f>IF('Twenty-Sixth'!C197="", "",'Twenty-Sixth'!C197)</f>
        <v/>
      </c>
      <c r="D6444" s="66" t="str">
        <f>IF('Twenty-Sixth'!D197="", "",'Twenty-Sixth'!D197)</f>
        <v/>
      </c>
      <c r="E6444" s="66" t="str">
        <f>IF('Twenty-Sixth'!E197="", "",'Twenty-Sixth'!E197)</f>
        <v/>
      </c>
      <c r="F6444" s="66" t="str">
        <f>IF('Twenty-Sixth'!F197="", "",'Twenty-Sixth'!F197)</f>
        <v/>
      </c>
      <c r="G6444" s="66" t="str">
        <f>IF('Twenty-Sixth'!G197="", "",'Twenty-Sixth'!G197)</f>
        <v/>
      </c>
      <c r="H6444" s="66" t="str">
        <f>IF('Twenty-Sixth'!H197="", "",'Twenty-Sixth'!H197)</f>
        <v/>
      </c>
      <c r="I6444" s="66" t="str">
        <f>IF('Twenty-Sixth'!I197="", "",'Twenty-Sixth'!I197)</f>
        <v/>
      </c>
      <c r="J6444" s="66" t="str">
        <f>IF('Twenty-Sixth'!J197="", "",'Twenty-Sixth'!J197)</f>
        <v/>
      </c>
      <c r="K6444" s="86" t="str">
        <f>IF('Twenty-Sixth'!K197="", "",'Twenty-Sixth'!K197)</f>
        <v/>
      </c>
      <c r="M6444" s="67" t="str">
        <f t="shared" si="305"/>
        <v/>
      </c>
      <c r="N6444" s="76" t="str">
        <f t="shared" si="306"/>
        <v/>
      </c>
      <c r="O6444" s="33">
        <f t="shared" si="307"/>
        <v>0</v>
      </c>
    </row>
    <row r="6445" spans="1:15" x14ac:dyDescent="0.25">
      <c r="A6445" s="64" t="s">
        <v>210</v>
      </c>
      <c r="B6445" s="79" t="str">
        <f>IF('Twenty-Sixth'!B198="", "",'Twenty-Sixth'!B198)</f>
        <v/>
      </c>
      <c r="C6445" s="66" t="str">
        <f>IF('Twenty-Sixth'!C198="", "",'Twenty-Sixth'!C198)</f>
        <v/>
      </c>
      <c r="D6445" s="66" t="str">
        <f>IF('Twenty-Sixth'!D198="", "",'Twenty-Sixth'!D198)</f>
        <v/>
      </c>
      <c r="E6445" s="66" t="str">
        <f>IF('Twenty-Sixth'!E198="", "",'Twenty-Sixth'!E198)</f>
        <v/>
      </c>
      <c r="F6445" s="66" t="str">
        <f>IF('Twenty-Sixth'!F198="", "",'Twenty-Sixth'!F198)</f>
        <v/>
      </c>
      <c r="G6445" s="66" t="str">
        <f>IF('Twenty-Sixth'!G198="", "",'Twenty-Sixth'!G198)</f>
        <v/>
      </c>
      <c r="H6445" s="66" t="str">
        <f>IF('Twenty-Sixth'!H198="", "",'Twenty-Sixth'!H198)</f>
        <v/>
      </c>
      <c r="I6445" s="66" t="str">
        <f>IF('Twenty-Sixth'!I198="", "",'Twenty-Sixth'!I198)</f>
        <v/>
      </c>
      <c r="J6445" s="66" t="str">
        <f>IF('Twenty-Sixth'!J198="", "",'Twenty-Sixth'!J198)</f>
        <v/>
      </c>
      <c r="K6445" s="86" t="str">
        <f>IF('Twenty-Sixth'!K198="", "",'Twenty-Sixth'!K198)</f>
        <v/>
      </c>
      <c r="M6445" s="67" t="str">
        <f t="shared" si="305"/>
        <v/>
      </c>
      <c r="N6445" s="76" t="str">
        <f t="shared" si="306"/>
        <v/>
      </c>
      <c r="O6445" s="33">
        <f t="shared" si="307"/>
        <v>0</v>
      </c>
    </row>
    <row r="6446" spans="1:15" x14ac:dyDescent="0.25">
      <c r="A6446" s="64" t="s">
        <v>210</v>
      </c>
      <c r="B6446" s="79" t="str">
        <f>IF('Twenty-Sixth'!B199="", "",'Twenty-Sixth'!B199)</f>
        <v/>
      </c>
      <c r="C6446" s="66" t="str">
        <f>IF('Twenty-Sixth'!C199="", "",'Twenty-Sixth'!C199)</f>
        <v/>
      </c>
      <c r="D6446" s="66" t="str">
        <f>IF('Twenty-Sixth'!D199="", "",'Twenty-Sixth'!D199)</f>
        <v/>
      </c>
      <c r="E6446" s="66" t="str">
        <f>IF('Twenty-Sixth'!E199="", "",'Twenty-Sixth'!E199)</f>
        <v/>
      </c>
      <c r="F6446" s="66" t="str">
        <f>IF('Twenty-Sixth'!F199="", "",'Twenty-Sixth'!F199)</f>
        <v/>
      </c>
      <c r="G6446" s="66" t="str">
        <f>IF('Twenty-Sixth'!G199="", "",'Twenty-Sixth'!G199)</f>
        <v/>
      </c>
      <c r="H6446" s="66" t="str">
        <f>IF('Twenty-Sixth'!H199="", "",'Twenty-Sixth'!H199)</f>
        <v/>
      </c>
      <c r="I6446" s="66" t="str">
        <f>IF('Twenty-Sixth'!I199="", "",'Twenty-Sixth'!I199)</f>
        <v/>
      </c>
      <c r="J6446" s="66" t="str">
        <f>IF('Twenty-Sixth'!J199="", "",'Twenty-Sixth'!J199)</f>
        <v/>
      </c>
      <c r="K6446" s="86" t="str">
        <f>IF('Twenty-Sixth'!K199="", "",'Twenty-Sixth'!K199)</f>
        <v/>
      </c>
      <c r="M6446" s="67" t="str">
        <f t="shared" si="305"/>
        <v/>
      </c>
      <c r="N6446" s="76" t="str">
        <f t="shared" si="306"/>
        <v/>
      </c>
      <c r="O6446" s="33">
        <f t="shared" si="307"/>
        <v>0</v>
      </c>
    </row>
    <row r="6447" spans="1:15" x14ac:dyDescent="0.25">
      <c r="A6447" s="64" t="s">
        <v>210</v>
      </c>
      <c r="B6447" s="79" t="str">
        <f>IF('Twenty-Sixth'!B200="", "",'Twenty-Sixth'!B200)</f>
        <v/>
      </c>
      <c r="C6447" s="66" t="str">
        <f>IF('Twenty-Sixth'!C200="", "",'Twenty-Sixth'!C200)</f>
        <v/>
      </c>
      <c r="D6447" s="66" t="str">
        <f>IF('Twenty-Sixth'!D200="", "",'Twenty-Sixth'!D200)</f>
        <v/>
      </c>
      <c r="E6447" s="66" t="str">
        <f>IF('Twenty-Sixth'!E200="", "",'Twenty-Sixth'!E200)</f>
        <v/>
      </c>
      <c r="F6447" s="66" t="str">
        <f>IF('Twenty-Sixth'!F200="", "",'Twenty-Sixth'!F200)</f>
        <v/>
      </c>
      <c r="G6447" s="66" t="str">
        <f>IF('Twenty-Sixth'!G200="", "",'Twenty-Sixth'!G200)</f>
        <v/>
      </c>
      <c r="H6447" s="66" t="str">
        <f>IF('Twenty-Sixth'!H200="", "",'Twenty-Sixth'!H200)</f>
        <v/>
      </c>
      <c r="I6447" s="66" t="str">
        <f>IF('Twenty-Sixth'!I200="", "",'Twenty-Sixth'!I200)</f>
        <v/>
      </c>
      <c r="J6447" s="66" t="str">
        <f>IF('Twenty-Sixth'!J200="", "",'Twenty-Sixth'!J200)</f>
        <v/>
      </c>
      <c r="K6447" s="86" t="str">
        <f>IF('Twenty-Sixth'!K200="", "",'Twenty-Sixth'!K200)</f>
        <v/>
      </c>
      <c r="M6447" s="67" t="str">
        <f t="shared" si="305"/>
        <v/>
      </c>
      <c r="N6447" s="76" t="str">
        <f t="shared" si="306"/>
        <v/>
      </c>
      <c r="O6447" s="33">
        <f t="shared" si="307"/>
        <v>0</v>
      </c>
    </row>
    <row r="6448" spans="1:15" x14ac:dyDescent="0.25">
      <c r="A6448" s="64" t="s">
        <v>210</v>
      </c>
      <c r="B6448" s="79" t="str">
        <f>IF('Twenty-Sixth'!B201="", "",'Twenty-Sixth'!B201)</f>
        <v/>
      </c>
      <c r="C6448" s="66" t="str">
        <f>IF('Twenty-Sixth'!C201="", "",'Twenty-Sixth'!C201)</f>
        <v/>
      </c>
      <c r="D6448" s="66" t="str">
        <f>IF('Twenty-Sixth'!D201="", "",'Twenty-Sixth'!D201)</f>
        <v/>
      </c>
      <c r="E6448" s="66" t="str">
        <f>IF('Twenty-Sixth'!E201="", "",'Twenty-Sixth'!E201)</f>
        <v/>
      </c>
      <c r="F6448" s="66" t="str">
        <f>IF('Twenty-Sixth'!F201="", "",'Twenty-Sixth'!F201)</f>
        <v/>
      </c>
      <c r="G6448" s="66" t="str">
        <f>IF('Twenty-Sixth'!G201="", "",'Twenty-Sixth'!G201)</f>
        <v/>
      </c>
      <c r="H6448" s="66" t="str">
        <f>IF('Twenty-Sixth'!H201="", "",'Twenty-Sixth'!H201)</f>
        <v/>
      </c>
      <c r="I6448" s="66" t="str">
        <f>IF('Twenty-Sixth'!I201="", "",'Twenty-Sixth'!I201)</f>
        <v/>
      </c>
      <c r="J6448" s="66" t="str">
        <f>IF('Twenty-Sixth'!J201="", "",'Twenty-Sixth'!J201)</f>
        <v/>
      </c>
      <c r="K6448" s="86" t="str">
        <f>IF('Twenty-Sixth'!K201="", "",'Twenty-Sixth'!K201)</f>
        <v/>
      </c>
      <c r="M6448" s="67" t="str">
        <f t="shared" si="305"/>
        <v/>
      </c>
      <c r="N6448" s="76" t="str">
        <f t="shared" si="306"/>
        <v/>
      </c>
      <c r="O6448" s="33">
        <f t="shared" si="307"/>
        <v>0</v>
      </c>
    </row>
    <row r="6449" spans="1:15" x14ac:dyDescent="0.25">
      <c r="A6449" s="64" t="s">
        <v>210</v>
      </c>
      <c r="B6449" s="79" t="str">
        <f>IF('Twenty-Sixth'!B202="", "",'Twenty-Sixth'!B202)</f>
        <v/>
      </c>
      <c r="C6449" s="66" t="str">
        <f>IF('Twenty-Sixth'!C202="", "",'Twenty-Sixth'!C202)</f>
        <v/>
      </c>
      <c r="D6449" s="66" t="str">
        <f>IF('Twenty-Sixth'!D202="", "",'Twenty-Sixth'!D202)</f>
        <v/>
      </c>
      <c r="E6449" s="66" t="str">
        <f>IF('Twenty-Sixth'!E202="", "",'Twenty-Sixth'!E202)</f>
        <v/>
      </c>
      <c r="F6449" s="66" t="str">
        <f>IF('Twenty-Sixth'!F202="", "",'Twenty-Sixth'!F202)</f>
        <v/>
      </c>
      <c r="G6449" s="66" t="str">
        <f>IF('Twenty-Sixth'!G202="", "",'Twenty-Sixth'!G202)</f>
        <v/>
      </c>
      <c r="H6449" s="66" t="str">
        <f>IF('Twenty-Sixth'!H202="", "",'Twenty-Sixth'!H202)</f>
        <v/>
      </c>
      <c r="I6449" s="66" t="str">
        <f>IF('Twenty-Sixth'!I202="", "",'Twenty-Sixth'!I202)</f>
        <v/>
      </c>
      <c r="J6449" s="66" t="str">
        <f>IF('Twenty-Sixth'!J202="", "",'Twenty-Sixth'!J202)</f>
        <v/>
      </c>
      <c r="K6449" s="86" t="str">
        <f>IF('Twenty-Sixth'!K202="", "",'Twenty-Sixth'!K202)</f>
        <v/>
      </c>
      <c r="M6449" s="67" t="str">
        <f t="shared" si="305"/>
        <v/>
      </c>
      <c r="N6449" s="76" t="str">
        <f t="shared" si="306"/>
        <v/>
      </c>
      <c r="O6449" s="33">
        <f t="shared" si="307"/>
        <v>0</v>
      </c>
    </row>
    <row r="6450" spans="1:15" x14ac:dyDescent="0.25">
      <c r="A6450" s="64" t="s">
        <v>210</v>
      </c>
      <c r="B6450" s="79" t="str">
        <f>IF('Twenty-Sixth'!B203="", "",'Twenty-Sixth'!B203)</f>
        <v/>
      </c>
      <c r="C6450" s="66" t="str">
        <f>IF('Twenty-Sixth'!C203="", "",'Twenty-Sixth'!C203)</f>
        <v/>
      </c>
      <c r="D6450" s="66" t="str">
        <f>IF('Twenty-Sixth'!D203="", "",'Twenty-Sixth'!D203)</f>
        <v/>
      </c>
      <c r="E6450" s="66" t="str">
        <f>IF('Twenty-Sixth'!E203="", "",'Twenty-Sixth'!E203)</f>
        <v/>
      </c>
      <c r="F6450" s="66" t="str">
        <f>IF('Twenty-Sixth'!F203="", "",'Twenty-Sixth'!F203)</f>
        <v/>
      </c>
      <c r="G6450" s="66" t="str">
        <f>IF('Twenty-Sixth'!G203="", "",'Twenty-Sixth'!G203)</f>
        <v/>
      </c>
      <c r="H6450" s="66" t="str">
        <f>IF('Twenty-Sixth'!H203="", "",'Twenty-Sixth'!H203)</f>
        <v/>
      </c>
      <c r="I6450" s="66" t="str">
        <f>IF('Twenty-Sixth'!I203="", "",'Twenty-Sixth'!I203)</f>
        <v/>
      </c>
      <c r="J6450" s="66" t="str">
        <f>IF('Twenty-Sixth'!J203="", "",'Twenty-Sixth'!J203)</f>
        <v/>
      </c>
      <c r="K6450" s="86" t="str">
        <f>IF('Twenty-Sixth'!K203="", "",'Twenty-Sixth'!K203)</f>
        <v/>
      </c>
      <c r="M6450" s="67" t="str">
        <f t="shared" si="305"/>
        <v/>
      </c>
      <c r="N6450" s="76" t="str">
        <f t="shared" si="306"/>
        <v/>
      </c>
      <c r="O6450" s="33">
        <f t="shared" si="307"/>
        <v>0</v>
      </c>
    </row>
    <row r="6451" spans="1:15" x14ac:dyDescent="0.25">
      <c r="A6451" s="64" t="s">
        <v>210</v>
      </c>
      <c r="B6451" s="79" t="str">
        <f>IF('Twenty-Sixth'!B204="", "",'Twenty-Sixth'!B204)</f>
        <v/>
      </c>
      <c r="C6451" s="66" t="str">
        <f>IF('Twenty-Sixth'!C204="", "",'Twenty-Sixth'!C204)</f>
        <v/>
      </c>
      <c r="D6451" s="66" t="str">
        <f>IF('Twenty-Sixth'!D204="", "",'Twenty-Sixth'!D204)</f>
        <v/>
      </c>
      <c r="E6451" s="66" t="str">
        <f>IF('Twenty-Sixth'!E204="", "",'Twenty-Sixth'!E204)</f>
        <v/>
      </c>
      <c r="F6451" s="66" t="str">
        <f>IF('Twenty-Sixth'!F204="", "",'Twenty-Sixth'!F204)</f>
        <v/>
      </c>
      <c r="G6451" s="66" t="str">
        <f>IF('Twenty-Sixth'!G204="", "",'Twenty-Sixth'!G204)</f>
        <v/>
      </c>
      <c r="H6451" s="66" t="str">
        <f>IF('Twenty-Sixth'!H204="", "",'Twenty-Sixth'!H204)</f>
        <v/>
      </c>
      <c r="I6451" s="66" t="str">
        <f>IF('Twenty-Sixth'!I204="", "",'Twenty-Sixth'!I204)</f>
        <v/>
      </c>
      <c r="J6451" s="66" t="str">
        <f>IF('Twenty-Sixth'!J204="", "",'Twenty-Sixth'!J204)</f>
        <v/>
      </c>
      <c r="K6451" s="86" t="str">
        <f>IF('Twenty-Sixth'!K204="", "",'Twenty-Sixth'!K204)</f>
        <v/>
      </c>
      <c r="M6451" s="67" t="str">
        <f t="shared" si="305"/>
        <v/>
      </c>
      <c r="N6451" s="76" t="str">
        <f t="shared" si="306"/>
        <v/>
      </c>
      <c r="O6451" s="33">
        <f t="shared" si="307"/>
        <v>0</v>
      </c>
    </row>
    <row r="6452" spans="1:15" x14ac:dyDescent="0.25">
      <c r="A6452" s="64" t="s">
        <v>210</v>
      </c>
      <c r="B6452" s="79" t="str">
        <f>IF('Twenty-Sixth'!B205="", "",'Twenty-Sixth'!B205)</f>
        <v/>
      </c>
      <c r="C6452" s="66" t="str">
        <f>IF('Twenty-Sixth'!C205="", "",'Twenty-Sixth'!C205)</f>
        <v/>
      </c>
      <c r="D6452" s="66" t="str">
        <f>IF('Twenty-Sixth'!D205="", "",'Twenty-Sixth'!D205)</f>
        <v/>
      </c>
      <c r="E6452" s="66" t="str">
        <f>IF('Twenty-Sixth'!E205="", "",'Twenty-Sixth'!E205)</f>
        <v/>
      </c>
      <c r="F6452" s="66" t="str">
        <f>IF('Twenty-Sixth'!F205="", "",'Twenty-Sixth'!F205)</f>
        <v/>
      </c>
      <c r="G6452" s="66" t="str">
        <f>IF('Twenty-Sixth'!G205="", "",'Twenty-Sixth'!G205)</f>
        <v/>
      </c>
      <c r="H6452" s="66" t="str">
        <f>IF('Twenty-Sixth'!H205="", "",'Twenty-Sixth'!H205)</f>
        <v/>
      </c>
      <c r="I6452" s="66" t="str">
        <f>IF('Twenty-Sixth'!I205="", "",'Twenty-Sixth'!I205)</f>
        <v/>
      </c>
      <c r="J6452" s="66" t="str">
        <f>IF('Twenty-Sixth'!J205="", "",'Twenty-Sixth'!J205)</f>
        <v/>
      </c>
      <c r="K6452" s="86" t="str">
        <f>IF('Twenty-Sixth'!K205="", "",'Twenty-Sixth'!K205)</f>
        <v/>
      </c>
      <c r="M6452" s="67" t="str">
        <f t="shared" si="305"/>
        <v/>
      </c>
      <c r="N6452" s="76" t="str">
        <f t="shared" si="306"/>
        <v/>
      </c>
      <c r="O6452" s="33">
        <f t="shared" si="307"/>
        <v>0</v>
      </c>
    </row>
    <row r="6453" spans="1:15" x14ac:dyDescent="0.25">
      <c r="A6453" s="64" t="s">
        <v>210</v>
      </c>
      <c r="B6453" s="79" t="str">
        <f>IF('Twenty-Sixth'!B206="", "",'Twenty-Sixth'!B206)</f>
        <v/>
      </c>
      <c r="C6453" s="66" t="str">
        <f>IF('Twenty-Sixth'!C206="", "",'Twenty-Sixth'!C206)</f>
        <v/>
      </c>
      <c r="D6453" s="66" t="str">
        <f>IF('Twenty-Sixth'!D206="", "",'Twenty-Sixth'!D206)</f>
        <v/>
      </c>
      <c r="E6453" s="66" t="str">
        <f>IF('Twenty-Sixth'!E206="", "",'Twenty-Sixth'!E206)</f>
        <v/>
      </c>
      <c r="F6453" s="66" t="str">
        <f>IF('Twenty-Sixth'!F206="", "",'Twenty-Sixth'!F206)</f>
        <v/>
      </c>
      <c r="G6453" s="66" t="str">
        <f>IF('Twenty-Sixth'!G206="", "",'Twenty-Sixth'!G206)</f>
        <v/>
      </c>
      <c r="H6453" s="66" t="str">
        <f>IF('Twenty-Sixth'!H206="", "",'Twenty-Sixth'!H206)</f>
        <v/>
      </c>
      <c r="I6453" s="66" t="str">
        <f>IF('Twenty-Sixth'!I206="", "",'Twenty-Sixth'!I206)</f>
        <v/>
      </c>
      <c r="J6453" s="66" t="str">
        <f>IF('Twenty-Sixth'!J206="", "",'Twenty-Sixth'!J206)</f>
        <v/>
      </c>
      <c r="K6453" s="86" t="str">
        <f>IF('Twenty-Sixth'!K206="", "",'Twenty-Sixth'!K206)</f>
        <v/>
      </c>
      <c r="M6453" s="67" t="str">
        <f t="shared" si="305"/>
        <v/>
      </c>
      <c r="N6453" s="76" t="str">
        <f t="shared" si="306"/>
        <v/>
      </c>
      <c r="O6453" s="33">
        <f t="shared" si="307"/>
        <v>0</v>
      </c>
    </row>
    <row r="6454" spans="1:15" x14ac:dyDescent="0.25">
      <c r="A6454" s="64" t="s">
        <v>210</v>
      </c>
      <c r="B6454" s="79" t="str">
        <f>IF('Twenty-Sixth'!B207="", "",'Twenty-Sixth'!B207)</f>
        <v/>
      </c>
      <c r="C6454" s="66" t="str">
        <f>IF('Twenty-Sixth'!C207="", "",'Twenty-Sixth'!C207)</f>
        <v/>
      </c>
      <c r="D6454" s="66" t="str">
        <f>IF('Twenty-Sixth'!D207="", "",'Twenty-Sixth'!D207)</f>
        <v/>
      </c>
      <c r="E6454" s="66" t="str">
        <f>IF('Twenty-Sixth'!E207="", "",'Twenty-Sixth'!E207)</f>
        <v/>
      </c>
      <c r="F6454" s="66" t="str">
        <f>IF('Twenty-Sixth'!F207="", "",'Twenty-Sixth'!F207)</f>
        <v/>
      </c>
      <c r="G6454" s="66" t="str">
        <f>IF('Twenty-Sixth'!G207="", "",'Twenty-Sixth'!G207)</f>
        <v/>
      </c>
      <c r="H6454" s="66" t="str">
        <f>IF('Twenty-Sixth'!H207="", "",'Twenty-Sixth'!H207)</f>
        <v/>
      </c>
      <c r="I6454" s="66" t="str">
        <f>IF('Twenty-Sixth'!I207="", "",'Twenty-Sixth'!I207)</f>
        <v/>
      </c>
      <c r="J6454" s="66" t="str">
        <f>IF('Twenty-Sixth'!J207="", "",'Twenty-Sixth'!J207)</f>
        <v/>
      </c>
      <c r="K6454" s="86" t="str">
        <f>IF('Twenty-Sixth'!K207="", "",'Twenty-Sixth'!K207)</f>
        <v/>
      </c>
      <c r="M6454" s="67" t="str">
        <f t="shared" si="305"/>
        <v/>
      </c>
      <c r="N6454" s="76" t="str">
        <f t="shared" si="306"/>
        <v/>
      </c>
      <c r="O6454" s="33">
        <f t="shared" si="307"/>
        <v>0</v>
      </c>
    </row>
    <row r="6455" spans="1:15" x14ac:dyDescent="0.25">
      <c r="A6455" s="64" t="s">
        <v>210</v>
      </c>
      <c r="B6455" s="79" t="str">
        <f>IF('Twenty-Sixth'!B208="", "",'Twenty-Sixth'!B208)</f>
        <v/>
      </c>
      <c r="C6455" s="66" t="str">
        <f>IF('Twenty-Sixth'!C208="", "",'Twenty-Sixth'!C208)</f>
        <v/>
      </c>
      <c r="D6455" s="66" t="str">
        <f>IF('Twenty-Sixth'!D208="", "",'Twenty-Sixth'!D208)</f>
        <v/>
      </c>
      <c r="E6455" s="66" t="str">
        <f>IF('Twenty-Sixth'!E208="", "",'Twenty-Sixth'!E208)</f>
        <v/>
      </c>
      <c r="F6455" s="66" t="str">
        <f>IF('Twenty-Sixth'!F208="", "",'Twenty-Sixth'!F208)</f>
        <v/>
      </c>
      <c r="G6455" s="66" t="str">
        <f>IF('Twenty-Sixth'!G208="", "",'Twenty-Sixth'!G208)</f>
        <v/>
      </c>
      <c r="H6455" s="66" t="str">
        <f>IF('Twenty-Sixth'!H208="", "",'Twenty-Sixth'!H208)</f>
        <v/>
      </c>
      <c r="I6455" s="66" t="str">
        <f>IF('Twenty-Sixth'!I208="", "",'Twenty-Sixth'!I208)</f>
        <v/>
      </c>
      <c r="J6455" s="66" t="str">
        <f>IF('Twenty-Sixth'!J208="", "",'Twenty-Sixth'!J208)</f>
        <v/>
      </c>
      <c r="K6455" s="86" t="str">
        <f>IF('Twenty-Sixth'!K208="", "",'Twenty-Sixth'!K208)</f>
        <v/>
      </c>
      <c r="M6455" s="67" t="str">
        <f t="shared" si="305"/>
        <v/>
      </c>
      <c r="N6455" s="76" t="str">
        <f t="shared" si="306"/>
        <v/>
      </c>
      <c r="O6455" s="33">
        <f t="shared" si="307"/>
        <v>0</v>
      </c>
    </row>
    <row r="6456" spans="1:15" x14ac:dyDescent="0.25">
      <c r="A6456" s="64" t="s">
        <v>210</v>
      </c>
      <c r="B6456" s="79" t="str">
        <f>IF('Twenty-Sixth'!B209="", "",'Twenty-Sixth'!B209)</f>
        <v/>
      </c>
      <c r="C6456" s="66" t="str">
        <f>IF('Twenty-Sixth'!C209="", "",'Twenty-Sixth'!C209)</f>
        <v/>
      </c>
      <c r="D6456" s="66" t="str">
        <f>IF('Twenty-Sixth'!D209="", "",'Twenty-Sixth'!D209)</f>
        <v/>
      </c>
      <c r="E6456" s="66" t="str">
        <f>IF('Twenty-Sixth'!E209="", "",'Twenty-Sixth'!E209)</f>
        <v/>
      </c>
      <c r="F6456" s="66" t="str">
        <f>IF('Twenty-Sixth'!F209="", "",'Twenty-Sixth'!F209)</f>
        <v/>
      </c>
      <c r="G6456" s="66" t="str">
        <f>IF('Twenty-Sixth'!G209="", "",'Twenty-Sixth'!G209)</f>
        <v/>
      </c>
      <c r="H6456" s="66" t="str">
        <f>IF('Twenty-Sixth'!H209="", "",'Twenty-Sixth'!H209)</f>
        <v/>
      </c>
      <c r="I6456" s="66" t="str">
        <f>IF('Twenty-Sixth'!I209="", "",'Twenty-Sixth'!I209)</f>
        <v/>
      </c>
      <c r="J6456" s="66" t="str">
        <f>IF('Twenty-Sixth'!J209="", "",'Twenty-Sixth'!J209)</f>
        <v/>
      </c>
      <c r="K6456" s="86" t="str">
        <f>IF('Twenty-Sixth'!K209="", "",'Twenty-Sixth'!K209)</f>
        <v/>
      </c>
      <c r="M6456" s="67" t="str">
        <f t="shared" si="305"/>
        <v/>
      </c>
      <c r="N6456" s="76" t="str">
        <f t="shared" si="306"/>
        <v/>
      </c>
      <c r="O6456" s="33">
        <f t="shared" si="307"/>
        <v>0</v>
      </c>
    </row>
    <row r="6457" spans="1:15" x14ac:dyDescent="0.25">
      <c r="A6457" s="64" t="s">
        <v>210</v>
      </c>
      <c r="B6457" s="79" t="str">
        <f>IF('Twenty-Sixth'!B210="", "",'Twenty-Sixth'!B210)</f>
        <v/>
      </c>
      <c r="C6457" s="66" t="str">
        <f>IF('Twenty-Sixth'!C210="", "",'Twenty-Sixth'!C210)</f>
        <v/>
      </c>
      <c r="D6457" s="66" t="str">
        <f>IF('Twenty-Sixth'!D210="", "",'Twenty-Sixth'!D210)</f>
        <v/>
      </c>
      <c r="E6457" s="66" t="str">
        <f>IF('Twenty-Sixth'!E210="", "",'Twenty-Sixth'!E210)</f>
        <v/>
      </c>
      <c r="F6457" s="66" t="str">
        <f>IF('Twenty-Sixth'!F210="", "",'Twenty-Sixth'!F210)</f>
        <v/>
      </c>
      <c r="G6457" s="66" t="str">
        <f>IF('Twenty-Sixth'!G210="", "",'Twenty-Sixth'!G210)</f>
        <v/>
      </c>
      <c r="H6457" s="66" t="str">
        <f>IF('Twenty-Sixth'!H210="", "",'Twenty-Sixth'!H210)</f>
        <v/>
      </c>
      <c r="I6457" s="66" t="str">
        <f>IF('Twenty-Sixth'!I210="", "",'Twenty-Sixth'!I210)</f>
        <v/>
      </c>
      <c r="J6457" s="66" t="str">
        <f>IF('Twenty-Sixth'!J210="", "",'Twenty-Sixth'!J210)</f>
        <v/>
      </c>
      <c r="K6457" s="86" t="str">
        <f>IF('Twenty-Sixth'!K210="", "",'Twenty-Sixth'!K210)</f>
        <v/>
      </c>
      <c r="M6457" s="67" t="str">
        <f t="shared" si="305"/>
        <v/>
      </c>
      <c r="N6457" s="76" t="str">
        <f t="shared" si="306"/>
        <v/>
      </c>
      <c r="O6457" s="33">
        <f t="shared" si="307"/>
        <v>0</v>
      </c>
    </row>
    <row r="6458" spans="1:15" x14ac:dyDescent="0.25">
      <c r="A6458" s="64" t="s">
        <v>210</v>
      </c>
      <c r="B6458" s="79" t="str">
        <f>IF('Twenty-Sixth'!B211="", "",'Twenty-Sixth'!B211)</f>
        <v/>
      </c>
      <c r="C6458" s="66" t="str">
        <f>IF('Twenty-Sixth'!C211="", "",'Twenty-Sixth'!C211)</f>
        <v/>
      </c>
      <c r="D6458" s="66" t="str">
        <f>IF('Twenty-Sixth'!D211="", "",'Twenty-Sixth'!D211)</f>
        <v/>
      </c>
      <c r="E6458" s="66" t="str">
        <f>IF('Twenty-Sixth'!E211="", "",'Twenty-Sixth'!E211)</f>
        <v/>
      </c>
      <c r="F6458" s="66" t="str">
        <f>IF('Twenty-Sixth'!F211="", "",'Twenty-Sixth'!F211)</f>
        <v/>
      </c>
      <c r="G6458" s="66" t="str">
        <f>IF('Twenty-Sixth'!G211="", "",'Twenty-Sixth'!G211)</f>
        <v/>
      </c>
      <c r="H6458" s="66" t="str">
        <f>IF('Twenty-Sixth'!H211="", "",'Twenty-Sixth'!H211)</f>
        <v/>
      </c>
      <c r="I6458" s="66" t="str">
        <f>IF('Twenty-Sixth'!I211="", "",'Twenty-Sixth'!I211)</f>
        <v/>
      </c>
      <c r="J6458" s="66" t="str">
        <f>IF('Twenty-Sixth'!J211="", "",'Twenty-Sixth'!J211)</f>
        <v/>
      </c>
      <c r="K6458" s="86" t="str">
        <f>IF('Twenty-Sixth'!K211="", "",'Twenty-Sixth'!K211)</f>
        <v/>
      </c>
      <c r="M6458" s="67" t="str">
        <f t="shared" si="305"/>
        <v/>
      </c>
      <c r="N6458" s="76" t="str">
        <f t="shared" si="306"/>
        <v/>
      </c>
      <c r="O6458" s="33">
        <f t="shared" si="307"/>
        <v>0</v>
      </c>
    </row>
    <row r="6459" spans="1:15" x14ac:dyDescent="0.25">
      <c r="A6459" s="64" t="s">
        <v>210</v>
      </c>
      <c r="B6459" s="79" t="str">
        <f>IF('Twenty-Sixth'!B212="", "",'Twenty-Sixth'!B212)</f>
        <v/>
      </c>
      <c r="C6459" s="66" t="str">
        <f>IF('Twenty-Sixth'!C212="", "",'Twenty-Sixth'!C212)</f>
        <v/>
      </c>
      <c r="D6459" s="66" t="str">
        <f>IF('Twenty-Sixth'!D212="", "",'Twenty-Sixth'!D212)</f>
        <v/>
      </c>
      <c r="E6459" s="66" t="str">
        <f>IF('Twenty-Sixth'!E212="", "",'Twenty-Sixth'!E212)</f>
        <v/>
      </c>
      <c r="F6459" s="66" t="str">
        <f>IF('Twenty-Sixth'!F212="", "",'Twenty-Sixth'!F212)</f>
        <v/>
      </c>
      <c r="G6459" s="66" t="str">
        <f>IF('Twenty-Sixth'!G212="", "",'Twenty-Sixth'!G212)</f>
        <v/>
      </c>
      <c r="H6459" s="66" t="str">
        <f>IF('Twenty-Sixth'!H212="", "",'Twenty-Sixth'!H212)</f>
        <v/>
      </c>
      <c r="I6459" s="66" t="str">
        <f>IF('Twenty-Sixth'!I212="", "",'Twenty-Sixth'!I212)</f>
        <v/>
      </c>
      <c r="J6459" s="66" t="str">
        <f>IF('Twenty-Sixth'!J212="", "",'Twenty-Sixth'!J212)</f>
        <v/>
      </c>
      <c r="K6459" s="86" t="str">
        <f>IF('Twenty-Sixth'!K212="", "",'Twenty-Sixth'!K212)</f>
        <v/>
      </c>
      <c r="M6459" s="67" t="str">
        <f t="shared" si="305"/>
        <v/>
      </c>
      <c r="N6459" s="76" t="str">
        <f t="shared" si="306"/>
        <v/>
      </c>
      <c r="O6459" s="33">
        <f t="shared" si="307"/>
        <v>0</v>
      </c>
    </row>
    <row r="6460" spans="1:15" x14ac:dyDescent="0.25">
      <c r="A6460" s="64" t="s">
        <v>210</v>
      </c>
      <c r="B6460" s="79" t="str">
        <f>IF('Twenty-Sixth'!B213="", "",'Twenty-Sixth'!B213)</f>
        <v/>
      </c>
      <c r="C6460" s="66" t="str">
        <f>IF('Twenty-Sixth'!C213="", "",'Twenty-Sixth'!C213)</f>
        <v/>
      </c>
      <c r="D6460" s="66" t="str">
        <f>IF('Twenty-Sixth'!D213="", "",'Twenty-Sixth'!D213)</f>
        <v/>
      </c>
      <c r="E6460" s="66" t="str">
        <f>IF('Twenty-Sixth'!E213="", "",'Twenty-Sixth'!E213)</f>
        <v/>
      </c>
      <c r="F6460" s="66" t="str">
        <f>IF('Twenty-Sixth'!F213="", "",'Twenty-Sixth'!F213)</f>
        <v/>
      </c>
      <c r="G6460" s="66" t="str">
        <f>IF('Twenty-Sixth'!G213="", "",'Twenty-Sixth'!G213)</f>
        <v/>
      </c>
      <c r="H6460" s="66" t="str">
        <f>IF('Twenty-Sixth'!H213="", "",'Twenty-Sixth'!H213)</f>
        <v/>
      </c>
      <c r="I6460" s="66" t="str">
        <f>IF('Twenty-Sixth'!I213="", "",'Twenty-Sixth'!I213)</f>
        <v/>
      </c>
      <c r="J6460" s="66" t="str">
        <f>IF('Twenty-Sixth'!J213="", "",'Twenty-Sixth'!J213)</f>
        <v/>
      </c>
      <c r="K6460" s="86" t="str">
        <f>IF('Twenty-Sixth'!K213="", "",'Twenty-Sixth'!K213)</f>
        <v/>
      </c>
      <c r="M6460" s="67" t="str">
        <f t="shared" si="305"/>
        <v/>
      </c>
      <c r="N6460" s="76" t="str">
        <f t="shared" si="306"/>
        <v/>
      </c>
      <c r="O6460" s="33">
        <f t="shared" si="307"/>
        <v>0</v>
      </c>
    </row>
    <row r="6461" spans="1:15" x14ac:dyDescent="0.25">
      <c r="A6461" s="64" t="s">
        <v>210</v>
      </c>
      <c r="B6461" s="79" t="str">
        <f>IF('Twenty-Sixth'!B214="", "",'Twenty-Sixth'!B214)</f>
        <v/>
      </c>
      <c r="C6461" s="66" t="str">
        <f>IF('Twenty-Sixth'!C214="", "",'Twenty-Sixth'!C214)</f>
        <v/>
      </c>
      <c r="D6461" s="66" t="str">
        <f>IF('Twenty-Sixth'!D214="", "",'Twenty-Sixth'!D214)</f>
        <v/>
      </c>
      <c r="E6461" s="66" t="str">
        <f>IF('Twenty-Sixth'!E214="", "",'Twenty-Sixth'!E214)</f>
        <v/>
      </c>
      <c r="F6461" s="66" t="str">
        <f>IF('Twenty-Sixth'!F214="", "",'Twenty-Sixth'!F214)</f>
        <v/>
      </c>
      <c r="G6461" s="66" t="str">
        <f>IF('Twenty-Sixth'!G214="", "",'Twenty-Sixth'!G214)</f>
        <v/>
      </c>
      <c r="H6461" s="66" t="str">
        <f>IF('Twenty-Sixth'!H214="", "",'Twenty-Sixth'!H214)</f>
        <v/>
      </c>
      <c r="I6461" s="66" t="str">
        <f>IF('Twenty-Sixth'!I214="", "",'Twenty-Sixth'!I214)</f>
        <v/>
      </c>
      <c r="J6461" s="66" t="str">
        <f>IF('Twenty-Sixth'!J214="", "",'Twenty-Sixth'!J214)</f>
        <v/>
      </c>
      <c r="K6461" s="86" t="str">
        <f>IF('Twenty-Sixth'!K214="", "",'Twenty-Sixth'!K214)</f>
        <v/>
      </c>
      <c r="M6461" s="67" t="str">
        <f t="shared" si="305"/>
        <v/>
      </c>
      <c r="N6461" s="76" t="str">
        <f t="shared" si="306"/>
        <v/>
      </c>
      <c r="O6461" s="33">
        <f t="shared" si="307"/>
        <v>0</v>
      </c>
    </row>
    <row r="6462" spans="1:15" x14ac:dyDescent="0.25">
      <c r="A6462" s="64" t="s">
        <v>210</v>
      </c>
      <c r="B6462" s="79" t="str">
        <f>IF('Twenty-Sixth'!B215="", "",'Twenty-Sixth'!B215)</f>
        <v/>
      </c>
      <c r="C6462" s="66" t="str">
        <f>IF('Twenty-Sixth'!C215="", "",'Twenty-Sixth'!C215)</f>
        <v/>
      </c>
      <c r="D6462" s="66" t="str">
        <f>IF('Twenty-Sixth'!D215="", "",'Twenty-Sixth'!D215)</f>
        <v/>
      </c>
      <c r="E6462" s="66" t="str">
        <f>IF('Twenty-Sixth'!E215="", "",'Twenty-Sixth'!E215)</f>
        <v/>
      </c>
      <c r="F6462" s="66" t="str">
        <f>IF('Twenty-Sixth'!F215="", "",'Twenty-Sixth'!F215)</f>
        <v/>
      </c>
      <c r="G6462" s="66" t="str">
        <f>IF('Twenty-Sixth'!G215="", "",'Twenty-Sixth'!G215)</f>
        <v/>
      </c>
      <c r="H6462" s="66" t="str">
        <f>IF('Twenty-Sixth'!H215="", "",'Twenty-Sixth'!H215)</f>
        <v/>
      </c>
      <c r="I6462" s="66" t="str">
        <f>IF('Twenty-Sixth'!I215="", "",'Twenty-Sixth'!I215)</f>
        <v/>
      </c>
      <c r="J6462" s="66" t="str">
        <f>IF('Twenty-Sixth'!J215="", "",'Twenty-Sixth'!J215)</f>
        <v/>
      </c>
      <c r="K6462" s="86" t="str">
        <f>IF('Twenty-Sixth'!K215="", "",'Twenty-Sixth'!K215)</f>
        <v/>
      </c>
      <c r="M6462" s="67" t="str">
        <f t="shared" si="305"/>
        <v/>
      </c>
      <c r="N6462" s="76" t="str">
        <f t="shared" si="306"/>
        <v/>
      </c>
      <c r="O6462" s="33">
        <f t="shared" si="307"/>
        <v>0</v>
      </c>
    </row>
    <row r="6463" spans="1:15" x14ac:dyDescent="0.25">
      <c r="A6463" s="64" t="s">
        <v>210</v>
      </c>
      <c r="B6463" s="79" t="str">
        <f>IF('Twenty-Sixth'!B216="", "",'Twenty-Sixth'!B216)</f>
        <v/>
      </c>
      <c r="C6463" s="66" t="str">
        <f>IF('Twenty-Sixth'!C216="", "",'Twenty-Sixth'!C216)</f>
        <v/>
      </c>
      <c r="D6463" s="66" t="str">
        <f>IF('Twenty-Sixth'!D216="", "",'Twenty-Sixth'!D216)</f>
        <v/>
      </c>
      <c r="E6463" s="66" t="str">
        <f>IF('Twenty-Sixth'!E216="", "",'Twenty-Sixth'!E216)</f>
        <v/>
      </c>
      <c r="F6463" s="66" t="str">
        <f>IF('Twenty-Sixth'!F216="", "",'Twenty-Sixth'!F216)</f>
        <v/>
      </c>
      <c r="G6463" s="66" t="str">
        <f>IF('Twenty-Sixth'!G216="", "",'Twenty-Sixth'!G216)</f>
        <v/>
      </c>
      <c r="H6463" s="66" t="str">
        <f>IF('Twenty-Sixth'!H216="", "",'Twenty-Sixth'!H216)</f>
        <v/>
      </c>
      <c r="I6463" s="66" t="str">
        <f>IF('Twenty-Sixth'!I216="", "",'Twenty-Sixth'!I216)</f>
        <v/>
      </c>
      <c r="J6463" s="66" t="str">
        <f>IF('Twenty-Sixth'!J216="", "",'Twenty-Sixth'!J216)</f>
        <v/>
      </c>
      <c r="K6463" s="86" t="str">
        <f>IF('Twenty-Sixth'!K216="", "",'Twenty-Sixth'!K216)</f>
        <v/>
      </c>
      <c r="M6463" s="67" t="str">
        <f t="shared" ref="M6463:M6526" si="308">IF(C6463="PwC",(7-COUNTIF(B6463:H6463,"")),"")</f>
        <v/>
      </c>
      <c r="N6463" s="76" t="str">
        <f t="shared" ref="N6463:N6526" si="309">IF(C6463="Carer",(7-COUNTIF(B6463:H6463,"")),"")</f>
        <v/>
      </c>
      <c r="O6463" s="33">
        <f t="shared" si="307"/>
        <v>0</v>
      </c>
    </row>
    <row r="6464" spans="1:15" x14ac:dyDescent="0.25">
      <c r="A6464" s="64" t="s">
        <v>210</v>
      </c>
      <c r="B6464" s="79" t="str">
        <f>IF('Twenty-Sixth'!B217="", "",'Twenty-Sixth'!B217)</f>
        <v/>
      </c>
      <c r="C6464" s="66" t="str">
        <f>IF('Twenty-Sixth'!C217="", "",'Twenty-Sixth'!C217)</f>
        <v/>
      </c>
      <c r="D6464" s="66" t="str">
        <f>IF('Twenty-Sixth'!D217="", "",'Twenty-Sixth'!D217)</f>
        <v/>
      </c>
      <c r="E6464" s="66" t="str">
        <f>IF('Twenty-Sixth'!E217="", "",'Twenty-Sixth'!E217)</f>
        <v/>
      </c>
      <c r="F6464" s="66" t="str">
        <f>IF('Twenty-Sixth'!F217="", "",'Twenty-Sixth'!F217)</f>
        <v/>
      </c>
      <c r="G6464" s="66" t="str">
        <f>IF('Twenty-Sixth'!G217="", "",'Twenty-Sixth'!G217)</f>
        <v/>
      </c>
      <c r="H6464" s="66" t="str">
        <f>IF('Twenty-Sixth'!H217="", "",'Twenty-Sixth'!H217)</f>
        <v/>
      </c>
      <c r="I6464" s="66" t="str">
        <f>IF('Twenty-Sixth'!I217="", "",'Twenty-Sixth'!I217)</f>
        <v/>
      </c>
      <c r="J6464" s="66" t="str">
        <f>IF('Twenty-Sixth'!J217="", "",'Twenty-Sixth'!J217)</f>
        <v/>
      </c>
      <c r="K6464" s="86" t="str">
        <f>IF('Twenty-Sixth'!K217="", "",'Twenty-Sixth'!K217)</f>
        <v/>
      </c>
      <c r="M6464" s="67" t="str">
        <f t="shared" si="308"/>
        <v/>
      </c>
      <c r="N6464" s="76" t="str">
        <f t="shared" si="309"/>
        <v/>
      </c>
      <c r="O6464" s="33">
        <f t="shared" si="307"/>
        <v>0</v>
      </c>
    </row>
    <row r="6465" spans="1:15" x14ac:dyDescent="0.25">
      <c r="A6465" s="64" t="s">
        <v>210</v>
      </c>
      <c r="B6465" s="79" t="str">
        <f>IF('Twenty-Sixth'!B218="", "",'Twenty-Sixth'!B218)</f>
        <v/>
      </c>
      <c r="C6465" s="66" t="str">
        <f>IF('Twenty-Sixth'!C218="", "",'Twenty-Sixth'!C218)</f>
        <v/>
      </c>
      <c r="D6465" s="66" t="str">
        <f>IF('Twenty-Sixth'!D218="", "",'Twenty-Sixth'!D218)</f>
        <v/>
      </c>
      <c r="E6465" s="66" t="str">
        <f>IF('Twenty-Sixth'!E218="", "",'Twenty-Sixth'!E218)</f>
        <v/>
      </c>
      <c r="F6465" s="66" t="str">
        <f>IF('Twenty-Sixth'!F218="", "",'Twenty-Sixth'!F218)</f>
        <v/>
      </c>
      <c r="G6465" s="66" t="str">
        <f>IF('Twenty-Sixth'!G218="", "",'Twenty-Sixth'!G218)</f>
        <v/>
      </c>
      <c r="H6465" s="66" t="str">
        <f>IF('Twenty-Sixth'!H218="", "",'Twenty-Sixth'!H218)</f>
        <v/>
      </c>
      <c r="I6465" s="66" t="str">
        <f>IF('Twenty-Sixth'!I218="", "",'Twenty-Sixth'!I218)</f>
        <v/>
      </c>
      <c r="J6465" s="66" t="str">
        <f>IF('Twenty-Sixth'!J218="", "",'Twenty-Sixth'!J218)</f>
        <v/>
      </c>
      <c r="K6465" s="86" t="str">
        <f>IF('Twenty-Sixth'!K218="", "",'Twenty-Sixth'!K218)</f>
        <v/>
      </c>
      <c r="M6465" s="67" t="str">
        <f t="shared" si="308"/>
        <v/>
      </c>
      <c r="N6465" s="76" t="str">
        <f t="shared" si="309"/>
        <v/>
      </c>
      <c r="O6465" s="33">
        <f t="shared" si="307"/>
        <v>0</v>
      </c>
    </row>
    <row r="6466" spans="1:15" x14ac:dyDescent="0.25">
      <c r="A6466" s="64" t="s">
        <v>210</v>
      </c>
      <c r="B6466" s="79" t="str">
        <f>IF('Twenty-Sixth'!B219="", "",'Twenty-Sixth'!B219)</f>
        <v/>
      </c>
      <c r="C6466" s="66" t="str">
        <f>IF('Twenty-Sixth'!C219="", "",'Twenty-Sixth'!C219)</f>
        <v/>
      </c>
      <c r="D6466" s="66" t="str">
        <f>IF('Twenty-Sixth'!D219="", "",'Twenty-Sixth'!D219)</f>
        <v/>
      </c>
      <c r="E6466" s="66" t="str">
        <f>IF('Twenty-Sixth'!E219="", "",'Twenty-Sixth'!E219)</f>
        <v/>
      </c>
      <c r="F6466" s="66" t="str">
        <f>IF('Twenty-Sixth'!F219="", "",'Twenty-Sixth'!F219)</f>
        <v/>
      </c>
      <c r="G6466" s="66" t="str">
        <f>IF('Twenty-Sixth'!G219="", "",'Twenty-Sixth'!G219)</f>
        <v/>
      </c>
      <c r="H6466" s="66" t="str">
        <f>IF('Twenty-Sixth'!H219="", "",'Twenty-Sixth'!H219)</f>
        <v/>
      </c>
      <c r="I6466" s="66" t="str">
        <f>IF('Twenty-Sixth'!I219="", "",'Twenty-Sixth'!I219)</f>
        <v/>
      </c>
      <c r="J6466" s="66" t="str">
        <f>IF('Twenty-Sixth'!J219="", "",'Twenty-Sixth'!J219)</f>
        <v/>
      </c>
      <c r="K6466" s="86" t="str">
        <f>IF('Twenty-Sixth'!K219="", "",'Twenty-Sixth'!K219)</f>
        <v/>
      </c>
      <c r="M6466" s="67" t="str">
        <f t="shared" si="308"/>
        <v/>
      </c>
      <c r="N6466" s="76" t="str">
        <f t="shared" si="309"/>
        <v/>
      </c>
      <c r="O6466" s="33">
        <f t="shared" si="307"/>
        <v>0</v>
      </c>
    </row>
    <row r="6467" spans="1:15" x14ac:dyDescent="0.25">
      <c r="A6467" s="64" t="s">
        <v>210</v>
      </c>
      <c r="B6467" s="79" t="str">
        <f>IF('Twenty-Sixth'!B220="", "",'Twenty-Sixth'!B220)</f>
        <v/>
      </c>
      <c r="C6467" s="66" t="str">
        <f>IF('Twenty-Sixth'!C220="", "",'Twenty-Sixth'!C220)</f>
        <v/>
      </c>
      <c r="D6467" s="66" t="str">
        <f>IF('Twenty-Sixth'!D220="", "",'Twenty-Sixth'!D220)</f>
        <v/>
      </c>
      <c r="E6467" s="66" t="str">
        <f>IF('Twenty-Sixth'!E220="", "",'Twenty-Sixth'!E220)</f>
        <v/>
      </c>
      <c r="F6467" s="66" t="str">
        <f>IF('Twenty-Sixth'!F220="", "",'Twenty-Sixth'!F220)</f>
        <v/>
      </c>
      <c r="G6467" s="66" t="str">
        <f>IF('Twenty-Sixth'!G220="", "",'Twenty-Sixth'!G220)</f>
        <v/>
      </c>
      <c r="H6467" s="66" t="str">
        <f>IF('Twenty-Sixth'!H220="", "",'Twenty-Sixth'!H220)</f>
        <v/>
      </c>
      <c r="I6467" s="66" t="str">
        <f>IF('Twenty-Sixth'!I220="", "",'Twenty-Sixth'!I220)</f>
        <v/>
      </c>
      <c r="J6467" s="66" t="str">
        <f>IF('Twenty-Sixth'!J220="", "",'Twenty-Sixth'!J220)</f>
        <v/>
      </c>
      <c r="K6467" s="86" t="str">
        <f>IF('Twenty-Sixth'!K220="", "",'Twenty-Sixth'!K220)</f>
        <v/>
      </c>
      <c r="M6467" s="67" t="str">
        <f t="shared" si="308"/>
        <v/>
      </c>
      <c r="N6467" s="76" t="str">
        <f t="shared" si="309"/>
        <v/>
      </c>
      <c r="O6467" s="33">
        <f t="shared" si="307"/>
        <v>0</v>
      </c>
    </row>
    <row r="6468" spans="1:15" x14ac:dyDescent="0.25">
      <c r="A6468" s="64" t="s">
        <v>210</v>
      </c>
      <c r="B6468" s="79" t="str">
        <f>IF('Twenty-Sixth'!B221="", "",'Twenty-Sixth'!B221)</f>
        <v/>
      </c>
      <c r="C6468" s="66" t="str">
        <f>IF('Twenty-Sixth'!C221="", "",'Twenty-Sixth'!C221)</f>
        <v/>
      </c>
      <c r="D6468" s="66" t="str">
        <f>IF('Twenty-Sixth'!D221="", "",'Twenty-Sixth'!D221)</f>
        <v/>
      </c>
      <c r="E6468" s="66" t="str">
        <f>IF('Twenty-Sixth'!E221="", "",'Twenty-Sixth'!E221)</f>
        <v/>
      </c>
      <c r="F6468" s="66" t="str">
        <f>IF('Twenty-Sixth'!F221="", "",'Twenty-Sixth'!F221)</f>
        <v/>
      </c>
      <c r="G6468" s="66" t="str">
        <f>IF('Twenty-Sixth'!G221="", "",'Twenty-Sixth'!G221)</f>
        <v/>
      </c>
      <c r="H6468" s="66" t="str">
        <f>IF('Twenty-Sixth'!H221="", "",'Twenty-Sixth'!H221)</f>
        <v/>
      </c>
      <c r="I6468" s="66" t="str">
        <f>IF('Twenty-Sixth'!I221="", "",'Twenty-Sixth'!I221)</f>
        <v/>
      </c>
      <c r="J6468" s="66" t="str">
        <f>IF('Twenty-Sixth'!J221="", "",'Twenty-Sixth'!J221)</f>
        <v/>
      </c>
      <c r="K6468" s="86" t="str">
        <f>IF('Twenty-Sixth'!K221="", "",'Twenty-Sixth'!K221)</f>
        <v/>
      </c>
      <c r="M6468" s="67" t="str">
        <f t="shared" si="308"/>
        <v/>
      </c>
      <c r="N6468" s="76" t="str">
        <f t="shared" si="309"/>
        <v/>
      </c>
      <c r="O6468" s="33">
        <f t="shared" si="307"/>
        <v>0</v>
      </c>
    </row>
    <row r="6469" spans="1:15" x14ac:dyDescent="0.25">
      <c r="A6469" s="64" t="s">
        <v>210</v>
      </c>
      <c r="B6469" s="79" t="str">
        <f>IF('Twenty-Sixth'!B222="", "",'Twenty-Sixth'!B222)</f>
        <v/>
      </c>
      <c r="C6469" s="66" t="str">
        <f>IF('Twenty-Sixth'!C222="", "",'Twenty-Sixth'!C222)</f>
        <v/>
      </c>
      <c r="D6469" s="66" t="str">
        <f>IF('Twenty-Sixth'!D222="", "",'Twenty-Sixth'!D222)</f>
        <v/>
      </c>
      <c r="E6469" s="66" t="str">
        <f>IF('Twenty-Sixth'!E222="", "",'Twenty-Sixth'!E222)</f>
        <v/>
      </c>
      <c r="F6469" s="66" t="str">
        <f>IF('Twenty-Sixth'!F222="", "",'Twenty-Sixth'!F222)</f>
        <v/>
      </c>
      <c r="G6469" s="66" t="str">
        <f>IF('Twenty-Sixth'!G222="", "",'Twenty-Sixth'!G222)</f>
        <v/>
      </c>
      <c r="H6469" s="66" t="str">
        <f>IF('Twenty-Sixth'!H222="", "",'Twenty-Sixth'!H222)</f>
        <v/>
      </c>
      <c r="I6469" s="66" t="str">
        <f>IF('Twenty-Sixth'!I222="", "",'Twenty-Sixth'!I222)</f>
        <v/>
      </c>
      <c r="J6469" s="66" t="str">
        <f>IF('Twenty-Sixth'!J222="", "",'Twenty-Sixth'!J222)</f>
        <v/>
      </c>
      <c r="K6469" s="86" t="str">
        <f>IF('Twenty-Sixth'!K222="", "",'Twenty-Sixth'!K222)</f>
        <v/>
      </c>
      <c r="M6469" s="67" t="str">
        <f t="shared" si="308"/>
        <v/>
      </c>
      <c r="N6469" s="76" t="str">
        <f t="shared" si="309"/>
        <v/>
      </c>
      <c r="O6469" s="33">
        <f t="shared" si="307"/>
        <v>0</v>
      </c>
    </row>
    <row r="6470" spans="1:15" x14ac:dyDescent="0.25">
      <c r="A6470" s="64" t="s">
        <v>210</v>
      </c>
      <c r="B6470" s="79" t="str">
        <f>IF('Twenty-Sixth'!B223="", "",'Twenty-Sixth'!B223)</f>
        <v/>
      </c>
      <c r="C6470" s="66" t="str">
        <f>IF('Twenty-Sixth'!C223="", "",'Twenty-Sixth'!C223)</f>
        <v/>
      </c>
      <c r="D6470" s="66" t="str">
        <f>IF('Twenty-Sixth'!D223="", "",'Twenty-Sixth'!D223)</f>
        <v/>
      </c>
      <c r="E6470" s="66" t="str">
        <f>IF('Twenty-Sixth'!E223="", "",'Twenty-Sixth'!E223)</f>
        <v/>
      </c>
      <c r="F6470" s="66" t="str">
        <f>IF('Twenty-Sixth'!F223="", "",'Twenty-Sixth'!F223)</f>
        <v/>
      </c>
      <c r="G6470" s="66" t="str">
        <f>IF('Twenty-Sixth'!G223="", "",'Twenty-Sixth'!G223)</f>
        <v/>
      </c>
      <c r="H6470" s="66" t="str">
        <f>IF('Twenty-Sixth'!H223="", "",'Twenty-Sixth'!H223)</f>
        <v/>
      </c>
      <c r="I6470" s="66" t="str">
        <f>IF('Twenty-Sixth'!I223="", "",'Twenty-Sixth'!I223)</f>
        <v/>
      </c>
      <c r="J6470" s="66" t="str">
        <f>IF('Twenty-Sixth'!J223="", "",'Twenty-Sixth'!J223)</f>
        <v/>
      </c>
      <c r="K6470" s="86" t="str">
        <f>IF('Twenty-Sixth'!K223="", "",'Twenty-Sixth'!K223)</f>
        <v/>
      </c>
      <c r="M6470" s="67" t="str">
        <f t="shared" si="308"/>
        <v/>
      </c>
      <c r="N6470" s="76" t="str">
        <f t="shared" si="309"/>
        <v/>
      </c>
      <c r="O6470" s="33">
        <f t="shared" si="307"/>
        <v>0</v>
      </c>
    </row>
    <row r="6471" spans="1:15" x14ac:dyDescent="0.25">
      <c r="A6471" s="64" t="s">
        <v>210</v>
      </c>
      <c r="B6471" s="79" t="str">
        <f>IF('Twenty-Sixth'!B224="", "",'Twenty-Sixth'!B224)</f>
        <v/>
      </c>
      <c r="C6471" s="66" t="str">
        <f>IF('Twenty-Sixth'!C224="", "",'Twenty-Sixth'!C224)</f>
        <v/>
      </c>
      <c r="D6471" s="66" t="str">
        <f>IF('Twenty-Sixth'!D224="", "",'Twenty-Sixth'!D224)</f>
        <v/>
      </c>
      <c r="E6471" s="66" t="str">
        <f>IF('Twenty-Sixth'!E224="", "",'Twenty-Sixth'!E224)</f>
        <v/>
      </c>
      <c r="F6471" s="66" t="str">
        <f>IF('Twenty-Sixth'!F224="", "",'Twenty-Sixth'!F224)</f>
        <v/>
      </c>
      <c r="G6471" s="66" t="str">
        <f>IF('Twenty-Sixth'!G224="", "",'Twenty-Sixth'!G224)</f>
        <v/>
      </c>
      <c r="H6471" s="66" t="str">
        <f>IF('Twenty-Sixth'!H224="", "",'Twenty-Sixth'!H224)</f>
        <v/>
      </c>
      <c r="I6471" s="66" t="str">
        <f>IF('Twenty-Sixth'!I224="", "",'Twenty-Sixth'!I224)</f>
        <v/>
      </c>
      <c r="J6471" s="66" t="str">
        <f>IF('Twenty-Sixth'!J224="", "",'Twenty-Sixth'!J224)</f>
        <v/>
      </c>
      <c r="K6471" s="86" t="str">
        <f>IF('Twenty-Sixth'!K224="", "",'Twenty-Sixth'!K224)</f>
        <v/>
      </c>
      <c r="M6471" s="67" t="str">
        <f t="shared" si="308"/>
        <v/>
      </c>
      <c r="N6471" s="76" t="str">
        <f t="shared" si="309"/>
        <v/>
      </c>
      <c r="O6471" s="33">
        <f t="shared" si="307"/>
        <v>0</v>
      </c>
    </row>
    <row r="6472" spans="1:15" x14ac:dyDescent="0.25">
      <c r="A6472" s="64" t="s">
        <v>210</v>
      </c>
      <c r="B6472" s="79" t="str">
        <f>IF('Twenty-Sixth'!B225="", "",'Twenty-Sixth'!B225)</f>
        <v/>
      </c>
      <c r="C6472" s="66" t="str">
        <f>IF('Twenty-Sixth'!C225="", "",'Twenty-Sixth'!C225)</f>
        <v/>
      </c>
      <c r="D6472" s="66" t="str">
        <f>IF('Twenty-Sixth'!D225="", "",'Twenty-Sixth'!D225)</f>
        <v/>
      </c>
      <c r="E6472" s="66" t="str">
        <f>IF('Twenty-Sixth'!E225="", "",'Twenty-Sixth'!E225)</f>
        <v/>
      </c>
      <c r="F6472" s="66" t="str">
        <f>IF('Twenty-Sixth'!F225="", "",'Twenty-Sixth'!F225)</f>
        <v/>
      </c>
      <c r="G6472" s="66" t="str">
        <f>IF('Twenty-Sixth'!G225="", "",'Twenty-Sixth'!G225)</f>
        <v/>
      </c>
      <c r="H6472" s="66" t="str">
        <f>IF('Twenty-Sixth'!H225="", "",'Twenty-Sixth'!H225)</f>
        <v/>
      </c>
      <c r="I6472" s="66" t="str">
        <f>IF('Twenty-Sixth'!I225="", "",'Twenty-Sixth'!I225)</f>
        <v/>
      </c>
      <c r="J6472" s="66" t="str">
        <f>IF('Twenty-Sixth'!J225="", "",'Twenty-Sixth'!J225)</f>
        <v/>
      </c>
      <c r="K6472" s="86" t="str">
        <f>IF('Twenty-Sixth'!K225="", "",'Twenty-Sixth'!K225)</f>
        <v/>
      </c>
      <c r="M6472" s="67" t="str">
        <f t="shared" si="308"/>
        <v/>
      </c>
      <c r="N6472" s="76" t="str">
        <f t="shared" si="309"/>
        <v/>
      </c>
      <c r="O6472" s="33">
        <f t="shared" si="307"/>
        <v>0</v>
      </c>
    </row>
    <row r="6473" spans="1:15" x14ac:dyDescent="0.25">
      <c r="A6473" s="64" t="s">
        <v>210</v>
      </c>
      <c r="B6473" s="79" t="str">
        <f>IF('Twenty-Sixth'!B226="", "",'Twenty-Sixth'!B226)</f>
        <v/>
      </c>
      <c r="C6473" s="66" t="str">
        <f>IF('Twenty-Sixth'!C226="", "",'Twenty-Sixth'!C226)</f>
        <v/>
      </c>
      <c r="D6473" s="66" t="str">
        <f>IF('Twenty-Sixth'!D226="", "",'Twenty-Sixth'!D226)</f>
        <v/>
      </c>
      <c r="E6473" s="66" t="str">
        <f>IF('Twenty-Sixth'!E226="", "",'Twenty-Sixth'!E226)</f>
        <v/>
      </c>
      <c r="F6473" s="66" t="str">
        <f>IF('Twenty-Sixth'!F226="", "",'Twenty-Sixth'!F226)</f>
        <v/>
      </c>
      <c r="G6473" s="66" t="str">
        <f>IF('Twenty-Sixth'!G226="", "",'Twenty-Sixth'!G226)</f>
        <v/>
      </c>
      <c r="H6473" s="66" t="str">
        <f>IF('Twenty-Sixth'!H226="", "",'Twenty-Sixth'!H226)</f>
        <v/>
      </c>
      <c r="I6473" s="66" t="str">
        <f>IF('Twenty-Sixth'!I226="", "",'Twenty-Sixth'!I226)</f>
        <v/>
      </c>
      <c r="J6473" s="66" t="str">
        <f>IF('Twenty-Sixth'!J226="", "",'Twenty-Sixth'!J226)</f>
        <v/>
      </c>
      <c r="K6473" s="86" t="str">
        <f>IF('Twenty-Sixth'!K226="", "",'Twenty-Sixth'!K226)</f>
        <v/>
      </c>
      <c r="M6473" s="67" t="str">
        <f t="shared" si="308"/>
        <v/>
      </c>
      <c r="N6473" s="76" t="str">
        <f t="shared" si="309"/>
        <v/>
      </c>
      <c r="O6473" s="33">
        <f t="shared" si="307"/>
        <v>0</v>
      </c>
    </row>
    <row r="6474" spans="1:15" x14ac:dyDescent="0.25">
      <c r="A6474" s="64" t="s">
        <v>210</v>
      </c>
      <c r="B6474" s="79" t="str">
        <f>IF('Twenty-Sixth'!B227="", "",'Twenty-Sixth'!B227)</f>
        <v/>
      </c>
      <c r="C6474" s="66" t="str">
        <f>IF('Twenty-Sixth'!C227="", "",'Twenty-Sixth'!C227)</f>
        <v/>
      </c>
      <c r="D6474" s="66" t="str">
        <f>IF('Twenty-Sixth'!D227="", "",'Twenty-Sixth'!D227)</f>
        <v/>
      </c>
      <c r="E6474" s="66" t="str">
        <f>IF('Twenty-Sixth'!E227="", "",'Twenty-Sixth'!E227)</f>
        <v/>
      </c>
      <c r="F6474" s="66" t="str">
        <f>IF('Twenty-Sixth'!F227="", "",'Twenty-Sixth'!F227)</f>
        <v/>
      </c>
      <c r="G6474" s="66" t="str">
        <f>IF('Twenty-Sixth'!G227="", "",'Twenty-Sixth'!G227)</f>
        <v/>
      </c>
      <c r="H6474" s="66" t="str">
        <f>IF('Twenty-Sixth'!H227="", "",'Twenty-Sixth'!H227)</f>
        <v/>
      </c>
      <c r="I6474" s="66" t="str">
        <f>IF('Twenty-Sixth'!I227="", "",'Twenty-Sixth'!I227)</f>
        <v/>
      </c>
      <c r="J6474" s="66" t="str">
        <f>IF('Twenty-Sixth'!J227="", "",'Twenty-Sixth'!J227)</f>
        <v/>
      </c>
      <c r="K6474" s="86" t="str">
        <f>IF('Twenty-Sixth'!K227="", "",'Twenty-Sixth'!K227)</f>
        <v/>
      </c>
      <c r="M6474" s="67" t="str">
        <f t="shared" si="308"/>
        <v/>
      </c>
      <c r="N6474" s="76" t="str">
        <f t="shared" si="309"/>
        <v/>
      </c>
      <c r="O6474" s="33">
        <f t="shared" ref="O6474:O6537" si="310">SUM(M6474:N6474)</f>
        <v>0</v>
      </c>
    </row>
    <row r="6475" spans="1:15" x14ac:dyDescent="0.25">
      <c r="A6475" s="64" t="s">
        <v>210</v>
      </c>
      <c r="B6475" s="79" t="str">
        <f>IF('Twenty-Sixth'!B228="", "",'Twenty-Sixth'!B228)</f>
        <v/>
      </c>
      <c r="C6475" s="66" t="str">
        <f>IF('Twenty-Sixth'!C228="", "",'Twenty-Sixth'!C228)</f>
        <v/>
      </c>
      <c r="D6475" s="66" t="str">
        <f>IF('Twenty-Sixth'!D228="", "",'Twenty-Sixth'!D228)</f>
        <v/>
      </c>
      <c r="E6475" s="66" t="str">
        <f>IF('Twenty-Sixth'!E228="", "",'Twenty-Sixth'!E228)</f>
        <v/>
      </c>
      <c r="F6475" s="66" t="str">
        <f>IF('Twenty-Sixth'!F228="", "",'Twenty-Sixth'!F228)</f>
        <v/>
      </c>
      <c r="G6475" s="66" t="str">
        <f>IF('Twenty-Sixth'!G228="", "",'Twenty-Sixth'!G228)</f>
        <v/>
      </c>
      <c r="H6475" s="66" t="str">
        <f>IF('Twenty-Sixth'!H228="", "",'Twenty-Sixth'!H228)</f>
        <v/>
      </c>
      <c r="I6475" s="66" t="str">
        <f>IF('Twenty-Sixth'!I228="", "",'Twenty-Sixth'!I228)</f>
        <v/>
      </c>
      <c r="J6475" s="66" t="str">
        <f>IF('Twenty-Sixth'!J228="", "",'Twenty-Sixth'!J228)</f>
        <v/>
      </c>
      <c r="K6475" s="86" t="str">
        <f>IF('Twenty-Sixth'!K228="", "",'Twenty-Sixth'!K228)</f>
        <v/>
      </c>
      <c r="M6475" s="67" t="str">
        <f t="shared" si="308"/>
        <v/>
      </c>
      <c r="N6475" s="76" t="str">
        <f t="shared" si="309"/>
        <v/>
      </c>
      <c r="O6475" s="33">
        <f t="shared" si="310"/>
        <v>0</v>
      </c>
    </row>
    <row r="6476" spans="1:15" x14ac:dyDescent="0.25">
      <c r="A6476" s="64" t="s">
        <v>210</v>
      </c>
      <c r="B6476" s="79" t="str">
        <f>IF('Twenty-Sixth'!B229="", "",'Twenty-Sixth'!B229)</f>
        <v/>
      </c>
      <c r="C6476" s="66" t="str">
        <f>IF('Twenty-Sixth'!C229="", "",'Twenty-Sixth'!C229)</f>
        <v/>
      </c>
      <c r="D6476" s="66" t="str">
        <f>IF('Twenty-Sixth'!D229="", "",'Twenty-Sixth'!D229)</f>
        <v/>
      </c>
      <c r="E6476" s="66" t="str">
        <f>IF('Twenty-Sixth'!E229="", "",'Twenty-Sixth'!E229)</f>
        <v/>
      </c>
      <c r="F6476" s="66" t="str">
        <f>IF('Twenty-Sixth'!F229="", "",'Twenty-Sixth'!F229)</f>
        <v/>
      </c>
      <c r="G6476" s="66" t="str">
        <f>IF('Twenty-Sixth'!G229="", "",'Twenty-Sixth'!G229)</f>
        <v/>
      </c>
      <c r="H6476" s="66" t="str">
        <f>IF('Twenty-Sixth'!H229="", "",'Twenty-Sixth'!H229)</f>
        <v/>
      </c>
      <c r="I6476" s="66" t="str">
        <f>IF('Twenty-Sixth'!I229="", "",'Twenty-Sixth'!I229)</f>
        <v/>
      </c>
      <c r="J6476" s="66" t="str">
        <f>IF('Twenty-Sixth'!J229="", "",'Twenty-Sixth'!J229)</f>
        <v/>
      </c>
      <c r="K6476" s="86" t="str">
        <f>IF('Twenty-Sixth'!K229="", "",'Twenty-Sixth'!K229)</f>
        <v/>
      </c>
      <c r="M6476" s="67" t="str">
        <f t="shared" si="308"/>
        <v/>
      </c>
      <c r="N6476" s="76" t="str">
        <f t="shared" si="309"/>
        <v/>
      </c>
      <c r="O6476" s="33">
        <f t="shared" si="310"/>
        <v>0</v>
      </c>
    </row>
    <row r="6477" spans="1:15" x14ac:dyDescent="0.25">
      <c r="A6477" s="64" t="s">
        <v>210</v>
      </c>
      <c r="B6477" s="79" t="str">
        <f>IF('Twenty-Sixth'!B230="", "",'Twenty-Sixth'!B230)</f>
        <v/>
      </c>
      <c r="C6477" s="66" t="str">
        <f>IF('Twenty-Sixth'!C230="", "",'Twenty-Sixth'!C230)</f>
        <v/>
      </c>
      <c r="D6477" s="66" t="str">
        <f>IF('Twenty-Sixth'!D230="", "",'Twenty-Sixth'!D230)</f>
        <v/>
      </c>
      <c r="E6477" s="66" t="str">
        <f>IF('Twenty-Sixth'!E230="", "",'Twenty-Sixth'!E230)</f>
        <v/>
      </c>
      <c r="F6477" s="66" t="str">
        <f>IF('Twenty-Sixth'!F230="", "",'Twenty-Sixth'!F230)</f>
        <v/>
      </c>
      <c r="G6477" s="66" t="str">
        <f>IF('Twenty-Sixth'!G230="", "",'Twenty-Sixth'!G230)</f>
        <v/>
      </c>
      <c r="H6477" s="66" t="str">
        <f>IF('Twenty-Sixth'!H230="", "",'Twenty-Sixth'!H230)</f>
        <v/>
      </c>
      <c r="I6477" s="66" t="str">
        <f>IF('Twenty-Sixth'!I230="", "",'Twenty-Sixth'!I230)</f>
        <v/>
      </c>
      <c r="J6477" s="66" t="str">
        <f>IF('Twenty-Sixth'!J230="", "",'Twenty-Sixth'!J230)</f>
        <v/>
      </c>
      <c r="K6477" s="86" t="str">
        <f>IF('Twenty-Sixth'!K230="", "",'Twenty-Sixth'!K230)</f>
        <v/>
      </c>
      <c r="M6477" s="67" t="str">
        <f t="shared" si="308"/>
        <v/>
      </c>
      <c r="N6477" s="76" t="str">
        <f t="shared" si="309"/>
        <v/>
      </c>
      <c r="O6477" s="33">
        <f t="shared" si="310"/>
        <v>0</v>
      </c>
    </row>
    <row r="6478" spans="1:15" x14ac:dyDescent="0.25">
      <c r="A6478" s="64" t="s">
        <v>210</v>
      </c>
      <c r="B6478" s="79" t="str">
        <f>IF('Twenty-Sixth'!B231="", "",'Twenty-Sixth'!B231)</f>
        <v/>
      </c>
      <c r="C6478" s="66" t="str">
        <f>IF('Twenty-Sixth'!C231="", "",'Twenty-Sixth'!C231)</f>
        <v/>
      </c>
      <c r="D6478" s="66" t="str">
        <f>IF('Twenty-Sixth'!D231="", "",'Twenty-Sixth'!D231)</f>
        <v/>
      </c>
      <c r="E6478" s="66" t="str">
        <f>IF('Twenty-Sixth'!E231="", "",'Twenty-Sixth'!E231)</f>
        <v/>
      </c>
      <c r="F6478" s="66" t="str">
        <f>IF('Twenty-Sixth'!F231="", "",'Twenty-Sixth'!F231)</f>
        <v/>
      </c>
      <c r="G6478" s="66" t="str">
        <f>IF('Twenty-Sixth'!G231="", "",'Twenty-Sixth'!G231)</f>
        <v/>
      </c>
      <c r="H6478" s="66" t="str">
        <f>IF('Twenty-Sixth'!H231="", "",'Twenty-Sixth'!H231)</f>
        <v/>
      </c>
      <c r="I6478" s="66" t="str">
        <f>IF('Twenty-Sixth'!I231="", "",'Twenty-Sixth'!I231)</f>
        <v/>
      </c>
      <c r="J6478" s="66" t="str">
        <f>IF('Twenty-Sixth'!J231="", "",'Twenty-Sixth'!J231)</f>
        <v/>
      </c>
      <c r="K6478" s="86" t="str">
        <f>IF('Twenty-Sixth'!K231="", "",'Twenty-Sixth'!K231)</f>
        <v/>
      </c>
      <c r="M6478" s="67" t="str">
        <f t="shared" si="308"/>
        <v/>
      </c>
      <c r="N6478" s="76" t="str">
        <f t="shared" si="309"/>
        <v/>
      </c>
      <c r="O6478" s="33">
        <f t="shared" si="310"/>
        <v>0</v>
      </c>
    </row>
    <row r="6479" spans="1:15" x14ac:dyDescent="0.25">
      <c r="A6479" s="64" t="s">
        <v>210</v>
      </c>
      <c r="B6479" s="79" t="str">
        <f>IF('Twenty-Sixth'!B232="", "",'Twenty-Sixth'!B232)</f>
        <v/>
      </c>
      <c r="C6479" s="66" t="str">
        <f>IF('Twenty-Sixth'!C232="", "",'Twenty-Sixth'!C232)</f>
        <v/>
      </c>
      <c r="D6479" s="66" t="str">
        <f>IF('Twenty-Sixth'!D232="", "",'Twenty-Sixth'!D232)</f>
        <v/>
      </c>
      <c r="E6479" s="66" t="str">
        <f>IF('Twenty-Sixth'!E232="", "",'Twenty-Sixth'!E232)</f>
        <v/>
      </c>
      <c r="F6479" s="66" t="str">
        <f>IF('Twenty-Sixth'!F232="", "",'Twenty-Sixth'!F232)</f>
        <v/>
      </c>
      <c r="G6479" s="66" t="str">
        <f>IF('Twenty-Sixth'!G232="", "",'Twenty-Sixth'!G232)</f>
        <v/>
      </c>
      <c r="H6479" s="66" t="str">
        <f>IF('Twenty-Sixth'!H232="", "",'Twenty-Sixth'!H232)</f>
        <v/>
      </c>
      <c r="I6479" s="66" t="str">
        <f>IF('Twenty-Sixth'!I232="", "",'Twenty-Sixth'!I232)</f>
        <v/>
      </c>
      <c r="J6479" s="66" t="str">
        <f>IF('Twenty-Sixth'!J232="", "",'Twenty-Sixth'!J232)</f>
        <v/>
      </c>
      <c r="K6479" s="86" t="str">
        <f>IF('Twenty-Sixth'!K232="", "",'Twenty-Sixth'!K232)</f>
        <v/>
      </c>
      <c r="M6479" s="67" t="str">
        <f t="shared" si="308"/>
        <v/>
      </c>
      <c r="N6479" s="76" t="str">
        <f t="shared" si="309"/>
        <v/>
      </c>
      <c r="O6479" s="33">
        <f t="shared" si="310"/>
        <v>0</v>
      </c>
    </row>
    <row r="6480" spans="1:15" x14ac:dyDescent="0.25">
      <c r="A6480" s="64" t="s">
        <v>210</v>
      </c>
      <c r="B6480" s="79" t="str">
        <f>IF('Twenty-Sixth'!B233="", "",'Twenty-Sixth'!B233)</f>
        <v/>
      </c>
      <c r="C6480" s="66" t="str">
        <f>IF('Twenty-Sixth'!C233="", "",'Twenty-Sixth'!C233)</f>
        <v/>
      </c>
      <c r="D6480" s="66" t="str">
        <f>IF('Twenty-Sixth'!D233="", "",'Twenty-Sixth'!D233)</f>
        <v/>
      </c>
      <c r="E6480" s="66" t="str">
        <f>IF('Twenty-Sixth'!E233="", "",'Twenty-Sixth'!E233)</f>
        <v/>
      </c>
      <c r="F6480" s="66" t="str">
        <f>IF('Twenty-Sixth'!F233="", "",'Twenty-Sixth'!F233)</f>
        <v/>
      </c>
      <c r="G6480" s="66" t="str">
        <f>IF('Twenty-Sixth'!G233="", "",'Twenty-Sixth'!G233)</f>
        <v/>
      </c>
      <c r="H6480" s="66" t="str">
        <f>IF('Twenty-Sixth'!H233="", "",'Twenty-Sixth'!H233)</f>
        <v/>
      </c>
      <c r="I6480" s="66" t="str">
        <f>IF('Twenty-Sixth'!I233="", "",'Twenty-Sixth'!I233)</f>
        <v/>
      </c>
      <c r="J6480" s="66" t="str">
        <f>IF('Twenty-Sixth'!J233="", "",'Twenty-Sixth'!J233)</f>
        <v/>
      </c>
      <c r="K6480" s="86" t="str">
        <f>IF('Twenty-Sixth'!K233="", "",'Twenty-Sixth'!K233)</f>
        <v/>
      </c>
      <c r="M6480" s="67" t="str">
        <f t="shared" si="308"/>
        <v/>
      </c>
      <c r="N6480" s="76" t="str">
        <f t="shared" si="309"/>
        <v/>
      </c>
      <c r="O6480" s="33">
        <f t="shared" si="310"/>
        <v>0</v>
      </c>
    </row>
    <row r="6481" spans="1:15" x14ac:dyDescent="0.25">
      <c r="A6481" s="64" t="s">
        <v>210</v>
      </c>
      <c r="B6481" s="79" t="str">
        <f>IF('Twenty-Sixth'!B234="", "",'Twenty-Sixth'!B234)</f>
        <v/>
      </c>
      <c r="C6481" s="66" t="str">
        <f>IF('Twenty-Sixth'!C234="", "",'Twenty-Sixth'!C234)</f>
        <v/>
      </c>
      <c r="D6481" s="66" t="str">
        <f>IF('Twenty-Sixth'!D234="", "",'Twenty-Sixth'!D234)</f>
        <v/>
      </c>
      <c r="E6481" s="66" t="str">
        <f>IF('Twenty-Sixth'!E234="", "",'Twenty-Sixth'!E234)</f>
        <v/>
      </c>
      <c r="F6481" s="66" t="str">
        <f>IF('Twenty-Sixth'!F234="", "",'Twenty-Sixth'!F234)</f>
        <v/>
      </c>
      <c r="G6481" s="66" t="str">
        <f>IF('Twenty-Sixth'!G234="", "",'Twenty-Sixth'!G234)</f>
        <v/>
      </c>
      <c r="H6481" s="66" t="str">
        <f>IF('Twenty-Sixth'!H234="", "",'Twenty-Sixth'!H234)</f>
        <v/>
      </c>
      <c r="I6481" s="66" t="str">
        <f>IF('Twenty-Sixth'!I234="", "",'Twenty-Sixth'!I234)</f>
        <v/>
      </c>
      <c r="J6481" s="66" t="str">
        <f>IF('Twenty-Sixth'!J234="", "",'Twenty-Sixth'!J234)</f>
        <v/>
      </c>
      <c r="K6481" s="86" t="str">
        <f>IF('Twenty-Sixth'!K234="", "",'Twenty-Sixth'!K234)</f>
        <v/>
      </c>
      <c r="M6481" s="67" t="str">
        <f t="shared" si="308"/>
        <v/>
      </c>
      <c r="N6481" s="76" t="str">
        <f t="shared" si="309"/>
        <v/>
      </c>
      <c r="O6481" s="33">
        <f t="shared" si="310"/>
        <v>0</v>
      </c>
    </row>
    <row r="6482" spans="1:15" x14ac:dyDescent="0.25">
      <c r="A6482" s="64" t="s">
        <v>210</v>
      </c>
      <c r="B6482" s="79" t="str">
        <f>IF('Twenty-Sixth'!B235="", "",'Twenty-Sixth'!B235)</f>
        <v/>
      </c>
      <c r="C6482" s="66" t="str">
        <f>IF('Twenty-Sixth'!C235="", "",'Twenty-Sixth'!C235)</f>
        <v/>
      </c>
      <c r="D6482" s="66" t="str">
        <f>IF('Twenty-Sixth'!D235="", "",'Twenty-Sixth'!D235)</f>
        <v/>
      </c>
      <c r="E6482" s="66" t="str">
        <f>IF('Twenty-Sixth'!E235="", "",'Twenty-Sixth'!E235)</f>
        <v/>
      </c>
      <c r="F6482" s="66" t="str">
        <f>IF('Twenty-Sixth'!F235="", "",'Twenty-Sixth'!F235)</f>
        <v/>
      </c>
      <c r="G6482" s="66" t="str">
        <f>IF('Twenty-Sixth'!G235="", "",'Twenty-Sixth'!G235)</f>
        <v/>
      </c>
      <c r="H6482" s="66" t="str">
        <f>IF('Twenty-Sixth'!H235="", "",'Twenty-Sixth'!H235)</f>
        <v/>
      </c>
      <c r="I6482" s="66" t="str">
        <f>IF('Twenty-Sixth'!I235="", "",'Twenty-Sixth'!I235)</f>
        <v/>
      </c>
      <c r="J6482" s="66" t="str">
        <f>IF('Twenty-Sixth'!J235="", "",'Twenty-Sixth'!J235)</f>
        <v/>
      </c>
      <c r="K6482" s="86" t="str">
        <f>IF('Twenty-Sixth'!K235="", "",'Twenty-Sixth'!K235)</f>
        <v/>
      </c>
      <c r="M6482" s="67" t="str">
        <f t="shared" si="308"/>
        <v/>
      </c>
      <c r="N6482" s="76" t="str">
        <f t="shared" si="309"/>
        <v/>
      </c>
      <c r="O6482" s="33">
        <f t="shared" si="310"/>
        <v>0</v>
      </c>
    </row>
    <row r="6483" spans="1:15" x14ac:dyDescent="0.25">
      <c r="A6483" s="64" t="s">
        <v>210</v>
      </c>
      <c r="B6483" s="79" t="str">
        <f>IF('Twenty-Sixth'!B236="", "",'Twenty-Sixth'!B236)</f>
        <v/>
      </c>
      <c r="C6483" s="66" t="str">
        <f>IF('Twenty-Sixth'!C236="", "",'Twenty-Sixth'!C236)</f>
        <v/>
      </c>
      <c r="D6483" s="66" t="str">
        <f>IF('Twenty-Sixth'!D236="", "",'Twenty-Sixth'!D236)</f>
        <v/>
      </c>
      <c r="E6483" s="66" t="str">
        <f>IF('Twenty-Sixth'!E236="", "",'Twenty-Sixth'!E236)</f>
        <v/>
      </c>
      <c r="F6483" s="66" t="str">
        <f>IF('Twenty-Sixth'!F236="", "",'Twenty-Sixth'!F236)</f>
        <v/>
      </c>
      <c r="G6483" s="66" t="str">
        <f>IF('Twenty-Sixth'!G236="", "",'Twenty-Sixth'!G236)</f>
        <v/>
      </c>
      <c r="H6483" s="66" t="str">
        <f>IF('Twenty-Sixth'!H236="", "",'Twenty-Sixth'!H236)</f>
        <v/>
      </c>
      <c r="I6483" s="66" t="str">
        <f>IF('Twenty-Sixth'!I236="", "",'Twenty-Sixth'!I236)</f>
        <v/>
      </c>
      <c r="J6483" s="66" t="str">
        <f>IF('Twenty-Sixth'!J236="", "",'Twenty-Sixth'!J236)</f>
        <v/>
      </c>
      <c r="K6483" s="86" t="str">
        <f>IF('Twenty-Sixth'!K236="", "",'Twenty-Sixth'!K236)</f>
        <v/>
      </c>
      <c r="M6483" s="67" t="str">
        <f t="shared" si="308"/>
        <v/>
      </c>
      <c r="N6483" s="76" t="str">
        <f t="shared" si="309"/>
        <v/>
      </c>
      <c r="O6483" s="33">
        <f t="shared" si="310"/>
        <v>0</v>
      </c>
    </row>
    <row r="6484" spans="1:15" x14ac:dyDescent="0.25">
      <c r="A6484" s="64" t="s">
        <v>210</v>
      </c>
      <c r="B6484" s="79" t="str">
        <f>IF('Twenty-Sixth'!B237="", "",'Twenty-Sixth'!B237)</f>
        <v/>
      </c>
      <c r="C6484" s="66" t="str">
        <f>IF('Twenty-Sixth'!C237="", "",'Twenty-Sixth'!C237)</f>
        <v/>
      </c>
      <c r="D6484" s="66" t="str">
        <f>IF('Twenty-Sixth'!D237="", "",'Twenty-Sixth'!D237)</f>
        <v/>
      </c>
      <c r="E6484" s="66" t="str">
        <f>IF('Twenty-Sixth'!E237="", "",'Twenty-Sixth'!E237)</f>
        <v/>
      </c>
      <c r="F6484" s="66" t="str">
        <f>IF('Twenty-Sixth'!F237="", "",'Twenty-Sixth'!F237)</f>
        <v/>
      </c>
      <c r="G6484" s="66" t="str">
        <f>IF('Twenty-Sixth'!G237="", "",'Twenty-Sixth'!G237)</f>
        <v/>
      </c>
      <c r="H6484" s="66" t="str">
        <f>IF('Twenty-Sixth'!H237="", "",'Twenty-Sixth'!H237)</f>
        <v/>
      </c>
      <c r="I6484" s="66" t="str">
        <f>IF('Twenty-Sixth'!I237="", "",'Twenty-Sixth'!I237)</f>
        <v/>
      </c>
      <c r="J6484" s="66" t="str">
        <f>IF('Twenty-Sixth'!J237="", "",'Twenty-Sixth'!J237)</f>
        <v/>
      </c>
      <c r="K6484" s="86" t="str">
        <f>IF('Twenty-Sixth'!K237="", "",'Twenty-Sixth'!K237)</f>
        <v/>
      </c>
      <c r="M6484" s="67" t="str">
        <f t="shared" si="308"/>
        <v/>
      </c>
      <c r="N6484" s="76" t="str">
        <f t="shared" si="309"/>
        <v/>
      </c>
      <c r="O6484" s="33">
        <f t="shared" si="310"/>
        <v>0</v>
      </c>
    </row>
    <row r="6485" spans="1:15" x14ac:dyDescent="0.25">
      <c r="A6485" s="64" t="s">
        <v>210</v>
      </c>
      <c r="B6485" s="79" t="str">
        <f>IF('Twenty-Sixth'!B238="", "",'Twenty-Sixth'!B238)</f>
        <v/>
      </c>
      <c r="C6485" s="66" t="str">
        <f>IF('Twenty-Sixth'!C238="", "",'Twenty-Sixth'!C238)</f>
        <v/>
      </c>
      <c r="D6485" s="66" t="str">
        <f>IF('Twenty-Sixth'!D238="", "",'Twenty-Sixth'!D238)</f>
        <v/>
      </c>
      <c r="E6485" s="66" t="str">
        <f>IF('Twenty-Sixth'!E238="", "",'Twenty-Sixth'!E238)</f>
        <v/>
      </c>
      <c r="F6485" s="66" t="str">
        <f>IF('Twenty-Sixth'!F238="", "",'Twenty-Sixth'!F238)</f>
        <v/>
      </c>
      <c r="G6485" s="66" t="str">
        <f>IF('Twenty-Sixth'!G238="", "",'Twenty-Sixth'!G238)</f>
        <v/>
      </c>
      <c r="H6485" s="66" t="str">
        <f>IF('Twenty-Sixth'!H238="", "",'Twenty-Sixth'!H238)</f>
        <v/>
      </c>
      <c r="I6485" s="66" t="str">
        <f>IF('Twenty-Sixth'!I238="", "",'Twenty-Sixth'!I238)</f>
        <v/>
      </c>
      <c r="J6485" s="66" t="str">
        <f>IF('Twenty-Sixth'!J238="", "",'Twenty-Sixth'!J238)</f>
        <v/>
      </c>
      <c r="K6485" s="86" t="str">
        <f>IF('Twenty-Sixth'!K238="", "",'Twenty-Sixth'!K238)</f>
        <v/>
      </c>
      <c r="M6485" s="67" t="str">
        <f t="shared" si="308"/>
        <v/>
      </c>
      <c r="N6485" s="76" t="str">
        <f t="shared" si="309"/>
        <v/>
      </c>
      <c r="O6485" s="33">
        <f t="shared" si="310"/>
        <v>0</v>
      </c>
    </row>
    <row r="6486" spans="1:15" x14ac:dyDescent="0.25">
      <c r="A6486" s="64" t="s">
        <v>210</v>
      </c>
      <c r="B6486" s="79" t="str">
        <f>IF('Twenty-Sixth'!B239="", "",'Twenty-Sixth'!B239)</f>
        <v/>
      </c>
      <c r="C6486" s="66" t="str">
        <f>IF('Twenty-Sixth'!C239="", "",'Twenty-Sixth'!C239)</f>
        <v/>
      </c>
      <c r="D6486" s="66" t="str">
        <f>IF('Twenty-Sixth'!D239="", "",'Twenty-Sixth'!D239)</f>
        <v/>
      </c>
      <c r="E6486" s="66" t="str">
        <f>IF('Twenty-Sixth'!E239="", "",'Twenty-Sixth'!E239)</f>
        <v/>
      </c>
      <c r="F6486" s="66" t="str">
        <f>IF('Twenty-Sixth'!F239="", "",'Twenty-Sixth'!F239)</f>
        <v/>
      </c>
      <c r="G6486" s="66" t="str">
        <f>IF('Twenty-Sixth'!G239="", "",'Twenty-Sixth'!G239)</f>
        <v/>
      </c>
      <c r="H6486" s="66" t="str">
        <f>IF('Twenty-Sixth'!H239="", "",'Twenty-Sixth'!H239)</f>
        <v/>
      </c>
      <c r="I6486" s="66" t="str">
        <f>IF('Twenty-Sixth'!I239="", "",'Twenty-Sixth'!I239)</f>
        <v/>
      </c>
      <c r="J6486" s="66" t="str">
        <f>IF('Twenty-Sixth'!J239="", "",'Twenty-Sixth'!J239)</f>
        <v/>
      </c>
      <c r="K6486" s="86" t="str">
        <f>IF('Twenty-Sixth'!K239="", "",'Twenty-Sixth'!K239)</f>
        <v/>
      </c>
      <c r="M6486" s="67" t="str">
        <f t="shared" si="308"/>
        <v/>
      </c>
      <c r="N6486" s="76" t="str">
        <f t="shared" si="309"/>
        <v/>
      </c>
      <c r="O6486" s="33">
        <f t="shared" si="310"/>
        <v>0</v>
      </c>
    </row>
    <row r="6487" spans="1:15" x14ac:dyDescent="0.25">
      <c r="A6487" s="64" t="s">
        <v>210</v>
      </c>
      <c r="B6487" s="79" t="str">
        <f>IF('Twenty-Sixth'!B240="", "",'Twenty-Sixth'!B240)</f>
        <v/>
      </c>
      <c r="C6487" s="66" t="str">
        <f>IF('Twenty-Sixth'!C240="", "",'Twenty-Sixth'!C240)</f>
        <v/>
      </c>
      <c r="D6487" s="66" t="str">
        <f>IF('Twenty-Sixth'!D240="", "",'Twenty-Sixth'!D240)</f>
        <v/>
      </c>
      <c r="E6487" s="66" t="str">
        <f>IF('Twenty-Sixth'!E240="", "",'Twenty-Sixth'!E240)</f>
        <v/>
      </c>
      <c r="F6487" s="66" t="str">
        <f>IF('Twenty-Sixth'!F240="", "",'Twenty-Sixth'!F240)</f>
        <v/>
      </c>
      <c r="G6487" s="66" t="str">
        <f>IF('Twenty-Sixth'!G240="", "",'Twenty-Sixth'!G240)</f>
        <v/>
      </c>
      <c r="H6487" s="66" t="str">
        <f>IF('Twenty-Sixth'!H240="", "",'Twenty-Sixth'!H240)</f>
        <v/>
      </c>
      <c r="I6487" s="66" t="str">
        <f>IF('Twenty-Sixth'!I240="", "",'Twenty-Sixth'!I240)</f>
        <v/>
      </c>
      <c r="J6487" s="66" t="str">
        <f>IF('Twenty-Sixth'!J240="", "",'Twenty-Sixth'!J240)</f>
        <v/>
      </c>
      <c r="K6487" s="86" t="str">
        <f>IF('Twenty-Sixth'!K240="", "",'Twenty-Sixth'!K240)</f>
        <v/>
      </c>
      <c r="M6487" s="67" t="str">
        <f t="shared" si="308"/>
        <v/>
      </c>
      <c r="N6487" s="76" t="str">
        <f t="shared" si="309"/>
        <v/>
      </c>
      <c r="O6487" s="33">
        <f t="shared" si="310"/>
        <v>0</v>
      </c>
    </row>
    <row r="6488" spans="1:15" x14ac:dyDescent="0.25">
      <c r="A6488" s="64" t="s">
        <v>210</v>
      </c>
      <c r="B6488" s="79" t="str">
        <f>IF('Twenty-Sixth'!B241="", "",'Twenty-Sixth'!B241)</f>
        <v/>
      </c>
      <c r="C6488" s="66" t="str">
        <f>IF('Twenty-Sixth'!C241="", "",'Twenty-Sixth'!C241)</f>
        <v/>
      </c>
      <c r="D6488" s="66" t="str">
        <f>IF('Twenty-Sixth'!D241="", "",'Twenty-Sixth'!D241)</f>
        <v/>
      </c>
      <c r="E6488" s="66" t="str">
        <f>IF('Twenty-Sixth'!E241="", "",'Twenty-Sixth'!E241)</f>
        <v/>
      </c>
      <c r="F6488" s="66" t="str">
        <f>IF('Twenty-Sixth'!F241="", "",'Twenty-Sixth'!F241)</f>
        <v/>
      </c>
      <c r="G6488" s="66" t="str">
        <f>IF('Twenty-Sixth'!G241="", "",'Twenty-Sixth'!G241)</f>
        <v/>
      </c>
      <c r="H6488" s="66" t="str">
        <f>IF('Twenty-Sixth'!H241="", "",'Twenty-Sixth'!H241)</f>
        <v/>
      </c>
      <c r="I6488" s="66" t="str">
        <f>IF('Twenty-Sixth'!I241="", "",'Twenty-Sixth'!I241)</f>
        <v/>
      </c>
      <c r="J6488" s="66" t="str">
        <f>IF('Twenty-Sixth'!J241="", "",'Twenty-Sixth'!J241)</f>
        <v/>
      </c>
      <c r="K6488" s="86" t="str">
        <f>IF('Twenty-Sixth'!K241="", "",'Twenty-Sixth'!K241)</f>
        <v/>
      </c>
      <c r="M6488" s="67" t="str">
        <f t="shared" si="308"/>
        <v/>
      </c>
      <c r="N6488" s="76" t="str">
        <f t="shared" si="309"/>
        <v/>
      </c>
      <c r="O6488" s="33">
        <f t="shared" si="310"/>
        <v>0</v>
      </c>
    </row>
    <row r="6489" spans="1:15" x14ac:dyDescent="0.25">
      <c r="A6489" s="64" t="s">
        <v>210</v>
      </c>
      <c r="B6489" s="79" t="str">
        <f>IF('Twenty-Sixth'!B242="", "",'Twenty-Sixth'!B242)</f>
        <v/>
      </c>
      <c r="C6489" s="66" t="str">
        <f>IF('Twenty-Sixth'!C242="", "",'Twenty-Sixth'!C242)</f>
        <v/>
      </c>
      <c r="D6489" s="66" t="str">
        <f>IF('Twenty-Sixth'!D242="", "",'Twenty-Sixth'!D242)</f>
        <v/>
      </c>
      <c r="E6489" s="66" t="str">
        <f>IF('Twenty-Sixth'!E242="", "",'Twenty-Sixth'!E242)</f>
        <v/>
      </c>
      <c r="F6489" s="66" t="str">
        <f>IF('Twenty-Sixth'!F242="", "",'Twenty-Sixth'!F242)</f>
        <v/>
      </c>
      <c r="G6489" s="66" t="str">
        <f>IF('Twenty-Sixth'!G242="", "",'Twenty-Sixth'!G242)</f>
        <v/>
      </c>
      <c r="H6489" s="66" t="str">
        <f>IF('Twenty-Sixth'!H242="", "",'Twenty-Sixth'!H242)</f>
        <v/>
      </c>
      <c r="I6489" s="66" t="str">
        <f>IF('Twenty-Sixth'!I242="", "",'Twenty-Sixth'!I242)</f>
        <v/>
      </c>
      <c r="J6489" s="66" t="str">
        <f>IF('Twenty-Sixth'!J242="", "",'Twenty-Sixth'!J242)</f>
        <v/>
      </c>
      <c r="K6489" s="86" t="str">
        <f>IF('Twenty-Sixth'!K242="", "",'Twenty-Sixth'!K242)</f>
        <v/>
      </c>
      <c r="M6489" s="67" t="str">
        <f t="shared" si="308"/>
        <v/>
      </c>
      <c r="N6489" s="76" t="str">
        <f t="shared" si="309"/>
        <v/>
      </c>
      <c r="O6489" s="33">
        <f t="shared" si="310"/>
        <v>0</v>
      </c>
    </row>
    <row r="6490" spans="1:15" x14ac:dyDescent="0.25">
      <c r="A6490" s="64" t="s">
        <v>210</v>
      </c>
      <c r="B6490" s="79" t="str">
        <f>IF('Twenty-Sixth'!B243="", "",'Twenty-Sixth'!B243)</f>
        <v/>
      </c>
      <c r="C6490" s="66" t="str">
        <f>IF('Twenty-Sixth'!C243="", "",'Twenty-Sixth'!C243)</f>
        <v/>
      </c>
      <c r="D6490" s="66" t="str">
        <f>IF('Twenty-Sixth'!D243="", "",'Twenty-Sixth'!D243)</f>
        <v/>
      </c>
      <c r="E6490" s="66" t="str">
        <f>IF('Twenty-Sixth'!E243="", "",'Twenty-Sixth'!E243)</f>
        <v/>
      </c>
      <c r="F6490" s="66" t="str">
        <f>IF('Twenty-Sixth'!F243="", "",'Twenty-Sixth'!F243)</f>
        <v/>
      </c>
      <c r="G6490" s="66" t="str">
        <f>IF('Twenty-Sixth'!G243="", "",'Twenty-Sixth'!G243)</f>
        <v/>
      </c>
      <c r="H6490" s="66" t="str">
        <f>IF('Twenty-Sixth'!H243="", "",'Twenty-Sixth'!H243)</f>
        <v/>
      </c>
      <c r="I6490" s="66" t="str">
        <f>IF('Twenty-Sixth'!I243="", "",'Twenty-Sixth'!I243)</f>
        <v/>
      </c>
      <c r="J6490" s="66" t="str">
        <f>IF('Twenty-Sixth'!J243="", "",'Twenty-Sixth'!J243)</f>
        <v/>
      </c>
      <c r="K6490" s="86" t="str">
        <f>IF('Twenty-Sixth'!K243="", "",'Twenty-Sixth'!K243)</f>
        <v/>
      </c>
      <c r="M6490" s="67" t="str">
        <f t="shared" si="308"/>
        <v/>
      </c>
      <c r="N6490" s="76" t="str">
        <f t="shared" si="309"/>
        <v/>
      </c>
      <c r="O6490" s="33">
        <f t="shared" si="310"/>
        <v>0</v>
      </c>
    </row>
    <row r="6491" spans="1:15" x14ac:dyDescent="0.25">
      <c r="A6491" s="64" t="s">
        <v>210</v>
      </c>
      <c r="B6491" s="79" t="str">
        <f>IF('Twenty-Sixth'!B244="", "",'Twenty-Sixth'!B244)</f>
        <v/>
      </c>
      <c r="C6491" s="66" t="str">
        <f>IF('Twenty-Sixth'!C244="", "",'Twenty-Sixth'!C244)</f>
        <v/>
      </c>
      <c r="D6491" s="66" t="str">
        <f>IF('Twenty-Sixth'!D244="", "",'Twenty-Sixth'!D244)</f>
        <v/>
      </c>
      <c r="E6491" s="66" t="str">
        <f>IF('Twenty-Sixth'!E244="", "",'Twenty-Sixth'!E244)</f>
        <v/>
      </c>
      <c r="F6491" s="66" t="str">
        <f>IF('Twenty-Sixth'!F244="", "",'Twenty-Sixth'!F244)</f>
        <v/>
      </c>
      <c r="G6491" s="66" t="str">
        <f>IF('Twenty-Sixth'!G244="", "",'Twenty-Sixth'!G244)</f>
        <v/>
      </c>
      <c r="H6491" s="66" t="str">
        <f>IF('Twenty-Sixth'!H244="", "",'Twenty-Sixth'!H244)</f>
        <v/>
      </c>
      <c r="I6491" s="66" t="str">
        <f>IF('Twenty-Sixth'!I244="", "",'Twenty-Sixth'!I244)</f>
        <v/>
      </c>
      <c r="J6491" s="66" t="str">
        <f>IF('Twenty-Sixth'!J244="", "",'Twenty-Sixth'!J244)</f>
        <v/>
      </c>
      <c r="K6491" s="86" t="str">
        <f>IF('Twenty-Sixth'!K244="", "",'Twenty-Sixth'!K244)</f>
        <v/>
      </c>
      <c r="M6491" s="67" t="str">
        <f t="shared" si="308"/>
        <v/>
      </c>
      <c r="N6491" s="76" t="str">
        <f t="shared" si="309"/>
        <v/>
      </c>
      <c r="O6491" s="33">
        <f t="shared" si="310"/>
        <v>0</v>
      </c>
    </row>
    <row r="6492" spans="1:15" x14ac:dyDescent="0.25">
      <c r="A6492" s="64" t="s">
        <v>210</v>
      </c>
      <c r="B6492" s="79" t="str">
        <f>IF('Twenty-Sixth'!B245="", "",'Twenty-Sixth'!B245)</f>
        <v/>
      </c>
      <c r="C6492" s="66" t="str">
        <f>IF('Twenty-Sixth'!C245="", "",'Twenty-Sixth'!C245)</f>
        <v/>
      </c>
      <c r="D6492" s="66" t="str">
        <f>IF('Twenty-Sixth'!D245="", "",'Twenty-Sixth'!D245)</f>
        <v/>
      </c>
      <c r="E6492" s="66" t="str">
        <f>IF('Twenty-Sixth'!E245="", "",'Twenty-Sixth'!E245)</f>
        <v/>
      </c>
      <c r="F6492" s="66" t="str">
        <f>IF('Twenty-Sixth'!F245="", "",'Twenty-Sixth'!F245)</f>
        <v/>
      </c>
      <c r="G6492" s="66" t="str">
        <f>IF('Twenty-Sixth'!G245="", "",'Twenty-Sixth'!G245)</f>
        <v/>
      </c>
      <c r="H6492" s="66" t="str">
        <f>IF('Twenty-Sixth'!H245="", "",'Twenty-Sixth'!H245)</f>
        <v/>
      </c>
      <c r="I6492" s="66" t="str">
        <f>IF('Twenty-Sixth'!I245="", "",'Twenty-Sixth'!I245)</f>
        <v/>
      </c>
      <c r="J6492" s="66" t="str">
        <f>IF('Twenty-Sixth'!J245="", "",'Twenty-Sixth'!J245)</f>
        <v/>
      </c>
      <c r="K6492" s="86" t="str">
        <f>IF('Twenty-Sixth'!K245="", "",'Twenty-Sixth'!K245)</f>
        <v/>
      </c>
      <c r="M6492" s="67" t="str">
        <f t="shared" si="308"/>
        <v/>
      </c>
      <c r="N6492" s="76" t="str">
        <f t="shared" si="309"/>
        <v/>
      </c>
      <c r="O6492" s="33">
        <f t="shared" si="310"/>
        <v>0</v>
      </c>
    </row>
    <row r="6493" spans="1:15" x14ac:dyDescent="0.25">
      <c r="A6493" s="64" t="s">
        <v>210</v>
      </c>
      <c r="B6493" s="79" t="str">
        <f>IF('Twenty-Sixth'!B246="", "",'Twenty-Sixth'!B246)</f>
        <v/>
      </c>
      <c r="C6493" s="66" t="str">
        <f>IF('Twenty-Sixth'!C246="", "",'Twenty-Sixth'!C246)</f>
        <v/>
      </c>
      <c r="D6493" s="66" t="str">
        <f>IF('Twenty-Sixth'!D246="", "",'Twenty-Sixth'!D246)</f>
        <v/>
      </c>
      <c r="E6493" s="66" t="str">
        <f>IF('Twenty-Sixth'!E246="", "",'Twenty-Sixth'!E246)</f>
        <v/>
      </c>
      <c r="F6493" s="66" t="str">
        <f>IF('Twenty-Sixth'!F246="", "",'Twenty-Sixth'!F246)</f>
        <v/>
      </c>
      <c r="G6493" s="66" t="str">
        <f>IF('Twenty-Sixth'!G246="", "",'Twenty-Sixth'!G246)</f>
        <v/>
      </c>
      <c r="H6493" s="66" t="str">
        <f>IF('Twenty-Sixth'!H246="", "",'Twenty-Sixth'!H246)</f>
        <v/>
      </c>
      <c r="I6493" s="66" t="str">
        <f>IF('Twenty-Sixth'!I246="", "",'Twenty-Sixth'!I246)</f>
        <v/>
      </c>
      <c r="J6493" s="66" t="str">
        <f>IF('Twenty-Sixth'!J246="", "",'Twenty-Sixth'!J246)</f>
        <v/>
      </c>
      <c r="K6493" s="86" t="str">
        <f>IF('Twenty-Sixth'!K246="", "",'Twenty-Sixth'!K246)</f>
        <v/>
      </c>
      <c r="M6493" s="67" t="str">
        <f t="shared" si="308"/>
        <v/>
      </c>
      <c r="N6493" s="76" t="str">
        <f t="shared" si="309"/>
        <v/>
      </c>
      <c r="O6493" s="33">
        <f t="shared" si="310"/>
        <v>0</v>
      </c>
    </row>
    <row r="6494" spans="1:15" x14ac:dyDescent="0.25">
      <c r="A6494" s="64" t="s">
        <v>210</v>
      </c>
      <c r="B6494" s="79" t="str">
        <f>IF('Twenty-Sixth'!B247="", "",'Twenty-Sixth'!B247)</f>
        <v/>
      </c>
      <c r="C6494" s="66" t="str">
        <f>IF('Twenty-Sixth'!C247="", "",'Twenty-Sixth'!C247)</f>
        <v/>
      </c>
      <c r="D6494" s="66" t="str">
        <f>IF('Twenty-Sixth'!D247="", "",'Twenty-Sixth'!D247)</f>
        <v/>
      </c>
      <c r="E6494" s="66" t="str">
        <f>IF('Twenty-Sixth'!E247="", "",'Twenty-Sixth'!E247)</f>
        <v/>
      </c>
      <c r="F6494" s="66" t="str">
        <f>IF('Twenty-Sixth'!F247="", "",'Twenty-Sixth'!F247)</f>
        <v/>
      </c>
      <c r="G6494" s="66" t="str">
        <f>IF('Twenty-Sixth'!G247="", "",'Twenty-Sixth'!G247)</f>
        <v/>
      </c>
      <c r="H6494" s="66" t="str">
        <f>IF('Twenty-Sixth'!H247="", "",'Twenty-Sixth'!H247)</f>
        <v/>
      </c>
      <c r="I6494" s="66" t="str">
        <f>IF('Twenty-Sixth'!I247="", "",'Twenty-Sixth'!I247)</f>
        <v/>
      </c>
      <c r="J6494" s="66" t="str">
        <f>IF('Twenty-Sixth'!J247="", "",'Twenty-Sixth'!J247)</f>
        <v/>
      </c>
      <c r="K6494" s="86" t="str">
        <f>IF('Twenty-Sixth'!K247="", "",'Twenty-Sixth'!K247)</f>
        <v/>
      </c>
      <c r="M6494" s="67" t="str">
        <f t="shared" si="308"/>
        <v/>
      </c>
      <c r="N6494" s="76" t="str">
        <f t="shared" si="309"/>
        <v/>
      </c>
      <c r="O6494" s="33">
        <f t="shared" si="310"/>
        <v>0</v>
      </c>
    </row>
    <row r="6495" spans="1:15" x14ac:dyDescent="0.25">
      <c r="A6495" s="64" t="s">
        <v>210</v>
      </c>
      <c r="B6495" s="79" t="str">
        <f>IF('Twenty-Sixth'!B248="", "",'Twenty-Sixth'!B248)</f>
        <v/>
      </c>
      <c r="C6495" s="66" t="str">
        <f>IF('Twenty-Sixth'!C248="", "",'Twenty-Sixth'!C248)</f>
        <v/>
      </c>
      <c r="D6495" s="66" t="str">
        <f>IF('Twenty-Sixth'!D248="", "",'Twenty-Sixth'!D248)</f>
        <v/>
      </c>
      <c r="E6495" s="66" t="str">
        <f>IF('Twenty-Sixth'!E248="", "",'Twenty-Sixth'!E248)</f>
        <v/>
      </c>
      <c r="F6495" s="66" t="str">
        <f>IF('Twenty-Sixth'!F248="", "",'Twenty-Sixth'!F248)</f>
        <v/>
      </c>
      <c r="G6495" s="66" t="str">
        <f>IF('Twenty-Sixth'!G248="", "",'Twenty-Sixth'!G248)</f>
        <v/>
      </c>
      <c r="H6495" s="66" t="str">
        <f>IF('Twenty-Sixth'!H248="", "",'Twenty-Sixth'!H248)</f>
        <v/>
      </c>
      <c r="I6495" s="66" t="str">
        <f>IF('Twenty-Sixth'!I248="", "",'Twenty-Sixth'!I248)</f>
        <v/>
      </c>
      <c r="J6495" s="66" t="str">
        <f>IF('Twenty-Sixth'!J248="", "",'Twenty-Sixth'!J248)</f>
        <v/>
      </c>
      <c r="K6495" s="86" t="str">
        <f>IF('Twenty-Sixth'!K248="", "",'Twenty-Sixth'!K248)</f>
        <v/>
      </c>
      <c r="M6495" s="67" t="str">
        <f t="shared" si="308"/>
        <v/>
      </c>
      <c r="N6495" s="76" t="str">
        <f t="shared" si="309"/>
        <v/>
      </c>
      <c r="O6495" s="33">
        <f t="shared" si="310"/>
        <v>0</v>
      </c>
    </row>
    <row r="6496" spans="1:15" x14ac:dyDescent="0.25">
      <c r="A6496" s="64" t="s">
        <v>210</v>
      </c>
      <c r="B6496" s="79" t="str">
        <f>IF('Twenty-Sixth'!B249="", "",'Twenty-Sixth'!B249)</f>
        <v/>
      </c>
      <c r="C6496" s="66" t="str">
        <f>IF('Twenty-Sixth'!C249="", "",'Twenty-Sixth'!C249)</f>
        <v/>
      </c>
      <c r="D6496" s="66" t="str">
        <f>IF('Twenty-Sixth'!D249="", "",'Twenty-Sixth'!D249)</f>
        <v/>
      </c>
      <c r="E6496" s="66" t="str">
        <f>IF('Twenty-Sixth'!E249="", "",'Twenty-Sixth'!E249)</f>
        <v/>
      </c>
      <c r="F6496" s="66" t="str">
        <f>IF('Twenty-Sixth'!F249="", "",'Twenty-Sixth'!F249)</f>
        <v/>
      </c>
      <c r="G6496" s="66" t="str">
        <f>IF('Twenty-Sixth'!G249="", "",'Twenty-Sixth'!G249)</f>
        <v/>
      </c>
      <c r="H6496" s="66" t="str">
        <f>IF('Twenty-Sixth'!H249="", "",'Twenty-Sixth'!H249)</f>
        <v/>
      </c>
      <c r="I6496" s="66" t="str">
        <f>IF('Twenty-Sixth'!I249="", "",'Twenty-Sixth'!I249)</f>
        <v/>
      </c>
      <c r="J6496" s="66" t="str">
        <f>IF('Twenty-Sixth'!J249="", "",'Twenty-Sixth'!J249)</f>
        <v/>
      </c>
      <c r="K6496" s="86" t="str">
        <f>IF('Twenty-Sixth'!K249="", "",'Twenty-Sixth'!K249)</f>
        <v/>
      </c>
      <c r="M6496" s="67" t="str">
        <f t="shared" si="308"/>
        <v/>
      </c>
      <c r="N6496" s="76" t="str">
        <f t="shared" si="309"/>
        <v/>
      </c>
      <c r="O6496" s="33">
        <f t="shared" si="310"/>
        <v>0</v>
      </c>
    </row>
    <row r="6497" spans="1:15" x14ac:dyDescent="0.25">
      <c r="A6497" s="64" t="s">
        <v>210</v>
      </c>
      <c r="B6497" s="79" t="str">
        <f>IF('Twenty-Sixth'!B250="", "",'Twenty-Sixth'!B250)</f>
        <v/>
      </c>
      <c r="C6497" s="66" t="str">
        <f>IF('Twenty-Sixth'!C250="", "",'Twenty-Sixth'!C250)</f>
        <v/>
      </c>
      <c r="D6497" s="66" t="str">
        <f>IF('Twenty-Sixth'!D250="", "",'Twenty-Sixth'!D250)</f>
        <v/>
      </c>
      <c r="E6497" s="66" t="str">
        <f>IF('Twenty-Sixth'!E250="", "",'Twenty-Sixth'!E250)</f>
        <v/>
      </c>
      <c r="F6497" s="66" t="str">
        <f>IF('Twenty-Sixth'!F250="", "",'Twenty-Sixth'!F250)</f>
        <v/>
      </c>
      <c r="G6497" s="66" t="str">
        <f>IF('Twenty-Sixth'!G250="", "",'Twenty-Sixth'!G250)</f>
        <v/>
      </c>
      <c r="H6497" s="66" t="str">
        <f>IF('Twenty-Sixth'!H250="", "",'Twenty-Sixth'!H250)</f>
        <v/>
      </c>
      <c r="I6497" s="66" t="str">
        <f>IF('Twenty-Sixth'!I250="", "",'Twenty-Sixth'!I250)</f>
        <v/>
      </c>
      <c r="J6497" s="66" t="str">
        <f>IF('Twenty-Sixth'!J250="", "",'Twenty-Sixth'!J250)</f>
        <v/>
      </c>
      <c r="K6497" s="86" t="str">
        <f>IF('Twenty-Sixth'!K250="", "",'Twenty-Sixth'!K250)</f>
        <v/>
      </c>
      <c r="M6497" s="67" t="str">
        <f t="shared" si="308"/>
        <v/>
      </c>
      <c r="N6497" s="76" t="str">
        <f t="shared" si="309"/>
        <v/>
      </c>
      <c r="O6497" s="33">
        <f t="shared" si="310"/>
        <v>0</v>
      </c>
    </row>
    <row r="6498" spans="1:15" x14ac:dyDescent="0.25">
      <c r="A6498" s="64" t="s">
        <v>210</v>
      </c>
      <c r="B6498" s="79" t="str">
        <f>IF('Twenty-Sixth'!B251="", "",'Twenty-Sixth'!B251)</f>
        <v/>
      </c>
      <c r="C6498" s="66" t="str">
        <f>IF('Twenty-Sixth'!C251="", "",'Twenty-Sixth'!C251)</f>
        <v/>
      </c>
      <c r="D6498" s="66" t="str">
        <f>IF('Twenty-Sixth'!D251="", "",'Twenty-Sixth'!D251)</f>
        <v/>
      </c>
      <c r="E6498" s="66" t="str">
        <f>IF('Twenty-Sixth'!E251="", "",'Twenty-Sixth'!E251)</f>
        <v/>
      </c>
      <c r="F6498" s="66" t="str">
        <f>IF('Twenty-Sixth'!F251="", "",'Twenty-Sixth'!F251)</f>
        <v/>
      </c>
      <c r="G6498" s="66" t="str">
        <f>IF('Twenty-Sixth'!G251="", "",'Twenty-Sixth'!G251)</f>
        <v/>
      </c>
      <c r="H6498" s="66" t="str">
        <f>IF('Twenty-Sixth'!H251="", "",'Twenty-Sixth'!H251)</f>
        <v/>
      </c>
      <c r="I6498" s="66" t="str">
        <f>IF('Twenty-Sixth'!I251="", "",'Twenty-Sixth'!I251)</f>
        <v/>
      </c>
      <c r="J6498" s="66" t="str">
        <f>IF('Twenty-Sixth'!J251="", "",'Twenty-Sixth'!J251)</f>
        <v/>
      </c>
      <c r="K6498" s="86" t="str">
        <f>IF('Twenty-Sixth'!K251="", "",'Twenty-Sixth'!K251)</f>
        <v/>
      </c>
      <c r="M6498" s="67" t="str">
        <f t="shared" si="308"/>
        <v/>
      </c>
      <c r="N6498" s="76" t="str">
        <f t="shared" si="309"/>
        <v/>
      </c>
      <c r="O6498" s="33">
        <f t="shared" si="310"/>
        <v>0</v>
      </c>
    </row>
    <row r="6499" spans="1:15" x14ac:dyDescent="0.25">
      <c r="A6499" s="64" t="s">
        <v>210</v>
      </c>
      <c r="B6499" s="79" t="str">
        <f>IF('Twenty-Sixth'!B252="", "",'Twenty-Sixth'!B252)</f>
        <v/>
      </c>
      <c r="C6499" s="66" t="str">
        <f>IF('Twenty-Sixth'!C252="", "",'Twenty-Sixth'!C252)</f>
        <v/>
      </c>
      <c r="D6499" s="66" t="str">
        <f>IF('Twenty-Sixth'!D252="", "",'Twenty-Sixth'!D252)</f>
        <v/>
      </c>
      <c r="E6499" s="66" t="str">
        <f>IF('Twenty-Sixth'!E252="", "",'Twenty-Sixth'!E252)</f>
        <v/>
      </c>
      <c r="F6499" s="66" t="str">
        <f>IF('Twenty-Sixth'!F252="", "",'Twenty-Sixth'!F252)</f>
        <v/>
      </c>
      <c r="G6499" s="66" t="str">
        <f>IF('Twenty-Sixth'!G252="", "",'Twenty-Sixth'!G252)</f>
        <v/>
      </c>
      <c r="H6499" s="66" t="str">
        <f>IF('Twenty-Sixth'!H252="", "",'Twenty-Sixth'!H252)</f>
        <v/>
      </c>
      <c r="I6499" s="66" t="str">
        <f>IF('Twenty-Sixth'!I252="", "",'Twenty-Sixth'!I252)</f>
        <v/>
      </c>
      <c r="J6499" s="66" t="str">
        <f>IF('Twenty-Sixth'!J252="", "",'Twenty-Sixth'!J252)</f>
        <v/>
      </c>
      <c r="K6499" s="86" t="str">
        <f>IF('Twenty-Sixth'!K252="", "",'Twenty-Sixth'!K252)</f>
        <v/>
      </c>
      <c r="M6499" s="67" t="str">
        <f t="shared" si="308"/>
        <v/>
      </c>
      <c r="N6499" s="76" t="str">
        <f t="shared" si="309"/>
        <v/>
      </c>
      <c r="O6499" s="33">
        <f t="shared" si="310"/>
        <v>0</v>
      </c>
    </row>
    <row r="6500" spans="1:15" x14ac:dyDescent="0.25">
      <c r="A6500" s="64" t="s">
        <v>210</v>
      </c>
      <c r="B6500" s="79" t="str">
        <f>IF('Twenty-Sixth'!B253="", "",'Twenty-Sixth'!B253)</f>
        <v/>
      </c>
      <c r="C6500" s="66" t="str">
        <f>IF('Twenty-Sixth'!C253="", "",'Twenty-Sixth'!C253)</f>
        <v/>
      </c>
      <c r="D6500" s="66" t="str">
        <f>IF('Twenty-Sixth'!D253="", "",'Twenty-Sixth'!D253)</f>
        <v/>
      </c>
      <c r="E6500" s="66" t="str">
        <f>IF('Twenty-Sixth'!E253="", "",'Twenty-Sixth'!E253)</f>
        <v/>
      </c>
      <c r="F6500" s="66" t="str">
        <f>IF('Twenty-Sixth'!F253="", "",'Twenty-Sixth'!F253)</f>
        <v/>
      </c>
      <c r="G6500" s="66" t="str">
        <f>IF('Twenty-Sixth'!G253="", "",'Twenty-Sixth'!G253)</f>
        <v/>
      </c>
      <c r="H6500" s="66" t="str">
        <f>IF('Twenty-Sixth'!H253="", "",'Twenty-Sixth'!H253)</f>
        <v/>
      </c>
      <c r="I6500" s="66" t="str">
        <f>IF('Twenty-Sixth'!I253="", "",'Twenty-Sixth'!I253)</f>
        <v/>
      </c>
      <c r="J6500" s="66" t="str">
        <f>IF('Twenty-Sixth'!J253="", "",'Twenty-Sixth'!J253)</f>
        <v/>
      </c>
      <c r="K6500" s="86" t="str">
        <f>IF('Twenty-Sixth'!K253="", "",'Twenty-Sixth'!K253)</f>
        <v/>
      </c>
      <c r="M6500" s="67" t="str">
        <f t="shared" si="308"/>
        <v/>
      </c>
      <c r="N6500" s="76" t="str">
        <f t="shared" si="309"/>
        <v/>
      </c>
      <c r="O6500" s="33">
        <f t="shared" si="310"/>
        <v>0</v>
      </c>
    </row>
    <row r="6501" spans="1:15" ht="15.75" thickBot="1" x14ac:dyDescent="0.3">
      <c r="A6501" s="68" t="s">
        <v>210</v>
      </c>
      <c r="B6501" s="80" t="str">
        <f>IF('Twenty-Sixth'!B254="", "",'Twenty-Sixth'!B254)</f>
        <v/>
      </c>
      <c r="C6501" s="70" t="str">
        <f>IF('Twenty-Sixth'!C254="", "",'Twenty-Sixth'!C254)</f>
        <v/>
      </c>
      <c r="D6501" s="70" t="str">
        <f>IF('Twenty-Sixth'!D254="", "",'Twenty-Sixth'!D254)</f>
        <v/>
      </c>
      <c r="E6501" s="70" t="str">
        <f>IF('Twenty-Sixth'!E254="", "",'Twenty-Sixth'!E254)</f>
        <v/>
      </c>
      <c r="F6501" s="70" t="str">
        <f>IF('Twenty-Sixth'!F254="", "",'Twenty-Sixth'!F254)</f>
        <v/>
      </c>
      <c r="G6501" s="70" t="str">
        <f>IF('Twenty-Sixth'!G254="", "",'Twenty-Sixth'!G254)</f>
        <v/>
      </c>
      <c r="H6501" s="70" t="str">
        <f>IF('Twenty-Sixth'!H254="", "",'Twenty-Sixth'!H254)</f>
        <v/>
      </c>
      <c r="I6501" s="70" t="str">
        <f>IF('Twenty-Sixth'!I254="", "",'Twenty-Sixth'!I254)</f>
        <v/>
      </c>
      <c r="J6501" s="70" t="str">
        <f>IF('Twenty-Sixth'!J254="", "",'Twenty-Sixth'!J254)</f>
        <v/>
      </c>
      <c r="K6501" s="90" t="str">
        <f>IF('Twenty-Sixth'!K254="", "",'Twenty-Sixth'!K254)</f>
        <v/>
      </c>
      <c r="L6501" s="91"/>
      <c r="M6501" s="71" t="str">
        <f t="shared" si="308"/>
        <v/>
      </c>
      <c r="N6501" s="77" t="str">
        <f t="shared" si="309"/>
        <v/>
      </c>
      <c r="O6501" s="33">
        <f t="shared" si="310"/>
        <v>0</v>
      </c>
    </row>
    <row r="6502" spans="1:15" x14ac:dyDescent="0.25">
      <c r="A6502" s="64" t="s">
        <v>211</v>
      </c>
      <c r="B6502" s="79" t="str">
        <f>IF('Twenty-Seventh'!B5="", "",'Twenty-Seventh'!B5)</f>
        <v>CSS</v>
      </c>
      <c r="C6502" s="66" t="str">
        <f>IF('Twenty-Seventh'!C5="", "",'Twenty-Seventh'!C5)</f>
        <v>PwC</v>
      </c>
      <c r="D6502" s="66" t="str">
        <f>IF('Twenty-Seventh'!D5="", "",'Twenty-Seventh'!D5)</f>
        <v>Returning</v>
      </c>
      <c r="E6502" s="66" t="str">
        <f>IF('Twenty-Seventh'!E5="", "",'Twenty-Seventh'!E5)</f>
        <v>Female</v>
      </c>
      <c r="F6502" s="66" t="str">
        <f>IF('Twenty-Seventh'!F5="", "",'Twenty-Seventh'!F5)</f>
        <v>Lower GI</v>
      </c>
      <c r="G6502" s="66" t="str">
        <f>IF('Twenty-Seventh'!G5="", "",'Twenty-Seventh'!G5)</f>
        <v>Non-Curative Intent</v>
      </c>
      <c r="H6502" s="66" t="str">
        <f>IF('Twenty-Seventh'!H5="", "",'Twenty-Seventh'!H5)</f>
        <v>Drop-In</v>
      </c>
      <c r="I6502" s="66" t="str">
        <f>IF('Twenty-Seventh'!I5="", "",'Twenty-Seventh'!I5)</f>
        <v/>
      </c>
      <c r="J6502" s="66" t="str">
        <f>IF('Twenty-Seventh'!J5="", "",'Twenty-Seventh'!J5)</f>
        <v/>
      </c>
      <c r="K6502" s="86" t="str">
        <f>IF('Twenty-Seventh'!K5="", "",'Twenty-Seventh'!K5)</f>
        <v/>
      </c>
      <c r="M6502" s="67">
        <f t="shared" si="308"/>
        <v>7</v>
      </c>
      <c r="N6502" s="76" t="str">
        <f t="shared" si="309"/>
        <v/>
      </c>
      <c r="O6502" s="33">
        <f t="shared" si="310"/>
        <v>7</v>
      </c>
    </row>
    <row r="6503" spans="1:15" x14ac:dyDescent="0.25">
      <c r="A6503" s="64" t="s">
        <v>211</v>
      </c>
      <c r="B6503" s="79" t="str">
        <f>IF('Twenty-Seventh'!B6="", "",'Twenty-Seventh'!B6)</f>
        <v>CSS</v>
      </c>
      <c r="C6503" s="66" t="str">
        <f>IF('Twenty-Seventh'!C6="", "",'Twenty-Seventh'!C6)</f>
        <v>Professional</v>
      </c>
      <c r="D6503" s="66" t="str">
        <f>IF('Twenty-Seventh'!D6="", "",'Twenty-Seventh'!D6)</f>
        <v>Returning</v>
      </c>
      <c r="E6503" s="66" t="str">
        <f>IF('Twenty-Seventh'!E6="", "",'Twenty-Seventh'!E6)</f>
        <v>Female</v>
      </c>
      <c r="F6503" s="66" t="str">
        <f>IF('Twenty-Seventh'!F6="", "",'Twenty-Seventh'!F6)</f>
        <v>Lower GI</v>
      </c>
      <c r="G6503" s="66" t="str">
        <f>IF('Twenty-Seventh'!G6="", "",'Twenty-Seventh'!G6)</f>
        <v>Bereaved</v>
      </c>
      <c r="H6503" s="66" t="str">
        <f>IF('Twenty-Seventh'!H6="", "",'Twenty-Seventh'!H6)</f>
        <v>Booked</v>
      </c>
      <c r="I6503" s="66" t="str">
        <f>IF('Twenty-Seventh'!I6="", "",'Twenty-Seventh'!I6)</f>
        <v>Psych Support - Individual</v>
      </c>
      <c r="J6503" s="66" t="str">
        <f>IF('Twenty-Seventh'!J6="", "",'Twenty-Seventh'!J6)</f>
        <v/>
      </c>
      <c r="K6503" s="86" t="str">
        <f>IF('Twenty-Seventh'!K6="", "",'Twenty-Seventh'!K6)</f>
        <v/>
      </c>
      <c r="M6503" s="67" t="str">
        <f t="shared" si="308"/>
        <v/>
      </c>
      <c r="N6503" s="76" t="str">
        <f t="shared" si="309"/>
        <v/>
      </c>
      <c r="O6503" s="33">
        <f t="shared" si="310"/>
        <v>0</v>
      </c>
    </row>
    <row r="6504" spans="1:15" x14ac:dyDescent="0.25">
      <c r="A6504" s="64" t="s">
        <v>211</v>
      </c>
      <c r="B6504" s="79" t="str">
        <f>IF('Twenty-Seventh'!B7="", "",'Twenty-Seventh'!B7)</f>
        <v>CSS</v>
      </c>
      <c r="C6504" s="66" t="str">
        <f>IF('Twenty-Seventh'!C7="", "",'Twenty-Seventh'!C7)</f>
        <v>PwC</v>
      </c>
      <c r="D6504" s="66" t="str">
        <f>IF('Twenty-Seventh'!D7="", "",'Twenty-Seventh'!D7)</f>
        <v>Returning</v>
      </c>
      <c r="E6504" s="66" t="str">
        <f>IF('Twenty-Seventh'!E7="", "",'Twenty-Seventh'!E7)</f>
        <v>Female</v>
      </c>
      <c r="F6504" s="66" t="str">
        <f>IF('Twenty-Seventh'!F7="", "",'Twenty-Seventh'!F7)</f>
        <v>Gynae</v>
      </c>
      <c r="G6504" s="66" t="str">
        <f>IF('Twenty-Seventh'!G7="", "",'Twenty-Seventh'!G7)</f>
        <v>Non-Curative Intent</v>
      </c>
      <c r="H6504" s="66" t="str">
        <f>IF('Twenty-Seventh'!H7="", "",'Twenty-Seventh'!H7)</f>
        <v>Drop-In</v>
      </c>
      <c r="I6504" s="66" t="str">
        <f>IF('Twenty-Seventh'!I7="", "",'Twenty-Seventh'!I7)</f>
        <v/>
      </c>
      <c r="J6504" s="66" t="str">
        <f>IF('Twenty-Seventh'!J7="", "",'Twenty-Seventh'!J7)</f>
        <v/>
      </c>
      <c r="K6504" s="86" t="str">
        <f>IF('Twenty-Seventh'!K7="", "",'Twenty-Seventh'!K7)</f>
        <v/>
      </c>
      <c r="M6504" s="67">
        <f t="shared" si="308"/>
        <v>7</v>
      </c>
      <c r="N6504" s="76" t="str">
        <f t="shared" si="309"/>
        <v/>
      </c>
      <c r="O6504" s="33">
        <f t="shared" si="310"/>
        <v>7</v>
      </c>
    </row>
    <row r="6505" spans="1:15" x14ac:dyDescent="0.25">
      <c r="A6505" s="64" t="s">
        <v>211</v>
      </c>
      <c r="B6505" s="79" t="str">
        <f>IF('Twenty-Seventh'!B8="", "",'Twenty-Seventh'!B8)</f>
        <v>CSS</v>
      </c>
      <c r="C6505" s="66" t="str">
        <f>IF('Twenty-Seventh'!C8="", "",'Twenty-Seventh'!C8)</f>
        <v>Carer</v>
      </c>
      <c r="D6505" s="66" t="str">
        <f>IF('Twenty-Seventh'!D8="", "",'Twenty-Seventh'!D8)</f>
        <v>Returning</v>
      </c>
      <c r="E6505" s="66" t="str">
        <f>IF('Twenty-Seventh'!E8="", "",'Twenty-Seventh'!E8)</f>
        <v>Female</v>
      </c>
      <c r="F6505" s="66" t="str">
        <f>IF('Twenty-Seventh'!F8="", "",'Twenty-Seventh'!F8)</f>
        <v>Gynae</v>
      </c>
      <c r="G6505" s="66" t="str">
        <f>IF('Twenty-Seventh'!G8="", "",'Twenty-Seventh'!G8)</f>
        <v>Non-Curative Intent</v>
      </c>
      <c r="H6505" s="66" t="str">
        <f>IF('Twenty-Seventh'!H8="", "",'Twenty-Seventh'!H8)</f>
        <v>Drop-In</v>
      </c>
      <c r="I6505" s="66" t="str">
        <f>IF('Twenty-Seventh'!I8="", "",'Twenty-Seventh'!I8)</f>
        <v/>
      </c>
      <c r="J6505" s="66" t="str">
        <f>IF('Twenty-Seventh'!J8="", "",'Twenty-Seventh'!J8)</f>
        <v/>
      </c>
      <c r="K6505" s="86" t="str">
        <f>IF('Twenty-Seventh'!K8="", "",'Twenty-Seventh'!K8)</f>
        <v/>
      </c>
      <c r="M6505" s="67" t="str">
        <f t="shared" si="308"/>
        <v/>
      </c>
      <c r="N6505" s="76">
        <f t="shared" si="309"/>
        <v>7</v>
      </c>
      <c r="O6505" s="33">
        <f t="shared" si="310"/>
        <v>7</v>
      </c>
    </row>
    <row r="6506" spans="1:15" x14ac:dyDescent="0.25">
      <c r="A6506" s="64" t="s">
        <v>211</v>
      </c>
      <c r="B6506" s="79" t="str">
        <f>IF('Twenty-Seventh'!B9="", "",'Twenty-Seventh'!B9)</f>
        <v>CSS</v>
      </c>
      <c r="C6506" s="66" t="str">
        <f>IF('Twenty-Seventh'!C9="", "",'Twenty-Seventh'!C9)</f>
        <v>PwC</v>
      </c>
      <c r="D6506" s="66" t="str">
        <f>IF('Twenty-Seventh'!D9="", "",'Twenty-Seventh'!D9)</f>
        <v>Returning</v>
      </c>
      <c r="E6506" s="66" t="str">
        <f>IF('Twenty-Seventh'!E9="", "",'Twenty-Seventh'!E9)</f>
        <v>Female</v>
      </c>
      <c r="F6506" s="66" t="str">
        <f>IF('Twenty-Seventh'!F9="", "",'Twenty-Seventh'!F9)</f>
        <v>Gynae</v>
      </c>
      <c r="G6506" s="66" t="str">
        <f>IF('Twenty-Seventh'!G9="", "",'Twenty-Seventh'!G9)</f>
        <v>Non-Curative Intent</v>
      </c>
      <c r="H6506" s="66" t="str">
        <f>IF('Twenty-Seventh'!H9="", "",'Twenty-Seventh'!H9)</f>
        <v>Booked</v>
      </c>
      <c r="I6506" s="66" t="str">
        <f>IF('Twenty-Seventh'!I9="", "",'Twenty-Seventh'!I9)</f>
        <v>Psych Support - Individual</v>
      </c>
      <c r="J6506" s="66" t="str">
        <f>IF('Twenty-Seventh'!J9="", "",'Twenty-Seventh'!J9)</f>
        <v/>
      </c>
      <c r="K6506" s="86" t="str">
        <f>IF('Twenty-Seventh'!K9="", "",'Twenty-Seventh'!K9)</f>
        <v/>
      </c>
      <c r="M6506" s="67">
        <f t="shared" si="308"/>
        <v>7</v>
      </c>
      <c r="N6506" s="76" t="str">
        <f t="shared" si="309"/>
        <v/>
      </c>
      <c r="O6506" s="33">
        <f t="shared" si="310"/>
        <v>7</v>
      </c>
    </row>
    <row r="6507" spans="1:15" x14ac:dyDescent="0.25">
      <c r="A6507" s="64" t="s">
        <v>211</v>
      </c>
      <c r="B6507" s="79" t="str">
        <f>IF('Twenty-Seventh'!B10="", "",'Twenty-Seventh'!B10)</f>
        <v>CSS</v>
      </c>
      <c r="C6507" s="66" t="str">
        <f>IF('Twenty-Seventh'!C10="", "",'Twenty-Seventh'!C10)</f>
        <v>PwC</v>
      </c>
      <c r="D6507" s="66" t="str">
        <f>IF('Twenty-Seventh'!D10="", "",'Twenty-Seventh'!D10)</f>
        <v>Returning</v>
      </c>
      <c r="E6507" s="66" t="str">
        <f>IF('Twenty-Seventh'!E10="", "",'Twenty-Seventh'!E10)</f>
        <v>Male</v>
      </c>
      <c r="F6507" s="66" t="str">
        <f>IF('Twenty-Seventh'!F10="", "",'Twenty-Seventh'!F10)</f>
        <v>Brain/CNS</v>
      </c>
      <c r="G6507" s="66" t="str">
        <f>IF('Twenty-Seventh'!G10="", "",'Twenty-Seventh'!G10)</f>
        <v>Post Treatment - Curative Intent</v>
      </c>
      <c r="H6507" s="66" t="str">
        <f>IF('Twenty-Seventh'!H10="", "",'Twenty-Seventh'!H10)</f>
        <v>Booked</v>
      </c>
      <c r="I6507" s="66" t="str">
        <f>IF('Twenty-Seventh'!I10="", "",'Twenty-Seventh'!I10)</f>
        <v>Psych Support - Individual</v>
      </c>
      <c r="J6507" s="66" t="str">
        <f>IF('Twenty-Seventh'!J10="", "",'Twenty-Seventh'!J10)</f>
        <v/>
      </c>
      <c r="K6507" s="86" t="str">
        <f>IF('Twenty-Seventh'!K10="", "",'Twenty-Seventh'!K10)</f>
        <v/>
      </c>
      <c r="M6507" s="67">
        <f t="shared" si="308"/>
        <v>7</v>
      </c>
      <c r="N6507" s="76" t="str">
        <f t="shared" si="309"/>
        <v/>
      </c>
      <c r="O6507" s="33">
        <f t="shared" si="310"/>
        <v>7</v>
      </c>
    </row>
    <row r="6508" spans="1:15" x14ac:dyDescent="0.25">
      <c r="A6508" s="64" t="s">
        <v>211</v>
      </c>
      <c r="B6508" s="79" t="str">
        <f>IF('Twenty-Seventh'!B11="", "",'Twenty-Seventh'!B11)</f>
        <v>CSS</v>
      </c>
      <c r="C6508" s="66" t="str">
        <f>IF('Twenty-Seventh'!C11="", "",'Twenty-Seventh'!C11)</f>
        <v>Carer</v>
      </c>
      <c r="D6508" s="66" t="str">
        <f>IF('Twenty-Seventh'!D11="", "",'Twenty-Seventh'!D11)</f>
        <v>Returning</v>
      </c>
      <c r="E6508" s="66" t="str">
        <f>IF('Twenty-Seventh'!E11="", "",'Twenty-Seventh'!E11)</f>
        <v>Female</v>
      </c>
      <c r="F6508" s="66" t="str">
        <f>IF('Twenty-Seventh'!F11="", "",'Twenty-Seventh'!F11)</f>
        <v>Brain/CNS</v>
      </c>
      <c r="G6508" s="66" t="str">
        <f>IF('Twenty-Seventh'!G11="", "",'Twenty-Seventh'!G11)</f>
        <v>Post Treatment - Curative Intent</v>
      </c>
      <c r="H6508" s="66" t="str">
        <f>IF('Twenty-Seventh'!H11="", "",'Twenty-Seventh'!H11)</f>
        <v>Drop-In</v>
      </c>
      <c r="I6508" s="66" t="str">
        <f>IF('Twenty-Seventh'!I11="", "",'Twenty-Seventh'!I11)</f>
        <v/>
      </c>
      <c r="J6508" s="66" t="str">
        <f>IF('Twenty-Seventh'!J11="", "",'Twenty-Seventh'!J11)</f>
        <v/>
      </c>
      <c r="K6508" s="86" t="str">
        <f>IF('Twenty-Seventh'!K11="", "",'Twenty-Seventh'!K11)</f>
        <v/>
      </c>
      <c r="M6508" s="67" t="str">
        <f t="shared" si="308"/>
        <v/>
      </c>
      <c r="N6508" s="76">
        <f t="shared" si="309"/>
        <v>7</v>
      </c>
      <c r="O6508" s="33">
        <f t="shared" si="310"/>
        <v>7</v>
      </c>
    </row>
    <row r="6509" spans="1:15" x14ac:dyDescent="0.25">
      <c r="A6509" s="64" t="s">
        <v>211</v>
      </c>
      <c r="B6509" s="79" t="str">
        <f>IF('Twenty-Seventh'!B12="", "",'Twenty-Seventh'!B12)</f>
        <v>CSS</v>
      </c>
      <c r="C6509" s="66" t="str">
        <f>IF('Twenty-Seventh'!C12="", "",'Twenty-Seventh'!C12)</f>
        <v>PwC</v>
      </c>
      <c r="D6509" s="66" t="str">
        <f>IF('Twenty-Seventh'!D12="", "",'Twenty-Seventh'!D12)</f>
        <v>Returning</v>
      </c>
      <c r="E6509" s="66" t="str">
        <f>IF('Twenty-Seventh'!E12="", "",'Twenty-Seventh'!E12)</f>
        <v>Male</v>
      </c>
      <c r="F6509" s="66" t="str">
        <f>IF('Twenty-Seventh'!F12="", "",'Twenty-Seventh'!F12)</f>
        <v>Upper GI</v>
      </c>
      <c r="G6509" s="66" t="str">
        <f>IF('Twenty-Seventh'!G12="", "",'Twenty-Seventh'!G12)</f>
        <v>Non-Curative Intent</v>
      </c>
      <c r="H6509" s="66" t="str">
        <f>IF('Twenty-Seventh'!H12="", "",'Twenty-Seventh'!H12)</f>
        <v>Booked</v>
      </c>
      <c r="I6509" s="66" t="str">
        <f>IF('Twenty-Seventh'!I12="", "",'Twenty-Seventh'!I12)</f>
        <v>Psych Support - Couple</v>
      </c>
      <c r="J6509" s="66" t="str">
        <f>IF('Twenty-Seventh'!J12="", "",'Twenty-Seventh'!J12)</f>
        <v/>
      </c>
      <c r="K6509" s="86" t="str">
        <f>IF('Twenty-Seventh'!K12="", "",'Twenty-Seventh'!K12)</f>
        <v/>
      </c>
      <c r="M6509" s="67">
        <f t="shared" si="308"/>
        <v>7</v>
      </c>
      <c r="N6509" s="76" t="str">
        <f t="shared" si="309"/>
        <v/>
      </c>
      <c r="O6509" s="33">
        <f t="shared" si="310"/>
        <v>7</v>
      </c>
    </row>
    <row r="6510" spans="1:15" x14ac:dyDescent="0.25">
      <c r="A6510" s="64" t="s">
        <v>211</v>
      </c>
      <c r="B6510" s="79" t="str">
        <f>IF('Twenty-Seventh'!B13="", "",'Twenty-Seventh'!B13)</f>
        <v>CSS</v>
      </c>
      <c r="C6510" s="66" t="str">
        <f>IF('Twenty-Seventh'!C13="", "",'Twenty-Seventh'!C13)</f>
        <v>Carer</v>
      </c>
      <c r="D6510" s="66" t="str">
        <f>IF('Twenty-Seventh'!D13="", "",'Twenty-Seventh'!D13)</f>
        <v>Returning</v>
      </c>
      <c r="E6510" s="66" t="str">
        <f>IF('Twenty-Seventh'!E13="", "",'Twenty-Seventh'!E13)</f>
        <v>Female</v>
      </c>
      <c r="F6510" s="66" t="str">
        <f>IF('Twenty-Seventh'!F13="", "",'Twenty-Seventh'!F13)</f>
        <v>Upper GI</v>
      </c>
      <c r="G6510" s="66" t="str">
        <f>IF('Twenty-Seventh'!G13="", "",'Twenty-Seventh'!G13)</f>
        <v>Non-Curative Intent</v>
      </c>
      <c r="H6510" s="66" t="str">
        <f>IF('Twenty-Seventh'!H13="", "",'Twenty-Seventh'!H13)</f>
        <v>Booked</v>
      </c>
      <c r="I6510" s="66" t="str">
        <f>IF('Twenty-Seventh'!I13="", "",'Twenty-Seventh'!I13)</f>
        <v>Psych Support - Couple</v>
      </c>
      <c r="J6510" s="66" t="str">
        <f>IF('Twenty-Seventh'!J13="", "",'Twenty-Seventh'!J13)</f>
        <v/>
      </c>
      <c r="K6510" s="86" t="str">
        <f>IF('Twenty-Seventh'!K13="", "",'Twenty-Seventh'!K13)</f>
        <v/>
      </c>
      <c r="M6510" s="67" t="str">
        <f t="shared" si="308"/>
        <v/>
      </c>
      <c r="N6510" s="76">
        <f t="shared" si="309"/>
        <v>7</v>
      </c>
      <c r="O6510" s="33">
        <f t="shared" si="310"/>
        <v>7</v>
      </c>
    </row>
    <row r="6511" spans="1:15" x14ac:dyDescent="0.25">
      <c r="A6511" s="64" t="s">
        <v>211</v>
      </c>
      <c r="B6511" s="79" t="str">
        <f>IF('Twenty-Seventh'!B14="", "",'Twenty-Seventh'!B14)</f>
        <v>CSS</v>
      </c>
      <c r="C6511" s="66" t="str">
        <f>IF('Twenty-Seventh'!C14="", "",'Twenty-Seventh'!C14)</f>
        <v>Carer</v>
      </c>
      <c r="D6511" s="66" t="str">
        <f>IF('Twenty-Seventh'!D14="", "",'Twenty-Seventh'!D14)</f>
        <v>Returning</v>
      </c>
      <c r="E6511" s="66" t="str">
        <f>IF('Twenty-Seventh'!E14="", "",'Twenty-Seventh'!E14)</f>
        <v>Female</v>
      </c>
      <c r="F6511" s="66" t="str">
        <f>IF('Twenty-Seventh'!F14="", "",'Twenty-Seventh'!F14)</f>
        <v>Breast</v>
      </c>
      <c r="G6511" s="66" t="str">
        <f>IF('Twenty-Seventh'!G14="", "",'Twenty-Seventh'!G14)</f>
        <v>Curative Intent</v>
      </c>
      <c r="H6511" s="66" t="str">
        <f>IF('Twenty-Seventh'!H14="", "",'Twenty-Seventh'!H14)</f>
        <v>Booked</v>
      </c>
      <c r="I6511" s="66" t="str">
        <f>IF('Twenty-Seventh'!I14="", "",'Twenty-Seventh'!I14)</f>
        <v>Psych Support - Individual</v>
      </c>
      <c r="J6511" s="66" t="str">
        <f>IF('Twenty-Seventh'!J14="", "",'Twenty-Seventh'!J14)</f>
        <v/>
      </c>
      <c r="K6511" s="86" t="str">
        <f>IF('Twenty-Seventh'!K14="", "",'Twenty-Seventh'!K14)</f>
        <v/>
      </c>
      <c r="M6511" s="67" t="str">
        <f t="shared" si="308"/>
        <v/>
      </c>
      <c r="N6511" s="76">
        <f t="shared" si="309"/>
        <v>7</v>
      </c>
      <c r="O6511" s="33">
        <f t="shared" si="310"/>
        <v>7</v>
      </c>
    </row>
    <row r="6512" spans="1:15" x14ac:dyDescent="0.25">
      <c r="A6512" s="64" t="s">
        <v>211</v>
      </c>
      <c r="B6512" s="79" t="str">
        <f>IF('Twenty-Seventh'!B15="", "",'Twenty-Seventh'!B15)</f>
        <v>CSS</v>
      </c>
      <c r="C6512" s="66" t="str">
        <f>IF('Twenty-Seventh'!C15="", "",'Twenty-Seventh'!C15)</f>
        <v>PwC</v>
      </c>
      <c r="D6512" s="66" t="str">
        <f>IF('Twenty-Seventh'!D15="", "",'Twenty-Seventh'!D15)</f>
        <v>Returning</v>
      </c>
      <c r="E6512" s="66" t="str">
        <f>IF('Twenty-Seventh'!E15="", "",'Twenty-Seventh'!E15)</f>
        <v>Female</v>
      </c>
      <c r="F6512" s="66" t="str">
        <f>IF('Twenty-Seventh'!F15="", "",'Twenty-Seventh'!F15)</f>
        <v>Breast</v>
      </c>
      <c r="G6512" s="66" t="str">
        <f>IF('Twenty-Seventh'!G15="", "",'Twenty-Seventh'!G15)</f>
        <v>Curative Intent</v>
      </c>
      <c r="H6512" s="66" t="str">
        <f>IF('Twenty-Seventh'!H15="", "",'Twenty-Seventh'!H15)</f>
        <v>Drop-In</v>
      </c>
      <c r="I6512" s="66" t="str">
        <f>IF('Twenty-Seventh'!I15="", "",'Twenty-Seventh'!I15)</f>
        <v/>
      </c>
      <c r="J6512" s="66" t="str">
        <f>IF('Twenty-Seventh'!J15="", "",'Twenty-Seventh'!J15)</f>
        <v/>
      </c>
      <c r="K6512" s="86" t="str">
        <f>IF('Twenty-Seventh'!K15="", "",'Twenty-Seventh'!K15)</f>
        <v/>
      </c>
      <c r="M6512" s="67">
        <f t="shared" si="308"/>
        <v>7</v>
      </c>
      <c r="N6512" s="76" t="str">
        <f t="shared" si="309"/>
        <v/>
      </c>
      <c r="O6512" s="33">
        <f t="shared" si="310"/>
        <v>7</v>
      </c>
    </row>
    <row r="6513" spans="1:15" x14ac:dyDescent="0.25">
      <c r="A6513" s="64" t="s">
        <v>211</v>
      </c>
      <c r="B6513" s="79" t="str">
        <f>IF('Twenty-Seventh'!B16="", "",'Twenty-Seventh'!B16)</f>
        <v>CSS</v>
      </c>
      <c r="C6513" s="66" t="str">
        <f>IF('Twenty-Seventh'!C16="", "",'Twenty-Seventh'!C16)</f>
        <v>PwC</v>
      </c>
      <c r="D6513" s="66" t="str">
        <f>IF('Twenty-Seventh'!D16="", "",'Twenty-Seventh'!D16)</f>
        <v>Returning</v>
      </c>
      <c r="E6513" s="66" t="str">
        <f>IF('Twenty-Seventh'!E16="", "",'Twenty-Seventh'!E16)</f>
        <v>Female</v>
      </c>
      <c r="F6513" s="66" t="str">
        <f>IF('Twenty-Seventh'!F16="", "",'Twenty-Seventh'!F16)</f>
        <v>Breast</v>
      </c>
      <c r="G6513" s="66" t="str">
        <f>IF('Twenty-Seventh'!G16="", "",'Twenty-Seventh'!G16)</f>
        <v>Curative Intent</v>
      </c>
      <c r="H6513" s="66" t="str">
        <f>IF('Twenty-Seventh'!H16="", "",'Twenty-Seventh'!H16)</f>
        <v>Drop-In</v>
      </c>
      <c r="I6513" s="66" t="str">
        <f>IF('Twenty-Seventh'!I16="", "",'Twenty-Seventh'!I16)</f>
        <v/>
      </c>
      <c r="J6513" s="66" t="str">
        <f>IF('Twenty-Seventh'!J16="", "",'Twenty-Seventh'!J16)</f>
        <v/>
      </c>
      <c r="K6513" s="86" t="str">
        <f>IF('Twenty-Seventh'!K16="", "",'Twenty-Seventh'!K16)</f>
        <v/>
      </c>
      <c r="M6513" s="67">
        <f t="shared" si="308"/>
        <v>7</v>
      </c>
      <c r="N6513" s="76" t="str">
        <f t="shared" si="309"/>
        <v/>
      </c>
      <c r="O6513" s="33">
        <f t="shared" si="310"/>
        <v>7</v>
      </c>
    </row>
    <row r="6514" spans="1:15" x14ac:dyDescent="0.25">
      <c r="A6514" s="64" t="s">
        <v>211</v>
      </c>
      <c r="B6514" s="79" t="str">
        <f>IF('Twenty-Seventh'!B17="", "",'Twenty-Seventh'!B17)</f>
        <v>CSS</v>
      </c>
      <c r="C6514" s="66" t="str">
        <f>IF('Twenty-Seventh'!C17="", "",'Twenty-Seventh'!C17)</f>
        <v>pwC</v>
      </c>
      <c r="D6514" s="66" t="str">
        <f>IF('Twenty-Seventh'!D17="", "",'Twenty-Seventh'!D17)</f>
        <v>Returning</v>
      </c>
      <c r="E6514" s="66" t="str">
        <f>IF('Twenty-Seventh'!E17="", "",'Twenty-Seventh'!E17)</f>
        <v>Female</v>
      </c>
      <c r="F6514" s="66" t="str">
        <f>IF('Twenty-Seventh'!F17="", "",'Twenty-Seventh'!F17)</f>
        <v>Head/Neck</v>
      </c>
      <c r="G6514" s="66" t="str">
        <f>IF('Twenty-Seventh'!G17="", "",'Twenty-Seventh'!G17)</f>
        <v>Non-Curative Intent</v>
      </c>
      <c r="H6514" s="66" t="str">
        <f>IF('Twenty-Seventh'!H17="", "",'Twenty-Seventh'!H17)</f>
        <v>Drop-In</v>
      </c>
      <c r="I6514" s="66" t="str">
        <f>IF('Twenty-Seventh'!I17="", "",'Twenty-Seventh'!I17)</f>
        <v/>
      </c>
      <c r="J6514" s="66" t="str">
        <f>IF('Twenty-Seventh'!J17="", "",'Twenty-Seventh'!J17)</f>
        <v/>
      </c>
      <c r="K6514" s="86" t="str">
        <f>IF('Twenty-Seventh'!K17="", "",'Twenty-Seventh'!K17)</f>
        <v/>
      </c>
      <c r="M6514" s="67">
        <f t="shared" si="308"/>
        <v>7</v>
      </c>
      <c r="N6514" s="76" t="str">
        <f t="shared" si="309"/>
        <v/>
      </c>
      <c r="O6514" s="33">
        <f t="shared" si="310"/>
        <v>7</v>
      </c>
    </row>
    <row r="6515" spans="1:15" x14ac:dyDescent="0.25">
      <c r="A6515" s="64" t="s">
        <v>211</v>
      </c>
      <c r="B6515" s="79" t="str">
        <f>IF('Twenty-Seventh'!B18="", "",'Twenty-Seventh'!B18)</f>
        <v>Psychologist</v>
      </c>
      <c r="C6515" s="66" t="str">
        <f>IF('Twenty-Seventh'!C18="", "",'Twenty-Seventh'!C18)</f>
        <v>Carer</v>
      </c>
      <c r="D6515" s="66" t="str">
        <f>IF('Twenty-Seventh'!D18="", "",'Twenty-Seventh'!D18)</f>
        <v>Returning</v>
      </c>
      <c r="E6515" s="66" t="str">
        <f>IF('Twenty-Seventh'!E18="", "",'Twenty-Seventh'!E18)</f>
        <v>Female</v>
      </c>
      <c r="F6515" s="66" t="str">
        <f>IF('Twenty-Seventh'!F18="", "",'Twenty-Seventh'!F18)</f>
        <v>Breast</v>
      </c>
      <c r="G6515" s="66" t="str">
        <f>IF('Twenty-Seventh'!G18="", "",'Twenty-Seventh'!G18)</f>
        <v>Bereaved</v>
      </c>
      <c r="H6515" s="66" t="str">
        <f>IF('Twenty-Seventh'!H18="", "",'Twenty-Seventh'!H18)</f>
        <v>Booked</v>
      </c>
      <c r="I6515" s="66" t="str">
        <f>IF('Twenty-Seventh'!I18="", "",'Twenty-Seventh'!I18)</f>
        <v>Psych Support - Individual</v>
      </c>
      <c r="J6515" s="66" t="str">
        <f>IF('Twenty-Seventh'!J18="", "",'Twenty-Seventh'!J18)</f>
        <v/>
      </c>
      <c r="K6515" s="86" t="str">
        <f>IF('Twenty-Seventh'!K18="", "",'Twenty-Seventh'!K18)</f>
        <v/>
      </c>
      <c r="M6515" s="67" t="str">
        <f t="shared" si="308"/>
        <v/>
      </c>
      <c r="N6515" s="76">
        <f t="shared" si="309"/>
        <v>7</v>
      </c>
      <c r="O6515" s="33">
        <f t="shared" si="310"/>
        <v>7</v>
      </c>
    </row>
    <row r="6516" spans="1:15" x14ac:dyDescent="0.25">
      <c r="A6516" s="64" t="s">
        <v>211</v>
      </c>
      <c r="B6516" s="79" t="str">
        <f>IF('Twenty-Seventh'!B19="", "",'Twenty-Seventh'!B19)</f>
        <v>Psychologist</v>
      </c>
      <c r="C6516" s="66" t="str">
        <f>IF('Twenty-Seventh'!C19="", "",'Twenty-Seventh'!C19)</f>
        <v>Carer</v>
      </c>
      <c r="D6516" s="66" t="str">
        <f>IF('Twenty-Seventh'!D19="", "",'Twenty-Seventh'!D19)</f>
        <v>Returning</v>
      </c>
      <c r="E6516" s="66" t="str">
        <f>IF('Twenty-Seventh'!E19="", "",'Twenty-Seventh'!E19)</f>
        <v>Female</v>
      </c>
      <c r="F6516" s="66" t="str">
        <f>IF('Twenty-Seventh'!F19="", "",'Twenty-Seventh'!F19)</f>
        <v>Sarcoma</v>
      </c>
      <c r="G6516" s="66" t="str">
        <f>IF('Twenty-Seventh'!G19="", "",'Twenty-Seventh'!G19)</f>
        <v>Bereaved</v>
      </c>
      <c r="H6516" s="66" t="str">
        <f>IF('Twenty-Seventh'!H19="", "",'Twenty-Seventh'!H19)</f>
        <v>Booked</v>
      </c>
      <c r="I6516" s="66" t="str">
        <f>IF('Twenty-Seventh'!I19="", "",'Twenty-Seventh'!I19)</f>
        <v>Psych Support - Individual</v>
      </c>
      <c r="J6516" s="66" t="str">
        <f>IF('Twenty-Seventh'!J19="", "",'Twenty-Seventh'!J19)</f>
        <v/>
      </c>
      <c r="K6516" s="86" t="str">
        <f>IF('Twenty-Seventh'!K19="", "",'Twenty-Seventh'!K19)</f>
        <v/>
      </c>
      <c r="M6516" s="67" t="str">
        <f t="shared" si="308"/>
        <v/>
      </c>
      <c r="N6516" s="76">
        <f t="shared" si="309"/>
        <v>7</v>
      </c>
      <c r="O6516" s="33">
        <f t="shared" si="310"/>
        <v>7</v>
      </c>
    </row>
    <row r="6517" spans="1:15" x14ac:dyDescent="0.25">
      <c r="A6517" s="64" t="s">
        <v>211</v>
      </c>
      <c r="B6517" s="79" t="str">
        <f>IF('Twenty-Seventh'!B20="", "",'Twenty-Seventh'!B20)</f>
        <v>Psychologist</v>
      </c>
      <c r="C6517" s="66" t="str">
        <f>IF('Twenty-Seventh'!C20="", "",'Twenty-Seventh'!C20)</f>
        <v>PwC</v>
      </c>
      <c r="D6517" s="66" t="str">
        <f>IF('Twenty-Seventh'!D20="", "",'Twenty-Seventh'!D20)</f>
        <v>Returning</v>
      </c>
      <c r="E6517" s="66" t="str">
        <f>IF('Twenty-Seventh'!E20="", "",'Twenty-Seventh'!E20)</f>
        <v>Female</v>
      </c>
      <c r="F6517" s="66" t="str">
        <f>IF('Twenty-Seventh'!F20="", "",'Twenty-Seventh'!F20)</f>
        <v>Breast</v>
      </c>
      <c r="G6517" s="66" t="str">
        <f>IF('Twenty-Seventh'!G20="", "",'Twenty-Seventh'!G20)</f>
        <v>Post Treatment - Curative Intent</v>
      </c>
      <c r="H6517" s="66" t="str">
        <f>IF('Twenty-Seventh'!H20="", "",'Twenty-Seventh'!H20)</f>
        <v>Programme</v>
      </c>
      <c r="I6517" s="66" t="str">
        <f>IF('Twenty-Seventh'!I20="", "",'Twenty-Seventh'!I20)</f>
        <v>Where Now?</v>
      </c>
      <c r="J6517" s="66" t="str">
        <f>IF('Twenty-Seventh'!J20="", "",'Twenty-Seventh'!J20)</f>
        <v/>
      </c>
      <c r="K6517" s="86" t="str">
        <f>IF('Twenty-Seventh'!K20="", "",'Twenty-Seventh'!K20)</f>
        <v/>
      </c>
      <c r="M6517" s="67">
        <f t="shared" si="308"/>
        <v>7</v>
      </c>
      <c r="N6517" s="76" t="str">
        <f t="shared" si="309"/>
        <v/>
      </c>
      <c r="O6517" s="33">
        <f t="shared" si="310"/>
        <v>7</v>
      </c>
    </row>
    <row r="6518" spans="1:15" x14ac:dyDescent="0.25">
      <c r="A6518" s="64" t="s">
        <v>211</v>
      </c>
      <c r="B6518" s="79" t="str">
        <f>IF('Twenty-Seventh'!B21="", "",'Twenty-Seventh'!B21)</f>
        <v>Psychologist</v>
      </c>
      <c r="C6518" s="66" t="str">
        <f>IF('Twenty-Seventh'!C21="", "",'Twenty-Seventh'!C21)</f>
        <v>PwC</v>
      </c>
      <c r="D6518" s="66" t="str">
        <f>IF('Twenty-Seventh'!D21="", "",'Twenty-Seventh'!D21)</f>
        <v>Returning</v>
      </c>
      <c r="E6518" s="66" t="str">
        <f>IF('Twenty-Seventh'!E21="", "",'Twenty-Seventh'!E21)</f>
        <v>Female</v>
      </c>
      <c r="F6518" s="66" t="str">
        <f>IF('Twenty-Seventh'!F21="", "",'Twenty-Seventh'!F21)</f>
        <v>Breast</v>
      </c>
      <c r="G6518" s="66" t="str">
        <f>IF('Twenty-Seventh'!G21="", "",'Twenty-Seventh'!G21)</f>
        <v>Post Treatment - Curative Intent</v>
      </c>
      <c r="H6518" s="66" t="str">
        <f>IF('Twenty-Seventh'!H21="", "",'Twenty-Seventh'!H21)</f>
        <v>Programme</v>
      </c>
      <c r="I6518" s="66" t="str">
        <f>IF('Twenty-Seventh'!I21="", "",'Twenty-Seventh'!I21)</f>
        <v>Where Now?</v>
      </c>
      <c r="J6518" s="66" t="str">
        <f>IF('Twenty-Seventh'!J21="", "",'Twenty-Seventh'!J21)</f>
        <v/>
      </c>
      <c r="K6518" s="86" t="str">
        <f>IF('Twenty-Seventh'!K21="", "",'Twenty-Seventh'!K21)</f>
        <v/>
      </c>
      <c r="M6518" s="67">
        <f t="shared" si="308"/>
        <v>7</v>
      </c>
      <c r="N6518" s="76" t="str">
        <f t="shared" si="309"/>
        <v/>
      </c>
      <c r="O6518" s="33">
        <f t="shared" si="310"/>
        <v>7</v>
      </c>
    </row>
    <row r="6519" spans="1:15" x14ac:dyDescent="0.25">
      <c r="A6519" s="64" t="s">
        <v>211</v>
      </c>
      <c r="B6519" s="79" t="str">
        <f>IF('Twenty-Seventh'!B22="", "",'Twenty-Seventh'!B22)</f>
        <v>Psychologist</v>
      </c>
      <c r="C6519" s="66" t="str">
        <f>IF('Twenty-Seventh'!C22="", "",'Twenty-Seventh'!C22)</f>
        <v>PwC</v>
      </c>
      <c r="D6519" s="66" t="str">
        <f>IF('Twenty-Seventh'!D22="", "",'Twenty-Seventh'!D22)</f>
        <v>Returning</v>
      </c>
      <c r="E6519" s="66" t="str">
        <f>IF('Twenty-Seventh'!E22="", "",'Twenty-Seventh'!E22)</f>
        <v>Female</v>
      </c>
      <c r="F6519" s="66" t="str">
        <f>IF('Twenty-Seventh'!F22="", "",'Twenty-Seventh'!F22)</f>
        <v>Breast</v>
      </c>
      <c r="G6519" s="66" t="str">
        <f>IF('Twenty-Seventh'!G22="", "",'Twenty-Seventh'!G22)</f>
        <v>Post Treatment - Curative Intent</v>
      </c>
      <c r="H6519" s="66" t="str">
        <f>IF('Twenty-Seventh'!H22="", "",'Twenty-Seventh'!H22)</f>
        <v>Programme</v>
      </c>
      <c r="I6519" s="66" t="str">
        <f>IF('Twenty-Seventh'!I22="", "",'Twenty-Seventh'!I22)</f>
        <v>Where Now?</v>
      </c>
      <c r="J6519" s="66" t="str">
        <f>IF('Twenty-Seventh'!J22="", "",'Twenty-Seventh'!J22)</f>
        <v/>
      </c>
      <c r="K6519" s="86" t="str">
        <f>IF('Twenty-Seventh'!K22="", "",'Twenty-Seventh'!K22)</f>
        <v/>
      </c>
      <c r="M6519" s="67">
        <f t="shared" si="308"/>
        <v>7</v>
      </c>
      <c r="N6519" s="76" t="str">
        <f t="shared" si="309"/>
        <v/>
      </c>
      <c r="O6519" s="33">
        <f t="shared" si="310"/>
        <v>7</v>
      </c>
    </row>
    <row r="6520" spans="1:15" x14ac:dyDescent="0.25">
      <c r="A6520" s="64" t="s">
        <v>211</v>
      </c>
      <c r="B6520" s="79" t="str">
        <f>IF('Twenty-Seventh'!B23="", "",'Twenty-Seventh'!B23)</f>
        <v>Psychologist</v>
      </c>
      <c r="C6520" s="66" t="str">
        <f>IF('Twenty-Seventh'!C23="", "",'Twenty-Seventh'!C23)</f>
        <v>PwC</v>
      </c>
      <c r="D6520" s="66" t="str">
        <f>IF('Twenty-Seventh'!D23="", "",'Twenty-Seventh'!D23)</f>
        <v>Returning</v>
      </c>
      <c r="E6520" s="66" t="str">
        <f>IF('Twenty-Seventh'!E23="", "",'Twenty-Seventh'!E23)</f>
        <v>Female</v>
      </c>
      <c r="F6520" s="66" t="str">
        <f>IF('Twenty-Seventh'!F23="", "",'Twenty-Seventh'!F23)</f>
        <v>Breast</v>
      </c>
      <c r="G6520" s="66" t="str">
        <f>IF('Twenty-Seventh'!G23="", "",'Twenty-Seventh'!G23)</f>
        <v>Post Treatment - Curative Intent</v>
      </c>
      <c r="H6520" s="66" t="str">
        <f>IF('Twenty-Seventh'!H23="", "",'Twenty-Seventh'!H23)</f>
        <v>Programme</v>
      </c>
      <c r="I6520" s="66" t="str">
        <f>IF('Twenty-Seventh'!I23="", "",'Twenty-Seventh'!I23)</f>
        <v>Where Now?</v>
      </c>
      <c r="J6520" s="66" t="str">
        <f>IF('Twenty-Seventh'!J23="", "",'Twenty-Seventh'!J23)</f>
        <v/>
      </c>
      <c r="K6520" s="86" t="str">
        <f>IF('Twenty-Seventh'!K23="", "",'Twenty-Seventh'!K23)</f>
        <v/>
      </c>
      <c r="M6520" s="67">
        <f t="shared" si="308"/>
        <v>7</v>
      </c>
      <c r="N6520" s="76" t="str">
        <f t="shared" si="309"/>
        <v/>
      </c>
      <c r="O6520" s="33">
        <f t="shared" si="310"/>
        <v>7</v>
      </c>
    </row>
    <row r="6521" spans="1:15" x14ac:dyDescent="0.25">
      <c r="A6521" s="64" t="s">
        <v>211</v>
      </c>
      <c r="B6521" s="79" t="str">
        <f>IF('Twenty-Seventh'!B24="", "",'Twenty-Seventh'!B24)</f>
        <v>Psychologist</v>
      </c>
      <c r="C6521" s="66" t="str">
        <f>IF('Twenty-Seventh'!C24="", "",'Twenty-Seventh'!C24)</f>
        <v>PwC</v>
      </c>
      <c r="D6521" s="66" t="str">
        <f>IF('Twenty-Seventh'!D24="", "",'Twenty-Seventh'!D24)</f>
        <v>Returning</v>
      </c>
      <c r="E6521" s="66" t="str">
        <f>IF('Twenty-Seventh'!E24="", "",'Twenty-Seventh'!E24)</f>
        <v>Female</v>
      </c>
      <c r="F6521" s="66" t="str">
        <f>IF('Twenty-Seventh'!F24="", "",'Twenty-Seventh'!F24)</f>
        <v>Skin/Mel</v>
      </c>
      <c r="G6521" s="66" t="str">
        <f>IF('Twenty-Seventh'!G24="", "",'Twenty-Seventh'!G24)</f>
        <v>Post Treatment - Curative Intent</v>
      </c>
      <c r="H6521" s="66" t="str">
        <f>IF('Twenty-Seventh'!H24="", "",'Twenty-Seventh'!H24)</f>
        <v>Programme</v>
      </c>
      <c r="I6521" s="66" t="str">
        <f>IF('Twenty-Seventh'!I24="", "",'Twenty-Seventh'!I24)</f>
        <v>Where Now?</v>
      </c>
      <c r="J6521" s="66" t="str">
        <f>IF('Twenty-Seventh'!J24="", "",'Twenty-Seventh'!J24)</f>
        <v/>
      </c>
      <c r="K6521" s="86" t="str">
        <f>IF('Twenty-Seventh'!K24="", "",'Twenty-Seventh'!K24)</f>
        <v/>
      </c>
      <c r="M6521" s="67">
        <f t="shared" si="308"/>
        <v>7</v>
      </c>
      <c r="N6521" s="76" t="str">
        <f t="shared" si="309"/>
        <v/>
      </c>
      <c r="O6521" s="33">
        <f t="shared" si="310"/>
        <v>7</v>
      </c>
    </row>
    <row r="6522" spans="1:15" x14ac:dyDescent="0.25">
      <c r="A6522" s="64" t="s">
        <v>211</v>
      </c>
      <c r="B6522" s="79" t="str">
        <f>IF('Twenty-Seventh'!B25="", "",'Twenty-Seventh'!B25)</f>
        <v>Psychologist</v>
      </c>
      <c r="C6522" s="66" t="str">
        <f>IF('Twenty-Seventh'!C25="", "",'Twenty-Seventh'!C25)</f>
        <v>PwC</v>
      </c>
      <c r="D6522" s="66" t="str">
        <f>IF('Twenty-Seventh'!D25="", "",'Twenty-Seventh'!D25)</f>
        <v>Returning</v>
      </c>
      <c r="E6522" s="66" t="str">
        <f>IF('Twenty-Seventh'!E25="", "",'Twenty-Seventh'!E25)</f>
        <v>Female</v>
      </c>
      <c r="F6522" s="66" t="str">
        <f>IF('Twenty-Seventh'!F25="", "",'Twenty-Seventh'!F25)</f>
        <v>Breast</v>
      </c>
      <c r="G6522" s="66" t="str">
        <f>IF('Twenty-Seventh'!G25="", "",'Twenty-Seventh'!G25)</f>
        <v>Post Treatment - Curative Intent</v>
      </c>
      <c r="H6522" s="66" t="str">
        <f>IF('Twenty-Seventh'!H25="", "",'Twenty-Seventh'!H25)</f>
        <v>Programme</v>
      </c>
      <c r="I6522" s="66" t="str">
        <f>IF('Twenty-Seventh'!I25="", "",'Twenty-Seventh'!I25)</f>
        <v>Where Now?</v>
      </c>
      <c r="J6522" s="66" t="str">
        <f>IF('Twenty-Seventh'!J25="", "",'Twenty-Seventh'!J25)</f>
        <v/>
      </c>
      <c r="K6522" s="86" t="str">
        <f>IF('Twenty-Seventh'!K25="", "",'Twenty-Seventh'!K25)</f>
        <v/>
      </c>
      <c r="M6522" s="67">
        <f t="shared" si="308"/>
        <v>7</v>
      </c>
      <c r="N6522" s="76" t="str">
        <f t="shared" si="309"/>
        <v/>
      </c>
      <c r="O6522" s="33">
        <f t="shared" si="310"/>
        <v>7</v>
      </c>
    </row>
    <row r="6523" spans="1:15" x14ac:dyDescent="0.25">
      <c r="A6523" s="64" t="s">
        <v>211</v>
      </c>
      <c r="B6523" s="79" t="str">
        <f>IF('Twenty-Seventh'!B26="", "",'Twenty-Seventh'!B26)</f>
        <v>CSS</v>
      </c>
      <c r="C6523" s="66" t="str">
        <f>IF('Twenty-Seventh'!C26="", "",'Twenty-Seventh'!C26)</f>
        <v>PwC</v>
      </c>
      <c r="D6523" s="66" t="str">
        <f>IF('Twenty-Seventh'!D26="", "",'Twenty-Seventh'!D26)</f>
        <v>Returning</v>
      </c>
      <c r="E6523" s="66" t="str">
        <f>IF('Twenty-Seventh'!E26="", "",'Twenty-Seventh'!E26)</f>
        <v>Male</v>
      </c>
      <c r="F6523" s="66" t="str">
        <f>IF('Twenty-Seventh'!F26="", "",'Twenty-Seventh'!F26)</f>
        <v>Upper GI</v>
      </c>
      <c r="G6523" s="66" t="str">
        <f>IF('Twenty-Seventh'!G26="", "",'Twenty-Seventh'!G26)</f>
        <v>Curative Intent</v>
      </c>
      <c r="H6523" s="66" t="str">
        <f>IF('Twenty-Seventh'!H26="", "",'Twenty-Seventh'!H26)</f>
        <v>Booked</v>
      </c>
      <c r="I6523" s="66" t="str">
        <f>IF('Twenty-Seventh'!I26="", "",'Twenty-Seventh'!I26)</f>
        <v>Psych Support - Individual</v>
      </c>
      <c r="J6523" s="66" t="str">
        <f>IF('Twenty-Seventh'!J26="", "",'Twenty-Seventh'!J26)</f>
        <v/>
      </c>
      <c r="K6523" s="86" t="str">
        <f>IF('Twenty-Seventh'!K26="", "",'Twenty-Seventh'!K26)</f>
        <v/>
      </c>
      <c r="M6523" s="67">
        <f t="shared" si="308"/>
        <v>7</v>
      </c>
      <c r="N6523" s="76" t="str">
        <f t="shared" si="309"/>
        <v/>
      </c>
      <c r="O6523" s="33">
        <f t="shared" si="310"/>
        <v>7</v>
      </c>
    </row>
    <row r="6524" spans="1:15" x14ac:dyDescent="0.25">
      <c r="A6524" s="64" t="s">
        <v>211</v>
      </c>
      <c r="B6524" s="79" t="str">
        <f>IF('Twenty-Seventh'!B27="", "",'Twenty-Seventh'!B27)</f>
        <v>CSS</v>
      </c>
      <c r="C6524" s="66" t="str">
        <f>IF('Twenty-Seventh'!C27="", "",'Twenty-Seventh'!C27)</f>
        <v>Carer</v>
      </c>
      <c r="D6524" s="66" t="str">
        <f>IF('Twenty-Seventh'!D27="", "",'Twenty-Seventh'!D27)</f>
        <v>Returning</v>
      </c>
      <c r="E6524" s="66" t="str">
        <f>IF('Twenty-Seventh'!E27="", "",'Twenty-Seventh'!E27)</f>
        <v>Female</v>
      </c>
      <c r="F6524" s="66" t="str">
        <f>IF('Twenty-Seventh'!F27="", "",'Twenty-Seventh'!F27)</f>
        <v>Upper GI</v>
      </c>
      <c r="G6524" s="66" t="str">
        <f>IF('Twenty-Seventh'!G27="", "",'Twenty-Seventh'!G27)</f>
        <v>Curative Intent</v>
      </c>
      <c r="H6524" s="66" t="str">
        <f>IF('Twenty-Seventh'!H27="", "",'Twenty-Seventh'!H27)</f>
        <v>Booked</v>
      </c>
      <c r="I6524" s="66" t="str">
        <f>IF('Twenty-Seventh'!I27="", "",'Twenty-Seventh'!I27)</f>
        <v/>
      </c>
      <c r="J6524" s="66" t="str">
        <f>IF('Twenty-Seventh'!J27="", "",'Twenty-Seventh'!J27)</f>
        <v/>
      </c>
      <c r="K6524" s="86" t="str">
        <f>IF('Twenty-Seventh'!K27="", "",'Twenty-Seventh'!K27)</f>
        <v/>
      </c>
      <c r="M6524" s="67" t="str">
        <f t="shared" si="308"/>
        <v/>
      </c>
      <c r="N6524" s="76">
        <f t="shared" si="309"/>
        <v>7</v>
      </c>
      <c r="O6524" s="33">
        <f t="shared" si="310"/>
        <v>7</v>
      </c>
    </row>
    <row r="6525" spans="1:15" x14ac:dyDescent="0.25">
      <c r="A6525" s="64" t="s">
        <v>211</v>
      </c>
      <c r="B6525" s="79" t="str">
        <f>IF('Twenty-Seventh'!B28="", "",'Twenty-Seventh'!B28)</f>
        <v>CSS</v>
      </c>
      <c r="C6525" s="66" t="str">
        <f>IF('Twenty-Seventh'!C28="", "",'Twenty-Seventh'!C28)</f>
        <v>PwC</v>
      </c>
      <c r="D6525" s="66" t="str">
        <f>IF('Twenty-Seventh'!D28="", "",'Twenty-Seventh'!D28)</f>
        <v>Returning</v>
      </c>
      <c r="E6525" s="66" t="str">
        <f>IF('Twenty-Seventh'!E28="", "",'Twenty-Seventh'!E28)</f>
        <v>Male</v>
      </c>
      <c r="F6525" s="66" t="str">
        <f>IF('Twenty-Seventh'!F28="", "",'Twenty-Seventh'!F28)</f>
        <v>Skin/Mel</v>
      </c>
      <c r="G6525" s="66" t="str">
        <f>IF('Twenty-Seventh'!G28="", "",'Twenty-Seventh'!G28)</f>
        <v>Non-Curative Intent</v>
      </c>
      <c r="H6525" s="66" t="str">
        <f>IF('Twenty-Seventh'!H28="", "",'Twenty-Seventh'!H28)</f>
        <v>Telephone Support</v>
      </c>
      <c r="I6525" s="66" t="str">
        <f>IF('Twenty-Seventh'!I28="", "",'Twenty-Seventh'!I28)</f>
        <v/>
      </c>
      <c r="J6525" s="66" t="str">
        <f>IF('Twenty-Seventh'!J28="", "",'Twenty-Seventh'!J28)</f>
        <v/>
      </c>
      <c r="K6525" s="86" t="str">
        <f>IF('Twenty-Seventh'!K28="", "",'Twenty-Seventh'!K28)</f>
        <v/>
      </c>
      <c r="M6525" s="67">
        <f t="shared" si="308"/>
        <v>7</v>
      </c>
      <c r="N6525" s="76" t="str">
        <f t="shared" si="309"/>
        <v/>
      </c>
      <c r="O6525" s="33">
        <f t="shared" si="310"/>
        <v>7</v>
      </c>
    </row>
    <row r="6526" spans="1:15" x14ac:dyDescent="0.25">
      <c r="A6526" s="64" t="s">
        <v>211</v>
      </c>
      <c r="B6526" s="79" t="str">
        <f>IF('Twenty-Seventh'!B29="", "",'Twenty-Seventh'!B29)</f>
        <v>CSS</v>
      </c>
      <c r="C6526" s="66" t="str">
        <f>IF('Twenty-Seventh'!C29="", "",'Twenty-Seventh'!C29)</f>
        <v>Carer</v>
      </c>
      <c r="D6526" s="66" t="str">
        <f>IF('Twenty-Seventh'!D29="", "",'Twenty-Seventh'!D29)</f>
        <v>Returning</v>
      </c>
      <c r="E6526" s="66" t="str">
        <f>IF('Twenty-Seventh'!E29="", "",'Twenty-Seventh'!E29)</f>
        <v>Female</v>
      </c>
      <c r="F6526" s="66" t="str">
        <f>IF('Twenty-Seventh'!F29="", "",'Twenty-Seventh'!F29)</f>
        <v>Breast</v>
      </c>
      <c r="G6526" s="66" t="str">
        <f>IF('Twenty-Seventh'!G29="", "",'Twenty-Seventh'!G29)</f>
        <v>Bereaved</v>
      </c>
      <c r="H6526" s="66" t="str">
        <f>IF('Twenty-Seventh'!H29="", "",'Twenty-Seventh'!H29)</f>
        <v>Telephone Support</v>
      </c>
      <c r="I6526" s="66" t="str">
        <f>IF('Twenty-Seventh'!I29="", "",'Twenty-Seventh'!I29)</f>
        <v/>
      </c>
      <c r="J6526" s="66" t="str">
        <f>IF('Twenty-Seventh'!J29="", "",'Twenty-Seventh'!J29)</f>
        <v/>
      </c>
      <c r="K6526" s="86" t="str">
        <f>IF('Twenty-Seventh'!K29="", "",'Twenty-Seventh'!K29)</f>
        <v/>
      </c>
      <c r="M6526" s="67" t="str">
        <f t="shared" si="308"/>
        <v/>
      </c>
      <c r="N6526" s="76">
        <f t="shared" si="309"/>
        <v>7</v>
      </c>
      <c r="O6526" s="33">
        <f t="shared" si="310"/>
        <v>7</v>
      </c>
    </row>
    <row r="6527" spans="1:15" x14ac:dyDescent="0.25">
      <c r="A6527" s="64" t="s">
        <v>211</v>
      </c>
      <c r="B6527" s="79" t="str">
        <f>IF('Twenty-Seventh'!B30="", "",'Twenty-Seventh'!B30)</f>
        <v>CSS</v>
      </c>
      <c r="C6527" s="66" t="str">
        <f>IF('Twenty-Seventh'!C30="", "",'Twenty-Seventh'!C30)</f>
        <v>PwC</v>
      </c>
      <c r="D6527" s="66" t="str">
        <f>IF('Twenty-Seventh'!D30="", "",'Twenty-Seventh'!D30)</f>
        <v>Returning</v>
      </c>
      <c r="E6527" s="66" t="str">
        <f>IF('Twenty-Seventh'!E30="", "",'Twenty-Seventh'!E30)</f>
        <v>Female</v>
      </c>
      <c r="F6527" s="66" t="str">
        <f>IF('Twenty-Seventh'!F30="", "",'Twenty-Seventh'!F30)</f>
        <v>Breast</v>
      </c>
      <c r="G6527" s="66" t="str">
        <f>IF('Twenty-Seventh'!G30="", "",'Twenty-Seventh'!G30)</f>
        <v>Non-Curative Intent</v>
      </c>
      <c r="H6527" s="66" t="str">
        <f>IF('Twenty-Seventh'!H30="", "",'Twenty-Seventh'!H30)</f>
        <v>Booked</v>
      </c>
      <c r="I6527" s="66" t="str">
        <f>IF('Twenty-Seventh'!I30="", "",'Twenty-Seventh'!I30)</f>
        <v>Psych Support - Individual</v>
      </c>
      <c r="J6527" s="66" t="str">
        <f>IF('Twenty-Seventh'!J30="", "",'Twenty-Seventh'!J30)</f>
        <v/>
      </c>
      <c r="K6527" s="86" t="str">
        <f>IF('Twenty-Seventh'!K30="", "",'Twenty-Seventh'!K30)</f>
        <v/>
      </c>
      <c r="M6527" s="67">
        <f t="shared" ref="M6527:M6590" si="311">IF(C6527="PwC",(7-COUNTIF(B6527:H6527,"")),"")</f>
        <v>7</v>
      </c>
      <c r="N6527" s="76" t="str">
        <f t="shared" ref="N6527:N6590" si="312">IF(C6527="Carer",(7-COUNTIF(B6527:H6527,"")),"")</f>
        <v/>
      </c>
      <c r="O6527" s="33">
        <f t="shared" si="310"/>
        <v>7</v>
      </c>
    </row>
    <row r="6528" spans="1:15" x14ac:dyDescent="0.25">
      <c r="A6528" s="64" t="s">
        <v>211</v>
      </c>
      <c r="B6528" s="79" t="str">
        <f>IF('Twenty-Seventh'!B31="", "",'Twenty-Seventh'!B31)</f>
        <v>CSS</v>
      </c>
      <c r="C6528" s="66" t="str">
        <f>IF('Twenty-Seventh'!C31="", "",'Twenty-Seventh'!C31)</f>
        <v>PwC</v>
      </c>
      <c r="D6528" s="66" t="str">
        <f>IF('Twenty-Seventh'!D31="", "",'Twenty-Seventh'!D31)</f>
        <v>New</v>
      </c>
      <c r="E6528" s="66" t="str">
        <f>IF('Twenty-Seventh'!E31="", "",'Twenty-Seventh'!E31)</f>
        <v>Female</v>
      </c>
      <c r="F6528" s="66" t="str">
        <f>IF('Twenty-Seventh'!F31="", "",'Twenty-Seventh'!F31)</f>
        <v>Gynae</v>
      </c>
      <c r="G6528" s="66" t="str">
        <f>IF('Twenty-Seventh'!G31="", "",'Twenty-Seventh'!G31)</f>
        <v>Non-Curative Intent</v>
      </c>
      <c r="H6528" s="66" t="str">
        <f>IF('Twenty-Seventh'!H31="", "",'Twenty-Seventh'!H31)</f>
        <v>Drop-In</v>
      </c>
      <c r="I6528" s="66" t="str">
        <f>IF('Twenty-Seventh'!I31="", "",'Twenty-Seventh'!I31)</f>
        <v/>
      </c>
      <c r="J6528" s="66" t="str">
        <f>IF('Twenty-Seventh'!J31="", "",'Twenty-Seventh'!J31)</f>
        <v/>
      </c>
      <c r="K6528" s="86" t="str">
        <f>IF('Twenty-Seventh'!K31="", "",'Twenty-Seventh'!K31)</f>
        <v/>
      </c>
      <c r="M6528" s="67">
        <f t="shared" si="311"/>
        <v>7</v>
      </c>
      <c r="N6528" s="76" t="str">
        <f t="shared" si="312"/>
        <v/>
      </c>
      <c r="O6528" s="33">
        <f t="shared" si="310"/>
        <v>7</v>
      </c>
    </row>
    <row r="6529" spans="1:15" x14ac:dyDescent="0.25">
      <c r="A6529" s="64" t="s">
        <v>211</v>
      </c>
      <c r="B6529" s="79" t="str">
        <f>IF('Twenty-Seventh'!B32="", "",'Twenty-Seventh'!B32)</f>
        <v>CSS</v>
      </c>
      <c r="C6529" s="66" t="str">
        <f>IF('Twenty-Seventh'!C32="", "",'Twenty-Seventh'!C32)</f>
        <v>PwC</v>
      </c>
      <c r="D6529" s="66" t="str">
        <f>IF('Twenty-Seventh'!D32="", "",'Twenty-Seventh'!D32)</f>
        <v>Returning</v>
      </c>
      <c r="E6529" s="66" t="str">
        <f>IF('Twenty-Seventh'!E32="", "",'Twenty-Seventh'!E32)</f>
        <v>Female</v>
      </c>
      <c r="F6529" s="66" t="str">
        <f>IF('Twenty-Seventh'!F32="", "",'Twenty-Seventh'!F32)</f>
        <v>Breast</v>
      </c>
      <c r="G6529" s="66" t="str">
        <f>IF('Twenty-Seventh'!G32="", "",'Twenty-Seventh'!G32)</f>
        <v>Post Treatment - Curative Intent</v>
      </c>
      <c r="H6529" s="66" t="str">
        <f>IF('Twenty-Seventh'!H32="", "",'Twenty-Seventh'!H32)</f>
        <v>Drop-In</v>
      </c>
      <c r="I6529" s="66" t="str">
        <f>IF('Twenty-Seventh'!I32="", "",'Twenty-Seventh'!I32)</f>
        <v/>
      </c>
      <c r="J6529" s="66" t="str">
        <f>IF('Twenty-Seventh'!J32="", "",'Twenty-Seventh'!J32)</f>
        <v/>
      </c>
      <c r="K6529" s="86" t="str">
        <f>IF('Twenty-Seventh'!K32="", "",'Twenty-Seventh'!K32)</f>
        <v/>
      </c>
      <c r="M6529" s="67">
        <f t="shared" si="311"/>
        <v>7</v>
      </c>
      <c r="N6529" s="76" t="str">
        <f t="shared" si="312"/>
        <v/>
      </c>
      <c r="O6529" s="33">
        <f t="shared" si="310"/>
        <v>7</v>
      </c>
    </row>
    <row r="6530" spans="1:15" x14ac:dyDescent="0.25">
      <c r="A6530" s="64" t="s">
        <v>211</v>
      </c>
      <c r="B6530" s="79" t="str">
        <f>IF('Twenty-Seventh'!B33="", "",'Twenty-Seventh'!B33)</f>
        <v>CSS</v>
      </c>
      <c r="C6530" s="66" t="str">
        <f>IF('Twenty-Seventh'!C33="", "",'Twenty-Seventh'!C33)</f>
        <v>PwC</v>
      </c>
      <c r="D6530" s="66" t="str">
        <f>IF('Twenty-Seventh'!D33="", "",'Twenty-Seventh'!D33)</f>
        <v>Returning</v>
      </c>
      <c r="E6530" s="66" t="str">
        <f>IF('Twenty-Seventh'!E33="", "",'Twenty-Seventh'!E33)</f>
        <v>Female</v>
      </c>
      <c r="F6530" s="66" t="str">
        <f>IF('Twenty-Seventh'!F33="", "",'Twenty-Seventh'!F33)</f>
        <v>Breast</v>
      </c>
      <c r="G6530" s="66" t="str">
        <f>IF('Twenty-Seventh'!G33="", "",'Twenty-Seventh'!G33)</f>
        <v>Curative Intent</v>
      </c>
      <c r="H6530" s="66" t="str">
        <f>IF('Twenty-Seventh'!H33="", "",'Twenty-Seventh'!H33)</f>
        <v>Drop-In</v>
      </c>
      <c r="I6530" s="66" t="str">
        <f>IF('Twenty-Seventh'!I33="", "",'Twenty-Seventh'!I33)</f>
        <v/>
      </c>
      <c r="J6530" s="66" t="str">
        <f>IF('Twenty-Seventh'!J33="", "",'Twenty-Seventh'!J33)</f>
        <v/>
      </c>
      <c r="K6530" s="86" t="str">
        <f>IF('Twenty-Seventh'!K33="", "",'Twenty-Seventh'!K33)</f>
        <v/>
      </c>
      <c r="M6530" s="67">
        <f t="shared" si="311"/>
        <v>7</v>
      </c>
      <c r="N6530" s="76" t="str">
        <f t="shared" si="312"/>
        <v/>
      </c>
      <c r="O6530" s="33">
        <f t="shared" si="310"/>
        <v>7</v>
      </c>
    </row>
    <row r="6531" spans="1:15" x14ac:dyDescent="0.25">
      <c r="A6531" s="64" t="s">
        <v>211</v>
      </c>
      <c r="B6531" s="79" t="str">
        <f>IF('Twenty-Seventh'!B34="", "",'Twenty-Seventh'!B34)</f>
        <v>Centre Head</v>
      </c>
      <c r="C6531" s="66" t="str">
        <f>IF('Twenty-Seventh'!C34="", "",'Twenty-Seventh'!C34)</f>
        <v>PwC</v>
      </c>
      <c r="D6531" s="66" t="str">
        <f>IF('Twenty-Seventh'!D34="", "",'Twenty-Seventh'!D34)</f>
        <v>Returning</v>
      </c>
      <c r="E6531" s="66" t="str">
        <f>IF('Twenty-Seventh'!E34="", "",'Twenty-Seventh'!E34)</f>
        <v>Female</v>
      </c>
      <c r="F6531" s="66" t="str">
        <f>IF('Twenty-Seventh'!F34="", "",'Twenty-Seventh'!F34)</f>
        <v>Breast</v>
      </c>
      <c r="G6531" s="66" t="str">
        <f>IF('Twenty-Seventh'!G34="", "",'Twenty-Seventh'!G34)</f>
        <v>Non-Curative Intent</v>
      </c>
      <c r="H6531" s="66" t="str">
        <f>IF('Twenty-Seventh'!H34="", "",'Twenty-Seventh'!H34)</f>
        <v>Booked</v>
      </c>
      <c r="I6531" s="66" t="str">
        <f>IF('Twenty-Seventh'!I34="", "",'Twenty-Seventh'!I34)</f>
        <v>Psych Support - Individual</v>
      </c>
      <c r="J6531" s="66" t="str">
        <f>IF('Twenty-Seventh'!J34="", "",'Twenty-Seventh'!J34)</f>
        <v/>
      </c>
      <c r="K6531" s="86" t="str">
        <f>IF('Twenty-Seventh'!K34="", "",'Twenty-Seventh'!K34)</f>
        <v/>
      </c>
      <c r="M6531" s="67">
        <f t="shared" si="311"/>
        <v>7</v>
      </c>
      <c r="N6531" s="76" t="str">
        <f t="shared" si="312"/>
        <v/>
      </c>
      <c r="O6531" s="33">
        <f t="shared" si="310"/>
        <v>7</v>
      </c>
    </row>
    <row r="6532" spans="1:15" x14ac:dyDescent="0.25">
      <c r="A6532" s="64" t="s">
        <v>211</v>
      </c>
      <c r="B6532" s="79" t="str">
        <f>IF('Twenty-Seventh'!B35="", "",'Twenty-Seventh'!B35)</f>
        <v>Centre Head</v>
      </c>
      <c r="C6532" s="66" t="str">
        <f>IF('Twenty-Seventh'!C35="", "",'Twenty-Seventh'!C35)</f>
        <v>Carer</v>
      </c>
      <c r="D6532" s="66" t="str">
        <f>IF('Twenty-Seventh'!D35="", "",'Twenty-Seventh'!D35)</f>
        <v>Returning</v>
      </c>
      <c r="E6532" s="66" t="str">
        <f>IF('Twenty-Seventh'!E35="", "",'Twenty-Seventh'!E35)</f>
        <v>Under 18 Female</v>
      </c>
      <c r="F6532" s="66" t="str">
        <f>IF('Twenty-Seventh'!F35="", "",'Twenty-Seventh'!F35)</f>
        <v>Breast</v>
      </c>
      <c r="G6532" s="66" t="str">
        <f>IF('Twenty-Seventh'!G35="", "",'Twenty-Seventh'!G35)</f>
        <v>Non-Curative Intent</v>
      </c>
      <c r="H6532" s="66" t="str">
        <f>IF('Twenty-Seventh'!H35="", "",'Twenty-Seventh'!H35)</f>
        <v>Booked</v>
      </c>
      <c r="I6532" s="66" t="str">
        <f>IF('Twenty-Seventh'!I35="", "",'Twenty-Seventh'!I35)</f>
        <v>Psych Support - Individual</v>
      </c>
      <c r="J6532" s="66" t="str">
        <f>IF('Twenty-Seventh'!J35="", "",'Twenty-Seventh'!J35)</f>
        <v/>
      </c>
      <c r="K6532" s="86" t="str">
        <f>IF('Twenty-Seventh'!K35="", "",'Twenty-Seventh'!K35)</f>
        <v/>
      </c>
      <c r="M6532" s="67" t="str">
        <f t="shared" si="311"/>
        <v/>
      </c>
      <c r="N6532" s="76">
        <f t="shared" si="312"/>
        <v>7</v>
      </c>
      <c r="O6532" s="33">
        <f t="shared" si="310"/>
        <v>7</v>
      </c>
    </row>
    <row r="6533" spans="1:15" x14ac:dyDescent="0.25">
      <c r="A6533" s="64" t="s">
        <v>211</v>
      </c>
      <c r="B6533" s="79" t="str">
        <f>IF('Twenty-Seventh'!B36="", "",'Twenty-Seventh'!B36)</f>
        <v>Centre Head</v>
      </c>
      <c r="C6533" s="66" t="str">
        <f>IF('Twenty-Seventh'!C36="", "",'Twenty-Seventh'!C36)</f>
        <v>Carer</v>
      </c>
      <c r="D6533" s="66" t="str">
        <f>IF('Twenty-Seventh'!D36="", "",'Twenty-Seventh'!D36)</f>
        <v>Returning</v>
      </c>
      <c r="E6533" s="66" t="str">
        <f>IF('Twenty-Seventh'!E36="", "",'Twenty-Seventh'!E36)</f>
        <v>Under 18 Male</v>
      </c>
      <c r="F6533" s="66" t="str">
        <f>IF('Twenty-Seventh'!F36="", "",'Twenty-Seventh'!F36)</f>
        <v>Breast</v>
      </c>
      <c r="G6533" s="66" t="str">
        <f>IF('Twenty-Seventh'!G36="", "",'Twenty-Seventh'!G36)</f>
        <v>Non-Curative Intent</v>
      </c>
      <c r="H6533" s="66" t="str">
        <f>IF('Twenty-Seventh'!H36="", "",'Twenty-Seventh'!H36)</f>
        <v>Booked</v>
      </c>
      <c r="I6533" s="66" t="str">
        <f>IF('Twenty-Seventh'!I36="", "",'Twenty-Seventh'!I36)</f>
        <v>Psych Support - Individual</v>
      </c>
      <c r="J6533" s="66" t="str">
        <f>IF('Twenty-Seventh'!J36="", "",'Twenty-Seventh'!J36)</f>
        <v/>
      </c>
      <c r="K6533" s="86" t="str">
        <f>IF('Twenty-Seventh'!K36="", "",'Twenty-Seventh'!K36)</f>
        <v/>
      </c>
      <c r="M6533" s="67" t="str">
        <f t="shared" si="311"/>
        <v/>
      </c>
      <c r="N6533" s="76">
        <f t="shared" si="312"/>
        <v>7</v>
      </c>
      <c r="O6533" s="33">
        <f t="shared" si="310"/>
        <v>7</v>
      </c>
    </row>
    <row r="6534" spans="1:15" x14ac:dyDescent="0.25">
      <c r="A6534" s="64" t="s">
        <v>211</v>
      </c>
      <c r="B6534" s="79" t="str">
        <f>IF('Twenty-Seventh'!B37="", "",'Twenty-Seventh'!B37)</f>
        <v>Centre Head</v>
      </c>
      <c r="C6534" s="66" t="str">
        <f>IF('Twenty-Seventh'!C37="", "",'Twenty-Seventh'!C37)</f>
        <v>PwC</v>
      </c>
      <c r="D6534" s="66" t="str">
        <f>IF('Twenty-Seventh'!D37="", "",'Twenty-Seventh'!D37)</f>
        <v>Returning</v>
      </c>
      <c r="E6534" s="66" t="str">
        <f>IF('Twenty-Seventh'!E37="", "",'Twenty-Seventh'!E37)</f>
        <v>Male</v>
      </c>
      <c r="F6534" s="66" t="str">
        <f>IF('Twenty-Seventh'!F37="", "",'Twenty-Seventh'!F37)</f>
        <v>Prostate</v>
      </c>
      <c r="G6534" s="66" t="str">
        <f>IF('Twenty-Seventh'!G37="", "",'Twenty-Seventh'!G37)</f>
        <v>Post Treatment - Curative Intent</v>
      </c>
      <c r="H6534" s="66" t="str">
        <f>IF('Twenty-Seventh'!H37="", "",'Twenty-Seventh'!H37)</f>
        <v>Drop-In</v>
      </c>
      <c r="I6534" s="66" t="str">
        <f>IF('Twenty-Seventh'!I37="", "",'Twenty-Seventh'!I37)</f>
        <v>Psych Support - Individual</v>
      </c>
      <c r="J6534" s="66" t="str">
        <f>IF('Twenty-Seventh'!J37="", "",'Twenty-Seventh'!J37)</f>
        <v/>
      </c>
      <c r="K6534" s="86" t="str">
        <f>IF('Twenty-Seventh'!K37="", "",'Twenty-Seventh'!K37)</f>
        <v/>
      </c>
      <c r="M6534" s="67">
        <f t="shared" si="311"/>
        <v>7</v>
      </c>
      <c r="N6534" s="76" t="str">
        <f t="shared" si="312"/>
        <v/>
      </c>
      <c r="O6534" s="33">
        <f t="shared" si="310"/>
        <v>7</v>
      </c>
    </row>
    <row r="6535" spans="1:15" x14ac:dyDescent="0.25">
      <c r="A6535" s="64" t="s">
        <v>211</v>
      </c>
      <c r="B6535" s="79" t="str">
        <f>IF('Twenty-Seventh'!B38="", "",'Twenty-Seventh'!B38)</f>
        <v>Centre Head</v>
      </c>
      <c r="C6535" s="66" t="str">
        <f>IF('Twenty-Seventh'!C38="", "",'Twenty-Seventh'!C38)</f>
        <v>Carer</v>
      </c>
      <c r="D6535" s="66" t="str">
        <f>IF('Twenty-Seventh'!D38="", "",'Twenty-Seventh'!D38)</f>
        <v>New</v>
      </c>
      <c r="E6535" s="66" t="str">
        <f>IF('Twenty-Seventh'!E38="", "",'Twenty-Seventh'!E38)</f>
        <v>Female</v>
      </c>
      <c r="F6535" s="66" t="str">
        <f>IF('Twenty-Seventh'!F38="", "",'Twenty-Seventh'!F38)</f>
        <v>Lung</v>
      </c>
      <c r="G6535" s="66" t="str">
        <f>IF('Twenty-Seventh'!G38="", "",'Twenty-Seventh'!G38)</f>
        <v>Non-Curative Intent</v>
      </c>
      <c r="H6535" s="66" t="str">
        <f>IF('Twenty-Seventh'!H38="", "",'Twenty-Seventh'!H38)</f>
        <v>Drop-In</v>
      </c>
      <c r="I6535" s="66" t="str">
        <f>IF('Twenty-Seventh'!I38="", "",'Twenty-Seventh'!I38)</f>
        <v>Psych Support - Individual</v>
      </c>
      <c r="J6535" s="66" t="str">
        <f>IF('Twenty-Seventh'!J38="", "",'Twenty-Seventh'!J38)</f>
        <v/>
      </c>
      <c r="K6535" s="86" t="str">
        <f>IF('Twenty-Seventh'!K38="", "",'Twenty-Seventh'!K38)</f>
        <v/>
      </c>
      <c r="M6535" s="67" t="str">
        <f t="shared" si="311"/>
        <v/>
      </c>
      <c r="N6535" s="76">
        <f t="shared" si="312"/>
        <v>7</v>
      </c>
      <c r="O6535" s="33">
        <f t="shared" si="310"/>
        <v>7</v>
      </c>
    </row>
    <row r="6536" spans="1:15" x14ac:dyDescent="0.25">
      <c r="A6536" s="64" t="s">
        <v>211</v>
      </c>
      <c r="B6536" s="79" t="str">
        <f>IF('Twenty-Seventh'!B39="", "",'Twenty-Seventh'!B39)</f>
        <v>Centre Head</v>
      </c>
      <c r="C6536" s="66" t="str">
        <f>IF('Twenty-Seventh'!C39="", "",'Twenty-Seventh'!C39)</f>
        <v>Carer</v>
      </c>
      <c r="D6536" s="66" t="str">
        <f>IF('Twenty-Seventh'!D39="", "",'Twenty-Seventh'!D39)</f>
        <v>New</v>
      </c>
      <c r="E6536" s="66" t="str">
        <f>IF('Twenty-Seventh'!E39="", "",'Twenty-Seventh'!E39)</f>
        <v>Female</v>
      </c>
      <c r="F6536" s="66" t="str">
        <f>IF('Twenty-Seventh'!F39="", "",'Twenty-Seventh'!F39)</f>
        <v>Lung</v>
      </c>
      <c r="G6536" s="66" t="str">
        <f>IF('Twenty-Seventh'!G39="", "",'Twenty-Seventh'!G39)</f>
        <v>Non-Curative Intent</v>
      </c>
      <c r="H6536" s="66" t="str">
        <f>IF('Twenty-Seventh'!H39="", "",'Twenty-Seventh'!H39)</f>
        <v>Drop-In</v>
      </c>
      <c r="I6536" s="66" t="str">
        <f>IF('Twenty-Seventh'!I39="", "",'Twenty-Seventh'!I39)</f>
        <v>Psych Support - Individual</v>
      </c>
      <c r="J6536" s="66" t="str">
        <f>IF('Twenty-Seventh'!J39="", "",'Twenty-Seventh'!J39)</f>
        <v/>
      </c>
      <c r="K6536" s="86" t="str">
        <f>IF('Twenty-Seventh'!K39="", "",'Twenty-Seventh'!K39)</f>
        <v/>
      </c>
      <c r="M6536" s="67" t="str">
        <f t="shared" si="311"/>
        <v/>
      </c>
      <c r="N6536" s="76">
        <f t="shared" si="312"/>
        <v>7</v>
      </c>
      <c r="O6536" s="33">
        <f t="shared" si="310"/>
        <v>7</v>
      </c>
    </row>
    <row r="6537" spans="1:15" x14ac:dyDescent="0.25">
      <c r="A6537" s="64" t="s">
        <v>211</v>
      </c>
      <c r="B6537" s="79" t="str">
        <f>IF('Twenty-Seventh'!B40="", "",'Twenty-Seventh'!B40)</f>
        <v>Centre Head</v>
      </c>
      <c r="C6537" s="66" t="str">
        <f>IF('Twenty-Seventh'!C40="", "",'Twenty-Seventh'!C40)</f>
        <v>PwC</v>
      </c>
      <c r="D6537" s="66" t="str">
        <f>IF('Twenty-Seventh'!D40="", "",'Twenty-Seventh'!D40)</f>
        <v>New</v>
      </c>
      <c r="E6537" s="66" t="str">
        <f>IF('Twenty-Seventh'!E40="", "",'Twenty-Seventh'!E40)</f>
        <v>Male</v>
      </c>
      <c r="F6537" s="66" t="str">
        <f>IF('Twenty-Seventh'!F40="", "",'Twenty-Seventh'!F40)</f>
        <v>Lower GI</v>
      </c>
      <c r="G6537" s="66" t="str">
        <f>IF('Twenty-Seventh'!G40="", "",'Twenty-Seventh'!G40)</f>
        <v>Non-Curative Intent</v>
      </c>
      <c r="H6537" s="66" t="str">
        <f>IF('Twenty-Seventh'!H40="", "",'Twenty-Seventh'!H40)</f>
        <v>Booked</v>
      </c>
      <c r="I6537" s="66" t="str">
        <f>IF('Twenty-Seventh'!I40="", "",'Twenty-Seventh'!I40)</f>
        <v>Psych Support - Individual</v>
      </c>
      <c r="J6537" s="66" t="str">
        <f>IF('Twenty-Seventh'!J40="", "",'Twenty-Seventh'!J40)</f>
        <v/>
      </c>
      <c r="K6537" s="86" t="str">
        <f>IF('Twenty-Seventh'!K40="", "",'Twenty-Seventh'!K40)</f>
        <v/>
      </c>
      <c r="M6537" s="67">
        <f t="shared" si="311"/>
        <v>7</v>
      </c>
      <c r="N6537" s="76" t="str">
        <f t="shared" si="312"/>
        <v/>
      </c>
      <c r="O6537" s="33">
        <f t="shared" si="310"/>
        <v>7</v>
      </c>
    </row>
    <row r="6538" spans="1:15" x14ac:dyDescent="0.25">
      <c r="A6538" s="64" t="s">
        <v>211</v>
      </c>
      <c r="B6538" s="79" t="str">
        <f>IF('Twenty-Seventh'!B41="", "",'Twenty-Seventh'!B41)</f>
        <v>Centre Head</v>
      </c>
      <c r="C6538" s="66" t="str">
        <f>IF('Twenty-Seventh'!C41="", "",'Twenty-Seventh'!C41)</f>
        <v>Carer</v>
      </c>
      <c r="D6538" s="66" t="str">
        <f>IF('Twenty-Seventh'!D41="", "",'Twenty-Seventh'!D41)</f>
        <v>New</v>
      </c>
      <c r="E6538" s="66" t="str">
        <f>IF('Twenty-Seventh'!E41="", "",'Twenty-Seventh'!E41)</f>
        <v>Female</v>
      </c>
      <c r="F6538" s="66" t="str">
        <f>IF('Twenty-Seventh'!F41="", "",'Twenty-Seventh'!F41)</f>
        <v>Lower GI</v>
      </c>
      <c r="G6538" s="66" t="str">
        <f>IF('Twenty-Seventh'!G41="", "",'Twenty-Seventh'!G41)</f>
        <v>Non-Curative Intent</v>
      </c>
      <c r="H6538" s="66" t="str">
        <f>IF('Twenty-Seventh'!H41="", "",'Twenty-Seventh'!H41)</f>
        <v>Booked</v>
      </c>
      <c r="I6538" s="66" t="str">
        <f>IF('Twenty-Seventh'!I41="", "",'Twenty-Seventh'!I41)</f>
        <v>Psych Support - Individual</v>
      </c>
      <c r="J6538" s="66" t="str">
        <f>IF('Twenty-Seventh'!J41="", "",'Twenty-Seventh'!J41)</f>
        <v/>
      </c>
      <c r="K6538" s="86" t="str">
        <f>IF('Twenty-Seventh'!K41="", "",'Twenty-Seventh'!K41)</f>
        <v/>
      </c>
      <c r="M6538" s="67" t="str">
        <f t="shared" si="311"/>
        <v/>
      </c>
      <c r="N6538" s="76">
        <f t="shared" si="312"/>
        <v>7</v>
      </c>
      <c r="O6538" s="33">
        <f t="shared" ref="O6538:O6601" si="313">SUM(M6538:N6538)</f>
        <v>7</v>
      </c>
    </row>
    <row r="6539" spans="1:15" x14ac:dyDescent="0.25">
      <c r="A6539" s="64" t="s">
        <v>211</v>
      </c>
      <c r="B6539" s="79" t="str">
        <f>IF('Twenty-Seventh'!B42="", "",'Twenty-Seventh'!B42)</f>
        <v>Centre Head</v>
      </c>
      <c r="C6539" s="66" t="str">
        <f>IF('Twenty-Seventh'!C42="", "",'Twenty-Seventh'!C42)</f>
        <v>Carer</v>
      </c>
      <c r="D6539" s="66" t="str">
        <f>IF('Twenty-Seventh'!D42="", "",'Twenty-Seventh'!D42)</f>
        <v>New</v>
      </c>
      <c r="E6539" s="66" t="str">
        <f>IF('Twenty-Seventh'!E42="", "",'Twenty-Seventh'!E42)</f>
        <v>Female</v>
      </c>
      <c r="F6539" s="66" t="str">
        <f>IF('Twenty-Seventh'!F42="", "",'Twenty-Seventh'!F42)</f>
        <v>Haemat</v>
      </c>
      <c r="G6539" s="66" t="str">
        <f>IF('Twenty-Seventh'!G42="", "",'Twenty-Seventh'!G42)</f>
        <v>Non-Curative Intent</v>
      </c>
      <c r="H6539" s="66" t="str">
        <f>IF('Twenty-Seventh'!H42="", "",'Twenty-Seventh'!H42)</f>
        <v>Booked</v>
      </c>
      <c r="I6539" s="66" t="str">
        <f>IF('Twenty-Seventh'!I42="", "",'Twenty-Seventh'!I42)</f>
        <v/>
      </c>
      <c r="J6539" s="66" t="str">
        <f>IF('Twenty-Seventh'!J42="", "",'Twenty-Seventh'!J42)</f>
        <v/>
      </c>
      <c r="K6539" s="86" t="str">
        <f>IF('Twenty-Seventh'!K42="", "",'Twenty-Seventh'!K42)</f>
        <v/>
      </c>
      <c r="M6539" s="67" t="str">
        <f t="shared" si="311"/>
        <v/>
      </c>
      <c r="N6539" s="76">
        <f t="shared" si="312"/>
        <v>7</v>
      </c>
      <c r="O6539" s="33">
        <f t="shared" si="313"/>
        <v>7</v>
      </c>
    </row>
    <row r="6540" spans="1:15" x14ac:dyDescent="0.25">
      <c r="A6540" s="64" t="s">
        <v>211</v>
      </c>
      <c r="B6540" s="79" t="str">
        <f>IF('Twenty-Seventh'!B43="", "",'Twenty-Seventh'!B43)</f>
        <v>Centre Head</v>
      </c>
      <c r="C6540" s="66" t="str">
        <f>IF('Twenty-Seventh'!C43="", "",'Twenty-Seventh'!C43)</f>
        <v>Carer</v>
      </c>
      <c r="D6540" s="66" t="str">
        <f>IF('Twenty-Seventh'!D43="", "",'Twenty-Seventh'!D43)</f>
        <v>New</v>
      </c>
      <c r="E6540" s="66" t="str">
        <f>IF('Twenty-Seventh'!E43="", "",'Twenty-Seventh'!E43)</f>
        <v>Female</v>
      </c>
      <c r="F6540" s="66" t="str">
        <f>IF('Twenty-Seventh'!F43="", "",'Twenty-Seventh'!F43)</f>
        <v>Haemat</v>
      </c>
      <c r="G6540" s="66" t="str">
        <f>IF('Twenty-Seventh'!G43="", "",'Twenty-Seventh'!G43)</f>
        <v>Non-Curative Intent</v>
      </c>
      <c r="H6540" s="66" t="str">
        <f>IF('Twenty-Seventh'!H43="", "",'Twenty-Seventh'!H43)</f>
        <v>Booked</v>
      </c>
      <c r="I6540" s="66" t="str">
        <f>IF('Twenty-Seventh'!I43="", "",'Twenty-Seventh'!I43)</f>
        <v/>
      </c>
      <c r="J6540" s="66" t="str">
        <f>IF('Twenty-Seventh'!J43="", "",'Twenty-Seventh'!J43)</f>
        <v/>
      </c>
      <c r="K6540" s="86" t="str">
        <f>IF('Twenty-Seventh'!K43="", "",'Twenty-Seventh'!K43)</f>
        <v/>
      </c>
      <c r="M6540" s="67" t="str">
        <f t="shared" si="311"/>
        <v/>
      </c>
      <c r="N6540" s="76">
        <f t="shared" si="312"/>
        <v>7</v>
      </c>
      <c r="O6540" s="33">
        <f t="shared" si="313"/>
        <v>7</v>
      </c>
    </row>
    <row r="6541" spans="1:15" x14ac:dyDescent="0.25">
      <c r="A6541" s="64" t="s">
        <v>211</v>
      </c>
      <c r="B6541" s="79" t="str">
        <f>IF('Twenty-Seventh'!B44="", "",'Twenty-Seventh'!B44)</f>
        <v>Centre Head</v>
      </c>
      <c r="C6541" s="66" t="str">
        <f>IF('Twenty-Seventh'!C44="", "",'Twenty-Seventh'!C44)</f>
        <v>Carer</v>
      </c>
      <c r="D6541" s="66" t="str">
        <f>IF('Twenty-Seventh'!D44="", "",'Twenty-Seventh'!D44)</f>
        <v>New</v>
      </c>
      <c r="E6541" s="66" t="str">
        <f>IF('Twenty-Seventh'!E44="", "",'Twenty-Seventh'!E44)</f>
        <v>Female</v>
      </c>
      <c r="F6541" s="66" t="str">
        <f>IF('Twenty-Seventh'!F44="", "",'Twenty-Seventh'!F44)</f>
        <v>Haemat</v>
      </c>
      <c r="G6541" s="66" t="str">
        <f>IF('Twenty-Seventh'!G44="", "",'Twenty-Seventh'!G44)</f>
        <v>Non-Curative Intent</v>
      </c>
      <c r="H6541" s="66" t="str">
        <f>IF('Twenty-Seventh'!H44="", "",'Twenty-Seventh'!H44)</f>
        <v>Booked</v>
      </c>
      <c r="I6541" s="66" t="str">
        <f>IF('Twenty-Seventh'!I44="", "",'Twenty-Seventh'!I44)</f>
        <v/>
      </c>
      <c r="J6541" s="66" t="str">
        <f>IF('Twenty-Seventh'!J44="", "",'Twenty-Seventh'!J44)</f>
        <v/>
      </c>
      <c r="K6541" s="86" t="str">
        <f>IF('Twenty-Seventh'!K44="", "",'Twenty-Seventh'!K44)</f>
        <v/>
      </c>
      <c r="M6541" s="67" t="str">
        <f t="shared" si="311"/>
        <v/>
      </c>
      <c r="N6541" s="76">
        <f t="shared" si="312"/>
        <v>7</v>
      </c>
      <c r="O6541" s="33">
        <f t="shared" si="313"/>
        <v>7</v>
      </c>
    </row>
    <row r="6542" spans="1:15" x14ac:dyDescent="0.25">
      <c r="A6542" s="64" t="s">
        <v>211</v>
      </c>
      <c r="B6542" s="79" t="str">
        <f>IF('Twenty-Seventh'!B45="", "",'Twenty-Seventh'!B45)</f>
        <v>Centre Head</v>
      </c>
      <c r="C6542" s="66" t="str">
        <f>IF('Twenty-Seventh'!C45="", "",'Twenty-Seventh'!C45)</f>
        <v>Carer</v>
      </c>
      <c r="D6542" s="66" t="str">
        <f>IF('Twenty-Seventh'!D45="", "",'Twenty-Seventh'!D45)</f>
        <v>New</v>
      </c>
      <c r="E6542" s="66" t="str">
        <f>IF('Twenty-Seventh'!E45="", "",'Twenty-Seventh'!E45)</f>
        <v>Male</v>
      </c>
      <c r="F6542" s="66" t="str">
        <f>IF('Twenty-Seventh'!F45="", "",'Twenty-Seventh'!F45)</f>
        <v>Haemat</v>
      </c>
      <c r="G6542" s="66" t="str">
        <f>IF('Twenty-Seventh'!G45="", "",'Twenty-Seventh'!G45)</f>
        <v>Non-Curative Intent</v>
      </c>
      <c r="H6542" s="66" t="str">
        <f>IF('Twenty-Seventh'!H45="", "",'Twenty-Seventh'!H45)</f>
        <v>Booked</v>
      </c>
      <c r="I6542" s="66" t="str">
        <f>IF('Twenty-Seventh'!I45="", "",'Twenty-Seventh'!I45)</f>
        <v>Psych Support - Individual</v>
      </c>
      <c r="J6542" s="66" t="str">
        <f>IF('Twenty-Seventh'!J45="", "",'Twenty-Seventh'!J45)</f>
        <v/>
      </c>
      <c r="K6542" s="86" t="str">
        <f>IF('Twenty-Seventh'!K45="", "",'Twenty-Seventh'!K45)</f>
        <v/>
      </c>
      <c r="M6542" s="67" t="str">
        <f t="shared" si="311"/>
        <v/>
      </c>
      <c r="N6542" s="76">
        <f t="shared" si="312"/>
        <v>7</v>
      </c>
      <c r="O6542" s="33">
        <f t="shared" si="313"/>
        <v>7</v>
      </c>
    </row>
    <row r="6543" spans="1:15" x14ac:dyDescent="0.25">
      <c r="A6543" s="64" t="s">
        <v>211</v>
      </c>
      <c r="B6543" s="79" t="str">
        <f>IF('Twenty-Seventh'!B46="", "",'Twenty-Seventh'!B46)</f>
        <v>Centre Head</v>
      </c>
      <c r="C6543" s="66" t="str">
        <f>IF('Twenty-Seventh'!C46="", "",'Twenty-Seventh'!C46)</f>
        <v>Carer</v>
      </c>
      <c r="D6543" s="66" t="str">
        <f>IF('Twenty-Seventh'!D46="", "",'Twenty-Seventh'!D46)</f>
        <v>Returning</v>
      </c>
      <c r="E6543" s="66" t="str">
        <f>IF('Twenty-Seventh'!E46="", "",'Twenty-Seventh'!E46)</f>
        <v>Female</v>
      </c>
      <c r="F6543" s="66" t="str">
        <f>IF('Twenty-Seventh'!F46="", "",'Twenty-Seventh'!F46)</f>
        <v>Gynae</v>
      </c>
      <c r="G6543" s="66" t="str">
        <f>IF('Twenty-Seventh'!G46="", "",'Twenty-Seventh'!G46)</f>
        <v>Bereaved</v>
      </c>
      <c r="H6543" s="66" t="str">
        <f>IF('Twenty-Seventh'!H46="", "",'Twenty-Seventh'!H46)</f>
        <v>Booked</v>
      </c>
      <c r="I6543" s="66" t="str">
        <f>IF('Twenty-Seventh'!I46="", "",'Twenty-Seventh'!I46)</f>
        <v>Psych Support - Individual</v>
      </c>
      <c r="J6543" s="66" t="str">
        <f>IF('Twenty-Seventh'!J46="", "",'Twenty-Seventh'!J46)</f>
        <v/>
      </c>
      <c r="K6543" s="86" t="str">
        <f>IF('Twenty-Seventh'!K46="", "",'Twenty-Seventh'!K46)</f>
        <v/>
      </c>
      <c r="M6543" s="67" t="str">
        <f t="shared" si="311"/>
        <v/>
      </c>
      <c r="N6543" s="76">
        <f t="shared" si="312"/>
        <v>7</v>
      </c>
      <c r="O6543" s="33">
        <f t="shared" si="313"/>
        <v>7</v>
      </c>
    </row>
    <row r="6544" spans="1:15" x14ac:dyDescent="0.25">
      <c r="A6544" s="64" t="s">
        <v>211</v>
      </c>
      <c r="B6544" s="79" t="str">
        <f>IF('Twenty-Seventh'!B47="", "",'Twenty-Seventh'!B47)</f>
        <v>Centre Head</v>
      </c>
      <c r="C6544" s="66" t="str">
        <f>IF('Twenty-Seventh'!C47="", "",'Twenty-Seventh'!C47)</f>
        <v>PwC</v>
      </c>
      <c r="D6544" s="66" t="str">
        <f>IF('Twenty-Seventh'!D47="", "",'Twenty-Seventh'!D47)</f>
        <v>New</v>
      </c>
      <c r="E6544" s="66" t="str">
        <f>IF('Twenty-Seventh'!E47="", "",'Twenty-Seventh'!E47)</f>
        <v>Male</v>
      </c>
      <c r="F6544" s="66" t="str">
        <f>IF('Twenty-Seventh'!F47="", "",'Twenty-Seventh'!F47)</f>
        <v>Skin/Mel</v>
      </c>
      <c r="G6544" s="66" t="str">
        <f>IF('Twenty-Seventh'!G47="", "",'Twenty-Seventh'!G47)</f>
        <v>Curative Intent</v>
      </c>
      <c r="H6544" s="66" t="str">
        <f>IF('Twenty-Seventh'!H47="", "",'Twenty-Seventh'!H47)</f>
        <v>Drop-In</v>
      </c>
      <c r="I6544" s="66" t="str">
        <f>IF('Twenty-Seventh'!I47="", "",'Twenty-Seventh'!I47)</f>
        <v/>
      </c>
      <c r="J6544" s="66" t="str">
        <f>IF('Twenty-Seventh'!J47="", "",'Twenty-Seventh'!J47)</f>
        <v/>
      </c>
      <c r="K6544" s="86" t="str">
        <f>IF('Twenty-Seventh'!K47="", "",'Twenty-Seventh'!K47)</f>
        <v/>
      </c>
      <c r="M6544" s="67">
        <f t="shared" si="311"/>
        <v>7</v>
      </c>
      <c r="N6544" s="76" t="str">
        <f t="shared" si="312"/>
        <v/>
      </c>
      <c r="O6544" s="33">
        <f t="shared" si="313"/>
        <v>7</v>
      </c>
    </row>
    <row r="6545" spans="1:15" x14ac:dyDescent="0.25">
      <c r="A6545" s="64" t="s">
        <v>211</v>
      </c>
      <c r="B6545" s="79" t="str">
        <f>IF('Twenty-Seventh'!B48="", "",'Twenty-Seventh'!B48)</f>
        <v>Centre Head</v>
      </c>
      <c r="C6545" s="66" t="str">
        <f>IF('Twenty-Seventh'!C48="", "",'Twenty-Seventh'!C48)</f>
        <v>PwC</v>
      </c>
      <c r="D6545" s="66" t="str">
        <f>IF('Twenty-Seventh'!D48="", "",'Twenty-Seventh'!D48)</f>
        <v>Returning</v>
      </c>
      <c r="E6545" s="66" t="str">
        <f>IF('Twenty-Seventh'!E48="", "",'Twenty-Seventh'!E48)</f>
        <v>Male</v>
      </c>
      <c r="F6545" s="66" t="str">
        <f>IF('Twenty-Seventh'!F48="", "",'Twenty-Seventh'!F48)</f>
        <v>Prostate</v>
      </c>
      <c r="G6545" s="66" t="str">
        <f>IF('Twenty-Seventh'!G48="", "",'Twenty-Seventh'!G48)</f>
        <v>Post Treatment - Curative Intent</v>
      </c>
      <c r="H6545" s="66" t="str">
        <f>IF('Twenty-Seventh'!H48="", "",'Twenty-Seventh'!H48)</f>
        <v/>
      </c>
      <c r="I6545" s="66" t="str">
        <f>IF('Twenty-Seventh'!I48="", "",'Twenty-Seventh'!I48)</f>
        <v>Lecture Series</v>
      </c>
      <c r="J6545" s="66" t="str">
        <f>IF('Twenty-Seventh'!J48="", "",'Twenty-Seventh'!J48)</f>
        <v>Auricular Acupuncture</v>
      </c>
      <c r="K6545" s="86" t="str">
        <f>IF('Twenty-Seventh'!K48="", "",'Twenty-Seventh'!K48)</f>
        <v>Benefits - Individual</v>
      </c>
      <c r="M6545" s="67">
        <f t="shared" si="311"/>
        <v>6</v>
      </c>
      <c r="N6545" s="76" t="str">
        <f t="shared" si="312"/>
        <v/>
      </c>
      <c r="O6545" s="33">
        <f t="shared" si="313"/>
        <v>6</v>
      </c>
    </row>
    <row r="6546" spans="1:15" x14ac:dyDescent="0.25">
      <c r="A6546" s="64" t="s">
        <v>211</v>
      </c>
      <c r="B6546" s="79" t="str">
        <f>IF('Twenty-Seventh'!B49="", "",'Twenty-Seventh'!B49)</f>
        <v>Centre Head</v>
      </c>
      <c r="C6546" s="66" t="str">
        <f>IF('Twenty-Seventh'!C49="", "",'Twenty-Seventh'!C49)</f>
        <v>PwC</v>
      </c>
      <c r="D6546" s="66" t="str">
        <f>IF('Twenty-Seventh'!D49="", "",'Twenty-Seventh'!D49)</f>
        <v>Returning</v>
      </c>
      <c r="E6546" s="66" t="str">
        <f>IF('Twenty-Seventh'!E49="", "",'Twenty-Seventh'!E49)</f>
        <v>Male</v>
      </c>
      <c r="F6546" s="66" t="str">
        <f>IF('Twenty-Seventh'!F49="", "",'Twenty-Seventh'!F49)</f>
        <v>Prostate</v>
      </c>
      <c r="G6546" s="66" t="str">
        <f>IF('Twenty-Seventh'!G49="", "",'Twenty-Seventh'!G49)</f>
        <v>Post Treatment - Curative Intent</v>
      </c>
      <c r="H6546" s="66" t="str">
        <f>IF('Twenty-Seventh'!H49="", "",'Twenty-Seventh'!H49)</f>
        <v/>
      </c>
      <c r="I6546" s="66" t="str">
        <f>IF('Twenty-Seventh'!I49="", "",'Twenty-Seventh'!I49)</f>
        <v>Lecture Series</v>
      </c>
      <c r="J6546" s="66" t="str">
        <f>IF('Twenty-Seventh'!J49="", "",'Twenty-Seventh'!J49)</f>
        <v>Auricular Acupuncture</v>
      </c>
      <c r="K6546" s="86" t="str">
        <f>IF('Twenty-Seventh'!K49="", "",'Twenty-Seventh'!K49)</f>
        <v/>
      </c>
      <c r="M6546" s="67">
        <f t="shared" si="311"/>
        <v>6</v>
      </c>
      <c r="N6546" s="76" t="str">
        <f t="shared" si="312"/>
        <v/>
      </c>
      <c r="O6546" s="33">
        <f t="shared" si="313"/>
        <v>6</v>
      </c>
    </row>
    <row r="6547" spans="1:15" x14ac:dyDescent="0.25">
      <c r="A6547" s="64" t="s">
        <v>211</v>
      </c>
      <c r="B6547" s="79" t="str">
        <f>IF('Twenty-Seventh'!B50="", "",'Twenty-Seventh'!B50)</f>
        <v>Centre Head</v>
      </c>
      <c r="C6547" s="66" t="str">
        <f>IF('Twenty-Seventh'!C50="", "",'Twenty-Seventh'!C50)</f>
        <v>PwC</v>
      </c>
      <c r="D6547" s="66" t="str">
        <f>IF('Twenty-Seventh'!D50="", "",'Twenty-Seventh'!D50)</f>
        <v>Returning</v>
      </c>
      <c r="E6547" s="66" t="str">
        <f>IF('Twenty-Seventh'!E50="", "",'Twenty-Seventh'!E50)</f>
        <v>Male</v>
      </c>
      <c r="F6547" s="66" t="str">
        <f>IF('Twenty-Seventh'!F50="", "",'Twenty-Seventh'!F50)</f>
        <v>Prostate</v>
      </c>
      <c r="G6547" s="66" t="str">
        <f>IF('Twenty-Seventh'!G50="", "",'Twenty-Seventh'!G50)</f>
        <v>Post Treatment - Curative Intent</v>
      </c>
      <c r="H6547" s="66" t="str">
        <f>IF('Twenty-Seventh'!H50="", "",'Twenty-Seventh'!H50)</f>
        <v/>
      </c>
      <c r="I6547" s="66" t="str">
        <f>IF('Twenty-Seventh'!I50="", "",'Twenty-Seventh'!I50)</f>
        <v>Lecture Series</v>
      </c>
      <c r="J6547" s="66" t="str">
        <f>IF('Twenty-Seventh'!J50="", "",'Twenty-Seventh'!J50)</f>
        <v>Auricular Acupuncture</v>
      </c>
      <c r="K6547" s="86" t="str">
        <f>IF('Twenty-Seventh'!K50="", "",'Twenty-Seventh'!K50)</f>
        <v/>
      </c>
      <c r="M6547" s="67">
        <f t="shared" si="311"/>
        <v>6</v>
      </c>
      <c r="N6547" s="76" t="str">
        <f t="shared" si="312"/>
        <v/>
      </c>
      <c r="O6547" s="33">
        <f t="shared" si="313"/>
        <v>6</v>
      </c>
    </row>
    <row r="6548" spans="1:15" x14ac:dyDescent="0.25">
      <c r="A6548" s="64" t="s">
        <v>211</v>
      </c>
      <c r="B6548" s="79" t="str">
        <f>IF('Twenty-Seventh'!B51="", "",'Twenty-Seventh'!B51)</f>
        <v>Centre Head</v>
      </c>
      <c r="C6548" s="66" t="str">
        <f>IF('Twenty-Seventh'!C51="", "",'Twenty-Seventh'!C51)</f>
        <v>PwC</v>
      </c>
      <c r="D6548" s="66" t="str">
        <f>IF('Twenty-Seventh'!D51="", "",'Twenty-Seventh'!D51)</f>
        <v>Returning</v>
      </c>
      <c r="E6548" s="66" t="str">
        <f>IF('Twenty-Seventh'!E51="", "",'Twenty-Seventh'!E51)</f>
        <v>Male</v>
      </c>
      <c r="F6548" s="66" t="str">
        <f>IF('Twenty-Seventh'!F51="", "",'Twenty-Seventh'!F51)</f>
        <v>Prostate</v>
      </c>
      <c r="G6548" s="66" t="str">
        <f>IF('Twenty-Seventh'!G51="", "",'Twenty-Seventh'!G51)</f>
        <v>Post Treatment - Curative Intent</v>
      </c>
      <c r="H6548" s="66" t="str">
        <f>IF('Twenty-Seventh'!H51="", "",'Twenty-Seventh'!H51)</f>
        <v/>
      </c>
      <c r="I6548" s="66" t="str">
        <f>IF('Twenty-Seventh'!I51="", "",'Twenty-Seventh'!I51)</f>
        <v>Lecture Series</v>
      </c>
      <c r="J6548" s="66" t="str">
        <f>IF('Twenty-Seventh'!J51="", "",'Twenty-Seventh'!J51)</f>
        <v>Auricular Acupuncture</v>
      </c>
      <c r="K6548" s="86" t="str">
        <f>IF('Twenty-Seventh'!K51="", "",'Twenty-Seventh'!K51)</f>
        <v/>
      </c>
      <c r="M6548" s="67">
        <f t="shared" si="311"/>
        <v>6</v>
      </c>
      <c r="N6548" s="76" t="str">
        <f t="shared" si="312"/>
        <v/>
      </c>
      <c r="O6548" s="33">
        <f t="shared" si="313"/>
        <v>6</v>
      </c>
    </row>
    <row r="6549" spans="1:15" x14ac:dyDescent="0.25">
      <c r="A6549" s="64" t="s">
        <v>211</v>
      </c>
      <c r="B6549" s="79" t="str">
        <f>IF('Twenty-Seventh'!B52="", "",'Twenty-Seventh'!B52)</f>
        <v>Centre Head</v>
      </c>
      <c r="C6549" s="66" t="str">
        <f>IF('Twenty-Seventh'!C52="", "",'Twenty-Seventh'!C52)</f>
        <v>PwC</v>
      </c>
      <c r="D6549" s="66" t="str">
        <f>IF('Twenty-Seventh'!D52="", "",'Twenty-Seventh'!D52)</f>
        <v>Returning</v>
      </c>
      <c r="E6549" s="66" t="str">
        <f>IF('Twenty-Seventh'!E52="", "",'Twenty-Seventh'!E52)</f>
        <v>Male</v>
      </c>
      <c r="F6549" s="66" t="str">
        <f>IF('Twenty-Seventh'!F52="", "",'Twenty-Seventh'!F52)</f>
        <v>Prostate</v>
      </c>
      <c r="G6549" s="66" t="str">
        <f>IF('Twenty-Seventh'!G52="", "",'Twenty-Seventh'!G52)</f>
        <v>Post Treatment - Curative Intent</v>
      </c>
      <c r="H6549" s="66" t="str">
        <f>IF('Twenty-Seventh'!H52="", "",'Twenty-Seventh'!H52)</f>
        <v/>
      </c>
      <c r="I6549" s="66" t="str">
        <f>IF('Twenty-Seventh'!I52="", "",'Twenty-Seventh'!I52)</f>
        <v>Lecture Series</v>
      </c>
      <c r="J6549" s="66" t="str">
        <f>IF('Twenty-Seventh'!J52="", "",'Twenty-Seventh'!J52)</f>
        <v>Auricular Acupuncture</v>
      </c>
      <c r="K6549" s="86" t="str">
        <f>IF('Twenty-Seventh'!K52="", "",'Twenty-Seventh'!K52)</f>
        <v/>
      </c>
      <c r="M6549" s="67">
        <f t="shared" si="311"/>
        <v>6</v>
      </c>
      <c r="N6549" s="76" t="str">
        <f t="shared" si="312"/>
        <v/>
      </c>
      <c r="O6549" s="33">
        <f t="shared" si="313"/>
        <v>6</v>
      </c>
    </row>
    <row r="6550" spans="1:15" x14ac:dyDescent="0.25">
      <c r="A6550" s="64" t="s">
        <v>211</v>
      </c>
      <c r="B6550" s="79" t="str">
        <f>IF('Twenty-Seventh'!B53="", "",'Twenty-Seventh'!B53)</f>
        <v>Centre Head</v>
      </c>
      <c r="C6550" s="66" t="str">
        <f>IF('Twenty-Seventh'!C53="", "",'Twenty-Seventh'!C53)</f>
        <v>PwC</v>
      </c>
      <c r="D6550" s="66" t="str">
        <f>IF('Twenty-Seventh'!D53="", "",'Twenty-Seventh'!D53)</f>
        <v>Returning</v>
      </c>
      <c r="E6550" s="66" t="str">
        <f>IF('Twenty-Seventh'!E53="", "",'Twenty-Seventh'!E53)</f>
        <v>Male</v>
      </c>
      <c r="F6550" s="66" t="str">
        <f>IF('Twenty-Seventh'!F53="", "",'Twenty-Seventh'!F53)</f>
        <v>Prostate</v>
      </c>
      <c r="G6550" s="66" t="str">
        <f>IF('Twenty-Seventh'!G53="", "",'Twenty-Seventh'!G53)</f>
        <v>Post Treatment - Curative Intent</v>
      </c>
      <c r="H6550" s="66" t="str">
        <f>IF('Twenty-Seventh'!H53="", "",'Twenty-Seventh'!H53)</f>
        <v/>
      </c>
      <c r="I6550" s="66" t="str">
        <f>IF('Twenty-Seventh'!I53="", "",'Twenty-Seventh'!I53)</f>
        <v>Lecture Series</v>
      </c>
      <c r="J6550" s="66" t="str">
        <f>IF('Twenty-Seventh'!J53="", "",'Twenty-Seventh'!J53)</f>
        <v>Auricular Acupuncture</v>
      </c>
      <c r="K6550" s="86" t="str">
        <f>IF('Twenty-Seventh'!K53="", "",'Twenty-Seventh'!K53)</f>
        <v>Benefits - Individual</v>
      </c>
      <c r="M6550" s="67">
        <f t="shared" si="311"/>
        <v>6</v>
      </c>
      <c r="N6550" s="76" t="str">
        <f t="shared" si="312"/>
        <v/>
      </c>
      <c r="O6550" s="33">
        <f t="shared" si="313"/>
        <v>6</v>
      </c>
    </row>
    <row r="6551" spans="1:15" x14ac:dyDescent="0.25">
      <c r="A6551" s="64" t="s">
        <v>211</v>
      </c>
      <c r="B6551" s="79" t="str">
        <f>IF('Twenty-Seventh'!B54="", "",'Twenty-Seventh'!B54)</f>
        <v>Centre Head</v>
      </c>
      <c r="C6551" s="66" t="str">
        <f>IF('Twenty-Seventh'!C54="", "",'Twenty-Seventh'!C54)</f>
        <v>PwC</v>
      </c>
      <c r="D6551" s="66" t="str">
        <f>IF('Twenty-Seventh'!D54="", "",'Twenty-Seventh'!D54)</f>
        <v>Returning</v>
      </c>
      <c r="E6551" s="66" t="str">
        <f>IF('Twenty-Seventh'!E54="", "",'Twenty-Seventh'!E54)</f>
        <v>Male</v>
      </c>
      <c r="F6551" s="66" t="str">
        <f>IF('Twenty-Seventh'!F54="", "",'Twenty-Seventh'!F54)</f>
        <v>Prostate</v>
      </c>
      <c r="G6551" s="66" t="str">
        <f>IF('Twenty-Seventh'!G54="", "",'Twenty-Seventh'!G54)</f>
        <v>Post Treatment - Curative Intent</v>
      </c>
      <c r="H6551" s="66" t="str">
        <f>IF('Twenty-Seventh'!H54="", "",'Twenty-Seventh'!H54)</f>
        <v/>
      </c>
      <c r="I6551" s="66" t="str">
        <f>IF('Twenty-Seventh'!I54="", "",'Twenty-Seventh'!I54)</f>
        <v>Lecture Series</v>
      </c>
      <c r="J6551" s="66" t="str">
        <f>IF('Twenty-Seventh'!J54="", "",'Twenty-Seventh'!J54)</f>
        <v>Auricular Acupuncture</v>
      </c>
      <c r="K6551" s="86" t="str">
        <f>IF('Twenty-Seventh'!K54="", "",'Twenty-Seventh'!K54)</f>
        <v>Benefits - Individual</v>
      </c>
      <c r="M6551" s="67">
        <f t="shared" si="311"/>
        <v>6</v>
      </c>
      <c r="N6551" s="76" t="str">
        <f t="shared" si="312"/>
        <v/>
      </c>
      <c r="O6551" s="33">
        <f t="shared" si="313"/>
        <v>6</v>
      </c>
    </row>
    <row r="6552" spans="1:15" x14ac:dyDescent="0.25">
      <c r="A6552" s="64" t="s">
        <v>211</v>
      </c>
      <c r="B6552" s="79" t="str">
        <f>IF('Twenty-Seventh'!B55="", "",'Twenty-Seventh'!B55)</f>
        <v>Centre Head</v>
      </c>
      <c r="C6552" s="66" t="str">
        <f>IF('Twenty-Seventh'!C55="", "",'Twenty-Seventh'!C55)</f>
        <v>PwC</v>
      </c>
      <c r="D6552" s="66" t="str">
        <f>IF('Twenty-Seventh'!D55="", "",'Twenty-Seventh'!D55)</f>
        <v>Returning</v>
      </c>
      <c r="E6552" s="66" t="str">
        <f>IF('Twenty-Seventh'!E55="", "",'Twenty-Seventh'!E55)</f>
        <v>Male</v>
      </c>
      <c r="F6552" s="66" t="str">
        <f>IF('Twenty-Seventh'!F55="", "",'Twenty-Seventh'!F55)</f>
        <v>Prostate</v>
      </c>
      <c r="G6552" s="66" t="str">
        <f>IF('Twenty-Seventh'!G55="", "",'Twenty-Seventh'!G55)</f>
        <v>Post Treatment - Curative Intent</v>
      </c>
      <c r="H6552" s="66" t="str">
        <f>IF('Twenty-Seventh'!H55="", "",'Twenty-Seventh'!H55)</f>
        <v/>
      </c>
      <c r="I6552" s="66" t="str">
        <f>IF('Twenty-Seventh'!I55="", "",'Twenty-Seventh'!I55)</f>
        <v>Lecture Series</v>
      </c>
      <c r="J6552" s="66" t="str">
        <f>IF('Twenty-Seventh'!J55="", "",'Twenty-Seventh'!J55)</f>
        <v>Auricular Acupuncture</v>
      </c>
      <c r="K6552" s="86" t="str">
        <f>IF('Twenty-Seventh'!K55="", "",'Twenty-Seventh'!K55)</f>
        <v>Benefits - Individual</v>
      </c>
      <c r="M6552" s="67">
        <f t="shared" si="311"/>
        <v>6</v>
      </c>
      <c r="N6552" s="76" t="str">
        <f t="shared" si="312"/>
        <v/>
      </c>
      <c r="O6552" s="33">
        <f t="shared" si="313"/>
        <v>6</v>
      </c>
    </row>
    <row r="6553" spans="1:15" x14ac:dyDescent="0.25">
      <c r="A6553" s="64" t="s">
        <v>211</v>
      </c>
      <c r="B6553" s="79" t="str">
        <f>IF('Twenty-Seventh'!B56="", "",'Twenty-Seventh'!B56)</f>
        <v>Centre Head</v>
      </c>
      <c r="C6553" s="66" t="str">
        <f>IF('Twenty-Seventh'!C56="", "",'Twenty-Seventh'!C56)</f>
        <v>PwC</v>
      </c>
      <c r="D6553" s="66" t="str">
        <f>IF('Twenty-Seventh'!D56="", "",'Twenty-Seventh'!D56)</f>
        <v>Returning</v>
      </c>
      <c r="E6553" s="66" t="str">
        <f>IF('Twenty-Seventh'!E56="", "",'Twenty-Seventh'!E56)</f>
        <v>Male</v>
      </c>
      <c r="F6553" s="66" t="str">
        <f>IF('Twenty-Seventh'!F56="", "",'Twenty-Seventh'!F56)</f>
        <v>Prostate</v>
      </c>
      <c r="G6553" s="66" t="str">
        <f>IF('Twenty-Seventh'!G56="", "",'Twenty-Seventh'!G56)</f>
        <v>Post Treatment - Curative Intent</v>
      </c>
      <c r="H6553" s="66" t="str">
        <f>IF('Twenty-Seventh'!H56="", "",'Twenty-Seventh'!H56)</f>
        <v/>
      </c>
      <c r="I6553" s="66" t="str">
        <f>IF('Twenty-Seventh'!I56="", "",'Twenty-Seventh'!I56)</f>
        <v>Lecture Series</v>
      </c>
      <c r="J6553" s="66" t="str">
        <f>IF('Twenty-Seventh'!J56="", "",'Twenty-Seventh'!J56)</f>
        <v>Auricular Acupuncture</v>
      </c>
      <c r="K6553" s="86" t="str">
        <f>IF('Twenty-Seventh'!K56="", "",'Twenty-Seventh'!K56)</f>
        <v>Benefits - Individual</v>
      </c>
      <c r="M6553" s="67">
        <f t="shared" si="311"/>
        <v>6</v>
      </c>
      <c r="N6553" s="76" t="str">
        <f t="shared" si="312"/>
        <v/>
      </c>
      <c r="O6553" s="33">
        <f t="shared" si="313"/>
        <v>6</v>
      </c>
    </row>
    <row r="6554" spans="1:15" x14ac:dyDescent="0.25">
      <c r="A6554" s="64" t="s">
        <v>211</v>
      </c>
      <c r="B6554" s="79" t="str">
        <f>IF('Twenty-Seventh'!B57="", "",'Twenty-Seventh'!B57)</f>
        <v>Centre Head</v>
      </c>
      <c r="C6554" s="66" t="str">
        <f>IF('Twenty-Seventh'!C57="", "",'Twenty-Seventh'!C57)</f>
        <v>PwC</v>
      </c>
      <c r="D6554" s="66" t="str">
        <f>IF('Twenty-Seventh'!D57="", "",'Twenty-Seventh'!D57)</f>
        <v>Returning</v>
      </c>
      <c r="E6554" s="66" t="str">
        <f>IF('Twenty-Seventh'!E57="", "",'Twenty-Seventh'!E57)</f>
        <v>Male</v>
      </c>
      <c r="F6554" s="66" t="str">
        <f>IF('Twenty-Seventh'!F57="", "",'Twenty-Seventh'!F57)</f>
        <v>Prostate</v>
      </c>
      <c r="G6554" s="66" t="str">
        <f>IF('Twenty-Seventh'!G57="", "",'Twenty-Seventh'!G57)</f>
        <v>Post Treatment - Curative Intent</v>
      </c>
      <c r="H6554" s="66" t="str">
        <f>IF('Twenty-Seventh'!H57="", "",'Twenty-Seventh'!H57)</f>
        <v/>
      </c>
      <c r="I6554" s="66" t="str">
        <f>IF('Twenty-Seventh'!I57="", "",'Twenty-Seventh'!I57)</f>
        <v>Lecture Series</v>
      </c>
      <c r="J6554" s="66" t="str">
        <f>IF('Twenty-Seventh'!J57="", "",'Twenty-Seventh'!J57)</f>
        <v>Auricular Acupuncture</v>
      </c>
      <c r="K6554" s="86" t="str">
        <f>IF('Twenty-Seventh'!K57="", "",'Twenty-Seventh'!K57)</f>
        <v>Benefits - Individual</v>
      </c>
      <c r="M6554" s="67">
        <f t="shared" si="311"/>
        <v>6</v>
      </c>
      <c r="N6554" s="76" t="str">
        <f t="shared" si="312"/>
        <v/>
      </c>
      <c r="O6554" s="33">
        <f t="shared" si="313"/>
        <v>6</v>
      </c>
    </row>
    <row r="6555" spans="1:15" x14ac:dyDescent="0.25">
      <c r="A6555" s="64" t="s">
        <v>211</v>
      </c>
      <c r="B6555" s="79" t="str">
        <f>IF('Twenty-Seventh'!B58="", "",'Twenty-Seventh'!B58)</f>
        <v>Centre Head</v>
      </c>
      <c r="C6555" s="66" t="str">
        <f>IF('Twenty-Seventh'!C58="", "",'Twenty-Seventh'!C58)</f>
        <v>PwC</v>
      </c>
      <c r="D6555" s="66" t="str">
        <f>IF('Twenty-Seventh'!D58="", "",'Twenty-Seventh'!D58)</f>
        <v>Returning</v>
      </c>
      <c r="E6555" s="66" t="str">
        <f>IF('Twenty-Seventh'!E58="", "",'Twenty-Seventh'!E58)</f>
        <v>Male</v>
      </c>
      <c r="F6555" s="66" t="str">
        <f>IF('Twenty-Seventh'!F58="", "",'Twenty-Seventh'!F58)</f>
        <v>Prostate</v>
      </c>
      <c r="G6555" s="66" t="str">
        <f>IF('Twenty-Seventh'!G58="", "",'Twenty-Seventh'!G58)</f>
        <v>Post Treatment - Curative Intent</v>
      </c>
      <c r="H6555" s="66" t="str">
        <f>IF('Twenty-Seventh'!H58="", "",'Twenty-Seventh'!H58)</f>
        <v/>
      </c>
      <c r="I6555" s="66" t="str">
        <f>IF('Twenty-Seventh'!I58="", "",'Twenty-Seventh'!I58)</f>
        <v>Lecture Series</v>
      </c>
      <c r="J6555" s="66" t="str">
        <f>IF('Twenty-Seventh'!J58="", "",'Twenty-Seventh'!J58)</f>
        <v>Auricular Acupuncture</v>
      </c>
      <c r="K6555" s="86" t="str">
        <f>IF('Twenty-Seventh'!K58="", "",'Twenty-Seventh'!K58)</f>
        <v>Benefits - Individual</v>
      </c>
      <c r="M6555" s="67">
        <f t="shared" si="311"/>
        <v>6</v>
      </c>
      <c r="N6555" s="76" t="str">
        <f t="shared" si="312"/>
        <v/>
      </c>
      <c r="O6555" s="33">
        <f t="shared" si="313"/>
        <v>6</v>
      </c>
    </row>
    <row r="6556" spans="1:15" x14ac:dyDescent="0.25">
      <c r="A6556" s="64" t="s">
        <v>211</v>
      </c>
      <c r="B6556" s="79" t="str">
        <f>IF('Twenty-Seventh'!B59="", "",'Twenty-Seventh'!B59)</f>
        <v>Centre Head</v>
      </c>
      <c r="C6556" s="66" t="str">
        <f>IF('Twenty-Seventh'!C59="", "",'Twenty-Seventh'!C59)</f>
        <v>PwC</v>
      </c>
      <c r="D6556" s="66" t="str">
        <f>IF('Twenty-Seventh'!D59="", "",'Twenty-Seventh'!D59)</f>
        <v>Returning</v>
      </c>
      <c r="E6556" s="66" t="str">
        <f>IF('Twenty-Seventh'!E59="", "",'Twenty-Seventh'!E59)</f>
        <v>Male</v>
      </c>
      <c r="F6556" s="66" t="str">
        <f>IF('Twenty-Seventh'!F59="", "",'Twenty-Seventh'!F59)</f>
        <v>Prostate</v>
      </c>
      <c r="G6556" s="66" t="str">
        <f>IF('Twenty-Seventh'!G59="", "",'Twenty-Seventh'!G59)</f>
        <v>Post Treatment - Curative Intent</v>
      </c>
      <c r="H6556" s="66" t="str">
        <f>IF('Twenty-Seventh'!H59="", "",'Twenty-Seventh'!H59)</f>
        <v/>
      </c>
      <c r="I6556" s="66" t="str">
        <f>IF('Twenty-Seventh'!I59="", "",'Twenty-Seventh'!I59)</f>
        <v>Lecture Series</v>
      </c>
      <c r="J6556" s="66" t="str">
        <f>IF('Twenty-Seventh'!J59="", "",'Twenty-Seventh'!J59)</f>
        <v>Auricular Acupuncture</v>
      </c>
      <c r="K6556" s="86" t="str">
        <f>IF('Twenty-Seventh'!K59="", "",'Twenty-Seventh'!K59)</f>
        <v>Benefits - Individual</v>
      </c>
      <c r="M6556" s="67">
        <f t="shared" si="311"/>
        <v>6</v>
      </c>
      <c r="N6556" s="76" t="str">
        <f t="shared" si="312"/>
        <v/>
      </c>
      <c r="O6556" s="33">
        <f t="shared" si="313"/>
        <v>6</v>
      </c>
    </row>
    <row r="6557" spans="1:15" x14ac:dyDescent="0.25">
      <c r="A6557" s="64" t="s">
        <v>211</v>
      </c>
      <c r="B6557" s="79" t="str">
        <f>IF('Twenty-Seventh'!B60="", "",'Twenty-Seventh'!B60)</f>
        <v>Centre Head</v>
      </c>
      <c r="C6557" s="66" t="str">
        <f>IF('Twenty-Seventh'!C60="", "",'Twenty-Seventh'!C60)</f>
        <v>PwC</v>
      </c>
      <c r="D6557" s="66" t="str">
        <f>IF('Twenty-Seventh'!D60="", "",'Twenty-Seventh'!D60)</f>
        <v>Returning</v>
      </c>
      <c r="E6557" s="66" t="str">
        <f>IF('Twenty-Seventh'!E60="", "",'Twenty-Seventh'!E60)</f>
        <v>Male</v>
      </c>
      <c r="F6557" s="66" t="str">
        <f>IF('Twenty-Seventh'!F60="", "",'Twenty-Seventh'!F60)</f>
        <v>Prostate</v>
      </c>
      <c r="G6557" s="66" t="str">
        <f>IF('Twenty-Seventh'!G60="", "",'Twenty-Seventh'!G60)</f>
        <v>Post Treatment - Curative Intent</v>
      </c>
      <c r="H6557" s="66" t="str">
        <f>IF('Twenty-Seventh'!H60="", "",'Twenty-Seventh'!H60)</f>
        <v/>
      </c>
      <c r="I6557" s="66" t="str">
        <f>IF('Twenty-Seventh'!I60="", "",'Twenty-Seventh'!I60)</f>
        <v>Lecture Series</v>
      </c>
      <c r="J6557" s="66" t="str">
        <f>IF('Twenty-Seventh'!J60="", "",'Twenty-Seventh'!J60)</f>
        <v>Auricular Acupuncture</v>
      </c>
      <c r="K6557" s="86" t="str">
        <f>IF('Twenty-Seventh'!K60="", "",'Twenty-Seventh'!K60)</f>
        <v>Benefits - Individual</v>
      </c>
      <c r="M6557" s="67">
        <f t="shared" si="311"/>
        <v>6</v>
      </c>
      <c r="N6557" s="76" t="str">
        <f t="shared" si="312"/>
        <v/>
      </c>
      <c r="O6557" s="33">
        <f t="shared" si="313"/>
        <v>6</v>
      </c>
    </row>
    <row r="6558" spans="1:15" x14ac:dyDescent="0.25">
      <c r="A6558" s="64" t="s">
        <v>211</v>
      </c>
      <c r="B6558" s="79" t="str">
        <f>IF('Twenty-Seventh'!B61="", "",'Twenty-Seventh'!B61)</f>
        <v>Centre Head</v>
      </c>
      <c r="C6558" s="66" t="str">
        <f>IF('Twenty-Seventh'!C61="", "",'Twenty-Seventh'!C61)</f>
        <v>PwC</v>
      </c>
      <c r="D6558" s="66" t="str">
        <f>IF('Twenty-Seventh'!D61="", "",'Twenty-Seventh'!D61)</f>
        <v>Returning</v>
      </c>
      <c r="E6558" s="66" t="str">
        <f>IF('Twenty-Seventh'!E61="", "",'Twenty-Seventh'!E61)</f>
        <v>Male</v>
      </c>
      <c r="F6558" s="66" t="str">
        <f>IF('Twenty-Seventh'!F61="", "",'Twenty-Seventh'!F61)</f>
        <v>Prostate</v>
      </c>
      <c r="G6558" s="66" t="str">
        <f>IF('Twenty-Seventh'!G61="", "",'Twenty-Seventh'!G61)</f>
        <v>Post Treatment - Curative Intent</v>
      </c>
      <c r="H6558" s="66" t="str">
        <f>IF('Twenty-Seventh'!H61="", "",'Twenty-Seventh'!H61)</f>
        <v/>
      </c>
      <c r="I6558" s="66" t="str">
        <f>IF('Twenty-Seventh'!I61="", "",'Twenty-Seventh'!I61)</f>
        <v>Lecture Series</v>
      </c>
      <c r="J6558" s="66" t="str">
        <f>IF('Twenty-Seventh'!J61="", "",'Twenty-Seventh'!J61)</f>
        <v>Auricular Acupuncture</v>
      </c>
      <c r="K6558" s="86" t="str">
        <f>IF('Twenty-Seventh'!K61="", "",'Twenty-Seventh'!K61)</f>
        <v/>
      </c>
      <c r="M6558" s="67">
        <f t="shared" si="311"/>
        <v>6</v>
      </c>
      <c r="N6558" s="76" t="str">
        <f t="shared" si="312"/>
        <v/>
      </c>
      <c r="O6558" s="33">
        <f t="shared" si="313"/>
        <v>6</v>
      </c>
    </row>
    <row r="6559" spans="1:15" x14ac:dyDescent="0.25">
      <c r="A6559" s="64" t="s">
        <v>211</v>
      </c>
      <c r="B6559" s="79" t="str">
        <f>IF('Twenty-Seventh'!B62="", "",'Twenty-Seventh'!B62)</f>
        <v>Centre Head</v>
      </c>
      <c r="C6559" s="66" t="str">
        <f>IF('Twenty-Seventh'!C62="", "",'Twenty-Seventh'!C62)</f>
        <v>PwC</v>
      </c>
      <c r="D6559" s="66" t="str">
        <f>IF('Twenty-Seventh'!D62="", "",'Twenty-Seventh'!D62)</f>
        <v>Returning</v>
      </c>
      <c r="E6559" s="66" t="str">
        <f>IF('Twenty-Seventh'!E62="", "",'Twenty-Seventh'!E62)</f>
        <v>Male</v>
      </c>
      <c r="F6559" s="66" t="str">
        <f>IF('Twenty-Seventh'!F62="", "",'Twenty-Seventh'!F62)</f>
        <v>Prostate</v>
      </c>
      <c r="G6559" s="66" t="str">
        <f>IF('Twenty-Seventh'!G62="", "",'Twenty-Seventh'!G62)</f>
        <v>Post Treatment - Curative Intent</v>
      </c>
      <c r="H6559" s="66" t="str">
        <f>IF('Twenty-Seventh'!H62="", "",'Twenty-Seventh'!H62)</f>
        <v/>
      </c>
      <c r="I6559" s="66" t="str">
        <f>IF('Twenty-Seventh'!I62="", "",'Twenty-Seventh'!I62)</f>
        <v>Lecture Series</v>
      </c>
      <c r="J6559" s="66" t="str">
        <f>IF('Twenty-Seventh'!J62="", "",'Twenty-Seventh'!J62)</f>
        <v>Auricular Acupuncture</v>
      </c>
      <c r="K6559" s="86" t="str">
        <f>IF('Twenty-Seventh'!K62="", "",'Twenty-Seventh'!K62)</f>
        <v/>
      </c>
      <c r="M6559" s="67">
        <f t="shared" si="311"/>
        <v>6</v>
      </c>
      <c r="N6559" s="76" t="str">
        <f t="shared" si="312"/>
        <v/>
      </c>
      <c r="O6559" s="33">
        <f t="shared" si="313"/>
        <v>6</v>
      </c>
    </row>
    <row r="6560" spans="1:15" x14ac:dyDescent="0.25">
      <c r="A6560" s="64" t="s">
        <v>211</v>
      </c>
      <c r="B6560" s="79" t="str">
        <f>IF('Twenty-Seventh'!B63="", "",'Twenty-Seventh'!B63)</f>
        <v>Centre Head</v>
      </c>
      <c r="C6560" s="66" t="str">
        <f>IF('Twenty-Seventh'!C63="", "",'Twenty-Seventh'!C63)</f>
        <v>PwC</v>
      </c>
      <c r="D6560" s="66" t="str">
        <f>IF('Twenty-Seventh'!D63="", "",'Twenty-Seventh'!D63)</f>
        <v>Returning</v>
      </c>
      <c r="E6560" s="66" t="str">
        <f>IF('Twenty-Seventh'!E63="", "",'Twenty-Seventh'!E63)</f>
        <v>Male</v>
      </c>
      <c r="F6560" s="66" t="str">
        <f>IF('Twenty-Seventh'!F63="", "",'Twenty-Seventh'!F63)</f>
        <v>Prostate</v>
      </c>
      <c r="G6560" s="66" t="str">
        <f>IF('Twenty-Seventh'!G63="", "",'Twenty-Seventh'!G63)</f>
        <v>Post Treatment - Curative Intent</v>
      </c>
      <c r="H6560" s="66" t="str">
        <f>IF('Twenty-Seventh'!H63="", "",'Twenty-Seventh'!H63)</f>
        <v/>
      </c>
      <c r="I6560" s="66" t="str">
        <f>IF('Twenty-Seventh'!I63="", "",'Twenty-Seventh'!I63)</f>
        <v>Lecture Series</v>
      </c>
      <c r="J6560" s="66" t="str">
        <f>IF('Twenty-Seventh'!J63="", "",'Twenty-Seventh'!J63)</f>
        <v>Auricular Acupuncture</v>
      </c>
      <c r="K6560" s="86" t="str">
        <f>IF('Twenty-Seventh'!K63="", "",'Twenty-Seventh'!K63)</f>
        <v/>
      </c>
      <c r="M6560" s="67">
        <f t="shared" si="311"/>
        <v>6</v>
      </c>
      <c r="N6560" s="76" t="str">
        <f t="shared" si="312"/>
        <v/>
      </c>
      <c r="O6560" s="33">
        <f t="shared" si="313"/>
        <v>6</v>
      </c>
    </row>
    <row r="6561" spans="1:15" x14ac:dyDescent="0.25">
      <c r="A6561" s="64" t="s">
        <v>211</v>
      </c>
      <c r="B6561" s="79" t="str">
        <f>IF('Twenty-Seventh'!B64="", "",'Twenty-Seventh'!B64)</f>
        <v>Centre Head</v>
      </c>
      <c r="C6561" s="66" t="str">
        <f>IF('Twenty-Seventh'!C64="", "",'Twenty-Seventh'!C64)</f>
        <v>PwC</v>
      </c>
      <c r="D6561" s="66" t="str">
        <f>IF('Twenty-Seventh'!D64="", "",'Twenty-Seventh'!D64)</f>
        <v>Returning</v>
      </c>
      <c r="E6561" s="66" t="str">
        <f>IF('Twenty-Seventh'!E64="", "",'Twenty-Seventh'!E64)</f>
        <v>Male</v>
      </c>
      <c r="F6561" s="66" t="str">
        <f>IF('Twenty-Seventh'!F64="", "",'Twenty-Seventh'!F64)</f>
        <v>Prostate</v>
      </c>
      <c r="G6561" s="66" t="str">
        <f>IF('Twenty-Seventh'!G64="", "",'Twenty-Seventh'!G64)</f>
        <v>Post Treatment - Curative Intent</v>
      </c>
      <c r="H6561" s="66" t="str">
        <f>IF('Twenty-Seventh'!H64="", "",'Twenty-Seventh'!H64)</f>
        <v/>
      </c>
      <c r="I6561" s="66" t="str">
        <f>IF('Twenty-Seventh'!I64="", "",'Twenty-Seventh'!I64)</f>
        <v>Lecture Series</v>
      </c>
      <c r="J6561" s="66" t="str">
        <f>IF('Twenty-Seventh'!J64="", "",'Twenty-Seventh'!J64)</f>
        <v>Auricular Acupuncture</v>
      </c>
      <c r="K6561" s="86" t="str">
        <f>IF('Twenty-Seventh'!K64="", "",'Twenty-Seventh'!K64)</f>
        <v/>
      </c>
      <c r="M6561" s="67">
        <f t="shared" si="311"/>
        <v>6</v>
      </c>
      <c r="N6561" s="76" t="str">
        <f t="shared" si="312"/>
        <v/>
      </c>
      <c r="O6561" s="33">
        <f t="shared" si="313"/>
        <v>6</v>
      </c>
    </row>
    <row r="6562" spans="1:15" x14ac:dyDescent="0.25">
      <c r="A6562" s="64" t="s">
        <v>211</v>
      </c>
      <c r="B6562" s="79" t="str">
        <f>IF('Twenty-Seventh'!B65="", "",'Twenty-Seventh'!B65)</f>
        <v>Centre Head</v>
      </c>
      <c r="C6562" s="66" t="str">
        <f>IF('Twenty-Seventh'!C65="", "",'Twenty-Seventh'!C65)</f>
        <v>PwC</v>
      </c>
      <c r="D6562" s="66" t="str">
        <f>IF('Twenty-Seventh'!D65="", "",'Twenty-Seventh'!D65)</f>
        <v>Returning</v>
      </c>
      <c r="E6562" s="66" t="str">
        <f>IF('Twenty-Seventh'!E65="", "",'Twenty-Seventh'!E65)</f>
        <v>Male</v>
      </c>
      <c r="F6562" s="66" t="str">
        <f>IF('Twenty-Seventh'!F65="", "",'Twenty-Seventh'!F65)</f>
        <v>Prostate</v>
      </c>
      <c r="G6562" s="66" t="str">
        <f>IF('Twenty-Seventh'!G65="", "",'Twenty-Seventh'!G65)</f>
        <v>Post Treatment - Curative Intent</v>
      </c>
      <c r="H6562" s="66" t="str">
        <f>IF('Twenty-Seventh'!H65="", "",'Twenty-Seventh'!H65)</f>
        <v/>
      </c>
      <c r="I6562" s="66" t="str">
        <f>IF('Twenty-Seventh'!I65="", "",'Twenty-Seventh'!I65)</f>
        <v>Lecture Series</v>
      </c>
      <c r="J6562" s="66" t="str">
        <f>IF('Twenty-Seventh'!J65="", "",'Twenty-Seventh'!J65)</f>
        <v>Auricular Acupuncture</v>
      </c>
      <c r="K6562" s="86" t="str">
        <f>IF('Twenty-Seventh'!K65="", "",'Twenty-Seventh'!K65)</f>
        <v/>
      </c>
      <c r="M6562" s="67">
        <f t="shared" si="311"/>
        <v>6</v>
      </c>
      <c r="N6562" s="76" t="str">
        <f t="shared" si="312"/>
        <v/>
      </c>
      <c r="O6562" s="33">
        <f t="shared" si="313"/>
        <v>6</v>
      </c>
    </row>
    <row r="6563" spans="1:15" x14ac:dyDescent="0.25">
      <c r="A6563" s="64" t="s">
        <v>211</v>
      </c>
      <c r="B6563" s="79" t="str">
        <f>IF('Twenty-Seventh'!B66="", "",'Twenty-Seventh'!B66)</f>
        <v>Centre Head</v>
      </c>
      <c r="C6563" s="66" t="str">
        <f>IF('Twenty-Seventh'!C66="", "",'Twenty-Seventh'!C66)</f>
        <v>PwC</v>
      </c>
      <c r="D6563" s="66" t="str">
        <f>IF('Twenty-Seventh'!D66="", "",'Twenty-Seventh'!D66)</f>
        <v>Returning</v>
      </c>
      <c r="E6563" s="66" t="str">
        <f>IF('Twenty-Seventh'!E66="", "",'Twenty-Seventh'!E66)</f>
        <v>Male</v>
      </c>
      <c r="F6563" s="66" t="str">
        <f>IF('Twenty-Seventh'!F66="", "",'Twenty-Seventh'!F66)</f>
        <v>Prostate</v>
      </c>
      <c r="G6563" s="66" t="str">
        <f>IF('Twenty-Seventh'!G66="", "",'Twenty-Seventh'!G66)</f>
        <v>Post Treatment - Curative Intent</v>
      </c>
      <c r="H6563" s="66" t="str">
        <f>IF('Twenty-Seventh'!H66="", "",'Twenty-Seventh'!H66)</f>
        <v/>
      </c>
      <c r="I6563" s="66" t="str">
        <f>IF('Twenty-Seventh'!I66="", "",'Twenty-Seventh'!I66)</f>
        <v>Lecture Series</v>
      </c>
      <c r="J6563" s="66" t="str">
        <f>IF('Twenty-Seventh'!J66="", "",'Twenty-Seventh'!J66)</f>
        <v>Auricular Acupuncture</v>
      </c>
      <c r="K6563" s="86" t="str">
        <f>IF('Twenty-Seventh'!K66="", "",'Twenty-Seventh'!K66)</f>
        <v/>
      </c>
      <c r="M6563" s="67">
        <f t="shared" si="311"/>
        <v>6</v>
      </c>
      <c r="N6563" s="76" t="str">
        <f t="shared" si="312"/>
        <v/>
      </c>
      <c r="O6563" s="33">
        <f t="shared" si="313"/>
        <v>6</v>
      </c>
    </row>
    <row r="6564" spans="1:15" x14ac:dyDescent="0.25">
      <c r="A6564" s="64" t="s">
        <v>211</v>
      </c>
      <c r="B6564" s="79" t="str">
        <f>IF('Twenty-Seventh'!B67="", "",'Twenty-Seventh'!B67)</f>
        <v>Centre Head</v>
      </c>
      <c r="C6564" s="66" t="str">
        <f>IF('Twenty-Seventh'!C67="", "",'Twenty-Seventh'!C67)</f>
        <v>PwC</v>
      </c>
      <c r="D6564" s="66" t="str">
        <f>IF('Twenty-Seventh'!D67="", "",'Twenty-Seventh'!D67)</f>
        <v>Returning</v>
      </c>
      <c r="E6564" s="66" t="str">
        <f>IF('Twenty-Seventh'!E67="", "",'Twenty-Seventh'!E67)</f>
        <v>Male</v>
      </c>
      <c r="F6564" s="66" t="str">
        <f>IF('Twenty-Seventh'!F67="", "",'Twenty-Seventh'!F67)</f>
        <v>Prostate</v>
      </c>
      <c r="G6564" s="66" t="str">
        <f>IF('Twenty-Seventh'!G67="", "",'Twenty-Seventh'!G67)</f>
        <v>Post Treatment - Curative Intent</v>
      </c>
      <c r="H6564" s="66" t="str">
        <f>IF('Twenty-Seventh'!H67="", "",'Twenty-Seventh'!H67)</f>
        <v/>
      </c>
      <c r="I6564" s="66" t="str">
        <f>IF('Twenty-Seventh'!I67="", "",'Twenty-Seventh'!I67)</f>
        <v>Lecture Series</v>
      </c>
      <c r="J6564" s="66" t="str">
        <f>IF('Twenty-Seventh'!J67="", "",'Twenty-Seventh'!J67)</f>
        <v>Auricular Acupuncture</v>
      </c>
      <c r="K6564" s="86" t="str">
        <f>IF('Twenty-Seventh'!K67="", "",'Twenty-Seventh'!K67)</f>
        <v/>
      </c>
      <c r="M6564" s="67">
        <f t="shared" si="311"/>
        <v>6</v>
      </c>
      <c r="N6564" s="76" t="str">
        <f t="shared" si="312"/>
        <v/>
      </c>
      <c r="O6564" s="33">
        <f t="shared" si="313"/>
        <v>6</v>
      </c>
    </row>
    <row r="6565" spans="1:15" x14ac:dyDescent="0.25">
      <c r="A6565" s="64" t="s">
        <v>211</v>
      </c>
      <c r="B6565" s="79" t="str">
        <f>IF('Twenty-Seventh'!B68="", "",'Twenty-Seventh'!B68)</f>
        <v>Centre Head</v>
      </c>
      <c r="C6565" s="66" t="str">
        <f>IF('Twenty-Seventh'!C68="", "",'Twenty-Seventh'!C68)</f>
        <v>PwC</v>
      </c>
      <c r="D6565" s="66" t="str">
        <f>IF('Twenty-Seventh'!D68="", "",'Twenty-Seventh'!D68)</f>
        <v>Returning</v>
      </c>
      <c r="E6565" s="66" t="str">
        <f>IF('Twenty-Seventh'!E68="", "",'Twenty-Seventh'!E68)</f>
        <v>Male</v>
      </c>
      <c r="F6565" s="66" t="str">
        <f>IF('Twenty-Seventh'!F68="", "",'Twenty-Seventh'!F68)</f>
        <v>Prostate</v>
      </c>
      <c r="G6565" s="66" t="str">
        <f>IF('Twenty-Seventh'!G68="", "",'Twenty-Seventh'!G68)</f>
        <v>Post Treatment - Curative Intent</v>
      </c>
      <c r="H6565" s="66" t="str">
        <f>IF('Twenty-Seventh'!H68="", "",'Twenty-Seventh'!H68)</f>
        <v/>
      </c>
      <c r="I6565" s="66" t="str">
        <f>IF('Twenty-Seventh'!I68="", "",'Twenty-Seventh'!I68)</f>
        <v>Lecture Series</v>
      </c>
      <c r="J6565" s="66" t="str">
        <f>IF('Twenty-Seventh'!J68="", "",'Twenty-Seventh'!J68)</f>
        <v>Auricular Acupuncture</v>
      </c>
      <c r="K6565" s="86" t="str">
        <f>IF('Twenty-Seventh'!K68="", "",'Twenty-Seventh'!K68)</f>
        <v/>
      </c>
      <c r="M6565" s="67">
        <f t="shared" si="311"/>
        <v>6</v>
      </c>
      <c r="N6565" s="76" t="str">
        <f t="shared" si="312"/>
        <v/>
      </c>
      <c r="O6565" s="33">
        <f t="shared" si="313"/>
        <v>6</v>
      </c>
    </row>
    <row r="6566" spans="1:15" x14ac:dyDescent="0.25">
      <c r="A6566" s="64" t="s">
        <v>211</v>
      </c>
      <c r="B6566" s="79" t="str">
        <f>IF('Twenty-Seventh'!B69="", "",'Twenty-Seventh'!B69)</f>
        <v>Centre Head</v>
      </c>
      <c r="C6566" s="66" t="str">
        <f>IF('Twenty-Seventh'!C69="", "",'Twenty-Seventh'!C69)</f>
        <v>PwC</v>
      </c>
      <c r="D6566" s="66" t="str">
        <f>IF('Twenty-Seventh'!D69="", "",'Twenty-Seventh'!D69)</f>
        <v>Returning</v>
      </c>
      <c r="E6566" s="66" t="str">
        <f>IF('Twenty-Seventh'!E69="", "",'Twenty-Seventh'!E69)</f>
        <v>Male</v>
      </c>
      <c r="F6566" s="66" t="str">
        <f>IF('Twenty-Seventh'!F69="", "",'Twenty-Seventh'!F69)</f>
        <v>Prostate</v>
      </c>
      <c r="G6566" s="66" t="str">
        <f>IF('Twenty-Seventh'!G69="", "",'Twenty-Seventh'!G69)</f>
        <v>Post Treatment - Curative Intent</v>
      </c>
      <c r="H6566" s="66" t="str">
        <f>IF('Twenty-Seventh'!H69="", "",'Twenty-Seventh'!H69)</f>
        <v/>
      </c>
      <c r="I6566" s="66" t="str">
        <f>IF('Twenty-Seventh'!I69="", "",'Twenty-Seventh'!I69)</f>
        <v>Lecture Series</v>
      </c>
      <c r="J6566" s="66" t="str">
        <f>IF('Twenty-Seventh'!J69="", "",'Twenty-Seventh'!J69)</f>
        <v>Auricular Acupuncture</v>
      </c>
      <c r="K6566" s="86" t="str">
        <f>IF('Twenty-Seventh'!K69="", "",'Twenty-Seventh'!K69)</f>
        <v/>
      </c>
      <c r="M6566" s="67">
        <f t="shared" si="311"/>
        <v>6</v>
      </c>
      <c r="N6566" s="76" t="str">
        <f t="shared" si="312"/>
        <v/>
      </c>
      <c r="O6566" s="33">
        <f t="shared" si="313"/>
        <v>6</v>
      </c>
    </row>
    <row r="6567" spans="1:15" x14ac:dyDescent="0.25">
      <c r="A6567" s="64" t="s">
        <v>211</v>
      </c>
      <c r="B6567" s="79" t="str">
        <f>IF('Twenty-Seventh'!B70="", "",'Twenty-Seventh'!B70)</f>
        <v>Centre Head</v>
      </c>
      <c r="C6567" s="66" t="str">
        <f>IF('Twenty-Seventh'!C70="", "",'Twenty-Seventh'!C70)</f>
        <v>PwC</v>
      </c>
      <c r="D6567" s="66" t="str">
        <f>IF('Twenty-Seventh'!D70="", "",'Twenty-Seventh'!D70)</f>
        <v>Returning</v>
      </c>
      <c r="E6567" s="66" t="str">
        <f>IF('Twenty-Seventh'!E70="", "",'Twenty-Seventh'!E70)</f>
        <v>Male</v>
      </c>
      <c r="F6567" s="66" t="str">
        <f>IF('Twenty-Seventh'!F70="", "",'Twenty-Seventh'!F70)</f>
        <v>Prostate</v>
      </c>
      <c r="G6567" s="66" t="str">
        <f>IF('Twenty-Seventh'!G70="", "",'Twenty-Seventh'!G70)</f>
        <v>Post Treatment - Curative Intent</v>
      </c>
      <c r="H6567" s="66" t="str">
        <f>IF('Twenty-Seventh'!H70="", "",'Twenty-Seventh'!H70)</f>
        <v/>
      </c>
      <c r="I6567" s="66" t="str">
        <f>IF('Twenty-Seventh'!I70="", "",'Twenty-Seventh'!I70)</f>
        <v>Lecture Series</v>
      </c>
      <c r="J6567" s="66" t="str">
        <f>IF('Twenty-Seventh'!J70="", "",'Twenty-Seventh'!J70)</f>
        <v>Auricular Acupuncture</v>
      </c>
      <c r="K6567" s="86" t="str">
        <f>IF('Twenty-Seventh'!K70="", "",'Twenty-Seventh'!K70)</f>
        <v/>
      </c>
      <c r="M6567" s="67">
        <f t="shared" si="311"/>
        <v>6</v>
      </c>
      <c r="N6567" s="76" t="str">
        <f t="shared" si="312"/>
        <v/>
      </c>
      <c r="O6567" s="33">
        <f t="shared" si="313"/>
        <v>6</v>
      </c>
    </row>
    <row r="6568" spans="1:15" x14ac:dyDescent="0.25">
      <c r="A6568" s="64" t="s">
        <v>211</v>
      </c>
      <c r="B6568" s="79" t="str">
        <f>IF('Twenty-Seventh'!B71="", "",'Twenty-Seventh'!B71)</f>
        <v>Centre Head</v>
      </c>
      <c r="C6568" s="66" t="str">
        <f>IF('Twenty-Seventh'!C71="", "",'Twenty-Seventh'!C71)</f>
        <v>PwC</v>
      </c>
      <c r="D6568" s="66" t="str">
        <f>IF('Twenty-Seventh'!D71="", "",'Twenty-Seventh'!D71)</f>
        <v>Returning</v>
      </c>
      <c r="E6568" s="66" t="str">
        <f>IF('Twenty-Seventh'!E71="", "",'Twenty-Seventh'!E71)</f>
        <v>Male</v>
      </c>
      <c r="F6568" s="66" t="str">
        <f>IF('Twenty-Seventh'!F71="", "",'Twenty-Seventh'!F71)</f>
        <v>Prostate</v>
      </c>
      <c r="G6568" s="66" t="str">
        <f>IF('Twenty-Seventh'!G71="", "",'Twenty-Seventh'!G71)</f>
        <v>Post Treatment - Curative Intent</v>
      </c>
      <c r="H6568" s="66" t="str">
        <f>IF('Twenty-Seventh'!H71="", "",'Twenty-Seventh'!H71)</f>
        <v/>
      </c>
      <c r="I6568" s="66" t="str">
        <f>IF('Twenty-Seventh'!I71="", "",'Twenty-Seventh'!I71)</f>
        <v>Lecture Series</v>
      </c>
      <c r="J6568" s="66" t="str">
        <f>IF('Twenty-Seventh'!J71="", "",'Twenty-Seventh'!J71)</f>
        <v>Auricular Acupuncture</v>
      </c>
      <c r="K6568" s="86" t="str">
        <f>IF('Twenty-Seventh'!K71="", "",'Twenty-Seventh'!K71)</f>
        <v/>
      </c>
      <c r="M6568" s="67">
        <f t="shared" si="311"/>
        <v>6</v>
      </c>
      <c r="N6568" s="76" t="str">
        <f t="shared" si="312"/>
        <v/>
      </c>
      <c r="O6568" s="33">
        <f t="shared" si="313"/>
        <v>6</v>
      </c>
    </row>
    <row r="6569" spans="1:15" x14ac:dyDescent="0.25">
      <c r="A6569" s="64" t="s">
        <v>211</v>
      </c>
      <c r="B6569" s="79" t="str">
        <f>IF('Twenty-Seventh'!B72="", "",'Twenty-Seventh'!B72)</f>
        <v>Centre Head</v>
      </c>
      <c r="C6569" s="66" t="str">
        <f>IF('Twenty-Seventh'!C72="", "",'Twenty-Seventh'!C72)</f>
        <v>PwC</v>
      </c>
      <c r="D6569" s="66" t="str">
        <f>IF('Twenty-Seventh'!D72="", "",'Twenty-Seventh'!D72)</f>
        <v>Returning</v>
      </c>
      <c r="E6569" s="66" t="str">
        <f>IF('Twenty-Seventh'!E72="", "",'Twenty-Seventh'!E72)</f>
        <v>Male</v>
      </c>
      <c r="F6569" s="66" t="str">
        <f>IF('Twenty-Seventh'!F72="", "",'Twenty-Seventh'!F72)</f>
        <v>Prostate</v>
      </c>
      <c r="G6569" s="66" t="str">
        <f>IF('Twenty-Seventh'!G72="", "",'Twenty-Seventh'!G72)</f>
        <v>Post Treatment - Curative Intent</v>
      </c>
      <c r="H6569" s="66" t="str">
        <f>IF('Twenty-Seventh'!H72="", "",'Twenty-Seventh'!H72)</f>
        <v/>
      </c>
      <c r="I6569" s="66" t="str">
        <f>IF('Twenty-Seventh'!I72="", "",'Twenty-Seventh'!I72)</f>
        <v>Lecture Series</v>
      </c>
      <c r="J6569" s="66" t="str">
        <f>IF('Twenty-Seventh'!J72="", "",'Twenty-Seventh'!J72)</f>
        <v>Auricular Acupuncture</v>
      </c>
      <c r="K6569" s="86" t="str">
        <f>IF('Twenty-Seventh'!K72="", "",'Twenty-Seventh'!K72)</f>
        <v/>
      </c>
      <c r="M6569" s="67">
        <f t="shared" si="311"/>
        <v>6</v>
      </c>
      <c r="N6569" s="76" t="str">
        <f t="shared" si="312"/>
        <v/>
      </c>
      <c r="O6569" s="33">
        <f t="shared" si="313"/>
        <v>6</v>
      </c>
    </row>
    <row r="6570" spans="1:15" x14ac:dyDescent="0.25">
      <c r="A6570" s="64" t="s">
        <v>211</v>
      </c>
      <c r="B6570" s="79" t="str">
        <f>IF('Twenty-Seventh'!B73="", "",'Twenty-Seventh'!B73)</f>
        <v>Centre Head</v>
      </c>
      <c r="C6570" s="66" t="str">
        <f>IF('Twenty-Seventh'!C73="", "",'Twenty-Seventh'!C73)</f>
        <v>PwC</v>
      </c>
      <c r="D6570" s="66" t="str">
        <f>IF('Twenty-Seventh'!D73="", "",'Twenty-Seventh'!D73)</f>
        <v>Returning</v>
      </c>
      <c r="E6570" s="66" t="str">
        <f>IF('Twenty-Seventh'!E73="", "",'Twenty-Seventh'!E73)</f>
        <v>Male</v>
      </c>
      <c r="F6570" s="66" t="str">
        <f>IF('Twenty-Seventh'!F73="", "",'Twenty-Seventh'!F73)</f>
        <v>Prostate</v>
      </c>
      <c r="G6570" s="66" t="str">
        <f>IF('Twenty-Seventh'!G73="", "",'Twenty-Seventh'!G73)</f>
        <v>Post Treatment - Curative Intent</v>
      </c>
      <c r="H6570" s="66" t="str">
        <f>IF('Twenty-Seventh'!H73="", "",'Twenty-Seventh'!H73)</f>
        <v/>
      </c>
      <c r="I6570" s="66" t="str">
        <f>IF('Twenty-Seventh'!I73="", "",'Twenty-Seventh'!I73)</f>
        <v>Lecture Series</v>
      </c>
      <c r="J6570" s="66" t="str">
        <f>IF('Twenty-Seventh'!J73="", "",'Twenty-Seventh'!J73)</f>
        <v>Auricular Acupuncture</v>
      </c>
      <c r="K6570" s="86" t="str">
        <f>IF('Twenty-Seventh'!K73="", "",'Twenty-Seventh'!K73)</f>
        <v/>
      </c>
      <c r="M6570" s="67">
        <f t="shared" si="311"/>
        <v>6</v>
      </c>
      <c r="N6570" s="76" t="str">
        <f t="shared" si="312"/>
        <v/>
      </c>
      <c r="O6570" s="33">
        <f t="shared" si="313"/>
        <v>6</v>
      </c>
    </row>
    <row r="6571" spans="1:15" x14ac:dyDescent="0.25">
      <c r="A6571" s="64" t="s">
        <v>211</v>
      </c>
      <c r="B6571" s="79" t="str">
        <f>IF('Twenty-Seventh'!B74="", "",'Twenty-Seventh'!B74)</f>
        <v>Centre Head</v>
      </c>
      <c r="C6571" s="66" t="str">
        <f>IF('Twenty-Seventh'!C74="", "",'Twenty-Seventh'!C74)</f>
        <v>PwC</v>
      </c>
      <c r="D6571" s="66" t="str">
        <f>IF('Twenty-Seventh'!D74="", "",'Twenty-Seventh'!D74)</f>
        <v>Returning</v>
      </c>
      <c r="E6571" s="66" t="str">
        <f>IF('Twenty-Seventh'!E74="", "",'Twenty-Seventh'!E74)</f>
        <v>Male</v>
      </c>
      <c r="F6571" s="66" t="str">
        <f>IF('Twenty-Seventh'!F74="", "",'Twenty-Seventh'!F74)</f>
        <v>Prostate</v>
      </c>
      <c r="G6571" s="66" t="str">
        <f>IF('Twenty-Seventh'!G74="", "",'Twenty-Seventh'!G74)</f>
        <v>Post Treatment - Curative Intent</v>
      </c>
      <c r="H6571" s="66" t="str">
        <f>IF('Twenty-Seventh'!H74="", "",'Twenty-Seventh'!H74)</f>
        <v/>
      </c>
      <c r="I6571" s="66" t="str">
        <f>IF('Twenty-Seventh'!I74="", "",'Twenty-Seventh'!I74)</f>
        <v>Lecture Series</v>
      </c>
      <c r="J6571" s="66" t="str">
        <f>IF('Twenty-Seventh'!J74="", "",'Twenty-Seventh'!J74)</f>
        <v>Auricular Acupuncture</v>
      </c>
      <c r="K6571" s="86" t="str">
        <f>IF('Twenty-Seventh'!K74="", "",'Twenty-Seventh'!K74)</f>
        <v/>
      </c>
      <c r="M6571" s="67">
        <f t="shared" si="311"/>
        <v>6</v>
      </c>
      <c r="N6571" s="76" t="str">
        <f t="shared" si="312"/>
        <v/>
      </c>
      <c r="O6571" s="33">
        <f t="shared" si="313"/>
        <v>6</v>
      </c>
    </row>
    <row r="6572" spans="1:15" x14ac:dyDescent="0.25">
      <c r="A6572" s="64" t="s">
        <v>211</v>
      </c>
      <c r="B6572" s="79" t="str">
        <f>IF('Twenty-Seventh'!B75="", "",'Twenty-Seventh'!B75)</f>
        <v>Centre Head</v>
      </c>
      <c r="C6572" s="66" t="str">
        <f>IF('Twenty-Seventh'!C75="", "",'Twenty-Seventh'!C75)</f>
        <v>PwC</v>
      </c>
      <c r="D6572" s="66" t="str">
        <f>IF('Twenty-Seventh'!D75="", "",'Twenty-Seventh'!D75)</f>
        <v>Returning</v>
      </c>
      <c r="E6572" s="66" t="str">
        <f>IF('Twenty-Seventh'!E75="", "",'Twenty-Seventh'!E75)</f>
        <v>Male</v>
      </c>
      <c r="F6572" s="66" t="str">
        <f>IF('Twenty-Seventh'!F75="", "",'Twenty-Seventh'!F75)</f>
        <v>Prostate</v>
      </c>
      <c r="G6572" s="66" t="str">
        <f>IF('Twenty-Seventh'!G75="", "",'Twenty-Seventh'!G75)</f>
        <v>Post Treatment - Curative Intent</v>
      </c>
      <c r="H6572" s="66" t="str">
        <f>IF('Twenty-Seventh'!H75="", "",'Twenty-Seventh'!H75)</f>
        <v/>
      </c>
      <c r="I6572" s="66" t="str">
        <f>IF('Twenty-Seventh'!I75="", "",'Twenty-Seventh'!I75)</f>
        <v>Lecture Series</v>
      </c>
      <c r="J6572" s="66" t="str">
        <f>IF('Twenty-Seventh'!J75="", "",'Twenty-Seventh'!J75)</f>
        <v>Auricular Acupuncture</v>
      </c>
      <c r="K6572" s="86" t="str">
        <f>IF('Twenty-Seventh'!K75="", "",'Twenty-Seventh'!K75)</f>
        <v>Benefits - Individual</v>
      </c>
      <c r="M6572" s="67">
        <f t="shared" si="311"/>
        <v>6</v>
      </c>
      <c r="N6572" s="76" t="str">
        <f t="shared" si="312"/>
        <v/>
      </c>
      <c r="O6572" s="33">
        <f t="shared" si="313"/>
        <v>6</v>
      </c>
    </row>
    <row r="6573" spans="1:15" x14ac:dyDescent="0.25">
      <c r="A6573" s="64" t="s">
        <v>211</v>
      </c>
      <c r="B6573" s="79" t="str">
        <f>IF('Twenty-Seventh'!B76="", "",'Twenty-Seventh'!B76)</f>
        <v>Centre Head</v>
      </c>
      <c r="C6573" s="66" t="str">
        <f>IF('Twenty-Seventh'!C76="", "",'Twenty-Seventh'!C76)</f>
        <v>PwC</v>
      </c>
      <c r="D6573" s="66" t="str">
        <f>IF('Twenty-Seventh'!D76="", "",'Twenty-Seventh'!D76)</f>
        <v>Returning</v>
      </c>
      <c r="E6573" s="66" t="str">
        <f>IF('Twenty-Seventh'!E76="", "",'Twenty-Seventh'!E76)</f>
        <v>Male</v>
      </c>
      <c r="F6573" s="66" t="str">
        <f>IF('Twenty-Seventh'!F76="", "",'Twenty-Seventh'!F76)</f>
        <v>Prostate</v>
      </c>
      <c r="G6573" s="66" t="str">
        <f>IF('Twenty-Seventh'!G76="", "",'Twenty-Seventh'!G76)</f>
        <v>Post Treatment - Curative Intent</v>
      </c>
      <c r="H6573" s="66" t="str">
        <f>IF('Twenty-Seventh'!H76="", "",'Twenty-Seventh'!H76)</f>
        <v/>
      </c>
      <c r="I6573" s="66" t="str">
        <f>IF('Twenty-Seventh'!I76="", "",'Twenty-Seventh'!I76)</f>
        <v>Lecture Series</v>
      </c>
      <c r="J6573" s="66" t="str">
        <f>IF('Twenty-Seventh'!J76="", "",'Twenty-Seventh'!J76)</f>
        <v>Auricular Acupuncture</v>
      </c>
      <c r="K6573" s="86" t="str">
        <f>IF('Twenty-Seventh'!K76="", "",'Twenty-Seventh'!K76)</f>
        <v>Benefits - Individual</v>
      </c>
      <c r="M6573" s="67">
        <f t="shared" si="311"/>
        <v>6</v>
      </c>
      <c r="N6573" s="76" t="str">
        <f t="shared" si="312"/>
        <v/>
      </c>
      <c r="O6573" s="33">
        <f t="shared" si="313"/>
        <v>6</v>
      </c>
    </row>
    <row r="6574" spans="1:15" x14ac:dyDescent="0.25">
      <c r="A6574" s="64" t="s">
        <v>211</v>
      </c>
      <c r="B6574" s="79" t="str">
        <f>IF('Twenty-Seventh'!B77="", "",'Twenty-Seventh'!B77)</f>
        <v>Centre Head</v>
      </c>
      <c r="C6574" s="66" t="str">
        <f>IF('Twenty-Seventh'!C77="", "",'Twenty-Seventh'!C77)</f>
        <v>PwC</v>
      </c>
      <c r="D6574" s="66" t="str">
        <f>IF('Twenty-Seventh'!D77="", "",'Twenty-Seventh'!D77)</f>
        <v>Returning</v>
      </c>
      <c r="E6574" s="66" t="str">
        <f>IF('Twenty-Seventh'!E77="", "",'Twenty-Seventh'!E77)</f>
        <v>Male</v>
      </c>
      <c r="F6574" s="66" t="str">
        <f>IF('Twenty-Seventh'!F77="", "",'Twenty-Seventh'!F77)</f>
        <v>Prostate</v>
      </c>
      <c r="G6574" s="66" t="str">
        <f>IF('Twenty-Seventh'!G77="", "",'Twenty-Seventh'!G77)</f>
        <v>Post Treatment - Curative Intent</v>
      </c>
      <c r="H6574" s="66" t="str">
        <f>IF('Twenty-Seventh'!H77="", "",'Twenty-Seventh'!H77)</f>
        <v/>
      </c>
      <c r="I6574" s="66" t="str">
        <f>IF('Twenty-Seventh'!I77="", "",'Twenty-Seventh'!I77)</f>
        <v>Lecture Series</v>
      </c>
      <c r="J6574" s="66" t="str">
        <f>IF('Twenty-Seventh'!J77="", "",'Twenty-Seventh'!J77)</f>
        <v>Auricular Acupuncture</v>
      </c>
      <c r="K6574" s="86" t="str">
        <f>IF('Twenty-Seventh'!K77="", "",'Twenty-Seventh'!K77)</f>
        <v>Benefits - Individual</v>
      </c>
      <c r="M6574" s="67">
        <f t="shared" si="311"/>
        <v>6</v>
      </c>
      <c r="N6574" s="76" t="str">
        <f t="shared" si="312"/>
        <v/>
      </c>
      <c r="O6574" s="33">
        <f t="shared" si="313"/>
        <v>6</v>
      </c>
    </row>
    <row r="6575" spans="1:15" x14ac:dyDescent="0.25">
      <c r="A6575" s="64" t="s">
        <v>211</v>
      </c>
      <c r="B6575" s="79" t="str">
        <f>IF('Twenty-Seventh'!B78="", "",'Twenty-Seventh'!B78)</f>
        <v>Centre Head</v>
      </c>
      <c r="C6575" s="66" t="str">
        <f>IF('Twenty-Seventh'!C78="", "",'Twenty-Seventh'!C78)</f>
        <v>PwC</v>
      </c>
      <c r="D6575" s="66" t="str">
        <f>IF('Twenty-Seventh'!D78="", "",'Twenty-Seventh'!D78)</f>
        <v>Returning</v>
      </c>
      <c r="E6575" s="66" t="str">
        <f>IF('Twenty-Seventh'!E78="", "",'Twenty-Seventh'!E78)</f>
        <v>Male</v>
      </c>
      <c r="F6575" s="66" t="str">
        <f>IF('Twenty-Seventh'!F78="", "",'Twenty-Seventh'!F78)</f>
        <v>Prostate</v>
      </c>
      <c r="G6575" s="66" t="str">
        <f>IF('Twenty-Seventh'!G78="", "",'Twenty-Seventh'!G78)</f>
        <v>Post Treatment - Curative Intent</v>
      </c>
      <c r="H6575" s="66" t="str">
        <f>IF('Twenty-Seventh'!H78="", "",'Twenty-Seventh'!H78)</f>
        <v/>
      </c>
      <c r="I6575" s="66" t="str">
        <f>IF('Twenty-Seventh'!I78="", "",'Twenty-Seventh'!I78)</f>
        <v>Lecture Series</v>
      </c>
      <c r="J6575" s="66" t="str">
        <f>IF('Twenty-Seventh'!J78="", "",'Twenty-Seventh'!J78)</f>
        <v>Auricular Acupuncture</v>
      </c>
      <c r="K6575" s="86" t="str">
        <f>IF('Twenty-Seventh'!K78="", "",'Twenty-Seventh'!K78)</f>
        <v>Benefits - Individual</v>
      </c>
      <c r="M6575" s="67">
        <f t="shared" si="311"/>
        <v>6</v>
      </c>
      <c r="N6575" s="76" t="str">
        <f t="shared" si="312"/>
        <v/>
      </c>
      <c r="O6575" s="33">
        <f t="shared" si="313"/>
        <v>6</v>
      </c>
    </row>
    <row r="6576" spans="1:15" x14ac:dyDescent="0.25">
      <c r="A6576" s="64" t="s">
        <v>211</v>
      </c>
      <c r="B6576" s="79" t="str">
        <f>IF('Twenty-Seventh'!B79="", "",'Twenty-Seventh'!B79)</f>
        <v>Centre Head</v>
      </c>
      <c r="C6576" s="66" t="str">
        <f>IF('Twenty-Seventh'!C79="", "",'Twenty-Seventh'!C79)</f>
        <v>PwC</v>
      </c>
      <c r="D6576" s="66" t="str">
        <f>IF('Twenty-Seventh'!D79="", "",'Twenty-Seventh'!D79)</f>
        <v>Returning</v>
      </c>
      <c r="E6576" s="66" t="str">
        <f>IF('Twenty-Seventh'!E79="", "",'Twenty-Seventh'!E79)</f>
        <v>Male</v>
      </c>
      <c r="F6576" s="66" t="str">
        <f>IF('Twenty-Seventh'!F79="", "",'Twenty-Seventh'!F79)</f>
        <v>Prostate</v>
      </c>
      <c r="G6576" s="66" t="str">
        <f>IF('Twenty-Seventh'!G79="", "",'Twenty-Seventh'!G79)</f>
        <v>Post Treatment - Curative Intent</v>
      </c>
      <c r="H6576" s="66" t="str">
        <f>IF('Twenty-Seventh'!H79="", "",'Twenty-Seventh'!H79)</f>
        <v/>
      </c>
      <c r="I6576" s="66" t="str">
        <f>IF('Twenty-Seventh'!I79="", "",'Twenty-Seventh'!I79)</f>
        <v>Lecture Series</v>
      </c>
      <c r="J6576" s="66" t="str">
        <f>IF('Twenty-Seventh'!J79="", "",'Twenty-Seventh'!J79)</f>
        <v>Auricular Acupuncture</v>
      </c>
      <c r="K6576" s="86" t="str">
        <f>IF('Twenty-Seventh'!K79="", "",'Twenty-Seventh'!K79)</f>
        <v/>
      </c>
      <c r="M6576" s="67">
        <f t="shared" si="311"/>
        <v>6</v>
      </c>
      <c r="N6576" s="76" t="str">
        <f t="shared" si="312"/>
        <v/>
      </c>
      <c r="O6576" s="33">
        <f t="shared" si="313"/>
        <v>6</v>
      </c>
    </row>
    <row r="6577" spans="1:15" x14ac:dyDescent="0.25">
      <c r="A6577" s="64" t="s">
        <v>211</v>
      </c>
      <c r="B6577" s="79" t="str">
        <f>IF('Twenty-Seventh'!B80="", "",'Twenty-Seventh'!B80)</f>
        <v>Centre Head</v>
      </c>
      <c r="C6577" s="66" t="str">
        <f>IF('Twenty-Seventh'!C80="", "",'Twenty-Seventh'!C80)</f>
        <v>PwC</v>
      </c>
      <c r="D6577" s="66" t="str">
        <f>IF('Twenty-Seventh'!D80="", "",'Twenty-Seventh'!D80)</f>
        <v>Returning</v>
      </c>
      <c r="E6577" s="66" t="str">
        <f>IF('Twenty-Seventh'!E80="", "",'Twenty-Seventh'!E80)</f>
        <v>Male</v>
      </c>
      <c r="F6577" s="66" t="str">
        <f>IF('Twenty-Seventh'!F80="", "",'Twenty-Seventh'!F80)</f>
        <v>Prostate</v>
      </c>
      <c r="G6577" s="66" t="str">
        <f>IF('Twenty-Seventh'!G80="", "",'Twenty-Seventh'!G80)</f>
        <v>Post Treatment - Curative Intent</v>
      </c>
      <c r="H6577" s="66" t="str">
        <f>IF('Twenty-Seventh'!H80="", "",'Twenty-Seventh'!H80)</f>
        <v/>
      </c>
      <c r="I6577" s="66" t="str">
        <f>IF('Twenty-Seventh'!I80="", "",'Twenty-Seventh'!I80)</f>
        <v>Lecture Series</v>
      </c>
      <c r="J6577" s="66" t="str">
        <f>IF('Twenty-Seventh'!J80="", "",'Twenty-Seventh'!J80)</f>
        <v>Auricular Acupuncture</v>
      </c>
      <c r="K6577" s="86" t="str">
        <f>IF('Twenty-Seventh'!K80="", "",'Twenty-Seventh'!K80)</f>
        <v/>
      </c>
      <c r="M6577" s="67">
        <f t="shared" si="311"/>
        <v>6</v>
      </c>
      <c r="N6577" s="76" t="str">
        <f t="shared" si="312"/>
        <v/>
      </c>
      <c r="O6577" s="33">
        <f t="shared" si="313"/>
        <v>6</v>
      </c>
    </row>
    <row r="6578" spans="1:15" x14ac:dyDescent="0.25">
      <c r="A6578" s="64" t="s">
        <v>211</v>
      </c>
      <c r="B6578" s="79" t="str">
        <f>IF('Twenty-Seventh'!B81="", "",'Twenty-Seventh'!B81)</f>
        <v>Centre Head</v>
      </c>
      <c r="C6578" s="66" t="str">
        <f>IF('Twenty-Seventh'!C81="", "",'Twenty-Seventh'!C81)</f>
        <v>PwC</v>
      </c>
      <c r="D6578" s="66" t="str">
        <f>IF('Twenty-Seventh'!D81="", "",'Twenty-Seventh'!D81)</f>
        <v>Returning</v>
      </c>
      <c r="E6578" s="66" t="str">
        <f>IF('Twenty-Seventh'!E81="", "",'Twenty-Seventh'!E81)</f>
        <v>Male</v>
      </c>
      <c r="F6578" s="66" t="str">
        <f>IF('Twenty-Seventh'!F81="", "",'Twenty-Seventh'!F81)</f>
        <v>Prostate</v>
      </c>
      <c r="G6578" s="66" t="str">
        <f>IF('Twenty-Seventh'!G81="", "",'Twenty-Seventh'!G81)</f>
        <v>Post Treatment - Curative Intent</v>
      </c>
      <c r="H6578" s="66" t="str">
        <f>IF('Twenty-Seventh'!H81="", "",'Twenty-Seventh'!H81)</f>
        <v/>
      </c>
      <c r="I6578" s="66" t="str">
        <f>IF('Twenty-Seventh'!I81="", "",'Twenty-Seventh'!I81)</f>
        <v>Lecture Series</v>
      </c>
      <c r="J6578" s="66" t="str">
        <f>IF('Twenty-Seventh'!J81="", "",'Twenty-Seventh'!J81)</f>
        <v>Auricular Acupuncture</v>
      </c>
      <c r="K6578" s="86" t="str">
        <f>IF('Twenty-Seventh'!K81="", "",'Twenty-Seventh'!K81)</f>
        <v/>
      </c>
      <c r="M6578" s="67">
        <f t="shared" si="311"/>
        <v>6</v>
      </c>
      <c r="N6578" s="76" t="str">
        <f t="shared" si="312"/>
        <v/>
      </c>
      <c r="O6578" s="33">
        <f t="shared" si="313"/>
        <v>6</v>
      </c>
    </row>
    <row r="6579" spans="1:15" x14ac:dyDescent="0.25">
      <c r="A6579" s="64" t="s">
        <v>211</v>
      </c>
      <c r="B6579" s="79" t="str">
        <f>IF('Twenty-Seventh'!B82="", "",'Twenty-Seventh'!B82)</f>
        <v>Centre Head</v>
      </c>
      <c r="C6579" s="66" t="str">
        <f>IF('Twenty-Seventh'!C82="", "",'Twenty-Seventh'!C82)</f>
        <v>PwC</v>
      </c>
      <c r="D6579" s="66" t="str">
        <f>IF('Twenty-Seventh'!D82="", "",'Twenty-Seventh'!D82)</f>
        <v>Returning</v>
      </c>
      <c r="E6579" s="66" t="str">
        <f>IF('Twenty-Seventh'!E82="", "",'Twenty-Seventh'!E82)</f>
        <v>Male</v>
      </c>
      <c r="F6579" s="66" t="str">
        <f>IF('Twenty-Seventh'!F82="", "",'Twenty-Seventh'!F82)</f>
        <v>Prostate</v>
      </c>
      <c r="G6579" s="66" t="str">
        <f>IF('Twenty-Seventh'!G82="", "",'Twenty-Seventh'!G82)</f>
        <v>Post Treatment - Curative Intent</v>
      </c>
      <c r="H6579" s="66" t="str">
        <f>IF('Twenty-Seventh'!H82="", "",'Twenty-Seventh'!H82)</f>
        <v/>
      </c>
      <c r="I6579" s="66" t="str">
        <f>IF('Twenty-Seventh'!I82="", "",'Twenty-Seventh'!I82)</f>
        <v>Lecture Series</v>
      </c>
      <c r="J6579" s="66" t="str">
        <f>IF('Twenty-Seventh'!J82="", "",'Twenty-Seventh'!J82)</f>
        <v>Auricular Acupuncture</v>
      </c>
      <c r="K6579" s="86" t="str">
        <f>IF('Twenty-Seventh'!K82="", "",'Twenty-Seventh'!K82)</f>
        <v/>
      </c>
      <c r="M6579" s="67">
        <f t="shared" si="311"/>
        <v>6</v>
      </c>
      <c r="N6579" s="76" t="str">
        <f t="shared" si="312"/>
        <v/>
      </c>
      <c r="O6579" s="33">
        <f t="shared" si="313"/>
        <v>6</v>
      </c>
    </row>
    <row r="6580" spans="1:15" x14ac:dyDescent="0.25">
      <c r="A6580" s="64" t="s">
        <v>211</v>
      </c>
      <c r="B6580" s="79" t="str">
        <f>IF('Twenty-Seventh'!B83="", "",'Twenty-Seventh'!B83)</f>
        <v>Centre Head</v>
      </c>
      <c r="C6580" s="66" t="str">
        <f>IF('Twenty-Seventh'!C83="", "",'Twenty-Seventh'!C83)</f>
        <v>PwC</v>
      </c>
      <c r="D6580" s="66" t="str">
        <f>IF('Twenty-Seventh'!D83="", "",'Twenty-Seventh'!D83)</f>
        <v>Returning</v>
      </c>
      <c r="E6580" s="66" t="str">
        <f>IF('Twenty-Seventh'!E83="", "",'Twenty-Seventh'!E83)</f>
        <v>Male</v>
      </c>
      <c r="F6580" s="66" t="str">
        <f>IF('Twenty-Seventh'!F83="", "",'Twenty-Seventh'!F83)</f>
        <v>Prostate</v>
      </c>
      <c r="G6580" s="66" t="str">
        <f>IF('Twenty-Seventh'!G83="", "",'Twenty-Seventh'!G83)</f>
        <v>Post Treatment - Curative Intent</v>
      </c>
      <c r="H6580" s="66" t="str">
        <f>IF('Twenty-Seventh'!H83="", "",'Twenty-Seventh'!H83)</f>
        <v/>
      </c>
      <c r="I6580" s="66" t="str">
        <f>IF('Twenty-Seventh'!I83="", "",'Twenty-Seventh'!I83)</f>
        <v>Lecture Series</v>
      </c>
      <c r="J6580" s="66" t="str">
        <f>IF('Twenty-Seventh'!J83="", "",'Twenty-Seventh'!J83)</f>
        <v>Auricular Acupuncture</v>
      </c>
      <c r="K6580" s="86" t="str">
        <f>IF('Twenty-Seventh'!K83="", "",'Twenty-Seventh'!K83)</f>
        <v/>
      </c>
      <c r="M6580" s="67">
        <f t="shared" si="311"/>
        <v>6</v>
      </c>
      <c r="N6580" s="76" t="str">
        <f t="shared" si="312"/>
        <v/>
      </c>
      <c r="O6580" s="33">
        <f t="shared" si="313"/>
        <v>6</v>
      </c>
    </row>
    <row r="6581" spans="1:15" x14ac:dyDescent="0.25">
      <c r="A6581" s="64" t="s">
        <v>211</v>
      </c>
      <c r="B6581" s="79" t="str">
        <f>IF('Twenty-Seventh'!B84="", "",'Twenty-Seventh'!B84)</f>
        <v>Centre Head</v>
      </c>
      <c r="C6581" s="66" t="str">
        <f>IF('Twenty-Seventh'!C84="", "",'Twenty-Seventh'!C84)</f>
        <v>PwC</v>
      </c>
      <c r="D6581" s="66" t="str">
        <f>IF('Twenty-Seventh'!D84="", "",'Twenty-Seventh'!D84)</f>
        <v>Returning</v>
      </c>
      <c r="E6581" s="66" t="str">
        <f>IF('Twenty-Seventh'!E84="", "",'Twenty-Seventh'!E84)</f>
        <v>Male</v>
      </c>
      <c r="F6581" s="66" t="str">
        <f>IF('Twenty-Seventh'!F84="", "",'Twenty-Seventh'!F84)</f>
        <v>Prostate</v>
      </c>
      <c r="G6581" s="66" t="str">
        <f>IF('Twenty-Seventh'!G84="", "",'Twenty-Seventh'!G84)</f>
        <v>Post Treatment - Curative Intent</v>
      </c>
      <c r="H6581" s="66" t="str">
        <f>IF('Twenty-Seventh'!H84="", "",'Twenty-Seventh'!H84)</f>
        <v/>
      </c>
      <c r="I6581" s="66" t="str">
        <f>IF('Twenty-Seventh'!I84="", "",'Twenty-Seventh'!I84)</f>
        <v>Lecture Series</v>
      </c>
      <c r="J6581" s="66" t="str">
        <f>IF('Twenty-Seventh'!J84="", "",'Twenty-Seventh'!J84)</f>
        <v>Auricular Acupuncture</v>
      </c>
      <c r="K6581" s="86" t="str">
        <f>IF('Twenty-Seventh'!K84="", "",'Twenty-Seventh'!K84)</f>
        <v/>
      </c>
      <c r="M6581" s="67">
        <f t="shared" si="311"/>
        <v>6</v>
      </c>
      <c r="N6581" s="76" t="str">
        <f t="shared" si="312"/>
        <v/>
      </c>
      <c r="O6581" s="33">
        <f t="shared" si="313"/>
        <v>6</v>
      </c>
    </row>
    <row r="6582" spans="1:15" x14ac:dyDescent="0.25">
      <c r="A6582" s="64" t="s">
        <v>211</v>
      </c>
      <c r="B6582" s="79" t="str">
        <f>IF('Twenty-Seventh'!B85="", "",'Twenty-Seventh'!B85)</f>
        <v>Centre Head</v>
      </c>
      <c r="C6582" s="66" t="str">
        <f>IF('Twenty-Seventh'!C85="", "",'Twenty-Seventh'!C85)</f>
        <v>PwC</v>
      </c>
      <c r="D6582" s="66" t="str">
        <f>IF('Twenty-Seventh'!D85="", "",'Twenty-Seventh'!D85)</f>
        <v>Returning</v>
      </c>
      <c r="E6582" s="66" t="str">
        <f>IF('Twenty-Seventh'!E85="", "",'Twenty-Seventh'!E85)</f>
        <v>Male</v>
      </c>
      <c r="F6582" s="66" t="str">
        <f>IF('Twenty-Seventh'!F85="", "",'Twenty-Seventh'!F85)</f>
        <v>Prostate</v>
      </c>
      <c r="G6582" s="66" t="str">
        <f>IF('Twenty-Seventh'!G85="", "",'Twenty-Seventh'!G85)</f>
        <v>Post Treatment - Curative Intent</v>
      </c>
      <c r="H6582" s="66" t="str">
        <f>IF('Twenty-Seventh'!H85="", "",'Twenty-Seventh'!H85)</f>
        <v/>
      </c>
      <c r="I6582" s="66" t="str">
        <f>IF('Twenty-Seventh'!I85="", "",'Twenty-Seventh'!I85)</f>
        <v>Lecture Series</v>
      </c>
      <c r="J6582" s="66" t="str">
        <f>IF('Twenty-Seventh'!J85="", "",'Twenty-Seventh'!J85)</f>
        <v>Auricular Acupuncture</v>
      </c>
      <c r="K6582" s="86" t="str">
        <f>IF('Twenty-Seventh'!K85="", "",'Twenty-Seventh'!K85)</f>
        <v/>
      </c>
      <c r="M6582" s="67">
        <f t="shared" si="311"/>
        <v>6</v>
      </c>
      <c r="N6582" s="76" t="str">
        <f t="shared" si="312"/>
        <v/>
      </c>
      <c r="O6582" s="33">
        <f t="shared" si="313"/>
        <v>6</v>
      </c>
    </row>
    <row r="6583" spans="1:15" x14ac:dyDescent="0.25">
      <c r="A6583" s="64" t="s">
        <v>211</v>
      </c>
      <c r="B6583" s="79" t="str">
        <f>IF('Twenty-Seventh'!B86="", "",'Twenty-Seventh'!B86)</f>
        <v>Centre Head</v>
      </c>
      <c r="C6583" s="66" t="str">
        <f>IF('Twenty-Seventh'!C86="", "",'Twenty-Seventh'!C86)</f>
        <v>PwC</v>
      </c>
      <c r="D6583" s="66" t="str">
        <f>IF('Twenty-Seventh'!D86="", "",'Twenty-Seventh'!D86)</f>
        <v>Returning</v>
      </c>
      <c r="E6583" s="66" t="str">
        <f>IF('Twenty-Seventh'!E86="", "",'Twenty-Seventh'!E86)</f>
        <v>Male</v>
      </c>
      <c r="F6583" s="66" t="str">
        <f>IF('Twenty-Seventh'!F86="", "",'Twenty-Seventh'!F86)</f>
        <v>Prostate</v>
      </c>
      <c r="G6583" s="66" t="str">
        <f>IF('Twenty-Seventh'!G86="", "",'Twenty-Seventh'!G86)</f>
        <v>Post Treatment - Curative Intent</v>
      </c>
      <c r="H6583" s="66" t="str">
        <f>IF('Twenty-Seventh'!H86="", "",'Twenty-Seventh'!H86)</f>
        <v/>
      </c>
      <c r="I6583" s="66" t="str">
        <f>IF('Twenty-Seventh'!I86="", "",'Twenty-Seventh'!I86)</f>
        <v>Lecture Series</v>
      </c>
      <c r="J6583" s="66" t="str">
        <f>IF('Twenty-Seventh'!J86="", "",'Twenty-Seventh'!J86)</f>
        <v>Auricular Acupuncture</v>
      </c>
      <c r="K6583" s="86" t="str">
        <f>IF('Twenty-Seventh'!K86="", "",'Twenty-Seventh'!K86)</f>
        <v/>
      </c>
      <c r="M6583" s="67">
        <f t="shared" si="311"/>
        <v>6</v>
      </c>
      <c r="N6583" s="76" t="str">
        <f t="shared" si="312"/>
        <v/>
      </c>
      <c r="O6583" s="33">
        <f t="shared" si="313"/>
        <v>6</v>
      </c>
    </row>
    <row r="6584" spans="1:15" x14ac:dyDescent="0.25">
      <c r="A6584" s="64" t="s">
        <v>211</v>
      </c>
      <c r="B6584" s="79" t="str">
        <f>IF('Twenty-Seventh'!B87="", "",'Twenty-Seventh'!B87)</f>
        <v>Centre Head</v>
      </c>
      <c r="C6584" s="66" t="str">
        <f>IF('Twenty-Seventh'!C87="", "",'Twenty-Seventh'!C87)</f>
        <v>PwC</v>
      </c>
      <c r="D6584" s="66" t="str">
        <f>IF('Twenty-Seventh'!D87="", "",'Twenty-Seventh'!D87)</f>
        <v>Returning</v>
      </c>
      <c r="E6584" s="66" t="str">
        <f>IF('Twenty-Seventh'!E87="", "",'Twenty-Seventh'!E87)</f>
        <v>Male</v>
      </c>
      <c r="F6584" s="66" t="str">
        <f>IF('Twenty-Seventh'!F87="", "",'Twenty-Seventh'!F87)</f>
        <v>Prostate</v>
      </c>
      <c r="G6584" s="66" t="str">
        <f>IF('Twenty-Seventh'!G87="", "",'Twenty-Seventh'!G87)</f>
        <v>Post Treatment - Curative Intent</v>
      </c>
      <c r="H6584" s="66" t="str">
        <f>IF('Twenty-Seventh'!H87="", "",'Twenty-Seventh'!H87)</f>
        <v/>
      </c>
      <c r="I6584" s="66" t="str">
        <f>IF('Twenty-Seventh'!I87="", "",'Twenty-Seventh'!I87)</f>
        <v>Lecture Series</v>
      </c>
      <c r="J6584" s="66" t="str">
        <f>IF('Twenty-Seventh'!J87="", "",'Twenty-Seventh'!J87)</f>
        <v>Auricular Acupuncture</v>
      </c>
      <c r="K6584" s="86" t="str">
        <f>IF('Twenty-Seventh'!K87="", "",'Twenty-Seventh'!K87)</f>
        <v/>
      </c>
      <c r="M6584" s="67">
        <f t="shared" si="311"/>
        <v>6</v>
      </c>
      <c r="N6584" s="76" t="str">
        <f t="shared" si="312"/>
        <v/>
      </c>
      <c r="O6584" s="33">
        <f t="shared" si="313"/>
        <v>6</v>
      </c>
    </row>
    <row r="6585" spans="1:15" x14ac:dyDescent="0.25">
      <c r="A6585" s="64" t="s">
        <v>211</v>
      </c>
      <c r="B6585" s="79" t="str">
        <f>IF('Twenty-Seventh'!B88="", "",'Twenty-Seventh'!B88)</f>
        <v>Centre Head</v>
      </c>
      <c r="C6585" s="66" t="str">
        <f>IF('Twenty-Seventh'!C88="", "",'Twenty-Seventh'!C88)</f>
        <v>PwC</v>
      </c>
      <c r="D6585" s="66" t="str">
        <f>IF('Twenty-Seventh'!D88="", "",'Twenty-Seventh'!D88)</f>
        <v>Returning</v>
      </c>
      <c r="E6585" s="66" t="str">
        <f>IF('Twenty-Seventh'!E88="", "",'Twenty-Seventh'!E88)</f>
        <v>Male</v>
      </c>
      <c r="F6585" s="66" t="str">
        <f>IF('Twenty-Seventh'!F88="", "",'Twenty-Seventh'!F88)</f>
        <v>Prostate</v>
      </c>
      <c r="G6585" s="66" t="str">
        <f>IF('Twenty-Seventh'!G88="", "",'Twenty-Seventh'!G88)</f>
        <v>Post Treatment - Curative Intent</v>
      </c>
      <c r="H6585" s="66" t="str">
        <f>IF('Twenty-Seventh'!H88="", "",'Twenty-Seventh'!H88)</f>
        <v/>
      </c>
      <c r="I6585" s="66" t="str">
        <f>IF('Twenty-Seventh'!I88="", "",'Twenty-Seventh'!I88)</f>
        <v>Lecture Series</v>
      </c>
      <c r="J6585" s="66" t="str">
        <f>IF('Twenty-Seventh'!J88="", "",'Twenty-Seventh'!J88)</f>
        <v>Auricular Acupuncture</v>
      </c>
      <c r="K6585" s="86" t="str">
        <f>IF('Twenty-Seventh'!K88="", "",'Twenty-Seventh'!K88)</f>
        <v/>
      </c>
      <c r="M6585" s="67">
        <f t="shared" si="311"/>
        <v>6</v>
      </c>
      <c r="N6585" s="76" t="str">
        <f t="shared" si="312"/>
        <v/>
      </c>
      <c r="O6585" s="33">
        <f t="shared" si="313"/>
        <v>6</v>
      </c>
    </row>
    <row r="6586" spans="1:15" x14ac:dyDescent="0.25">
      <c r="A6586" s="64" t="s">
        <v>211</v>
      </c>
      <c r="B6586" s="79" t="str">
        <f>IF('Twenty-Seventh'!B89="", "",'Twenty-Seventh'!B89)</f>
        <v>Centre Head</v>
      </c>
      <c r="C6586" s="66" t="str">
        <f>IF('Twenty-Seventh'!C89="", "",'Twenty-Seventh'!C89)</f>
        <v>PwC</v>
      </c>
      <c r="D6586" s="66" t="str">
        <f>IF('Twenty-Seventh'!D89="", "",'Twenty-Seventh'!D89)</f>
        <v>Returning</v>
      </c>
      <c r="E6586" s="66" t="str">
        <f>IF('Twenty-Seventh'!E89="", "",'Twenty-Seventh'!E89)</f>
        <v>Male</v>
      </c>
      <c r="F6586" s="66" t="str">
        <f>IF('Twenty-Seventh'!F89="", "",'Twenty-Seventh'!F89)</f>
        <v>Prostate</v>
      </c>
      <c r="G6586" s="66" t="str">
        <f>IF('Twenty-Seventh'!G89="", "",'Twenty-Seventh'!G89)</f>
        <v>Post Treatment - Curative Intent</v>
      </c>
      <c r="H6586" s="66" t="str">
        <f>IF('Twenty-Seventh'!H89="", "",'Twenty-Seventh'!H89)</f>
        <v/>
      </c>
      <c r="I6586" s="66" t="str">
        <f>IF('Twenty-Seventh'!I89="", "",'Twenty-Seventh'!I89)</f>
        <v>Lecture Series</v>
      </c>
      <c r="J6586" s="66" t="str">
        <f>IF('Twenty-Seventh'!J89="", "",'Twenty-Seventh'!J89)</f>
        <v>Auricular Acupuncture</v>
      </c>
      <c r="K6586" s="86" t="str">
        <f>IF('Twenty-Seventh'!K89="", "",'Twenty-Seventh'!K89)</f>
        <v/>
      </c>
      <c r="M6586" s="67">
        <f t="shared" si="311"/>
        <v>6</v>
      </c>
      <c r="N6586" s="76" t="str">
        <f t="shared" si="312"/>
        <v/>
      </c>
      <c r="O6586" s="33">
        <f t="shared" si="313"/>
        <v>6</v>
      </c>
    </row>
    <row r="6587" spans="1:15" x14ac:dyDescent="0.25">
      <c r="A6587" s="64" t="s">
        <v>211</v>
      </c>
      <c r="B6587" s="79" t="str">
        <f>IF('Twenty-Seventh'!B90="", "",'Twenty-Seventh'!B90)</f>
        <v>Centre Head</v>
      </c>
      <c r="C6587" s="66" t="str">
        <f>IF('Twenty-Seventh'!C90="", "",'Twenty-Seventh'!C90)</f>
        <v>PwC</v>
      </c>
      <c r="D6587" s="66" t="str">
        <f>IF('Twenty-Seventh'!D90="", "",'Twenty-Seventh'!D90)</f>
        <v>Returning</v>
      </c>
      <c r="E6587" s="66" t="str">
        <f>IF('Twenty-Seventh'!E90="", "",'Twenty-Seventh'!E90)</f>
        <v>Male</v>
      </c>
      <c r="F6587" s="66" t="str">
        <f>IF('Twenty-Seventh'!F90="", "",'Twenty-Seventh'!F90)</f>
        <v>Prostate</v>
      </c>
      <c r="G6587" s="66" t="str">
        <f>IF('Twenty-Seventh'!G90="", "",'Twenty-Seventh'!G90)</f>
        <v>Post Treatment - Curative Intent</v>
      </c>
      <c r="H6587" s="66" t="str">
        <f>IF('Twenty-Seventh'!H90="", "",'Twenty-Seventh'!H90)</f>
        <v/>
      </c>
      <c r="I6587" s="66" t="str">
        <f>IF('Twenty-Seventh'!I90="", "",'Twenty-Seventh'!I90)</f>
        <v>Lecture Series</v>
      </c>
      <c r="J6587" s="66" t="str">
        <f>IF('Twenty-Seventh'!J90="", "",'Twenty-Seventh'!J90)</f>
        <v>Auricular Acupuncture</v>
      </c>
      <c r="K6587" s="86" t="str">
        <f>IF('Twenty-Seventh'!K90="", "",'Twenty-Seventh'!K90)</f>
        <v/>
      </c>
      <c r="M6587" s="67">
        <f t="shared" si="311"/>
        <v>6</v>
      </c>
      <c r="N6587" s="76" t="str">
        <f t="shared" si="312"/>
        <v/>
      </c>
      <c r="O6587" s="33">
        <f t="shared" si="313"/>
        <v>6</v>
      </c>
    </row>
    <row r="6588" spans="1:15" x14ac:dyDescent="0.25">
      <c r="A6588" s="64" t="s">
        <v>211</v>
      </c>
      <c r="B6588" s="79" t="str">
        <f>IF('Twenty-Seventh'!B91="", "",'Twenty-Seventh'!B91)</f>
        <v>Centre Head</v>
      </c>
      <c r="C6588" s="66" t="str">
        <f>IF('Twenty-Seventh'!C91="", "",'Twenty-Seventh'!C91)</f>
        <v>PwC</v>
      </c>
      <c r="D6588" s="66" t="str">
        <f>IF('Twenty-Seventh'!D91="", "",'Twenty-Seventh'!D91)</f>
        <v>Returning</v>
      </c>
      <c r="E6588" s="66" t="str">
        <f>IF('Twenty-Seventh'!E91="", "",'Twenty-Seventh'!E91)</f>
        <v>Male</v>
      </c>
      <c r="F6588" s="66" t="str">
        <f>IF('Twenty-Seventh'!F91="", "",'Twenty-Seventh'!F91)</f>
        <v>Prostate</v>
      </c>
      <c r="G6588" s="66" t="str">
        <f>IF('Twenty-Seventh'!G91="", "",'Twenty-Seventh'!G91)</f>
        <v>Post Treatment - Curative Intent</v>
      </c>
      <c r="H6588" s="66" t="str">
        <f>IF('Twenty-Seventh'!H91="", "",'Twenty-Seventh'!H91)</f>
        <v/>
      </c>
      <c r="I6588" s="66" t="str">
        <f>IF('Twenty-Seventh'!I91="", "",'Twenty-Seventh'!I91)</f>
        <v>Lecture Series</v>
      </c>
      <c r="J6588" s="66" t="str">
        <f>IF('Twenty-Seventh'!J91="", "",'Twenty-Seventh'!J91)</f>
        <v>Auricular Acupuncture</v>
      </c>
      <c r="K6588" s="86" t="str">
        <f>IF('Twenty-Seventh'!K91="", "",'Twenty-Seventh'!K91)</f>
        <v/>
      </c>
      <c r="M6588" s="67">
        <f t="shared" si="311"/>
        <v>6</v>
      </c>
      <c r="N6588" s="76" t="str">
        <f t="shared" si="312"/>
        <v/>
      </c>
      <c r="O6588" s="33">
        <f t="shared" si="313"/>
        <v>6</v>
      </c>
    </row>
    <row r="6589" spans="1:15" x14ac:dyDescent="0.25">
      <c r="A6589" s="64" t="s">
        <v>211</v>
      </c>
      <c r="B6589" s="79" t="str">
        <f>IF('Twenty-Seventh'!B92="", "",'Twenty-Seventh'!B92)</f>
        <v>Centre Head</v>
      </c>
      <c r="C6589" s="66" t="str">
        <f>IF('Twenty-Seventh'!C92="", "",'Twenty-Seventh'!C92)</f>
        <v>PwC</v>
      </c>
      <c r="D6589" s="66" t="str">
        <f>IF('Twenty-Seventh'!D92="", "",'Twenty-Seventh'!D92)</f>
        <v>Returning</v>
      </c>
      <c r="E6589" s="66" t="str">
        <f>IF('Twenty-Seventh'!E92="", "",'Twenty-Seventh'!E92)</f>
        <v>Male</v>
      </c>
      <c r="F6589" s="66" t="str">
        <f>IF('Twenty-Seventh'!F92="", "",'Twenty-Seventh'!F92)</f>
        <v>Prostate</v>
      </c>
      <c r="G6589" s="66" t="str">
        <f>IF('Twenty-Seventh'!G92="", "",'Twenty-Seventh'!G92)</f>
        <v>Post Treatment - Curative Intent</v>
      </c>
      <c r="H6589" s="66" t="str">
        <f>IF('Twenty-Seventh'!H92="", "",'Twenty-Seventh'!H92)</f>
        <v/>
      </c>
      <c r="I6589" s="66" t="str">
        <f>IF('Twenty-Seventh'!I92="", "",'Twenty-Seventh'!I92)</f>
        <v>Lecture Series</v>
      </c>
      <c r="J6589" s="66" t="str">
        <f>IF('Twenty-Seventh'!J92="", "",'Twenty-Seventh'!J92)</f>
        <v>Auricular Acupuncture</v>
      </c>
      <c r="K6589" s="86" t="str">
        <f>IF('Twenty-Seventh'!K92="", "",'Twenty-Seventh'!K92)</f>
        <v/>
      </c>
      <c r="M6589" s="67">
        <f t="shared" si="311"/>
        <v>6</v>
      </c>
      <c r="N6589" s="76" t="str">
        <f t="shared" si="312"/>
        <v/>
      </c>
      <c r="O6589" s="33">
        <f t="shared" si="313"/>
        <v>6</v>
      </c>
    </row>
    <row r="6590" spans="1:15" x14ac:dyDescent="0.25">
      <c r="A6590" s="64" t="s">
        <v>211</v>
      </c>
      <c r="B6590" s="79" t="str">
        <f>IF('Twenty-Seventh'!B93="", "",'Twenty-Seventh'!B93)</f>
        <v>Centre Head</v>
      </c>
      <c r="C6590" s="66" t="str">
        <f>IF('Twenty-Seventh'!C93="", "",'Twenty-Seventh'!C93)</f>
        <v>PwC</v>
      </c>
      <c r="D6590" s="66" t="str">
        <f>IF('Twenty-Seventh'!D93="", "",'Twenty-Seventh'!D93)</f>
        <v>Returning</v>
      </c>
      <c r="E6590" s="66" t="str">
        <f>IF('Twenty-Seventh'!E93="", "",'Twenty-Seventh'!E93)</f>
        <v>Male</v>
      </c>
      <c r="F6590" s="66" t="str">
        <f>IF('Twenty-Seventh'!F93="", "",'Twenty-Seventh'!F93)</f>
        <v>Prostate</v>
      </c>
      <c r="G6590" s="66" t="str">
        <f>IF('Twenty-Seventh'!G93="", "",'Twenty-Seventh'!G93)</f>
        <v>Post Treatment - Curative Intent</v>
      </c>
      <c r="H6590" s="66" t="str">
        <f>IF('Twenty-Seventh'!H93="", "",'Twenty-Seventh'!H93)</f>
        <v/>
      </c>
      <c r="I6590" s="66" t="str">
        <f>IF('Twenty-Seventh'!I93="", "",'Twenty-Seventh'!I93)</f>
        <v>Lecture Series</v>
      </c>
      <c r="J6590" s="66" t="str">
        <f>IF('Twenty-Seventh'!J93="", "",'Twenty-Seventh'!J93)</f>
        <v>Auricular Acupuncture</v>
      </c>
      <c r="K6590" s="86" t="str">
        <f>IF('Twenty-Seventh'!K93="", "",'Twenty-Seventh'!K93)</f>
        <v/>
      </c>
      <c r="M6590" s="67">
        <f t="shared" si="311"/>
        <v>6</v>
      </c>
      <c r="N6590" s="76" t="str">
        <f t="shared" si="312"/>
        <v/>
      </c>
      <c r="O6590" s="33">
        <f t="shared" si="313"/>
        <v>6</v>
      </c>
    </row>
    <row r="6591" spans="1:15" x14ac:dyDescent="0.25">
      <c r="A6591" s="64" t="s">
        <v>211</v>
      </c>
      <c r="B6591" s="79" t="str">
        <f>IF('Twenty-Seventh'!B94="", "",'Twenty-Seventh'!B94)</f>
        <v>Centre Head</v>
      </c>
      <c r="C6591" s="66" t="str">
        <f>IF('Twenty-Seventh'!C94="", "",'Twenty-Seventh'!C94)</f>
        <v>PwC</v>
      </c>
      <c r="D6591" s="66" t="str">
        <f>IF('Twenty-Seventh'!D94="", "",'Twenty-Seventh'!D94)</f>
        <v>Returning</v>
      </c>
      <c r="E6591" s="66" t="str">
        <f>IF('Twenty-Seventh'!E94="", "",'Twenty-Seventh'!E94)</f>
        <v>Male</v>
      </c>
      <c r="F6591" s="66" t="str">
        <f>IF('Twenty-Seventh'!F94="", "",'Twenty-Seventh'!F94)</f>
        <v>Prostate</v>
      </c>
      <c r="G6591" s="66" t="str">
        <f>IF('Twenty-Seventh'!G94="", "",'Twenty-Seventh'!G94)</f>
        <v>Post Treatment - Curative Intent</v>
      </c>
      <c r="H6591" s="66" t="str">
        <f>IF('Twenty-Seventh'!H94="", "",'Twenty-Seventh'!H94)</f>
        <v/>
      </c>
      <c r="I6591" s="66" t="str">
        <f>IF('Twenty-Seventh'!I94="", "",'Twenty-Seventh'!I94)</f>
        <v>Lecture Series</v>
      </c>
      <c r="J6591" s="66" t="str">
        <f>IF('Twenty-Seventh'!J94="", "",'Twenty-Seventh'!J94)</f>
        <v>Auricular Acupuncture</v>
      </c>
      <c r="K6591" s="86" t="str">
        <f>IF('Twenty-Seventh'!K94="", "",'Twenty-Seventh'!K94)</f>
        <v>Benefits - Individual</v>
      </c>
      <c r="M6591" s="67">
        <f t="shared" ref="M6591:M6654" si="314">IF(C6591="PwC",(7-COUNTIF(B6591:H6591,"")),"")</f>
        <v>6</v>
      </c>
      <c r="N6591" s="76" t="str">
        <f t="shared" ref="N6591:N6654" si="315">IF(C6591="Carer",(7-COUNTIF(B6591:H6591,"")),"")</f>
        <v/>
      </c>
      <c r="O6591" s="33">
        <f t="shared" si="313"/>
        <v>6</v>
      </c>
    </row>
    <row r="6592" spans="1:15" x14ac:dyDescent="0.25">
      <c r="A6592" s="64" t="s">
        <v>211</v>
      </c>
      <c r="B6592" s="79" t="str">
        <f>IF('Twenty-Seventh'!B95="", "",'Twenty-Seventh'!B95)</f>
        <v>Centre Head</v>
      </c>
      <c r="C6592" s="66" t="str">
        <f>IF('Twenty-Seventh'!C95="", "",'Twenty-Seventh'!C95)</f>
        <v>PwC</v>
      </c>
      <c r="D6592" s="66" t="str">
        <f>IF('Twenty-Seventh'!D95="", "",'Twenty-Seventh'!D95)</f>
        <v>Returning</v>
      </c>
      <c r="E6592" s="66" t="str">
        <f>IF('Twenty-Seventh'!E95="", "",'Twenty-Seventh'!E95)</f>
        <v>Male</v>
      </c>
      <c r="F6592" s="66" t="str">
        <f>IF('Twenty-Seventh'!F95="", "",'Twenty-Seventh'!F95)</f>
        <v>Prostate</v>
      </c>
      <c r="G6592" s="66" t="str">
        <f>IF('Twenty-Seventh'!G95="", "",'Twenty-Seventh'!G95)</f>
        <v>Post Treatment - Curative Intent</v>
      </c>
      <c r="H6592" s="66" t="str">
        <f>IF('Twenty-Seventh'!H95="", "",'Twenty-Seventh'!H95)</f>
        <v/>
      </c>
      <c r="I6592" s="66" t="str">
        <f>IF('Twenty-Seventh'!I95="", "",'Twenty-Seventh'!I95)</f>
        <v>Lecture Series</v>
      </c>
      <c r="J6592" s="66" t="str">
        <f>IF('Twenty-Seventh'!J95="", "",'Twenty-Seventh'!J95)</f>
        <v>Auricular Acupuncture</v>
      </c>
      <c r="K6592" s="86" t="str">
        <f>IF('Twenty-Seventh'!K95="", "",'Twenty-Seventh'!K95)</f>
        <v>Benefits - Individual</v>
      </c>
      <c r="M6592" s="67">
        <f t="shared" si="314"/>
        <v>6</v>
      </c>
      <c r="N6592" s="76" t="str">
        <f t="shared" si="315"/>
        <v/>
      </c>
      <c r="O6592" s="33">
        <f t="shared" si="313"/>
        <v>6</v>
      </c>
    </row>
    <row r="6593" spans="1:15" x14ac:dyDescent="0.25">
      <c r="A6593" s="64" t="s">
        <v>211</v>
      </c>
      <c r="B6593" s="79" t="str">
        <f>IF('Twenty-Seventh'!B96="", "",'Twenty-Seventh'!B96)</f>
        <v>Centre Head</v>
      </c>
      <c r="C6593" s="66" t="str">
        <f>IF('Twenty-Seventh'!C96="", "",'Twenty-Seventh'!C96)</f>
        <v>PwC</v>
      </c>
      <c r="D6593" s="66" t="str">
        <f>IF('Twenty-Seventh'!D96="", "",'Twenty-Seventh'!D96)</f>
        <v>Returning</v>
      </c>
      <c r="E6593" s="66" t="str">
        <f>IF('Twenty-Seventh'!E96="", "",'Twenty-Seventh'!E96)</f>
        <v>Male</v>
      </c>
      <c r="F6593" s="66" t="str">
        <f>IF('Twenty-Seventh'!F96="", "",'Twenty-Seventh'!F96)</f>
        <v>Prostate</v>
      </c>
      <c r="G6593" s="66" t="str">
        <f>IF('Twenty-Seventh'!G96="", "",'Twenty-Seventh'!G96)</f>
        <v>Post Treatment - Curative Intent</v>
      </c>
      <c r="H6593" s="66" t="str">
        <f>IF('Twenty-Seventh'!H96="", "",'Twenty-Seventh'!H96)</f>
        <v/>
      </c>
      <c r="I6593" s="66" t="str">
        <f>IF('Twenty-Seventh'!I96="", "",'Twenty-Seventh'!I96)</f>
        <v>Lecture Series</v>
      </c>
      <c r="J6593" s="66" t="str">
        <f>IF('Twenty-Seventh'!J96="", "",'Twenty-Seventh'!J96)</f>
        <v>Auricular Acupuncture</v>
      </c>
      <c r="K6593" s="86" t="str">
        <f>IF('Twenty-Seventh'!K96="", "",'Twenty-Seventh'!K96)</f>
        <v>Benefits - Individual</v>
      </c>
      <c r="M6593" s="67">
        <f t="shared" si="314"/>
        <v>6</v>
      </c>
      <c r="N6593" s="76" t="str">
        <f t="shared" si="315"/>
        <v/>
      </c>
      <c r="O6593" s="33">
        <f t="shared" si="313"/>
        <v>6</v>
      </c>
    </row>
    <row r="6594" spans="1:15" x14ac:dyDescent="0.25">
      <c r="A6594" s="64" t="s">
        <v>211</v>
      </c>
      <c r="B6594" s="79" t="str">
        <f>IF('Twenty-Seventh'!B97="", "",'Twenty-Seventh'!B97)</f>
        <v>Centre Head</v>
      </c>
      <c r="C6594" s="66" t="str">
        <f>IF('Twenty-Seventh'!C97="", "",'Twenty-Seventh'!C97)</f>
        <v>PwC</v>
      </c>
      <c r="D6594" s="66" t="str">
        <f>IF('Twenty-Seventh'!D97="", "",'Twenty-Seventh'!D97)</f>
        <v>Returning</v>
      </c>
      <c r="E6594" s="66" t="str">
        <f>IF('Twenty-Seventh'!E97="", "",'Twenty-Seventh'!E97)</f>
        <v>Male</v>
      </c>
      <c r="F6594" s="66" t="str">
        <f>IF('Twenty-Seventh'!F97="", "",'Twenty-Seventh'!F97)</f>
        <v>Prostate</v>
      </c>
      <c r="G6594" s="66" t="str">
        <f>IF('Twenty-Seventh'!G97="", "",'Twenty-Seventh'!G97)</f>
        <v>Post Treatment - Curative Intent</v>
      </c>
      <c r="H6594" s="66" t="str">
        <f>IF('Twenty-Seventh'!H97="", "",'Twenty-Seventh'!H97)</f>
        <v/>
      </c>
      <c r="I6594" s="66" t="str">
        <f>IF('Twenty-Seventh'!I97="", "",'Twenty-Seventh'!I97)</f>
        <v>Lecture Series</v>
      </c>
      <c r="J6594" s="66" t="str">
        <f>IF('Twenty-Seventh'!J97="", "",'Twenty-Seventh'!J97)</f>
        <v>Auricular Acupuncture</v>
      </c>
      <c r="K6594" s="86" t="str">
        <f>IF('Twenty-Seventh'!K97="", "",'Twenty-Seventh'!K97)</f>
        <v>Benefits - Individual</v>
      </c>
      <c r="M6594" s="67">
        <f t="shared" si="314"/>
        <v>6</v>
      </c>
      <c r="N6594" s="76" t="str">
        <f t="shared" si="315"/>
        <v/>
      </c>
      <c r="O6594" s="33">
        <f t="shared" si="313"/>
        <v>6</v>
      </c>
    </row>
    <row r="6595" spans="1:15" x14ac:dyDescent="0.25">
      <c r="A6595" s="64" t="s">
        <v>211</v>
      </c>
      <c r="B6595" s="79" t="str">
        <f>IF('Twenty-Seventh'!B98="", "",'Twenty-Seventh'!B98)</f>
        <v>Centre Head</v>
      </c>
      <c r="C6595" s="66" t="str">
        <f>IF('Twenty-Seventh'!C98="", "",'Twenty-Seventh'!C98)</f>
        <v>PwC</v>
      </c>
      <c r="D6595" s="66" t="str">
        <f>IF('Twenty-Seventh'!D98="", "",'Twenty-Seventh'!D98)</f>
        <v>Returning</v>
      </c>
      <c r="E6595" s="66" t="str">
        <f>IF('Twenty-Seventh'!E98="", "",'Twenty-Seventh'!E98)</f>
        <v>Male</v>
      </c>
      <c r="F6595" s="66" t="str">
        <f>IF('Twenty-Seventh'!F98="", "",'Twenty-Seventh'!F98)</f>
        <v>Prostate</v>
      </c>
      <c r="G6595" s="66" t="str">
        <f>IF('Twenty-Seventh'!G98="", "",'Twenty-Seventh'!G98)</f>
        <v>Post Treatment - Curative Intent</v>
      </c>
      <c r="H6595" s="66" t="str">
        <f>IF('Twenty-Seventh'!H98="", "",'Twenty-Seventh'!H98)</f>
        <v/>
      </c>
      <c r="I6595" s="66" t="str">
        <f>IF('Twenty-Seventh'!I98="", "",'Twenty-Seventh'!I98)</f>
        <v>Lecture Series</v>
      </c>
      <c r="J6595" s="66" t="str">
        <f>IF('Twenty-Seventh'!J98="", "",'Twenty-Seventh'!J98)</f>
        <v>Auricular Acupuncture</v>
      </c>
      <c r="K6595" s="86" t="str">
        <f>IF('Twenty-Seventh'!K98="", "",'Twenty-Seventh'!K98)</f>
        <v/>
      </c>
      <c r="M6595" s="67">
        <f t="shared" si="314"/>
        <v>6</v>
      </c>
      <c r="N6595" s="76" t="str">
        <f t="shared" si="315"/>
        <v/>
      </c>
      <c r="O6595" s="33">
        <f t="shared" si="313"/>
        <v>6</v>
      </c>
    </row>
    <row r="6596" spans="1:15" x14ac:dyDescent="0.25">
      <c r="A6596" s="64" t="s">
        <v>211</v>
      </c>
      <c r="B6596" s="79" t="str">
        <f>IF('Twenty-Seventh'!B99="", "",'Twenty-Seventh'!B99)</f>
        <v>Centre Head</v>
      </c>
      <c r="C6596" s="66" t="str">
        <f>IF('Twenty-Seventh'!C99="", "",'Twenty-Seventh'!C99)</f>
        <v>PwC</v>
      </c>
      <c r="D6596" s="66" t="str">
        <f>IF('Twenty-Seventh'!D99="", "",'Twenty-Seventh'!D99)</f>
        <v>Returning</v>
      </c>
      <c r="E6596" s="66" t="str">
        <f>IF('Twenty-Seventh'!E99="", "",'Twenty-Seventh'!E99)</f>
        <v>Male</v>
      </c>
      <c r="F6596" s="66" t="str">
        <f>IF('Twenty-Seventh'!F99="", "",'Twenty-Seventh'!F99)</f>
        <v>Prostate</v>
      </c>
      <c r="G6596" s="66" t="str">
        <f>IF('Twenty-Seventh'!G99="", "",'Twenty-Seventh'!G99)</f>
        <v>Post Treatment - Curative Intent</v>
      </c>
      <c r="H6596" s="66" t="str">
        <f>IF('Twenty-Seventh'!H99="", "",'Twenty-Seventh'!H99)</f>
        <v/>
      </c>
      <c r="I6596" s="66" t="str">
        <f>IF('Twenty-Seventh'!I99="", "",'Twenty-Seventh'!I99)</f>
        <v>Lecture Series</v>
      </c>
      <c r="J6596" s="66" t="str">
        <f>IF('Twenty-Seventh'!J99="", "",'Twenty-Seventh'!J99)</f>
        <v>Auricular Acupuncture</v>
      </c>
      <c r="K6596" s="86" t="str">
        <f>IF('Twenty-Seventh'!K99="", "",'Twenty-Seventh'!K99)</f>
        <v/>
      </c>
      <c r="M6596" s="67">
        <f t="shared" si="314"/>
        <v>6</v>
      </c>
      <c r="N6596" s="76" t="str">
        <f t="shared" si="315"/>
        <v/>
      </c>
      <c r="O6596" s="33">
        <f t="shared" si="313"/>
        <v>6</v>
      </c>
    </row>
    <row r="6597" spans="1:15" x14ac:dyDescent="0.25">
      <c r="A6597" s="64" t="s">
        <v>211</v>
      </c>
      <c r="B6597" s="79" t="str">
        <f>IF('Twenty-Seventh'!B100="", "",'Twenty-Seventh'!B100)</f>
        <v>Centre Head</v>
      </c>
      <c r="C6597" s="66" t="str">
        <f>IF('Twenty-Seventh'!C100="", "",'Twenty-Seventh'!C100)</f>
        <v>PwC</v>
      </c>
      <c r="D6597" s="66" t="str">
        <f>IF('Twenty-Seventh'!D100="", "",'Twenty-Seventh'!D100)</f>
        <v>Returning</v>
      </c>
      <c r="E6597" s="66" t="str">
        <f>IF('Twenty-Seventh'!E100="", "",'Twenty-Seventh'!E100)</f>
        <v>Male</v>
      </c>
      <c r="F6597" s="66" t="str">
        <f>IF('Twenty-Seventh'!F100="", "",'Twenty-Seventh'!F100)</f>
        <v>Prostate</v>
      </c>
      <c r="G6597" s="66" t="str">
        <f>IF('Twenty-Seventh'!G100="", "",'Twenty-Seventh'!G100)</f>
        <v>Post Treatment - Curative Intent</v>
      </c>
      <c r="H6597" s="66" t="str">
        <f>IF('Twenty-Seventh'!H100="", "",'Twenty-Seventh'!H100)</f>
        <v/>
      </c>
      <c r="I6597" s="66" t="str">
        <f>IF('Twenty-Seventh'!I100="", "",'Twenty-Seventh'!I100)</f>
        <v>Lecture Series</v>
      </c>
      <c r="J6597" s="66" t="str">
        <f>IF('Twenty-Seventh'!J100="", "",'Twenty-Seventh'!J100)</f>
        <v>Auricular Acupuncture</v>
      </c>
      <c r="K6597" s="86" t="str">
        <f>IF('Twenty-Seventh'!K100="", "",'Twenty-Seventh'!K100)</f>
        <v/>
      </c>
      <c r="M6597" s="67">
        <f t="shared" si="314"/>
        <v>6</v>
      </c>
      <c r="N6597" s="76" t="str">
        <f t="shared" si="315"/>
        <v/>
      </c>
      <c r="O6597" s="33">
        <f t="shared" si="313"/>
        <v>6</v>
      </c>
    </row>
    <row r="6598" spans="1:15" x14ac:dyDescent="0.25">
      <c r="A6598" s="64" t="s">
        <v>211</v>
      </c>
      <c r="B6598" s="79" t="str">
        <f>IF('Twenty-Seventh'!B101="", "",'Twenty-Seventh'!B101)</f>
        <v>Centre Head</v>
      </c>
      <c r="C6598" s="66" t="str">
        <f>IF('Twenty-Seventh'!C101="", "",'Twenty-Seventh'!C101)</f>
        <v>PwC</v>
      </c>
      <c r="D6598" s="66" t="str">
        <f>IF('Twenty-Seventh'!D101="", "",'Twenty-Seventh'!D101)</f>
        <v>Returning</v>
      </c>
      <c r="E6598" s="66" t="str">
        <f>IF('Twenty-Seventh'!E101="", "",'Twenty-Seventh'!E101)</f>
        <v>Male</v>
      </c>
      <c r="F6598" s="66" t="str">
        <f>IF('Twenty-Seventh'!F101="", "",'Twenty-Seventh'!F101)</f>
        <v>Prostate</v>
      </c>
      <c r="G6598" s="66" t="str">
        <f>IF('Twenty-Seventh'!G101="", "",'Twenty-Seventh'!G101)</f>
        <v>Post Treatment - Curative Intent</v>
      </c>
      <c r="H6598" s="66" t="str">
        <f>IF('Twenty-Seventh'!H101="", "",'Twenty-Seventh'!H101)</f>
        <v/>
      </c>
      <c r="I6598" s="66" t="str">
        <f>IF('Twenty-Seventh'!I101="", "",'Twenty-Seventh'!I101)</f>
        <v>Lecture Series</v>
      </c>
      <c r="J6598" s="66" t="str">
        <f>IF('Twenty-Seventh'!J101="", "",'Twenty-Seventh'!J101)</f>
        <v>Auricular Acupuncture</v>
      </c>
      <c r="K6598" s="86" t="str">
        <f>IF('Twenty-Seventh'!K101="", "",'Twenty-Seventh'!K101)</f>
        <v/>
      </c>
      <c r="M6598" s="67">
        <f t="shared" si="314"/>
        <v>6</v>
      </c>
      <c r="N6598" s="76" t="str">
        <f t="shared" si="315"/>
        <v/>
      </c>
      <c r="O6598" s="33">
        <f t="shared" si="313"/>
        <v>6</v>
      </c>
    </row>
    <row r="6599" spans="1:15" x14ac:dyDescent="0.25">
      <c r="A6599" s="64" t="s">
        <v>211</v>
      </c>
      <c r="B6599" s="79" t="str">
        <f>IF('Twenty-Seventh'!B102="", "",'Twenty-Seventh'!B102)</f>
        <v>Centre Head</v>
      </c>
      <c r="C6599" s="66" t="str">
        <f>IF('Twenty-Seventh'!C102="", "",'Twenty-Seventh'!C102)</f>
        <v>PwC</v>
      </c>
      <c r="D6599" s="66" t="str">
        <f>IF('Twenty-Seventh'!D102="", "",'Twenty-Seventh'!D102)</f>
        <v>Returning</v>
      </c>
      <c r="E6599" s="66" t="str">
        <f>IF('Twenty-Seventh'!E102="", "",'Twenty-Seventh'!E102)</f>
        <v>Male</v>
      </c>
      <c r="F6599" s="66" t="str">
        <f>IF('Twenty-Seventh'!F102="", "",'Twenty-Seventh'!F102)</f>
        <v>Prostate</v>
      </c>
      <c r="G6599" s="66" t="str">
        <f>IF('Twenty-Seventh'!G102="", "",'Twenty-Seventh'!G102)</f>
        <v>Post Treatment - Curative Intent</v>
      </c>
      <c r="H6599" s="66" t="str">
        <f>IF('Twenty-Seventh'!H102="", "",'Twenty-Seventh'!H102)</f>
        <v/>
      </c>
      <c r="I6599" s="66" t="str">
        <f>IF('Twenty-Seventh'!I102="", "",'Twenty-Seventh'!I102)</f>
        <v>Lecture Series</v>
      </c>
      <c r="J6599" s="66" t="str">
        <f>IF('Twenty-Seventh'!J102="", "",'Twenty-Seventh'!J102)</f>
        <v>Auricular Acupuncture</v>
      </c>
      <c r="K6599" s="86" t="str">
        <f>IF('Twenty-Seventh'!K102="", "",'Twenty-Seventh'!K102)</f>
        <v/>
      </c>
      <c r="M6599" s="67">
        <f t="shared" si="314"/>
        <v>6</v>
      </c>
      <c r="N6599" s="76" t="str">
        <f t="shared" si="315"/>
        <v/>
      </c>
      <c r="O6599" s="33">
        <f t="shared" si="313"/>
        <v>6</v>
      </c>
    </row>
    <row r="6600" spans="1:15" x14ac:dyDescent="0.25">
      <c r="A6600" s="64" t="s">
        <v>211</v>
      </c>
      <c r="B6600" s="79" t="str">
        <f>IF('Twenty-Seventh'!B103="", "",'Twenty-Seventh'!B103)</f>
        <v>Centre Head</v>
      </c>
      <c r="C6600" s="66" t="str">
        <f>IF('Twenty-Seventh'!C103="", "",'Twenty-Seventh'!C103)</f>
        <v>PwC</v>
      </c>
      <c r="D6600" s="66" t="str">
        <f>IF('Twenty-Seventh'!D103="", "",'Twenty-Seventh'!D103)</f>
        <v>Returning</v>
      </c>
      <c r="E6600" s="66" t="str">
        <f>IF('Twenty-Seventh'!E103="", "",'Twenty-Seventh'!E103)</f>
        <v>Male</v>
      </c>
      <c r="F6600" s="66" t="str">
        <f>IF('Twenty-Seventh'!F103="", "",'Twenty-Seventh'!F103)</f>
        <v>Prostate</v>
      </c>
      <c r="G6600" s="66" t="str">
        <f>IF('Twenty-Seventh'!G103="", "",'Twenty-Seventh'!G103)</f>
        <v>Post Treatment - Curative Intent</v>
      </c>
      <c r="H6600" s="66" t="str">
        <f>IF('Twenty-Seventh'!H103="", "",'Twenty-Seventh'!H103)</f>
        <v/>
      </c>
      <c r="I6600" s="66" t="str">
        <f>IF('Twenty-Seventh'!I103="", "",'Twenty-Seventh'!I103)</f>
        <v>Lecture Series</v>
      </c>
      <c r="J6600" s="66" t="str">
        <f>IF('Twenty-Seventh'!J103="", "",'Twenty-Seventh'!J103)</f>
        <v>Auricular Acupuncture</v>
      </c>
      <c r="K6600" s="86" t="str">
        <f>IF('Twenty-Seventh'!K103="", "",'Twenty-Seventh'!K103)</f>
        <v/>
      </c>
      <c r="M6600" s="67">
        <f t="shared" si="314"/>
        <v>6</v>
      </c>
      <c r="N6600" s="76" t="str">
        <f t="shared" si="315"/>
        <v/>
      </c>
      <c r="O6600" s="33">
        <f t="shared" si="313"/>
        <v>6</v>
      </c>
    </row>
    <row r="6601" spans="1:15" x14ac:dyDescent="0.25">
      <c r="A6601" s="64" t="s">
        <v>211</v>
      </c>
      <c r="B6601" s="79" t="str">
        <f>IF('Twenty-Seventh'!B104="", "",'Twenty-Seventh'!B104)</f>
        <v>Centre Head</v>
      </c>
      <c r="C6601" s="66" t="str">
        <f>IF('Twenty-Seventh'!C104="", "",'Twenty-Seventh'!C104)</f>
        <v>PwC</v>
      </c>
      <c r="D6601" s="66" t="str">
        <f>IF('Twenty-Seventh'!D104="", "",'Twenty-Seventh'!D104)</f>
        <v>Returning</v>
      </c>
      <c r="E6601" s="66" t="str">
        <f>IF('Twenty-Seventh'!E104="", "",'Twenty-Seventh'!E104)</f>
        <v>Male</v>
      </c>
      <c r="F6601" s="66" t="str">
        <f>IF('Twenty-Seventh'!F104="", "",'Twenty-Seventh'!F104)</f>
        <v>Prostate</v>
      </c>
      <c r="G6601" s="66" t="str">
        <f>IF('Twenty-Seventh'!G104="", "",'Twenty-Seventh'!G104)</f>
        <v>Post Treatment - Curative Intent</v>
      </c>
      <c r="H6601" s="66" t="str">
        <f>IF('Twenty-Seventh'!H104="", "",'Twenty-Seventh'!H104)</f>
        <v/>
      </c>
      <c r="I6601" s="66" t="str">
        <f>IF('Twenty-Seventh'!I104="", "",'Twenty-Seventh'!I104)</f>
        <v>Lecture Series</v>
      </c>
      <c r="J6601" s="66" t="str">
        <f>IF('Twenty-Seventh'!J104="", "",'Twenty-Seventh'!J104)</f>
        <v>Auricular Acupuncture</v>
      </c>
      <c r="K6601" s="86" t="str">
        <f>IF('Twenty-Seventh'!K104="", "",'Twenty-Seventh'!K104)</f>
        <v/>
      </c>
      <c r="M6601" s="67">
        <f t="shared" si="314"/>
        <v>6</v>
      </c>
      <c r="N6601" s="76" t="str">
        <f t="shared" si="315"/>
        <v/>
      </c>
      <c r="O6601" s="33">
        <f t="shared" si="313"/>
        <v>6</v>
      </c>
    </row>
    <row r="6602" spans="1:15" x14ac:dyDescent="0.25">
      <c r="A6602" s="64" t="s">
        <v>211</v>
      </c>
      <c r="B6602" s="79" t="str">
        <f>IF('Twenty-Seventh'!B105="", "",'Twenty-Seventh'!B105)</f>
        <v>Centre Head</v>
      </c>
      <c r="C6602" s="66" t="str">
        <f>IF('Twenty-Seventh'!C105="", "",'Twenty-Seventh'!C105)</f>
        <v>PwC</v>
      </c>
      <c r="D6602" s="66" t="str">
        <f>IF('Twenty-Seventh'!D105="", "",'Twenty-Seventh'!D105)</f>
        <v>Returning</v>
      </c>
      <c r="E6602" s="66" t="str">
        <f>IF('Twenty-Seventh'!E105="", "",'Twenty-Seventh'!E105)</f>
        <v>Male</v>
      </c>
      <c r="F6602" s="66" t="str">
        <f>IF('Twenty-Seventh'!F105="", "",'Twenty-Seventh'!F105)</f>
        <v>Prostate</v>
      </c>
      <c r="G6602" s="66" t="str">
        <f>IF('Twenty-Seventh'!G105="", "",'Twenty-Seventh'!G105)</f>
        <v>Post Treatment - Curative Intent</v>
      </c>
      <c r="H6602" s="66" t="str">
        <f>IF('Twenty-Seventh'!H105="", "",'Twenty-Seventh'!H105)</f>
        <v/>
      </c>
      <c r="I6602" s="66" t="str">
        <f>IF('Twenty-Seventh'!I105="", "",'Twenty-Seventh'!I105)</f>
        <v>Lecture Series</v>
      </c>
      <c r="J6602" s="66" t="str">
        <f>IF('Twenty-Seventh'!J105="", "",'Twenty-Seventh'!J105)</f>
        <v>Auricular Acupuncture</v>
      </c>
      <c r="K6602" s="86" t="str">
        <f>IF('Twenty-Seventh'!K105="", "",'Twenty-Seventh'!K105)</f>
        <v>Relaxation</v>
      </c>
      <c r="M6602" s="67">
        <f t="shared" si="314"/>
        <v>6</v>
      </c>
      <c r="N6602" s="76" t="str">
        <f t="shared" si="315"/>
        <v/>
      </c>
      <c r="O6602" s="33">
        <f t="shared" ref="O6602:O6665" si="316">SUM(M6602:N6602)</f>
        <v>6</v>
      </c>
    </row>
    <row r="6603" spans="1:15" x14ac:dyDescent="0.25">
      <c r="A6603" s="64" t="s">
        <v>211</v>
      </c>
      <c r="B6603" s="79" t="str">
        <f>IF('Twenty-Seventh'!B106="", "",'Twenty-Seventh'!B106)</f>
        <v>Centre Head</v>
      </c>
      <c r="C6603" s="66" t="str">
        <f>IF('Twenty-Seventh'!C106="", "",'Twenty-Seventh'!C106)</f>
        <v>PwC</v>
      </c>
      <c r="D6603" s="66" t="str">
        <f>IF('Twenty-Seventh'!D106="", "",'Twenty-Seventh'!D106)</f>
        <v>Returning</v>
      </c>
      <c r="E6603" s="66" t="str">
        <f>IF('Twenty-Seventh'!E106="", "",'Twenty-Seventh'!E106)</f>
        <v>Male</v>
      </c>
      <c r="F6603" s="66" t="str">
        <f>IF('Twenty-Seventh'!F106="", "",'Twenty-Seventh'!F106)</f>
        <v>Prostate</v>
      </c>
      <c r="G6603" s="66" t="str">
        <f>IF('Twenty-Seventh'!G106="", "",'Twenty-Seventh'!G106)</f>
        <v>Post Treatment - Curative Intent</v>
      </c>
      <c r="H6603" s="66" t="str">
        <f>IF('Twenty-Seventh'!H106="", "",'Twenty-Seventh'!H106)</f>
        <v/>
      </c>
      <c r="I6603" s="66" t="str">
        <f>IF('Twenty-Seventh'!I106="", "",'Twenty-Seventh'!I106)</f>
        <v>Lecture Series</v>
      </c>
      <c r="J6603" s="66" t="str">
        <f>IF('Twenty-Seventh'!J106="", "",'Twenty-Seventh'!J106)</f>
        <v>Auricular Acupuncture</v>
      </c>
      <c r="K6603" s="86" t="str">
        <f>IF('Twenty-Seventh'!K106="", "",'Twenty-Seventh'!K106)</f>
        <v/>
      </c>
      <c r="M6603" s="67">
        <f t="shared" si="314"/>
        <v>6</v>
      </c>
      <c r="N6603" s="76" t="str">
        <f t="shared" si="315"/>
        <v/>
      </c>
      <c r="O6603" s="33">
        <f t="shared" si="316"/>
        <v>6</v>
      </c>
    </row>
    <row r="6604" spans="1:15" x14ac:dyDescent="0.25">
      <c r="A6604" s="64" t="s">
        <v>211</v>
      </c>
      <c r="B6604" s="79" t="str">
        <f>IF('Twenty-Seventh'!B107="", "",'Twenty-Seventh'!B107)</f>
        <v>Centre Head</v>
      </c>
      <c r="C6604" s="66" t="str">
        <f>IF('Twenty-Seventh'!C107="", "",'Twenty-Seventh'!C107)</f>
        <v>PwC</v>
      </c>
      <c r="D6604" s="66" t="str">
        <f>IF('Twenty-Seventh'!D107="", "",'Twenty-Seventh'!D107)</f>
        <v>Returning</v>
      </c>
      <c r="E6604" s="66" t="str">
        <f>IF('Twenty-Seventh'!E107="", "",'Twenty-Seventh'!E107)</f>
        <v>Male</v>
      </c>
      <c r="F6604" s="66" t="str">
        <f>IF('Twenty-Seventh'!F107="", "",'Twenty-Seventh'!F107)</f>
        <v>Prostate</v>
      </c>
      <c r="G6604" s="66" t="str">
        <f>IF('Twenty-Seventh'!G107="", "",'Twenty-Seventh'!G107)</f>
        <v>Post Treatment - Curative Intent</v>
      </c>
      <c r="H6604" s="66" t="str">
        <f>IF('Twenty-Seventh'!H107="", "",'Twenty-Seventh'!H107)</f>
        <v/>
      </c>
      <c r="I6604" s="66" t="str">
        <f>IF('Twenty-Seventh'!I107="", "",'Twenty-Seventh'!I107)</f>
        <v>Lecture Series</v>
      </c>
      <c r="J6604" s="66" t="str">
        <f>IF('Twenty-Seventh'!J107="", "",'Twenty-Seventh'!J107)</f>
        <v>Auricular Acupuncture</v>
      </c>
      <c r="K6604" s="86" t="str">
        <f>IF('Twenty-Seventh'!K107="", "",'Twenty-Seventh'!K107)</f>
        <v>Relaxation</v>
      </c>
      <c r="M6604" s="67">
        <f t="shared" si="314"/>
        <v>6</v>
      </c>
      <c r="N6604" s="76" t="str">
        <f t="shared" si="315"/>
        <v/>
      </c>
      <c r="O6604" s="33">
        <f t="shared" si="316"/>
        <v>6</v>
      </c>
    </row>
    <row r="6605" spans="1:15" x14ac:dyDescent="0.25">
      <c r="A6605" s="64" t="s">
        <v>211</v>
      </c>
      <c r="B6605" s="79" t="str">
        <f>IF('Twenty-Seventh'!B108="", "",'Twenty-Seventh'!B108)</f>
        <v>Centre Head</v>
      </c>
      <c r="C6605" s="66" t="str">
        <f>IF('Twenty-Seventh'!C108="", "",'Twenty-Seventh'!C108)</f>
        <v>PwC</v>
      </c>
      <c r="D6605" s="66" t="str">
        <f>IF('Twenty-Seventh'!D108="", "",'Twenty-Seventh'!D108)</f>
        <v>Returning</v>
      </c>
      <c r="E6605" s="66" t="str">
        <f>IF('Twenty-Seventh'!E108="", "",'Twenty-Seventh'!E108)</f>
        <v>Male</v>
      </c>
      <c r="F6605" s="66" t="str">
        <f>IF('Twenty-Seventh'!F108="", "",'Twenty-Seventh'!F108)</f>
        <v>Prostate</v>
      </c>
      <c r="G6605" s="66" t="str">
        <f>IF('Twenty-Seventh'!G108="", "",'Twenty-Seventh'!G108)</f>
        <v>Post Treatment - Curative Intent</v>
      </c>
      <c r="H6605" s="66" t="str">
        <f>IF('Twenty-Seventh'!H108="", "",'Twenty-Seventh'!H108)</f>
        <v/>
      </c>
      <c r="I6605" s="66" t="str">
        <f>IF('Twenty-Seventh'!I108="", "",'Twenty-Seventh'!I108)</f>
        <v>Lecture Series</v>
      </c>
      <c r="J6605" s="66" t="str">
        <f>IF('Twenty-Seventh'!J108="", "",'Twenty-Seventh'!J108)</f>
        <v>Auricular Acupuncture</v>
      </c>
      <c r="K6605" s="86" t="str">
        <f>IF('Twenty-Seventh'!K108="", "",'Twenty-Seventh'!K108)</f>
        <v>Relaxation</v>
      </c>
      <c r="M6605" s="67">
        <f t="shared" si="314"/>
        <v>6</v>
      </c>
      <c r="N6605" s="76" t="str">
        <f t="shared" si="315"/>
        <v/>
      </c>
      <c r="O6605" s="33">
        <f t="shared" si="316"/>
        <v>6</v>
      </c>
    </row>
    <row r="6606" spans="1:15" x14ac:dyDescent="0.25">
      <c r="A6606" s="64" t="s">
        <v>211</v>
      </c>
      <c r="B6606" s="79" t="str">
        <f>IF('Twenty-Seventh'!B109="", "",'Twenty-Seventh'!B109)</f>
        <v>Centre Head</v>
      </c>
      <c r="C6606" s="66" t="str">
        <f>IF('Twenty-Seventh'!C109="", "",'Twenty-Seventh'!C109)</f>
        <v>PwC</v>
      </c>
      <c r="D6606" s="66" t="str">
        <f>IF('Twenty-Seventh'!D109="", "",'Twenty-Seventh'!D109)</f>
        <v>Returning</v>
      </c>
      <c r="E6606" s="66" t="str">
        <f>IF('Twenty-Seventh'!E109="", "",'Twenty-Seventh'!E109)</f>
        <v>Male</v>
      </c>
      <c r="F6606" s="66" t="str">
        <f>IF('Twenty-Seventh'!F109="", "",'Twenty-Seventh'!F109)</f>
        <v>Prostate</v>
      </c>
      <c r="G6606" s="66" t="str">
        <f>IF('Twenty-Seventh'!G109="", "",'Twenty-Seventh'!G109)</f>
        <v>Post Treatment - Curative Intent</v>
      </c>
      <c r="H6606" s="66" t="str">
        <f>IF('Twenty-Seventh'!H109="", "",'Twenty-Seventh'!H109)</f>
        <v/>
      </c>
      <c r="I6606" s="66" t="str">
        <f>IF('Twenty-Seventh'!I109="", "",'Twenty-Seventh'!I109)</f>
        <v>Lecture Series</v>
      </c>
      <c r="J6606" s="66" t="str">
        <f>IF('Twenty-Seventh'!J109="", "",'Twenty-Seventh'!J109)</f>
        <v>Auricular Acupuncture</v>
      </c>
      <c r="K6606" s="86" t="str">
        <f>IF('Twenty-Seventh'!K109="", "",'Twenty-Seventh'!K109)</f>
        <v>Relaxation</v>
      </c>
      <c r="M6606" s="67">
        <f t="shared" si="314"/>
        <v>6</v>
      </c>
      <c r="N6606" s="76" t="str">
        <f t="shared" si="315"/>
        <v/>
      </c>
      <c r="O6606" s="33">
        <f t="shared" si="316"/>
        <v>6</v>
      </c>
    </row>
    <row r="6607" spans="1:15" x14ac:dyDescent="0.25">
      <c r="A6607" s="64" t="s">
        <v>211</v>
      </c>
      <c r="B6607" s="79" t="str">
        <f>IF('Twenty-Seventh'!B110="", "",'Twenty-Seventh'!B110)</f>
        <v>Centre Head</v>
      </c>
      <c r="C6607" s="66" t="str">
        <f>IF('Twenty-Seventh'!C110="", "",'Twenty-Seventh'!C110)</f>
        <v>PwC</v>
      </c>
      <c r="D6607" s="66" t="str">
        <f>IF('Twenty-Seventh'!D110="", "",'Twenty-Seventh'!D110)</f>
        <v>Returning</v>
      </c>
      <c r="E6607" s="66" t="str">
        <f>IF('Twenty-Seventh'!E110="", "",'Twenty-Seventh'!E110)</f>
        <v>Male</v>
      </c>
      <c r="F6607" s="66" t="str">
        <f>IF('Twenty-Seventh'!F110="", "",'Twenty-Seventh'!F110)</f>
        <v>Prostate</v>
      </c>
      <c r="G6607" s="66" t="str">
        <f>IF('Twenty-Seventh'!G110="", "",'Twenty-Seventh'!G110)</f>
        <v>Post Treatment - Curative Intent</v>
      </c>
      <c r="H6607" s="66" t="str">
        <f>IF('Twenty-Seventh'!H110="", "",'Twenty-Seventh'!H110)</f>
        <v/>
      </c>
      <c r="I6607" s="66" t="str">
        <f>IF('Twenty-Seventh'!I110="", "",'Twenty-Seventh'!I110)</f>
        <v>Lecture Series</v>
      </c>
      <c r="J6607" s="66" t="str">
        <f>IF('Twenty-Seventh'!J110="", "",'Twenty-Seventh'!J110)</f>
        <v>Auricular Acupuncture</v>
      </c>
      <c r="K6607" s="86" t="str">
        <f>IF('Twenty-Seventh'!K110="", "",'Twenty-Seventh'!K110)</f>
        <v>Relaxation</v>
      </c>
      <c r="M6607" s="67">
        <f t="shared" si="314"/>
        <v>6</v>
      </c>
      <c r="N6607" s="76" t="str">
        <f t="shared" si="315"/>
        <v/>
      </c>
      <c r="O6607" s="33">
        <f t="shared" si="316"/>
        <v>6</v>
      </c>
    </row>
    <row r="6608" spans="1:15" x14ac:dyDescent="0.25">
      <c r="A6608" s="64" t="s">
        <v>211</v>
      </c>
      <c r="B6608" s="79" t="str">
        <f>IF('Twenty-Seventh'!B111="", "",'Twenty-Seventh'!B111)</f>
        <v>Centre Head</v>
      </c>
      <c r="C6608" s="66" t="str">
        <f>IF('Twenty-Seventh'!C111="", "",'Twenty-Seventh'!C111)</f>
        <v>PwC</v>
      </c>
      <c r="D6608" s="66" t="str">
        <f>IF('Twenty-Seventh'!D111="", "",'Twenty-Seventh'!D111)</f>
        <v>Returning</v>
      </c>
      <c r="E6608" s="66" t="str">
        <f>IF('Twenty-Seventh'!E111="", "",'Twenty-Seventh'!E111)</f>
        <v>Male</v>
      </c>
      <c r="F6608" s="66" t="str">
        <f>IF('Twenty-Seventh'!F111="", "",'Twenty-Seventh'!F111)</f>
        <v>Prostate</v>
      </c>
      <c r="G6608" s="66" t="str">
        <f>IF('Twenty-Seventh'!G111="", "",'Twenty-Seventh'!G111)</f>
        <v>Post Treatment - Curative Intent</v>
      </c>
      <c r="H6608" s="66" t="str">
        <f>IF('Twenty-Seventh'!H111="", "",'Twenty-Seventh'!H111)</f>
        <v/>
      </c>
      <c r="I6608" s="66" t="str">
        <f>IF('Twenty-Seventh'!I111="", "",'Twenty-Seventh'!I111)</f>
        <v>Lecture Series</v>
      </c>
      <c r="J6608" s="66" t="str">
        <f>IF('Twenty-Seventh'!J111="", "",'Twenty-Seventh'!J111)</f>
        <v>Auricular Acupuncture</v>
      </c>
      <c r="K6608" s="86" t="str">
        <f>IF('Twenty-Seventh'!K111="", "",'Twenty-Seventh'!K111)</f>
        <v>Relaxation</v>
      </c>
      <c r="M6608" s="67">
        <f t="shared" si="314"/>
        <v>6</v>
      </c>
      <c r="N6608" s="76" t="str">
        <f t="shared" si="315"/>
        <v/>
      </c>
      <c r="O6608" s="33">
        <f t="shared" si="316"/>
        <v>6</v>
      </c>
    </row>
    <row r="6609" spans="1:15" x14ac:dyDescent="0.25">
      <c r="A6609" s="64" t="s">
        <v>211</v>
      </c>
      <c r="B6609" s="79" t="str">
        <f>IF('Twenty-Seventh'!B112="", "",'Twenty-Seventh'!B112)</f>
        <v>Centre Head</v>
      </c>
      <c r="C6609" s="66" t="str">
        <f>IF('Twenty-Seventh'!C112="", "",'Twenty-Seventh'!C112)</f>
        <v>PwC</v>
      </c>
      <c r="D6609" s="66" t="str">
        <f>IF('Twenty-Seventh'!D112="", "",'Twenty-Seventh'!D112)</f>
        <v>Returning</v>
      </c>
      <c r="E6609" s="66" t="str">
        <f>IF('Twenty-Seventh'!E112="", "",'Twenty-Seventh'!E112)</f>
        <v>Male</v>
      </c>
      <c r="F6609" s="66" t="str">
        <f>IF('Twenty-Seventh'!F112="", "",'Twenty-Seventh'!F112)</f>
        <v>Prostate</v>
      </c>
      <c r="G6609" s="66" t="str">
        <f>IF('Twenty-Seventh'!G112="", "",'Twenty-Seventh'!G112)</f>
        <v>Post Treatment - Curative Intent</v>
      </c>
      <c r="H6609" s="66" t="str">
        <f>IF('Twenty-Seventh'!H112="", "",'Twenty-Seventh'!H112)</f>
        <v/>
      </c>
      <c r="I6609" s="66" t="str">
        <f>IF('Twenty-Seventh'!I112="", "",'Twenty-Seventh'!I112)</f>
        <v>Lecture Series</v>
      </c>
      <c r="J6609" s="66" t="str">
        <f>IF('Twenty-Seventh'!J112="", "",'Twenty-Seventh'!J112)</f>
        <v>Auricular Acupuncture</v>
      </c>
      <c r="K6609" s="86" t="str">
        <f>IF('Twenty-Seventh'!K112="", "",'Twenty-Seventh'!K112)</f>
        <v>Relaxation</v>
      </c>
      <c r="M6609" s="67">
        <f t="shared" si="314"/>
        <v>6</v>
      </c>
      <c r="N6609" s="76" t="str">
        <f t="shared" si="315"/>
        <v/>
      </c>
      <c r="O6609" s="33">
        <f t="shared" si="316"/>
        <v>6</v>
      </c>
    </row>
    <row r="6610" spans="1:15" x14ac:dyDescent="0.25">
      <c r="A6610" s="64" t="s">
        <v>211</v>
      </c>
      <c r="B6610" s="79" t="str">
        <f>IF('Twenty-Seventh'!B113="", "",'Twenty-Seventh'!B113)</f>
        <v>Centre Head</v>
      </c>
      <c r="C6610" s="66" t="str">
        <f>IF('Twenty-Seventh'!C113="", "",'Twenty-Seventh'!C113)</f>
        <v>PwC</v>
      </c>
      <c r="D6610" s="66" t="str">
        <f>IF('Twenty-Seventh'!D113="", "",'Twenty-Seventh'!D113)</f>
        <v>Returning</v>
      </c>
      <c r="E6610" s="66" t="str">
        <f>IF('Twenty-Seventh'!E113="", "",'Twenty-Seventh'!E113)</f>
        <v>Male</v>
      </c>
      <c r="F6610" s="66" t="str">
        <f>IF('Twenty-Seventh'!F113="", "",'Twenty-Seventh'!F113)</f>
        <v>Prostate</v>
      </c>
      <c r="G6610" s="66" t="str">
        <f>IF('Twenty-Seventh'!G113="", "",'Twenty-Seventh'!G113)</f>
        <v>Post Treatment - Curative Intent</v>
      </c>
      <c r="H6610" s="66" t="str">
        <f>IF('Twenty-Seventh'!H113="", "",'Twenty-Seventh'!H113)</f>
        <v/>
      </c>
      <c r="I6610" s="66" t="str">
        <f>IF('Twenty-Seventh'!I113="", "",'Twenty-Seventh'!I113)</f>
        <v>Lecture Series</v>
      </c>
      <c r="J6610" s="66" t="str">
        <f>IF('Twenty-Seventh'!J113="", "",'Twenty-Seventh'!J113)</f>
        <v>Auricular Acupuncture</v>
      </c>
      <c r="K6610" s="86" t="str">
        <f>IF('Twenty-Seventh'!K113="", "",'Twenty-Seventh'!K113)</f>
        <v>Relaxation</v>
      </c>
      <c r="M6610" s="67">
        <f t="shared" si="314"/>
        <v>6</v>
      </c>
      <c r="N6610" s="76" t="str">
        <f t="shared" si="315"/>
        <v/>
      </c>
      <c r="O6610" s="33">
        <f t="shared" si="316"/>
        <v>6</v>
      </c>
    </row>
    <row r="6611" spans="1:15" x14ac:dyDescent="0.25">
      <c r="A6611" s="64" t="s">
        <v>211</v>
      </c>
      <c r="B6611" s="79" t="str">
        <f>IF('Twenty-Seventh'!B114="", "",'Twenty-Seventh'!B114)</f>
        <v>Centre Head</v>
      </c>
      <c r="C6611" s="66" t="str">
        <f>IF('Twenty-Seventh'!C114="", "",'Twenty-Seventh'!C114)</f>
        <v>PwC</v>
      </c>
      <c r="D6611" s="66" t="str">
        <f>IF('Twenty-Seventh'!D114="", "",'Twenty-Seventh'!D114)</f>
        <v>Returning</v>
      </c>
      <c r="E6611" s="66" t="str">
        <f>IF('Twenty-Seventh'!E114="", "",'Twenty-Seventh'!E114)</f>
        <v>Male</v>
      </c>
      <c r="F6611" s="66" t="str">
        <f>IF('Twenty-Seventh'!F114="", "",'Twenty-Seventh'!F114)</f>
        <v>Prostate</v>
      </c>
      <c r="G6611" s="66" t="str">
        <f>IF('Twenty-Seventh'!G114="", "",'Twenty-Seventh'!G114)</f>
        <v>Post Treatment - Curative Intent</v>
      </c>
      <c r="H6611" s="66" t="str">
        <f>IF('Twenty-Seventh'!H114="", "",'Twenty-Seventh'!H114)</f>
        <v/>
      </c>
      <c r="I6611" s="66" t="str">
        <f>IF('Twenty-Seventh'!I114="", "",'Twenty-Seventh'!I114)</f>
        <v>Lecture Series</v>
      </c>
      <c r="J6611" s="66" t="str">
        <f>IF('Twenty-Seventh'!J114="", "",'Twenty-Seventh'!J114)</f>
        <v>Auricular Acupuncture</v>
      </c>
      <c r="K6611" s="86" t="str">
        <f>IF('Twenty-Seventh'!K114="", "",'Twenty-Seventh'!K114)</f>
        <v>Relaxation</v>
      </c>
      <c r="M6611" s="67">
        <f t="shared" si="314"/>
        <v>6</v>
      </c>
      <c r="N6611" s="76" t="str">
        <f t="shared" si="315"/>
        <v/>
      </c>
      <c r="O6611" s="33">
        <f t="shared" si="316"/>
        <v>6</v>
      </c>
    </row>
    <row r="6612" spans="1:15" x14ac:dyDescent="0.25">
      <c r="A6612" s="64" t="s">
        <v>211</v>
      </c>
      <c r="B6612" s="79" t="str">
        <f>IF('Twenty-Seventh'!B115="", "",'Twenty-Seventh'!B115)</f>
        <v>Centre Head</v>
      </c>
      <c r="C6612" s="66" t="str">
        <f>IF('Twenty-Seventh'!C115="", "",'Twenty-Seventh'!C115)</f>
        <v>PwC</v>
      </c>
      <c r="D6612" s="66" t="str">
        <f>IF('Twenty-Seventh'!D115="", "",'Twenty-Seventh'!D115)</f>
        <v>Returning</v>
      </c>
      <c r="E6612" s="66" t="str">
        <f>IF('Twenty-Seventh'!E115="", "",'Twenty-Seventh'!E115)</f>
        <v>Male</v>
      </c>
      <c r="F6612" s="66" t="str">
        <f>IF('Twenty-Seventh'!F115="", "",'Twenty-Seventh'!F115)</f>
        <v>Prostate</v>
      </c>
      <c r="G6612" s="66" t="str">
        <f>IF('Twenty-Seventh'!G115="", "",'Twenty-Seventh'!G115)</f>
        <v>Post Treatment - Curative Intent</v>
      </c>
      <c r="H6612" s="66" t="str">
        <f>IF('Twenty-Seventh'!H115="", "",'Twenty-Seventh'!H115)</f>
        <v/>
      </c>
      <c r="I6612" s="66" t="str">
        <f>IF('Twenty-Seventh'!I115="", "",'Twenty-Seventh'!I115)</f>
        <v>Lecture Series</v>
      </c>
      <c r="J6612" s="66" t="str">
        <f>IF('Twenty-Seventh'!J115="", "",'Twenty-Seventh'!J115)</f>
        <v>Auricular Acupuncture</v>
      </c>
      <c r="K6612" s="86" t="str">
        <f>IF('Twenty-Seventh'!K115="", "",'Twenty-Seventh'!K115)</f>
        <v>Relaxation</v>
      </c>
      <c r="M6612" s="67">
        <f t="shared" si="314"/>
        <v>6</v>
      </c>
      <c r="N6612" s="76" t="str">
        <f t="shared" si="315"/>
        <v/>
      </c>
      <c r="O6612" s="33">
        <f t="shared" si="316"/>
        <v>6</v>
      </c>
    </row>
    <row r="6613" spans="1:15" x14ac:dyDescent="0.25">
      <c r="A6613" s="64" t="s">
        <v>211</v>
      </c>
      <c r="B6613" s="79" t="str">
        <f>IF('Twenty-Seventh'!B116="", "",'Twenty-Seventh'!B116)</f>
        <v>Centre Head</v>
      </c>
      <c r="C6613" s="66" t="str">
        <f>IF('Twenty-Seventh'!C116="", "",'Twenty-Seventh'!C116)</f>
        <v>PwC</v>
      </c>
      <c r="D6613" s="66" t="str">
        <f>IF('Twenty-Seventh'!D116="", "",'Twenty-Seventh'!D116)</f>
        <v>Returning</v>
      </c>
      <c r="E6613" s="66" t="str">
        <f>IF('Twenty-Seventh'!E116="", "",'Twenty-Seventh'!E116)</f>
        <v>Male</v>
      </c>
      <c r="F6613" s="66" t="str">
        <f>IF('Twenty-Seventh'!F116="", "",'Twenty-Seventh'!F116)</f>
        <v>Prostate</v>
      </c>
      <c r="G6613" s="66" t="str">
        <f>IF('Twenty-Seventh'!G116="", "",'Twenty-Seventh'!G116)</f>
        <v>Post Treatment - Curative Intent</v>
      </c>
      <c r="H6613" s="66" t="str">
        <f>IF('Twenty-Seventh'!H116="", "",'Twenty-Seventh'!H116)</f>
        <v/>
      </c>
      <c r="I6613" s="66" t="str">
        <f>IF('Twenty-Seventh'!I116="", "",'Twenty-Seventh'!I116)</f>
        <v>Lecture Series</v>
      </c>
      <c r="J6613" s="66" t="str">
        <f>IF('Twenty-Seventh'!J116="", "",'Twenty-Seventh'!J116)</f>
        <v>Auricular Acupuncture</v>
      </c>
      <c r="K6613" s="86" t="str">
        <f>IF('Twenty-Seventh'!K116="", "",'Twenty-Seventh'!K116)</f>
        <v>Relaxation</v>
      </c>
      <c r="M6613" s="67">
        <f t="shared" si="314"/>
        <v>6</v>
      </c>
      <c r="N6613" s="76" t="str">
        <f t="shared" si="315"/>
        <v/>
      </c>
      <c r="O6613" s="33">
        <f t="shared" si="316"/>
        <v>6</v>
      </c>
    </row>
    <row r="6614" spans="1:15" x14ac:dyDescent="0.25">
      <c r="A6614" s="64" t="s">
        <v>211</v>
      </c>
      <c r="B6614" s="79" t="str">
        <f>IF('Twenty-Seventh'!B117="", "",'Twenty-Seventh'!B117)</f>
        <v>Centre Head</v>
      </c>
      <c r="C6614" s="66" t="str">
        <f>IF('Twenty-Seventh'!C117="", "",'Twenty-Seventh'!C117)</f>
        <v>PwC</v>
      </c>
      <c r="D6614" s="66" t="str">
        <f>IF('Twenty-Seventh'!D117="", "",'Twenty-Seventh'!D117)</f>
        <v>Returning</v>
      </c>
      <c r="E6614" s="66" t="str">
        <f>IF('Twenty-Seventh'!E117="", "",'Twenty-Seventh'!E117)</f>
        <v>Male</v>
      </c>
      <c r="F6614" s="66" t="str">
        <f>IF('Twenty-Seventh'!F117="", "",'Twenty-Seventh'!F117)</f>
        <v>Prostate</v>
      </c>
      <c r="G6614" s="66" t="str">
        <f>IF('Twenty-Seventh'!G117="", "",'Twenty-Seventh'!G117)</f>
        <v>Post Treatment - Curative Intent</v>
      </c>
      <c r="H6614" s="66" t="str">
        <f>IF('Twenty-Seventh'!H117="", "",'Twenty-Seventh'!H117)</f>
        <v/>
      </c>
      <c r="I6614" s="66" t="str">
        <f>IF('Twenty-Seventh'!I117="", "",'Twenty-Seventh'!I117)</f>
        <v>Lecture Series</v>
      </c>
      <c r="J6614" s="66" t="str">
        <f>IF('Twenty-Seventh'!J117="", "",'Twenty-Seventh'!J117)</f>
        <v>Auricular Acupuncture</v>
      </c>
      <c r="K6614" s="86" t="str">
        <f>IF('Twenty-Seventh'!K117="", "",'Twenty-Seventh'!K117)</f>
        <v>Relaxation</v>
      </c>
      <c r="M6614" s="67">
        <f t="shared" si="314"/>
        <v>6</v>
      </c>
      <c r="N6614" s="76" t="str">
        <f t="shared" si="315"/>
        <v/>
      </c>
      <c r="O6614" s="33">
        <f t="shared" si="316"/>
        <v>6</v>
      </c>
    </row>
    <row r="6615" spans="1:15" x14ac:dyDescent="0.25">
      <c r="A6615" s="64" t="s">
        <v>211</v>
      </c>
      <c r="B6615" s="79" t="str">
        <f>IF('Twenty-Seventh'!B118="", "",'Twenty-Seventh'!B118)</f>
        <v>Centre Head</v>
      </c>
      <c r="C6615" s="66" t="str">
        <f>IF('Twenty-Seventh'!C118="", "",'Twenty-Seventh'!C118)</f>
        <v>PwC</v>
      </c>
      <c r="D6615" s="66" t="str">
        <f>IF('Twenty-Seventh'!D118="", "",'Twenty-Seventh'!D118)</f>
        <v>Returning</v>
      </c>
      <c r="E6615" s="66" t="str">
        <f>IF('Twenty-Seventh'!E118="", "",'Twenty-Seventh'!E118)</f>
        <v>Male</v>
      </c>
      <c r="F6615" s="66" t="str">
        <f>IF('Twenty-Seventh'!F118="", "",'Twenty-Seventh'!F118)</f>
        <v>Prostate</v>
      </c>
      <c r="G6615" s="66" t="str">
        <f>IF('Twenty-Seventh'!G118="", "",'Twenty-Seventh'!G118)</f>
        <v>Post Treatment - Curative Intent</v>
      </c>
      <c r="H6615" s="66" t="str">
        <f>IF('Twenty-Seventh'!H118="", "",'Twenty-Seventh'!H118)</f>
        <v/>
      </c>
      <c r="I6615" s="66" t="str">
        <f>IF('Twenty-Seventh'!I118="", "",'Twenty-Seventh'!I118)</f>
        <v>Lecture Series</v>
      </c>
      <c r="J6615" s="66" t="str">
        <f>IF('Twenty-Seventh'!J118="", "",'Twenty-Seventh'!J118)</f>
        <v>Auricular Acupuncture</v>
      </c>
      <c r="K6615" s="86" t="str">
        <f>IF('Twenty-Seventh'!K118="", "",'Twenty-Seventh'!K118)</f>
        <v>Relaxation</v>
      </c>
      <c r="M6615" s="67">
        <f t="shared" si="314"/>
        <v>6</v>
      </c>
      <c r="N6615" s="76" t="str">
        <f t="shared" si="315"/>
        <v/>
      </c>
      <c r="O6615" s="33">
        <f t="shared" si="316"/>
        <v>6</v>
      </c>
    </row>
    <row r="6616" spans="1:15" x14ac:dyDescent="0.25">
      <c r="A6616" s="64" t="s">
        <v>211</v>
      </c>
      <c r="B6616" s="79" t="str">
        <f>IF('Twenty-Seventh'!B119="", "",'Twenty-Seventh'!B119)</f>
        <v>Centre Head</v>
      </c>
      <c r="C6616" s="66" t="str">
        <f>IF('Twenty-Seventh'!C119="", "",'Twenty-Seventh'!C119)</f>
        <v>PwC</v>
      </c>
      <c r="D6616" s="66" t="str">
        <f>IF('Twenty-Seventh'!D119="", "",'Twenty-Seventh'!D119)</f>
        <v>Returning</v>
      </c>
      <c r="E6616" s="66" t="str">
        <f>IF('Twenty-Seventh'!E119="", "",'Twenty-Seventh'!E119)</f>
        <v>Male</v>
      </c>
      <c r="F6616" s="66" t="str">
        <f>IF('Twenty-Seventh'!F119="", "",'Twenty-Seventh'!F119)</f>
        <v>Prostate</v>
      </c>
      <c r="G6616" s="66" t="str">
        <f>IF('Twenty-Seventh'!G119="", "",'Twenty-Seventh'!G119)</f>
        <v>Post Treatment - Curative Intent</v>
      </c>
      <c r="H6616" s="66" t="str">
        <f>IF('Twenty-Seventh'!H119="", "",'Twenty-Seventh'!H119)</f>
        <v/>
      </c>
      <c r="I6616" s="66" t="str">
        <f>IF('Twenty-Seventh'!I119="", "",'Twenty-Seventh'!I119)</f>
        <v>Lecture Series</v>
      </c>
      <c r="J6616" s="66" t="str">
        <f>IF('Twenty-Seventh'!J119="", "",'Twenty-Seventh'!J119)</f>
        <v>Auricular Acupuncture</v>
      </c>
      <c r="K6616" s="86" t="str">
        <f>IF('Twenty-Seventh'!K119="", "",'Twenty-Seventh'!K119)</f>
        <v>Relaxation</v>
      </c>
      <c r="M6616" s="67">
        <f t="shared" si="314"/>
        <v>6</v>
      </c>
      <c r="N6616" s="76" t="str">
        <f t="shared" si="315"/>
        <v/>
      </c>
      <c r="O6616" s="33">
        <f t="shared" si="316"/>
        <v>6</v>
      </c>
    </row>
    <row r="6617" spans="1:15" x14ac:dyDescent="0.25">
      <c r="A6617" s="64" t="s">
        <v>211</v>
      </c>
      <c r="B6617" s="79" t="str">
        <f>IF('Twenty-Seventh'!B120="", "",'Twenty-Seventh'!B120)</f>
        <v>Centre Head</v>
      </c>
      <c r="C6617" s="66" t="str">
        <f>IF('Twenty-Seventh'!C120="", "",'Twenty-Seventh'!C120)</f>
        <v>PwC</v>
      </c>
      <c r="D6617" s="66" t="str">
        <f>IF('Twenty-Seventh'!D120="", "",'Twenty-Seventh'!D120)</f>
        <v>Returning</v>
      </c>
      <c r="E6617" s="66" t="str">
        <f>IF('Twenty-Seventh'!E120="", "",'Twenty-Seventh'!E120)</f>
        <v>Male</v>
      </c>
      <c r="F6617" s="66" t="str">
        <f>IF('Twenty-Seventh'!F120="", "",'Twenty-Seventh'!F120)</f>
        <v>Prostate</v>
      </c>
      <c r="G6617" s="66" t="str">
        <f>IF('Twenty-Seventh'!G120="", "",'Twenty-Seventh'!G120)</f>
        <v>Post Treatment - Curative Intent</v>
      </c>
      <c r="H6617" s="66" t="str">
        <f>IF('Twenty-Seventh'!H120="", "",'Twenty-Seventh'!H120)</f>
        <v/>
      </c>
      <c r="I6617" s="66" t="str">
        <f>IF('Twenty-Seventh'!I120="", "",'Twenty-Seventh'!I120)</f>
        <v>Lecture Series</v>
      </c>
      <c r="J6617" s="66" t="str">
        <f>IF('Twenty-Seventh'!J120="", "",'Twenty-Seventh'!J120)</f>
        <v>Auricular Acupuncture</v>
      </c>
      <c r="K6617" s="86" t="str">
        <f>IF('Twenty-Seventh'!K120="", "",'Twenty-Seventh'!K120)</f>
        <v>Relaxation</v>
      </c>
      <c r="M6617" s="67">
        <f t="shared" si="314"/>
        <v>6</v>
      </c>
      <c r="N6617" s="76" t="str">
        <f t="shared" si="315"/>
        <v/>
      </c>
      <c r="O6617" s="33">
        <f t="shared" si="316"/>
        <v>6</v>
      </c>
    </row>
    <row r="6618" spans="1:15" x14ac:dyDescent="0.25">
      <c r="A6618" s="64" t="s">
        <v>211</v>
      </c>
      <c r="B6618" s="79" t="str">
        <f>IF('Twenty-Seventh'!B121="", "",'Twenty-Seventh'!B121)</f>
        <v>Centre Head</v>
      </c>
      <c r="C6618" s="66" t="str">
        <f>IF('Twenty-Seventh'!C121="", "",'Twenty-Seventh'!C121)</f>
        <v>PwC</v>
      </c>
      <c r="D6618" s="66" t="str">
        <f>IF('Twenty-Seventh'!D121="", "",'Twenty-Seventh'!D121)</f>
        <v>Returning</v>
      </c>
      <c r="E6618" s="66" t="str">
        <f>IF('Twenty-Seventh'!E121="", "",'Twenty-Seventh'!E121)</f>
        <v>Male</v>
      </c>
      <c r="F6618" s="66" t="str">
        <f>IF('Twenty-Seventh'!F121="", "",'Twenty-Seventh'!F121)</f>
        <v>Prostate</v>
      </c>
      <c r="G6618" s="66" t="str">
        <f>IF('Twenty-Seventh'!G121="", "",'Twenty-Seventh'!G121)</f>
        <v>Post Treatment - Curative Intent</v>
      </c>
      <c r="H6618" s="66" t="str">
        <f>IF('Twenty-Seventh'!H121="", "",'Twenty-Seventh'!H121)</f>
        <v/>
      </c>
      <c r="I6618" s="66" t="str">
        <f>IF('Twenty-Seventh'!I121="", "",'Twenty-Seventh'!I121)</f>
        <v>Lecture Series</v>
      </c>
      <c r="J6618" s="66" t="str">
        <f>IF('Twenty-Seventh'!J121="", "",'Twenty-Seventh'!J121)</f>
        <v>Auricular Acupuncture</v>
      </c>
      <c r="K6618" s="86" t="str">
        <f>IF('Twenty-Seventh'!K121="", "",'Twenty-Seventh'!K121)</f>
        <v>Relaxation</v>
      </c>
      <c r="M6618" s="67">
        <f t="shared" si="314"/>
        <v>6</v>
      </c>
      <c r="N6618" s="76" t="str">
        <f t="shared" si="315"/>
        <v/>
      </c>
      <c r="O6618" s="33">
        <f t="shared" si="316"/>
        <v>6</v>
      </c>
    </row>
    <row r="6619" spans="1:15" x14ac:dyDescent="0.25">
      <c r="A6619" s="64" t="s">
        <v>211</v>
      </c>
      <c r="B6619" s="79" t="str">
        <f>IF('Twenty-Seventh'!B122="", "",'Twenty-Seventh'!B122)</f>
        <v>Centre Head</v>
      </c>
      <c r="C6619" s="66" t="str">
        <f>IF('Twenty-Seventh'!C122="", "",'Twenty-Seventh'!C122)</f>
        <v>PwC</v>
      </c>
      <c r="D6619" s="66" t="str">
        <f>IF('Twenty-Seventh'!D122="", "",'Twenty-Seventh'!D122)</f>
        <v>Returning</v>
      </c>
      <c r="E6619" s="66" t="str">
        <f>IF('Twenty-Seventh'!E122="", "",'Twenty-Seventh'!E122)</f>
        <v>Male</v>
      </c>
      <c r="F6619" s="66" t="str">
        <f>IF('Twenty-Seventh'!F122="", "",'Twenty-Seventh'!F122)</f>
        <v>Prostate</v>
      </c>
      <c r="G6619" s="66" t="str">
        <f>IF('Twenty-Seventh'!G122="", "",'Twenty-Seventh'!G122)</f>
        <v>Post Treatment - Curative Intent</v>
      </c>
      <c r="H6619" s="66" t="str">
        <f>IF('Twenty-Seventh'!H122="", "",'Twenty-Seventh'!H122)</f>
        <v/>
      </c>
      <c r="I6619" s="66" t="str">
        <f>IF('Twenty-Seventh'!I122="", "",'Twenty-Seventh'!I122)</f>
        <v>Lecture Series</v>
      </c>
      <c r="J6619" s="66" t="str">
        <f>IF('Twenty-Seventh'!J122="", "",'Twenty-Seventh'!J122)</f>
        <v>Auricular Acupuncture</v>
      </c>
      <c r="K6619" s="86" t="str">
        <f>IF('Twenty-Seventh'!K122="", "",'Twenty-Seventh'!K122)</f>
        <v>Relaxation</v>
      </c>
      <c r="M6619" s="67">
        <f t="shared" si="314"/>
        <v>6</v>
      </c>
      <c r="N6619" s="76" t="str">
        <f t="shared" si="315"/>
        <v/>
      </c>
      <c r="O6619" s="33">
        <f t="shared" si="316"/>
        <v>6</v>
      </c>
    </row>
    <row r="6620" spans="1:15" x14ac:dyDescent="0.25">
      <c r="A6620" s="64" t="s">
        <v>211</v>
      </c>
      <c r="B6620" s="79" t="str">
        <f>IF('Twenty-Seventh'!B123="", "",'Twenty-Seventh'!B123)</f>
        <v>Centre Head</v>
      </c>
      <c r="C6620" s="66" t="str">
        <f>IF('Twenty-Seventh'!C123="", "",'Twenty-Seventh'!C123)</f>
        <v>PwC</v>
      </c>
      <c r="D6620" s="66" t="str">
        <f>IF('Twenty-Seventh'!D123="", "",'Twenty-Seventh'!D123)</f>
        <v>Returning</v>
      </c>
      <c r="E6620" s="66" t="str">
        <f>IF('Twenty-Seventh'!E123="", "",'Twenty-Seventh'!E123)</f>
        <v>Male</v>
      </c>
      <c r="F6620" s="66" t="str">
        <f>IF('Twenty-Seventh'!F123="", "",'Twenty-Seventh'!F123)</f>
        <v>Prostate</v>
      </c>
      <c r="G6620" s="66" t="str">
        <f>IF('Twenty-Seventh'!G123="", "",'Twenty-Seventh'!G123)</f>
        <v>Post Treatment - Curative Intent</v>
      </c>
      <c r="H6620" s="66" t="str">
        <f>IF('Twenty-Seventh'!H123="", "",'Twenty-Seventh'!H123)</f>
        <v/>
      </c>
      <c r="I6620" s="66" t="str">
        <f>IF('Twenty-Seventh'!I123="", "",'Twenty-Seventh'!I123)</f>
        <v>Lecture Series</v>
      </c>
      <c r="J6620" s="66" t="str">
        <f>IF('Twenty-Seventh'!J123="", "",'Twenty-Seventh'!J123)</f>
        <v>Auricular Acupuncture</v>
      </c>
      <c r="K6620" s="86" t="str">
        <f>IF('Twenty-Seventh'!K123="", "",'Twenty-Seventh'!K123)</f>
        <v>Relaxation</v>
      </c>
      <c r="M6620" s="67">
        <f t="shared" si="314"/>
        <v>6</v>
      </c>
      <c r="N6620" s="76" t="str">
        <f t="shared" si="315"/>
        <v/>
      </c>
      <c r="O6620" s="33">
        <f t="shared" si="316"/>
        <v>6</v>
      </c>
    </row>
    <row r="6621" spans="1:15" x14ac:dyDescent="0.25">
      <c r="A6621" s="64" t="s">
        <v>211</v>
      </c>
      <c r="B6621" s="79" t="str">
        <f>IF('Twenty-Seventh'!B124="", "",'Twenty-Seventh'!B124)</f>
        <v>Centre Head</v>
      </c>
      <c r="C6621" s="66" t="str">
        <f>IF('Twenty-Seventh'!C124="", "",'Twenty-Seventh'!C124)</f>
        <v>PwC</v>
      </c>
      <c r="D6621" s="66" t="str">
        <f>IF('Twenty-Seventh'!D124="", "",'Twenty-Seventh'!D124)</f>
        <v>Returning</v>
      </c>
      <c r="E6621" s="66" t="str">
        <f>IF('Twenty-Seventh'!E124="", "",'Twenty-Seventh'!E124)</f>
        <v>Male</v>
      </c>
      <c r="F6621" s="66" t="str">
        <f>IF('Twenty-Seventh'!F124="", "",'Twenty-Seventh'!F124)</f>
        <v>Prostate</v>
      </c>
      <c r="G6621" s="66" t="str">
        <f>IF('Twenty-Seventh'!G124="", "",'Twenty-Seventh'!G124)</f>
        <v>Post Treatment - Curative Intent</v>
      </c>
      <c r="H6621" s="66" t="str">
        <f>IF('Twenty-Seventh'!H124="", "",'Twenty-Seventh'!H124)</f>
        <v/>
      </c>
      <c r="I6621" s="66" t="str">
        <f>IF('Twenty-Seventh'!I124="", "",'Twenty-Seventh'!I124)</f>
        <v>Lecture Series</v>
      </c>
      <c r="J6621" s="66" t="str">
        <f>IF('Twenty-Seventh'!J124="", "",'Twenty-Seventh'!J124)</f>
        <v>Auricular Acupuncture</v>
      </c>
      <c r="K6621" s="86" t="str">
        <f>IF('Twenty-Seventh'!K124="", "",'Twenty-Seventh'!K124)</f>
        <v>Relaxation</v>
      </c>
      <c r="M6621" s="67">
        <f t="shared" si="314"/>
        <v>6</v>
      </c>
      <c r="N6621" s="76" t="str">
        <f t="shared" si="315"/>
        <v/>
      </c>
      <c r="O6621" s="33">
        <f t="shared" si="316"/>
        <v>6</v>
      </c>
    </row>
    <row r="6622" spans="1:15" x14ac:dyDescent="0.25">
      <c r="A6622" s="64" t="s">
        <v>211</v>
      </c>
      <c r="B6622" s="79" t="str">
        <f>IF('Twenty-Seventh'!B125="", "",'Twenty-Seventh'!B125)</f>
        <v>Centre Head</v>
      </c>
      <c r="C6622" s="66" t="str">
        <f>IF('Twenty-Seventh'!C125="", "",'Twenty-Seventh'!C125)</f>
        <v>PwC</v>
      </c>
      <c r="D6622" s="66" t="str">
        <f>IF('Twenty-Seventh'!D125="", "",'Twenty-Seventh'!D125)</f>
        <v>Returning</v>
      </c>
      <c r="E6622" s="66" t="str">
        <f>IF('Twenty-Seventh'!E125="", "",'Twenty-Seventh'!E125)</f>
        <v>Male</v>
      </c>
      <c r="F6622" s="66" t="str">
        <f>IF('Twenty-Seventh'!F125="", "",'Twenty-Seventh'!F125)</f>
        <v>Prostate</v>
      </c>
      <c r="G6622" s="66" t="str">
        <f>IF('Twenty-Seventh'!G125="", "",'Twenty-Seventh'!G125)</f>
        <v>Post Treatment - Curative Intent</v>
      </c>
      <c r="H6622" s="66" t="str">
        <f>IF('Twenty-Seventh'!H125="", "",'Twenty-Seventh'!H125)</f>
        <v/>
      </c>
      <c r="I6622" s="66" t="str">
        <f>IF('Twenty-Seventh'!I125="", "",'Twenty-Seventh'!I125)</f>
        <v>Lecture Series</v>
      </c>
      <c r="J6622" s="66" t="str">
        <f>IF('Twenty-Seventh'!J125="", "",'Twenty-Seventh'!J125)</f>
        <v>Auricular Acupuncture</v>
      </c>
      <c r="K6622" s="86" t="str">
        <f>IF('Twenty-Seventh'!K125="", "",'Twenty-Seventh'!K125)</f>
        <v>Relaxation</v>
      </c>
      <c r="M6622" s="67">
        <f t="shared" si="314"/>
        <v>6</v>
      </c>
      <c r="N6622" s="76" t="str">
        <f t="shared" si="315"/>
        <v/>
      </c>
      <c r="O6622" s="33">
        <f t="shared" si="316"/>
        <v>6</v>
      </c>
    </row>
    <row r="6623" spans="1:15" x14ac:dyDescent="0.25">
      <c r="A6623" s="64" t="s">
        <v>211</v>
      </c>
      <c r="B6623" s="79" t="str">
        <f>IF('Twenty-Seventh'!B126="", "",'Twenty-Seventh'!B126)</f>
        <v>Centre Head</v>
      </c>
      <c r="C6623" s="66" t="str">
        <f>IF('Twenty-Seventh'!C126="", "",'Twenty-Seventh'!C126)</f>
        <v>PwC</v>
      </c>
      <c r="D6623" s="66" t="str">
        <f>IF('Twenty-Seventh'!D126="", "",'Twenty-Seventh'!D126)</f>
        <v>Returning</v>
      </c>
      <c r="E6623" s="66" t="str">
        <f>IF('Twenty-Seventh'!E126="", "",'Twenty-Seventh'!E126)</f>
        <v>Male</v>
      </c>
      <c r="F6623" s="66" t="str">
        <f>IF('Twenty-Seventh'!F126="", "",'Twenty-Seventh'!F126)</f>
        <v>Prostate</v>
      </c>
      <c r="G6623" s="66" t="str">
        <f>IF('Twenty-Seventh'!G126="", "",'Twenty-Seventh'!G126)</f>
        <v>Post Treatment - Curative Intent</v>
      </c>
      <c r="H6623" s="66" t="str">
        <f>IF('Twenty-Seventh'!H126="", "",'Twenty-Seventh'!H126)</f>
        <v/>
      </c>
      <c r="I6623" s="66" t="str">
        <f>IF('Twenty-Seventh'!I126="", "",'Twenty-Seventh'!I126)</f>
        <v>Lecture Series</v>
      </c>
      <c r="J6623" s="66" t="str">
        <f>IF('Twenty-Seventh'!J126="", "",'Twenty-Seventh'!J126)</f>
        <v>Auricular Acupuncture</v>
      </c>
      <c r="K6623" s="86" t="str">
        <f>IF('Twenty-Seventh'!K126="", "",'Twenty-Seventh'!K126)</f>
        <v/>
      </c>
      <c r="M6623" s="67">
        <f t="shared" si="314"/>
        <v>6</v>
      </c>
      <c r="N6623" s="76" t="str">
        <f t="shared" si="315"/>
        <v/>
      </c>
      <c r="O6623" s="33">
        <f t="shared" si="316"/>
        <v>6</v>
      </c>
    </row>
    <row r="6624" spans="1:15" x14ac:dyDescent="0.25">
      <c r="A6624" s="64" t="s">
        <v>211</v>
      </c>
      <c r="B6624" s="79" t="str">
        <f>IF('Twenty-Seventh'!B127="", "",'Twenty-Seventh'!B127)</f>
        <v>Centre Head</v>
      </c>
      <c r="C6624" s="66" t="str">
        <f>IF('Twenty-Seventh'!C127="", "",'Twenty-Seventh'!C127)</f>
        <v>PwC</v>
      </c>
      <c r="D6624" s="66" t="str">
        <f>IF('Twenty-Seventh'!D127="", "",'Twenty-Seventh'!D127)</f>
        <v>Returning</v>
      </c>
      <c r="E6624" s="66" t="str">
        <f>IF('Twenty-Seventh'!E127="", "",'Twenty-Seventh'!E127)</f>
        <v>Male</v>
      </c>
      <c r="F6624" s="66" t="str">
        <f>IF('Twenty-Seventh'!F127="", "",'Twenty-Seventh'!F127)</f>
        <v>Prostate</v>
      </c>
      <c r="G6624" s="66" t="str">
        <f>IF('Twenty-Seventh'!G127="", "",'Twenty-Seventh'!G127)</f>
        <v>Post Treatment - Curative Intent</v>
      </c>
      <c r="H6624" s="66" t="str">
        <f>IF('Twenty-Seventh'!H127="", "",'Twenty-Seventh'!H127)</f>
        <v/>
      </c>
      <c r="I6624" s="66" t="str">
        <f>IF('Twenty-Seventh'!I127="", "",'Twenty-Seventh'!I127)</f>
        <v>Lecture Series</v>
      </c>
      <c r="J6624" s="66" t="str">
        <f>IF('Twenty-Seventh'!J127="", "",'Twenty-Seventh'!J127)</f>
        <v>Auricular Acupuncture</v>
      </c>
      <c r="K6624" s="86" t="str">
        <f>IF('Twenty-Seventh'!K127="", "",'Twenty-Seventh'!K127)</f>
        <v/>
      </c>
      <c r="M6624" s="67">
        <f t="shared" si="314"/>
        <v>6</v>
      </c>
      <c r="N6624" s="76" t="str">
        <f t="shared" si="315"/>
        <v/>
      </c>
      <c r="O6624" s="33">
        <f t="shared" si="316"/>
        <v>6</v>
      </c>
    </row>
    <row r="6625" spans="1:15" x14ac:dyDescent="0.25">
      <c r="A6625" s="64" t="s">
        <v>211</v>
      </c>
      <c r="B6625" s="79" t="str">
        <f>IF('Twenty-Seventh'!B128="", "",'Twenty-Seventh'!B128)</f>
        <v/>
      </c>
      <c r="C6625" s="66" t="str">
        <f>IF('Twenty-Seventh'!C128="", "",'Twenty-Seventh'!C128)</f>
        <v/>
      </c>
      <c r="D6625" s="66" t="str">
        <f>IF('Twenty-Seventh'!D128="", "",'Twenty-Seventh'!D128)</f>
        <v/>
      </c>
      <c r="E6625" s="66" t="str">
        <f>IF('Twenty-Seventh'!E128="", "",'Twenty-Seventh'!E128)</f>
        <v/>
      </c>
      <c r="F6625" s="66" t="str">
        <f>IF('Twenty-Seventh'!F128="", "",'Twenty-Seventh'!F128)</f>
        <v/>
      </c>
      <c r="G6625" s="66" t="str">
        <f>IF('Twenty-Seventh'!G128="", "",'Twenty-Seventh'!G128)</f>
        <v/>
      </c>
      <c r="H6625" s="66" t="str">
        <f>IF('Twenty-Seventh'!H128="", "",'Twenty-Seventh'!H128)</f>
        <v/>
      </c>
      <c r="I6625" s="66" t="str">
        <f>IF('Twenty-Seventh'!I128="", "",'Twenty-Seventh'!I128)</f>
        <v/>
      </c>
      <c r="J6625" s="66" t="str">
        <f>IF('Twenty-Seventh'!J128="", "",'Twenty-Seventh'!J128)</f>
        <v/>
      </c>
      <c r="K6625" s="86" t="str">
        <f>IF('Twenty-Seventh'!K128="", "",'Twenty-Seventh'!K128)</f>
        <v/>
      </c>
      <c r="M6625" s="67" t="str">
        <f t="shared" si="314"/>
        <v/>
      </c>
      <c r="N6625" s="76" t="str">
        <f t="shared" si="315"/>
        <v/>
      </c>
      <c r="O6625" s="33">
        <f t="shared" si="316"/>
        <v>0</v>
      </c>
    </row>
    <row r="6626" spans="1:15" x14ac:dyDescent="0.25">
      <c r="A6626" s="64" t="s">
        <v>211</v>
      </c>
      <c r="B6626" s="79" t="str">
        <f>IF('Twenty-Seventh'!B129="", "",'Twenty-Seventh'!B129)</f>
        <v/>
      </c>
      <c r="C6626" s="66" t="str">
        <f>IF('Twenty-Seventh'!C129="", "",'Twenty-Seventh'!C129)</f>
        <v/>
      </c>
      <c r="D6626" s="66" t="str">
        <f>IF('Twenty-Seventh'!D129="", "",'Twenty-Seventh'!D129)</f>
        <v/>
      </c>
      <c r="E6626" s="66" t="str">
        <f>IF('Twenty-Seventh'!E129="", "",'Twenty-Seventh'!E129)</f>
        <v/>
      </c>
      <c r="F6626" s="66" t="str">
        <f>IF('Twenty-Seventh'!F129="", "",'Twenty-Seventh'!F129)</f>
        <v/>
      </c>
      <c r="G6626" s="66" t="str">
        <f>IF('Twenty-Seventh'!G129="", "",'Twenty-Seventh'!G129)</f>
        <v/>
      </c>
      <c r="H6626" s="66" t="str">
        <f>IF('Twenty-Seventh'!H129="", "",'Twenty-Seventh'!H129)</f>
        <v/>
      </c>
      <c r="I6626" s="66" t="str">
        <f>IF('Twenty-Seventh'!I129="", "",'Twenty-Seventh'!I129)</f>
        <v/>
      </c>
      <c r="J6626" s="66" t="str">
        <f>IF('Twenty-Seventh'!J129="", "",'Twenty-Seventh'!J129)</f>
        <v/>
      </c>
      <c r="K6626" s="86" t="str">
        <f>IF('Twenty-Seventh'!K129="", "",'Twenty-Seventh'!K129)</f>
        <v/>
      </c>
      <c r="M6626" s="67" t="str">
        <f t="shared" si="314"/>
        <v/>
      </c>
      <c r="N6626" s="76" t="str">
        <f t="shared" si="315"/>
        <v/>
      </c>
      <c r="O6626" s="33">
        <f t="shared" si="316"/>
        <v>0</v>
      </c>
    </row>
    <row r="6627" spans="1:15" x14ac:dyDescent="0.25">
      <c r="A6627" s="64" t="s">
        <v>211</v>
      </c>
      <c r="B6627" s="79" t="str">
        <f>IF('Twenty-Seventh'!B130="", "",'Twenty-Seventh'!B130)</f>
        <v/>
      </c>
      <c r="C6627" s="66" t="str">
        <f>IF('Twenty-Seventh'!C130="", "",'Twenty-Seventh'!C130)</f>
        <v/>
      </c>
      <c r="D6627" s="66" t="str">
        <f>IF('Twenty-Seventh'!D130="", "",'Twenty-Seventh'!D130)</f>
        <v/>
      </c>
      <c r="E6627" s="66" t="str">
        <f>IF('Twenty-Seventh'!E130="", "",'Twenty-Seventh'!E130)</f>
        <v/>
      </c>
      <c r="F6627" s="66" t="str">
        <f>IF('Twenty-Seventh'!F130="", "",'Twenty-Seventh'!F130)</f>
        <v/>
      </c>
      <c r="G6627" s="66" t="str">
        <f>IF('Twenty-Seventh'!G130="", "",'Twenty-Seventh'!G130)</f>
        <v/>
      </c>
      <c r="H6627" s="66" t="str">
        <f>IF('Twenty-Seventh'!H130="", "",'Twenty-Seventh'!H130)</f>
        <v/>
      </c>
      <c r="I6627" s="66" t="str">
        <f>IF('Twenty-Seventh'!I130="", "",'Twenty-Seventh'!I130)</f>
        <v/>
      </c>
      <c r="J6627" s="66" t="str">
        <f>IF('Twenty-Seventh'!J130="", "",'Twenty-Seventh'!J130)</f>
        <v/>
      </c>
      <c r="K6627" s="86" t="str">
        <f>IF('Twenty-Seventh'!K130="", "",'Twenty-Seventh'!K130)</f>
        <v/>
      </c>
      <c r="M6627" s="67" t="str">
        <f t="shared" si="314"/>
        <v/>
      </c>
      <c r="N6627" s="76" t="str">
        <f t="shared" si="315"/>
        <v/>
      </c>
      <c r="O6627" s="33">
        <f t="shared" si="316"/>
        <v>0</v>
      </c>
    </row>
    <row r="6628" spans="1:15" x14ac:dyDescent="0.25">
      <c r="A6628" s="64" t="s">
        <v>211</v>
      </c>
      <c r="B6628" s="79" t="str">
        <f>IF('Twenty-Seventh'!B131="", "",'Twenty-Seventh'!B131)</f>
        <v/>
      </c>
      <c r="C6628" s="66" t="str">
        <f>IF('Twenty-Seventh'!C131="", "",'Twenty-Seventh'!C131)</f>
        <v/>
      </c>
      <c r="D6628" s="66" t="str">
        <f>IF('Twenty-Seventh'!D131="", "",'Twenty-Seventh'!D131)</f>
        <v/>
      </c>
      <c r="E6628" s="66" t="str">
        <f>IF('Twenty-Seventh'!E131="", "",'Twenty-Seventh'!E131)</f>
        <v/>
      </c>
      <c r="F6628" s="66" t="str">
        <f>IF('Twenty-Seventh'!F131="", "",'Twenty-Seventh'!F131)</f>
        <v/>
      </c>
      <c r="G6628" s="66" t="str">
        <f>IF('Twenty-Seventh'!G131="", "",'Twenty-Seventh'!G131)</f>
        <v/>
      </c>
      <c r="H6628" s="66" t="str">
        <f>IF('Twenty-Seventh'!H131="", "",'Twenty-Seventh'!H131)</f>
        <v/>
      </c>
      <c r="I6628" s="66" t="str">
        <f>IF('Twenty-Seventh'!I131="", "",'Twenty-Seventh'!I131)</f>
        <v/>
      </c>
      <c r="J6628" s="66" t="str">
        <f>IF('Twenty-Seventh'!J131="", "",'Twenty-Seventh'!J131)</f>
        <v/>
      </c>
      <c r="K6628" s="86" t="str">
        <f>IF('Twenty-Seventh'!K131="", "",'Twenty-Seventh'!K131)</f>
        <v/>
      </c>
      <c r="M6628" s="67" t="str">
        <f t="shared" si="314"/>
        <v/>
      </c>
      <c r="N6628" s="76" t="str">
        <f t="shared" si="315"/>
        <v/>
      </c>
      <c r="O6628" s="33">
        <f t="shared" si="316"/>
        <v>0</v>
      </c>
    </row>
    <row r="6629" spans="1:15" x14ac:dyDescent="0.25">
      <c r="A6629" s="64" t="s">
        <v>211</v>
      </c>
      <c r="B6629" s="79" t="str">
        <f>IF('Twenty-Seventh'!B132="", "",'Twenty-Seventh'!B132)</f>
        <v/>
      </c>
      <c r="C6629" s="66" t="str">
        <f>IF('Twenty-Seventh'!C132="", "",'Twenty-Seventh'!C132)</f>
        <v/>
      </c>
      <c r="D6629" s="66" t="str">
        <f>IF('Twenty-Seventh'!D132="", "",'Twenty-Seventh'!D132)</f>
        <v/>
      </c>
      <c r="E6629" s="66" t="str">
        <f>IF('Twenty-Seventh'!E132="", "",'Twenty-Seventh'!E132)</f>
        <v/>
      </c>
      <c r="F6629" s="66" t="str">
        <f>IF('Twenty-Seventh'!F132="", "",'Twenty-Seventh'!F132)</f>
        <v/>
      </c>
      <c r="G6629" s="66" t="str">
        <f>IF('Twenty-Seventh'!G132="", "",'Twenty-Seventh'!G132)</f>
        <v/>
      </c>
      <c r="H6629" s="66" t="str">
        <f>IF('Twenty-Seventh'!H132="", "",'Twenty-Seventh'!H132)</f>
        <v/>
      </c>
      <c r="I6629" s="66" t="str">
        <f>IF('Twenty-Seventh'!I132="", "",'Twenty-Seventh'!I132)</f>
        <v/>
      </c>
      <c r="J6629" s="66" t="str">
        <f>IF('Twenty-Seventh'!J132="", "",'Twenty-Seventh'!J132)</f>
        <v/>
      </c>
      <c r="K6629" s="86" t="str">
        <f>IF('Twenty-Seventh'!K132="", "",'Twenty-Seventh'!K132)</f>
        <v/>
      </c>
      <c r="M6629" s="67" t="str">
        <f t="shared" si="314"/>
        <v/>
      </c>
      <c r="N6629" s="76" t="str">
        <f t="shared" si="315"/>
        <v/>
      </c>
      <c r="O6629" s="33">
        <f t="shared" si="316"/>
        <v>0</v>
      </c>
    </row>
    <row r="6630" spans="1:15" x14ac:dyDescent="0.25">
      <c r="A6630" s="64" t="s">
        <v>211</v>
      </c>
      <c r="B6630" s="79" t="str">
        <f>IF('Twenty-Seventh'!B133="", "",'Twenty-Seventh'!B133)</f>
        <v/>
      </c>
      <c r="C6630" s="66" t="str">
        <f>IF('Twenty-Seventh'!C133="", "",'Twenty-Seventh'!C133)</f>
        <v/>
      </c>
      <c r="D6630" s="66" t="str">
        <f>IF('Twenty-Seventh'!D133="", "",'Twenty-Seventh'!D133)</f>
        <v/>
      </c>
      <c r="E6630" s="66" t="str">
        <f>IF('Twenty-Seventh'!E133="", "",'Twenty-Seventh'!E133)</f>
        <v/>
      </c>
      <c r="F6630" s="66" t="str">
        <f>IF('Twenty-Seventh'!F133="", "",'Twenty-Seventh'!F133)</f>
        <v/>
      </c>
      <c r="G6630" s="66" t="str">
        <f>IF('Twenty-Seventh'!G133="", "",'Twenty-Seventh'!G133)</f>
        <v/>
      </c>
      <c r="H6630" s="66" t="str">
        <f>IF('Twenty-Seventh'!H133="", "",'Twenty-Seventh'!H133)</f>
        <v/>
      </c>
      <c r="I6630" s="66" t="str">
        <f>IF('Twenty-Seventh'!I133="", "",'Twenty-Seventh'!I133)</f>
        <v/>
      </c>
      <c r="J6630" s="66" t="str">
        <f>IF('Twenty-Seventh'!J133="", "",'Twenty-Seventh'!J133)</f>
        <v/>
      </c>
      <c r="K6630" s="86" t="str">
        <f>IF('Twenty-Seventh'!K133="", "",'Twenty-Seventh'!K133)</f>
        <v/>
      </c>
      <c r="M6630" s="67" t="str">
        <f t="shared" si="314"/>
        <v/>
      </c>
      <c r="N6630" s="76" t="str">
        <f t="shared" si="315"/>
        <v/>
      </c>
      <c r="O6630" s="33">
        <f t="shared" si="316"/>
        <v>0</v>
      </c>
    </row>
    <row r="6631" spans="1:15" x14ac:dyDescent="0.25">
      <c r="A6631" s="64" t="s">
        <v>211</v>
      </c>
      <c r="B6631" s="79" t="str">
        <f>IF('Twenty-Seventh'!B134="", "",'Twenty-Seventh'!B134)</f>
        <v/>
      </c>
      <c r="C6631" s="66" t="str">
        <f>IF('Twenty-Seventh'!C134="", "",'Twenty-Seventh'!C134)</f>
        <v/>
      </c>
      <c r="D6631" s="66" t="str">
        <f>IF('Twenty-Seventh'!D134="", "",'Twenty-Seventh'!D134)</f>
        <v/>
      </c>
      <c r="E6631" s="66" t="str">
        <f>IF('Twenty-Seventh'!E134="", "",'Twenty-Seventh'!E134)</f>
        <v/>
      </c>
      <c r="F6631" s="66" t="str">
        <f>IF('Twenty-Seventh'!F134="", "",'Twenty-Seventh'!F134)</f>
        <v/>
      </c>
      <c r="G6631" s="66" t="str">
        <f>IF('Twenty-Seventh'!G134="", "",'Twenty-Seventh'!G134)</f>
        <v/>
      </c>
      <c r="H6631" s="66" t="str">
        <f>IF('Twenty-Seventh'!H134="", "",'Twenty-Seventh'!H134)</f>
        <v/>
      </c>
      <c r="I6631" s="66" t="str">
        <f>IF('Twenty-Seventh'!I134="", "",'Twenty-Seventh'!I134)</f>
        <v/>
      </c>
      <c r="J6631" s="66" t="str">
        <f>IF('Twenty-Seventh'!J134="", "",'Twenty-Seventh'!J134)</f>
        <v/>
      </c>
      <c r="K6631" s="86" t="str">
        <f>IF('Twenty-Seventh'!K134="", "",'Twenty-Seventh'!K134)</f>
        <v/>
      </c>
      <c r="M6631" s="67" t="str">
        <f t="shared" si="314"/>
        <v/>
      </c>
      <c r="N6631" s="76" t="str">
        <f t="shared" si="315"/>
        <v/>
      </c>
      <c r="O6631" s="33">
        <f t="shared" si="316"/>
        <v>0</v>
      </c>
    </row>
    <row r="6632" spans="1:15" x14ac:dyDescent="0.25">
      <c r="A6632" s="64" t="s">
        <v>211</v>
      </c>
      <c r="B6632" s="79" t="str">
        <f>IF('Twenty-Seventh'!B135="", "",'Twenty-Seventh'!B135)</f>
        <v/>
      </c>
      <c r="C6632" s="66" t="str">
        <f>IF('Twenty-Seventh'!C135="", "",'Twenty-Seventh'!C135)</f>
        <v/>
      </c>
      <c r="D6632" s="66" t="str">
        <f>IF('Twenty-Seventh'!D135="", "",'Twenty-Seventh'!D135)</f>
        <v/>
      </c>
      <c r="E6632" s="66" t="str">
        <f>IF('Twenty-Seventh'!E135="", "",'Twenty-Seventh'!E135)</f>
        <v/>
      </c>
      <c r="F6632" s="66" t="str">
        <f>IF('Twenty-Seventh'!F135="", "",'Twenty-Seventh'!F135)</f>
        <v/>
      </c>
      <c r="G6632" s="66" t="str">
        <f>IF('Twenty-Seventh'!G135="", "",'Twenty-Seventh'!G135)</f>
        <v/>
      </c>
      <c r="H6632" s="66" t="str">
        <f>IF('Twenty-Seventh'!H135="", "",'Twenty-Seventh'!H135)</f>
        <v/>
      </c>
      <c r="I6632" s="66" t="str">
        <f>IF('Twenty-Seventh'!I135="", "",'Twenty-Seventh'!I135)</f>
        <v/>
      </c>
      <c r="J6632" s="66" t="str">
        <f>IF('Twenty-Seventh'!J135="", "",'Twenty-Seventh'!J135)</f>
        <v/>
      </c>
      <c r="K6632" s="86" t="str">
        <f>IF('Twenty-Seventh'!K135="", "",'Twenty-Seventh'!K135)</f>
        <v/>
      </c>
      <c r="M6632" s="67" t="str">
        <f t="shared" si="314"/>
        <v/>
      </c>
      <c r="N6632" s="76" t="str">
        <f t="shared" si="315"/>
        <v/>
      </c>
      <c r="O6632" s="33">
        <f t="shared" si="316"/>
        <v>0</v>
      </c>
    </row>
    <row r="6633" spans="1:15" x14ac:dyDescent="0.25">
      <c r="A6633" s="64" t="s">
        <v>211</v>
      </c>
      <c r="B6633" s="79" t="str">
        <f>IF('Twenty-Seventh'!B136="", "",'Twenty-Seventh'!B136)</f>
        <v/>
      </c>
      <c r="C6633" s="66" t="str">
        <f>IF('Twenty-Seventh'!C136="", "",'Twenty-Seventh'!C136)</f>
        <v/>
      </c>
      <c r="D6633" s="66" t="str">
        <f>IF('Twenty-Seventh'!D136="", "",'Twenty-Seventh'!D136)</f>
        <v/>
      </c>
      <c r="E6633" s="66" t="str">
        <f>IF('Twenty-Seventh'!E136="", "",'Twenty-Seventh'!E136)</f>
        <v/>
      </c>
      <c r="F6633" s="66" t="str">
        <f>IF('Twenty-Seventh'!F136="", "",'Twenty-Seventh'!F136)</f>
        <v/>
      </c>
      <c r="G6633" s="66" t="str">
        <f>IF('Twenty-Seventh'!G136="", "",'Twenty-Seventh'!G136)</f>
        <v/>
      </c>
      <c r="H6633" s="66" t="str">
        <f>IF('Twenty-Seventh'!H136="", "",'Twenty-Seventh'!H136)</f>
        <v/>
      </c>
      <c r="I6633" s="66" t="str">
        <f>IF('Twenty-Seventh'!I136="", "",'Twenty-Seventh'!I136)</f>
        <v/>
      </c>
      <c r="J6633" s="66" t="str">
        <f>IF('Twenty-Seventh'!J136="", "",'Twenty-Seventh'!J136)</f>
        <v/>
      </c>
      <c r="K6633" s="86" t="str">
        <f>IF('Twenty-Seventh'!K136="", "",'Twenty-Seventh'!K136)</f>
        <v/>
      </c>
      <c r="M6633" s="67" t="str">
        <f t="shared" si="314"/>
        <v/>
      </c>
      <c r="N6633" s="76" t="str">
        <f t="shared" si="315"/>
        <v/>
      </c>
      <c r="O6633" s="33">
        <f t="shared" si="316"/>
        <v>0</v>
      </c>
    </row>
    <row r="6634" spans="1:15" x14ac:dyDescent="0.25">
      <c r="A6634" s="64" t="s">
        <v>211</v>
      </c>
      <c r="B6634" s="79" t="str">
        <f>IF('Twenty-Seventh'!B137="", "",'Twenty-Seventh'!B137)</f>
        <v/>
      </c>
      <c r="C6634" s="66" t="str">
        <f>IF('Twenty-Seventh'!C137="", "",'Twenty-Seventh'!C137)</f>
        <v/>
      </c>
      <c r="D6634" s="66" t="str">
        <f>IF('Twenty-Seventh'!D137="", "",'Twenty-Seventh'!D137)</f>
        <v/>
      </c>
      <c r="E6634" s="66" t="str">
        <f>IF('Twenty-Seventh'!E137="", "",'Twenty-Seventh'!E137)</f>
        <v/>
      </c>
      <c r="F6634" s="66" t="str">
        <f>IF('Twenty-Seventh'!F137="", "",'Twenty-Seventh'!F137)</f>
        <v/>
      </c>
      <c r="G6634" s="66" t="str">
        <f>IF('Twenty-Seventh'!G137="", "",'Twenty-Seventh'!G137)</f>
        <v/>
      </c>
      <c r="H6634" s="66" t="str">
        <f>IF('Twenty-Seventh'!H137="", "",'Twenty-Seventh'!H137)</f>
        <v/>
      </c>
      <c r="I6634" s="66" t="str">
        <f>IF('Twenty-Seventh'!I137="", "",'Twenty-Seventh'!I137)</f>
        <v/>
      </c>
      <c r="J6634" s="66" t="str">
        <f>IF('Twenty-Seventh'!J137="", "",'Twenty-Seventh'!J137)</f>
        <v/>
      </c>
      <c r="K6634" s="86" t="str">
        <f>IF('Twenty-Seventh'!K137="", "",'Twenty-Seventh'!K137)</f>
        <v/>
      </c>
      <c r="M6634" s="67" t="str">
        <f t="shared" si="314"/>
        <v/>
      </c>
      <c r="N6634" s="76" t="str">
        <f t="shared" si="315"/>
        <v/>
      </c>
      <c r="O6634" s="33">
        <f t="shared" si="316"/>
        <v>0</v>
      </c>
    </row>
    <row r="6635" spans="1:15" x14ac:dyDescent="0.25">
      <c r="A6635" s="64" t="s">
        <v>211</v>
      </c>
      <c r="B6635" s="79" t="str">
        <f>IF('Twenty-Seventh'!B138="", "",'Twenty-Seventh'!B138)</f>
        <v/>
      </c>
      <c r="C6635" s="66" t="str">
        <f>IF('Twenty-Seventh'!C138="", "",'Twenty-Seventh'!C138)</f>
        <v/>
      </c>
      <c r="D6635" s="66" t="str">
        <f>IF('Twenty-Seventh'!D138="", "",'Twenty-Seventh'!D138)</f>
        <v/>
      </c>
      <c r="E6635" s="66" t="str">
        <f>IF('Twenty-Seventh'!E138="", "",'Twenty-Seventh'!E138)</f>
        <v/>
      </c>
      <c r="F6635" s="66" t="str">
        <f>IF('Twenty-Seventh'!F138="", "",'Twenty-Seventh'!F138)</f>
        <v/>
      </c>
      <c r="G6635" s="66" t="str">
        <f>IF('Twenty-Seventh'!G138="", "",'Twenty-Seventh'!G138)</f>
        <v/>
      </c>
      <c r="H6635" s="66" t="str">
        <f>IF('Twenty-Seventh'!H138="", "",'Twenty-Seventh'!H138)</f>
        <v/>
      </c>
      <c r="I6635" s="66" t="str">
        <f>IF('Twenty-Seventh'!I138="", "",'Twenty-Seventh'!I138)</f>
        <v/>
      </c>
      <c r="J6635" s="66" t="str">
        <f>IF('Twenty-Seventh'!J138="", "",'Twenty-Seventh'!J138)</f>
        <v/>
      </c>
      <c r="K6635" s="86" t="str">
        <f>IF('Twenty-Seventh'!K138="", "",'Twenty-Seventh'!K138)</f>
        <v/>
      </c>
      <c r="M6635" s="67" t="str">
        <f t="shared" si="314"/>
        <v/>
      </c>
      <c r="N6635" s="76" t="str">
        <f t="shared" si="315"/>
        <v/>
      </c>
      <c r="O6635" s="33">
        <f t="shared" si="316"/>
        <v>0</v>
      </c>
    </row>
    <row r="6636" spans="1:15" x14ac:dyDescent="0.25">
      <c r="A6636" s="64" t="s">
        <v>211</v>
      </c>
      <c r="B6636" s="79" t="str">
        <f>IF('Twenty-Seventh'!B139="", "",'Twenty-Seventh'!B139)</f>
        <v/>
      </c>
      <c r="C6636" s="66" t="str">
        <f>IF('Twenty-Seventh'!C139="", "",'Twenty-Seventh'!C139)</f>
        <v/>
      </c>
      <c r="D6636" s="66" t="str">
        <f>IF('Twenty-Seventh'!D139="", "",'Twenty-Seventh'!D139)</f>
        <v/>
      </c>
      <c r="E6636" s="66" t="str">
        <f>IF('Twenty-Seventh'!E139="", "",'Twenty-Seventh'!E139)</f>
        <v/>
      </c>
      <c r="F6636" s="66" t="str">
        <f>IF('Twenty-Seventh'!F139="", "",'Twenty-Seventh'!F139)</f>
        <v/>
      </c>
      <c r="G6636" s="66" t="str">
        <f>IF('Twenty-Seventh'!G139="", "",'Twenty-Seventh'!G139)</f>
        <v/>
      </c>
      <c r="H6636" s="66" t="str">
        <f>IF('Twenty-Seventh'!H139="", "",'Twenty-Seventh'!H139)</f>
        <v/>
      </c>
      <c r="I6636" s="66" t="str">
        <f>IF('Twenty-Seventh'!I139="", "",'Twenty-Seventh'!I139)</f>
        <v/>
      </c>
      <c r="J6636" s="66" t="str">
        <f>IF('Twenty-Seventh'!J139="", "",'Twenty-Seventh'!J139)</f>
        <v/>
      </c>
      <c r="K6636" s="86" t="str">
        <f>IF('Twenty-Seventh'!K139="", "",'Twenty-Seventh'!K139)</f>
        <v/>
      </c>
      <c r="M6636" s="67" t="str">
        <f t="shared" si="314"/>
        <v/>
      </c>
      <c r="N6636" s="76" t="str">
        <f t="shared" si="315"/>
        <v/>
      </c>
      <c r="O6636" s="33">
        <f t="shared" si="316"/>
        <v>0</v>
      </c>
    </row>
    <row r="6637" spans="1:15" x14ac:dyDescent="0.25">
      <c r="A6637" s="64" t="s">
        <v>211</v>
      </c>
      <c r="B6637" s="79" t="str">
        <f>IF('Twenty-Seventh'!B140="", "",'Twenty-Seventh'!B140)</f>
        <v/>
      </c>
      <c r="C6637" s="66" t="str">
        <f>IF('Twenty-Seventh'!C140="", "",'Twenty-Seventh'!C140)</f>
        <v/>
      </c>
      <c r="D6637" s="66" t="str">
        <f>IF('Twenty-Seventh'!D140="", "",'Twenty-Seventh'!D140)</f>
        <v/>
      </c>
      <c r="E6637" s="66" t="str">
        <f>IF('Twenty-Seventh'!E140="", "",'Twenty-Seventh'!E140)</f>
        <v/>
      </c>
      <c r="F6637" s="66" t="str">
        <f>IF('Twenty-Seventh'!F140="", "",'Twenty-Seventh'!F140)</f>
        <v/>
      </c>
      <c r="G6637" s="66" t="str">
        <f>IF('Twenty-Seventh'!G140="", "",'Twenty-Seventh'!G140)</f>
        <v/>
      </c>
      <c r="H6637" s="66" t="str">
        <f>IF('Twenty-Seventh'!H140="", "",'Twenty-Seventh'!H140)</f>
        <v/>
      </c>
      <c r="I6637" s="66" t="str">
        <f>IF('Twenty-Seventh'!I140="", "",'Twenty-Seventh'!I140)</f>
        <v/>
      </c>
      <c r="J6637" s="66" t="str">
        <f>IF('Twenty-Seventh'!J140="", "",'Twenty-Seventh'!J140)</f>
        <v/>
      </c>
      <c r="K6637" s="86" t="str">
        <f>IF('Twenty-Seventh'!K140="", "",'Twenty-Seventh'!K140)</f>
        <v/>
      </c>
      <c r="M6637" s="67" t="str">
        <f t="shared" si="314"/>
        <v/>
      </c>
      <c r="N6637" s="76" t="str">
        <f t="shared" si="315"/>
        <v/>
      </c>
      <c r="O6637" s="33">
        <f t="shared" si="316"/>
        <v>0</v>
      </c>
    </row>
    <row r="6638" spans="1:15" x14ac:dyDescent="0.25">
      <c r="A6638" s="64" t="s">
        <v>211</v>
      </c>
      <c r="B6638" s="79" t="str">
        <f>IF('Twenty-Seventh'!B141="", "",'Twenty-Seventh'!B141)</f>
        <v/>
      </c>
      <c r="C6638" s="66" t="str">
        <f>IF('Twenty-Seventh'!C141="", "",'Twenty-Seventh'!C141)</f>
        <v/>
      </c>
      <c r="D6638" s="66" t="str">
        <f>IF('Twenty-Seventh'!D141="", "",'Twenty-Seventh'!D141)</f>
        <v/>
      </c>
      <c r="E6638" s="66" t="str">
        <f>IF('Twenty-Seventh'!E141="", "",'Twenty-Seventh'!E141)</f>
        <v/>
      </c>
      <c r="F6638" s="66" t="str">
        <f>IF('Twenty-Seventh'!F141="", "",'Twenty-Seventh'!F141)</f>
        <v/>
      </c>
      <c r="G6638" s="66" t="str">
        <f>IF('Twenty-Seventh'!G141="", "",'Twenty-Seventh'!G141)</f>
        <v/>
      </c>
      <c r="H6638" s="66" t="str">
        <f>IF('Twenty-Seventh'!H141="", "",'Twenty-Seventh'!H141)</f>
        <v/>
      </c>
      <c r="I6638" s="66" t="str">
        <f>IF('Twenty-Seventh'!I141="", "",'Twenty-Seventh'!I141)</f>
        <v/>
      </c>
      <c r="J6638" s="66" t="str">
        <f>IF('Twenty-Seventh'!J141="", "",'Twenty-Seventh'!J141)</f>
        <v/>
      </c>
      <c r="K6638" s="86" t="str">
        <f>IF('Twenty-Seventh'!K141="", "",'Twenty-Seventh'!K141)</f>
        <v/>
      </c>
      <c r="M6638" s="67" t="str">
        <f t="shared" si="314"/>
        <v/>
      </c>
      <c r="N6638" s="76" t="str">
        <f t="shared" si="315"/>
        <v/>
      </c>
      <c r="O6638" s="33">
        <f t="shared" si="316"/>
        <v>0</v>
      </c>
    </row>
    <row r="6639" spans="1:15" x14ac:dyDescent="0.25">
      <c r="A6639" s="64" t="s">
        <v>211</v>
      </c>
      <c r="B6639" s="79" t="str">
        <f>IF('Twenty-Seventh'!B142="", "",'Twenty-Seventh'!B142)</f>
        <v/>
      </c>
      <c r="C6639" s="66" t="str">
        <f>IF('Twenty-Seventh'!C142="", "",'Twenty-Seventh'!C142)</f>
        <v/>
      </c>
      <c r="D6639" s="66" t="str">
        <f>IF('Twenty-Seventh'!D142="", "",'Twenty-Seventh'!D142)</f>
        <v/>
      </c>
      <c r="E6639" s="66" t="str">
        <f>IF('Twenty-Seventh'!E142="", "",'Twenty-Seventh'!E142)</f>
        <v/>
      </c>
      <c r="F6639" s="66" t="str">
        <f>IF('Twenty-Seventh'!F142="", "",'Twenty-Seventh'!F142)</f>
        <v/>
      </c>
      <c r="G6639" s="66" t="str">
        <f>IF('Twenty-Seventh'!G142="", "",'Twenty-Seventh'!G142)</f>
        <v/>
      </c>
      <c r="H6639" s="66" t="str">
        <f>IF('Twenty-Seventh'!H142="", "",'Twenty-Seventh'!H142)</f>
        <v/>
      </c>
      <c r="I6639" s="66" t="str">
        <f>IF('Twenty-Seventh'!I142="", "",'Twenty-Seventh'!I142)</f>
        <v/>
      </c>
      <c r="J6639" s="66" t="str">
        <f>IF('Twenty-Seventh'!J142="", "",'Twenty-Seventh'!J142)</f>
        <v/>
      </c>
      <c r="K6639" s="86" t="str">
        <f>IF('Twenty-Seventh'!K142="", "",'Twenty-Seventh'!K142)</f>
        <v/>
      </c>
      <c r="M6639" s="67" t="str">
        <f t="shared" si="314"/>
        <v/>
      </c>
      <c r="N6639" s="76" t="str">
        <f t="shared" si="315"/>
        <v/>
      </c>
      <c r="O6639" s="33">
        <f t="shared" si="316"/>
        <v>0</v>
      </c>
    </row>
    <row r="6640" spans="1:15" x14ac:dyDescent="0.25">
      <c r="A6640" s="64" t="s">
        <v>211</v>
      </c>
      <c r="B6640" s="79" t="str">
        <f>IF('Twenty-Seventh'!B143="", "",'Twenty-Seventh'!B143)</f>
        <v/>
      </c>
      <c r="C6640" s="66" t="str">
        <f>IF('Twenty-Seventh'!C143="", "",'Twenty-Seventh'!C143)</f>
        <v/>
      </c>
      <c r="D6640" s="66" t="str">
        <f>IF('Twenty-Seventh'!D143="", "",'Twenty-Seventh'!D143)</f>
        <v/>
      </c>
      <c r="E6640" s="66" t="str">
        <f>IF('Twenty-Seventh'!E143="", "",'Twenty-Seventh'!E143)</f>
        <v/>
      </c>
      <c r="F6640" s="66" t="str">
        <f>IF('Twenty-Seventh'!F143="", "",'Twenty-Seventh'!F143)</f>
        <v/>
      </c>
      <c r="G6640" s="66" t="str">
        <f>IF('Twenty-Seventh'!G143="", "",'Twenty-Seventh'!G143)</f>
        <v/>
      </c>
      <c r="H6640" s="66" t="str">
        <f>IF('Twenty-Seventh'!H143="", "",'Twenty-Seventh'!H143)</f>
        <v/>
      </c>
      <c r="I6640" s="66" t="str">
        <f>IF('Twenty-Seventh'!I143="", "",'Twenty-Seventh'!I143)</f>
        <v/>
      </c>
      <c r="J6640" s="66" t="str">
        <f>IF('Twenty-Seventh'!J143="", "",'Twenty-Seventh'!J143)</f>
        <v/>
      </c>
      <c r="K6640" s="86" t="str">
        <f>IF('Twenty-Seventh'!K143="", "",'Twenty-Seventh'!K143)</f>
        <v/>
      </c>
      <c r="M6640" s="67" t="str">
        <f t="shared" si="314"/>
        <v/>
      </c>
      <c r="N6640" s="76" t="str">
        <f t="shared" si="315"/>
        <v/>
      </c>
      <c r="O6640" s="33">
        <f t="shared" si="316"/>
        <v>0</v>
      </c>
    </row>
    <row r="6641" spans="1:15" x14ac:dyDescent="0.25">
      <c r="A6641" s="64" t="s">
        <v>211</v>
      </c>
      <c r="B6641" s="79" t="str">
        <f>IF('Twenty-Seventh'!B144="", "",'Twenty-Seventh'!B144)</f>
        <v/>
      </c>
      <c r="C6641" s="66" t="str">
        <f>IF('Twenty-Seventh'!C144="", "",'Twenty-Seventh'!C144)</f>
        <v/>
      </c>
      <c r="D6641" s="66" t="str">
        <f>IF('Twenty-Seventh'!D144="", "",'Twenty-Seventh'!D144)</f>
        <v/>
      </c>
      <c r="E6641" s="66" t="str">
        <f>IF('Twenty-Seventh'!E144="", "",'Twenty-Seventh'!E144)</f>
        <v/>
      </c>
      <c r="F6641" s="66" t="str">
        <f>IF('Twenty-Seventh'!F144="", "",'Twenty-Seventh'!F144)</f>
        <v/>
      </c>
      <c r="G6641" s="66" t="str">
        <f>IF('Twenty-Seventh'!G144="", "",'Twenty-Seventh'!G144)</f>
        <v/>
      </c>
      <c r="H6641" s="66" t="str">
        <f>IF('Twenty-Seventh'!H144="", "",'Twenty-Seventh'!H144)</f>
        <v/>
      </c>
      <c r="I6641" s="66" t="str">
        <f>IF('Twenty-Seventh'!I144="", "",'Twenty-Seventh'!I144)</f>
        <v/>
      </c>
      <c r="J6641" s="66" t="str">
        <f>IF('Twenty-Seventh'!J144="", "",'Twenty-Seventh'!J144)</f>
        <v/>
      </c>
      <c r="K6641" s="86" t="str">
        <f>IF('Twenty-Seventh'!K144="", "",'Twenty-Seventh'!K144)</f>
        <v/>
      </c>
      <c r="M6641" s="67" t="str">
        <f t="shared" si="314"/>
        <v/>
      </c>
      <c r="N6641" s="76" t="str">
        <f t="shared" si="315"/>
        <v/>
      </c>
      <c r="O6641" s="33">
        <f t="shared" si="316"/>
        <v>0</v>
      </c>
    </row>
    <row r="6642" spans="1:15" x14ac:dyDescent="0.25">
      <c r="A6642" s="64" t="s">
        <v>211</v>
      </c>
      <c r="B6642" s="79" t="str">
        <f>IF('Twenty-Seventh'!B145="", "",'Twenty-Seventh'!B145)</f>
        <v/>
      </c>
      <c r="C6642" s="66" t="str">
        <f>IF('Twenty-Seventh'!C145="", "",'Twenty-Seventh'!C145)</f>
        <v/>
      </c>
      <c r="D6642" s="66" t="str">
        <f>IF('Twenty-Seventh'!D145="", "",'Twenty-Seventh'!D145)</f>
        <v/>
      </c>
      <c r="E6642" s="66" t="str">
        <f>IF('Twenty-Seventh'!E145="", "",'Twenty-Seventh'!E145)</f>
        <v/>
      </c>
      <c r="F6642" s="66" t="str">
        <f>IF('Twenty-Seventh'!F145="", "",'Twenty-Seventh'!F145)</f>
        <v/>
      </c>
      <c r="G6642" s="66" t="str">
        <f>IF('Twenty-Seventh'!G145="", "",'Twenty-Seventh'!G145)</f>
        <v/>
      </c>
      <c r="H6642" s="66" t="str">
        <f>IF('Twenty-Seventh'!H145="", "",'Twenty-Seventh'!H145)</f>
        <v/>
      </c>
      <c r="I6642" s="66" t="str">
        <f>IF('Twenty-Seventh'!I145="", "",'Twenty-Seventh'!I145)</f>
        <v/>
      </c>
      <c r="J6642" s="66" t="str">
        <f>IF('Twenty-Seventh'!J145="", "",'Twenty-Seventh'!J145)</f>
        <v/>
      </c>
      <c r="K6642" s="86" t="str">
        <f>IF('Twenty-Seventh'!K145="", "",'Twenty-Seventh'!K145)</f>
        <v/>
      </c>
      <c r="M6642" s="67" t="str">
        <f t="shared" si="314"/>
        <v/>
      </c>
      <c r="N6642" s="76" t="str">
        <f t="shared" si="315"/>
        <v/>
      </c>
      <c r="O6642" s="33">
        <f t="shared" si="316"/>
        <v>0</v>
      </c>
    </row>
    <row r="6643" spans="1:15" x14ac:dyDescent="0.25">
      <c r="A6643" s="64" t="s">
        <v>211</v>
      </c>
      <c r="B6643" s="79" t="str">
        <f>IF('Twenty-Seventh'!B146="", "",'Twenty-Seventh'!B146)</f>
        <v/>
      </c>
      <c r="C6643" s="66" t="str">
        <f>IF('Twenty-Seventh'!C146="", "",'Twenty-Seventh'!C146)</f>
        <v/>
      </c>
      <c r="D6643" s="66" t="str">
        <f>IF('Twenty-Seventh'!D146="", "",'Twenty-Seventh'!D146)</f>
        <v/>
      </c>
      <c r="E6643" s="66" t="str">
        <f>IF('Twenty-Seventh'!E146="", "",'Twenty-Seventh'!E146)</f>
        <v/>
      </c>
      <c r="F6643" s="66" t="str">
        <f>IF('Twenty-Seventh'!F146="", "",'Twenty-Seventh'!F146)</f>
        <v/>
      </c>
      <c r="G6643" s="66" t="str">
        <f>IF('Twenty-Seventh'!G146="", "",'Twenty-Seventh'!G146)</f>
        <v/>
      </c>
      <c r="H6643" s="66" t="str">
        <f>IF('Twenty-Seventh'!H146="", "",'Twenty-Seventh'!H146)</f>
        <v/>
      </c>
      <c r="I6643" s="66" t="str">
        <f>IF('Twenty-Seventh'!I146="", "",'Twenty-Seventh'!I146)</f>
        <v/>
      </c>
      <c r="J6643" s="66" t="str">
        <f>IF('Twenty-Seventh'!J146="", "",'Twenty-Seventh'!J146)</f>
        <v/>
      </c>
      <c r="K6643" s="86" t="str">
        <f>IF('Twenty-Seventh'!K146="", "",'Twenty-Seventh'!K146)</f>
        <v/>
      </c>
      <c r="M6643" s="67" t="str">
        <f t="shared" si="314"/>
        <v/>
      </c>
      <c r="N6643" s="76" t="str">
        <f t="shared" si="315"/>
        <v/>
      </c>
      <c r="O6643" s="33">
        <f t="shared" si="316"/>
        <v>0</v>
      </c>
    </row>
    <row r="6644" spans="1:15" x14ac:dyDescent="0.25">
      <c r="A6644" s="64" t="s">
        <v>211</v>
      </c>
      <c r="B6644" s="79" t="str">
        <f>IF('Twenty-Seventh'!B147="", "",'Twenty-Seventh'!B147)</f>
        <v/>
      </c>
      <c r="C6644" s="66" t="str">
        <f>IF('Twenty-Seventh'!C147="", "",'Twenty-Seventh'!C147)</f>
        <v/>
      </c>
      <c r="D6644" s="66" t="str">
        <f>IF('Twenty-Seventh'!D147="", "",'Twenty-Seventh'!D147)</f>
        <v/>
      </c>
      <c r="E6644" s="66" t="str">
        <f>IF('Twenty-Seventh'!E147="", "",'Twenty-Seventh'!E147)</f>
        <v/>
      </c>
      <c r="F6644" s="66" t="str">
        <f>IF('Twenty-Seventh'!F147="", "",'Twenty-Seventh'!F147)</f>
        <v/>
      </c>
      <c r="G6644" s="66" t="str">
        <f>IF('Twenty-Seventh'!G147="", "",'Twenty-Seventh'!G147)</f>
        <v/>
      </c>
      <c r="H6644" s="66" t="str">
        <f>IF('Twenty-Seventh'!H147="", "",'Twenty-Seventh'!H147)</f>
        <v/>
      </c>
      <c r="I6644" s="66" t="str">
        <f>IF('Twenty-Seventh'!I147="", "",'Twenty-Seventh'!I147)</f>
        <v/>
      </c>
      <c r="J6644" s="66" t="str">
        <f>IF('Twenty-Seventh'!J147="", "",'Twenty-Seventh'!J147)</f>
        <v/>
      </c>
      <c r="K6644" s="86" t="str">
        <f>IF('Twenty-Seventh'!K147="", "",'Twenty-Seventh'!K147)</f>
        <v/>
      </c>
      <c r="M6644" s="67" t="str">
        <f t="shared" si="314"/>
        <v/>
      </c>
      <c r="N6644" s="76" t="str">
        <f t="shared" si="315"/>
        <v/>
      </c>
      <c r="O6644" s="33">
        <f t="shared" si="316"/>
        <v>0</v>
      </c>
    </row>
    <row r="6645" spans="1:15" x14ac:dyDescent="0.25">
      <c r="A6645" s="64" t="s">
        <v>211</v>
      </c>
      <c r="B6645" s="79" t="str">
        <f>IF('Twenty-Seventh'!B148="", "",'Twenty-Seventh'!B148)</f>
        <v/>
      </c>
      <c r="C6645" s="66" t="str">
        <f>IF('Twenty-Seventh'!C148="", "",'Twenty-Seventh'!C148)</f>
        <v/>
      </c>
      <c r="D6645" s="66" t="str">
        <f>IF('Twenty-Seventh'!D148="", "",'Twenty-Seventh'!D148)</f>
        <v/>
      </c>
      <c r="E6645" s="66" t="str">
        <f>IF('Twenty-Seventh'!E148="", "",'Twenty-Seventh'!E148)</f>
        <v/>
      </c>
      <c r="F6645" s="66" t="str">
        <f>IF('Twenty-Seventh'!F148="", "",'Twenty-Seventh'!F148)</f>
        <v/>
      </c>
      <c r="G6645" s="66" t="str">
        <f>IF('Twenty-Seventh'!G148="", "",'Twenty-Seventh'!G148)</f>
        <v/>
      </c>
      <c r="H6645" s="66" t="str">
        <f>IF('Twenty-Seventh'!H148="", "",'Twenty-Seventh'!H148)</f>
        <v/>
      </c>
      <c r="I6645" s="66" t="str">
        <f>IF('Twenty-Seventh'!I148="", "",'Twenty-Seventh'!I148)</f>
        <v/>
      </c>
      <c r="J6645" s="66" t="str">
        <f>IF('Twenty-Seventh'!J148="", "",'Twenty-Seventh'!J148)</f>
        <v/>
      </c>
      <c r="K6645" s="86" t="str">
        <f>IF('Twenty-Seventh'!K148="", "",'Twenty-Seventh'!K148)</f>
        <v/>
      </c>
      <c r="M6645" s="67" t="str">
        <f t="shared" si="314"/>
        <v/>
      </c>
      <c r="N6645" s="76" t="str">
        <f t="shared" si="315"/>
        <v/>
      </c>
      <c r="O6645" s="33">
        <f t="shared" si="316"/>
        <v>0</v>
      </c>
    </row>
    <row r="6646" spans="1:15" x14ac:dyDescent="0.25">
      <c r="A6646" s="64" t="s">
        <v>211</v>
      </c>
      <c r="B6646" s="79" t="str">
        <f>IF('Twenty-Seventh'!B149="", "",'Twenty-Seventh'!B149)</f>
        <v/>
      </c>
      <c r="C6646" s="66" t="str">
        <f>IF('Twenty-Seventh'!C149="", "",'Twenty-Seventh'!C149)</f>
        <v/>
      </c>
      <c r="D6646" s="66" t="str">
        <f>IF('Twenty-Seventh'!D149="", "",'Twenty-Seventh'!D149)</f>
        <v/>
      </c>
      <c r="E6646" s="66" t="str">
        <f>IF('Twenty-Seventh'!E149="", "",'Twenty-Seventh'!E149)</f>
        <v/>
      </c>
      <c r="F6646" s="66" t="str">
        <f>IF('Twenty-Seventh'!F149="", "",'Twenty-Seventh'!F149)</f>
        <v/>
      </c>
      <c r="G6646" s="66" t="str">
        <f>IF('Twenty-Seventh'!G149="", "",'Twenty-Seventh'!G149)</f>
        <v/>
      </c>
      <c r="H6646" s="66" t="str">
        <f>IF('Twenty-Seventh'!H149="", "",'Twenty-Seventh'!H149)</f>
        <v/>
      </c>
      <c r="I6646" s="66" t="str">
        <f>IF('Twenty-Seventh'!I149="", "",'Twenty-Seventh'!I149)</f>
        <v/>
      </c>
      <c r="J6646" s="66" t="str">
        <f>IF('Twenty-Seventh'!J149="", "",'Twenty-Seventh'!J149)</f>
        <v/>
      </c>
      <c r="K6646" s="86" t="str">
        <f>IF('Twenty-Seventh'!K149="", "",'Twenty-Seventh'!K149)</f>
        <v/>
      </c>
      <c r="M6646" s="67" t="str">
        <f t="shared" si="314"/>
        <v/>
      </c>
      <c r="N6646" s="76" t="str">
        <f t="shared" si="315"/>
        <v/>
      </c>
      <c r="O6646" s="33">
        <f t="shared" si="316"/>
        <v>0</v>
      </c>
    </row>
    <row r="6647" spans="1:15" x14ac:dyDescent="0.25">
      <c r="A6647" s="64" t="s">
        <v>211</v>
      </c>
      <c r="B6647" s="79" t="str">
        <f>IF('Twenty-Seventh'!B150="", "",'Twenty-Seventh'!B150)</f>
        <v/>
      </c>
      <c r="C6647" s="66" t="str">
        <f>IF('Twenty-Seventh'!C150="", "",'Twenty-Seventh'!C150)</f>
        <v/>
      </c>
      <c r="D6647" s="66" t="str">
        <f>IF('Twenty-Seventh'!D150="", "",'Twenty-Seventh'!D150)</f>
        <v/>
      </c>
      <c r="E6647" s="66" t="str">
        <f>IF('Twenty-Seventh'!E150="", "",'Twenty-Seventh'!E150)</f>
        <v/>
      </c>
      <c r="F6647" s="66" t="str">
        <f>IF('Twenty-Seventh'!F150="", "",'Twenty-Seventh'!F150)</f>
        <v/>
      </c>
      <c r="G6647" s="66" t="str">
        <f>IF('Twenty-Seventh'!G150="", "",'Twenty-Seventh'!G150)</f>
        <v/>
      </c>
      <c r="H6647" s="66" t="str">
        <f>IF('Twenty-Seventh'!H150="", "",'Twenty-Seventh'!H150)</f>
        <v/>
      </c>
      <c r="I6647" s="66" t="str">
        <f>IF('Twenty-Seventh'!I150="", "",'Twenty-Seventh'!I150)</f>
        <v/>
      </c>
      <c r="J6647" s="66" t="str">
        <f>IF('Twenty-Seventh'!J150="", "",'Twenty-Seventh'!J150)</f>
        <v/>
      </c>
      <c r="K6647" s="86" t="str">
        <f>IF('Twenty-Seventh'!K150="", "",'Twenty-Seventh'!K150)</f>
        <v/>
      </c>
      <c r="M6647" s="67" t="str">
        <f t="shared" si="314"/>
        <v/>
      </c>
      <c r="N6647" s="76" t="str">
        <f t="shared" si="315"/>
        <v/>
      </c>
      <c r="O6647" s="33">
        <f t="shared" si="316"/>
        <v>0</v>
      </c>
    </row>
    <row r="6648" spans="1:15" x14ac:dyDescent="0.25">
      <c r="A6648" s="64" t="s">
        <v>211</v>
      </c>
      <c r="B6648" s="79" t="str">
        <f>IF('Twenty-Seventh'!B151="", "",'Twenty-Seventh'!B151)</f>
        <v/>
      </c>
      <c r="C6648" s="66" t="str">
        <f>IF('Twenty-Seventh'!C151="", "",'Twenty-Seventh'!C151)</f>
        <v/>
      </c>
      <c r="D6648" s="66" t="str">
        <f>IF('Twenty-Seventh'!D151="", "",'Twenty-Seventh'!D151)</f>
        <v/>
      </c>
      <c r="E6648" s="66" t="str">
        <f>IF('Twenty-Seventh'!E151="", "",'Twenty-Seventh'!E151)</f>
        <v/>
      </c>
      <c r="F6648" s="66" t="str">
        <f>IF('Twenty-Seventh'!F151="", "",'Twenty-Seventh'!F151)</f>
        <v/>
      </c>
      <c r="G6648" s="66" t="str">
        <f>IF('Twenty-Seventh'!G151="", "",'Twenty-Seventh'!G151)</f>
        <v/>
      </c>
      <c r="H6648" s="66" t="str">
        <f>IF('Twenty-Seventh'!H151="", "",'Twenty-Seventh'!H151)</f>
        <v/>
      </c>
      <c r="I6648" s="66" t="str">
        <f>IF('Twenty-Seventh'!I151="", "",'Twenty-Seventh'!I151)</f>
        <v/>
      </c>
      <c r="J6648" s="66" t="str">
        <f>IF('Twenty-Seventh'!J151="", "",'Twenty-Seventh'!J151)</f>
        <v/>
      </c>
      <c r="K6648" s="86" t="str">
        <f>IF('Twenty-Seventh'!K151="", "",'Twenty-Seventh'!K151)</f>
        <v/>
      </c>
      <c r="M6648" s="67" t="str">
        <f t="shared" si="314"/>
        <v/>
      </c>
      <c r="N6648" s="76" t="str">
        <f t="shared" si="315"/>
        <v/>
      </c>
      <c r="O6648" s="33">
        <f t="shared" si="316"/>
        <v>0</v>
      </c>
    </row>
    <row r="6649" spans="1:15" x14ac:dyDescent="0.25">
      <c r="A6649" s="64" t="s">
        <v>211</v>
      </c>
      <c r="B6649" s="79" t="str">
        <f>IF('Twenty-Seventh'!B152="", "",'Twenty-Seventh'!B152)</f>
        <v/>
      </c>
      <c r="C6649" s="66" t="str">
        <f>IF('Twenty-Seventh'!C152="", "",'Twenty-Seventh'!C152)</f>
        <v/>
      </c>
      <c r="D6649" s="66" t="str">
        <f>IF('Twenty-Seventh'!D152="", "",'Twenty-Seventh'!D152)</f>
        <v/>
      </c>
      <c r="E6649" s="66" t="str">
        <f>IF('Twenty-Seventh'!E152="", "",'Twenty-Seventh'!E152)</f>
        <v/>
      </c>
      <c r="F6649" s="66" t="str">
        <f>IF('Twenty-Seventh'!F152="", "",'Twenty-Seventh'!F152)</f>
        <v/>
      </c>
      <c r="G6649" s="66" t="str">
        <f>IF('Twenty-Seventh'!G152="", "",'Twenty-Seventh'!G152)</f>
        <v/>
      </c>
      <c r="H6649" s="66" t="str">
        <f>IF('Twenty-Seventh'!H152="", "",'Twenty-Seventh'!H152)</f>
        <v/>
      </c>
      <c r="I6649" s="66" t="str">
        <f>IF('Twenty-Seventh'!I152="", "",'Twenty-Seventh'!I152)</f>
        <v/>
      </c>
      <c r="J6649" s="66" t="str">
        <f>IF('Twenty-Seventh'!J152="", "",'Twenty-Seventh'!J152)</f>
        <v/>
      </c>
      <c r="K6649" s="86" t="str">
        <f>IF('Twenty-Seventh'!K152="", "",'Twenty-Seventh'!K152)</f>
        <v/>
      </c>
      <c r="M6649" s="67" t="str">
        <f t="shared" si="314"/>
        <v/>
      </c>
      <c r="N6649" s="76" t="str">
        <f t="shared" si="315"/>
        <v/>
      </c>
      <c r="O6649" s="33">
        <f t="shared" si="316"/>
        <v>0</v>
      </c>
    </row>
    <row r="6650" spans="1:15" x14ac:dyDescent="0.25">
      <c r="A6650" s="64" t="s">
        <v>211</v>
      </c>
      <c r="B6650" s="79" t="str">
        <f>IF('Twenty-Seventh'!B153="", "",'Twenty-Seventh'!B153)</f>
        <v/>
      </c>
      <c r="C6650" s="66" t="str">
        <f>IF('Twenty-Seventh'!C153="", "",'Twenty-Seventh'!C153)</f>
        <v/>
      </c>
      <c r="D6650" s="66" t="str">
        <f>IF('Twenty-Seventh'!D153="", "",'Twenty-Seventh'!D153)</f>
        <v/>
      </c>
      <c r="E6650" s="66" t="str">
        <f>IF('Twenty-Seventh'!E153="", "",'Twenty-Seventh'!E153)</f>
        <v/>
      </c>
      <c r="F6650" s="66" t="str">
        <f>IF('Twenty-Seventh'!F153="", "",'Twenty-Seventh'!F153)</f>
        <v/>
      </c>
      <c r="G6650" s="66" t="str">
        <f>IF('Twenty-Seventh'!G153="", "",'Twenty-Seventh'!G153)</f>
        <v/>
      </c>
      <c r="H6650" s="66" t="str">
        <f>IF('Twenty-Seventh'!H153="", "",'Twenty-Seventh'!H153)</f>
        <v/>
      </c>
      <c r="I6650" s="66" t="str">
        <f>IF('Twenty-Seventh'!I153="", "",'Twenty-Seventh'!I153)</f>
        <v/>
      </c>
      <c r="J6650" s="66" t="str">
        <f>IF('Twenty-Seventh'!J153="", "",'Twenty-Seventh'!J153)</f>
        <v/>
      </c>
      <c r="K6650" s="86" t="str">
        <f>IF('Twenty-Seventh'!K153="", "",'Twenty-Seventh'!K153)</f>
        <v/>
      </c>
      <c r="M6650" s="67" t="str">
        <f t="shared" si="314"/>
        <v/>
      </c>
      <c r="N6650" s="76" t="str">
        <f t="shared" si="315"/>
        <v/>
      </c>
      <c r="O6650" s="33">
        <f t="shared" si="316"/>
        <v>0</v>
      </c>
    </row>
    <row r="6651" spans="1:15" x14ac:dyDescent="0.25">
      <c r="A6651" s="64" t="s">
        <v>211</v>
      </c>
      <c r="B6651" s="79" t="str">
        <f>IF('Twenty-Seventh'!B154="", "",'Twenty-Seventh'!B154)</f>
        <v/>
      </c>
      <c r="C6651" s="66" t="str">
        <f>IF('Twenty-Seventh'!C154="", "",'Twenty-Seventh'!C154)</f>
        <v/>
      </c>
      <c r="D6651" s="66" t="str">
        <f>IF('Twenty-Seventh'!D154="", "",'Twenty-Seventh'!D154)</f>
        <v/>
      </c>
      <c r="E6651" s="66" t="str">
        <f>IF('Twenty-Seventh'!E154="", "",'Twenty-Seventh'!E154)</f>
        <v/>
      </c>
      <c r="F6651" s="66" t="str">
        <f>IF('Twenty-Seventh'!F154="", "",'Twenty-Seventh'!F154)</f>
        <v/>
      </c>
      <c r="G6651" s="66" t="str">
        <f>IF('Twenty-Seventh'!G154="", "",'Twenty-Seventh'!G154)</f>
        <v/>
      </c>
      <c r="H6651" s="66" t="str">
        <f>IF('Twenty-Seventh'!H154="", "",'Twenty-Seventh'!H154)</f>
        <v/>
      </c>
      <c r="I6651" s="66" t="str">
        <f>IF('Twenty-Seventh'!I154="", "",'Twenty-Seventh'!I154)</f>
        <v/>
      </c>
      <c r="J6651" s="66" t="str">
        <f>IF('Twenty-Seventh'!J154="", "",'Twenty-Seventh'!J154)</f>
        <v/>
      </c>
      <c r="K6651" s="86" t="str">
        <f>IF('Twenty-Seventh'!K154="", "",'Twenty-Seventh'!K154)</f>
        <v/>
      </c>
      <c r="M6651" s="67" t="str">
        <f t="shared" si="314"/>
        <v/>
      </c>
      <c r="N6651" s="76" t="str">
        <f t="shared" si="315"/>
        <v/>
      </c>
      <c r="O6651" s="33">
        <f t="shared" si="316"/>
        <v>0</v>
      </c>
    </row>
    <row r="6652" spans="1:15" x14ac:dyDescent="0.25">
      <c r="A6652" s="64" t="s">
        <v>211</v>
      </c>
      <c r="B6652" s="79" t="str">
        <f>IF('Twenty-Seventh'!B155="", "",'Twenty-Seventh'!B155)</f>
        <v/>
      </c>
      <c r="C6652" s="66" t="str">
        <f>IF('Twenty-Seventh'!C155="", "",'Twenty-Seventh'!C155)</f>
        <v/>
      </c>
      <c r="D6652" s="66" t="str">
        <f>IF('Twenty-Seventh'!D155="", "",'Twenty-Seventh'!D155)</f>
        <v/>
      </c>
      <c r="E6652" s="66" t="str">
        <f>IF('Twenty-Seventh'!E155="", "",'Twenty-Seventh'!E155)</f>
        <v/>
      </c>
      <c r="F6652" s="66" t="str">
        <f>IF('Twenty-Seventh'!F155="", "",'Twenty-Seventh'!F155)</f>
        <v/>
      </c>
      <c r="G6652" s="66" t="str">
        <f>IF('Twenty-Seventh'!G155="", "",'Twenty-Seventh'!G155)</f>
        <v/>
      </c>
      <c r="H6652" s="66" t="str">
        <f>IF('Twenty-Seventh'!H155="", "",'Twenty-Seventh'!H155)</f>
        <v/>
      </c>
      <c r="I6652" s="66" t="str">
        <f>IF('Twenty-Seventh'!I155="", "",'Twenty-Seventh'!I155)</f>
        <v/>
      </c>
      <c r="J6652" s="66" t="str">
        <f>IF('Twenty-Seventh'!J155="", "",'Twenty-Seventh'!J155)</f>
        <v/>
      </c>
      <c r="K6652" s="86" t="str">
        <f>IF('Twenty-Seventh'!K155="", "",'Twenty-Seventh'!K155)</f>
        <v/>
      </c>
      <c r="M6652" s="67" t="str">
        <f t="shared" si="314"/>
        <v/>
      </c>
      <c r="N6652" s="76" t="str">
        <f t="shared" si="315"/>
        <v/>
      </c>
      <c r="O6652" s="33">
        <f t="shared" si="316"/>
        <v>0</v>
      </c>
    </row>
    <row r="6653" spans="1:15" x14ac:dyDescent="0.25">
      <c r="A6653" s="64" t="s">
        <v>211</v>
      </c>
      <c r="B6653" s="79" t="str">
        <f>IF('Twenty-Seventh'!B156="", "",'Twenty-Seventh'!B156)</f>
        <v/>
      </c>
      <c r="C6653" s="66" t="str">
        <f>IF('Twenty-Seventh'!C156="", "",'Twenty-Seventh'!C156)</f>
        <v/>
      </c>
      <c r="D6653" s="66" t="str">
        <f>IF('Twenty-Seventh'!D156="", "",'Twenty-Seventh'!D156)</f>
        <v/>
      </c>
      <c r="E6653" s="66" t="str">
        <f>IF('Twenty-Seventh'!E156="", "",'Twenty-Seventh'!E156)</f>
        <v/>
      </c>
      <c r="F6653" s="66" t="str">
        <f>IF('Twenty-Seventh'!F156="", "",'Twenty-Seventh'!F156)</f>
        <v/>
      </c>
      <c r="G6653" s="66" t="str">
        <f>IF('Twenty-Seventh'!G156="", "",'Twenty-Seventh'!G156)</f>
        <v/>
      </c>
      <c r="H6653" s="66" t="str">
        <f>IF('Twenty-Seventh'!H156="", "",'Twenty-Seventh'!H156)</f>
        <v/>
      </c>
      <c r="I6653" s="66" t="str">
        <f>IF('Twenty-Seventh'!I156="", "",'Twenty-Seventh'!I156)</f>
        <v/>
      </c>
      <c r="J6653" s="66" t="str">
        <f>IF('Twenty-Seventh'!J156="", "",'Twenty-Seventh'!J156)</f>
        <v/>
      </c>
      <c r="K6653" s="86" t="str">
        <f>IF('Twenty-Seventh'!K156="", "",'Twenty-Seventh'!K156)</f>
        <v/>
      </c>
      <c r="M6653" s="67" t="str">
        <f t="shared" si="314"/>
        <v/>
      </c>
      <c r="N6653" s="76" t="str">
        <f t="shared" si="315"/>
        <v/>
      </c>
      <c r="O6653" s="33">
        <f t="shared" si="316"/>
        <v>0</v>
      </c>
    </row>
    <row r="6654" spans="1:15" x14ac:dyDescent="0.25">
      <c r="A6654" s="64" t="s">
        <v>211</v>
      </c>
      <c r="B6654" s="79" t="str">
        <f>IF('Twenty-Seventh'!B157="", "",'Twenty-Seventh'!B157)</f>
        <v/>
      </c>
      <c r="C6654" s="66" t="str">
        <f>IF('Twenty-Seventh'!C157="", "",'Twenty-Seventh'!C157)</f>
        <v/>
      </c>
      <c r="D6654" s="66" t="str">
        <f>IF('Twenty-Seventh'!D157="", "",'Twenty-Seventh'!D157)</f>
        <v/>
      </c>
      <c r="E6654" s="66" t="str">
        <f>IF('Twenty-Seventh'!E157="", "",'Twenty-Seventh'!E157)</f>
        <v/>
      </c>
      <c r="F6654" s="66" t="str">
        <f>IF('Twenty-Seventh'!F157="", "",'Twenty-Seventh'!F157)</f>
        <v/>
      </c>
      <c r="G6654" s="66" t="str">
        <f>IF('Twenty-Seventh'!G157="", "",'Twenty-Seventh'!G157)</f>
        <v/>
      </c>
      <c r="H6654" s="66" t="str">
        <f>IF('Twenty-Seventh'!H157="", "",'Twenty-Seventh'!H157)</f>
        <v/>
      </c>
      <c r="I6654" s="66" t="str">
        <f>IF('Twenty-Seventh'!I157="", "",'Twenty-Seventh'!I157)</f>
        <v/>
      </c>
      <c r="J6654" s="66" t="str">
        <f>IF('Twenty-Seventh'!J157="", "",'Twenty-Seventh'!J157)</f>
        <v/>
      </c>
      <c r="K6654" s="86" t="str">
        <f>IF('Twenty-Seventh'!K157="", "",'Twenty-Seventh'!K157)</f>
        <v/>
      </c>
      <c r="M6654" s="67" t="str">
        <f t="shared" si="314"/>
        <v/>
      </c>
      <c r="N6654" s="76" t="str">
        <f t="shared" si="315"/>
        <v/>
      </c>
      <c r="O6654" s="33">
        <f t="shared" si="316"/>
        <v>0</v>
      </c>
    </row>
    <row r="6655" spans="1:15" x14ac:dyDescent="0.25">
      <c r="A6655" s="64" t="s">
        <v>211</v>
      </c>
      <c r="B6655" s="79" t="str">
        <f>IF('Twenty-Seventh'!B158="", "",'Twenty-Seventh'!B158)</f>
        <v/>
      </c>
      <c r="C6655" s="66" t="str">
        <f>IF('Twenty-Seventh'!C158="", "",'Twenty-Seventh'!C158)</f>
        <v/>
      </c>
      <c r="D6655" s="66" t="str">
        <f>IF('Twenty-Seventh'!D158="", "",'Twenty-Seventh'!D158)</f>
        <v/>
      </c>
      <c r="E6655" s="66" t="str">
        <f>IF('Twenty-Seventh'!E158="", "",'Twenty-Seventh'!E158)</f>
        <v/>
      </c>
      <c r="F6655" s="66" t="str">
        <f>IF('Twenty-Seventh'!F158="", "",'Twenty-Seventh'!F158)</f>
        <v/>
      </c>
      <c r="G6655" s="66" t="str">
        <f>IF('Twenty-Seventh'!G158="", "",'Twenty-Seventh'!G158)</f>
        <v/>
      </c>
      <c r="H6655" s="66" t="str">
        <f>IF('Twenty-Seventh'!H158="", "",'Twenty-Seventh'!H158)</f>
        <v/>
      </c>
      <c r="I6655" s="66" t="str">
        <f>IF('Twenty-Seventh'!I158="", "",'Twenty-Seventh'!I158)</f>
        <v/>
      </c>
      <c r="J6655" s="66" t="str">
        <f>IF('Twenty-Seventh'!J158="", "",'Twenty-Seventh'!J158)</f>
        <v/>
      </c>
      <c r="K6655" s="86" t="str">
        <f>IF('Twenty-Seventh'!K158="", "",'Twenty-Seventh'!K158)</f>
        <v/>
      </c>
      <c r="M6655" s="67" t="str">
        <f t="shared" ref="M6655:M6718" si="317">IF(C6655="PwC",(7-COUNTIF(B6655:H6655,"")),"")</f>
        <v/>
      </c>
      <c r="N6655" s="76" t="str">
        <f t="shared" ref="N6655:N6718" si="318">IF(C6655="Carer",(7-COUNTIF(B6655:H6655,"")),"")</f>
        <v/>
      </c>
      <c r="O6655" s="33">
        <f t="shared" si="316"/>
        <v>0</v>
      </c>
    </row>
    <row r="6656" spans="1:15" x14ac:dyDescent="0.25">
      <c r="A6656" s="64" t="s">
        <v>211</v>
      </c>
      <c r="B6656" s="79" t="str">
        <f>IF('Twenty-Seventh'!B159="", "",'Twenty-Seventh'!B159)</f>
        <v/>
      </c>
      <c r="C6656" s="66" t="str">
        <f>IF('Twenty-Seventh'!C159="", "",'Twenty-Seventh'!C159)</f>
        <v/>
      </c>
      <c r="D6656" s="66" t="str">
        <f>IF('Twenty-Seventh'!D159="", "",'Twenty-Seventh'!D159)</f>
        <v/>
      </c>
      <c r="E6656" s="66" t="str">
        <f>IF('Twenty-Seventh'!E159="", "",'Twenty-Seventh'!E159)</f>
        <v/>
      </c>
      <c r="F6656" s="66" t="str">
        <f>IF('Twenty-Seventh'!F159="", "",'Twenty-Seventh'!F159)</f>
        <v/>
      </c>
      <c r="G6656" s="66" t="str">
        <f>IF('Twenty-Seventh'!G159="", "",'Twenty-Seventh'!G159)</f>
        <v/>
      </c>
      <c r="H6656" s="66" t="str">
        <f>IF('Twenty-Seventh'!H159="", "",'Twenty-Seventh'!H159)</f>
        <v/>
      </c>
      <c r="I6656" s="66" t="str">
        <f>IF('Twenty-Seventh'!I159="", "",'Twenty-Seventh'!I159)</f>
        <v/>
      </c>
      <c r="J6656" s="66" t="str">
        <f>IF('Twenty-Seventh'!J159="", "",'Twenty-Seventh'!J159)</f>
        <v/>
      </c>
      <c r="K6656" s="86" t="str">
        <f>IF('Twenty-Seventh'!K159="", "",'Twenty-Seventh'!K159)</f>
        <v/>
      </c>
      <c r="M6656" s="67" t="str">
        <f t="shared" si="317"/>
        <v/>
      </c>
      <c r="N6656" s="76" t="str">
        <f t="shared" si="318"/>
        <v/>
      </c>
      <c r="O6656" s="33">
        <f t="shared" si="316"/>
        <v>0</v>
      </c>
    </row>
    <row r="6657" spans="1:15" x14ac:dyDescent="0.25">
      <c r="A6657" s="64" t="s">
        <v>211</v>
      </c>
      <c r="B6657" s="79" t="str">
        <f>IF('Twenty-Seventh'!B160="", "",'Twenty-Seventh'!B160)</f>
        <v/>
      </c>
      <c r="C6657" s="66" t="str">
        <f>IF('Twenty-Seventh'!C160="", "",'Twenty-Seventh'!C160)</f>
        <v/>
      </c>
      <c r="D6657" s="66" t="str">
        <f>IF('Twenty-Seventh'!D160="", "",'Twenty-Seventh'!D160)</f>
        <v/>
      </c>
      <c r="E6657" s="66" t="str">
        <f>IF('Twenty-Seventh'!E160="", "",'Twenty-Seventh'!E160)</f>
        <v/>
      </c>
      <c r="F6657" s="66" t="str">
        <f>IF('Twenty-Seventh'!F160="", "",'Twenty-Seventh'!F160)</f>
        <v/>
      </c>
      <c r="G6657" s="66" t="str">
        <f>IF('Twenty-Seventh'!G160="", "",'Twenty-Seventh'!G160)</f>
        <v/>
      </c>
      <c r="H6657" s="66" t="str">
        <f>IF('Twenty-Seventh'!H160="", "",'Twenty-Seventh'!H160)</f>
        <v/>
      </c>
      <c r="I6657" s="66" t="str">
        <f>IF('Twenty-Seventh'!I160="", "",'Twenty-Seventh'!I160)</f>
        <v/>
      </c>
      <c r="J6657" s="66" t="str">
        <f>IF('Twenty-Seventh'!J160="", "",'Twenty-Seventh'!J160)</f>
        <v/>
      </c>
      <c r="K6657" s="86" t="str">
        <f>IF('Twenty-Seventh'!K160="", "",'Twenty-Seventh'!K160)</f>
        <v/>
      </c>
      <c r="M6657" s="67" t="str">
        <f t="shared" si="317"/>
        <v/>
      </c>
      <c r="N6657" s="76" t="str">
        <f t="shared" si="318"/>
        <v/>
      </c>
      <c r="O6657" s="33">
        <f t="shared" si="316"/>
        <v>0</v>
      </c>
    </row>
    <row r="6658" spans="1:15" x14ac:dyDescent="0.25">
      <c r="A6658" s="64" t="s">
        <v>211</v>
      </c>
      <c r="B6658" s="79" t="str">
        <f>IF('Twenty-Seventh'!B161="", "",'Twenty-Seventh'!B161)</f>
        <v/>
      </c>
      <c r="C6658" s="66" t="str">
        <f>IF('Twenty-Seventh'!C161="", "",'Twenty-Seventh'!C161)</f>
        <v/>
      </c>
      <c r="D6658" s="66" t="str">
        <f>IF('Twenty-Seventh'!D161="", "",'Twenty-Seventh'!D161)</f>
        <v/>
      </c>
      <c r="E6658" s="66" t="str">
        <f>IF('Twenty-Seventh'!E161="", "",'Twenty-Seventh'!E161)</f>
        <v/>
      </c>
      <c r="F6658" s="66" t="str">
        <f>IF('Twenty-Seventh'!F161="", "",'Twenty-Seventh'!F161)</f>
        <v/>
      </c>
      <c r="G6658" s="66" t="str">
        <f>IF('Twenty-Seventh'!G161="", "",'Twenty-Seventh'!G161)</f>
        <v/>
      </c>
      <c r="H6658" s="66" t="str">
        <f>IF('Twenty-Seventh'!H161="", "",'Twenty-Seventh'!H161)</f>
        <v/>
      </c>
      <c r="I6658" s="66" t="str">
        <f>IF('Twenty-Seventh'!I161="", "",'Twenty-Seventh'!I161)</f>
        <v/>
      </c>
      <c r="J6658" s="66" t="str">
        <f>IF('Twenty-Seventh'!J161="", "",'Twenty-Seventh'!J161)</f>
        <v/>
      </c>
      <c r="K6658" s="86" t="str">
        <f>IF('Twenty-Seventh'!K161="", "",'Twenty-Seventh'!K161)</f>
        <v/>
      </c>
      <c r="M6658" s="67" t="str">
        <f t="shared" si="317"/>
        <v/>
      </c>
      <c r="N6658" s="76" t="str">
        <f t="shared" si="318"/>
        <v/>
      </c>
      <c r="O6658" s="33">
        <f t="shared" si="316"/>
        <v>0</v>
      </c>
    </row>
    <row r="6659" spans="1:15" x14ac:dyDescent="0.25">
      <c r="A6659" s="64" t="s">
        <v>211</v>
      </c>
      <c r="B6659" s="79" t="str">
        <f>IF('Twenty-Seventh'!B162="", "",'Twenty-Seventh'!B162)</f>
        <v/>
      </c>
      <c r="C6659" s="66" t="str">
        <f>IF('Twenty-Seventh'!C162="", "",'Twenty-Seventh'!C162)</f>
        <v/>
      </c>
      <c r="D6659" s="66" t="str">
        <f>IF('Twenty-Seventh'!D162="", "",'Twenty-Seventh'!D162)</f>
        <v/>
      </c>
      <c r="E6659" s="66" t="str">
        <f>IF('Twenty-Seventh'!E162="", "",'Twenty-Seventh'!E162)</f>
        <v/>
      </c>
      <c r="F6659" s="66" t="str">
        <f>IF('Twenty-Seventh'!F162="", "",'Twenty-Seventh'!F162)</f>
        <v/>
      </c>
      <c r="G6659" s="66" t="str">
        <f>IF('Twenty-Seventh'!G162="", "",'Twenty-Seventh'!G162)</f>
        <v/>
      </c>
      <c r="H6659" s="66" t="str">
        <f>IF('Twenty-Seventh'!H162="", "",'Twenty-Seventh'!H162)</f>
        <v/>
      </c>
      <c r="I6659" s="66" t="str">
        <f>IF('Twenty-Seventh'!I162="", "",'Twenty-Seventh'!I162)</f>
        <v/>
      </c>
      <c r="J6659" s="66" t="str">
        <f>IF('Twenty-Seventh'!J162="", "",'Twenty-Seventh'!J162)</f>
        <v/>
      </c>
      <c r="K6659" s="86" t="str">
        <f>IF('Twenty-Seventh'!K162="", "",'Twenty-Seventh'!K162)</f>
        <v/>
      </c>
      <c r="M6659" s="67" t="str">
        <f t="shared" si="317"/>
        <v/>
      </c>
      <c r="N6659" s="76" t="str">
        <f t="shared" si="318"/>
        <v/>
      </c>
      <c r="O6659" s="33">
        <f t="shared" si="316"/>
        <v>0</v>
      </c>
    </row>
    <row r="6660" spans="1:15" x14ac:dyDescent="0.25">
      <c r="A6660" s="64" t="s">
        <v>211</v>
      </c>
      <c r="B6660" s="79" t="str">
        <f>IF('Twenty-Seventh'!B163="", "",'Twenty-Seventh'!B163)</f>
        <v/>
      </c>
      <c r="C6660" s="66" t="str">
        <f>IF('Twenty-Seventh'!C163="", "",'Twenty-Seventh'!C163)</f>
        <v/>
      </c>
      <c r="D6660" s="66" t="str">
        <f>IF('Twenty-Seventh'!D163="", "",'Twenty-Seventh'!D163)</f>
        <v/>
      </c>
      <c r="E6660" s="66" t="str">
        <f>IF('Twenty-Seventh'!E163="", "",'Twenty-Seventh'!E163)</f>
        <v/>
      </c>
      <c r="F6660" s="66" t="str">
        <f>IF('Twenty-Seventh'!F163="", "",'Twenty-Seventh'!F163)</f>
        <v/>
      </c>
      <c r="G6660" s="66" t="str">
        <f>IF('Twenty-Seventh'!G163="", "",'Twenty-Seventh'!G163)</f>
        <v/>
      </c>
      <c r="H6660" s="66" t="str">
        <f>IF('Twenty-Seventh'!H163="", "",'Twenty-Seventh'!H163)</f>
        <v/>
      </c>
      <c r="I6660" s="66" t="str">
        <f>IF('Twenty-Seventh'!I163="", "",'Twenty-Seventh'!I163)</f>
        <v/>
      </c>
      <c r="J6660" s="66" t="str">
        <f>IF('Twenty-Seventh'!J163="", "",'Twenty-Seventh'!J163)</f>
        <v/>
      </c>
      <c r="K6660" s="86" t="str">
        <f>IF('Twenty-Seventh'!K163="", "",'Twenty-Seventh'!K163)</f>
        <v/>
      </c>
      <c r="M6660" s="67" t="str">
        <f t="shared" si="317"/>
        <v/>
      </c>
      <c r="N6660" s="76" t="str">
        <f t="shared" si="318"/>
        <v/>
      </c>
      <c r="O6660" s="33">
        <f t="shared" si="316"/>
        <v>0</v>
      </c>
    </row>
    <row r="6661" spans="1:15" x14ac:dyDescent="0.25">
      <c r="A6661" s="64" t="s">
        <v>211</v>
      </c>
      <c r="B6661" s="79" t="str">
        <f>IF('Twenty-Seventh'!B164="", "",'Twenty-Seventh'!B164)</f>
        <v/>
      </c>
      <c r="C6661" s="66" t="str">
        <f>IF('Twenty-Seventh'!C164="", "",'Twenty-Seventh'!C164)</f>
        <v/>
      </c>
      <c r="D6661" s="66" t="str">
        <f>IF('Twenty-Seventh'!D164="", "",'Twenty-Seventh'!D164)</f>
        <v/>
      </c>
      <c r="E6661" s="66" t="str">
        <f>IF('Twenty-Seventh'!E164="", "",'Twenty-Seventh'!E164)</f>
        <v/>
      </c>
      <c r="F6661" s="66" t="str">
        <f>IF('Twenty-Seventh'!F164="", "",'Twenty-Seventh'!F164)</f>
        <v/>
      </c>
      <c r="G6661" s="66" t="str">
        <f>IF('Twenty-Seventh'!G164="", "",'Twenty-Seventh'!G164)</f>
        <v/>
      </c>
      <c r="H6661" s="66" t="str">
        <f>IF('Twenty-Seventh'!H164="", "",'Twenty-Seventh'!H164)</f>
        <v/>
      </c>
      <c r="I6661" s="66" t="str">
        <f>IF('Twenty-Seventh'!I164="", "",'Twenty-Seventh'!I164)</f>
        <v/>
      </c>
      <c r="J6661" s="66" t="str">
        <f>IF('Twenty-Seventh'!J164="", "",'Twenty-Seventh'!J164)</f>
        <v/>
      </c>
      <c r="K6661" s="86" t="str">
        <f>IF('Twenty-Seventh'!K164="", "",'Twenty-Seventh'!K164)</f>
        <v/>
      </c>
      <c r="M6661" s="67" t="str">
        <f t="shared" si="317"/>
        <v/>
      </c>
      <c r="N6661" s="76" t="str">
        <f t="shared" si="318"/>
        <v/>
      </c>
      <c r="O6661" s="33">
        <f t="shared" si="316"/>
        <v>0</v>
      </c>
    </row>
    <row r="6662" spans="1:15" x14ac:dyDescent="0.25">
      <c r="A6662" s="64" t="s">
        <v>211</v>
      </c>
      <c r="B6662" s="79" t="str">
        <f>IF('Twenty-Seventh'!B165="", "",'Twenty-Seventh'!B165)</f>
        <v/>
      </c>
      <c r="C6662" s="66" t="str">
        <f>IF('Twenty-Seventh'!C165="", "",'Twenty-Seventh'!C165)</f>
        <v/>
      </c>
      <c r="D6662" s="66" t="str">
        <f>IF('Twenty-Seventh'!D165="", "",'Twenty-Seventh'!D165)</f>
        <v/>
      </c>
      <c r="E6662" s="66" t="str">
        <f>IF('Twenty-Seventh'!E165="", "",'Twenty-Seventh'!E165)</f>
        <v/>
      </c>
      <c r="F6662" s="66" t="str">
        <f>IF('Twenty-Seventh'!F165="", "",'Twenty-Seventh'!F165)</f>
        <v/>
      </c>
      <c r="G6662" s="66" t="str">
        <f>IF('Twenty-Seventh'!G165="", "",'Twenty-Seventh'!G165)</f>
        <v/>
      </c>
      <c r="H6662" s="66" t="str">
        <f>IF('Twenty-Seventh'!H165="", "",'Twenty-Seventh'!H165)</f>
        <v/>
      </c>
      <c r="I6662" s="66" t="str">
        <f>IF('Twenty-Seventh'!I165="", "",'Twenty-Seventh'!I165)</f>
        <v/>
      </c>
      <c r="J6662" s="66" t="str">
        <f>IF('Twenty-Seventh'!J165="", "",'Twenty-Seventh'!J165)</f>
        <v/>
      </c>
      <c r="K6662" s="86" t="str">
        <f>IF('Twenty-Seventh'!K165="", "",'Twenty-Seventh'!K165)</f>
        <v/>
      </c>
      <c r="M6662" s="67" t="str">
        <f t="shared" si="317"/>
        <v/>
      </c>
      <c r="N6662" s="76" t="str">
        <f t="shared" si="318"/>
        <v/>
      </c>
      <c r="O6662" s="33">
        <f t="shared" si="316"/>
        <v>0</v>
      </c>
    </row>
    <row r="6663" spans="1:15" x14ac:dyDescent="0.25">
      <c r="A6663" s="64" t="s">
        <v>211</v>
      </c>
      <c r="B6663" s="79" t="str">
        <f>IF('Twenty-Seventh'!B166="", "",'Twenty-Seventh'!B166)</f>
        <v/>
      </c>
      <c r="C6663" s="66" t="str">
        <f>IF('Twenty-Seventh'!C166="", "",'Twenty-Seventh'!C166)</f>
        <v/>
      </c>
      <c r="D6663" s="66" t="str">
        <f>IF('Twenty-Seventh'!D166="", "",'Twenty-Seventh'!D166)</f>
        <v/>
      </c>
      <c r="E6663" s="66" t="str">
        <f>IF('Twenty-Seventh'!E166="", "",'Twenty-Seventh'!E166)</f>
        <v/>
      </c>
      <c r="F6663" s="66" t="str">
        <f>IF('Twenty-Seventh'!F166="", "",'Twenty-Seventh'!F166)</f>
        <v/>
      </c>
      <c r="G6663" s="66" t="str">
        <f>IF('Twenty-Seventh'!G166="", "",'Twenty-Seventh'!G166)</f>
        <v/>
      </c>
      <c r="H6663" s="66" t="str">
        <f>IF('Twenty-Seventh'!H166="", "",'Twenty-Seventh'!H166)</f>
        <v/>
      </c>
      <c r="I6663" s="66" t="str">
        <f>IF('Twenty-Seventh'!I166="", "",'Twenty-Seventh'!I166)</f>
        <v/>
      </c>
      <c r="J6663" s="66" t="str">
        <f>IF('Twenty-Seventh'!J166="", "",'Twenty-Seventh'!J166)</f>
        <v/>
      </c>
      <c r="K6663" s="86" t="str">
        <f>IF('Twenty-Seventh'!K166="", "",'Twenty-Seventh'!K166)</f>
        <v/>
      </c>
      <c r="M6663" s="67" t="str">
        <f t="shared" si="317"/>
        <v/>
      </c>
      <c r="N6663" s="76" t="str">
        <f t="shared" si="318"/>
        <v/>
      </c>
      <c r="O6663" s="33">
        <f t="shared" si="316"/>
        <v>0</v>
      </c>
    </row>
    <row r="6664" spans="1:15" x14ac:dyDescent="0.25">
      <c r="A6664" s="64" t="s">
        <v>211</v>
      </c>
      <c r="B6664" s="79" t="str">
        <f>IF('Twenty-Seventh'!B167="", "",'Twenty-Seventh'!B167)</f>
        <v/>
      </c>
      <c r="C6664" s="66" t="str">
        <f>IF('Twenty-Seventh'!C167="", "",'Twenty-Seventh'!C167)</f>
        <v/>
      </c>
      <c r="D6664" s="66" t="str">
        <f>IF('Twenty-Seventh'!D167="", "",'Twenty-Seventh'!D167)</f>
        <v/>
      </c>
      <c r="E6664" s="66" t="str">
        <f>IF('Twenty-Seventh'!E167="", "",'Twenty-Seventh'!E167)</f>
        <v/>
      </c>
      <c r="F6664" s="66" t="str">
        <f>IF('Twenty-Seventh'!F167="", "",'Twenty-Seventh'!F167)</f>
        <v/>
      </c>
      <c r="G6664" s="66" t="str">
        <f>IF('Twenty-Seventh'!G167="", "",'Twenty-Seventh'!G167)</f>
        <v/>
      </c>
      <c r="H6664" s="66" t="str">
        <f>IF('Twenty-Seventh'!H167="", "",'Twenty-Seventh'!H167)</f>
        <v/>
      </c>
      <c r="I6664" s="66" t="str">
        <f>IF('Twenty-Seventh'!I167="", "",'Twenty-Seventh'!I167)</f>
        <v/>
      </c>
      <c r="J6664" s="66" t="str">
        <f>IF('Twenty-Seventh'!J167="", "",'Twenty-Seventh'!J167)</f>
        <v/>
      </c>
      <c r="K6664" s="86" t="str">
        <f>IF('Twenty-Seventh'!K167="", "",'Twenty-Seventh'!K167)</f>
        <v/>
      </c>
      <c r="M6664" s="67" t="str">
        <f t="shared" si="317"/>
        <v/>
      </c>
      <c r="N6664" s="76" t="str">
        <f t="shared" si="318"/>
        <v/>
      </c>
      <c r="O6664" s="33">
        <f t="shared" si="316"/>
        <v>0</v>
      </c>
    </row>
    <row r="6665" spans="1:15" x14ac:dyDescent="0.25">
      <c r="A6665" s="64" t="s">
        <v>211</v>
      </c>
      <c r="B6665" s="79" t="str">
        <f>IF('Twenty-Seventh'!B168="", "",'Twenty-Seventh'!B168)</f>
        <v/>
      </c>
      <c r="C6665" s="66" t="str">
        <f>IF('Twenty-Seventh'!C168="", "",'Twenty-Seventh'!C168)</f>
        <v/>
      </c>
      <c r="D6665" s="66" t="str">
        <f>IF('Twenty-Seventh'!D168="", "",'Twenty-Seventh'!D168)</f>
        <v/>
      </c>
      <c r="E6665" s="66" t="str">
        <f>IF('Twenty-Seventh'!E168="", "",'Twenty-Seventh'!E168)</f>
        <v/>
      </c>
      <c r="F6665" s="66" t="str">
        <f>IF('Twenty-Seventh'!F168="", "",'Twenty-Seventh'!F168)</f>
        <v/>
      </c>
      <c r="G6665" s="66" t="str">
        <f>IF('Twenty-Seventh'!G168="", "",'Twenty-Seventh'!G168)</f>
        <v/>
      </c>
      <c r="H6665" s="66" t="str">
        <f>IF('Twenty-Seventh'!H168="", "",'Twenty-Seventh'!H168)</f>
        <v/>
      </c>
      <c r="I6665" s="66" t="str">
        <f>IF('Twenty-Seventh'!I168="", "",'Twenty-Seventh'!I168)</f>
        <v/>
      </c>
      <c r="J6665" s="66" t="str">
        <f>IF('Twenty-Seventh'!J168="", "",'Twenty-Seventh'!J168)</f>
        <v/>
      </c>
      <c r="K6665" s="86" t="str">
        <f>IF('Twenty-Seventh'!K168="", "",'Twenty-Seventh'!K168)</f>
        <v/>
      </c>
      <c r="M6665" s="67" t="str">
        <f t="shared" si="317"/>
        <v/>
      </c>
      <c r="N6665" s="76" t="str">
        <f t="shared" si="318"/>
        <v/>
      </c>
      <c r="O6665" s="33">
        <f t="shared" si="316"/>
        <v>0</v>
      </c>
    </row>
    <row r="6666" spans="1:15" x14ac:dyDescent="0.25">
      <c r="A6666" s="64" t="s">
        <v>211</v>
      </c>
      <c r="B6666" s="79" t="str">
        <f>IF('Twenty-Seventh'!B169="", "",'Twenty-Seventh'!B169)</f>
        <v/>
      </c>
      <c r="C6666" s="66" t="str">
        <f>IF('Twenty-Seventh'!C169="", "",'Twenty-Seventh'!C169)</f>
        <v/>
      </c>
      <c r="D6666" s="66" t="str">
        <f>IF('Twenty-Seventh'!D169="", "",'Twenty-Seventh'!D169)</f>
        <v/>
      </c>
      <c r="E6666" s="66" t="str">
        <f>IF('Twenty-Seventh'!E169="", "",'Twenty-Seventh'!E169)</f>
        <v/>
      </c>
      <c r="F6666" s="66" t="str">
        <f>IF('Twenty-Seventh'!F169="", "",'Twenty-Seventh'!F169)</f>
        <v/>
      </c>
      <c r="G6666" s="66" t="str">
        <f>IF('Twenty-Seventh'!G169="", "",'Twenty-Seventh'!G169)</f>
        <v/>
      </c>
      <c r="H6666" s="66" t="str">
        <f>IF('Twenty-Seventh'!H169="", "",'Twenty-Seventh'!H169)</f>
        <v/>
      </c>
      <c r="I6666" s="66" t="str">
        <f>IF('Twenty-Seventh'!I169="", "",'Twenty-Seventh'!I169)</f>
        <v/>
      </c>
      <c r="J6666" s="66" t="str">
        <f>IF('Twenty-Seventh'!J169="", "",'Twenty-Seventh'!J169)</f>
        <v/>
      </c>
      <c r="K6666" s="86" t="str">
        <f>IF('Twenty-Seventh'!K169="", "",'Twenty-Seventh'!K169)</f>
        <v/>
      </c>
      <c r="M6666" s="67" t="str">
        <f t="shared" si="317"/>
        <v/>
      </c>
      <c r="N6666" s="76" t="str">
        <f t="shared" si="318"/>
        <v/>
      </c>
      <c r="O6666" s="33">
        <f t="shared" ref="O6666:O6729" si="319">SUM(M6666:N6666)</f>
        <v>0</v>
      </c>
    </row>
    <row r="6667" spans="1:15" x14ac:dyDescent="0.25">
      <c r="A6667" s="64" t="s">
        <v>211</v>
      </c>
      <c r="B6667" s="79" t="str">
        <f>IF('Twenty-Seventh'!B170="", "",'Twenty-Seventh'!B170)</f>
        <v/>
      </c>
      <c r="C6667" s="66" t="str">
        <f>IF('Twenty-Seventh'!C170="", "",'Twenty-Seventh'!C170)</f>
        <v/>
      </c>
      <c r="D6667" s="66" t="str">
        <f>IF('Twenty-Seventh'!D170="", "",'Twenty-Seventh'!D170)</f>
        <v/>
      </c>
      <c r="E6667" s="66" t="str">
        <f>IF('Twenty-Seventh'!E170="", "",'Twenty-Seventh'!E170)</f>
        <v/>
      </c>
      <c r="F6667" s="66" t="str">
        <f>IF('Twenty-Seventh'!F170="", "",'Twenty-Seventh'!F170)</f>
        <v/>
      </c>
      <c r="G6667" s="66" t="str">
        <f>IF('Twenty-Seventh'!G170="", "",'Twenty-Seventh'!G170)</f>
        <v/>
      </c>
      <c r="H6667" s="66" t="str">
        <f>IF('Twenty-Seventh'!H170="", "",'Twenty-Seventh'!H170)</f>
        <v/>
      </c>
      <c r="I6667" s="66" t="str">
        <f>IF('Twenty-Seventh'!I170="", "",'Twenty-Seventh'!I170)</f>
        <v/>
      </c>
      <c r="J6667" s="66" t="str">
        <f>IF('Twenty-Seventh'!J170="", "",'Twenty-Seventh'!J170)</f>
        <v/>
      </c>
      <c r="K6667" s="86" t="str">
        <f>IF('Twenty-Seventh'!K170="", "",'Twenty-Seventh'!K170)</f>
        <v/>
      </c>
      <c r="M6667" s="67" t="str">
        <f t="shared" si="317"/>
        <v/>
      </c>
      <c r="N6667" s="76" t="str">
        <f t="shared" si="318"/>
        <v/>
      </c>
      <c r="O6667" s="33">
        <f t="shared" si="319"/>
        <v>0</v>
      </c>
    </row>
    <row r="6668" spans="1:15" x14ac:dyDescent="0.25">
      <c r="A6668" s="64" t="s">
        <v>211</v>
      </c>
      <c r="B6668" s="79" t="str">
        <f>IF('Twenty-Seventh'!B171="", "",'Twenty-Seventh'!B171)</f>
        <v/>
      </c>
      <c r="C6668" s="66" t="str">
        <f>IF('Twenty-Seventh'!C171="", "",'Twenty-Seventh'!C171)</f>
        <v/>
      </c>
      <c r="D6668" s="66" t="str">
        <f>IF('Twenty-Seventh'!D171="", "",'Twenty-Seventh'!D171)</f>
        <v/>
      </c>
      <c r="E6668" s="66" t="str">
        <f>IF('Twenty-Seventh'!E171="", "",'Twenty-Seventh'!E171)</f>
        <v/>
      </c>
      <c r="F6668" s="66" t="str">
        <f>IF('Twenty-Seventh'!F171="", "",'Twenty-Seventh'!F171)</f>
        <v/>
      </c>
      <c r="G6668" s="66" t="str">
        <f>IF('Twenty-Seventh'!G171="", "",'Twenty-Seventh'!G171)</f>
        <v/>
      </c>
      <c r="H6668" s="66" t="str">
        <f>IF('Twenty-Seventh'!H171="", "",'Twenty-Seventh'!H171)</f>
        <v/>
      </c>
      <c r="I6668" s="66" t="str">
        <f>IF('Twenty-Seventh'!I171="", "",'Twenty-Seventh'!I171)</f>
        <v/>
      </c>
      <c r="J6668" s="66" t="str">
        <f>IF('Twenty-Seventh'!J171="", "",'Twenty-Seventh'!J171)</f>
        <v/>
      </c>
      <c r="K6668" s="86" t="str">
        <f>IF('Twenty-Seventh'!K171="", "",'Twenty-Seventh'!K171)</f>
        <v/>
      </c>
      <c r="M6668" s="67" t="str">
        <f t="shared" si="317"/>
        <v/>
      </c>
      <c r="N6668" s="76" t="str">
        <f t="shared" si="318"/>
        <v/>
      </c>
      <c r="O6668" s="33">
        <f t="shared" si="319"/>
        <v>0</v>
      </c>
    </row>
    <row r="6669" spans="1:15" x14ac:dyDescent="0.25">
      <c r="A6669" s="64" t="s">
        <v>211</v>
      </c>
      <c r="B6669" s="79" t="str">
        <f>IF('Twenty-Seventh'!B172="", "",'Twenty-Seventh'!B172)</f>
        <v/>
      </c>
      <c r="C6669" s="66" t="str">
        <f>IF('Twenty-Seventh'!C172="", "",'Twenty-Seventh'!C172)</f>
        <v/>
      </c>
      <c r="D6669" s="66" t="str">
        <f>IF('Twenty-Seventh'!D172="", "",'Twenty-Seventh'!D172)</f>
        <v/>
      </c>
      <c r="E6669" s="66" t="str">
        <f>IF('Twenty-Seventh'!E172="", "",'Twenty-Seventh'!E172)</f>
        <v/>
      </c>
      <c r="F6669" s="66" t="str">
        <f>IF('Twenty-Seventh'!F172="", "",'Twenty-Seventh'!F172)</f>
        <v/>
      </c>
      <c r="G6669" s="66" t="str">
        <f>IF('Twenty-Seventh'!G172="", "",'Twenty-Seventh'!G172)</f>
        <v/>
      </c>
      <c r="H6669" s="66" t="str">
        <f>IF('Twenty-Seventh'!H172="", "",'Twenty-Seventh'!H172)</f>
        <v/>
      </c>
      <c r="I6669" s="66" t="str">
        <f>IF('Twenty-Seventh'!I172="", "",'Twenty-Seventh'!I172)</f>
        <v/>
      </c>
      <c r="J6669" s="66" t="str">
        <f>IF('Twenty-Seventh'!J172="", "",'Twenty-Seventh'!J172)</f>
        <v/>
      </c>
      <c r="K6669" s="86" t="str">
        <f>IF('Twenty-Seventh'!K172="", "",'Twenty-Seventh'!K172)</f>
        <v/>
      </c>
      <c r="M6669" s="67" t="str">
        <f t="shared" si="317"/>
        <v/>
      </c>
      <c r="N6669" s="76" t="str">
        <f t="shared" si="318"/>
        <v/>
      </c>
      <c r="O6669" s="33">
        <f t="shared" si="319"/>
        <v>0</v>
      </c>
    </row>
    <row r="6670" spans="1:15" x14ac:dyDescent="0.25">
      <c r="A6670" s="64" t="s">
        <v>211</v>
      </c>
      <c r="B6670" s="79" t="str">
        <f>IF('Twenty-Seventh'!B173="", "",'Twenty-Seventh'!B173)</f>
        <v/>
      </c>
      <c r="C6670" s="66" t="str">
        <f>IF('Twenty-Seventh'!C173="", "",'Twenty-Seventh'!C173)</f>
        <v/>
      </c>
      <c r="D6670" s="66" t="str">
        <f>IF('Twenty-Seventh'!D173="", "",'Twenty-Seventh'!D173)</f>
        <v/>
      </c>
      <c r="E6670" s="66" t="str">
        <f>IF('Twenty-Seventh'!E173="", "",'Twenty-Seventh'!E173)</f>
        <v/>
      </c>
      <c r="F6670" s="66" t="str">
        <f>IF('Twenty-Seventh'!F173="", "",'Twenty-Seventh'!F173)</f>
        <v/>
      </c>
      <c r="G6670" s="66" t="str">
        <f>IF('Twenty-Seventh'!G173="", "",'Twenty-Seventh'!G173)</f>
        <v/>
      </c>
      <c r="H6670" s="66" t="str">
        <f>IF('Twenty-Seventh'!H173="", "",'Twenty-Seventh'!H173)</f>
        <v/>
      </c>
      <c r="I6670" s="66" t="str">
        <f>IF('Twenty-Seventh'!I173="", "",'Twenty-Seventh'!I173)</f>
        <v/>
      </c>
      <c r="J6670" s="66" t="str">
        <f>IF('Twenty-Seventh'!J173="", "",'Twenty-Seventh'!J173)</f>
        <v/>
      </c>
      <c r="K6670" s="86" t="str">
        <f>IF('Twenty-Seventh'!K173="", "",'Twenty-Seventh'!K173)</f>
        <v/>
      </c>
      <c r="M6670" s="67" t="str">
        <f t="shared" si="317"/>
        <v/>
      </c>
      <c r="N6670" s="76" t="str">
        <f t="shared" si="318"/>
        <v/>
      </c>
      <c r="O6670" s="33">
        <f t="shared" si="319"/>
        <v>0</v>
      </c>
    </row>
    <row r="6671" spans="1:15" x14ac:dyDescent="0.25">
      <c r="A6671" s="64" t="s">
        <v>211</v>
      </c>
      <c r="B6671" s="79" t="str">
        <f>IF('Twenty-Seventh'!B174="", "",'Twenty-Seventh'!B174)</f>
        <v/>
      </c>
      <c r="C6671" s="66" t="str">
        <f>IF('Twenty-Seventh'!C174="", "",'Twenty-Seventh'!C174)</f>
        <v/>
      </c>
      <c r="D6671" s="66" t="str">
        <f>IF('Twenty-Seventh'!D174="", "",'Twenty-Seventh'!D174)</f>
        <v/>
      </c>
      <c r="E6671" s="66" t="str">
        <f>IF('Twenty-Seventh'!E174="", "",'Twenty-Seventh'!E174)</f>
        <v/>
      </c>
      <c r="F6671" s="66" t="str">
        <f>IF('Twenty-Seventh'!F174="", "",'Twenty-Seventh'!F174)</f>
        <v/>
      </c>
      <c r="G6671" s="66" t="str">
        <f>IF('Twenty-Seventh'!G174="", "",'Twenty-Seventh'!G174)</f>
        <v/>
      </c>
      <c r="H6671" s="66" t="str">
        <f>IF('Twenty-Seventh'!H174="", "",'Twenty-Seventh'!H174)</f>
        <v/>
      </c>
      <c r="I6671" s="66" t="str">
        <f>IF('Twenty-Seventh'!I174="", "",'Twenty-Seventh'!I174)</f>
        <v/>
      </c>
      <c r="J6671" s="66" t="str">
        <f>IF('Twenty-Seventh'!J174="", "",'Twenty-Seventh'!J174)</f>
        <v/>
      </c>
      <c r="K6671" s="86" t="str">
        <f>IF('Twenty-Seventh'!K174="", "",'Twenty-Seventh'!K174)</f>
        <v/>
      </c>
      <c r="M6671" s="67" t="str">
        <f t="shared" si="317"/>
        <v/>
      </c>
      <c r="N6671" s="76" t="str">
        <f t="shared" si="318"/>
        <v/>
      </c>
      <c r="O6671" s="33">
        <f t="shared" si="319"/>
        <v>0</v>
      </c>
    </row>
    <row r="6672" spans="1:15" x14ac:dyDescent="0.25">
      <c r="A6672" s="64" t="s">
        <v>211</v>
      </c>
      <c r="B6672" s="79" t="str">
        <f>IF('Twenty-Seventh'!B175="", "",'Twenty-Seventh'!B175)</f>
        <v/>
      </c>
      <c r="C6672" s="66" t="str">
        <f>IF('Twenty-Seventh'!C175="", "",'Twenty-Seventh'!C175)</f>
        <v/>
      </c>
      <c r="D6672" s="66" t="str">
        <f>IF('Twenty-Seventh'!D175="", "",'Twenty-Seventh'!D175)</f>
        <v/>
      </c>
      <c r="E6672" s="66" t="str">
        <f>IF('Twenty-Seventh'!E175="", "",'Twenty-Seventh'!E175)</f>
        <v/>
      </c>
      <c r="F6672" s="66" t="str">
        <f>IF('Twenty-Seventh'!F175="", "",'Twenty-Seventh'!F175)</f>
        <v/>
      </c>
      <c r="G6672" s="66" t="str">
        <f>IF('Twenty-Seventh'!G175="", "",'Twenty-Seventh'!G175)</f>
        <v/>
      </c>
      <c r="H6672" s="66" t="str">
        <f>IF('Twenty-Seventh'!H175="", "",'Twenty-Seventh'!H175)</f>
        <v/>
      </c>
      <c r="I6672" s="66" t="str">
        <f>IF('Twenty-Seventh'!I175="", "",'Twenty-Seventh'!I175)</f>
        <v/>
      </c>
      <c r="J6672" s="66" t="str">
        <f>IF('Twenty-Seventh'!J175="", "",'Twenty-Seventh'!J175)</f>
        <v/>
      </c>
      <c r="K6672" s="86" t="str">
        <f>IF('Twenty-Seventh'!K175="", "",'Twenty-Seventh'!K175)</f>
        <v/>
      </c>
      <c r="M6672" s="67" t="str">
        <f t="shared" si="317"/>
        <v/>
      </c>
      <c r="N6672" s="76" t="str">
        <f t="shared" si="318"/>
        <v/>
      </c>
      <c r="O6672" s="33">
        <f t="shared" si="319"/>
        <v>0</v>
      </c>
    </row>
    <row r="6673" spans="1:15" x14ac:dyDescent="0.25">
      <c r="A6673" s="64" t="s">
        <v>211</v>
      </c>
      <c r="B6673" s="79" t="str">
        <f>IF('Twenty-Seventh'!B176="", "",'Twenty-Seventh'!B176)</f>
        <v/>
      </c>
      <c r="C6673" s="66" t="str">
        <f>IF('Twenty-Seventh'!C176="", "",'Twenty-Seventh'!C176)</f>
        <v/>
      </c>
      <c r="D6673" s="66" t="str">
        <f>IF('Twenty-Seventh'!D176="", "",'Twenty-Seventh'!D176)</f>
        <v/>
      </c>
      <c r="E6673" s="66" t="str">
        <f>IF('Twenty-Seventh'!E176="", "",'Twenty-Seventh'!E176)</f>
        <v/>
      </c>
      <c r="F6673" s="66" t="str">
        <f>IF('Twenty-Seventh'!F176="", "",'Twenty-Seventh'!F176)</f>
        <v/>
      </c>
      <c r="G6673" s="66" t="str">
        <f>IF('Twenty-Seventh'!G176="", "",'Twenty-Seventh'!G176)</f>
        <v/>
      </c>
      <c r="H6673" s="66" t="str">
        <f>IF('Twenty-Seventh'!H176="", "",'Twenty-Seventh'!H176)</f>
        <v/>
      </c>
      <c r="I6673" s="66" t="str">
        <f>IF('Twenty-Seventh'!I176="", "",'Twenty-Seventh'!I176)</f>
        <v/>
      </c>
      <c r="J6673" s="66" t="str">
        <f>IF('Twenty-Seventh'!J176="", "",'Twenty-Seventh'!J176)</f>
        <v/>
      </c>
      <c r="K6673" s="86" t="str">
        <f>IF('Twenty-Seventh'!K176="", "",'Twenty-Seventh'!K176)</f>
        <v/>
      </c>
      <c r="M6673" s="67" t="str">
        <f t="shared" si="317"/>
        <v/>
      </c>
      <c r="N6673" s="76" t="str">
        <f t="shared" si="318"/>
        <v/>
      </c>
      <c r="O6673" s="33">
        <f t="shared" si="319"/>
        <v>0</v>
      </c>
    </row>
    <row r="6674" spans="1:15" x14ac:dyDescent="0.25">
      <c r="A6674" s="64" t="s">
        <v>211</v>
      </c>
      <c r="B6674" s="79" t="str">
        <f>IF('Twenty-Seventh'!B177="", "",'Twenty-Seventh'!B177)</f>
        <v/>
      </c>
      <c r="C6674" s="66" t="str">
        <f>IF('Twenty-Seventh'!C177="", "",'Twenty-Seventh'!C177)</f>
        <v/>
      </c>
      <c r="D6674" s="66" t="str">
        <f>IF('Twenty-Seventh'!D177="", "",'Twenty-Seventh'!D177)</f>
        <v/>
      </c>
      <c r="E6674" s="66" t="str">
        <f>IF('Twenty-Seventh'!E177="", "",'Twenty-Seventh'!E177)</f>
        <v/>
      </c>
      <c r="F6674" s="66" t="str">
        <f>IF('Twenty-Seventh'!F177="", "",'Twenty-Seventh'!F177)</f>
        <v/>
      </c>
      <c r="G6674" s="66" t="str">
        <f>IF('Twenty-Seventh'!G177="", "",'Twenty-Seventh'!G177)</f>
        <v/>
      </c>
      <c r="H6674" s="66" t="str">
        <f>IF('Twenty-Seventh'!H177="", "",'Twenty-Seventh'!H177)</f>
        <v/>
      </c>
      <c r="I6674" s="66" t="str">
        <f>IF('Twenty-Seventh'!I177="", "",'Twenty-Seventh'!I177)</f>
        <v/>
      </c>
      <c r="J6674" s="66" t="str">
        <f>IF('Twenty-Seventh'!J177="", "",'Twenty-Seventh'!J177)</f>
        <v/>
      </c>
      <c r="K6674" s="86" t="str">
        <f>IF('Twenty-Seventh'!K177="", "",'Twenty-Seventh'!K177)</f>
        <v/>
      </c>
      <c r="M6674" s="67" t="str">
        <f t="shared" si="317"/>
        <v/>
      </c>
      <c r="N6674" s="76" t="str">
        <f t="shared" si="318"/>
        <v/>
      </c>
      <c r="O6674" s="33">
        <f t="shared" si="319"/>
        <v>0</v>
      </c>
    </row>
    <row r="6675" spans="1:15" x14ac:dyDescent="0.25">
      <c r="A6675" s="64" t="s">
        <v>211</v>
      </c>
      <c r="B6675" s="79" t="str">
        <f>IF('Twenty-Seventh'!B178="", "",'Twenty-Seventh'!B178)</f>
        <v/>
      </c>
      <c r="C6675" s="66" t="str">
        <f>IF('Twenty-Seventh'!C178="", "",'Twenty-Seventh'!C178)</f>
        <v/>
      </c>
      <c r="D6675" s="66" t="str">
        <f>IF('Twenty-Seventh'!D178="", "",'Twenty-Seventh'!D178)</f>
        <v/>
      </c>
      <c r="E6675" s="66" t="str">
        <f>IF('Twenty-Seventh'!E178="", "",'Twenty-Seventh'!E178)</f>
        <v/>
      </c>
      <c r="F6675" s="66" t="str">
        <f>IF('Twenty-Seventh'!F178="", "",'Twenty-Seventh'!F178)</f>
        <v/>
      </c>
      <c r="G6675" s="66" t="str">
        <f>IF('Twenty-Seventh'!G178="", "",'Twenty-Seventh'!G178)</f>
        <v/>
      </c>
      <c r="H6675" s="66" t="str">
        <f>IF('Twenty-Seventh'!H178="", "",'Twenty-Seventh'!H178)</f>
        <v/>
      </c>
      <c r="I6675" s="66" t="str">
        <f>IF('Twenty-Seventh'!I178="", "",'Twenty-Seventh'!I178)</f>
        <v/>
      </c>
      <c r="J6675" s="66" t="str">
        <f>IF('Twenty-Seventh'!J178="", "",'Twenty-Seventh'!J178)</f>
        <v/>
      </c>
      <c r="K6675" s="86" t="str">
        <f>IF('Twenty-Seventh'!K178="", "",'Twenty-Seventh'!K178)</f>
        <v/>
      </c>
      <c r="M6675" s="67" t="str">
        <f t="shared" si="317"/>
        <v/>
      </c>
      <c r="N6675" s="76" t="str">
        <f t="shared" si="318"/>
        <v/>
      </c>
      <c r="O6675" s="33">
        <f t="shared" si="319"/>
        <v>0</v>
      </c>
    </row>
    <row r="6676" spans="1:15" x14ac:dyDescent="0.25">
      <c r="A6676" s="64" t="s">
        <v>211</v>
      </c>
      <c r="B6676" s="79" t="str">
        <f>IF('Twenty-Seventh'!B179="", "",'Twenty-Seventh'!B179)</f>
        <v/>
      </c>
      <c r="C6676" s="66" t="str">
        <f>IF('Twenty-Seventh'!C179="", "",'Twenty-Seventh'!C179)</f>
        <v/>
      </c>
      <c r="D6676" s="66" t="str">
        <f>IF('Twenty-Seventh'!D179="", "",'Twenty-Seventh'!D179)</f>
        <v/>
      </c>
      <c r="E6676" s="66" t="str">
        <f>IF('Twenty-Seventh'!E179="", "",'Twenty-Seventh'!E179)</f>
        <v/>
      </c>
      <c r="F6676" s="66" t="str">
        <f>IF('Twenty-Seventh'!F179="", "",'Twenty-Seventh'!F179)</f>
        <v/>
      </c>
      <c r="G6676" s="66" t="str">
        <f>IF('Twenty-Seventh'!G179="", "",'Twenty-Seventh'!G179)</f>
        <v/>
      </c>
      <c r="H6676" s="66" t="str">
        <f>IF('Twenty-Seventh'!H179="", "",'Twenty-Seventh'!H179)</f>
        <v/>
      </c>
      <c r="I6676" s="66" t="str">
        <f>IF('Twenty-Seventh'!I179="", "",'Twenty-Seventh'!I179)</f>
        <v/>
      </c>
      <c r="J6676" s="66" t="str">
        <f>IF('Twenty-Seventh'!J179="", "",'Twenty-Seventh'!J179)</f>
        <v/>
      </c>
      <c r="K6676" s="86" t="str">
        <f>IF('Twenty-Seventh'!K179="", "",'Twenty-Seventh'!K179)</f>
        <v/>
      </c>
      <c r="M6676" s="67" t="str">
        <f t="shared" si="317"/>
        <v/>
      </c>
      <c r="N6676" s="76" t="str">
        <f t="shared" si="318"/>
        <v/>
      </c>
      <c r="O6676" s="33">
        <f t="shared" si="319"/>
        <v>0</v>
      </c>
    </row>
    <row r="6677" spans="1:15" x14ac:dyDescent="0.25">
      <c r="A6677" s="64" t="s">
        <v>211</v>
      </c>
      <c r="B6677" s="79" t="str">
        <f>IF('Twenty-Seventh'!B180="", "",'Twenty-Seventh'!B180)</f>
        <v/>
      </c>
      <c r="C6677" s="66" t="str">
        <f>IF('Twenty-Seventh'!C180="", "",'Twenty-Seventh'!C180)</f>
        <v/>
      </c>
      <c r="D6677" s="66" t="str">
        <f>IF('Twenty-Seventh'!D180="", "",'Twenty-Seventh'!D180)</f>
        <v/>
      </c>
      <c r="E6677" s="66" t="str">
        <f>IF('Twenty-Seventh'!E180="", "",'Twenty-Seventh'!E180)</f>
        <v/>
      </c>
      <c r="F6677" s="66" t="str">
        <f>IF('Twenty-Seventh'!F180="", "",'Twenty-Seventh'!F180)</f>
        <v/>
      </c>
      <c r="G6677" s="66" t="str">
        <f>IF('Twenty-Seventh'!G180="", "",'Twenty-Seventh'!G180)</f>
        <v/>
      </c>
      <c r="H6677" s="66" t="str">
        <f>IF('Twenty-Seventh'!H180="", "",'Twenty-Seventh'!H180)</f>
        <v/>
      </c>
      <c r="I6677" s="66" t="str">
        <f>IF('Twenty-Seventh'!I180="", "",'Twenty-Seventh'!I180)</f>
        <v/>
      </c>
      <c r="J6677" s="66" t="str">
        <f>IF('Twenty-Seventh'!J180="", "",'Twenty-Seventh'!J180)</f>
        <v/>
      </c>
      <c r="K6677" s="86" t="str">
        <f>IF('Twenty-Seventh'!K180="", "",'Twenty-Seventh'!K180)</f>
        <v/>
      </c>
      <c r="M6677" s="67" t="str">
        <f t="shared" si="317"/>
        <v/>
      </c>
      <c r="N6677" s="76" t="str">
        <f t="shared" si="318"/>
        <v/>
      </c>
      <c r="O6677" s="33">
        <f t="shared" si="319"/>
        <v>0</v>
      </c>
    </row>
    <row r="6678" spans="1:15" x14ac:dyDescent="0.25">
      <c r="A6678" s="64" t="s">
        <v>211</v>
      </c>
      <c r="B6678" s="79" t="str">
        <f>IF('Twenty-Seventh'!B181="", "",'Twenty-Seventh'!B181)</f>
        <v/>
      </c>
      <c r="C6678" s="66" t="str">
        <f>IF('Twenty-Seventh'!C181="", "",'Twenty-Seventh'!C181)</f>
        <v/>
      </c>
      <c r="D6678" s="66" t="str">
        <f>IF('Twenty-Seventh'!D181="", "",'Twenty-Seventh'!D181)</f>
        <v/>
      </c>
      <c r="E6678" s="66" t="str">
        <f>IF('Twenty-Seventh'!E181="", "",'Twenty-Seventh'!E181)</f>
        <v/>
      </c>
      <c r="F6678" s="66" t="str">
        <f>IF('Twenty-Seventh'!F181="", "",'Twenty-Seventh'!F181)</f>
        <v/>
      </c>
      <c r="G6678" s="66" t="str">
        <f>IF('Twenty-Seventh'!G181="", "",'Twenty-Seventh'!G181)</f>
        <v/>
      </c>
      <c r="H6678" s="66" t="str">
        <f>IF('Twenty-Seventh'!H181="", "",'Twenty-Seventh'!H181)</f>
        <v/>
      </c>
      <c r="I6678" s="66" t="str">
        <f>IF('Twenty-Seventh'!I181="", "",'Twenty-Seventh'!I181)</f>
        <v/>
      </c>
      <c r="J6678" s="66" t="str">
        <f>IF('Twenty-Seventh'!J181="", "",'Twenty-Seventh'!J181)</f>
        <v/>
      </c>
      <c r="K6678" s="86" t="str">
        <f>IF('Twenty-Seventh'!K181="", "",'Twenty-Seventh'!K181)</f>
        <v/>
      </c>
      <c r="M6678" s="67" t="str">
        <f t="shared" si="317"/>
        <v/>
      </c>
      <c r="N6678" s="76" t="str">
        <f t="shared" si="318"/>
        <v/>
      </c>
      <c r="O6678" s="33">
        <f t="shared" si="319"/>
        <v>0</v>
      </c>
    </row>
    <row r="6679" spans="1:15" x14ac:dyDescent="0.25">
      <c r="A6679" s="64" t="s">
        <v>211</v>
      </c>
      <c r="B6679" s="79" t="str">
        <f>IF('Twenty-Seventh'!B182="", "",'Twenty-Seventh'!B182)</f>
        <v/>
      </c>
      <c r="C6679" s="66" t="str">
        <f>IF('Twenty-Seventh'!C182="", "",'Twenty-Seventh'!C182)</f>
        <v/>
      </c>
      <c r="D6679" s="66" t="str">
        <f>IF('Twenty-Seventh'!D182="", "",'Twenty-Seventh'!D182)</f>
        <v/>
      </c>
      <c r="E6679" s="66" t="str">
        <f>IF('Twenty-Seventh'!E182="", "",'Twenty-Seventh'!E182)</f>
        <v/>
      </c>
      <c r="F6679" s="66" t="str">
        <f>IF('Twenty-Seventh'!F182="", "",'Twenty-Seventh'!F182)</f>
        <v/>
      </c>
      <c r="G6679" s="66" t="str">
        <f>IF('Twenty-Seventh'!G182="", "",'Twenty-Seventh'!G182)</f>
        <v/>
      </c>
      <c r="H6679" s="66" t="str">
        <f>IF('Twenty-Seventh'!H182="", "",'Twenty-Seventh'!H182)</f>
        <v/>
      </c>
      <c r="I6679" s="66" t="str">
        <f>IF('Twenty-Seventh'!I182="", "",'Twenty-Seventh'!I182)</f>
        <v/>
      </c>
      <c r="J6679" s="66" t="str">
        <f>IF('Twenty-Seventh'!J182="", "",'Twenty-Seventh'!J182)</f>
        <v/>
      </c>
      <c r="K6679" s="86" t="str">
        <f>IF('Twenty-Seventh'!K182="", "",'Twenty-Seventh'!K182)</f>
        <v/>
      </c>
      <c r="M6679" s="67" t="str">
        <f t="shared" si="317"/>
        <v/>
      </c>
      <c r="N6679" s="76" t="str">
        <f t="shared" si="318"/>
        <v/>
      </c>
      <c r="O6679" s="33">
        <f t="shared" si="319"/>
        <v>0</v>
      </c>
    </row>
    <row r="6680" spans="1:15" x14ac:dyDescent="0.25">
      <c r="A6680" s="64" t="s">
        <v>211</v>
      </c>
      <c r="B6680" s="79" t="str">
        <f>IF('Twenty-Seventh'!B183="", "",'Twenty-Seventh'!B183)</f>
        <v/>
      </c>
      <c r="C6680" s="66" t="str">
        <f>IF('Twenty-Seventh'!C183="", "",'Twenty-Seventh'!C183)</f>
        <v/>
      </c>
      <c r="D6680" s="66" t="str">
        <f>IF('Twenty-Seventh'!D183="", "",'Twenty-Seventh'!D183)</f>
        <v/>
      </c>
      <c r="E6680" s="66" t="str">
        <f>IF('Twenty-Seventh'!E183="", "",'Twenty-Seventh'!E183)</f>
        <v/>
      </c>
      <c r="F6680" s="66" t="str">
        <f>IF('Twenty-Seventh'!F183="", "",'Twenty-Seventh'!F183)</f>
        <v/>
      </c>
      <c r="G6680" s="66" t="str">
        <f>IF('Twenty-Seventh'!G183="", "",'Twenty-Seventh'!G183)</f>
        <v/>
      </c>
      <c r="H6680" s="66" t="str">
        <f>IF('Twenty-Seventh'!H183="", "",'Twenty-Seventh'!H183)</f>
        <v/>
      </c>
      <c r="I6680" s="66" t="str">
        <f>IF('Twenty-Seventh'!I183="", "",'Twenty-Seventh'!I183)</f>
        <v/>
      </c>
      <c r="J6680" s="66" t="str">
        <f>IF('Twenty-Seventh'!J183="", "",'Twenty-Seventh'!J183)</f>
        <v/>
      </c>
      <c r="K6680" s="86" t="str">
        <f>IF('Twenty-Seventh'!K183="", "",'Twenty-Seventh'!K183)</f>
        <v/>
      </c>
      <c r="M6680" s="67" t="str">
        <f t="shared" si="317"/>
        <v/>
      </c>
      <c r="N6680" s="76" t="str">
        <f t="shared" si="318"/>
        <v/>
      </c>
      <c r="O6680" s="33">
        <f t="shared" si="319"/>
        <v>0</v>
      </c>
    </row>
    <row r="6681" spans="1:15" x14ac:dyDescent="0.25">
      <c r="A6681" s="64" t="s">
        <v>211</v>
      </c>
      <c r="B6681" s="79" t="str">
        <f>IF('Twenty-Seventh'!B184="", "",'Twenty-Seventh'!B184)</f>
        <v/>
      </c>
      <c r="C6681" s="66" t="str">
        <f>IF('Twenty-Seventh'!C184="", "",'Twenty-Seventh'!C184)</f>
        <v/>
      </c>
      <c r="D6681" s="66" t="str">
        <f>IF('Twenty-Seventh'!D184="", "",'Twenty-Seventh'!D184)</f>
        <v/>
      </c>
      <c r="E6681" s="66" t="str">
        <f>IF('Twenty-Seventh'!E184="", "",'Twenty-Seventh'!E184)</f>
        <v/>
      </c>
      <c r="F6681" s="66" t="str">
        <f>IF('Twenty-Seventh'!F184="", "",'Twenty-Seventh'!F184)</f>
        <v/>
      </c>
      <c r="G6681" s="66" t="str">
        <f>IF('Twenty-Seventh'!G184="", "",'Twenty-Seventh'!G184)</f>
        <v/>
      </c>
      <c r="H6681" s="66" t="str">
        <f>IF('Twenty-Seventh'!H184="", "",'Twenty-Seventh'!H184)</f>
        <v/>
      </c>
      <c r="I6681" s="66" t="str">
        <f>IF('Twenty-Seventh'!I184="", "",'Twenty-Seventh'!I184)</f>
        <v/>
      </c>
      <c r="J6681" s="66" t="str">
        <f>IF('Twenty-Seventh'!J184="", "",'Twenty-Seventh'!J184)</f>
        <v/>
      </c>
      <c r="K6681" s="86" t="str">
        <f>IF('Twenty-Seventh'!K184="", "",'Twenty-Seventh'!K184)</f>
        <v/>
      </c>
      <c r="M6681" s="67" t="str">
        <f t="shared" si="317"/>
        <v/>
      </c>
      <c r="N6681" s="76" t="str">
        <f t="shared" si="318"/>
        <v/>
      </c>
      <c r="O6681" s="33">
        <f t="shared" si="319"/>
        <v>0</v>
      </c>
    </row>
    <row r="6682" spans="1:15" x14ac:dyDescent="0.25">
      <c r="A6682" s="64" t="s">
        <v>211</v>
      </c>
      <c r="B6682" s="79" t="str">
        <f>IF('Twenty-Seventh'!B185="", "",'Twenty-Seventh'!B185)</f>
        <v/>
      </c>
      <c r="C6682" s="66" t="str">
        <f>IF('Twenty-Seventh'!C185="", "",'Twenty-Seventh'!C185)</f>
        <v/>
      </c>
      <c r="D6682" s="66" t="str">
        <f>IF('Twenty-Seventh'!D185="", "",'Twenty-Seventh'!D185)</f>
        <v/>
      </c>
      <c r="E6682" s="66" t="str">
        <f>IF('Twenty-Seventh'!E185="", "",'Twenty-Seventh'!E185)</f>
        <v/>
      </c>
      <c r="F6682" s="66" t="str">
        <f>IF('Twenty-Seventh'!F185="", "",'Twenty-Seventh'!F185)</f>
        <v/>
      </c>
      <c r="G6682" s="66" t="str">
        <f>IF('Twenty-Seventh'!G185="", "",'Twenty-Seventh'!G185)</f>
        <v/>
      </c>
      <c r="H6682" s="66" t="str">
        <f>IF('Twenty-Seventh'!H185="", "",'Twenty-Seventh'!H185)</f>
        <v/>
      </c>
      <c r="I6682" s="66" t="str">
        <f>IF('Twenty-Seventh'!I185="", "",'Twenty-Seventh'!I185)</f>
        <v/>
      </c>
      <c r="J6682" s="66" t="str">
        <f>IF('Twenty-Seventh'!J185="", "",'Twenty-Seventh'!J185)</f>
        <v/>
      </c>
      <c r="K6682" s="86" t="str">
        <f>IF('Twenty-Seventh'!K185="", "",'Twenty-Seventh'!K185)</f>
        <v/>
      </c>
      <c r="M6682" s="67" t="str">
        <f t="shared" si="317"/>
        <v/>
      </c>
      <c r="N6682" s="76" t="str">
        <f t="shared" si="318"/>
        <v/>
      </c>
      <c r="O6682" s="33">
        <f t="shared" si="319"/>
        <v>0</v>
      </c>
    </row>
    <row r="6683" spans="1:15" x14ac:dyDescent="0.25">
      <c r="A6683" s="64" t="s">
        <v>211</v>
      </c>
      <c r="B6683" s="79" t="str">
        <f>IF('Twenty-Seventh'!B186="", "",'Twenty-Seventh'!B186)</f>
        <v/>
      </c>
      <c r="C6683" s="66" t="str">
        <f>IF('Twenty-Seventh'!C186="", "",'Twenty-Seventh'!C186)</f>
        <v/>
      </c>
      <c r="D6683" s="66" t="str">
        <f>IF('Twenty-Seventh'!D186="", "",'Twenty-Seventh'!D186)</f>
        <v/>
      </c>
      <c r="E6683" s="66" t="str">
        <f>IF('Twenty-Seventh'!E186="", "",'Twenty-Seventh'!E186)</f>
        <v/>
      </c>
      <c r="F6683" s="66" t="str">
        <f>IF('Twenty-Seventh'!F186="", "",'Twenty-Seventh'!F186)</f>
        <v/>
      </c>
      <c r="G6683" s="66" t="str">
        <f>IF('Twenty-Seventh'!G186="", "",'Twenty-Seventh'!G186)</f>
        <v/>
      </c>
      <c r="H6683" s="66" t="str">
        <f>IF('Twenty-Seventh'!H186="", "",'Twenty-Seventh'!H186)</f>
        <v/>
      </c>
      <c r="I6683" s="66" t="str">
        <f>IF('Twenty-Seventh'!I186="", "",'Twenty-Seventh'!I186)</f>
        <v/>
      </c>
      <c r="J6683" s="66" t="str">
        <f>IF('Twenty-Seventh'!J186="", "",'Twenty-Seventh'!J186)</f>
        <v/>
      </c>
      <c r="K6683" s="86" t="str">
        <f>IF('Twenty-Seventh'!K186="", "",'Twenty-Seventh'!K186)</f>
        <v/>
      </c>
      <c r="M6683" s="67" t="str">
        <f t="shared" si="317"/>
        <v/>
      </c>
      <c r="N6683" s="76" t="str">
        <f t="shared" si="318"/>
        <v/>
      </c>
      <c r="O6683" s="33">
        <f t="shared" si="319"/>
        <v>0</v>
      </c>
    </row>
    <row r="6684" spans="1:15" x14ac:dyDescent="0.25">
      <c r="A6684" s="64" t="s">
        <v>211</v>
      </c>
      <c r="B6684" s="79" t="str">
        <f>IF('Twenty-Seventh'!B187="", "",'Twenty-Seventh'!B187)</f>
        <v/>
      </c>
      <c r="C6684" s="66" t="str">
        <f>IF('Twenty-Seventh'!C187="", "",'Twenty-Seventh'!C187)</f>
        <v/>
      </c>
      <c r="D6684" s="66" t="str">
        <f>IF('Twenty-Seventh'!D187="", "",'Twenty-Seventh'!D187)</f>
        <v/>
      </c>
      <c r="E6684" s="66" t="str">
        <f>IF('Twenty-Seventh'!E187="", "",'Twenty-Seventh'!E187)</f>
        <v/>
      </c>
      <c r="F6684" s="66" t="str">
        <f>IF('Twenty-Seventh'!F187="", "",'Twenty-Seventh'!F187)</f>
        <v/>
      </c>
      <c r="G6684" s="66" t="str">
        <f>IF('Twenty-Seventh'!G187="", "",'Twenty-Seventh'!G187)</f>
        <v/>
      </c>
      <c r="H6684" s="66" t="str">
        <f>IF('Twenty-Seventh'!H187="", "",'Twenty-Seventh'!H187)</f>
        <v/>
      </c>
      <c r="I6684" s="66" t="str">
        <f>IF('Twenty-Seventh'!I187="", "",'Twenty-Seventh'!I187)</f>
        <v/>
      </c>
      <c r="J6684" s="66" t="str">
        <f>IF('Twenty-Seventh'!J187="", "",'Twenty-Seventh'!J187)</f>
        <v/>
      </c>
      <c r="K6684" s="86" t="str">
        <f>IF('Twenty-Seventh'!K187="", "",'Twenty-Seventh'!K187)</f>
        <v/>
      </c>
      <c r="M6684" s="67" t="str">
        <f t="shared" si="317"/>
        <v/>
      </c>
      <c r="N6684" s="76" t="str">
        <f t="shared" si="318"/>
        <v/>
      </c>
      <c r="O6684" s="33">
        <f t="shared" si="319"/>
        <v>0</v>
      </c>
    </row>
    <row r="6685" spans="1:15" x14ac:dyDescent="0.25">
      <c r="A6685" s="64" t="s">
        <v>211</v>
      </c>
      <c r="B6685" s="79" t="str">
        <f>IF('Twenty-Seventh'!B188="", "",'Twenty-Seventh'!B188)</f>
        <v/>
      </c>
      <c r="C6685" s="66" t="str">
        <f>IF('Twenty-Seventh'!C188="", "",'Twenty-Seventh'!C188)</f>
        <v/>
      </c>
      <c r="D6685" s="66" t="str">
        <f>IF('Twenty-Seventh'!D188="", "",'Twenty-Seventh'!D188)</f>
        <v/>
      </c>
      <c r="E6685" s="66" t="str">
        <f>IF('Twenty-Seventh'!E188="", "",'Twenty-Seventh'!E188)</f>
        <v/>
      </c>
      <c r="F6685" s="66" t="str">
        <f>IF('Twenty-Seventh'!F188="", "",'Twenty-Seventh'!F188)</f>
        <v/>
      </c>
      <c r="G6685" s="66" t="str">
        <f>IF('Twenty-Seventh'!G188="", "",'Twenty-Seventh'!G188)</f>
        <v/>
      </c>
      <c r="H6685" s="66" t="str">
        <f>IF('Twenty-Seventh'!H188="", "",'Twenty-Seventh'!H188)</f>
        <v/>
      </c>
      <c r="I6685" s="66" t="str">
        <f>IF('Twenty-Seventh'!I188="", "",'Twenty-Seventh'!I188)</f>
        <v/>
      </c>
      <c r="J6685" s="66" t="str">
        <f>IF('Twenty-Seventh'!J188="", "",'Twenty-Seventh'!J188)</f>
        <v/>
      </c>
      <c r="K6685" s="86" t="str">
        <f>IF('Twenty-Seventh'!K188="", "",'Twenty-Seventh'!K188)</f>
        <v/>
      </c>
      <c r="M6685" s="67" t="str">
        <f t="shared" si="317"/>
        <v/>
      </c>
      <c r="N6685" s="76" t="str">
        <f t="shared" si="318"/>
        <v/>
      </c>
      <c r="O6685" s="33">
        <f t="shared" si="319"/>
        <v>0</v>
      </c>
    </row>
    <row r="6686" spans="1:15" x14ac:dyDescent="0.25">
      <c r="A6686" s="64" t="s">
        <v>211</v>
      </c>
      <c r="B6686" s="79" t="str">
        <f>IF('Twenty-Seventh'!B189="", "",'Twenty-Seventh'!B189)</f>
        <v/>
      </c>
      <c r="C6686" s="66" t="str">
        <f>IF('Twenty-Seventh'!C189="", "",'Twenty-Seventh'!C189)</f>
        <v/>
      </c>
      <c r="D6686" s="66" t="str">
        <f>IF('Twenty-Seventh'!D189="", "",'Twenty-Seventh'!D189)</f>
        <v/>
      </c>
      <c r="E6686" s="66" t="str">
        <f>IF('Twenty-Seventh'!E189="", "",'Twenty-Seventh'!E189)</f>
        <v/>
      </c>
      <c r="F6686" s="66" t="str">
        <f>IF('Twenty-Seventh'!F189="", "",'Twenty-Seventh'!F189)</f>
        <v/>
      </c>
      <c r="G6686" s="66" t="str">
        <f>IF('Twenty-Seventh'!G189="", "",'Twenty-Seventh'!G189)</f>
        <v/>
      </c>
      <c r="H6686" s="66" t="str">
        <f>IF('Twenty-Seventh'!H189="", "",'Twenty-Seventh'!H189)</f>
        <v/>
      </c>
      <c r="I6686" s="66" t="str">
        <f>IF('Twenty-Seventh'!I189="", "",'Twenty-Seventh'!I189)</f>
        <v/>
      </c>
      <c r="J6686" s="66" t="str">
        <f>IF('Twenty-Seventh'!J189="", "",'Twenty-Seventh'!J189)</f>
        <v/>
      </c>
      <c r="K6686" s="86" t="str">
        <f>IF('Twenty-Seventh'!K189="", "",'Twenty-Seventh'!K189)</f>
        <v/>
      </c>
      <c r="M6686" s="67" t="str">
        <f t="shared" si="317"/>
        <v/>
      </c>
      <c r="N6686" s="76" t="str">
        <f t="shared" si="318"/>
        <v/>
      </c>
      <c r="O6686" s="33">
        <f t="shared" si="319"/>
        <v>0</v>
      </c>
    </row>
    <row r="6687" spans="1:15" x14ac:dyDescent="0.25">
      <c r="A6687" s="64" t="s">
        <v>211</v>
      </c>
      <c r="B6687" s="79" t="str">
        <f>IF('Twenty-Seventh'!B190="", "",'Twenty-Seventh'!B190)</f>
        <v/>
      </c>
      <c r="C6687" s="66" t="str">
        <f>IF('Twenty-Seventh'!C190="", "",'Twenty-Seventh'!C190)</f>
        <v/>
      </c>
      <c r="D6687" s="66" t="str">
        <f>IF('Twenty-Seventh'!D190="", "",'Twenty-Seventh'!D190)</f>
        <v/>
      </c>
      <c r="E6687" s="66" t="str">
        <f>IF('Twenty-Seventh'!E190="", "",'Twenty-Seventh'!E190)</f>
        <v/>
      </c>
      <c r="F6687" s="66" t="str">
        <f>IF('Twenty-Seventh'!F190="", "",'Twenty-Seventh'!F190)</f>
        <v/>
      </c>
      <c r="G6687" s="66" t="str">
        <f>IF('Twenty-Seventh'!G190="", "",'Twenty-Seventh'!G190)</f>
        <v/>
      </c>
      <c r="H6687" s="66" t="str">
        <f>IF('Twenty-Seventh'!H190="", "",'Twenty-Seventh'!H190)</f>
        <v/>
      </c>
      <c r="I6687" s="66" t="str">
        <f>IF('Twenty-Seventh'!I190="", "",'Twenty-Seventh'!I190)</f>
        <v/>
      </c>
      <c r="J6687" s="66" t="str">
        <f>IF('Twenty-Seventh'!J190="", "",'Twenty-Seventh'!J190)</f>
        <v/>
      </c>
      <c r="K6687" s="86" t="str">
        <f>IF('Twenty-Seventh'!K190="", "",'Twenty-Seventh'!K190)</f>
        <v/>
      </c>
      <c r="M6687" s="67" t="str">
        <f t="shared" si="317"/>
        <v/>
      </c>
      <c r="N6687" s="76" t="str">
        <f t="shared" si="318"/>
        <v/>
      </c>
      <c r="O6687" s="33">
        <f t="shared" si="319"/>
        <v>0</v>
      </c>
    </row>
    <row r="6688" spans="1:15" x14ac:dyDescent="0.25">
      <c r="A6688" s="64" t="s">
        <v>211</v>
      </c>
      <c r="B6688" s="79" t="str">
        <f>IF('Twenty-Seventh'!B191="", "",'Twenty-Seventh'!B191)</f>
        <v/>
      </c>
      <c r="C6688" s="66" t="str">
        <f>IF('Twenty-Seventh'!C191="", "",'Twenty-Seventh'!C191)</f>
        <v/>
      </c>
      <c r="D6688" s="66" t="str">
        <f>IF('Twenty-Seventh'!D191="", "",'Twenty-Seventh'!D191)</f>
        <v/>
      </c>
      <c r="E6688" s="66" t="str">
        <f>IF('Twenty-Seventh'!E191="", "",'Twenty-Seventh'!E191)</f>
        <v/>
      </c>
      <c r="F6688" s="66" t="str">
        <f>IF('Twenty-Seventh'!F191="", "",'Twenty-Seventh'!F191)</f>
        <v/>
      </c>
      <c r="G6688" s="66" t="str">
        <f>IF('Twenty-Seventh'!G191="", "",'Twenty-Seventh'!G191)</f>
        <v/>
      </c>
      <c r="H6688" s="66" t="str">
        <f>IF('Twenty-Seventh'!H191="", "",'Twenty-Seventh'!H191)</f>
        <v/>
      </c>
      <c r="I6688" s="66" t="str">
        <f>IF('Twenty-Seventh'!I191="", "",'Twenty-Seventh'!I191)</f>
        <v/>
      </c>
      <c r="J6688" s="66" t="str">
        <f>IF('Twenty-Seventh'!J191="", "",'Twenty-Seventh'!J191)</f>
        <v/>
      </c>
      <c r="K6688" s="86" t="str">
        <f>IF('Twenty-Seventh'!K191="", "",'Twenty-Seventh'!K191)</f>
        <v/>
      </c>
      <c r="M6688" s="67" t="str">
        <f t="shared" si="317"/>
        <v/>
      </c>
      <c r="N6688" s="76" t="str">
        <f t="shared" si="318"/>
        <v/>
      </c>
      <c r="O6688" s="33">
        <f t="shared" si="319"/>
        <v>0</v>
      </c>
    </row>
    <row r="6689" spans="1:15" x14ac:dyDescent="0.25">
      <c r="A6689" s="64" t="s">
        <v>211</v>
      </c>
      <c r="B6689" s="79" t="str">
        <f>IF('Twenty-Seventh'!B192="", "",'Twenty-Seventh'!B192)</f>
        <v/>
      </c>
      <c r="C6689" s="66" t="str">
        <f>IF('Twenty-Seventh'!C192="", "",'Twenty-Seventh'!C192)</f>
        <v/>
      </c>
      <c r="D6689" s="66" t="str">
        <f>IF('Twenty-Seventh'!D192="", "",'Twenty-Seventh'!D192)</f>
        <v/>
      </c>
      <c r="E6689" s="66" t="str">
        <f>IF('Twenty-Seventh'!E192="", "",'Twenty-Seventh'!E192)</f>
        <v/>
      </c>
      <c r="F6689" s="66" t="str">
        <f>IF('Twenty-Seventh'!F192="", "",'Twenty-Seventh'!F192)</f>
        <v/>
      </c>
      <c r="G6689" s="66" t="str">
        <f>IF('Twenty-Seventh'!G192="", "",'Twenty-Seventh'!G192)</f>
        <v/>
      </c>
      <c r="H6689" s="66" t="str">
        <f>IF('Twenty-Seventh'!H192="", "",'Twenty-Seventh'!H192)</f>
        <v/>
      </c>
      <c r="I6689" s="66" t="str">
        <f>IF('Twenty-Seventh'!I192="", "",'Twenty-Seventh'!I192)</f>
        <v/>
      </c>
      <c r="J6689" s="66" t="str">
        <f>IF('Twenty-Seventh'!J192="", "",'Twenty-Seventh'!J192)</f>
        <v/>
      </c>
      <c r="K6689" s="86" t="str">
        <f>IF('Twenty-Seventh'!K192="", "",'Twenty-Seventh'!K192)</f>
        <v/>
      </c>
      <c r="M6689" s="67" t="str">
        <f t="shared" si="317"/>
        <v/>
      </c>
      <c r="N6689" s="76" t="str">
        <f t="shared" si="318"/>
        <v/>
      </c>
      <c r="O6689" s="33">
        <f t="shared" si="319"/>
        <v>0</v>
      </c>
    </row>
    <row r="6690" spans="1:15" x14ac:dyDescent="0.25">
      <c r="A6690" s="64" t="s">
        <v>211</v>
      </c>
      <c r="B6690" s="79" t="str">
        <f>IF('Twenty-Seventh'!B193="", "",'Twenty-Seventh'!B193)</f>
        <v/>
      </c>
      <c r="C6690" s="66" t="str">
        <f>IF('Twenty-Seventh'!C193="", "",'Twenty-Seventh'!C193)</f>
        <v/>
      </c>
      <c r="D6690" s="66" t="str">
        <f>IF('Twenty-Seventh'!D193="", "",'Twenty-Seventh'!D193)</f>
        <v/>
      </c>
      <c r="E6690" s="66" t="str">
        <f>IF('Twenty-Seventh'!E193="", "",'Twenty-Seventh'!E193)</f>
        <v/>
      </c>
      <c r="F6690" s="66" t="str">
        <f>IF('Twenty-Seventh'!F193="", "",'Twenty-Seventh'!F193)</f>
        <v/>
      </c>
      <c r="G6690" s="66" t="str">
        <f>IF('Twenty-Seventh'!G193="", "",'Twenty-Seventh'!G193)</f>
        <v/>
      </c>
      <c r="H6690" s="66" t="str">
        <f>IF('Twenty-Seventh'!H193="", "",'Twenty-Seventh'!H193)</f>
        <v/>
      </c>
      <c r="I6690" s="66" t="str">
        <f>IF('Twenty-Seventh'!I193="", "",'Twenty-Seventh'!I193)</f>
        <v/>
      </c>
      <c r="J6690" s="66" t="str">
        <f>IF('Twenty-Seventh'!J193="", "",'Twenty-Seventh'!J193)</f>
        <v/>
      </c>
      <c r="K6690" s="86" t="str">
        <f>IF('Twenty-Seventh'!K193="", "",'Twenty-Seventh'!K193)</f>
        <v/>
      </c>
      <c r="M6690" s="67" t="str">
        <f t="shared" si="317"/>
        <v/>
      </c>
      <c r="N6690" s="76" t="str">
        <f t="shared" si="318"/>
        <v/>
      </c>
      <c r="O6690" s="33">
        <f t="shared" si="319"/>
        <v>0</v>
      </c>
    </row>
    <row r="6691" spans="1:15" x14ac:dyDescent="0.25">
      <c r="A6691" s="64" t="s">
        <v>211</v>
      </c>
      <c r="B6691" s="79" t="str">
        <f>IF('Twenty-Seventh'!B194="", "",'Twenty-Seventh'!B194)</f>
        <v/>
      </c>
      <c r="C6691" s="66" t="str">
        <f>IF('Twenty-Seventh'!C194="", "",'Twenty-Seventh'!C194)</f>
        <v/>
      </c>
      <c r="D6691" s="66" t="str">
        <f>IF('Twenty-Seventh'!D194="", "",'Twenty-Seventh'!D194)</f>
        <v/>
      </c>
      <c r="E6691" s="66" t="str">
        <f>IF('Twenty-Seventh'!E194="", "",'Twenty-Seventh'!E194)</f>
        <v/>
      </c>
      <c r="F6691" s="66" t="str">
        <f>IF('Twenty-Seventh'!F194="", "",'Twenty-Seventh'!F194)</f>
        <v/>
      </c>
      <c r="G6691" s="66" t="str">
        <f>IF('Twenty-Seventh'!G194="", "",'Twenty-Seventh'!G194)</f>
        <v/>
      </c>
      <c r="H6691" s="66" t="str">
        <f>IF('Twenty-Seventh'!H194="", "",'Twenty-Seventh'!H194)</f>
        <v/>
      </c>
      <c r="I6691" s="66" t="str">
        <f>IF('Twenty-Seventh'!I194="", "",'Twenty-Seventh'!I194)</f>
        <v/>
      </c>
      <c r="J6691" s="66" t="str">
        <f>IF('Twenty-Seventh'!J194="", "",'Twenty-Seventh'!J194)</f>
        <v/>
      </c>
      <c r="K6691" s="86" t="str">
        <f>IF('Twenty-Seventh'!K194="", "",'Twenty-Seventh'!K194)</f>
        <v/>
      </c>
      <c r="M6691" s="67" t="str">
        <f t="shared" si="317"/>
        <v/>
      </c>
      <c r="N6691" s="76" t="str">
        <f t="shared" si="318"/>
        <v/>
      </c>
      <c r="O6691" s="33">
        <f t="shared" si="319"/>
        <v>0</v>
      </c>
    </row>
    <row r="6692" spans="1:15" x14ac:dyDescent="0.25">
      <c r="A6692" s="64" t="s">
        <v>211</v>
      </c>
      <c r="B6692" s="79" t="str">
        <f>IF('Twenty-Seventh'!B195="", "",'Twenty-Seventh'!B195)</f>
        <v/>
      </c>
      <c r="C6692" s="66" t="str">
        <f>IF('Twenty-Seventh'!C195="", "",'Twenty-Seventh'!C195)</f>
        <v/>
      </c>
      <c r="D6692" s="66" t="str">
        <f>IF('Twenty-Seventh'!D195="", "",'Twenty-Seventh'!D195)</f>
        <v/>
      </c>
      <c r="E6692" s="66" t="str">
        <f>IF('Twenty-Seventh'!E195="", "",'Twenty-Seventh'!E195)</f>
        <v/>
      </c>
      <c r="F6692" s="66" t="str">
        <f>IF('Twenty-Seventh'!F195="", "",'Twenty-Seventh'!F195)</f>
        <v/>
      </c>
      <c r="G6692" s="66" t="str">
        <f>IF('Twenty-Seventh'!G195="", "",'Twenty-Seventh'!G195)</f>
        <v/>
      </c>
      <c r="H6692" s="66" t="str">
        <f>IF('Twenty-Seventh'!H195="", "",'Twenty-Seventh'!H195)</f>
        <v/>
      </c>
      <c r="I6692" s="66" t="str">
        <f>IF('Twenty-Seventh'!I195="", "",'Twenty-Seventh'!I195)</f>
        <v/>
      </c>
      <c r="J6692" s="66" t="str">
        <f>IF('Twenty-Seventh'!J195="", "",'Twenty-Seventh'!J195)</f>
        <v/>
      </c>
      <c r="K6692" s="86" t="str">
        <f>IF('Twenty-Seventh'!K195="", "",'Twenty-Seventh'!K195)</f>
        <v/>
      </c>
      <c r="M6692" s="67" t="str">
        <f t="shared" si="317"/>
        <v/>
      </c>
      <c r="N6692" s="76" t="str">
        <f t="shared" si="318"/>
        <v/>
      </c>
      <c r="O6692" s="33">
        <f t="shared" si="319"/>
        <v>0</v>
      </c>
    </row>
    <row r="6693" spans="1:15" x14ac:dyDescent="0.25">
      <c r="A6693" s="64" t="s">
        <v>211</v>
      </c>
      <c r="B6693" s="79" t="str">
        <f>IF('Twenty-Seventh'!B196="", "",'Twenty-Seventh'!B196)</f>
        <v/>
      </c>
      <c r="C6693" s="66" t="str">
        <f>IF('Twenty-Seventh'!C196="", "",'Twenty-Seventh'!C196)</f>
        <v/>
      </c>
      <c r="D6693" s="66" t="str">
        <f>IF('Twenty-Seventh'!D196="", "",'Twenty-Seventh'!D196)</f>
        <v/>
      </c>
      <c r="E6693" s="66" t="str">
        <f>IF('Twenty-Seventh'!E196="", "",'Twenty-Seventh'!E196)</f>
        <v/>
      </c>
      <c r="F6693" s="66" t="str">
        <f>IF('Twenty-Seventh'!F196="", "",'Twenty-Seventh'!F196)</f>
        <v/>
      </c>
      <c r="G6693" s="66" t="str">
        <f>IF('Twenty-Seventh'!G196="", "",'Twenty-Seventh'!G196)</f>
        <v/>
      </c>
      <c r="H6693" s="66" t="str">
        <f>IF('Twenty-Seventh'!H196="", "",'Twenty-Seventh'!H196)</f>
        <v/>
      </c>
      <c r="I6693" s="66" t="str">
        <f>IF('Twenty-Seventh'!I196="", "",'Twenty-Seventh'!I196)</f>
        <v/>
      </c>
      <c r="J6693" s="66" t="str">
        <f>IF('Twenty-Seventh'!J196="", "",'Twenty-Seventh'!J196)</f>
        <v/>
      </c>
      <c r="K6693" s="86" t="str">
        <f>IF('Twenty-Seventh'!K196="", "",'Twenty-Seventh'!K196)</f>
        <v/>
      </c>
      <c r="M6693" s="67" t="str">
        <f t="shared" si="317"/>
        <v/>
      </c>
      <c r="N6693" s="76" t="str">
        <f t="shared" si="318"/>
        <v/>
      </c>
      <c r="O6693" s="33">
        <f t="shared" si="319"/>
        <v>0</v>
      </c>
    </row>
    <row r="6694" spans="1:15" x14ac:dyDescent="0.25">
      <c r="A6694" s="64" t="s">
        <v>211</v>
      </c>
      <c r="B6694" s="79" t="str">
        <f>IF('Twenty-Seventh'!B197="", "",'Twenty-Seventh'!B197)</f>
        <v/>
      </c>
      <c r="C6694" s="66" t="str">
        <f>IF('Twenty-Seventh'!C197="", "",'Twenty-Seventh'!C197)</f>
        <v/>
      </c>
      <c r="D6694" s="66" t="str">
        <f>IF('Twenty-Seventh'!D197="", "",'Twenty-Seventh'!D197)</f>
        <v/>
      </c>
      <c r="E6694" s="66" t="str">
        <f>IF('Twenty-Seventh'!E197="", "",'Twenty-Seventh'!E197)</f>
        <v/>
      </c>
      <c r="F6694" s="66" t="str">
        <f>IF('Twenty-Seventh'!F197="", "",'Twenty-Seventh'!F197)</f>
        <v/>
      </c>
      <c r="G6694" s="66" t="str">
        <f>IF('Twenty-Seventh'!G197="", "",'Twenty-Seventh'!G197)</f>
        <v/>
      </c>
      <c r="H6694" s="66" t="str">
        <f>IF('Twenty-Seventh'!H197="", "",'Twenty-Seventh'!H197)</f>
        <v/>
      </c>
      <c r="I6694" s="66" t="str">
        <f>IF('Twenty-Seventh'!I197="", "",'Twenty-Seventh'!I197)</f>
        <v/>
      </c>
      <c r="J6694" s="66" t="str">
        <f>IF('Twenty-Seventh'!J197="", "",'Twenty-Seventh'!J197)</f>
        <v/>
      </c>
      <c r="K6694" s="86" t="str">
        <f>IF('Twenty-Seventh'!K197="", "",'Twenty-Seventh'!K197)</f>
        <v/>
      </c>
      <c r="M6694" s="67" t="str">
        <f t="shared" si="317"/>
        <v/>
      </c>
      <c r="N6694" s="76" t="str">
        <f t="shared" si="318"/>
        <v/>
      </c>
      <c r="O6694" s="33">
        <f t="shared" si="319"/>
        <v>0</v>
      </c>
    </row>
    <row r="6695" spans="1:15" x14ac:dyDescent="0.25">
      <c r="A6695" s="64" t="s">
        <v>211</v>
      </c>
      <c r="B6695" s="79" t="str">
        <f>IF('Twenty-Seventh'!B198="", "",'Twenty-Seventh'!B198)</f>
        <v/>
      </c>
      <c r="C6695" s="66" t="str">
        <f>IF('Twenty-Seventh'!C198="", "",'Twenty-Seventh'!C198)</f>
        <v/>
      </c>
      <c r="D6695" s="66" t="str">
        <f>IF('Twenty-Seventh'!D198="", "",'Twenty-Seventh'!D198)</f>
        <v/>
      </c>
      <c r="E6695" s="66" t="str">
        <f>IF('Twenty-Seventh'!E198="", "",'Twenty-Seventh'!E198)</f>
        <v/>
      </c>
      <c r="F6695" s="66" t="str">
        <f>IF('Twenty-Seventh'!F198="", "",'Twenty-Seventh'!F198)</f>
        <v/>
      </c>
      <c r="G6695" s="66" t="str">
        <f>IF('Twenty-Seventh'!G198="", "",'Twenty-Seventh'!G198)</f>
        <v/>
      </c>
      <c r="H6695" s="66" t="str">
        <f>IF('Twenty-Seventh'!H198="", "",'Twenty-Seventh'!H198)</f>
        <v/>
      </c>
      <c r="I6695" s="66" t="str">
        <f>IF('Twenty-Seventh'!I198="", "",'Twenty-Seventh'!I198)</f>
        <v/>
      </c>
      <c r="J6695" s="66" t="str">
        <f>IF('Twenty-Seventh'!J198="", "",'Twenty-Seventh'!J198)</f>
        <v/>
      </c>
      <c r="K6695" s="86" t="str">
        <f>IF('Twenty-Seventh'!K198="", "",'Twenty-Seventh'!K198)</f>
        <v/>
      </c>
      <c r="M6695" s="67" t="str">
        <f t="shared" si="317"/>
        <v/>
      </c>
      <c r="N6695" s="76" t="str">
        <f t="shared" si="318"/>
        <v/>
      </c>
      <c r="O6695" s="33">
        <f t="shared" si="319"/>
        <v>0</v>
      </c>
    </row>
    <row r="6696" spans="1:15" x14ac:dyDescent="0.25">
      <c r="A6696" s="64" t="s">
        <v>211</v>
      </c>
      <c r="B6696" s="79" t="str">
        <f>IF('Twenty-Seventh'!B199="", "",'Twenty-Seventh'!B199)</f>
        <v/>
      </c>
      <c r="C6696" s="66" t="str">
        <f>IF('Twenty-Seventh'!C199="", "",'Twenty-Seventh'!C199)</f>
        <v/>
      </c>
      <c r="D6696" s="66" t="str">
        <f>IF('Twenty-Seventh'!D199="", "",'Twenty-Seventh'!D199)</f>
        <v/>
      </c>
      <c r="E6696" s="66" t="str">
        <f>IF('Twenty-Seventh'!E199="", "",'Twenty-Seventh'!E199)</f>
        <v/>
      </c>
      <c r="F6696" s="66" t="str">
        <f>IF('Twenty-Seventh'!F199="", "",'Twenty-Seventh'!F199)</f>
        <v/>
      </c>
      <c r="G6696" s="66" t="str">
        <f>IF('Twenty-Seventh'!G199="", "",'Twenty-Seventh'!G199)</f>
        <v/>
      </c>
      <c r="H6696" s="66" t="str">
        <f>IF('Twenty-Seventh'!H199="", "",'Twenty-Seventh'!H199)</f>
        <v/>
      </c>
      <c r="I6696" s="66" t="str">
        <f>IF('Twenty-Seventh'!I199="", "",'Twenty-Seventh'!I199)</f>
        <v/>
      </c>
      <c r="J6696" s="66" t="str">
        <f>IF('Twenty-Seventh'!J199="", "",'Twenty-Seventh'!J199)</f>
        <v/>
      </c>
      <c r="K6696" s="86" t="str">
        <f>IF('Twenty-Seventh'!K199="", "",'Twenty-Seventh'!K199)</f>
        <v/>
      </c>
      <c r="M6696" s="67" t="str">
        <f t="shared" si="317"/>
        <v/>
      </c>
      <c r="N6696" s="76" t="str">
        <f t="shared" si="318"/>
        <v/>
      </c>
      <c r="O6696" s="33">
        <f t="shared" si="319"/>
        <v>0</v>
      </c>
    </row>
    <row r="6697" spans="1:15" x14ac:dyDescent="0.25">
      <c r="A6697" s="64" t="s">
        <v>211</v>
      </c>
      <c r="B6697" s="79" t="str">
        <f>IF('Twenty-Seventh'!B200="", "",'Twenty-Seventh'!B200)</f>
        <v/>
      </c>
      <c r="C6697" s="66" t="str">
        <f>IF('Twenty-Seventh'!C200="", "",'Twenty-Seventh'!C200)</f>
        <v/>
      </c>
      <c r="D6697" s="66" t="str">
        <f>IF('Twenty-Seventh'!D200="", "",'Twenty-Seventh'!D200)</f>
        <v/>
      </c>
      <c r="E6697" s="66" t="str">
        <f>IF('Twenty-Seventh'!E200="", "",'Twenty-Seventh'!E200)</f>
        <v/>
      </c>
      <c r="F6697" s="66" t="str">
        <f>IF('Twenty-Seventh'!F200="", "",'Twenty-Seventh'!F200)</f>
        <v/>
      </c>
      <c r="G6697" s="66" t="str">
        <f>IF('Twenty-Seventh'!G200="", "",'Twenty-Seventh'!G200)</f>
        <v/>
      </c>
      <c r="H6697" s="66" t="str">
        <f>IF('Twenty-Seventh'!H200="", "",'Twenty-Seventh'!H200)</f>
        <v/>
      </c>
      <c r="I6697" s="66" t="str">
        <f>IF('Twenty-Seventh'!I200="", "",'Twenty-Seventh'!I200)</f>
        <v/>
      </c>
      <c r="J6697" s="66" t="str">
        <f>IF('Twenty-Seventh'!J200="", "",'Twenty-Seventh'!J200)</f>
        <v/>
      </c>
      <c r="K6697" s="86" t="str">
        <f>IF('Twenty-Seventh'!K200="", "",'Twenty-Seventh'!K200)</f>
        <v/>
      </c>
      <c r="M6697" s="67" t="str">
        <f t="shared" si="317"/>
        <v/>
      </c>
      <c r="N6697" s="76" t="str">
        <f t="shared" si="318"/>
        <v/>
      </c>
      <c r="O6697" s="33">
        <f t="shared" si="319"/>
        <v>0</v>
      </c>
    </row>
    <row r="6698" spans="1:15" x14ac:dyDescent="0.25">
      <c r="A6698" s="64" t="s">
        <v>211</v>
      </c>
      <c r="B6698" s="79" t="str">
        <f>IF('Twenty-Seventh'!B201="", "",'Twenty-Seventh'!B201)</f>
        <v/>
      </c>
      <c r="C6698" s="66" t="str">
        <f>IF('Twenty-Seventh'!C201="", "",'Twenty-Seventh'!C201)</f>
        <v/>
      </c>
      <c r="D6698" s="66" t="str">
        <f>IF('Twenty-Seventh'!D201="", "",'Twenty-Seventh'!D201)</f>
        <v/>
      </c>
      <c r="E6698" s="66" t="str">
        <f>IF('Twenty-Seventh'!E201="", "",'Twenty-Seventh'!E201)</f>
        <v/>
      </c>
      <c r="F6698" s="66" t="str">
        <f>IF('Twenty-Seventh'!F201="", "",'Twenty-Seventh'!F201)</f>
        <v/>
      </c>
      <c r="G6698" s="66" t="str">
        <f>IF('Twenty-Seventh'!G201="", "",'Twenty-Seventh'!G201)</f>
        <v/>
      </c>
      <c r="H6698" s="66" t="str">
        <f>IF('Twenty-Seventh'!H201="", "",'Twenty-Seventh'!H201)</f>
        <v/>
      </c>
      <c r="I6698" s="66" t="str">
        <f>IF('Twenty-Seventh'!I201="", "",'Twenty-Seventh'!I201)</f>
        <v/>
      </c>
      <c r="J6698" s="66" t="str">
        <f>IF('Twenty-Seventh'!J201="", "",'Twenty-Seventh'!J201)</f>
        <v/>
      </c>
      <c r="K6698" s="86" t="str">
        <f>IF('Twenty-Seventh'!K201="", "",'Twenty-Seventh'!K201)</f>
        <v/>
      </c>
      <c r="M6698" s="67" t="str">
        <f t="shared" si="317"/>
        <v/>
      </c>
      <c r="N6698" s="76" t="str">
        <f t="shared" si="318"/>
        <v/>
      </c>
      <c r="O6698" s="33">
        <f t="shared" si="319"/>
        <v>0</v>
      </c>
    </row>
    <row r="6699" spans="1:15" x14ac:dyDescent="0.25">
      <c r="A6699" s="64" t="s">
        <v>211</v>
      </c>
      <c r="B6699" s="79" t="str">
        <f>IF('Twenty-Seventh'!B202="", "",'Twenty-Seventh'!B202)</f>
        <v/>
      </c>
      <c r="C6699" s="66" t="str">
        <f>IF('Twenty-Seventh'!C202="", "",'Twenty-Seventh'!C202)</f>
        <v/>
      </c>
      <c r="D6699" s="66" t="str">
        <f>IF('Twenty-Seventh'!D202="", "",'Twenty-Seventh'!D202)</f>
        <v/>
      </c>
      <c r="E6699" s="66" t="str">
        <f>IF('Twenty-Seventh'!E202="", "",'Twenty-Seventh'!E202)</f>
        <v/>
      </c>
      <c r="F6699" s="66" t="str">
        <f>IF('Twenty-Seventh'!F202="", "",'Twenty-Seventh'!F202)</f>
        <v/>
      </c>
      <c r="G6699" s="66" t="str">
        <f>IF('Twenty-Seventh'!G202="", "",'Twenty-Seventh'!G202)</f>
        <v/>
      </c>
      <c r="H6699" s="66" t="str">
        <f>IF('Twenty-Seventh'!H202="", "",'Twenty-Seventh'!H202)</f>
        <v/>
      </c>
      <c r="I6699" s="66" t="str">
        <f>IF('Twenty-Seventh'!I202="", "",'Twenty-Seventh'!I202)</f>
        <v/>
      </c>
      <c r="J6699" s="66" t="str">
        <f>IF('Twenty-Seventh'!J202="", "",'Twenty-Seventh'!J202)</f>
        <v/>
      </c>
      <c r="K6699" s="86" t="str">
        <f>IF('Twenty-Seventh'!K202="", "",'Twenty-Seventh'!K202)</f>
        <v/>
      </c>
      <c r="M6699" s="67" t="str">
        <f t="shared" si="317"/>
        <v/>
      </c>
      <c r="N6699" s="76" t="str">
        <f t="shared" si="318"/>
        <v/>
      </c>
      <c r="O6699" s="33">
        <f t="shared" si="319"/>
        <v>0</v>
      </c>
    </row>
    <row r="6700" spans="1:15" x14ac:dyDescent="0.25">
      <c r="A6700" s="64" t="s">
        <v>211</v>
      </c>
      <c r="B6700" s="79" t="str">
        <f>IF('Twenty-Seventh'!B203="", "",'Twenty-Seventh'!B203)</f>
        <v/>
      </c>
      <c r="C6700" s="66" t="str">
        <f>IF('Twenty-Seventh'!C203="", "",'Twenty-Seventh'!C203)</f>
        <v/>
      </c>
      <c r="D6700" s="66" t="str">
        <f>IF('Twenty-Seventh'!D203="", "",'Twenty-Seventh'!D203)</f>
        <v/>
      </c>
      <c r="E6700" s="66" t="str">
        <f>IF('Twenty-Seventh'!E203="", "",'Twenty-Seventh'!E203)</f>
        <v/>
      </c>
      <c r="F6700" s="66" t="str">
        <f>IF('Twenty-Seventh'!F203="", "",'Twenty-Seventh'!F203)</f>
        <v/>
      </c>
      <c r="G6700" s="66" t="str">
        <f>IF('Twenty-Seventh'!G203="", "",'Twenty-Seventh'!G203)</f>
        <v/>
      </c>
      <c r="H6700" s="66" t="str">
        <f>IF('Twenty-Seventh'!H203="", "",'Twenty-Seventh'!H203)</f>
        <v/>
      </c>
      <c r="I6700" s="66" t="str">
        <f>IF('Twenty-Seventh'!I203="", "",'Twenty-Seventh'!I203)</f>
        <v/>
      </c>
      <c r="J6700" s="66" t="str">
        <f>IF('Twenty-Seventh'!J203="", "",'Twenty-Seventh'!J203)</f>
        <v/>
      </c>
      <c r="K6700" s="86" t="str">
        <f>IF('Twenty-Seventh'!K203="", "",'Twenty-Seventh'!K203)</f>
        <v/>
      </c>
      <c r="M6700" s="67" t="str">
        <f t="shared" si="317"/>
        <v/>
      </c>
      <c r="N6700" s="76" t="str">
        <f t="shared" si="318"/>
        <v/>
      </c>
      <c r="O6700" s="33">
        <f t="shared" si="319"/>
        <v>0</v>
      </c>
    </row>
    <row r="6701" spans="1:15" x14ac:dyDescent="0.25">
      <c r="A6701" s="64" t="s">
        <v>211</v>
      </c>
      <c r="B6701" s="79" t="str">
        <f>IF('Twenty-Seventh'!B204="", "",'Twenty-Seventh'!B204)</f>
        <v/>
      </c>
      <c r="C6701" s="66" t="str">
        <f>IF('Twenty-Seventh'!C204="", "",'Twenty-Seventh'!C204)</f>
        <v/>
      </c>
      <c r="D6701" s="66" t="str">
        <f>IF('Twenty-Seventh'!D204="", "",'Twenty-Seventh'!D204)</f>
        <v/>
      </c>
      <c r="E6701" s="66" t="str">
        <f>IF('Twenty-Seventh'!E204="", "",'Twenty-Seventh'!E204)</f>
        <v/>
      </c>
      <c r="F6701" s="66" t="str">
        <f>IF('Twenty-Seventh'!F204="", "",'Twenty-Seventh'!F204)</f>
        <v/>
      </c>
      <c r="G6701" s="66" t="str">
        <f>IF('Twenty-Seventh'!G204="", "",'Twenty-Seventh'!G204)</f>
        <v/>
      </c>
      <c r="H6701" s="66" t="str">
        <f>IF('Twenty-Seventh'!H204="", "",'Twenty-Seventh'!H204)</f>
        <v/>
      </c>
      <c r="I6701" s="66" t="str">
        <f>IF('Twenty-Seventh'!I204="", "",'Twenty-Seventh'!I204)</f>
        <v/>
      </c>
      <c r="J6701" s="66" t="str">
        <f>IF('Twenty-Seventh'!J204="", "",'Twenty-Seventh'!J204)</f>
        <v/>
      </c>
      <c r="K6701" s="86" t="str">
        <f>IF('Twenty-Seventh'!K204="", "",'Twenty-Seventh'!K204)</f>
        <v/>
      </c>
      <c r="M6701" s="67" t="str">
        <f t="shared" si="317"/>
        <v/>
      </c>
      <c r="N6701" s="76" t="str">
        <f t="shared" si="318"/>
        <v/>
      </c>
      <c r="O6701" s="33">
        <f t="shared" si="319"/>
        <v>0</v>
      </c>
    </row>
    <row r="6702" spans="1:15" x14ac:dyDescent="0.25">
      <c r="A6702" s="64" t="s">
        <v>211</v>
      </c>
      <c r="B6702" s="79" t="str">
        <f>IF('Twenty-Seventh'!B205="", "",'Twenty-Seventh'!B205)</f>
        <v/>
      </c>
      <c r="C6702" s="66" t="str">
        <f>IF('Twenty-Seventh'!C205="", "",'Twenty-Seventh'!C205)</f>
        <v/>
      </c>
      <c r="D6702" s="66" t="str">
        <f>IF('Twenty-Seventh'!D205="", "",'Twenty-Seventh'!D205)</f>
        <v/>
      </c>
      <c r="E6702" s="66" t="str">
        <f>IF('Twenty-Seventh'!E205="", "",'Twenty-Seventh'!E205)</f>
        <v/>
      </c>
      <c r="F6702" s="66" t="str">
        <f>IF('Twenty-Seventh'!F205="", "",'Twenty-Seventh'!F205)</f>
        <v/>
      </c>
      <c r="G6702" s="66" t="str">
        <f>IF('Twenty-Seventh'!G205="", "",'Twenty-Seventh'!G205)</f>
        <v/>
      </c>
      <c r="H6702" s="66" t="str">
        <f>IF('Twenty-Seventh'!H205="", "",'Twenty-Seventh'!H205)</f>
        <v/>
      </c>
      <c r="I6702" s="66" t="str">
        <f>IF('Twenty-Seventh'!I205="", "",'Twenty-Seventh'!I205)</f>
        <v/>
      </c>
      <c r="J6702" s="66" t="str">
        <f>IF('Twenty-Seventh'!J205="", "",'Twenty-Seventh'!J205)</f>
        <v/>
      </c>
      <c r="K6702" s="86" t="str">
        <f>IF('Twenty-Seventh'!K205="", "",'Twenty-Seventh'!K205)</f>
        <v/>
      </c>
      <c r="M6702" s="67" t="str">
        <f t="shared" si="317"/>
        <v/>
      </c>
      <c r="N6702" s="76" t="str">
        <f t="shared" si="318"/>
        <v/>
      </c>
      <c r="O6702" s="33">
        <f t="shared" si="319"/>
        <v>0</v>
      </c>
    </row>
    <row r="6703" spans="1:15" x14ac:dyDescent="0.25">
      <c r="A6703" s="64" t="s">
        <v>211</v>
      </c>
      <c r="B6703" s="79" t="str">
        <f>IF('Twenty-Seventh'!B206="", "",'Twenty-Seventh'!B206)</f>
        <v/>
      </c>
      <c r="C6703" s="66" t="str">
        <f>IF('Twenty-Seventh'!C206="", "",'Twenty-Seventh'!C206)</f>
        <v/>
      </c>
      <c r="D6703" s="66" t="str">
        <f>IF('Twenty-Seventh'!D206="", "",'Twenty-Seventh'!D206)</f>
        <v/>
      </c>
      <c r="E6703" s="66" t="str">
        <f>IF('Twenty-Seventh'!E206="", "",'Twenty-Seventh'!E206)</f>
        <v/>
      </c>
      <c r="F6703" s="66" t="str">
        <f>IF('Twenty-Seventh'!F206="", "",'Twenty-Seventh'!F206)</f>
        <v/>
      </c>
      <c r="G6703" s="66" t="str">
        <f>IF('Twenty-Seventh'!G206="", "",'Twenty-Seventh'!G206)</f>
        <v/>
      </c>
      <c r="H6703" s="66" t="str">
        <f>IF('Twenty-Seventh'!H206="", "",'Twenty-Seventh'!H206)</f>
        <v/>
      </c>
      <c r="I6703" s="66" t="str">
        <f>IF('Twenty-Seventh'!I206="", "",'Twenty-Seventh'!I206)</f>
        <v/>
      </c>
      <c r="J6703" s="66" t="str">
        <f>IF('Twenty-Seventh'!J206="", "",'Twenty-Seventh'!J206)</f>
        <v/>
      </c>
      <c r="K6703" s="86" t="str">
        <f>IF('Twenty-Seventh'!K206="", "",'Twenty-Seventh'!K206)</f>
        <v/>
      </c>
      <c r="M6703" s="67" t="str">
        <f t="shared" si="317"/>
        <v/>
      </c>
      <c r="N6703" s="76" t="str">
        <f t="shared" si="318"/>
        <v/>
      </c>
      <c r="O6703" s="33">
        <f t="shared" si="319"/>
        <v>0</v>
      </c>
    </row>
    <row r="6704" spans="1:15" x14ac:dyDescent="0.25">
      <c r="A6704" s="64" t="s">
        <v>211</v>
      </c>
      <c r="B6704" s="79" t="str">
        <f>IF('Twenty-Seventh'!B207="", "",'Twenty-Seventh'!B207)</f>
        <v/>
      </c>
      <c r="C6704" s="66" t="str">
        <f>IF('Twenty-Seventh'!C207="", "",'Twenty-Seventh'!C207)</f>
        <v/>
      </c>
      <c r="D6704" s="66" t="str">
        <f>IF('Twenty-Seventh'!D207="", "",'Twenty-Seventh'!D207)</f>
        <v/>
      </c>
      <c r="E6704" s="66" t="str">
        <f>IF('Twenty-Seventh'!E207="", "",'Twenty-Seventh'!E207)</f>
        <v/>
      </c>
      <c r="F6704" s="66" t="str">
        <f>IF('Twenty-Seventh'!F207="", "",'Twenty-Seventh'!F207)</f>
        <v/>
      </c>
      <c r="G6704" s="66" t="str">
        <f>IF('Twenty-Seventh'!G207="", "",'Twenty-Seventh'!G207)</f>
        <v/>
      </c>
      <c r="H6704" s="66" t="str">
        <f>IF('Twenty-Seventh'!H207="", "",'Twenty-Seventh'!H207)</f>
        <v/>
      </c>
      <c r="I6704" s="66" t="str">
        <f>IF('Twenty-Seventh'!I207="", "",'Twenty-Seventh'!I207)</f>
        <v/>
      </c>
      <c r="J6704" s="66" t="str">
        <f>IF('Twenty-Seventh'!J207="", "",'Twenty-Seventh'!J207)</f>
        <v/>
      </c>
      <c r="K6704" s="86" t="str">
        <f>IF('Twenty-Seventh'!K207="", "",'Twenty-Seventh'!K207)</f>
        <v/>
      </c>
      <c r="M6704" s="67" t="str">
        <f t="shared" si="317"/>
        <v/>
      </c>
      <c r="N6704" s="76" t="str">
        <f t="shared" si="318"/>
        <v/>
      </c>
      <c r="O6704" s="33">
        <f t="shared" si="319"/>
        <v>0</v>
      </c>
    </row>
    <row r="6705" spans="1:15" x14ac:dyDescent="0.25">
      <c r="A6705" s="64" t="s">
        <v>211</v>
      </c>
      <c r="B6705" s="79" t="str">
        <f>IF('Twenty-Seventh'!B208="", "",'Twenty-Seventh'!B208)</f>
        <v/>
      </c>
      <c r="C6705" s="66" t="str">
        <f>IF('Twenty-Seventh'!C208="", "",'Twenty-Seventh'!C208)</f>
        <v/>
      </c>
      <c r="D6705" s="66" t="str">
        <f>IF('Twenty-Seventh'!D208="", "",'Twenty-Seventh'!D208)</f>
        <v/>
      </c>
      <c r="E6705" s="66" t="str">
        <f>IF('Twenty-Seventh'!E208="", "",'Twenty-Seventh'!E208)</f>
        <v/>
      </c>
      <c r="F6705" s="66" t="str">
        <f>IF('Twenty-Seventh'!F208="", "",'Twenty-Seventh'!F208)</f>
        <v/>
      </c>
      <c r="G6705" s="66" t="str">
        <f>IF('Twenty-Seventh'!G208="", "",'Twenty-Seventh'!G208)</f>
        <v/>
      </c>
      <c r="H6705" s="66" t="str">
        <f>IF('Twenty-Seventh'!H208="", "",'Twenty-Seventh'!H208)</f>
        <v/>
      </c>
      <c r="I6705" s="66" t="str">
        <f>IF('Twenty-Seventh'!I208="", "",'Twenty-Seventh'!I208)</f>
        <v/>
      </c>
      <c r="J6705" s="66" t="str">
        <f>IF('Twenty-Seventh'!J208="", "",'Twenty-Seventh'!J208)</f>
        <v/>
      </c>
      <c r="K6705" s="86" t="str">
        <f>IF('Twenty-Seventh'!K208="", "",'Twenty-Seventh'!K208)</f>
        <v/>
      </c>
      <c r="M6705" s="67" t="str">
        <f t="shared" si="317"/>
        <v/>
      </c>
      <c r="N6705" s="76" t="str">
        <f t="shared" si="318"/>
        <v/>
      </c>
      <c r="O6705" s="33">
        <f t="shared" si="319"/>
        <v>0</v>
      </c>
    </row>
    <row r="6706" spans="1:15" x14ac:dyDescent="0.25">
      <c r="A6706" s="64" t="s">
        <v>211</v>
      </c>
      <c r="B6706" s="79" t="str">
        <f>IF('Twenty-Seventh'!B209="", "",'Twenty-Seventh'!B209)</f>
        <v/>
      </c>
      <c r="C6706" s="66" t="str">
        <f>IF('Twenty-Seventh'!C209="", "",'Twenty-Seventh'!C209)</f>
        <v/>
      </c>
      <c r="D6706" s="66" t="str">
        <f>IF('Twenty-Seventh'!D209="", "",'Twenty-Seventh'!D209)</f>
        <v/>
      </c>
      <c r="E6706" s="66" t="str">
        <f>IF('Twenty-Seventh'!E209="", "",'Twenty-Seventh'!E209)</f>
        <v/>
      </c>
      <c r="F6706" s="66" t="str">
        <f>IF('Twenty-Seventh'!F209="", "",'Twenty-Seventh'!F209)</f>
        <v/>
      </c>
      <c r="G6706" s="66" t="str">
        <f>IF('Twenty-Seventh'!G209="", "",'Twenty-Seventh'!G209)</f>
        <v/>
      </c>
      <c r="H6706" s="66" t="str">
        <f>IF('Twenty-Seventh'!H209="", "",'Twenty-Seventh'!H209)</f>
        <v/>
      </c>
      <c r="I6706" s="66" t="str">
        <f>IF('Twenty-Seventh'!I209="", "",'Twenty-Seventh'!I209)</f>
        <v/>
      </c>
      <c r="J6706" s="66" t="str">
        <f>IF('Twenty-Seventh'!J209="", "",'Twenty-Seventh'!J209)</f>
        <v/>
      </c>
      <c r="K6706" s="86" t="str">
        <f>IF('Twenty-Seventh'!K209="", "",'Twenty-Seventh'!K209)</f>
        <v/>
      </c>
      <c r="M6706" s="67" t="str">
        <f t="shared" si="317"/>
        <v/>
      </c>
      <c r="N6706" s="76" t="str">
        <f t="shared" si="318"/>
        <v/>
      </c>
      <c r="O6706" s="33">
        <f t="shared" si="319"/>
        <v>0</v>
      </c>
    </row>
    <row r="6707" spans="1:15" x14ac:dyDescent="0.25">
      <c r="A6707" s="64" t="s">
        <v>211</v>
      </c>
      <c r="B6707" s="79" t="str">
        <f>IF('Twenty-Seventh'!B210="", "",'Twenty-Seventh'!B210)</f>
        <v/>
      </c>
      <c r="C6707" s="66" t="str">
        <f>IF('Twenty-Seventh'!C210="", "",'Twenty-Seventh'!C210)</f>
        <v/>
      </c>
      <c r="D6707" s="66" t="str">
        <f>IF('Twenty-Seventh'!D210="", "",'Twenty-Seventh'!D210)</f>
        <v/>
      </c>
      <c r="E6707" s="66" t="str">
        <f>IF('Twenty-Seventh'!E210="", "",'Twenty-Seventh'!E210)</f>
        <v/>
      </c>
      <c r="F6707" s="66" t="str">
        <f>IF('Twenty-Seventh'!F210="", "",'Twenty-Seventh'!F210)</f>
        <v/>
      </c>
      <c r="G6707" s="66" t="str">
        <f>IF('Twenty-Seventh'!G210="", "",'Twenty-Seventh'!G210)</f>
        <v/>
      </c>
      <c r="H6707" s="66" t="str">
        <f>IF('Twenty-Seventh'!H210="", "",'Twenty-Seventh'!H210)</f>
        <v/>
      </c>
      <c r="I6707" s="66" t="str">
        <f>IF('Twenty-Seventh'!I210="", "",'Twenty-Seventh'!I210)</f>
        <v/>
      </c>
      <c r="J6707" s="66" t="str">
        <f>IF('Twenty-Seventh'!J210="", "",'Twenty-Seventh'!J210)</f>
        <v/>
      </c>
      <c r="K6707" s="86" t="str">
        <f>IF('Twenty-Seventh'!K210="", "",'Twenty-Seventh'!K210)</f>
        <v/>
      </c>
      <c r="M6707" s="67" t="str">
        <f t="shared" si="317"/>
        <v/>
      </c>
      <c r="N6707" s="76" t="str">
        <f t="shared" si="318"/>
        <v/>
      </c>
      <c r="O6707" s="33">
        <f t="shared" si="319"/>
        <v>0</v>
      </c>
    </row>
    <row r="6708" spans="1:15" x14ac:dyDescent="0.25">
      <c r="A6708" s="64" t="s">
        <v>211</v>
      </c>
      <c r="B6708" s="79" t="str">
        <f>IF('Twenty-Seventh'!B211="", "",'Twenty-Seventh'!B211)</f>
        <v/>
      </c>
      <c r="C6708" s="66" t="str">
        <f>IF('Twenty-Seventh'!C211="", "",'Twenty-Seventh'!C211)</f>
        <v/>
      </c>
      <c r="D6708" s="66" t="str">
        <f>IF('Twenty-Seventh'!D211="", "",'Twenty-Seventh'!D211)</f>
        <v/>
      </c>
      <c r="E6708" s="66" t="str">
        <f>IF('Twenty-Seventh'!E211="", "",'Twenty-Seventh'!E211)</f>
        <v/>
      </c>
      <c r="F6708" s="66" t="str">
        <f>IF('Twenty-Seventh'!F211="", "",'Twenty-Seventh'!F211)</f>
        <v/>
      </c>
      <c r="G6708" s="66" t="str">
        <f>IF('Twenty-Seventh'!G211="", "",'Twenty-Seventh'!G211)</f>
        <v/>
      </c>
      <c r="H6708" s="66" t="str">
        <f>IF('Twenty-Seventh'!H211="", "",'Twenty-Seventh'!H211)</f>
        <v/>
      </c>
      <c r="I6708" s="66" t="str">
        <f>IF('Twenty-Seventh'!I211="", "",'Twenty-Seventh'!I211)</f>
        <v/>
      </c>
      <c r="J6708" s="66" t="str">
        <f>IF('Twenty-Seventh'!J211="", "",'Twenty-Seventh'!J211)</f>
        <v/>
      </c>
      <c r="K6708" s="86" t="str">
        <f>IF('Twenty-Seventh'!K211="", "",'Twenty-Seventh'!K211)</f>
        <v/>
      </c>
      <c r="M6708" s="67" t="str">
        <f t="shared" si="317"/>
        <v/>
      </c>
      <c r="N6708" s="76" t="str">
        <f t="shared" si="318"/>
        <v/>
      </c>
      <c r="O6708" s="33">
        <f t="shared" si="319"/>
        <v>0</v>
      </c>
    </row>
    <row r="6709" spans="1:15" x14ac:dyDescent="0.25">
      <c r="A6709" s="64" t="s">
        <v>211</v>
      </c>
      <c r="B6709" s="79" t="str">
        <f>IF('Twenty-Seventh'!B212="", "",'Twenty-Seventh'!B212)</f>
        <v/>
      </c>
      <c r="C6709" s="66" t="str">
        <f>IF('Twenty-Seventh'!C212="", "",'Twenty-Seventh'!C212)</f>
        <v/>
      </c>
      <c r="D6709" s="66" t="str">
        <f>IF('Twenty-Seventh'!D212="", "",'Twenty-Seventh'!D212)</f>
        <v/>
      </c>
      <c r="E6709" s="66" t="str">
        <f>IF('Twenty-Seventh'!E212="", "",'Twenty-Seventh'!E212)</f>
        <v/>
      </c>
      <c r="F6709" s="66" t="str">
        <f>IF('Twenty-Seventh'!F212="", "",'Twenty-Seventh'!F212)</f>
        <v/>
      </c>
      <c r="G6709" s="66" t="str">
        <f>IF('Twenty-Seventh'!G212="", "",'Twenty-Seventh'!G212)</f>
        <v/>
      </c>
      <c r="H6709" s="66" t="str">
        <f>IF('Twenty-Seventh'!H212="", "",'Twenty-Seventh'!H212)</f>
        <v/>
      </c>
      <c r="I6709" s="66" t="str">
        <f>IF('Twenty-Seventh'!I212="", "",'Twenty-Seventh'!I212)</f>
        <v/>
      </c>
      <c r="J6709" s="66" t="str">
        <f>IF('Twenty-Seventh'!J212="", "",'Twenty-Seventh'!J212)</f>
        <v/>
      </c>
      <c r="K6709" s="86" t="str">
        <f>IF('Twenty-Seventh'!K212="", "",'Twenty-Seventh'!K212)</f>
        <v/>
      </c>
      <c r="M6709" s="67" t="str">
        <f t="shared" si="317"/>
        <v/>
      </c>
      <c r="N6709" s="76" t="str">
        <f t="shared" si="318"/>
        <v/>
      </c>
      <c r="O6709" s="33">
        <f t="shared" si="319"/>
        <v>0</v>
      </c>
    </row>
    <row r="6710" spans="1:15" x14ac:dyDescent="0.25">
      <c r="A6710" s="64" t="s">
        <v>211</v>
      </c>
      <c r="B6710" s="79" t="str">
        <f>IF('Twenty-Seventh'!B213="", "",'Twenty-Seventh'!B213)</f>
        <v/>
      </c>
      <c r="C6710" s="66" t="str">
        <f>IF('Twenty-Seventh'!C213="", "",'Twenty-Seventh'!C213)</f>
        <v/>
      </c>
      <c r="D6710" s="66" t="str">
        <f>IF('Twenty-Seventh'!D213="", "",'Twenty-Seventh'!D213)</f>
        <v/>
      </c>
      <c r="E6710" s="66" t="str">
        <f>IF('Twenty-Seventh'!E213="", "",'Twenty-Seventh'!E213)</f>
        <v/>
      </c>
      <c r="F6710" s="66" t="str">
        <f>IF('Twenty-Seventh'!F213="", "",'Twenty-Seventh'!F213)</f>
        <v/>
      </c>
      <c r="G6710" s="66" t="str">
        <f>IF('Twenty-Seventh'!G213="", "",'Twenty-Seventh'!G213)</f>
        <v/>
      </c>
      <c r="H6710" s="66" t="str">
        <f>IF('Twenty-Seventh'!H213="", "",'Twenty-Seventh'!H213)</f>
        <v/>
      </c>
      <c r="I6710" s="66" t="str">
        <f>IF('Twenty-Seventh'!I213="", "",'Twenty-Seventh'!I213)</f>
        <v/>
      </c>
      <c r="J6710" s="66" t="str">
        <f>IF('Twenty-Seventh'!J213="", "",'Twenty-Seventh'!J213)</f>
        <v/>
      </c>
      <c r="K6710" s="86" t="str">
        <f>IF('Twenty-Seventh'!K213="", "",'Twenty-Seventh'!K213)</f>
        <v/>
      </c>
      <c r="M6710" s="67" t="str">
        <f t="shared" si="317"/>
        <v/>
      </c>
      <c r="N6710" s="76" t="str">
        <f t="shared" si="318"/>
        <v/>
      </c>
      <c r="O6710" s="33">
        <f t="shared" si="319"/>
        <v>0</v>
      </c>
    </row>
    <row r="6711" spans="1:15" x14ac:dyDescent="0.25">
      <c r="A6711" s="64" t="s">
        <v>211</v>
      </c>
      <c r="B6711" s="79" t="str">
        <f>IF('Twenty-Seventh'!B214="", "",'Twenty-Seventh'!B214)</f>
        <v/>
      </c>
      <c r="C6711" s="66" t="str">
        <f>IF('Twenty-Seventh'!C214="", "",'Twenty-Seventh'!C214)</f>
        <v/>
      </c>
      <c r="D6711" s="66" t="str">
        <f>IF('Twenty-Seventh'!D214="", "",'Twenty-Seventh'!D214)</f>
        <v/>
      </c>
      <c r="E6711" s="66" t="str">
        <f>IF('Twenty-Seventh'!E214="", "",'Twenty-Seventh'!E214)</f>
        <v/>
      </c>
      <c r="F6711" s="66" t="str">
        <f>IF('Twenty-Seventh'!F214="", "",'Twenty-Seventh'!F214)</f>
        <v/>
      </c>
      <c r="G6711" s="66" t="str">
        <f>IF('Twenty-Seventh'!G214="", "",'Twenty-Seventh'!G214)</f>
        <v/>
      </c>
      <c r="H6711" s="66" t="str">
        <f>IF('Twenty-Seventh'!H214="", "",'Twenty-Seventh'!H214)</f>
        <v/>
      </c>
      <c r="I6711" s="66" t="str">
        <f>IF('Twenty-Seventh'!I214="", "",'Twenty-Seventh'!I214)</f>
        <v/>
      </c>
      <c r="J6711" s="66" t="str">
        <f>IF('Twenty-Seventh'!J214="", "",'Twenty-Seventh'!J214)</f>
        <v/>
      </c>
      <c r="K6711" s="86" t="str">
        <f>IF('Twenty-Seventh'!K214="", "",'Twenty-Seventh'!K214)</f>
        <v/>
      </c>
      <c r="M6711" s="67" t="str">
        <f t="shared" si="317"/>
        <v/>
      </c>
      <c r="N6711" s="76" t="str">
        <f t="shared" si="318"/>
        <v/>
      </c>
      <c r="O6711" s="33">
        <f t="shared" si="319"/>
        <v>0</v>
      </c>
    </row>
    <row r="6712" spans="1:15" x14ac:dyDescent="0.25">
      <c r="A6712" s="64" t="s">
        <v>211</v>
      </c>
      <c r="B6712" s="79" t="str">
        <f>IF('Twenty-Seventh'!B215="", "",'Twenty-Seventh'!B215)</f>
        <v/>
      </c>
      <c r="C6712" s="66" t="str">
        <f>IF('Twenty-Seventh'!C215="", "",'Twenty-Seventh'!C215)</f>
        <v/>
      </c>
      <c r="D6712" s="66" t="str">
        <f>IF('Twenty-Seventh'!D215="", "",'Twenty-Seventh'!D215)</f>
        <v/>
      </c>
      <c r="E6712" s="66" t="str">
        <f>IF('Twenty-Seventh'!E215="", "",'Twenty-Seventh'!E215)</f>
        <v/>
      </c>
      <c r="F6712" s="66" t="str">
        <f>IF('Twenty-Seventh'!F215="", "",'Twenty-Seventh'!F215)</f>
        <v/>
      </c>
      <c r="G6712" s="66" t="str">
        <f>IF('Twenty-Seventh'!G215="", "",'Twenty-Seventh'!G215)</f>
        <v/>
      </c>
      <c r="H6712" s="66" t="str">
        <f>IF('Twenty-Seventh'!H215="", "",'Twenty-Seventh'!H215)</f>
        <v/>
      </c>
      <c r="I6712" s="66" t="str">
        <f>IF('Twenty-Seventh'!I215="", "",'Twenty-Seventh'!I215)</f>
        <v/>
      </c>
      <c r="J6712" s="66" t="str">
        <f>IF('Twenty-Seventh'!J215="", "",'Twenty-Seventh'!J215)</f>
        <v/>
      </c>
      <c r="K6712" s="86" t="str">
        <f>IF('Twenty-Seventh'!K215="", "",'Twenty-Seventh'!K215)</f>
        <v/>
      </c>
      <c r="M6712" s="67" t="str">
        <f t="shared" si="317"/>
        <v/>
      </c>
      <c r="N6712" s="76" t="str">
        <f t="shared" si="318"/>
        <v/>
      </c>
      <c r="O6712" s="33">
        <f t="shared" si="319"/>
        <v>0</v>
      </c>
    </row>
    <row r="6713" spans="1:15" x14ac:dyDescent="0.25">
      <c r="A6713" s="64" t="s">
        <v>211</v>
      </c>
      <c r="B6713" s="79" t="str">
        <f>IF('Twenty-Seventh'!B216="", "",'Twenty-Seventh'!B216)</f>
        <v/>
      </c>
      <c r="C6713" s="66" t="str">
        <f>IF('Twenty-Seventh'!C216="", "",'Twenty-Seventh'!C216)</f>
        <v/>
      </c>
      <c r="D6713" s="66" t="str">
        <f>IF('Twenty-Seventh'!D216="", "",'Twenty-Seventh'!D216)</f>
        <v/>
      </c>
      <c r="E6713" s="66" t="str">
        <f>IF('Twenty-Seventh'!E216="", "",'Twenty-Seventh'!E216)</f>
        <v/>
      </c>
      <c r="F6713" s="66" t="str">
        <f>IF('Twenty-Seventh'!F216="", "",'Twenty-Seventh'!F216)</f>
        <v/>
      </c>
      <c r="G6713" s="66" t="str">
        <f>IF('Twenty-Seventh'!G216="", "",'Twenty-Seventh'!G216)</f>
        <v/>
      </c>
      <c r="H6713" s="66" t="str">
        <f>IF('Twenty-Seventh'!H216="", "",'Twenty-Seventh'!H216)</f>
        <v/>
      </c>
      <c r="I6713" s="66" t="str">
        <f>IF('Twenty-Seventh'!I216="", "",'Twenty-Seventh'!I216)</f>
        <v/>
      </c>
      <c r="J6713" s="66" t="str">
        <f>IF('Twenty-Seventh'!J216="", "",'Twenty-Seventh'!J216)</f>
        <v/>
      </c>
      <c r="K6713" s="86" t="str">
        <f>IF('Twenty-Seventh'!K216="", "",'Twenty-Seventh'!K216)</f>
        <v/>
      </c>
      <c r="M6713" s="67" t="str">
        <f t="shared" si="317"/>
        <v/>
      </c>
      <c r="N6713" s="76" t="str">
        <f t="shared" si="318"/>
        <v/>
      </c>
      <c r="O6713" s="33">
        <f t="shared" si="319"/>
        <v>0</v>
      </c>
    </row>
    <row r="6714" spans="1:15" x14ac:dyDescent="0.25">
      <c r="A6714" s="64" t="s">
        <v>211</v>
      </c>
      <c r="B6714" s="79" t="str">
        <f>IF('Twenty-Seventh'!B217="", "",'Twenty-Seventh'!B217)</f>
        <v/>
      </c>
      <c r="C6714" s="66" t="str">
        <f>IF('Twenty-Seventh'!C217="", "",'Twenty-Seventh'!C217)</f>
        <v/>
      </c>
      <c r="D6714" s="66" t="str">
        <f>IF('Twenty-Seventh'!D217="", "",'Twenty-Seventh'!D217)</f>
        <v/>
      </c>
      <c r="E6714" s="66" t="str">
        <f>IF('Twenty-Seventh'!E217="", "",'Twenty-Seventh'!E217)</f>
        <v/>
      </c>
      <c r="F6714" s="66" t="str">
        <f>IF('Twenty-Seventh'!F217="", "",'Twenty-Seventh'!F217)</f>
        <v/>
      </c>
      <c r="G6714" s="66" t="str">
        <f>IF('Twenty-Seventh'!G217="", "",'Twenty-Seventh'!G217)</f>
        <v/>
      </c>
      <c r="H6714" s="66" t="str">
        <f>IF('Twenty-Seventh'!H217="", "",'Twenty-Seventh'!H217)</f>
        <v/>
      </c>
      <c r="I6714" s="66" t="str">
        <f>IF('Twenty-Seventh'!I217="", "",'Twenty-Seventh'!I217)</f>
        <v/>
      </c>
      <c r="J6714" s="66" t="str">
        <f>IF('Twenty-Seventh'!J217="", "",'Twenty-Seventh'!J217)</f>
        <v/>
      </c>
      <c r="K6714" s="86" t="str">
        <f>IF('Twenty-Seventh'!K217="", "",'Twenty-Seventh'!K217)</f>
        <v/>
      </c>
      <c r="M6714" s="67" t="str">
        <f t="shared" si="317"/>
        <v/>
      </c>
      <c r="N6714" s="76" t="str">
        <f t="shared" si="318"/>
        <v/>
      </c>
      <c r="O6714" s="33">
        <f t="shared" si="319"/>
        <v>0</v>
      </c>
    </row>
    <row r="6715" spans="1:15" x14ac:dyDescent="0.25">
      <c r="A6715" s="64" t="s">
        <v>211</v>
      </c>
      <c r="B6715" s="79" t="str">
        <f>IF('Twenty-Seventh'!B218="", "",'Twenty-Seventh'!B218)</f>
        <v/>
      </c>
      <c r="C6715" s="66" t="str">
        <f>IF('Twenty-Seventh'!C218="", "",'Twenty-Seventh'!C218)</f>
        <v/>
      </c>
      <c r="D6715" s="66" t="str">
        <f>IF('Twenty-Seventh'!D218="", "",'Twenty-Seventh'!D218)</f>
        <v/>
      </c>
      <c r="E6715" s="66" t="str">
        <f>IF('Twenty-Seventh'!E218="", "",'Twenty-Seventh'!E218)</f>
        <v/>
      </c>
      <c r="F6715" s="66" t="str">
        <f>IF('Twenty-Seventh'!F218="", "",'Twenty-Seventh'!F218)</f>
        <v/>
      </c>
      <c r="G6715" s="66" t="str">
        <f>IF('Twenty-Seventh'!G218="", "",'Twenty-Seventh'!G218)</f>
        <v/>
      </c>
      <c r="H6715" s="66" t="str">
        <f>IF('Twenty-Seventh'!H218="", "",'Twenty-Seventh'!H218)</f>
        <v/>
      </c>
      <c r="I6715" s="66" t="str">
        <f>IF('Twenty-Seventh'!I218="", "",'Twenty-Seventh'!I218)</f>
        <v/>
      </c>
      <c r="J6715" s="66" t="str">
        <f>IF('Twenty-Seventh'!J218="", "",'Twenty-Seventh'!J218)</f>
        <v/>
      </c>
      <c r="K6715" s="86" t="str">
        <f>IF('Twenty-Seventh'!K218="", "",'Twenty-Seventh'!K218)</f>
        <v/>
      </c>
      <c r="M6715" s="67" t="str">
        <f t="shared" si="317"/>
        <v/>
      </c>
      <c r="N6715" s="76" t="str">
        <f t="shared" si="318"/>
        <v/>
      </c>
      <c r="O6715" s="33">
        <f t="shared" si="319"/>
        <v>0</v>
      </c>
    </row>
    <row r="6716" spans="1:15" x14ac:dyDescent="0.25">
      <c r="A6716" s="64" t="s">
        <v>211</v>
      </c>
      <c r="B6716" s="79" t="str">
        <f>IF('Twenty-Seventh'!B219="", "",'Twenty-Seventh'!B219)</f>
        <v/>
      </c>
      <c r="C6716" s="66" t="str">
        <f>IF('Twenty-Seventh'!C219="", "",'Twenty-Seventh'!C219)</f>
        <v/>
      </c>
      <c r="D6716" s="66" t="str">
        <f>IF('Twenty-Seventh'!D219="", "",'Twenty-Seventh'!D219)</f>
        <v/>
      </c>
      <c r="E6716" s="66" t="str">
        <f>IF('Twenty-Seventh'!E219="", "",'Twenty-Seventh'!E219)</f>
        <v/>
      </c>
      <c r="F6716" s="66" t="str">
        <f>IF('Twenty-Seventh'!F219="", "",'Twenty-Seventh'!F219)</f>
        <v/>
      </c>
      <c r="G6716" s="66" t="str">
        <f>IF('Twenty-Seventh'!G219="", "",'Twenty-Seventh'!G219)</f>
        <v/>
      </c>
      <c r="H6716" s="66" t="str">
        <f>IF('Twenty-Seventh'!H219="", "",'Twenty-Seventh'!H219)</f>
        <v/>
      </c>
      <c r="I6716" s="66" t="str">
        <f>IF('Twenty-Seventh'!I219="", "",'Twenty-Seventh'!I219)</f>
        <v/>
      </c>
      <c r="J6716" s="66" t="str">
        <f>IF('Twenty-Seventh'!J219="", "",'Twenty-Seventh'!J219)</f>
        <v/>
      </c>
      <c r="K6716" s="86" t="str">
        <f>IF('Twenty-Seventh'!K219="", "",'Twenty-Seventh'!K219)</f>
        <v/>
      </c>
      <c r="M6716" s="67" t="str">
        <f t="shared" si="317"/>
        <v/>
      </c>
      <c r="N6716" s="76" t="str">
        <f t="shared" si="318"/>
        <v/>
      </c>
      <c r="O6716" s="33">
        <f t="shared" si="319"/>
        <v>0</v>
      </c>
    </row>
    <row r="6717" spans="1:15" x14ac:dyDescent="0.25">
      <c r="A6717" s="64" t="s">
        <v>211</v>
      </c>
      <c r="B6717" s="79" t="str">
        <f>IF('Twenty-Seventh'!B220="", "",'Twenty-Seventh'!B220)</f>
        <v/>
      </c>
      <c r="C6717" s="66" t="str">
        <f>IF('Twenty-Seventh'!C220="", "",'Twenty-Seventh'!C220)</f>
        <v/>
      </c>
      <c r="D6717" s="66" t="str">
        <f>IF('Twenty-Seventh'!D220="", "",'Twenty-Seventh'!D220)</f>
        <v/>
      </c>
      <c r="E6717" s="66" t="str">
        <f>IF('Twenty-Seventh'!E220="", "",'Twenty-Seventh'!E220)</f>
        <v/>
      </c>
      <c r="F6717" s="66" t="str">
        <f>IF('Twenty-Seventh'!F220="", "",'Twenty-Seventh'!F220)</f>
        <v/>
      </c>
      <c r="G6717" s="66" t="str">
        <f>IF('Twenty-Seventh'!G220="", "",'Twenty-Seventh'!G220)</f>
        <v/>
      </c>
      <c r="H6717" s="66" t="str">
        <f>IF('Twenty-Seventh'!H220="", "",'Twenty-Seventh'!H220)</f>
        <v/>
      </c>
      <c r="I6717" s="66" t="str">
        <f>IF('Twenty-Seventh'!I220="", "",'Twenty-Seventh'!I220)</f>
        <v/>
      </c>
      <c r="J6717" s="66" t="str">
        <f>IF('Twenty-Seventh'!J220="", "",'Twenty-Seventh'!J220)</f>
        <v/>
      </c>
      <c r="K6717" s="86" t="str">
        <f>IF('Twenty-Seventh'!K220="", "",'Twenty-Seventh'!K220)</f>
        <v/>
      </c>
      <c r="M6717" s="67" t="str">
        <f t="shared" si="317"/>
        <v/>
      </c>
      <c r="N6717" s="76" t="str">
        <f t="shared" si="318"/>
        <v/>
      </c>
      <c r="O6717" s="33">
        <f t="shared" si="319"/>
        <v>0</v>
      </c>
    </row>
    <row r="6718" spans="1:15" x14ac:dyDescent="0.25">
      <c r="A6718" s="64" t="s">
        <v>211</v>
      </c>
      <c r="B6718" s="79" t="str">
        <f>IF('Twenty-Seventh'!B221="", "",'Twenty-Seventh'!B221)</f>
        <v/>
      </c>
      <c r="C6718" s="66" t="str">
        <f>IF('Twenty-Seventh'!C221="", "",'Twenty-Seventh'!C221)</f>
        <v/>
      </c>
      <c r="D6718" s="66" t="str">
        <f>IF('Twenty-Seventh'!D221="", "",'Twenty-Seventh'!D221)</f>
        <v/>
      </c>
      <c r="E6718" s="66" t="str">
        <f>IF('Twenty-Seventh'!E221="", "",'Twenty-Seventh'!E221)</f>
        <v/>
      </c>
      <c r="F6718" s="66" t="str">
        <f>IF('Twenty-Seventh'!F221="", "",'Twenty-Seventh'!F221)</f>
        <v/>
      </c>
      <c r="G6718" s="66" t="str">
        <f>IF('Twenty-Seventh'!G221="", "",'Twenty-Seventh'!G221)</f>
        <v/>
      </c>
      <c r="H6718" s="66" t="str">
        <f>IF('Twenty-Seventh'!H221="", "",'Twenty-Seventh'!H221)</f>
        <v/>
      </c>
      <c r="I6718" s="66" t="str">
        <f>IF('Twenty-Seventh'!I221="", "",'Twenty-Seventh'!I221)</f>
        <v/>
      </c>
      <c r="J6718" s="66" t="str">
        <f>IF('Twenty-Seventh'!J221="", "",'Twenty-Seventh'!J221)</f>
        <v/>
      </c>
      <c r="K6718" s="86" t="str">
        <f>IF('Twenty-Seventh'!K221="", "",'Twenty-Seventh'!K221)</f>
        <v/>
      </c>
      <c r="M6718" s="67" t="str">
        <f t="shared" si="317"/>
        <v/>
      </c>
      <c r="N6718" s="76" t="str">
        <f t="shared" si="318"/>
        <v/>
      </c>
      <c r="O6718" s="33">
        <f t="shared" si="319"/>
        <v>0</v>
      </c>
    </row>
    <row r="6719" spans="1:15" x14ac:dyDescent="0.25">
      <c r="A6719" s="64" t="s">
        <v>211</v>
      </c>
      <c r="B6719" s="79" t="str">
        <f>IF('Twenty-Seventh'!B222="", "",'Twenty-Seventh'!B222)</f>
        <v/>
      </c>
      <c r="C6719" s="66" t="str">
        <f>IF('Twenty-Seventh'!C222="", "",'Twenty-Seventh'!C222)</f>
        <v/>
      </c>
      <c r="D6719" s="66" t="str">
        <f>IF('Twenty-Seventh'!D222="", "",'Twenty-Seventh'!D222)</f>
        <v/>
      </c>
      <c r="E6719" s="66" t="str">
        <f>IF('Twenty-Seventh'!E222="", "",'Twenty-Seventh'!E222)</f>
        <v/>
      </c>
      <c r="F6719" s="66" t="str">
        <f>IF('Twenty-Seventh'!F222="", "",'Twenty-Seventh'!F222)</f>
        <v/>
      </c>
      <c r="G6719" s="66" t="str">
        <f>IF('Twenty-Seventh'!G222="", "",'Twenty-Seventh'!G222)</f>
        <v/>
      </c>
      <c r="H6719" s="66" t="str">
        <f>IF('Twenty-Seventh'!H222="", "",'Twenty-Seventh'!H222)</f>
        <v/>
      </c>
      <c r="I6719" s="66" t="str">
        <f>IF('Twenty-Seventh'!I222="", "",'Twenty-Seventh'!I222)</f>
        <v/>
      </c>
      <c r="J6719" s="66" t="str">
        <f>IF('Twenty-Seventh'!J222="", "",'Twenty-Seventh'!J222)</f>
        <v/>
      </c>
      <c r="K6719" s="86" t="str">
        <f>IF('Twenty-Seventh'!K222="", "",'Twenty-Seventh'!K222)</f>
        <v/>
      </c>
      <c r="M6719" s="67" t="str">
        <f t="shared" ref="M6719:M6782" si="320">IF(C6719="PwC",(7-COUNTIF(B6719:H6719,"")),"")</f>
        <v/>
      </c>
      <c r="N6719" s="76" t="str">
        <f t="shared" ref="N6719:N6782" si="321">IF(C6719="Carer",(7-COUNTIF(B6719:H6719,"")),"")</f>
        <v/>
      </c>
      <c r="O6719" s="33">
        <f t="shared" si="319"/>
        <v>0</v>
      </c>
    </row>
    <row r="6720" spans="1:15" x14ac:dyDescent="0.25">
      <c r="A6720" s="64" t="s">
        <v>211</v>
      </c>
      <c r="B6720" s="79" t="str">
        <f>IF('Twenty-Seventh'!B223="", "",'Twenty-Seventh'!B223)</f>
        <v/>
      </c>
      <c r="C6720" s="66" t="str">
        <f>IF('Twenty-Seventh'!C223="", "",'Twenty-Seventh'!C223)</f>
        <v/>
      </c>
      <c r="D6720" s="66" t="str">
        <f>IF('Twenty-Seventh'!D223="", "",'Twenty-Seventh'!D223)</f>
        <v/>
      </c>
      <c r="E6720" s="66" t="str">
        <f>IF('Twenty-Seventh'!E223="", "",'Twenty-Seventh'!E223)</f>
        <v/>
      </c>
      <c r="F6720" s="66" t="str">
        <f>IF('Twenty-Seventh'!F223="", "",'Twenty-Seventh'!F223)</f>
        <v/>
      </c>
      <c r="G6720" s="66" t="str">
        <f>IF('Twenty-Seventh'!G223="", "",'Twenty-Seventh'!G223)</f>
        <v/>
      </c>
      <c r="H6720" s="66" t="str">
        <f>IF('Twenty-Seventh'!H223="", "",'Twenty-Seventh'!H223)</f>
        <v/>
      </c>
      <c r="I6720" s="66" t="str">
        <f>IF('Twenty-Seventh'!I223="", "",'Twenty-Seventh'!I223)</f>
        <v/>
      </c>
      <c r="J6720" s="66" t="str">
        <f>IF('Twenty-Seventh'!J223="", "",'Twenty-Seventh'!J223)</f>
        <v/>
      </c>
      <c r="K6720" s="86" t="str">
        <f>IF('Twenty-Seventh'!K223="", "",'Twenty-Seventh'!K223)</f>
        <v/>
      </c>
      <c r="M6720" s="67" t="str">
        <f t="shared" si="320"/>
        <v/>
      </c>
      <c r="N6720" s="76" t="str">
        <f t="shared" si="321"/>
        <v/>
      </c>
      <c r="O6720" s="33">
        <f t="shared" si="319"/>
        <v>0</v>
      </c>
    </row>
    <row r="6721" spans="1:15" x14ac:dyDescent="0.25">
      <c r="A6721" s="64" t="s">
        <v>211</v>
      </c>
      <c r="B6721" s="79" t="str">
        <f>IF('Twenty-Seventh'!B224="", "",'Twenty-Seventh'!B224)</f>
        <v/>
      </c>
      <c r="C6721" s="66" t="str">
        <f>IF('Twenty-Seventh'!C224="", "",'Twenty-Seventh'!C224)</f>
        <v/>
      </c>
      <c r="D6721" s="66" t="str">
        <f>IF('Twenty-Seventh'!D224="", "",'Twenty-Seventh'!D224)</f>
        <v/>
      </c>
      <c r="E6721" s="66" t="str">
        <f>IF('Twenty-Seventh'!E224="", "",'Twenty-Seventh'!E224)</f>
        <v/>
      </c>
      <c r="F6721" s="66" t="str">
        <f>IF('Twenty-Seventh'!F224="", "",'Twenty-Seventh'!F224)</f>
        <v/>
      </c>
      <c r="G6721" s="66" t="str">
        <f>IF('Twenty-Seventh'!G224="", "",'Twenty-Seventh'!G224)</f>
        <v/>
      </c>
      <c r="H6721" s="66" t="str">
        <f>IF('Twenty-Seventh'!H224="", "",'Twenty-Seventh'!H224)</f>
        <v/>
      </c>
      <c r="I6721" s="66" t="str">
        <f>IF('Twenty-Seventh'!I224="", "",'Twenty-Seventh'!I224)</f>
        <v/>
      </c>
      <c r="J6721" s="66" t="str">
        <f>IF('Twenty-Seventh'!J224="", "",'Twenty-Seventh'!J224)</f>
        <v/>
      </c>
      <c r="K6721" s="86" t="str">
        <f>IF('Twenty-Seventh'!K224="", "",'Twenty-Seventh'!K224)</f>
        <v/>
      </c>
      <c r="M6721" s="67" t="str">
        <f t="shared" si="320"/>
        <v/>
      </c>
      <c r="N6721" s="76" t="str">
        <f t="shared" si="321"/>
        <v/>
      </c>
      <c r="O6721" s="33">
        <f t="shared" si="319"/>
        <v>0</v>
      </c>
    </row>
    <row r="6722" spans="1:15" x14ac:dyDescent="0.25">
      <c r="A6722" s="64" t="s">
        <v>211</v>
      </c>
      <c r="B6722" s="79" t="str">
        <f>IF('Twenty-Seventh'!B225="", "",'Twenty-Seventh'!B225)</f>
        <v/>
      </c>
      <c r="C6722" s="66" t="str">
        <f>IF('Twenty-Seventh'!C225="", "",'Twenty-Seventh'!C225)</f>
        <v/>
      </c>
      <c r="D6722" s="66" t="str">
        <f>IF('Twenty-Seventh'!D225="", "",'Twenty-Seventh'!D225)</f>
        <v/>
      </c>
      <c r="E6722" s="66" t="str">
        <f>IF('Twenty-Seventh'!E225="", "",'Twenty-Seventh'!E225)</f>
        <v/>
      </c>
      <c r="F6722" s="66" t="str">
        <f>IF('Twenty-Seventh'!F225="", "",'Twenty-Seventh'!F225)</f>
        <v/>
      </c>
      <c r="G6722" s="66" t="str">
        <f>IF('Twenty-Seventh'!G225="", "",'Twenty-Seventh'!G225)</f>
        <v/>
      </c>
      <c r="H6722" s="66" t="str">
        <f>IF('Twenty-Seventh'!H225="", "",'Twenty-Seventh'!H225)</f>
        <v/>
      </c>
      <c r="I6722" s="66" t="str">
        <f>IF('Twenty-Seventh'!I225="", "",'Twenty-Seventh'!I225)</f>
        <v/>
      </c>
      <c r="J6722" s="66" t="str">
        <f>IF('Twenty-Seventh'!J225="", "",'Twenty-Seventh'!J225)</f>
        <v/>
      </c>
      <c r="K6722" s="86" t="str">
        <f>IF('Twenty-Seventh'!K225="", "",'Twenty-Seventh'!K225)</f>
        <v/>
      </c>
      <c r="M6722" s="67" t="str">
        <f t="shared" si="320"/>
        <v/>
      </c>
      <c r="N6722" s="76" t="str">
        <f t="shared" si="321"/>
        <v/>
      </c>
      <c r="O6722" s="33">
        <f t="shared" si="319"/>
        <v>0</v>
      </c>
    </row>
    <row r="6723" spans="1:15" x14ac:dyDescent="0.25">
      <c r="A6723" s="64" t="s">
        <v>211</v>
      </c>
      <c r="B6723" s="79" t="str">
        <f>IF('Twenty-Seventh'!B226="", "",'Twenty-Seventh'!B226)</f>
        <v/>
      </c>
      <c r="C6723" s="66" t="str">
        <f>IF('Twenty-Seventh'!C226="", "",'Twenty-Seventh'!C226)</f>
        <v/>
      </c>
      <c r="D6723" s="66" t="str">
        <f>IF('Twenty-Seventh'!D226="", "",'Twenty-Seventh'!D226)</f>
        <v/>
      </c>
      <c r="E6723" s="66" t="str">
        <f>IF('Twenty-Seventh'!E226="", "",'Twenty-Seventh'!E226)</f>
        <v/>
      </c>
      <c r="F6723" s="66" t="str">
        <f>IF('Twenty-Seventh'!F226="", "",'Twenty-Seventh'!F226)</f>
        <v/>
      </c>
      <c r="G6723" s="66" t="str">
        <f>IF('Twenty-Seventh'!G226="", "",'Twenty-Seventh'!G226)</f>
        <v/>
      </c>
      <c r="H6723" s="66" t="str">
        <f>IF('Twenty-Seventh'!H226="", "",'Twenty-Seventh'!H226)</f>
        <v/>
      </c>
      <c r="I6723" s="66" t="str">
        <f>IF('Twenty-Seventh'!I226="", "",'Twenty-Seventh'!I226)</f>
        <v/>
      </c>
      <c r="J6723" s="66" t="str">
        <f>IF('Twenty-Seventh'!J226="", "",'Twenty-Seventh'!J226)</f>
        <v/>
      </c>
      <c r="K6723" s="86" t="str">
        <f>IF('Twenty-Seventh'!K226="", "",'Twenty-Seventh'!K226)</f>
        <v/>
      </c>
      <c r="M6723" s="67" t="str">
        <f t="shared" si="320"/>
        <v/>
      </c>
      <c r="N6723" s="76" t="str">
        <f t="shared" si="321"/>
        <v/>
      </c>
      <c r="O6723" s="33">
        <f t="shared" si="319"/>
        <v>0</v>
      </c>
    </row>
    <row r="6724" spans="1:15" x14ac:dyDescent="0.25">
      <c r="A6724" s="64" t="s">
        <v>211</v>
      </c>
      <c r="B6724" s="79" t="str">
        <f>IF('Twenty-Seventh'!B227="", "",'Twenty-Seventh'!B227)</f>
        <v/>
      </c>
      <c r="C6724" s="66" t="str">
        <f>IF('Twenty-Seventh'!C227="", "",'Twenty-Seventh'!C227)</f>
        <v/>
      </c>
      <c r="D6724" s="66" t="str">
        <f>IF('Twenty-Seventh'!D227="", "",'Twenty-Seventh'!D227)</f>
        <v/>
      </c>
      <c r="E6724" s="66" t="str">
        <f>IF('Twenty-Seventh'!E227="", "",'Twenty-Seventh'!E227)</f>
        <v/>
      </c>
      <c r="F6724" s="66" t="str">
        <f>IF('Twenty-Seventh'!F227="", "",'Twenty-Seventh'!F227)</f>
        <v/>
      </c>
      <c r="G6724" s="66" t="str">
        <f>IF('Twenty-Seventh'!G227="", "",'Twenty-Seventh'!G227)</f>
        <v/>
      </c>
      <c r="H6724" s="66" t="str">
        <f>IF('Twenty-Seventh'!H227="", "",'Twenty-Seventh'!H227)</f>
        <v/>
      </c>
      <c r="I6724" s="66" t="str">
        <f>IF('Twenty-Seventh'!I227="", "",'Twenty-Seventh'!I227)</f>
        <v/>
      </c>
      <c r="J6724" s="66" t="str">
        <f>IF('Twenty-Seventh'!J227="", "",'Twenty-Seventh'!J227)</f>
        <v/>
      </c>
      <c r="K6724" s="86" t="str">
        <f>IF('Twenty-Seventh'!K227="", "",'Twenty-Seventh'!K227)</f>
        <v/>
      </c>
      <c r="M6724" s="67" t="str">
        <f t="shared" si="320"/>
        <v/>
      </c>
      <c r="N6724" s="76" t="str">
        <f t="shared" si="321"/>
        <v/>
      </c>
      <c r="O6724" s="33">
        <f t="shared" si="319"/>
        <v>0</v>
      </c>
    </row>
    <row r="6725" spans="1:15" x14ac:dyDescent="0.25">
      <c r="A6725" s="64" t="s">
        <v>211</v>
      </c>
      <c r="B6725" s="79" t="str">
        <f>IF('Twenty-Seventh'!B228="", "",'Twenty-Seventh'!B228)</f>
        <v/>
      </c>
      <c r="C6725" s="66" t="str">
        <f>IF('Twenty-Seventh'!C228="", "",'Twenty-Seventh'!C228)</f>
        <v/>
      </c>
      <c r="D6725" s="66" t="str">
        <f>IF('Twenty-Seventh'!D228="", "",'Twenty-Seventh'!D228)</f>
        <v/>
      </c>
      <c r="E6725" s="66" t="str">
        <f>IF('Twenty-Seventh'!E228="", "",'Twenty-Seventh'!E228)</f>
        <v/>
      </c>
      <c r="F6725" s="66" t="str">
        <f>IF('Twenty-Seventh'!F228="", "",'Twenty-Seventh'!F228)</f>
        <v/>
      </c>
      <c r="G6725" s="66" t="str">
        <f>IF('Twenty-Seventh'!G228="", "",'Twenty-Seventh'!G228)</f>
        <v/>
      </c>
      <c r="H6725" s="66" t="str">
        <f>IF('Twenty-Seventh'!H228="", "",'Twenty-Seventh'!H228)</f>
        <v/>
      </c>
      <c r="I6725" s="66" t="str">
        <f>IF('Twenty-Seventh'!I228="", "",'Twenty-Seventh'!I228)</f>
        <v/>
      </c>
      <c r="J6725" s="66" t="str">
        <f>IF('Twenty-Seventh'!J228="", "",'Twenty-Seventh'!J228)</f>
        <v/>
      </c>
      <c r="K6725" s="86" t="str">
        <f>IF('Twenty-Seventh'!K228="", "",'Twenty-Seventh'!K228)</f>
        <v/>
      </c>
      <c r="M6725" s="67" t="str">
        <f t="shared" si="320"/>
        <v/>
      </c>
      <c r="N6725" s="76" t="str">
        <f t="shared" si="321"/>
        <v/>
      </c>
      <c r="O6725" s="33">
        <f t="shared" si="319"/>
        <v>0</v>
      </c>
    </row>
    <row r="6726" spans="1:15" x14ac:dyDescent="0.25">
      <c r="A6726" s="64" t="s">
        <v>211</v>
      </c>
      <c r="B6726" s="79" t="str">
        <f>IF('Twenty-Seventh'!B229="", "",'Twenty-Seventh'!B229)</f>
        <v/>
      </c>
      <c r="C6726" s="66" t="str">
        <f>IF('Twenty-Seventh'!C229="", "",'Twenty-Seventh'!C229)</f>
        <v/>
      </c>
      <c r="D6726" s="66" t="str">
        <f>IF('Twenty-Seventh'!D229="", "",'Twenty-Seventh'!D229)</f>
        <v/>
      </c>
      <c r="E6726" s="66" t="str">
        <f>IF('Twenty-Seventh'!E229="", "",'Twenty-Seventh'!E229)</f>
        <v/>
      </c>
      <c r="F6726" s="66" t="str">
        <f>IF('Twenty-Seventh'!F229="", "",'Twenty-Seventh'!F229)</f>
        <v/>
      </c>
      <c r="G6726" s="66" t="str">
        <f>IF('Twenty-Seventh'!G229="", "",'Twenty-Seventh'!G229)</f>
        <v/>
      </c>
      <c r="H6726" s="66" t="str">
        <f>IF('Twenty-Seventh'!H229="", "",'Twenty-Seventh'!H229)</f>
        <v/>
      </c>
      <c r="I6726" s="66" t="str">
        <f>IF('Twenty-Seventh'!I229="", "",'Twenty-Seventh'!I229)</f>
        <v/>
      </c>
      <c r="J6726" s="66" t="str">
        <f>IF('Twenty-Seventh'!J229="", "",'Twenty-Seventh'!J229)</f>
        <v/>
      </c>
      <c r="K6726" s="86" t="str">
        <f>IF('Twenty-Seventh'!K229="", "",'Twenty-Seventh'!K229)</f>
        <v/>
      </c>
      <c r="M6726" s="67" t="str">
        <f t="shared" si="320"/>
        <v/>
      </c>
      <c r="N6726" s="76" t="str">
        <f t="shared" si="321"/>
        <v/>
      </c>
      <c r="O6726" s="33">
        <f t="shared" si="319"/>
        <v>0</v>
      </c>
    </row>
    <row r="6727" spans="1:15" x14ac:dyDescent="0.25">
      <c r="A6727" s="64" t="s">
        <v>211</v>
      </c>
      <c r="B6727" s="79" t="str">
        <f>IF('Twenty-Seventh'!B230="", "",'Twenty-Seventh'!B230)</f>
        <v/>
      </c>
      <c r="C6727" s="66" t="str">
        <f>IF('Twenty-Seventh'!C230="", "",'Twenty-Seventh'!C230)</f>
        <v/>
      </c>
      <c r="D6727" s="66" t="str">
        <f>IF('Twenty-Seventh'!D230="", "",'Twenty-Seventh'!D230)</f>
        <v/>
      </c>
      <c r="E6727" s="66" t="str">
        <f>IF('Twenty-Seventh'!E230="", "",'Twenty-Seventh'!E230)</f>
        <v/>
      </c>
      <c r="F6727" s="66" t="str">
        <f>IF('Twenty-Seventh'!F230="", "",'Twenty-Seventh'!F230)</f>
        <v/>
      </c>
      <c r="G6727" s="66" t="str">
        <f>IF('Twenty-Seventh'!G230="", "",'Twenty-Seventh'!G230)</f>
        <v/>
      </c>
      <c r="H6727" s="66" t="str">
        <f>IF('Twenty-Seventh'!H230="", "",'Twenty-Seventh'!H230)</f>
        <v/>
      </c>
      <c r="I6727" s="66" t="str">
        <f>IF('Twenty-Seventh'!I230="", "",'Twenty-Seventh'!I230)</f>
        <v/>
      </c>
      <c r="J6727" s="66" t="str">
        <f>IF('Twenty-Seventh'!J230="", "",'Twenty-Seventh'!J230)</f>
        <v/>
      </c>
      <c r="K6727" s="86" t="str">
        <f>IF('Twenty-Seventh'!K230="", "",'Twenty-Seventh'!K230)</f>
        <v/>
      </c>
      <c r="M6727" s="67" t="str">
        <f t="shared" si="320"/>
        <v/>
      </c>
      <c r="N6727" s="76" t="str">
        <f t="shared" si="321"/>
        <v/>
      </c>
      <c r="O6727" s="33">
        <f t="shared" si="319"/>
        <v>0</v>
      </c>
    </row>
    <row r="6728" spans="1:15" x14ac:dyDescent="0.25">
      <c r="A6728" s="64" t="s">
        <v>211</v>
      </c>
      <c r="B6728" s="79" t="str">
        <f>IF('Twenty-Seventh'!B231="", "",'Twenty-Seventh'!B231)</f>
        <v/>
      </c>
      <c r="C6728" s="66" t="str">
        <f>IF('Twenty-Seventh'!C231="", "",'Twenty-Seventh'!C231)</f>
        <v/>
      </c>
      <c r="D6728" s="66" t="str">
        <f>IF('Twenty-Seventh'!D231="", "",'Twenty-Seventh'!D231)</f>
        <v/>
      </c>
      <c r="E6728" s="66" t="str">
        <f>IF('Twenty-Seventh'!E231="", "",'Twenty-Seventh'!E231)</f>
        <v/>
      </c>
      <c r="F6728" s="66" t="str">
        <f>IF('Twenty-Seventh'!F231="", "",'Twenty-Seventh'!F231)</f>
        <v/>
      </c>
      <c r="G6728" s="66" t="str">
        <f>IF('Twenty-Seventh'!G231="", "",'Twenty-Seventh'!G231)</f>
        <v/>
      </c>
      <c r="H6728" s="66" t="str">
        <f>IF('Twenty-Seventh'!H231="", "",'Twenty-Seventh'!H231)</f>
        <v/>
      </c>
      <c r="I6728" s="66" t="str">
        <f>IF('Twenty-Seventh'!I231="", "",'Twenty-Seventh'!I231)</f>
        <v/>
      </c>
      <c r="J6728" s="66" t="str">
        <f>IF('Twenty-Seventh'!J231="", "",'Twenty-Seventh'!J231)</f>
        <v/>
      </c>
      <c r="K6728" s="86" t="str">
        <f>IF('Twenty-Seventh'!K231="", "",'Twenty-Seventh'!K231)</f>
        <v/>
      </c>
      <c r="M6728" s="67" t="str">
        <f t="shared" si="320"/>
        <v/>
      </c>
      <c r="N6728" s="76" t="str">
        <f t="shared" si="321"/>
        <v/>
      </c>
      <c r="O6728" s="33">
        <f t="shared" si="319"/>
        <v>0</v>
      </c>
    </row>
    <row r="6729" spans="1:15" x14ac:dyDescent="0.25">
      <c r="A6729" s="64" t="s">
        <v>211</v>
      </c>
      <c r="B6729" s="79" t="str">
        <f>IF('Twenty-Seventh'!B232="", "",'Twenty-Seventh'!B232)</f>
        <v/>
      </c>
      <c r="C6729" s="66" t="str">
        <f>IF('Twenty-Seventh'!C232="", "",'Twenty-Seventh'!C232)</f>
        <v/>
      </c>
      <c r="D6729" s="66" t="str">
        <f>IF('Twenty-Seventh'!D232="", "",'Twenty-Seventh'!D232)</f>
        <v/>
      </c>
      <c r="E6729" s="66" t="str">
        <f>IF('Twenty-Seventh'!E232="", "",'Twenty-Seventh'!E232)</f>
        <v/>
      </c>
      <c r="F6729" s="66" t="str">
        <f>IF('Twenty-Seventh'!F232="", "",'Twenty-Seventh'!F232)</f>
        <v/>
      </c>
      <c r="G6729" s="66" t="str">
        <f>IF('Twenty-Seventh'!G232="", "",'Twenty-Seventh'!G232)</f>
        <v/>
      </c>
      <c r="H6729" s="66" t="str">
        <f>IF('Twenty-Seventh'!H232="", "",'Twenty-Seventh'!H232)</f>
        <v/>
      </c>
      <c r="I6729" s="66" t="str">
        <f>IF('Twenty-Seventh'!I232="", "",'Twenty-Seventh'!I232)</f>
        <v/>
      </c>
      <c r="J6729" s="66" t="str">
        <f>IF('Twenty-Seventh'!J232="", "",'Twenty-Seventh'!J232)</f>
        <v/>
      </c>
      <c r="K6729" s="86" t="str">
        <f>IF('Twenty-Seventh'!K232="", "",'Twenty-Seventh'!K232)</f>
        <v/>
      </c>
      <c r="M6729" s="67" t="str">
        <f t="shared" si="320"/>
        <v/>
      </c>
      <c r="N6729" s="76" t="str">
        <f t="shared" si="321"/>
        <v/>
      </c>
      <c r="O6729" s="33">
        <f t="shared" si="319"/>
        <v>0</v>
      </c>
    </row>
    <row r="6730" spans="1:15" x14ac:dyDescent="0.25">
      <c r="A6730" s="64" t="s">
        <v>211</v>
      </c>
      <c r="B6730" s="79" t="str">
        <f>IF('Twenty-Seventh'!B233="", "",'Twenty-Seventh'!B233)</f>
        <v/>
      </c>
      <c r="C6730" s="66" t="str">
        <f>IF('Twenty-Seventh'!C233="", "",'Twenty-Seventh'!C233)</f>
        <v/>
      </c>
      <c r="D6730" s="66" t="str">
        <f>IF('Twenty-Seventh'!D233="", "",'Twenty-Seventh'!D233)</f>
        <v/>
      </c>
      <c r="E6730" s="66" t="str">
        <f>IF('Twenty-Seventh'!E233="", "",'Twenty-Seventh'!E233)</f>
        <v/>
      </c>
      <c r="F6730" s="66" t="str">
        <f>IF('Twenty-Seventh'!F233="", "",'Twenty-Seventh'!F233)</f>
        <v/>
      </c>
      <c r="G6730" s="66" t="str">
        <f>IF('Twenty-Seventh'!G233="", "",'Twenty-Seventh'!G233)</f>
        <v/>
      </c>
      <c r="H6730" s="66" t="str">
        <f>IF('Twenty-Seventh'!H233="", "",'Twenty-Seventh'!H233)</f>
        <v/>
      </c>
      <c r="I6730" s="66" t="str">
        <f>IF('Twenty-Seventh'!I233="", "",'Twenty-Seventh'!I233)</f>
        <v/>
      </c>
      <c r="J6730" s="66" t="str">
        <f>IF('Twenty-Seventh'!J233="", "",'Twenty-Seventh'!J233)</f>
        <v/>
      </c>
      <c r="K6730" s="86" t="str">
        <f>IF('Twenty-Seventh'!K233="", "",'Twenty-Seventh'!K233)</f>
        <v/>
      </c>
      <c r="M6730" s="67" t="str">
        <f t="shared" si="320"/>
        <v/>
      </c>
      <c r="N6730" s="76" t="str">
        <f t="shared" si="321"/>
        <v/>
      </c>
      <c r="O6730" s="33">
        <f t="shared" ref="O6730:O6793" si="322">SUM(M6730:N6730)</f>
        <v>0</v>
      </c>
    </row>
    <row r="6731" spans="1:15" x14ac:dyDescent="0.25">
      <c r="A6731" s="64" t="s">
        <v>211</v>
      </c>
      <c r="B6731" s="79" t="str">
        <f>IF('Twenty-Seventh'!B234="", "",'Twenty-Seventh'!B234)</f>
        <v/>
      </c>
      <c r="C6731" s="66" t="str">
        <f>IF('Twenty-Seventh'!C234="", "",'Twenty-Seventh'!C234)</f>
        <v/>
      </c>
      <c r="D6731" s="66" t="str">
        <f>IF('Twenty-Seventh'!D234="", "",'Twenty-Seventh'!D234)</f>
        <v/>
      </c>
      <c r="E6731" s="66" t="str">
        <f>IF('Twenty-Seventh'!E234="", "",'Twenty-Seventh'!E234)</f>
        <v/>
      </c>
      <c r="F6731" s="66" t="str">
        <f>IF('Twenty-Seventh'!F234="", "",'Twenty-Seventh'!F234)</f>
        <v/>
      </c>
      <c r="G6731" s="66" t="str">
        <f>IF('Twenty-Seventh'!G234="", "",'Twenty-Seventh'!G234)</f>
        <v/>
      </c>
      <c r="H6731" s="66" t="str">
        <f>IF('Twenty-Seventh'!H234="", "",'Twenty-Seventh'!H234)</f>
        <v/>
      </c>
      <c r="I6731" s="66" t="str">
        <f>IF('Twenty-Seventh'!I234="", "",'Twenty-Seventh'!I234)</f>
        <v/>
      </c>
      <c r="J6731" s="66" t="str">
        <f>IF('Twenty-Seventh'!J234="", "",'Twenty-Seventh'!J234)</f>
        <v/>
      </c>
      <c r="K6731" s="86" t="str">
        <f>IF('Twenty-Seventh'!K234="", "",'Twenty-Seventh'!K234)</f>
        <v/>
      </c>
      <c r="M6731" s="67" t="str">
        <f t="shared" si="320"/>
        <v/>
      </c>
      <c r="N6731" s="76" t="str">
        <f t="shared" si="321"/>
        <v/>
      </c>
      <c r="O6731" s="33">
        <f t="shared" si="322"/>
        <v>0</v>
      </c>
    </row>
    <row r="6732" spans="1:15" x14ac:dyDescent="0.25">
      <c r="A6732" s="64" t="s">
        <v>211</v>
      </c>
      <c r="B6732" s="79" t="str">
        <f>IF('Twenty-Seventh'!B235="", "",'Twenty-Seventh'!B235)</f>
        <v/>
      </c>
      <c r="C6732" s="66" t="str">
        <f>IF('Twenty-Seventh'!C235="", "",'Twenty-Seventh'!C235)</f>
        <v/>
      </c>
      <c r="D6732" s="66" t="str">
        <f>IF('Twenty-Seventh'!D235="", "",'Twenty-Seventh'!D235)</f>
        <v/>
      </c>
      <c r="E6732" s="66" t="str">
        <f>IF('Twenty-Seventh'!E235="", "",'Twenty-Seventh'!E235)</f>
        <v/>
      </c>
      <c r="F6732" s="66" t="str">
        <f>IF('Twenty-Seventh'!F235="", "",'Twenty-Seventh'!F235)</f>
        <v/>
      </c>
      <c r="G6732" s="66" t="str">
        <f>IF('Twenty-Seventh'!G235="", "",'Twenty-Seventh'!G235)</f>
        <v/>
      </c>
      <c r="H6732" s="66" t="str">
        <f>IF('Twenty-Seventh'!H235="", "",'Twenty-Seventh'!H235)</f>
        <v/>
      </c>
      <c r="I6732" s="66" t="str">
        <f>IF('Twenty-Seventh'!I235="", "",'Twenty-Seventh'!I235)</f>
        <v/>
      </c>
      <c r="J6732" s="66" t="str">
        <f>IF('Twenty-Seventh'!J235="", "",'Twenty-Seventh'!J235)</f>
        <v/>
      </c>
      <c r="K6732" s="86" t="str">
        <f>IF('Twenty-Seventh'!K235="", "",'Twenty-Seventh'!K235)</f>
        <v/>
      </c>
      <c r="M6732" s="67" t="str">
        <f t="shared" si="320"/>
        <v/>
      </c>
      <c r="N6732" s="76" t="str">
        <f t="shared" si="321"/>
        <v/>
      </c>
      <c r="O6732" s="33">
        <f t="shared" si="322"/>
        <v>0</v>
      </c>
    </row>
    <row r="6733" spans="1:15" x14ac:dyDescent="0.25">
      <c r="A6733" s="64" t="s">
        <v>211</v>
      </c>
      <c r="B6733" s="79" t="str">
        <f>IF('Twenty-Seventh'!B236="", "",'Twenty-Seventh'!B236)</f>
        <v/>
      </c>
      <c r="C6733" s="66" t="str">
        <f>IF('Twenty-Seventh'!C236="", "",'Twenty-Seventh'!C236)</f>
        <v/>
      </c>
      <c r="D6733" s="66" t="str">
        <f>IF('Twenty-Seventh'!D236="", "",'Twenty-Seventh'!D236)</f>
        <v/>
      </c>
      <c r="E6733" s="66" t="str">
        <f>IF('Twenty-Seventh'!E236="", "",'Twenty-Seventh'!E236)</f>
        <v/>
      </c>
      <c r="F6733" s="66" t="str">
        <f>IF('Twenty-Seventh'!F236="", "",'Twenty-Seventh'!F236)</f>
        <v/>
      </c>
      <c r="G6733" s="66" t="str">
        <f>IF('Twenty-Seventh'!G236="", "",'Twenty-Seventh'!G236)</f>
        <v/>
      </c>
      <c r="H6733" s="66" t="str">
        <f>IF('Twenty-Seventh'!H236="", "",'Twenty-Seventh'!H236)</f>
        <v/>
      </c>
      <c r="I6733" s="66" t="str">
        <f>IF('Twenty-Seventh'!I236="", "",'Twenty-Seventh'!I236)</f>
        <v/>
      </c>
      <c r="J6733" s="66" t="str">
        <f>IF('Twenty-Seventh'!J236="", "",'Twenty-Seventh'!J236)</f>
        <v/>
      </c>
      <c r="K6733" s="86" t="str">
        <f>IF('Twenty-Seventh'!K236="", "",'Twenty-Seventh'!K236)</f>
        <v/>
      </c>
      <c r="M6733" s="67" t="str">
        <f t="shared" si="320"/>
        <v/>
      </c>
      <c r="N6733" s="76" t="str">
        <f t="shared" si="321"/>
        <v/>
      </c>
      <c r="O6733" s="33">
        <f t="shared" si="322"/>
        <v>0</v>
      </c>
    </row>
    <row r="6734" spans="1:15" x14ac:dyDescent="0.25">
      <c r="A6734" s="64" t="s">
        <v>211</v>
      </c>
      <c r="B6734" s="79" t="str">
        <f>IF('Twenty-Seventh'!B237="", "",'Twenty-Seventh'!B237)</f>
        <v/>
      </c>
      <c r="C6734" s="66" t="str">
        <f>IF('Twenty-Seventh'!C237="", "",'Twenty-Seventh'!C237)</f>
        <v/>
      </c>
      <c r="D6734" s="66" t="str">
        <f>IF('Twenty-Seventh'!D237="", "",'Twenty-Seventh'!D237)</f>
        <v/>
      </c>
      <c r="E6734" s="66" t="str">
        <f>IF('Twenty-Seventh'!E237="", "",'Twenty-Seventh'!E237)</f>
        <v/>
      </c>
      <c r="F6734" s="66" t="str">
        <f>IF('Twenty-Seventh'!F237="", "",'Twenty-Seventh'!F237)</f>
        <v/>
      </c>
      <c r="G6734" s="66" t="str">
        <f>IF('Twenty-Seventh'!G237="", "",'Twenty-Seventh'!G237)</f>
        <v/>
      </c>
      <c r="H6734" s="66" t="str">
        <f>IF('Twenty-Seventh'!H237="", "",'Twenty-Seventh'!H237)</f>
        <v/>
      </c>
      <c r="I6734" s="66" t="str">
        <f>IF('Twenty-Seventh'!I237="", "",'Twenty-Seventh'!I237)</f>
        <v/>
      </c>
      <c r="J6734" s="66" t="str">
        <f>IF('Twenty-Seventh'!J237="", "",'Twenty-Seventh'!J237)</f>
        <v/>
      </c>
      <c r="K6734" s="86" t="str">
        <f>IF('Twenty-Seventh'!K237="", "",'Twenty-Seventh'!K237)</f>
        <v/>
      </c>
      <c r="M6734" s="67" t="str">
        <f t="shared" si="320"/>
        <v/>
      </c>
      <c r="N6734" s="76" t="str">
        <f t="shared" si="321"/>
        <v/>
      </c>
      <c r="O6734" s="33">
        <f t="shared" si="322"/>
        <v>0</v>
      </c>
    </row>
    <row r="6735" spans="1:15" x14ac:dyDescent="0.25">
      <c r="A6735" s="64" t="s">
        <v>211</v>
      </c>
      <c r="B6735" s="79" t="str">
        <f>IF('Twenty-Seventh'!B238="", "",'Twenty-Seventh'!B238)</f>
        <v/>
      </c>
      <c r="C6735" s="66" t="str">
        <f>IF('Twenty-Seventh'!C238="", "",'Twenty-Seventh'!C238)</f>
        <v/>
      </c>
      <c r="D6735" s="66" t="str">
        <f>IF('Twenty-Seventh'!D238="", "",'Twenty-Seventh'!D238)</f>
        <v/>
      </c>
      <c r="E6735" s="66" t="str">
        <f>IF('Twenty-Seventh'!E238="", "",'Twenty-Seventh'!E238)</f>
        <v/>
      </c>
      <c r="F6735" s="66" t="str">
        <f>IF('Twenty-Seventh'!F238="", "",'Twenty-Seventh'!F238)</f>
        <v/>
      </c>
      <c r="G6735" s="66" t="str">
        <f>IF('Twenty-Seventh'!G238="", "",'Twenty-Seventh'!G238)</f>
        <v/>
      </c>
      <c r="H6735" s="66" t="str">
        <f>IF('Twenty-Seventh'!H238="", "",'Twenty-Seventh'!H238)</f>
        <v/>
      </c>
      <c r="I6735" s="66" t="str">
        <f>IF('Twenty-Seventh'!I238="", "",'Twenty-Seventh'!I238)</f>
        <v/>
      </c>
      <c r="J6735" s="66" t="str">
        <f>IF('Twenty-Seventh'!J238="", "",'Twenty-Seventh'!J238)</f>
        <v/>
      </c>
      <c r="K6735" s="86" t="str">
        <f>IF('Twenty-Seventh'!K238="", "",'Twenty-Seventh'!K238)</f>
        <v/>
      </c>
      <c r="M6735" s="67" t="str">
        <f t="shared" si="320"/>
        <v/>
      </c>
      <c r="N6735" s="76" t="str">
        <f t="shared" si="321"/>
        <v/>
      </c>
      <c r="O6735" s="33">
        <f t="shared" si="322"/>
        <v>0</v>
      </c>
    </row>
    <row r="6736" spans="1:15" x14ac:dyDescent="0.25">
      <c r="A6736" s="64" t="s">
        <v>211</v>
      </c>
      <c r="B6736" s="79" t="str">
        <f>IF('Twenty-Seventh'!B239="", "",'Twenty-Seventh'!B239)</f>
        <v/>
      </c>
      <c r="C6736" s="66" t="str">
        <f>IF('Twenty-Seventh'!C239="", "",'Twenty-Seventh'!C239)</f>
        <v/>
      </c>
      <c r="D6736" s="66" t="str">
        <f>IF('Twenty-Seventh'!D239="", "",'Twenty-Seventh'!D239)</f>
        <v/>
      </c>
      <c r="E6736" s="66" t="str">
        <f>IF('Twenty-Seventh'!E239="", "",'Twenty-Seventh'!E239)</f>
        <v/>
      </c>
      <c r="F6736" s="66" t="str">
        <f>IF('Twenty-Seventh'!F239="", "",'Twenty-Seventh'!F239)</f>
        <v/>
      </c>
      <c r="G6736" s="66" t="str">
        <f>IF('Twenty-Seventh'!G239="", "",'Twenty-Seventh'!G239)</f>
        <v/>
      </c>
      <c r="H6736" s="66" t="str">
        <f>IF('Twenty-Seventh'!H239="", "",'Twenty-Seventh'!H239)</f>
        <v/>
      </c>
      <c r="I6736" s="66" t="str">
        <f>IF('Twenty-Seventh'!I239="", "",'Twenty-Seventh'!I239)</f>
        <v/>
      </c>
      <c r="J6736" s="66" t="str">
        <f>IF('Twenty-Seventh'!J239="", "",'Twenty-Seventh'!J239)</f>
        <v/>
      </c>
      <c r="K6736" s="86" t="str">
        <f>IF('Twenty-Seventh'!K239="", "",'Twenty-Seventh'!K239)</f>
        <v/>
      </c>
      <c r="M6736" s="67" t="str">
        <f t="shared" si="320"/>
        <v/>
      </c>
      <c r="N6736" s="76" t="str">
        <f t="shared" si="321"/>
        <v/>
      </c>
      <c r="O6736" s="33">
        <f t="shared" si="322"/>
        <v>0</v>
      </c>
    </row>
    <row r="6737" spans="1:15" x14ac:dyDescent="0.25">
      <c r="A6737" s="64" t="s">
        <v>211</v>
      </c>
      <c r="B6737" s="79" t="str">
        <f>IF('Twenty-Seventh'!B240="", "",'Twenty-Seventh'!B240)</f>
        <v/>
      </c>
      <c r="C6737" s="66" t="str">
        <f>IF('Twenty-Seventh'!C240="", "",'Twenty-Seventh'!C240)</f>
        <v/>
      </c>
      <c r="D6737" s="66" t="str">
        <f>IF('Twenty-Seventh'!D240="", "",'Twenty-Seventh'!D240)</f>
        <v/>
      </c>
      <c r="E6737" s="66" t="str">
        <f>IF('Twenty-Seventh'!E240="", "",'Twenty-Seventh'!E240)</f>
        <v/>
      </c>
      <c r="F6737" s="66" t="str">
        <f>IF('Twenty-Seventh'!F240="", "",'Twenty-Seventh'!F240)</f>
        <v/>
      </c>
      <c r="G6737" s="66" t="str">
        <f>IF('Twenty-Seventh'!G240="", "",'Twenty-Seventh'!G240)</f>
        <v/>
      </c>
      <c r="H6737" s="66" t="str">
        <f>IF('Twenty-Seventh'!H240="", "",'Twenty-Seventh'!H240)</f>
        <v/>
      </c>
      <c r="I6737" s="66" t="str">
        <f>IF('Twenty-Seventh'!I240="", "",'Twenty-Seventh'!I240)</f>
        <v/>
      </c>
      <c r="J6737" s="66" t="str">
        <f>IF('Twenty-Seventh'!J240="", "",'Twenty-Seventh'!J240)</f>
        <v/>
      </c>
      <c r="K6737" s="86" t="str">
        <f>IF('Twenty-Seventh'!K240="", "",'Twenty-Seventh'!K240)</f>
        <v/>
      </c>
      <c r="M6737" s="67" t="str">
        <f t="shared" si="320"/>
        <v/>
      </c>
      <c r="N6737" s="76" t="str">
        <f t="shared" si="321"/>
        <v/>
      </c>
      <c r="O6737" s="33">
        <f t="shared" si="322"/>
        <v>0</v>
      </c>
    </row>
    <row r="6738" spans="1:15" x14ac:dyDescent="0.25">
      <c r="A6738" s="64" t="s">
        <v>211</v>
      </c>
      <c r="B6738" s="79" t="str">
        <f>IF('Twenty-Seventh'!B241="", "",'Twenty-Seventh'!B241)</f>
        <v/>
      </c>
      <c r="C6738" s="66" t="str">
        <f>IF('Twenty-Seventh'!C241="", "",'Twenty-Seventh'!C241)</f>
        <v/>
      </c>
      <c r="D6738" s="66" t="str">
        <f>IF('Twenty-Seventh'!D241="", "",'Twenty-Seventh'!D241)</f>
        <v/>
      </c>
      <c r="E6738" s="66" t="str">
        <f>IF('Twenty-Seventh'!E241="", "",'Twenty-Seventh'!E241)</f>
        <v/>
      </c>
      <c r="F6738" s="66" t="str">
        <f>IF('Twenty-Seventh'!F241="", "",'Twenty-Seventh'!F241)</f>
        <v/>
      </c>
      <c r="G6738" s="66" t="str">
        <f>IF('Twenty-Seventh'!G241="", "",'Twenty-Seventh'!G241)</f>
        <v/>
      </c>
      <c r="H6738" s="66" t="str">
        <f>IF('Twenty-Seventh'!H241="", "",'Twenty-Seventh'!H241)</f>
        <v/>
      </c>
      <c r="I6738" s="66" t="str">
        <f>IF('Twenty-Seventh'!I241="", "",'Twenty-Seventh'!I241)</f>
        <v/>
      </c>
      <c r="J6738" s="66" t="str">
        <f>IF('Twenty-Seventh'!J241="", "",'Twenty-Seventh'!J241)</f>
        <v/>
      </c>
      <c r="K6738" s="86" t="str">
        <f>IF('Twenty-Seventh'!K241="", "",'Twenty-Seventh'!K241)</f>
        <v/>
      </c>
      <c r="M6738" s="67" t="str">
        <f t="shared" si="320"/>
        <v/>
      </c>
      <c r="N6738" s="76" t="str">
        <f t="shared" si="321"/>
        <v/>
      </c>
      <c r="O6738" s="33">
        <f t="shared" si="322"/>
        <v>0</v>
      </c>
    </row>
    <row r="6739" spans="1:15" x14ac:dyDescent="0.25">
      <c r="A6739" s="64" t="s">
        <v>211</v>
      </c>
      <c r="B6739" s="79" t="str">
        <f>IF('Twenty-Seventh'!B242="", "",'Twenty-Seventh'!B242)</f>
        <v/>
      </c>
      <c r="C6739" s="66" t="str">
        <f>IF('Twenty-Seventh'!C242="", "",'Twenty-Seventh'!C242)</f>
        <v/>
      </c>
      <c r="D6739" s="66" t="str">
        <f>IF('Twenty-Seventh'!D242="", "",'Twenty-Seventh'!D242)</f>
        <v/>
      </c>
      <c r="E6739" s="66" t="str">
        <f>IF('Twenty-Seventh'!E242="", "",'Twenty-Seventh'!E242)</f>
        <v/>
      </c>
      <c r="F6739" s="66" t="str">
        <f>IF('Twenty-Seventh'!F242="", "",'Twenty-Seventh'!F242)</f>
        <v/>
      </c>
      <c r="G6739" s="66" t="str">
        <f>IF('Twenty-Seventh'!G242="", "",'Twenty-Seventh'!G242)</f>
        <v/>
      </c>
      <c r="H6739" s="66" t="str">
        <f>IF('Twenty-Seventh'!H242="", "",'Twenty-Seventh'!H242)</f>
        <v/>
      </c>
      <c r="I6739" s="66" t="str">
        <f>IF('Twenty-Seventh'!I242="", "",'Twenty-Seventh'!I242)</f>
        <v/>
      </c>
      <c r="J6739" s="66" t="str">
        <f>IF('Twenty-Seventh'!J242="", "",'Twenty-Seventh'!J242)</f>
        <v/>
      </c>
      <c r="K6739" s="86" t="str">
        <f>IF('Twenty-Seventh'!K242="", "",'Twenty-Seventh'!K242)</f>
        <v/>
      </c>
      <c r="M6739" s="67" t="str">
        <f t="shared" si="320"/>
        <v/>
      </c>
      <c r="N6739" s="76" t="str">
        <f t="shared" si="321"/>
        <v/>
      </c>
      <c r="O6739" s="33">
        <f t="shared" si="322"/>
        <v>0</v>
      </c>
    </row>
    <row r="6740" spans="1:15" x14ac:dyDescent="0.25">
      <c r="A6740" s="64" t="s">
        <v>211</v>
      </c>
      <c r="B6740" s="79" t="str">
        <f>IF('Twenty-Seventh'!B243="", "",'Twenty-Seventh'!B243)</f>
        <v/>
      </c>
      <c r="C6740" s="66" t="str">
        <f>IF('Twenty-Seventh'!C243="", "",'Twenty-Seventh'!C243)</f>
        <v/>
      </c>
      <c r="D6740" s="66" t="str">
        <f>IF('Twenty-Seventh'!D243="", "",'Twenty-Seventh'!D243)</f>
        <v/>
      </c>
      <c r="E6740" s="66" t="str">
        <f>IF('Twenty-Seventh'!E243="", "",'Twenty-Seventh'!E243)</f>
        <v/>
      </c>
      <c r="F6740" s="66" t="str">
        <f>IF('Twenty-Seventh'!F243="", "",'Twenty-Seventh'!F243)</f>
        <v/>
      </c>
      <c r="G6740" s="66" t="str">
        <f>IF('Twenty-Seventh'!G243="", "",'Twenty-Seventh'!G243)</f>
        <v/>
      </c>
      <c r="H6740" s="66" t="str">
        <f>IF('Twenty-Seventh'!H243="", "",'Twenty-Seventh'!H243)</f>
        <v/>
      </c>
      <c r="I6740" s="66" t="str">
        <f>IF('Twenty-Seventh'!I243="", "",'Twenty-Seventh'!I243)</f>
        <v/>
      </c>
      <c r="J6740" s="66" t="str">
        <f>IF('Twenty-Seventh'!J243="", "",'Twenty-Seventh'!J243)</f>
        <v/>
      </c>
      <c r="K6740" s="86" t="str">
        <f>IF('Twenty-Seventh'!K243="", "",'Twenty-Seventh'!K243)</f>
        <v/>
      </c>
      <c r="M6740" s="67" t="str">
        <f t="shared" si="320"/>
        <v/>
      </c>
      <c r="N6740" s="76" t="str">
        <f t="shared" si="321"/>
        <v/>
      </c>
      <c r="O6740" s="33">
        <f t="shared" si="322"/>
        <v>0</v>
      </c>
    </row>
    <row r="6741" spans="1:15" x14ac:dyDescent="0.25">
      <c r="A6741" s="64" t="s">
        <v>211</v>
      </c>
      <c r="B6741" s="79" t="str">
        <f>IF('Twenty-Seventh'!B244="", "",'Twenty-Seventh'!B244)</f>
        <v/>
      </c>
      <c r="C6741" s="66" t="str">
        <f>IF('Twenty-Seventh'!C244="", "",'Twenty-Seventh'!C244)</f>
        <v/>
      </c>
      <c r="D6741" s="66" t="str">
        <f>IF('Twenty-Seventh'!D244="", "",'Twenty-Seventh'!D244)</f>
        <v/>
      </c>
      <c r="E6741" s="66" t="str">
        <f>IF('Twenty-Seventh'!E244="", "",'Twenty-Seventh'!E244)</f>
        <v/>
      </c>
      <c r="F6741" s="66" t="str">
        <f>IF('Twenty-Seventh'!F244="", "",'Twenty-Seventh'!F244)</f>
        <v/>
      </c>
      <c r="G6741" s="66" t="str">
        <f>IF('Twenty-Seventh'!G244="", "",'Twenty-Seventh'!G244)</f>
        <v/>
      </c>
      <c r="H6741" s="66" t="str">
        <f>IF('Twenty-Seventh'!H244="", "",'Twenty-Seventh'!H244)</f>
        <v/>
      </c>
      <c r="I6741" s="66" t="str">
        <f>IF('Twenty-Seventh'!I244="", "",'Twenty-Seventh'!I244)</f>
        <v/>
      </c>
      <c r="J6741" s="66" t="str">
        <f>IF('Twenty-Seventh'!J244="", "",'Twenty-Seventh'!J244)</f>
        <v/>
      </c>
      <c r="K6741" s="86" t="str">
        <f>IF('Twenty-Seventh'!K244="", "",'Twenty-Seventh'!K244)</f>
        <v/>
      </c>
      <c r="M6741" s="67" t="str">
        <f t="shared" si="320"/>
        <v/>
      </c>
      <c r="N6741" s="76" t="str">
        <f t="shared" si="321"/>
        <v/>
      </c>
      <c r="O6741" s="33">
        <f t="shared" si="322"/>
        <v>0</v>
      </c>
    </row>
    <row r="6742" spans="1:15" x14ac:dyDescent="0.25">
      <c r="A6742" s="64" t="s">
        <v>211</v>
      </c>
      <c r="B6742" s="79" t="str">
        <f>IF('Twenty-Seventh'!B245="", "",'Twenty-Seventh'!B245)</f>
        <v/>
      </c>
      <c r="C6742" s="66" t="str">
        <f>IF('Twenty-Seventh'!C245="", "",'Twenty-Seventh'!C245)</f>
        <v/>
      </c>
      <c r="D6742" s="66" t="str">
        <f>IF('Twenty-Seventh'!D245="", "",'Twenty-Seventh'!D245)</f>
        <v/>
      </c>
      <c r="E6742" s="66" t="str">
        <f>IF('Twenty-Seventh'!E245="", "",'Twenty-Seventh'!E245)</f>
        <v/>
      </c>
      <c r="F6742" s="66" t="str">
        <f>IF('Twenty-Seventh'!F245="", "",'Twenty-Seventh'!F245)</f>
        <v/>
      </c>
      <c r="G6742" s="66" t="str">
        <f>IF('Twenty-Seventh'!G245="", "",'Twenty-Seventh'!G245)</f>
        <v/>
      </c>
      <c r="H6742" s="66" t="str">
        <f>IF('Twenty-Seventh'!H245="", "",'Twenty-Seventh'!H245)</f>
        <v/>
      </c>
      <c r="I6742" s="66" t="str">
        <f>IF('Twenty-Seventh'!I245="", "",'Twenty-Seventh'!I245)</f>
        <v/>
      </c>
      <c r="J6742" s="66" t="str">
        <f>IF('Twenty-Seventh'!J245="", "",'Twenty-Seventh'!J245)</f>
        <v/>
      </c>
      <c r="K6742" s="86" t="str">
        <f>IF('Twenty-Seventh'!K245="", "",'Twenty-Seventh'!K245)</f>
        <v/>
      </c>
      <c r="M6742" s="67" t="str">
        <f t="shared" si="320"/>
        <v/>
      </c>
      <c r="N6742" s="76" t="str">
        <f t="shared" si="321"/>
        <v/>
      </c>
      <c r="O6742" s="33">
        <f t="shared" si="322"/>
        <v>0</v>
      </c>
    </row>
    <row r="6743" spans="1:15" x14ac:dyDescent="0.25">
      <c r="A6743" s="64" t="s">
        <v>211</v>
      </c>
      <c r="B6743" s="79" t="str">
        <f>IF('Twenty-Seventh'!B246="", "",'Twenty-Seventh'!B246)</f>
        <v/>
      </c>
      <c r="C6743" s="66" t="str">
        <f>IF('Twenty-Seventh'!C246="", "",'Twenty-Seventh'!C246)</f>
        <v/>
      </c>
      <c r="D6743" s="66" t="str">
        <f>IF('Twenty-Seventh'!D246="", "",'Twenty-Seventh'!D246)</f>
        <v/>
      </c>
      <c r="E6743" s="66" t="str">
        <f>IF('Twenty-Seventh'!E246="", "",'Twenty-Seventh'!E246)</f>
        <v/>
      </c>
      <c r="F6743" s="66" t="str">
        <f>IF('Twenty-Seventh'!F246="", "",'Twenty-Seventh'!F246)</f>
        <v/>
      </c>
      <c r="G6743" s="66" t="str">
        <f>IF('Twenty-Seventh'!G246="", "",'Twenty-Seventh'!G246)</f>
        <v/>
      </c>
      <c r="H6743" s="66" t="str">
        <f>IF('Twenty-Seventh'!H246="", "",'Twenty-Seventh'!H246)</f>
        <v/>
      </c>
      <c r="I6743" s="66" t="str">
        <f>IF('Twenty-Seventh'!I246="", "",'Twenty-Seventh'!I246)</f>
        <v/>
      </c>
      <c r="J6743" s="66" t="str">
        <f>IF('Twenty-Seventh'!J246="", "",'Twenty-Seventh'!J246)</f>
        <v/>
      </c>
      <c r="K6743" s="86" t="str">
        <f>IF('Twenty-Seventh'!K246="", "",'Twenty-Seventh'!K246)</f>
        <v/>
      </c>
      <c r="M6743" s="67" t="str">
        <f t="shared" si="320"/>
        <v/>
      </c>
      <c r="N6743" s="76" t="str">
        <f t="shared" si="321"/>
        <v/>
      </c>
      <c r="O6743" s="33">
        <f t="shared" si="322"/>
        <v>0</v>
      </c>
    </row>
    <row r="6744" spans="1:15" x14ac:dyDescent="0.25">
      <c r="A6744" s="64" t="s">
        <v>211</v>
      </c>
      <c r="B6744" s="79" t="str">
        <f>IF('Twenty-Seventh'!B247="", "",'Twenty-Seventh'!B247)</f>
        <v/>
      </c>
      <c r="C6744" s="66" t="str">
        <f>IF('Twenty-Seventh'!C247="", "",'Twenty-Seventh'!C247)</f>
        <v/>
      </c>
      <c r="D6744" s="66" t="str">
        <f>IF('Twenty-Seventh'!D247="", "",'Twenty-Seventh'!D247)</f>
        <v/>
      </c>
      <c r="E6744" s="66" t="str">
        <f>IF('Twenty-Seventh'!E247="", "",'Twenty-Seventh'!E247)</f>
        <v/>
      </c>
      <c r="F6744" s="66" t="str">
        <f>IF('Twenty-Seventh'!F247="", "",'Twenty-Seventh'!F247)</f>
        <v/>
      </c>
      <c r="G6744" s="66" t="str">
        <f>IF('Twenty-Seventh'!G247="", "",'Twenty-Seventh'!G247)</f>
        <v/>
      </c>
      <c r="H6744" s="66" t="str">
        <f>IF('Twenty-Seventh'!H247="", "",'Twenty-Seventh'!H247)</f>
        <v/>
      </c>
      <c r="I6744" s="66" t="str">
        <f>IF('Twenty-Seventh'!I247="", "",'Twenty-Seventh'!I247)</f>
        <v/>
      </c>
      <c r="J6744" s="66" t="str">
        <f>IF('Twenty-Seventh'!J247="", "",'Twenty-Seventh'!J247)</f>
        <v/>
      </c>
      <c r="K6744" s="86" t="str">
        <f>IF('Twenty-Seventh'!K247="", "",'Twenty-Seventh'!K247)</f>
        <v/>
      </c>
      <c r="M6744" s="67" t="str">
        <f t="shared" si="320"/>
        <v/>
      </c>
      <c r="N6744" s="76" t="str">
        <f t="shared" si="321"/>
        <v/>
      </c>
      <c r="O6744" s="33">
        <f t="shared" si="322"/>
        <v>0</v>
      </c>
    </row>
    <row r="6745" spans="1:15" x14ac:dyDescent="0.25">
      <c r="A6745" s="64" t="s">
        <v>211</v>
      </c>
      <c r="B6745" s="79" t="str">
        <f>IF('Twenty-Seventh'!B248="", "",'Twenty-Seventh'!B248)</f>
        <v/>
      </c>
      <c r="C6745" s="66" t="str">
        <f>IF('Twenty-Seventh'!C248="", "",'Twenty-Seventh'!C248)</f>
        <v/>
      </c>
      <c r="D6745" s="66" t="str">
        <f>IF('Twenty-Seventh'!D248="", "",'Twenty-Seventh'!D248)</f>
        <v/>
      </c>
      <c r="E6745" s="66" t="str">
        <f>IF('Twenty-Seventh'!E248="", "",'Twenty-Seventh'!E248)</f>
        <v/>
      </c>
      <c r="F6745" s="66" t="str">
        <f>IF('Twenty-Seventh'!F248="", "",'Twenty-Seventh'!F248)</f>
        <v/>
      </c>
      <c r="G6745" s="66" t="str">
        <f>IF('Twenty-Seventh'!G248="", "",'Twenty-Seventh'!G248)</f>
        <v/>
      </c>
      <c r="H6745" s="66" t="str">
        <f>IF('Twenty-Seventh'!H248="", "",'Twenty-Seventh'!H248)</f>
        <v/>
      </c>
      <c r="I6745" s="66" t="str">
        <f>IF('Twenty-Seventh'!I248="", "",'Twenty-Seventh'!I248)</f>
        <v/>
      </c>
      <c r="J6745" s="66" t="str">
        <f>IF('Twenty-Seventh'!J248="", "",'Twenty-Seventh'!J248)</f>
        <v/>
      </c>
      <c r="K6745" s="86" t="str">
        <f>IF('Twenty-Seventh'!K248="", "",'Twenty-Seventh'!K248)</f>
        <v/>
      </c>
      <c r="M6745" s="67" t="str">
        <f t="shared" si="320"/>
        <v/>
      </c>
      <c r="N6745" s="76" t="str">
        <f t="shared" si="321"/>
        <v/>
      </c>
      <c r="O6745" s="33">
        <f t="shared" si="322"/>
        <v>0</v>
      </c>
    </row>
    <row r="6746" spans="1:15" x14ac:dyDescent="0.25">
      <c r="A6746" s="64" t="s">
        <v>211</v>
      </c>
      <c r="B6746" s="79" t="str">
        <f>IF('Twenty-Seventh'!B249="", "",'Twenty-Seventh'!B249)</f>
        <v/>
      </c>
      <c r="C6746" s="66" t="str">
        <f>IF('Twenty-Seventh'!C249="", "",'Twenty-Seventh'!C249)</f>
        <v/>
      </c>
      <c r="D6746" s="66" t="str">
        <f>IF('Twenty-Seventh'!D249="", "",'Twenty-Seventh'!D249)</f>
        <v/>
      </c>
      <c r="E6746" s="66" t="str">
        <f>IF('Twenty-Seventh'!E249="", "",'Twenty-Seventh'!E249)</f>
        <v/>
      </c>
      <c r="F6746" s="66" t="str">
        <f>IF('Twenty-Seventh'!F249="", "",'Twenty-Seventh'!F249)</f>
        <v/>
      </c>
      <c r="G6746" s="66" t="str">
        <f>IF('Twenty-Seventh'!G249="", "",'Twenty-Seventh'!G249)</f>
        <v/>
      </c>
      <c r="H6746" s="66" t="str">
        <f>IF('Twenty-Seventh'!H249="", "",'Twenty-Seventh'!H249)</f>
        <v/>
      </c>
      <c r="I6746" s="66" t="str">
        <f>IF('Twenty-Seventh'!I249="", "",'Twenty-Seventh'!I249)</f>
        <v/>
      </c>
      <c r="J6746" s="66" t="str">
        <f>IF('Twenty-Seventh'!J249="", "",'Twenty-Seventh'!J249)</f>
        <v/>
      </c>
      <c r="K6746" s="86" t="str">
        <f>IF('Twenty-Seventh'!K249="", "",'Twenty-Seventh'!K249)</f>
        <v/>
      </c>
      <c r="M6746" s="67" t="str">
        <f t="shared" si="320"/>
        <v/>
      </c>
      <c r="N6746" s="76" t="str">
        <f t="shared" si="321"/>
        <v/>
      </c>
      <c r="O6746" s="33">
        <f t="shared" si="322"/>
        <v>0</v>
      </c>
    </row>
    <row r="6747" spans="1:15" x14ac:dyDescent="0.25">
      <c r="A6747" s="64" t="s">
        <v>211</v>
      </c>
      <c r="B6747" s="79" t="str">
        <f>IF('Twenty-Seventh'!B250="", "",'Twenty-Seventh'!B250)</f>
        <v/>
      </c>
      <c r="C6747" s="66" t="str">
        <f>IF('Twenty-Seventh'!C250="", "",'Twenty-Seventh'!C250)</f>
        <v/>
      </c>
      <c r="D6747" s="66" t="str">
        <f>IF('Twenty-Seventh'!D250="", "",'Twenty-Seventh'!D250)</f>
        <v/>
      </c>
      <c r="E6747" s="66" t="str">
        <f>IF('Twenty-Seventh'!E250="", "",'Twenty-Seventh'!E250)</f>
        <v/>
      </c>
      <c r="F6747" s="66" t="str">
        <f>IF('Twenty-Seventh'!F250="", "",'Twenty-Seventh'!F250)</f>
        <v/>
      </c>
      <c r="G6747" s="66" t="str">
        <f>IF('Twenty-Seventh'!G250="", "",'Twenty-Seventh'!G250)</f>
        <v/>
      </c>
      <c r="H6747" s="66" t="str">
        <f>IF('Twenty-Seventh'!H250="", "",'Twenty-Seventh'!H250)</f>
        <v/>
      </c>
      <c r="I6747" s="66" t="str">
        <f>IF('Twenty-Seventh'!I250="", "",'Twenty-Seventh'!I250)</f>
        <v/>
      </c>
      <c r="J6747" s="66" t="str">
        <f>IF('Twenty-Seventh'!J250="", "",'Twenty-Seventh'!J250)</f>
        <v/>
      </c>
      <c r="K6747" s="86" t="str">
        <f>IF('Twenty-Seventh'!K250="", "",'Twenty-Seventh'!K250)</f>
        <v/>
      </c>
      <c r="M6747" s="67" t="str">
        <f t="shared" si="320"/>
        <v/>
      </c>
      <c r="N6747" s="76" t="str">
        <f t="shared" si="321"/>
        <v/>
      </c>
      <c r="O6747" s="33">
        <f t="shared" si="322"/>
        <v>0</v>
      </c>
    </row>
    <row r="6748" spans="1:15" x14ac:dyDescent="0.25">
      <c r="A6748" s="64" t="s">
        <v>211</v>
      </c>
      <c r="B6748" s="79" t="str">
        <f>IF('Twenty-Seventh'!B251="", "",'Twenty-Seventh'!B251)</f>
        <v/>
      </c>
      <c r="C6748" s="66" t="str">
        <f>IF('Twenty-Seventh'!C251="", "",'Twenty-Seventh'!C251)</f>
        <v/>
      </c>
      <c r="D6748" s="66" t="str">
        <f>IF('Twenty-Seventh'!D251="", "",'Twenty-Seventh'!D251)</f>
        <v/>
      </c>
      <c r="E6748" s="66" t="str">
        <f>IF('Twenty-Seventh'!E251="", "",'Twenty-Seventh'!E251)</f>
        <v/>
      </c>
      <c r="F6748" s="66" t="str">
        <f>IF('Twenty-Seventh'!F251="", "",'Twenty-Seventh'!F251)</f>
        <v/>
      </c>
      <c r="G6748" s="66" t="str">
        <f>IF('Twenty-Seventh'!G251="", "",'Twenty-Seventh'!G251)</f>
        <v/>
      </c>
      <c r="H6748" s="66" t="str">
        <f>IF('Twenty-Seventh'!H251="", "",'Twenty-Seventh'!H251)</f>
        <v/>
      </c>
      <c r="I6748" s="66" t="str">
        <f>IF('Twenty-Seventh'!I251="", "",'Twenty-Seventh'!I251)</f>
        <v/>
      </c>
      <c r="J6748" s="66" t="str">
        <f>IF('Twenty-Seventh'!J251="", "",'Twenty-Seventh'!J251)</f>
        <v/>
      </c>
      <c r="K6748" s="86" t="str">
        <f>IF('Twenty-Seventh'!K251="", "",'Twenty-Seventh'!K251)</f>
        <v/>
      </c>
      <c r="M6748" s="67" t="str">
        <f t="shared" si="320"/>
        <v/>
      </c>
      <c r="N6748" s="76" t="str">
        <f t="shared" si="321"/>
        <v/>
      </c>
      <c r="O6748" s="33">
        <f t="shared" si="322"/>
        <v>0</v>
      </c>
    </row>
    <row r="6749" spans="1:15" x14ac:dyDescent="0.25">
      <c r="A6749" s="64" t="s">
        <v>211</v>
      </c>
      <c r="B6749" s="79" t="str">
        <f>IF('Twenty-Seventh'!B252="", "",'Twenty-Seventh'!B252)</f>
        <v/>
      </c>
      <c r="C6749" s="66" t="str">
        <f>IF('Twenty-Seventh'!C252="", "",'Twenty-Seventh'!C252)</f>
        <v/>
      </c>
      <c r="D6749" s="66" t="str">
        <f>IF('Twenty-Seventh'!D252="", "",'Twenty-Seventh'!D252)</f>
        <v/>
      </c>
      <c r="E6749" s="66" t="str">
        <f>IF('Twenty-Seventh'!E252="", "",'Twenty-Seventh'!E252)</f>
        <v/>
      </c>
      <c r="F6749" s="66" t="str">
        <f>IF('Twenty-Seventh'!F252="", "",'Twenty-Seventh'!F252)</f>
        <v/>
      </c>
      <c r="G6749" s="66" t="str">
        <f>IF('Twenty-Seventh'!G252="", "",'Twenty-Seventh'!G252)</f>
        <v/>
      </c>
      <c r="H6749" s="66" t="str">
        <f>IF('Twenty-Seventh'!H252="", "",'Twenty-Seventh'!H252)</f>
        <v/>
      </c>
      <c r="I6749" s="66" t="str">
        <f>IF('Twenty-Seventh'!I252="", "",'Twenty-Seventh'!I252)</f>
        <v/>
      </c>
      <c r="J6749" s="66" t="str">
        <f>IF('Twenty-Seventh'!J252="", "",'Twenty-Seventh'!J252)</f>
        <v/>
      </c>
      <c r="K6749" s="86" t="str">
        <f>IF('Twenty-Seventh'!K252="", "",'Twenty-Seventh'!K252)</f>
        <v/>
      </c>
      <c r="M6749" s="67" t="str">
        <f t="shared" si="320"/>
        <v/>
      </c>
      <c r="N6749" s="76" t="str">
        <f t="shared" si="321"/>
        <v/>
      </c>
      <c r="O6749" s="33">
        <f t="shared" si="322"/>
        <v>0</v>
      </c>
    </row>
    <row r="6750" spans="1:15" x14ac:dyDescent="0.25">
      <c r="A6750" s="64" t="s">
        <v>211</v>
      </c>
      <c r="B6750" s="79" t="str">
        <f>IF('Twenty-Seventh'!B253="", "",'Twenty-Seventh'!B253)</f>
        <v/>
      </c>
      <c r="C6750" s="66" t="str">
        <f>IF('Twenty-Seventh'!C253="", "",'Twenty-Seventh'!C253)</f>
        <v/>
      </c>
      <c r="D6750" s="66" t="str">
        <f>IF('Twenty-Seventh'!D253="", "",'Twenty-Seventh'!D253)</f>
        <v/>
      </c>
      <c r="E6750" s="66" t="str">
        <f>IF('Twenty-Seventh'!E253="", "",'Twenty-Seventh'!E253)</f>
        <v/>
      </c>
      <c r="F6750" s="66" t="str">
        <f>IF('Twenty-Seventh'!F253="", "",'Twenty-Seventh'!F253)</f>
        <v/>
      </c>
      <c r="G6750" s="66" t="str">
        <f>IF('Twenty-Seventh'!G253="", "",'Twenty-Seventh'!G253)</f>
        <v/>
      </c>
      <c r="H6750" s="66" t="str">
        <f>IF('Twenty-Seventh'!H253="", "",'Twenty-Seventh'!H253)</f>
        <v/>
      </c>
      <c r="I6750" s="66" t="str">
        <f>IF('Twenty-Seventh'!I253="", "",'Twenty-Seventh'!I253)</f>
        <v/>
      </c>
      <c r="J6750" s="66" t="str">
        <f>IF('Twenty-Seventh'!J253="", "",'Twenty-Seventh'!J253)</f>
        <v/>
      </c>
      <c r="K6750" s="86" t="str">
        <f>IF('Twenty-Seventh'!K253="", "",'Twenty-Seventh'!K253)</f>
        <v/>
      </c>
      <c r="M6750" s="67" t="str">
        <f t="shared" si="320"/>
        <v/>
      </c>
      <c r="N6750" s="76" t="str">
        <f t="shared" si="321"/>
        <v/>
      </c>
      <c r="O6750" s="33">
        <f t="shared" si="322"/>
        <v>0</v>
      </c>
    </row>
    <row r="6751" spans="1:15" ht="15.75" thickBot="1" x14ac:dyDescent="0.3">
      <c r="A6751" s="68" t="s">
        <v>211</v>
      </c>
      <c r="B6751" s="80" t="str">
        <f>IF('Twenty-Seventh'!B254="", "",'Twenty-Seventh'!B254)</f>
        <v/>
      </c>
      <c r="C6751" s="70" t="str">
        <f>IF('Twenty-Seventh'!C254="", "",'Twenty-Seventh'!C254)</f>
        <v/>
      </c>
      <c r="D6751" s="70" t="str">
        <f>IF('Twenty-Seventh'!D254="", "",'Twenty-Seventh'!D254)</f>
        <v/>
      </c>
      <c r="E6751" s="70" t="str">
        <f>IF('Twenty-Seventh'!E254="", "",'Twenty-Seventh'!E254)</f>
        <v/>
      </c>
      <c r="F6751" s="70" t="str">
        <f>IF('Twenty-Seventh'!F254="", "",'Twenty-Seventh'!F254)</f>
        <v/>
      </c>
      <c r="G6751" s="70" t="str">
        <f>IF('Twenty-Seventh'!G254="", "",'Twenty-Seventh'!G254)</f>
        <v/>
      </c>
      <c r="H6751" s="70" t="str">
        <f>IF('Twenty-Seventh'!H254="", "",'Twenty-Seventh'!H254)</f>
        <v/>
      </c>
      <c r="I6751" s="70" t="str">
        <f>IF('Twenty-Seventh'!I254="", "",'Twenty-Seventh'!I254)</f>
        <v/>
      </c>
      <c r="J6751" s="70" t="str">
        <f>IF('Twenty-Seventh'!J254="", "",'Twenty-Seventh'!J254)</f>
        <v/>
      </c>
      <c r="K6751" s="90" t="str">
        <f>IF('Twenty-Seventh'!K254="", "",'Twenty-Seventh'!K254)</f>
        <v/>
      </c>
      <c r="L6751" s="91"/>
      <c r="M6751" s="71" t="str">
        <f t="shared" si="320"/>
        <v/>
      </c>
      <c r="N6751" s="77" t="str">
        <f t="shared" si="321"/>
        <v/>
      </c>
      <c r="O6751" s="33">
        <f t="shared" si="322"/>
        <v>0</v>
      </c>
    </row>
    <row r="6752" spans="1:15" x14ac:dyDescent="0.25">
      <c r="A6752" s="64" t="s">
        <v>195</v>
      </c>
      <c r="B6752" s="79" t="str">
        <f>IF('Twenty-Eighth'!B5="", "",'Twenty-Eighth'!B5)</f>
        <v>CSS</v>
      </c>
      <c r="C6752" s="66" t="str">
        <f>IF('Twenty-Eighth'!C5="", "",'Twenty-Eighth'!C5)</f>
        <v>PwC</v>
      </c>
      <c r="D6752" s="66" t="str">
        <f>IF('Twenty-Eighth'!D5="", "",'Twenty-Eighth'!D5)</f>
        <v>Returning</v>
      </c>
      <c r="E6752" s="66" t="str">
        <f>IF('Twenty-Eighth'!E5="", "",'Twenty-Eighth'!E5)</f>
        <v>Female</v>
      </c>
      <c r="F6752" s="66" t="str">
        <f>IF('Twenty-Eighth'!F5="", "",'Twenty-Eighth'!F5)</f>
        <v>Breast</v>
      </c>
      <c r="G6752" s="66" t="str">
        <f>IF('Twenty-Eighth'!G5="", "",'Twenty-Eighth'!G5)</f>
        <v>Post Treatment - Curative Intent</v>
      </c>
      <c r="H6752" s="66" t="str">
        <f>IF('Twenty-Eighth'!H5="", "",'Twenty-Eighth'!H5)</f>
        <v>Drop-In</v>
      </c>
      <c r="I6752" s="66" t="str">
        <f>IF('Twenty-Eighth'!I5="", "",'Twenty-Eighth'!I5)</f>
        <v/>
      </c>
      <c r="J6752" s="66" t="str">
        <f>IF('Twenty-Eighth'!J5="", "",'Twenty-Eighth'!J5)</f>
        <v/>
      </c>
      <c r="K6752" s="86" t="str">
        <f>IF('Twenty-Eighth'!K5="", "",'Twenty-Eighth'!K5)</f>
        <v/>
      </c>
      <c r="M6752" s="67">
        <f t="shared" si="320"/>
        <v>7</v>
      </c>
      <c r="N6752" s="76" t="str">
        <f t="shared" si="321"/>
        <v/>
      </c>
      <c r="O6752" s="33">
        <f t="shared" si="322"/>
        <v>7</v>
      </c>
    </row>
    <row r="6753" spans="1:15" x14ac:dyDescent="0.25">
      <c r="A6753" s="64" t="s">
        <v>195</v>
      </c>
      <c r="B6753" s="79" t="str">
        <f>IF('Twenty-Eighth'!B6="", "",'Twenty-Eighth'!B6)</f>
        <v>Psychologist</v>
      </c>
      <c r="C6753" s="66" t="str">
        <f>IF('Twenty-Eighth'!C6="", "",'Twenty-Eighth'!C6)</f>
        <v>PwC</v>
      </c>
      <c r="D6753" s="66" t="str">
        <f>IF('Twenty-Eighth'!D6="", "",'Twenty-Eighth'!D6)</f>
        <v>Returning</v>
      </c>
      <c r="E6753" s="66" t="str">
        <f>IF('Twenty-Eighth'!E6="", "",'Twenty-Eighth'!E6)</f>
        <v>Male</v>
      </c>
      <c r="F6753" s="66" t="str">
        <f>IF('Twenty-Eighth'!F6="", "",'Twenty-Eighth'!F6)</f>
        <v>Lower GI</v>
      </c>
      <c r="G6753" s="66" t="str">
        <f>IF('Twenty-Eighth'!G6="", "",'Twenty-Eighth'!G6)</f>
        <v>Curative Intent</v>
      </c>
      <c r="H6753" s="66" t="str">
        <f>IF('Twenty-Eighth'!H6="", "",'Twenty-Eighth'!H6)</f>
        <v>Programme</v>
      </c>
      <c r="I6753" s="66" t="str">
        <f>IF('Twenty-Eighth'!I6="", "",'Twenty-Eighth'!I6)</f>
        <v>Managing Stress</v>
      </c>
      <c r="J6753" s="66" t="str">
        <f>IF('Twenty-Eighth'!J6="", "",'Twenty-Eighth'!J6)</f>
        <v/>
      </c>
      <c r="K6753" s="86" t="str">
        <f>IF('Twenty-Eighth'!K6="", "",'Twenty-Eighth'!K6)</f>
        <v/>
      </c>
      <c r="M6753" s="67">
        <f t="shared" si="320"/>
        <v>7</v>
      </c>
      <c r="N6753" s="76" t="str">
        <f t="shared" si="321"/>
        <v/>
      </c>
      <c r="O6753" s="33">
        <f t="shared" si="322"/>
        <v>7</v>
      </c>
    </row>
    <row r="6754" spans="1:15" x14ac:dyDescent="0.25">
      <c r="A6754" s="64" t="s">
        <v>195</v>
      </c>
      <c r="B6754" s="79" t="str">
        <f>IF('Twenty-Eighth'!B7="", "",'Twenty-Eighth'!B7)</f>
        <v>Psychologist</v>
      </c>
      <c r="C6754" s="66" t="str">
        <f>IF('Twenty-Eighth'!C7="", "",'Twenty-Eighth'!C7)</f>
        <v>PwC</v>
      </c>
      <c r="D6754" s="66" t="str">
        <f>IF('Twenty-Eighth'!D7="", "",'Twenty-Eighth'!D7)</f>
        <v>Returning</v>
      </c>
      <c r="E6754" s="66" t="str">
        <f>IF('Twenty-Eighth'!E7="", "",'Twenty-Eighth'!E7)</f>
        <v>Female</v>
      </c>
      <c r="F6754" s="66" t="str">
        <f>IF('Twenty-Eighth'!F7="", "",'Twenty-Eighth'!F7)</f>
        <v>Breast</v>
      </c>
      <c r="G6754" s="66" t="str">
        <f>IF('Twenty-Eighth'!G7="", "",'Twenty-Eighth'!G7)</f>
        <v>Post Treatment - Curative Intent</v>
      </c>
      <c r="H6754" s="66" t="str">
        <f>IF('Twenty-Eighth'!H7="", "",'Twenty-Eighth'!H7)</f>
        <v>Programme</v>
      </c>
      <c r="I6754" s="66" t="str">
        <f>IF('Twenty-Eighth'!I7="", "",'Twenty-Eighth'!I7)</f>
        <v>Managing Stress</v>
      </c>
      <c r="J6754" s="66" t="str">
        <f>IF('Twenty-Eighth'!J7="", "",'Twenty-Eighth'!J7)</f>
        <v/>
      </c>
      <c r="K6754" s="86" t="str">
        <f>IF('Twenty-Eighth'!K7="", "",'Twenty-Eighth'!K7)</f>
        <v/>
      </c>
      <c r="M6754" s="67">
        <f t="shared" si="320"/>
        <v>7</v>
      </c>
      <c r="N6754" s="76" t="str">
        <f t="shared" si="321"/>
        <v/>
      </c>
      <c r="O6754" s="33">
        <f t="shared" si="322"/>
        <v>7</v>
      </c>
    </row>
    <row r="6755" spans="1:15" x14ac:dyDescent="0.25">
      <c r="A6755" s="64" t="s">
        <v>195</v>
      </c>
      <c r="B6755" s="79" t="str">
        <f>IF('Twenty-Eighth'!B8="", "",'Twenty-Eighth'!B8)</f>
        <v>Psychologist</v>
      </c>
      <c r="C6755" s="66" t="str">
        <f>IF('Twenty-Eighth'!C8="", "",'Twenty-Eighth'!C8)</f>
        <v>PwC</v>
      </c>
      <c r="D6755" s="66" t="str">
        <f>IF('Twenty-Eighth'!D8="", "",'Twenty-Eighth'!D8)</f>
        <v>Returning</v>
      </c>
      <c r="E6755" s="66" t="str">
        <f>IF('Twenty-Eighth'!E8="", "",'Twenty-Eighth'!E8)</f>
        <v>Female</v>
      </c>
      <c r="F6755" s="66" t="str">
        <f>IF('Twenty-Eighth'!F8="", "",'Twenty-Eighth'!F8)</f>
        <v>Breast</v>
      </c>
      <c r="G6755" s="66" t="str">
        <f>IF('Twenty-Eighth'!G8="", "",'Twenty-Eighth'!G8)</f>
        <v>Post Treatment - Curative Intent</v>
      </c>
      <c r="H6755" s="66" t="str">
        <f>IF('Twenty-Eighth'!H8="", "",'Twenty-Eighth'!H8)</f>
        <v>Programme</v>
      </c>
      <c r="I6755" s="66" t="str">
        <f>IF('Twenty-Eighth'!I8="", "",'Twenty-Eighth'!I8)</f>
        <v>Managing Stress</v>
      </c>
      <c r="J6755" s="66" t="str">
        <f>IF('Twenty-Eighth'!J8="", "",'Twenty-Eighth'!J8)</f>
        <v>NG Laryngectomy</v>
      </c>
      <c r="K6755" s="86" t="str">
        <f>IF('Twenty-Eighth'!K8="", "",'Twenty-Eighth'!K8)</f>
        <v>Genetics</v>
      </c>
      <c r="M6755" s="67">
        <f t="shared" si="320"/>
        <v>7</v>
      </c>
      <c r="N6755" s="76" t="str">
        <f t="shared" si="321"/>
        <v/>
      </c>
      <c r="O6755" s="33">
        <f t="shared" si="322"/>
        <v>7</v>
      </c>
    </row>
    <row r="6756" spans="1:15" x14ac:dyDescent="0.25">
      <c r="A6756" s="64" t="s">
        <v>195</v>
      </c>
      <c r="B6756" s="79" t="str">
        <f>IF('Twenty-Eighth'!B9="", "",'Twenty-Eighth'!B9)</f>
        <v>Psychologist</v>
      </c>
      <c r="C6756" s="66" t="str">
        <f>IF('Twenty-Eighth'!C9="", "",'Twenty-Eighth'!C9)</f>
        <v>PwC</v>
      </c>
      <c r="D6756" s="66" t="str">
        <f>IF('Twenty-Eighth'!D9="", "",'Twenty-Eighth'!D9)</f>
        <v>Returning</v>
      </c>
      <c r="E6756" s="66" t="str">
        <f>IF('Twenty-Eighth'!E9="", "",'Twenty-Eighth'!E9)</f>
        <v>Female</v>
      </c>
      <c r="F6756" s="66" t="str">
        <f>IF('Twenty-Eighth'!F9="", "",'Twenty-Eighth'!F9)</f>
        <v>Haemat</v>
      </c>
      <c r="G6756" s="66" t="str">
        <f>IF('Twenty-Eighth'!G9="", "",'Twenty-Eighth'!G9)</f>
        <v>Non-Curative Intent</v>
      </c>
      <c r="H6756" s="66" t="str">
        <f>IF('Twenty-Eighth'!H9="", "",'Twenty-Eighth'!H9)</f>
        <v>Programme</v>
      </c>
      <c r="I6756" s="66" t="str">
        <f>IF('Twenty-Eighth'!I9="", "",'Twenty-Eighth'!I9)</f>
        <v>Managing Stress</v>
      </c>
      <c r="J6756" s="66" t="str">
        <f>IF('Twenty-Eighth'!J9="", "",'Twenty-Eighth'!J9)</f>
        <v>NG Laryngectomy</v>
      </c>
      <c r="K6756" s="86" t="str">
        <f>IF('Twenty-Eighth'!K9="", "",'Twenty-Eighth'!K9)</f>
        <v/>
      </c>
      <c r="M6756" s="67">
        <f t="shared" si="320"/>
        <v>7</v>
      </c>
      <c r="N6756" s="76" t="str">
        <f t="shared" si="321"/>
        <v/>
      </c>
      <c r="O6756" s="33">
        <f t="shared" si="322"/>
        <v>7</v>
      </c>
    </row>
    <row r="6757" spans="1:15" x14ac:dyDescent="0.25">
      <c r="A6757" s="64" t="s">
        <v>195</v>
      </c>
      <c r="B6757" s="79" t="str">
        <f>IF('Twenty-Eighth'!B10="", "",'Twenty-Eighth'!B10)</f>
        <v>Psychologist</v>
      </c>
      <c r="C6757" s="66" t="str">
        <f>IF('Twenty-Eighth'!C10="", "",'Twenty-Eighth'!C10)</f>
        <v>PwC</v>
      </c>
      <c r="D6757" s="66" t="str">
        <f>IF('Twenty-Eighth'!D10="", "",'Twenty-Eighth'!D10)</f>
        <v>Returning</v>
      </c>
      <c r="E6757" s="66" t="str">
        <f>IF('Twenty-Eighth'!E10="", "",'Twenty-Eighth'!E10)</f>
        <v>Female</v>
      </c>
      <c r="F6757" s="66" t="str">
        <f>IF('Twenty-Eighth'!F10="", "",'Twenty-Eighth'!F10)</f>
        <v>Breast</v>
      </c>
      <c r="G6757" s="66" t="str">
        <f>IF('Twenty-Eighth'!G10="", "",'Twenty-Eighth'!G10)</f>
        <v>Curative Intent</v>
      </c>
      <c r="H6757" s="66" t="str">
        <f>IF('Twenty-Eighth'!H10="", "",'Twenty-Eighth'!H10)</f>
        <v>Programme</v>
      </c>
      <c r="I6757" s="66" t="str">
        <f>IF('Twenty-Eighth'!I10="", "",'Twenty-Eighth'!I10)</f>
        <v>Managing Stress</v>
      </c>
      <c r="J6757" s="66" t="str">
        <f>IF('Twenty-Eighth'!J10="", "",'Twenty-Eighth'!J10)</f>
        <v>NG Laryngectomy</v>
      </c>
      <c r="K6757" s="86" t="str">
        <f>IF('Twenty-Eighth'!K10="", "",'Twenty-Eighth'!K10)</f>
        <v>Genetics</v>
      </c>
      <c r="M6757" s="67">
        <f t="shared" si="320"/>
        <v>7</v>
      </c>
      <c r="N6757" s="76" t="str">
        <f t="shared" si="321"/>
        <v/>
      </c>
      <c r="O6757" s="33">
        <f t="shared" si="322"/>
        <v>7</v>
      </c>
    </row>
    <row r="6758" spans="1:15" x14ac:dyDescent="0.25">
      <c r="A6758" s="64" t="s">
        <v>195</v>
      </c>
      <c r="B6758" s="79" t="str">
        <f>IF('Twenty-Eighth'!B11="", "",'Twenty-Eighth'!B11)</f>
        <v>Psychologist</v>
      </c>
      <c r="C6758" s="66" t="str">
        <f>IF('Twenty-Eighth'!C11="", "",'Twenty-Eighth'!C11)</f>
        <v>PwC</v>
      </c>
      <c r="D6758" s="66" t="str">
        <f>IF('Twenty-Eighth'!D11="", "",'Twenty-Eighth'!D11)</f>
        <v>Returning</v>
      </c>
      <c r="E6758" s="66" t="str">
        <f>IF('Twenty-Eighth'!E11="", "",'Twenty-Eighth'!E11)</f>
        <v>Male</v>
      </c>
      <c r="F6758" s="66" t="str">
        <f>IF('Twenty-Eighth'!F11="", "",'Twenty-Eighth'!F11)</f>
        <v>Head/Neck</v>
      </c>
      <c r="G6758" s="66" t="str">
        <f>IF('Twenty-Eighth'!G11="", "",'Twenty-Eighth'!G11)</f>
        <v>Post Treatment - Curative Intent</v>
      </c>
      <c r="H6758" s="66" t="str">
        <f>IF('Twenty-Eighth'!H11="", "",'Twenty-Eighth'!H11)</f>
        <v>Programme</v>
      </c>
      <c r="I6758" s="66" t="str">
        <f>IF('Twenty-Eighth'!I11="", "",'Twenty-Eighth'!I11)</f>
        <v>Managing Stress</v>
      </c>
      <c r="J6758" s="66" t="str">
        <f>IF('Twenty-Eighth'!J11="", "",'Twenty-Eighth'!J11)</f>
        <v>NG Laryngectomy</v>
      </c>
      <c r="K6758" s="86" t="str">
        <f>IF('Twenty-Eighth'!K11="", "",'Twenty-Eighth'!K11)</f>
        <v/>
      </c>
      <c r="M6758" s="67">
        <f t="shared" si="320"/>
        <v>7</v>
      </c>
      <c r="N6758" s="76" t="str">
        <f t="shared" si="321"/>
        <v/>
      </c>
      <c r="O6758" s="33">
        <f t="shared" si="322"/>
        <v>7</v>
      </c>
    </row>
    <row r="6759" spans="1:15" x14ac:dyDescent="0.25">
      <c r="A6759" s="64" t="s">
        <v>195</v>
      </c>
      <c r="B6759" s="79" t="str">
        <f>IF('Twenty-Eighth'!B12="", "",'Twenty-Eighth'!B12)</f>
        <v>CSS</v>
      </c>
      <c r="C6759" s="66" t="str">
        <f>IF('Twenty-Eighth'!C12="", "",'Twenty-Eighth'!C12)</f>
        <v>PwC</v>
      </c>
      <c r="D6759" s="66" t="str">
        <f>IF('Twenty-Eighth'!D12="", "",'Twenty-Eighth'!D12)</f>
        <v>Returning</v>
      </c>
      <c r="E6759" s="66" t="str">
        <f>IF('Twenty-Eighth'!E12="", "",'Twenty-Eighth'!E12)</f>
        <v>Male</v>
      </c>
      <c r="F6759" s="66" t="str">
        <f>IF('Twenty-Eighth'!F12="", "",'Twenty-Eighth'!F12)</f>
        <v>Skin/Mel</v>
      </c>
      <c r="G6759" s="66" t="str">
        <f>IF('Twenty-Eighth'!G12="", "",'Twenty-Eighth'!G12)</f>
        <v>Post Treatment - Curative Intent</v>
      </c>
      <c r="H6759" s="66" t="str">
        <f>IF('Twenty-Eighth'!H12="", "",'Twenty-Eighth'!H12)</f>
        <v>Booked</v>
      </c>
      <c r="I6759" s="66" t="str">
        <f>IF('Twenty-Eighth'!I12="", "",'Twenty-Eighth'!I12)</f>
        <v>Psych Support - Individual</v>
      </c>
      <c r="J6759" s="66" t="str">
        <f>IF('Twenty-Eighth'!J12="", "",'Twenty-Eighth'!J12)</f>
        <v>NG Laryngectomy</v>
      </c>
      <c r="K6759" s="86" t="str">
        <f>IF('Twenty-Eighth'!K12="", "",'Twenty-Eighth'!K12)</f>
        <v>Genetics</v>
      </c>
      <c r="M6759" s="67">
        <f t="shared" si="320"/>
        <v>7</v>
      </c>
      <c r="N6759" s="76" t="str">
        <f t="shared" si="321"/>
        <v/>
      </c>
      <c r="O6759" s="33">
        <f t="shared" si="322"/>
        <v>7</v>
      </c>
    </row>
    <row r="6760" spans="1:15" x14ac:dyDescent="0.25">
      <c r="A6760" s="64" t="s">
        <v>195</v>
      </c>
      <c r="B6760" s="79" t="str">
        <f>IF('Twenty-Eighth'!B13="", "",'Twenty-Eighth'!B13)</f>
        <v>CSS</v>
      </c>
      <c r="C6760" s="66" t="str">
        <f>IF('Twenty-Eighth'!C13="", "",'Twenty-Eighth'!C13)</f>
        <v>Carer</v>
      </c>
      <c r="D6760" s="66" t="str">
        <f>IF('Twenty-Eighth'!D13="", "",'Twenty-Eighth'!D13)</f>
        <v>Returning</v>
      </c>
      <c r="E6760" s="66" t="str">
        <f>IF('Twenty-Eighth'!E13="", "",'Twenty-Eighth'!E13)</f>
        <v>Female</v>
      </c>
      <c r="F6760" s="66" t="str">
        <f>IF('Twenty-Eighth'!F13="", "",'Twenty-Eighth'!F13)</f>
        <v>Lower GI</v>
      </c>
      <c r="G6760" s="66" t="str">
        <f>IF('Twenty-Eighth'!G13="", "",'Twenty-Eighth'!G13)</f>
        <v>Bereaved</v>
      </c>
      <c r="H6760" s="66" t="str">
        <f>IF('Twenty-Eighth'!H13="", "",'Twenty-Eighth'!H13)</f>
        <v>Booked</v>
      </c>
      <c r="I6760" s="66" t="str">
        <f>IF('Twenty-Eighth'!I13="", "",'Twenty-Eighth'!I13)</f>
        <v>Psych Support - Couple</v>
      </c>
      <c r="J6760" s="66" t="str">
        <f>IF('Twenty-Eighth'!J13="", "",'Twenty-Eighth'!J13)</f>
        <v>NG Laryngectomy</v>
      </c>
      <c r="K6760" s="86" t="str">
        <f>IF('Twenty-Eighth'!K13="", "",'Twenty-Eighth'!K13)</f>
        <v/>
      </c>
      <c r="M6760" s="67" t="str">
        <f t="shared" si="320"/>
        <v/>
      </c>
      <c r="N6760" s="76">
        <f t="shared" si="321"/>
        <v>7</v>
      </c>
      <c r="O6760" s="33">
        <f t="shared" si="322"/>
        <v>7</v>
      </c>
    </row>
    <row r="6761" spans="1:15" x14ac:dyDescent="0.25">
      <c r="A6761" s="64" t="s">
        <v>195</v>
      </c>
      <c r="B6761" s="79" t="str">
        <f>IF('Twenty-Eighth'!B14="", "",'Twenty-Eighth'!B14)</f>
        <v>CSS</v>
      </c>
      <c r="C6761" s="66" t="str">
        <f>IF('Twenty-Eighth'!C14="", "",'Twenty-Eighth'!C14)</f>
        <v>Carer</v>
      </c>
      <c r="D6761" s="66" t="str">
        <f>IF('Twenty-Eighth'!D14="", "",'Twenty-Eighth'!D14)</f>
        <v>Returning</v>
      </c>
      <c r="E6761" s="66" t="str">
        <f>IF('Twenty-Eighth'!E14="", "",'Twenty-Eighth'!E14)</f>
        <v>Female</v>
      </c>
      <c r="F6761" s="66" t="str">
        <f>IF('Twenty-Eighth'!F14="", "",'Twenty-Eighth'!F14)</f>
        <v>Lower GI</v>
      </c>
      <c r="G6761" s="66" t="str">
        <f>IF('Twenty-Eighth'!G14="", "",'Twenty-Eighth'!G14)</f>
        <v>Bereaved</v>
      </c>
      <c r="H6761" s="66" t="str">
        <f>IF('Twenty-Eighth'!H14="", "",'Twenty-Eighth'!H14)</f>
        <v>Booked</v>
      </c>
      <c r="I6761" s="66" t="str">
        <f>IF('Twenty-Eighth'!I14="", "",'Twenty-Eighth'!I14)</f>
        <v>Psych Support - Couple</v>
      </c>
      <c r="J6761" s="66" t="str">
        <f>IF('Twenty-Eighth'!J14="", "",'Twenty-Eighth'!J14)</f>
        <v/>
      </c>
      <c r="K6761" s="86" t="str">
        <f>IF('Twenty-Eighth'!K14="", "",'Twenty-Eighth'!K14)</f>
        <v/>
      </c>
      <c r="M6761" s="67" t="str">
        <f t="shared" si="320"/>
        <v/>
      </c>
      <c r="N6761" s="76">
        <f t="shared" si="321"/>
        <v>7</v>
      </c>
      <c r="O6761" s="33">
        <f t="shared" si="322"/>
        <v>7</v>
      </c>
    </row>
    <row r="6762" spans="1:15" x14ac:dyDescent="0.25">
      <c r="A6762" s="64" t="s">
        <v>195</v>
      </c>
      <c r="B6762" s="79" t="str">
        <f>IF('Twenty-Eighth'!B15="", "",'Twenty-Eighth'!B15)</f>
        <v>CSS</v>
      </c>
      <c r="C6762" s="66" t="str">
        <f>IF('Twenty-Eighth'!C15="", "",'Twenty-Eighth'!C15)</f>
        <v>PwC</v>
      </c>
      <c r="D6762" s="66" t="str">
        <f>IF('Twenty-Eighth'!D15="", "",'Twenty-Eighth'!D15)</f>
        <v>Returning</v>
      </c>
      <c r="E6762" s="66" t="str">
        <f>IF('Twenty-Eighth'!E15="", "",'Twenty-Eighth'!E15)</f>
        <v>Male</v>
      </c>
      <c r="F6762" s="66" t="str">
        <f>IF('Twenty-Eighth'!F15="", "",'Twenty-Eighth'!F15)</f>
        <v>Prostate</v>
      </c>
      <c r="G6762" s="66" t="str">
        <f>IF('Twenty-Eighth'!G15="", "",'Twenty-Eighth'!G15)</f>
        <v>Non-Curative Intent</v>
      </c>
      <c r="H6762" s="66" t="str">
        <f>IF('Twenty-Eighth'!H15="", "",'Twenty-Eighth'!H15)</f>
        <v>Drop-In</v>
      </c>
      <c r="I6762" s="66" t="str">
        <f>IF('Twenty-Eighth'!I15="", "",'Twenty-Eighth'!I15)</f>
        <v/>
      </c>
      <c r="J6762" s="66" t="str">
        <f>IF('Twenty-Eighth'!J15="", "",'Twenty-Eighth'!J15)</f>
        <v/>
      </c>
      <c r="K6762" s="86" t="str">
        <f>IF('Twenty-Eighth'!K15="", "",'Twenty-Eighth'!K15)</f>
        <v/>
      </c>
      <c r="M6762" s="67">
        <f t="shared" si="320"/>
        <v>7</v>
      </c>
      <c r="N6762" s="76" t="str">
        <f t="shared" si="321"/>
        <v/>
      </c>
      <c r="O6762" s="33">
        <f t="shared" si="322"/>
        <v>7</v>
      </c>
    </row>
    <row r="6763" spans="1:15" x14ac:dyDescent="0.25">
      <c r="A6763" s="64" t="s">
        <v>195</v>
      </c>
      <c r="B6763" s="79" t="str">
        <f>IF('Twenty-Eighth'!B16="", "",'Twenty-Eighth'!B16)</f>
        <v>CSS</v>
      </c>
      <c r="C6763" s="66" t="str">
        <f>IF('Twenty-Eighth'!C16="", "",'Twenty-Eighth'!C16)</f>
        <v>Professional</v>
      </c>
      <c r="D6763" s="66" t="str">
        <f>IF('Twenty-Eighth'!D16="", "",'Twenty-Eighth'!D16)</f>
        <v/>
      </c>
      <c r="E6763" s="66" t="str">
        <f>IF('Twenty-Eighth'!E16="", "",'Twenty-Eighth'!E16)</f>
        <v/>
      </c>
      <c r="F6763" s="66" t="str">
        <f>IF('Twenty-Eighth'!F16="", "",'Twenty-Eighth'!F16)</f>
        <v/>
      </c>
      <c r="G6763" s="66" t="str">
        <f>IF('Twenty-Eighth'!G16="", "",'Twenty-Eighth'!G16)</f>
        <v/>
      </c>
      <c r="H6763" s="66" t="str">
        <f>IF('Twenty-Eighth'!H16="", "",'Twenty-Eighth'!H16)</f>
        <v/>
      </c>
      <c r="I6763" s="66" t="str">
        <f>IF('Twenty-Eighth'!I16="", "",'Twenty-Eighth'!I16)</f>
        <v/>
      </c>
      <c r="J6763" s="66" t="str">
        <f>IF('Twenty-Eighth'!J16="", "",'Twenty-Eighth'!J16)</f>
        <v/>
      </c>
      <c r="K6763" s="86" t="str">
        <f>IF('Twenty-Eighth'!K16="", "",'Twenty-Eighth'!K16)</f>
        <v/>
      </c>
      <c r="M6763" s="67" t="str">
        <f t="shared" si="320"/>
        <v/>
      </c>
      <c r="N6763" s="76" t="str">
        <f t="shared" si="321"/>
        <v/>
      </c>
      <c r="O6763" s="33">
        <f t="shared" si="322"/>
        <v>0</v>
      </c>
    </row>
    <row r="6764" spans="1:15" x14ac:dyDescent="0.25">
      <c r="A6764" s="64" t="s">
        <v>195</v>
      </c>
      <c r="B6764" s="79" t="str">
        <f>IF('Twenty-Eighth'!B17="", "",'Twenty-Eighth'!B17)</f>
        <v>CSS</v>
      </c>
      <c r="C6764" s="66" t="str">
        <f>IF('Twenty-Eighth'!C17="", "",'Twenty-Eighth'!C17)</f>
        <v>PwC</v>
      </c>
      <c r="D6764" s="66" t="str">
        <f>IF('Twenty-Eighth'!D17="", "",'Twenty-Eighth'!D17)</f>
        <v>Returning</v>
      </c>
      <c r="E6764" s="66" t="str">
        <f>IF('Twenty-Eighth'!E17="", "",'Twenty-Eighth'!E17)</f>
        <v>Male</v>
      </c>
      <c r="F6764" s="66" t="str">
        <f>IF('Twenty-Eighth'!F17="", "",'Twenty-Eighth'!F17)</f>
        <v>Prostate</v>
      </c>
      <c r="G6764" s="66" t="str">
        <f>IF('Twenty-Eighth'!G17="", "",'Twenty-Eighth'!G17)</f>
        <v>Non-Curative Intent</v>
      </c>
      <c r="H6764" s="66" t="str">
        <f>IF('Twenty-Eighth'!H17="", "",'Twenty-Eighth'!H17)</f>
        <v>Programme</v>
      </c>
      <c r="I6764" s="66" t="str">
        <f>IF('Twenty-Eighth'!I17="", "",'Twenty-Eighth'!I17)</f>
        <v>FSG General</v>
      </c>
      <c r="J6764" s="66" t="str">
        <f>IF('Twenty-Eighth'!J17="", "",'Twenty-Eighth'!J17)</f>
        <v/>
      </c>
      <c r="K6764" s="86" t="str">
        <f>IF('Twenty-Eighth'!K17="", "",'Twenty-Eighth'!K17)</f>
        <v/>
      </c>
      <c r="M6764" s="67">
        <f t="shared" si="320"/>
        <v>7</v>
      </c>
      <c r="N6764" s="76" t="str">
        <f t="shared" si="321"/>
        <v/>
      </c>
      <c r="O6764" s="33">
        <f t="shared" si="322"/>
        <v>7</v>
      </c>
    </row>
    <row r="6765" spans="1:15" x14ac:dyDescent="0.25">
      <c r="A6765" s="64" t="s">
        <v>195</v>
      </c>
      <c r="B6765" s="79" t="str">
        <f>IF('Twenty-Eighth'!B18="", "",'Twenty-Eighth'!B18)</f>
        <v>CSS</v>
      </c>
      <c r="C6765" s="66" t="str">
        <f>IF('Twenty-Eighth'!C18="", "",'Twenty-Eighth'!C18)</f>
        <v>PwC</v>
      </c>
      <c r="D6765" s="66" t="str">
        <f>IF('Twenty-Eighth'!D18="", "",'Twenty-Eighth'!D18)</f>
        <v>Returning</v>
      </c>
      <c r="E6765" s="66" t="str">
        <f>IF('Twenty-Eighth'!E18="", "",'Twenty-Eighth'!E18)</f>
        <v>Male</v>
      </c>
      <c r="F6765" s="66" t="str">
        <f>IF('Twenty-Eighth'!F18="", "",'Twenty-Eighth'!F18)</f>
        <v>Sarcoma</v>
      </c>
      <c r="G6765" s="66" t="str">
        <f>IF('Twenty-Eighth'!G18="", "",'Twenty-Eighth'!G18)</f>
        <v>Non-Curative Intent</v>
      </c>
      <c r="H6765" s="66" t="str">
        <f>IF('Twenty-Eighth'!H18="", "",'Twenty-Eighth'!H18)</f>
        <v>Programme</v>
      </c>
      <c r="I6765" s="66" t="str">
        <f>IF('Twenty-Eighth'!I18="", "",'Twenty-Eighth'!I18)</f>
        <v>FSG General</v>
      </c>
      <c r="J6765" s="66" t="str">
        <f>IF('Twenty-Eighth'!J18="", "",'Twenty-Eighth'!J18)</f>
        <v/>
      </c>
      <c r="K6765" s="86" t="str">
        <f>IF('Twenty-Eighth'!K18="", "",'Twenty-Eighth'!K18)</f>
        <v/>
      </c>
      <c r="M6765" s="67">
        <f t="shared" si="320"/>
        <v>7</v>
      </c>
      <c r="N6765" s="76" t="str">
        <f t="shared" si="321"/>
        <v/>
      </c>
      <c r="O6765" s="33">
        <f t="shared" si="322"/>
        <v>7</v>
      </c>
    </row>
    <row r="6766" spans="1:15" x14ac:dyDescent="0.25">
      <c r="A6766" s="64" t="s">
        <v>195</v>
      </c>
      <c r="B6766" s="79" t="str">
        <f>IF('Twenty-Eighth'!B19="", "",'Twenty-Eighth'!B19)</f>
        <v>CSS</v>
      </c>
      <c r="C6766" s="66" t="str">
        <f>IF('Twenty-Eighth'!C19="", "",'Twenty-Eighth'!C19)</f>
        <v>PwC</v>
      </c>
      <c r="D6766" s="66" t="str">
        <f>IF('Twenty-Eighth'!D19="", "",'Twenty-Eighth'!D19)</f>
        <v>Returning</v>
      </c>
      <c r="E6766" s="66" t="str">
        <f>IF('Twenty-Eighth'!E19="", "",'Twenty-Eighth'!E19)</f>
        <v>Female</v>
      </c>
      <c r="F6766" s="66" t="str">
        <f>IF('Twenty-Eighth'!F19="", "",'Twenty-Eighth'!F19)</f>
        <v>Sarcoma</v>
      </c>
      <c r="G6766" s="66" t="str">
        <f>IF('Twenty-Eighth'!G19="", "",'Twenty-Eighth'!G19)</f>
        <v>Non-Curative Intent</v>
      </c>
      <c r="H6766" s="66" t="str">
        <f>IF('Twenty-Eighth'!H19="", "",'Twenty-Eighth'!H19)</f>
        <v>Programme</v>
      </c>
      <c r="I6766" s="66" t="str">
        <f>IF('Twenty-Eighth'!I19="", "",'Twenty-Eighth'!I19)</f>
        <v>FSG General</v>
      </c>
      <c r="J6766" s="66" t="str">
        <f>IF('Twenty-Eighth'!J19="", "",'Twenty-Eighth'!J19)</f>
        <v/>
      </c>
      <c r="K6766" s="86" t="str">
        <f>IF('Twenty-Eighth'!K19="", "",'Twenty-Eighth'!K19)</f>
        <v/>
      </c>
      <c r="M6766" s="67">
        <f t="shared" si="320"/>
        <v>7</v>
      </c>
      <c r="N6766" s="76" t="str">
        <f t="shared" si="321"/>
        <v/>
      </c>
      <c r="O6766" s="33">
        <f t="shared" si="322"/>
        <v>7</v>
      </c>
    </row>
    <row r="6767" spans="1:15" x14ac:dyDescent="0.25">
      <c r="A6767" s="64" t="s">
        <v>195</v>
      </c>
      <c r="B6767" s="79" t="str">
        <f>IF('Twenty-Eighth'!B20="", "",'Twenty-Eighth'!B20)</f>
        <v>CSS</v>
      </c>
      <c r="C6767" s="66" t="str">
        <f>IF('Twenty-Eighth'!C20="", "",'Twenty-Eighth'!C20)</f>
        <v>PwC</v>
      </c>
      <c r="D6767" s="66" t="str">
        <f>IF('Twenty-Eighth'!D20="", "",'Twenty-Eighth'!D20)</f>
        <v>Returning</v>
      </c>
      <c r="E6767" s="66" t="str">
        <f>IF('Twenty-Eighth'!E20="", "",'Twenty-Eighth'!E20)</f>
        <v>Female</v>
      </c>
      <c r="F6767" s="66" t="str">
        <f>IF('Twenty-Eighth'!F20="", "",'Twenty-Eighth'!F20)</f>
        <v>Breast</v>
      </c>
      <c r="G6767" s="66" t="str">
        <f>IF('Twenty-Eighth'!G20="", "",'Twenty-Eighth'!G20)</f>
        <v>Non-Curative Intent</v>
      </c>
      <c r="H6767" s="66" t="str">
        <f>IF('Twenty-Eighth'!H20="", "",'Twenty-Eighth'!H20)</f>
        <v>Programme</v>
      </c>
      <c r="I6767" s="66" t="str">
        <f>IF('Twenty-Eighth'!I20="", "",'Twenty-Eighth'!I20)</f>
        <v>FSG General</v>
      </c>
      <c r="J6767" s="66" t="str">
        <f>IF('Twenty-Eighth'!J20="", "",'Twenty-Eighth'!J20)</f>
        <v/>
      </c>
      <c r="K6767" s="86" t="str">
        <f>IF('Twenty-Eighth'!K20="", "",'Twenty-Eighth'!K20)</f>
        <v/>
      </c>
      <c r="M6767" s="67">
        <f t="shared" si="320"/>
        <v>7</v>
      </c>
      <c r="N6767" s="76" t="str">
        <f t="shared" si="321"/>
        <v/>
      </c>
      <c r="O6767" s="33">
        <f t="shared" si="322"/>
        <v>7</v>
      </c>
    </row>
    <row r="6768" spans="1:15" x14ac:dyDescent="0.25">
      <c r="A6768" s="64" t="s">
        <v>195</v>
      </c>
      <c r="B6768" s="79" t="str">
        <f>IF('Twenty-Eighth'!B21="", "",'Twenty-Eighth'!B21)</f>
        <v>CSS</v>
      </c>
      <c r="C6768" s="66" t="str">
        <f>IF('Twenty-Eighth'!C21="", "",'Twenty-Eighth'!C21)</f>
        <v>PwC</v>
      </c>
      <c r="D6768" s="66" t="str">
        <f>IF('Twenty-Eighth'!D21="", "",'Twenty-Eighth'!D21)</f>
        <v>Returning</v>
      </c>
      <c r="E6768" s="66" t="str">
        <f>IF('Twenty-Eighth'!E21="", "",'Twenty-Eighth'!E21)</f>
        <v>Female</v>
      </c>
      <c r="F6768" s="66" t="str">
        <f>IF('Twenty-Eighth'!F21="", "",'Twenty-Eighth'!F21)</f>
        <v>Lower GI</v>
      </c>
      <c r="G6768" s="66" t="str">
        <f>IF('Twenty-Eighth'!G21="", "",'Twenty-Eighth'!G21)</f>
        <v>Non-Curative Intent</v>
      </c>
      <c r="H6768" s="66" t="str">
        <f>IF('Twenty-Eighth'!H21="", "",'Twenty-Eighth'!H21)</f>
        <v>Programme</v>
      </c>
      <c r="I6768" s="66" t="str">
        <f>IF('Twenty-Eighth'!I21="", "",'Twenty-Eighth'!I21)</f>
        <v>FSG General</v>
      </c>
      <c r="J6768" s="66" t="str">
        <f>IF('Twenty-Eighth'!J21="", "",'Twenty-Eighth'!J21)</f>
        <v/>
      </c>
      <c r="K6768" s="86" t="str">
        <f>IF('Twenty-Eighth'!K21="", "",'Twenty-Eighth'!K21)</f>
        <v/>
      </c>
      <c r="M6768" s="67">
        <f t="shared" si="320"/>
        <v>7</v>
      </c>
      <c r="N6768" s="76" t="str">
        <f t="shared" si="321"/>
        <v/>
      </c>
      <c r="O6768" s="33">
        <f t="shared" si="322"/>
        <v>7</v>
      </c>
    </row>
    <row r="6769" spans="1:15" x14ac:dyDescent="0.25">
      <c r="A6769" s="64" t="s">
        <v>195</v>
      </c>
      <c r="B6769" s="79" t="str">
        <f>IF('Twenty-Eighth'!B22="", "",'Twenty-Eighth'!B22)</f>
        <v>CSS</v>
      </c>
      <c r="C6769" s="66" t="str">
        <f>IF('Twenty-Eighth'!C22="", "",'Twenty-Eighth'!C22)</f>
        <v>Carer</v>
      </c>
      <c r="D6769" s="66" t="str">
        <f>IF('Twenty-Eighth'!D22="", "",'Twenty-Eighth'!D22)</f>
        <v>Returning</v>
      </c>
      <c r="E6769" s="66" t="str">
        <f>IF('Twenty-Eighth'!E22="", "",'Twenty-Eighth'!E22)</f>
        <v>Female</v>
      </c>
      <c r="F6769" s="66" t="str">
        <f>IF('Twenty-Eighth'!F22="", "",'Twenty-Eighth'!F22)</f>
        <v>Breast</v>
      </c>
      <c r="G6769" s="66" t="str">
        <f>IF('Twenty-Eighth'!G22="", "",'Twenty-Eighth'!G22)</f>
        <v>Non-Curative Intent</v>
      </c>
      <c r="H6769" s="66" t="str">
        <f>IF('Twenty-Eighth'!H22="", "",'Twenty-Eighth'!H22)</f>
        <v>Booked</v>
      </c>
      <c r="I6769" s="66" t="str">
        <f>IF('Twenty-Eighth'!I22="", "",'Twenty-Eighth'!I22)</f>
        <v>Benefits - Individual</v>
      </c>
      <c r="J6769" s="66" t="str">
        <f>IF('Twenty-Eighth'!J22="", "",'Twenty-Eighth'!J22)</f>
        <v/>
      </c>
      <c r="K6769" s="86" t="str">
        <f>IF('Twenty-Eighth'!K22="", "",'Twenty-Eighth'!K22)</f>
        <v/>
      </c>
      <c r="M6769" s="67" t="str">
        <f t="shared" si="320"/>
        <v/>
      </c>
      <c r="N6769" s="76">
        <f t="shared" si="321"/>
        <v>7</v>
      </c>
      <c r="O6769" s="33">
        <f t="shared" si="322"/>
        <v>7</v>
      </c>
    </row>
    <row r="6770" spans="1:15" x14ac:dyDescent="0.25">
      <c r="A6770" s="64" t="s">
        <v>195</v>
      </c>
      <c r="B6770" s="79" t="str">
        <f>IF('Twenty-Eighth'!B23="", "",'Twenty-Eighth'!B23)</f>
        <v>CSS</v>
      </c>
      <c r="C6770" s="66" t="str">
        <f>IF('Twenty-Eighth'!C23="", "",'Twenty-Eighth'!C23)</f>
        <v>PwC</v>
      </c>
      <c r="D6770" s="66" t="str">
        <f>IF('Twenty-Eighth'!D23="", "",'Twenty-Eighth'!D23)</f>
        <v>Returning</v>
      </c>
      <c r="E6770" s="66" t="str">
        <f>IF('Twenty-Eighth'!E23="", "",'Twenty-Eighth'!E23)</f>
        <v>Female</v>
      </c>
      <c r="F6770" s="66" t="str">
        <f>IF('Twenty-Eighth'!F23="", "",'Twenty-Eighth'!F23)</f>
        <v>Breast</v>
      </c>
      <c r="G6770" s="66" t="str">
        <f>IF('Twenty-Eighth'!G23="", "",'Twenty-Eighth'!G23)</f>
        <v>Post Treatment - Curative Intent</v>
      </c>
      <c r="H6770" s="66" t="str">
        <f>IF('Twenty-Eighth'!H23="", "",'Twenty-Eighth'!H23)</f>
        <v>Drop-In</v>
      </c>
      <c r="I6770" s="66" t="str">
        <f>IF('Twenty-Eighth'!I23="", "",'Twenty-Eighth'!I23)</f>
        <v/>
      </c>
      <c r="J6770" s="66" t="str">
        <f>IF('Twenty-Eighth'!J23="", "",'Twenty-Eighth'!J23)</f>
        <v/>
      </c>
      <c r="K6770" s="86" t="str">
        <f>IF('Twenty-Eighth'!K23="", "",'Twenty-Eighth'!K23)</f>
        <v/>
      </c>
      <c r="M6770" s="67">
        <f t="shared" si="320"/>
        <v>7</v>
      </c>
      <c r="N6770" s="76" t="str">
        <f t="shared" si="321"/>
        <v/>
      </c>
      <c r="O6770" s="33">
        <f t="shared" si="322"/>
        <v>7</v>
      </c>
    </row>
    <row r="6771" spans="1:15" x14ac:dyDescent="0.25">
      <c r="A6771" s="64" t="s">
        <v>195</v>
      </c>
      <c r="B6771" s="79" t="str">
        <f>IF('Twenty-Eighth'!B24="", "",'Twenty-Eighth'!B24)</f>
        <v>CSS</v>
      </c>
      <c r="C6771" s="66" t="str">
        <f>IF('Twenty-Eighth'!C24="", "",'Twenty-Eighth'!C24)</f>
        <v>PwC</v>
      </c>
      <c r="D6771" s="66" t="str">
        <f>IF('Twenty-Eighth'!D24="", "",'Twenty-Eighth'!D24)</f>
        <v>New</v>
      </c>
      <c r="E6771" s="66" t="str">
        <f>IF('Twenty-Eighth'!E24="", "",'Twenty-Eighth'!E24)</f>
        <v>Female</v>
      </c>
      <c r="F6771" s="66" t="str">
        <f>IF('Twenty-Eighth'!F24="", "",'Twenty-Eighth'!F24)</f>
        <v>Lower GI</v>
      </c>
      <c r="G6771" s="66" t="str">
        <f>IF('Twenty-Eighth'!G24="", "",'Twenty-Eighth'!G24)</f>
        <v>Curative Intent</v>
      </c>
      <c r="H6771" s="66" t="str">
        <f>IF('Twenty-Eighth'!H24="", "",'Twenty-Eighth'!H24)</f>
        <v>Drop-In</v>
      </c>
      <c r="I6771" s="66" t="str">
        <f>IF('Twenty-Eighth'!I24="", "",'Twenty-Eighth'!I24)</f>
        <v/>
      </c>
      <c r="J6771" s="66" t="str">
        <f>IF('Twenty-Eighth'!J24="", "",'Twenty-Eighth'!J24)</f>
        <v/>
      </c>
      <c r="K6771" s="86" t="str">
        <f>IF('Twenty-Eighth'!K24="", "",'Twenty-Eighth'!K24)</f>
        <v/>
      </c>
      <c r="M6771" s="67">
        <f t="shared" si="320"/>
        <v>7</v>
      </c>
      <c r="N6771" s="76" t="str">
        <f t="shared" si="321"/>
        <v/>
      </c>
      <c r="O6771" s="33">
        <f t="shared" si="322"/>
        <v>7</v>
      </c>
    </row>
    <row r="6772" spans="1:15" x14ac:dyDescent="0.25">
      <c r="A6772" s="64" t="s">
        <v>195</v>
      </c>
      <c r="B6772" s="79" t="str">
        <f>IF('Twenty-Eighth'!B25="", "",'Twenty-Eighth'!B25)</f>
        <v>CSS</v>
      </c>
      <c r="C6772" s="66" t="str">
        <f>IF('Twenty-Eighth'!C25="", "",'Twenty-Eighth'!C25)</f>
        <v>Carer</v>
      </c>
      <c r="D6772" s="66" t="str">
        <f>IF('Twenty-Eighth'!D25="", "",'Twenty-Eighth'!D25)</f>
        <v>New</v>
      </c>
      <c r="E6772" s="66" t="str">
        <f>IF('Twenty-Eighth'!E25="", "",'Twenty-Eighth'!E25)</f>
        <v>Female</v>
      </c>
      <c r="F6772" s="66" t="str">
        <f>IF('Twenty-Eighth'!F25="", "",'Twenty-Eighth'!F25)</f>
        <v>Lower GI</v>
      </c>
      <c r="G6772" s="66" t="str">
        <f>IF('Twenty-Eighth'!G25="", "",'Twenty-Eighth'!G25)</f>
        <v>Curative Intent</v>
      </c>
      <c r="H6772" s="66" t="str">
        <f>IF('Twenty-Eighth'!H25="", "",'Twenty-Eighth'!H25)</f>
        <v>Drop-In</v>
      </c>
      <c r="I6772" s="66" t="str">
        <f>IF('Twenty-Eighth'!I25="", "",'Twenty-Eighth'!I25)</f>
        <v/>
      </c>
      <c r="J6772" s="66" t="str">
        <f>IF('Twenty-Eighth'!J25="", "",'Twenty-Eighth'!J25)</f>
        <v/>
      </c>
      <c r="K6772" s="86" t="str">
        <f>IF('Twenty-Eighth'!K25="", "",'Twenty-Eighth'!K25)</f>
        <v/>
      </c>
      <c r="M6772" s="67" t="str">
        <f t="shared" si="320"/>
        <v/>
      </c>
      <c r="N6772" s="76">
        <f t="shared" si="321"/>
        <v>7</v>
      </c>
      <c r="O6772" s="33">
        <f t="shared" si="322"/>
        <v>7</v>
      </c>
    </row>
    <row r="6773" spans="1:15" x14ac:dyDescent="0.25">
      <c r="A6773" s="64" t="s">
        <v>195</v>
      </c>
      <c r="B6773" s="79" t="str">
        <f>IF('Twenty-Eighth'!B26="", "",'Twenty-Eighth'!B26)</f>
        <v>CSS</v>
      </c>
      <c r="C6773" s="66" t="str">
        <f>IF('Twenty-Eighth'!C26="", "",'Twenty-Eighth'!C26)</f>
        <v>Carer</v>
      </c>
      <c r="D6773" s="66" t="str">
        <f>IF('Twenty-Eighth'!D26="", "",'Twenty-Eighth'!D26)</f>
        <v>New</v>
      </c>
      <c r="E6773" s="66" t="str">
        <f>IF('Twenty-Eighth'!E26="", "",'Twenty-Eighth'!E26)</f>
        <v>Male</v>
      </c>
      <c r="F6773" s="66" t="str">
        <f>IF('Twenty-Eighth'!F26="", "",'Twenty-Eighth'!F26)</f>
        <v>Lower GI</v>
      </c>
      <c r="G6773" s="66" t="str">
        <f>IF('Twenty-Eighth'!G26="", "",'Twenty-Eighth'!G26)</f>
        <v>Curative Intent</v>
      </c>
      <c r="H6773" s="66" t="str">
        <f>IF('Twenty-Eighth'!H26="", "",'Twenty-Eighth'!H26)</f>
        <v>Drop-In</v>
      </c>
      <c r="I6773" s="66" t="str">
        <f>IF('Twenty-Eighth'!I26="", "",'Twenty-Eighth'!I26)</f>
        <v/>
      </c>
      <c r="J6773" s="66" t="str">
        <f>IF('Twenty-Eighth'!J26="", "",'Twenty-Eighth'!J26)</f>
        <v/>
      </c>
      <c r="K6773" s="86" t="str">
        <f>IF('Twenty-Eighth'!K26="", "",'Twenty-Eighth'!K26)</f>
        <v/>
      </c>
      <c r="M6773" s="67" t="str">
        <f t="shared" si="320"/>
        <v/>
      </c>
      <c r="N6773" s="76">
        <f t="shared" si="321"/>
        <v>7</v>
      </c>
      <c r="O6773" s="33">
        <f t="shared" si="322"/>
        <v>7</v>
      </c>
    </row>
    <row r="6774" spans="1:15" x14ac:dyDescent="0.25">
      <c r="A6774" s="64" t="s">
        <v>195</v>
      </c>
      <c r="B6774" s="79" t="str">
        <f>IF('Twenty-Eighth'!B27="", "",'Twenty-Eighth'!B27)</f>
        <v>CSS</v>
      </c>
      <c r="C6774" s="66" t="str">
        <f>IF('Twenty-Eighth'!C27="", "",'Twenty-Eighth'!C27)</f>
        <v>PwC</v>
      </c>
      <c r="D6774" s="66" t="str">
        <f>IF('Twenty-Eighth'!D27="", "",'Twenty-Eighth'!D27)</f>
        <v>Returning</v>
      </c>
      <c r="E6774" s="66" t="str">
        <f>IF('Twenty-Eighth'!E27="", "",'Twenty-Eighth'!E27)</f>
        <v>Female</v>
      </c>
      <c r="F6774" s="66" t="str">
        <f>IF('Twenty-Eighth'!F27="", "",'Twenty-Eighth'!F27)</f>
        <v>Breast</v>
      </c>
      <c r="G6774" s="66" t="str">
        <f>IF('Twenty-Eighth'!G27="", "",'Twenty-Eighth'!G27)</f>
        <v>Curative Intent</v>
      </c>
      <c r="H6774" s="66" t="str">
        <f>IF('Twenty-Eighth'!H27="", "",'Twenty-Eighth'!H27)</f>
        <v>Drop-In</v>
      </c>
      <c r="I6774" s="66" t="str">
        <f>IF('Twenty-Eighth'!I27="", "",'Twenty-Eighth'!I27)</f>
        <v/>
      </c>
      <c r="J6774" s="66" t="str">
        <f>IF('Twenty-Eighth'!J27="", "",'Twenty-Eighth'!J27)</f>
        <v/>
      </c>
      <c r="K6774" s="86" t="str">
        <f>IF('Twenty-Eighth'!K27="", "",'Twenty-Eighth'!K27)</f>
        <v/>
      </c>
      <c r="M6774" s="67">
        <f t="shared" si="320"/>
        <v>7</v>
      </c>
      <c r="N6774" s="76" t="str">
        <f t="shared" si="321"/>
        <v/>
      </c>
      <c r="O6774" s="33">
        <f t="shared" si="322"/>
        <v>7</v>
      </c>
    </row>
    <row r="6775" spans="1:15" x14ac:dyDescent="0.25">
      <c r="A6775" s="64" t="s">
        <v>195</v>
      </c>
      <c r="B6775" s="79" t="str">
        <f>IF('Twenty-Eighth'!B28="", "",'Twenty-Eighth'!B28)</f>
        <v>CSS</v>
      </c>
      <c r="C6775" s="66" t="str">
        <f>IF('Twenty-Eighth'!C28="", "",'Twenty-Eighth'!C28)</f>
        <v>PwC</v>
      </c>
      <c r="D6775" s="66" t="str">
        <f>IF('Twenty-Eighth'!D28="", "",'Twenty-Eighth'!D28)</f>
        <v>Returning</v>
      </c>
      <c r="E6775" s="66" t="str">
        <f>IF('Twenty-Eighth'!E28="", "",'Twenty-Eighth'!E28)</f>
        <v>Male</v>
      </c>
      <c r="F6775" s="66" t="str">
        <f>IF('Twenty-Eighth'!F28="", "",'Twenty-Eighth'!F28)</f>
        <v>Gynae</v>
      </c>
      <c r="G6775" s="66" t="str">
        <f>IF('Twenty-Eighth'!G28="", "",'Twenty-Eighth'!G28)</f>
        <v>Bereaved</v>
      </c>
      <c r="H6775" s="66" t="str">
        <f>IF('Twenty-Eighth'!H28="", "",'Twenty-Eighth'!H28)</f>
        <v>Drop-In</v>
      </c>
      <c r="I6775" s="66" t="str">
        <f>IF('Twenty-Eighth'!I28="", "",'Twenty-Eighth'!I28)</f>
        <v/>
      </c>
      <c r="J6775" s="66" t="str">
        <f>IF('Twenty-Eighth'!J28="", "",'Twenty-Eighth'!J28)</f>
        <v/>
      </c>
      <c r="K6775" s="86" t="str">
        <f>IF('Twenty-Eighth'!K28="", "",'Twenty-Eighth'!K28)</f>
        <v/>
      </c>
      <c r="M6775" s="67">
        <f t="shared" si="320"/>
        <v>7</v>
      </c>
      <c r="N6775" s="76" t="str">
        <f t="shared" si="321"/>
        <v/>
      </c>
      <c r="O6775" s="33">
        <f t="shared" si="322"/>
        <v>7</v>
      </c>
    </row>
    <row r="6776" spans="1:15" x14ac:dyDescent="0.25">
      <c r="A6776" s="64" t="s">
        <v>195</v>
      </c>
      <c r="B6776" s="79" t="str">
        <f>IF('Twenty-Eighth'!B29="", "",'Twenty-Eighth'!B29)</f>
        <v>CSS</v>
      </c>
      <c r="C6776" s="66" t="str">
        <f>IF('Twenty-Eighth'!C29="", "",'Twenty-Eighth'!C29)</f>
        <v>PwC</v>
      </c>
      <c r="D6776" s="66" t="str">
        <f>IF('Twenty-Eighth'!D29="", "",'Twenty-Eighth'!D29)</f>
        <v>Returning</v>
      </c>
      <c r="E6776" s="66" t="str">
        <f>IF('Twenty-Eighth'!E29="", "",'Twenty-Eighth'!E29)</f>
        <v>Female</v>
      </c>
      <c r="F6776" s="66" t="str">
        <f>IF('Twenty-Eighth'!F29="", "",'Twenty-Eighth'!F29)</f>
        <v>Haemat</v>
      </c>
      <c r="G6776" s="66" t="str">
        <f>IF('Twenty-Eighth'!G29="", "",'Twenty-Eighth'!G29)</f>
        <v>Non-Curative Intent</v>
      </c>
      <c r="H6776" s="66" t="str">
        <f>IF('Twenty-Eighth'!H29="", "",'Twenty-Eighth'!H29)</f>
        <v>Booked</v>
      </c>
      <c r="I6776" s="66" t="str">
        <f>IF('Twenty-Eighth'!I29="", "",'Twenty-Eighth'!I29)</f>
        <v>Psych Support - Individual</v>
      </c>
      <c r="J6776" s="66" t="str">
        <f>IF('Twenty-Eighth'!J29="", "",'Twenty-Eighth'!J29)</f>
        <v/>
      </c>
      <c r="K6776" s="86" t="str">
        <f>IF('Twenty-Eighth'!K29="", "",'Twenty-Eighth'!K29)</f>
        <v/>
      </c>
      <c r="M6776" s="67">
        <f t="shared" si="320"/>
        <v>7</v>
      </c>
      <c r="N6776" s="76" t="str">
        <f t="shared" si="321"/>
        <v/>
      </c>
      <c r="O6776" s="33">
        <f t="shared" si="322"/>
        <v>7</v>
      </c>
    </row>
    <row r="6777" spans="1:15" x14ac:dyDescent="0.25">
      <c r="A6777" s="64" t="s">
        <v>195</v>
      </c>
      <c r="B6777" s="79" t="str">
        <f>IF('Twenty-Eighth'!B30="", "",'Twenty-Eighth'!B30)</f>
        <v>CSS</v>
      </c>
      <c r="C6777" s="66" t="str">
        <f>IF('Twenty-Eighth'!C30="", "",'Twenty-Eighth'!C30)</f>
        <v>PwC</v>
      </c>
      <c r="D6777" s="66" t="str">
        <f>IF('Twenty-Eighth'!D30="", "",'Twenty-Eighth'!D30)</f>
        <v>New</v>
      </c>
      <c r="E6777" s="66" t="str">
        <f>IF('Twenty-Eighth'!E30="", "",'Twenty-Eighth'!E30)</f>
        <v>Female</v>
      </c>
      <c r="F6777" s="66" t="str">
        <f>IF('Twenty-Eighth'!F30="", "",'Twenty-Eighth'!F30)</f>
        <v>Brain/CNS</v>
      </c>
      <c r="G6777" s="66" t="str">
        <f>IF('Twenty-Eighth'!G30="", "",'Twenty-Eighth'!G30)</f>
        <v>Curative Intent</v>
      </c>
      <c r="H6777" s="66" t="str">
        <f>IF('Twenty-Eighth'!H30="", "",'Twenty-Eighth'!H30)</f>
        <v>Drop-In</v>
      </c>
      <c r="I6777" s="66" t="str">
        <f>IF('Twenty-Eighth'!I30="", "",'Twenty-Eighth'!I30)</f>
        <v/>
      </c>
      <c r="J6777" s="66" t="str">
        <f>IF('Twenty-Eighth'!J30="", "",'Twenty-Eighth'!J30)</f>
        <v/>
      </c>
      <c r="K6777" s="86" t="str">
        <f>IF('Twenty-Eighth'!K30="", "",'Twenty-Eighth'!K30)</f>
        <v/>
      </c>
      <c r="M6777" s="67">
        <f t="shared" si="320"/>
        <v>7</v>
      </c>
      <c r="N6777" s="76" t="str">
        <f t="shared" si="321"/>
        <v/>
      </c>
      <c r="O6777" s="33">
        <f t="shared" si="322"/>
        <v>7</v>
      </c>
    </row>
    <row r="6778" spans="1:15" x14ac:dyDescent="0.25">
      <c r="A6778" s="64" t="s">
        <v>195</v>
      </c>
      <c r="B6778" s="79" t="str">
        <f>IF('Twenty-Eighth'!B31="", "",'Twenty-Eighth'!B31)</f>
        <v>CSS</v>
      </c>
      <c r="C6778" s="66" t="str">
        <f>IF('Twenty-Eighth'!C31="", "",'Twenty-Eighth'!C31)</f>
        <v>Carer</v>
      </c>
      <c r="D6778" s="66" t="str">
        <f>IF('Twenty-Eighth'!D31="", "",'Twenty-Eighth'!D31)</f>
        <v>New</v>
      </c>
      <c r="E6778" s="66" t="str">
        <f>IF('Twenty-Eighth'!E31="", "",'Twenty-Eighth'!E31)</f>
        <v>Male</v>
      </c>
      <c r="F6778" s="66" t="str">
        <f>IF('Twenty-Eighth'!F31="", "",'Twenty-Eighth'!F31)</f>
        <v>Brain/CNS</v>
      </c>
      <c r="G6778" s="66" t="str">
        <f>IF('Twenty-Eighth'!G31="", "",'Twenty-Eighth'!G31)</f>
        <v>Curative Intent</v>
      </c>
      <c r="H6778" s="66" t="str">
        <f>IF('Twenty-Eighth'!H31="", "",'Twenty-Eighth'!H31)</f>
        <v>Drop-In</v>
      </c>
      <c r="I6778" s="66" t="str">
        <f>IF('Twenty-Eighth'!I31="", "",'Twenty-Eighth'!I31)</f>
        <v/>
      </c>
      <c r="J6778" s="66" t="str">
        <f>IF('Twenty-Eighth'!J31="", "",'Twenty-Eighth'!J31)</f>
        <v/>
      </c>
      <c r="K6778" s="86" t="str">
        <f>IF('Twenty-Eighth'!K31="", "",'Twenty-Eighth'!K31)</f>
        <v/>
      </c>
      <c r="M6778" s="67" t="str">
        <f t="shared" si="320"/>
        <v/>
      </c>
      <c r="N6778" s="76">
        <f t="shared" si="321"/>
        <v>7</v>
      </c>
      <c r="O6778" s="33">
        <f t="shared" si="322"/>
        <v>7</v>
      </c>
    </row>
    <row r="6779" spans="1:15" x14ac:dyDescent="0.25">
      <c r="A6779" s="64" t="s">
        <v>195</v>
      </c>
      <c r="B6779" s="79" t="str">
        <f>IF('Twenty-Eighth'!B32="", "",'Twenty-Eighth'!B32)</f>
        <v>CSS</v>
      </c>
      <c r="C6779" s="66" t="str">
        <f>IF('Twenty-Eighth'!C32="", "",'Twenty-Eighth'!C32)</f>
        <v>PwC</v>
      </c>
      <c r="D6779" s="66" t="str">
        <f>IF('Twenty-Eighth'!D32="", "",'Twenty-Eighth'!D32)</f>
        <v>Returning</v>
      </c>
      <c r="E6779" s="66" t="str">
        <f>IF('Twenty-Eighth'!E32="", "",'Twenty-Eighth'!E32)</f>
        <v>Male</v>
      </c>
      <c r="F6779" s="66" t="str">
        <f>IF('Twenty-Eighth'!F32="", "",'Twenty-Eighth'!F32)</f>
        <v>Lower GI</v>
      </c>
      <c r="G6779" s="66" t="str">
        <f>IF('Twenty-Eighth'!G32="", "",'Twenty-Eighth'!G32)</f>
        <v>Curative Intent</v>
      </c>
      <c r="H6779" s="66" t="str">
        <f>IF('Twenty-Eighth'!H32="", "",'Twenty-Eighth'!H32)</f>
        <v>Drop-In</v>
      </c>
      <c r="I6779" s="66" t="str">
        <f>IF('Twenty-Eighth'!I32="", "",'Twenty-Eighth'!I32)</f>
        <v/>
      </c>
      <c r="J6779" s="66" t="str">
        <f>IF('Twenty-Eighth'!J32="", "",'Twenty-Eighth'!J32)</f>
        <v/>
      </c>
      <c r="K6779" s="86" t="str">
        <f>IF('Twenty-Eighth'!K32="", "",'Twenty-Eighth'!K32)</f>
        <v/>
      </c>
      <c r="M6779" s="67">
        <f t="shared" si="320"/>
        <v>7</v>
      </c>
      <c r="N6779" s="76" t="str">
        <f t="shared" si="321"/>
        <v/>
      </c>
      <c r="O6779" s="33">
        <f t="shared" si="322"/>
        <v>7</v>
      </c>
    </row>
    <row r="6780" spans="1:15" x14ac:dyDescent="0.25">
      <c r="A6780" s="64" t="s">
        <v>195</v>
      </c>
      <c r="B6780" s="79" t="str">
        <f>IF('Twenty-Eighth'!B33="", "",'Twenty-Eighth'!B33)</f>
        <v>Psychologist</v>
      </c>
      <c r="C6780" s="66" t="str">
        <f>IF('Twenty-Eighth'!C33="", "",'Twenty-Eighth'!C33)</f>
        <v>Carer</v>
      </c>
      <c r="D6780" s="66" t="str">
        <f>IF('Twenty-Eighth'!D33="", "",'Twenty-Eighth'!D33)</f>
        <v>Returning</v>
      </c>
      <c r="E6780" s="66" t="str">
        <f>IF('Twenty-Eighth'!E33="", "",'Twenty-Eighth'!E33)</f>
        <v>Female</v>
      </c>
      <c r="F6780" s="66" t="str">
        <f>IF('Twenty-Eighth'!F33="", "",'Twenty-Eighth'!F33)</f>
        <v>Lower GI</v>
      </c>
      <c r="G6780" s="66" t="str">
        <f>IF('Twenty-Eighth'!G33="", "",'Twenty-Eighth'!G33)</f>
        <v>Bereaved</v>
      </c>
      <c r="H6780" s="66" t="str">
        <f>IF('Twenty-Eighth'!H33="", "",'Twenty-Eighth'!H33)</f>
        <v>Booked</v>
      </c>
      <c r="I6780" s="66" t="str">
        <f>IF('Twenty-Eighth'!I33="", "",'Twenty-Eighth'!I33)</f>
        <v>Psych Support - Individual</v>
      </c>
      <c r="J6780" s="66" t="str">
        <f>IF('Twenty-Eighth'!J33="", "",'Twenty-Eighth'!J33)</f>
        <v>NG Haematology</v>
      </c>
      <c r="K6780" s="86" t="str">
        <f>IF('Twenty-Eighth'!K33="", "",'Twenty-Eighth'!K33)</f>
        <v/>
      </c>
      <c r="M6780" s="67" t="str">
        <f t="shared" si="320"/>
        <v/>
      </c>
      <c r="N6780" s="76">
        <f t="shared" si="321"/>
        <v>7</v>
      </c>
      <c r="O6780" s="33">
        <f t="shared" si="322"/>
        <v>7</v>
      </c>
    </row>
    <row r="6781" spans="1:15" x14ac:dyDescent="0.25">
      <c r="A6781" s="64" t="s">
        <v>195</v>
      </c>
      <c r="B6781" s="79" t="str">
        <f>IF('Twenty-Eighth'!B34="", "",'Twenty-Eighth'!B34)</f>
        <v>Psychologist</v>
      </c>
      <c r="C6781" s="66" t="str">
        <f>IF('Twenty-Eighth'!C34="", "",'Twenty-Eighth'!C34)</f>
        <v>Carer</v>
      </c>
      <c r="D6781" s="66" t="str">
        <f>IF('Twenty-Eighth'!D34="", "",'Twenty-Eighth'!D34)</f>
        <v>Returning</v>
      </c>
      <c r="E6781" s="66" t="str">
        <f>IF('Twenty-Eighth'!E34="", "",'Twenty-Eighth'!E34)</f>
        <v>Female</v>
      </c>
      <c r="F6781" s="66" t="str">
        <f>IF('Twenty-Eighth'!F34="", "",'Twenty-Eighth'!F34)</f>
        <v>Lower GI</v>
      </c>
      <c r="G6781" s="66" t="str">
        <f>IF('Twenty-Eighth'!G34="", "",'Twenty-Eighth'!G34)</f>
        <v>Bereaved</v>
      </c>
      <c r="H6781" s="66" t="str">
        <f>IF('Twenty-Eighth'!H34="", "",'Twenty-Eighth'!H34)</f>
        <v>Booked</v>
      </c>
      <c r="I6781" s="66" t="str">
        <f>IF('Twenty-Eighth'!I34="", "",'Twenty-Eighth'!I34)</f>
        <v>Psych Support - Individual</v>
      </c>
      <c r="J6781" s="66" t="str">
        <f>IF('Twenty-Eighth'!J34="", "",'Twenty-Eighth'!J34)</f>
        <v>NG Haematology</v>
      </c>
      <c r="K6781" s="86" t="str">
        <f>IF('Twenty-Eighth'!K34="", "",'Twenty-Eighth'!K34)</f>
        <v/>
      </c>
      <c r="M6781" s="67" t="str">
        <f t="shared" si="320"/>
        <v/>
      </c>
      <c r="N6781" s="76">
        <f t="shared" si="321"/>
        <v>7</v>
      </c>
      <c r="O6781" s="33">
        <f t="shared" si="322"/>
        <v>7</v>
      </c>
    </row>
    <row r="6782" spans="1:15" x14ac:dyDescent="0.25">
      <c r="A6782" s="64" t="s">
        <v>195</v>
      </c>
      <c r="B6782" s="79" t="str">
        <f>IF('Twenty-Eighth'!B35="", "",'Twenty-Eighth'!B35)</f>
        <v>Psychologist</v>
      </c>
      <c r="C6782" s="66" t="str">
        <f>IF('Twenty-Eighth'!C35="", "",'Twenty-Eighth'!C35)</f>
        <v>PwC</v>
      </c>
      <c r="D6782" s="66" t="str">
        <f>IF('Twenty-Eighth'!D35="", "",'Twenty-Eighth'!D35)</f>
        <v>Returning</v>
      </c>
      <c r="E6782" s="66" t="str">
        <f>IF('Twenty-Eighth'!E35="", "",'Twenty-Eighth'!E35)</f>
        <v>Female</v>
      </c>
      <c r="F6782" s="66" t="str">
        <f>IF('Twenty-Eighth'!F35="", "",'Twenty-Eighth'!F35)</f>
        <v>Breast</v>
      </c>
      <c r="G6782" s="66" t="str">
        <f>IF('Twenty-Eighth'!G35="", "",'Twenty-Eighth'!G35)</f>
        <v>Post Treatment - Curative Intent</v>
      </c>
      <c r="H6782" s="66" t="str">
        <f>IF('Twenty-Eighth'!H35="", "",'Twenty-Eighth'!H35)</f>
        <v>Booked</v>
      </c>
      <c r="I6782" s="66" t="str">
        <f>IF('Twenty-Eighth'!I35="", "",'Twenty-Eighth'!I35)</f>
        <v>Psych Support - Individual</v>
      </c>
      <c r="J6782" s="66" t="str">
        <f>IF('Twenty-Eighth'!J35="", "",'Twenty-Eighth'!J35)</f>
        <v>NG Haematology</v>
      </c>
      <c r="K6782" s="86" t="str">
        <f>IF('Twenty-Eighth'!K35="", "",'Twenty-Eighth'!K35)</f>
        <v/>
      </c>
      <c r="M6782" s="67">
        <f t="shared" si="320"/>
        <v>7</v>
      </c>
      <c r="N6782" s="76" t="str">
        <f t="shared" si="321"/>
        <v/>
      </c>
      <c r="O6782" s="33">
        <f t="shared" si="322"/>
        <v>7</v>
      </c>
    </row>
    <row r="6783" spans="1:15" x14ac:dyDescent="0.25">
      <c r="A6783" s="64" t="s">
        <v>195</v>
      </c>
      <c r="B6783" s="79" t="str">
        <f>IF('Twenty-Eighth'!B36="", "",'Twenty-Eighth'!B36)</f>
        <v>Psychologist</v>
      </c>
      <c r="C6783" s="66" t="str">
        <f>IF('Twenty-Eighth'!C36="", "",'Twenty-Eighth'!C36)</f>
        <v>PwC</v>
      </c>
      <c r="D6783" s="66" t="str">
        <f>IF('Twenty-Eighth'!D36="", "",'Twenty-Eighth'!D36)</f>
        <v>Returning</v>
      </c>
      <c r="E6783" s="66" t="str">
        <f>IF('Twenty-Eighth'!E36="", "",'Twenty-Eighth'!E36)</f>
        <v>Female</v>
      </c>
      <c r="F6783" s="66" t="str">
        <f>IF('Twenty-Eighth'!F36="", "",'Twenty-Eighth'!F36)</f>
        <v>Breast</v>
      </c>
      <c r="G6783" s="66" t="str">
        <f>IF('Twenty-Eighth'!G36="", "",'Twenty-Eighth'!G36)</f>
        <v>Post Treatment - Curative Intent</v>
      </c>
      <c r="H6783" s="66" t="str">
        <f>IF('Twenty-Eighth'!H36="", "",'Twenty-Eighth'!H36)</f>
        <v>Booked</v>
      </c>
      <c r="I6783" s="66" t="str">
        <f>IF('Twenty-Eighth'!I36="", "",'Twenty-Eighth'!I36)</f>
        <v>Psych Support - Individual</v>
      </c>
      <c r="J6783" s="66" t="str">
        <f>IF('Twenty-Eighth'!J36="", "",'Twenty-Eighth'!J36)</f>
        <v>NG Haematology</v>
      </c>
      <c r="K6783" s="86" t="str">
        <f>IF('Twenty-Eighth'!K36="", "",'Twenty-Eighth'!K36)</f>
        <v/>
      </c>
      <c r="M6783" s="67">
        <f t="shared" ref="M6783:M6846" si="323">IF(C6783="PwC",(7-COUNTIF(B6783:H6783,"")),"")</f>
        <v>7</v>
      </c>
      <c r="N6783" s="76" t="str">
        <f t="shared" ref="N6783:N6846" si="324">IF(C6783="Carer",(7-COUNTIF(B6783:H6783,"")),"")</f>
        <v/>
      </c>
      <c r="O6783" s="33">
        <f t="shared" si="322"/>
        <v>7</v>
      </c>
    </row>
    <row r="6784" spans="1:15" x14ac:dyDescent="0.25">
      <c r="A6784" s="64" t="s">
        <v>195</v>
      </c>
      <c r="B6784" s="79" t="str">
        <f>IF('Twenty-Eighth'!B37="", "",'Twenty-Eighth'!B37)</f>
        <v>Psychologist</v>
      </c>
      <c r="C6784" s="66" t="str">
        <f>IF('Twenty-Eighth'!C37="", "",'Twenty-Eighth'!C37)</f>
        <v>Carer</v>
      </c>
      <c r="D6784" s="66" t="str">
        <f>IF('Twenty-Eighth'!D37="", "",'Twenty-Eighth'!D37)</f>
        <v>Returning</v>
      </c>
      <c r="E6784" s="66" t="str">
        <f>IF('Twenty-Eighth'!E37="", "",'Twenty-Eighth'!E37)</f>
        <v>Male</v>
      </c>
      <c r="F6784" s="66" t="str">
        <f>IF('Twenty-Eighth'!F37="", "",'Twenty-Eighth'!F37)</f>
        <v>Breast</v>
      </c>
      <c r="G6784" s="66" t="str">
        <f>IF('Twenty-Eighth'!G37="", "",'Twenty-Eighth'!G37)</f>
        <v>Bereaved</v>
      </c>
      <c r="H6784" s="66" t="str">
        <f>IF('Twenty-Eighth'!H37="", "",'Twenty-Eighth'!H37)</f>
        <v>Booked</v>
      </c>
      <c r="I6784" s="66" t="str">
        <f>IF('Twenty-Eighth'!I37="", "",'Twenty-Eighth'!I37)</f>
        <v>Psych Support - Individual</v>
      </c>
      <c r="J6784" s="66" t="str">
        <f>IF('Twenty-Eighth'!J37="", "",'Twenty-Eighth'!J37)</f>
        <v>NG Haematology</v>
      </c>
      <c r="K6784" s="86" t="str">
        <f>IF('Twenty-Eighth'!K37="", "",'Twenty-Eighth'!K37)</f>
        <v/>
      </c>
      <c r="M6784" s="67" t="str">
        <f t="shared" si="323"/>
        <v/>
      </c>
      <c r="N6784" s="76">
        <f t="shared" si="324"/>
        <v>7</v>
      </c>
      <c r="O6784" s="33">
        <f t="shared" si="322"/>
        <v>7</v>
      </c>
    </row>
    <row r="6785" spans="1:15" x14ac:dyDescent="0.25">
      <c r="A6785" s="64" t="s">
        <v>195</v>
      </c>
      <c r="B6785" s="79" t="str">
        <f>IF('Twenty-Eighth'!B38="", "",'Twenty-Eighth'!B38)</f>
        <v>Centre Head</v>
      </c>
      <c r="C6785" s="66" t="str">
        <f>IF('Twenty-Eighth'!C38="", "",'Twenty-Eighth'!C38)</f>
        <v>PwC</v>
      </c>
      <c r="D6785" s="66" t="str">
        <f>IF('Twenty-Eighth'!D38="", "",'Twenty-Eighth'!D38)</f>
        <v>Returning</v>
      </c>
      <c r="E6785" s="66" t="str">
        <f>IF('Twenty-Eighth'!E38="", "",'Twenty-Eighth'!E38)</f>
        <v>Female</v>
      </c>
      <c r="F6785" s="66" t="str">
        <f>IF('Twenty-Eighth'!F38="", "",'Twenty-Eighth'!F38)</f>
        <v>Breast</v>
      </c>
      <c r="G6785" s="66" t="str">
        <f>IF('Twenty-Eighth'!G38="", "",'Twenty-Eighth'!G38)</f>
        <v>Non-Curative Intent</v>
      </c>
      <c r="H6785" s="66" t="str">
        <f>IF('Twenty-Eighth'!H38="", "",'Twenty-Eighth'!H38)</f>
        <v>Programme</v>
      </c>
      <c r="I6785" s="66" t="str">
        <f>IF('Twenty-Eighth'!I38="", "",'Twenty-Eighth'!I38)</f>
        <v>Relaxation</v>
      </c>
      <c r="J6785" s="66" t="str">
        <f>IF('Twenty-Eighth'!J38="", "",'Twenty-Eighth'!J38)</f>
        <v/>
      </c>
      <c r="K6785" s="86" t="str">
        <f>IF('Twenty-Eighth'!K38="", "",'Twenty-Eighth'!K38)</f>
        <v/>
      </c>
      <c r="M6785" s="67">
        <f t="shared" si="323"/>
        <v>7</v>
      </c>
      <c r="N6785" s="76" t="str">
        <f t="shared" si="324"/>
        <v/>
      </c>
      <c r="O6785" s="33">
        <f t="shared" si="322"/>
        <v>7</v>
      </c>
    </row>
    <row r="6786" spans="1:15" x14ac:dyDescent="0.25">
      <c r="A6786" s="64" t="s">
        <v>195</v>
      </c>
      <c r="B6786" s="79" t="str">
        <f>IF('Twenty-Eighth'!B39="", "",'Twenty-Eighth'!B39)</f>
        <v>Centre Head</v>
      </c>
      <c r="C6786" s="66" t="str">
        <f>IF('Twenty-Eighth'!C39="", "",'Twenty-Eighth'!C39)</f>
        <v>Carer</v>
      </c>
      <c r="D6786" s="66" t="str">
        <f>IF('Twenty-Eighth'!D39="", "",'Twenty-Eighth'!D39)</f>
        <v>Returning</v>
      </c>
      <c r="E6786" s="66" t="str">
        <f>IF('Twenty-Eighth'!E39="", "",'Twenty-Eighth'!E39)</f>
        <v>Male</v>
      </c>
      <c r="F6786" s="66" t="str">
        <f>IF('Twenty-Eighth'!F39="", "",'Twenty-Eighth'!F39)</f>
        <v>Breast</v>
      </c>
      <c r="G6786" s="66" t="str">
        <f>IF('Twenty-Eighth'!G39="", "",'Twenty-Eighth'!G39)</f>
        <v>Non-Curative Intent</v>
      </c>
      <c r="H6786" s="66" t="str">
        <f>IF('Twenty-Eighth'!H39="", "",'Twenty-Eighth'!H39)</f>
        <v>Programme</v>
      </c>
      <c r="I6786" s="66" t="str">
        <f>IF('Twenty-Eighth'!I39="", "",'Twenty-Eighth'!I39)</f>
        <v>Relaxation</v>
      </c>
      <c r="J6786" s="66" t="str">
        <f>IF('Twenty-Eighth'!J39="", "",'Twenty-Eighth'!J39)</f>
        <v/>
      </c>
      <c r="K6786" s="86" t="str">
        <f>IF('Twenty-Eighth'!K39="", "",'Twenty-Eighth'!K39)</f>
        <v/>
      </c>
      <c r="M6786" s="67" t="str">
        <f t="shared" si="323"/>
        <v/>
      </c>
      <c r="N6786" s="76">
        <f t="shared" si="324"/>
        <v>7</v>
      </c>
      <c r="O6786" s="33">
        <f t="shared" si="322"/>
        <v>7</v>
      </c>
    </row>
    <row r="6787" spans="1:15" x14ac:dyDescent="0.25">
      <c r="A6787" s="64" t="s">
        <v>195</v>
      </c>
      <c r="B6787" s="79" t="str">
        <f>IF('Twenty-Eighth'!B40="", "",'Twenty-Eighth'!B40)</f>
        <v>Centre Head</v>
      </c>
      <c r="C6787" s="66" t="str">
        <f>IF('Twenty-Eighth'!C40="", "",'Twenty-Eighth'!C40)</f>
        <v>PwC</v>
      </c>
      <c r="D6787" s="66" t="str">
        <f>IF('Twenty-Eighth'!D40="", "",'Twenty-Eighth'!D40)</f>
        <v>Returning</v>
      </c>
      <c r="E6787" s="66" t="str">
        <f>IF('Twenty-Eighth'!E40="", "",'Twenty-Eighth'!E40)</f>
        <v>Female</v>
      </c>
      <c r="F6787" s="66" t="str">
        <f>IF('Twenty-Eighth'!F40="", "",'Twenty-Eighth'!F40)</f>
        <v>Breast</v>
      </c>
      <c r="G6787" s="66" t="str">
        <f>IF('Twenty-Eighth'!G40="", "",'Twenty-Eighth'!G40)</f>
        <v>Curative Intent</v>
      </c>
      <c r="H6787" s="66" t="str">
        <f>IF('Twenty-Eighth'!H40="", "",'Twenty-Eighth'!H40)</f>
        <v>Programme</v>
      </c>
      <c r="I6787" s="66" t="str">
        <f>IF('Twenty-Eighth'!I40="", "",'Twenty-Eighth'!I40)</f>
        <v>Relaxation</v>
      </c>
      <c r="J6787" s="66" t="str">
        <f>IF('Twenty-Eighth'!J40="", "",'Twenty-Eighth'!J40)</f>
        <v>NG Haematology</v>
      </c>
      <c r="K6787" s="86" t="str">
        <f>IF('Twenty-Eighth'!K40="", "",'Twenty-Eighth'!K40)</f>
        <v/>
      </c>
      <c r="M6787" s="67">
        <f t="shared" si="323"/>
        <v>7</v>
      </c>
      <c r="N6787" s="76" t="str">
        <f t="shared" si="324"/>
        <v/>
      </c>
      <c r="O6787" s="33">
        <f t="shared" si="322"/>
        <v>7</v>
      </c>
    </row>
    <row r="6788" spans="1:15" x14ac:dyDescent="0.25">
      <c r="A6788" s="64" t="s">
        <v>195</v>
      </c>
      <c r="B6788" s="79" t="str">
        <f>IF('Twenty-Eighth'!B41="", "",'Twenty-Eighth'!B41)</f>
        <v>Centre Head</v>
      </c>
      <c r="C6788" s="66" t="str">
        <f>IF('Twenty-Eighth'!C41="", "",'Twenty-Eighth'!C41)</f>
        <v>PwC</v>
      </c>
      <c r="D6788" s="66" t="str">
        <f>IF('Twenty-Eighth'!D41="", "",'Twenty-Eighth'!D41)</f>
        <v>Returning</v>
      </c>
      <c r="E6788" s="66" t="str">
        <f>IF('Twenty-Eighth'!E41="", "",'Twenty-Eighth'!E41)</f>
        <v>Female</v>
      </c>
      <c r="F6788" s="66" t="str">
        <f>IF('Twenty-Eighth'!F41="", "",'Twenty-Eighth'!F41)</f>
        <v>Gynae</v>
      </c>
      <c r="G6788" s="66" t="str">
        <f>IF('Twenty-Eighth'!G41="", "",'Twenty-Eighth'!G41)</f>
        <v>Curative Intent</v>
      </c>
      <c r="H6788" s="66" t="str">
        <f>IF('Twenty-Eighth'!H41="", "",'Twenty-Eighth'!H41)</f>
        <v>Programme</v>
      </c>
      <c r="I6788" s="66" t="str">
        <f>IF('Twenty-Eighth'!I41="", "",'Twenty-Eighth'!I41)</f>
        <v>Relaxation</v>
      </c>
      <c r="J6788" s="66" t="str">
        <f>IF('Twenty-Eighth'!J41="", "",'Twenty-Eighth'!J41)</f>
        <v>NG Haematology</v>
      </c>
      <c r="K6788" s="86" t="str">
        <f>IF('Twenty-Eighth'!K41="", "",'Twenty-Eighth'!K41)</f>
        <v/>
      </c>
      <c r="M6788" s="67">
        <f t="shared" si="323"/>
        <v>7</v>
      </c>
      <c r="N6788" s="76" t="str">
        <f t="shared" si="324"/>
        <v/>
      </c>
      <c r="O6788" s="33">
        <f t="shared" si="322"/>
        <v>7</v>
      </c>
    </row>
    <row r="6789" spans="1:15" x14ac:dyDescent="0.25">
      <c r="A6789" s="64" t="s">
        <v>195</v>
      </c>
      <c r="B6789" s="79" t="str">
        <f>IF('Twenty-Eighth'!B42="", "",'Twenty-Eighth'!B42)</f>
        <v>Centre Head</v>
      </c>
      <c r="C6789" s="66" t="str">
        <f>IF('Twenty-Eighth'!C42="", "",'Twenty-Eighth'!C42)</f>
        <v>PwC</v>
      </c>
      <c r="D6789" s="66" t="str">
        <f>IF('Twenty-Eighth'!D42="", "",'Twenty-Eighth'!D42)</f>
        <v>Returning</v>
      </c>
      <c r="E6789" s="66" t="str">
        <f>IF('Twenty-Eighth'!E42="", "",'Twenty-Eighth'!E42)</f>
        <v>Female</v>
      </c>
      <c r="F6789" s="66" t="str">
        <f>IF('Twenty-Eighth'!F42="", "",'Twenty-Eighth'!F42)</f>
        <v>Haemat</v>
      </c>
      <c r="G6789" s="66" t="str">
        <f>IF('Twenty-Eighth'!G42="", "",'Twenty-Eighth'!G42)</f>
        <v>Non-Curative Intent</v>
      </c>
      <c r="H6789" s="66" t="str">
        <f>IF('Twenty-Eighth'!H42="", "",'Twenty-Eighth'!H42)</f>
        <v>Programme</v>
      </c>
      <c r="I6789" s="66" t="str">
        <f>IF('Twenty-Eighth'!I42="", "",'Twenty-Eighth'!I42)</f>
        <v>Relaxation</v>
      </c>
      <c r="J6789" s="66" t="str">
        <f>IF('Twenty-Eighth'!J42="", "",'Twenty-Eighth'!J42)</f>
        <v/>
      </c>
      <c r="K6789" s="86" t="str">
        <f>IF('Twenty-Eighth'!K42="", "",'Twenty-Eighth'!K42)</f>
        <v/>
      </c>
      <c r="M6789" s="67">
        <f t="shared" si="323"/>
        <v>7</v>
      </c>
      <c r="N6789" s="76" t="str">
        <f t="shared" si="324"/>
        <v/>
      </c>
      <c r="O6789" s="33">
        <f t="shared" si="322"/>
        <v>7</v>
      </c>
    </row>
    <row r="6790" spans="1:15" x14ac:dyDescent="0.25">
      <c r="A6790" s="64" t="s">
        <v>195</v>
      </c>
      <c r="B6790" s="79" t="str">
        <f>IF('Twenty-Eighth'!B43="", "",'Twenty-Eighth'!B43)</f>
        <v>Centre Head</v>
      </c>
      <c r="C6790" s="66" t="str">
        <f>IF('Twenty-Eighth'!C43="", "",'Twenty-Eighth'!C43)</f>
        <v>PwC</v>
      </c>
      <c r="D6790" s="66" t="str">
        <f>IF('Twenty-Eighth'!D43="", "",'Twenty-Eighth'!D43)</f>
        <v>Returning</v>
      </c>
      <c r="E6790" s="66" t="str">
        <f>IF('Twenty-Eighth'!E43="", "",'Twenty-Eighth'!E43)</f>
        <v>Female</v>
      </c>
      <c r="F6790" s="66" t="str">
        <f>IF('Twenty-Eighth'!F43="", "",'Twenty-Eighth'!F43)</f>
        <v>Gynae</v>
      </c>
      <c r="G6790" s="66" t="str">
        <f>IF('Twenty-Eighth'!G43="", "",'Twenty-Eighth'!G43)</f>
        <v>Non-Curative Intent</v>
      </c>
      <c r="H6790" s="66" t="str">
        <f>IF('Twenty-Eighth'!H43="", "",'Twenty-Eighth'!H43)</f>
        <v>Programme</v>
      </c>
      <c r="I6790" s="66" t="str">
        <f>IF('Twenty-Eighth'!I43="", "",'Twenty-Eighth'!I43)</f>
        <v>Relaxation</v>
      </c>
      <c r="J6790" s="66" t="str">
        <f>IF('Twenty-Eighth'!J43="", "",'Twenty-Eighth'!J43)</f>
        <v/>
      </c>
      <c r="K6790" s="86" t="str">
        <f>IF('Twenty-Eighth'!K43="", "",'Twenty-Eighth'!K43)</f>
        <v/>
      </c>
      <c r="M6790" s="67">
        <f t="shared" si="323"/>
        <v>7</v>
      </c>
      <c r="N6790" s="76" t="str">
        <f t="shared" si="324"/>
        <v/>
      </c>
      <c r="O6790" s="33">
        <f t="shared" si="322"/>
        <v>7</v>
      </c>
    </row>
    <row r="6791" spans="1:15" x14ac:dyDescent="0.25">
      <c r="A6791" s="64" t="s">
        <v>195</v>
      </c>
      <c r="B6791" s="79" t="str">
        <f>IF('Twenty-Eighth'!B44="", "",'Twenty-Eighth'!B44)</f>
        <v>Centre Head</v>
      </c>
      <c r="C6791" s="66" t="str">
        <f>IF('Twenty-Eighth'!C44="", "",'Twenty-Eighth'!C44)</f>
        <v>Carer</v>
      </c>
      <c r="D6791" s="66" t="str">
        <f>IF('Twenty-Eighth'!D44="", "",'Twenty-Eighth'!D44)</f>
        <v>Returning</v>
      </c>
      <c r="E6791" s="66" t="str">
        <f>IF('Twenty-Eighth'!E44="", "",'Twenty-Eighth'!E44)</f>
        <v>Male</v>
      </c>
      <c r="F6791" s="66" t="str">
        <f>IF('Twenty-Eighth'!F44="", "",'Twenty-Eighth'!F44)</f>
        <v>Lung</v>
      </c>
      <c r="G6791" s="66" t="str">
        <f>IF('Twenty-Eighth'!G44="", "",'Twenty-Eighth'!G44)</f>
        <v>Non-Curative Intent</v>
      </c>
      <c r="H6791" s="66" t="str">
        <f>IF('Twenty-Eighth'!H44="", "",'Twenty-Eighth'!H44)</f>
        <v>Programme</v>
      </c>
      <c r="I6791" s="66" t="str">
        <f>IF('Twenty-Eighth'!I44="", "",'Twenty-Eighth'!I44)</f>
        <v>Relaxation</v>
      </c>
      <c r="J6791" s="66" t="str">
        <f>IF('Twenty-Eighth'!J44="", "",'Twenty-Eighth'!J44)</f>
        <v/>
      </c>
      <c r="K6791" s="86" t="str">
        <f>IF('Twenty-Eighth'!K44="", "",'Twenty-Eighth'!K44)</f>
        <v/>
      </c>
      <c r="M6791" s="67" t="str">
        <f t="shared" si="323"/>
        <v/>
      </c>
      <c r="N6791" s="76">
        <f t="shared" si="324"/>
        <v>7</v>
      </c>
      <c r="O6791" s="33">
        <f t="shared" si="322"/>
        <v>7</v>
      </c>
    </row>
    <row r="6792" spans="1:15" x14ac:dyDescent="0.25">
      <c r="A6792" s="64" t="s">
        <v>195</v>
      </c>
      <c r="B6792" s="79" t="str">
        <f>IF('Twenty-Eighth'!B45="", "",'Twenty-Eighth'!B45)</f>
        <v>Centre Head</v>
      </c>
      <c r="C6792" s="66" t="str">
        <f>IF('Twenty-Eighth'!C45="", "",'Twenty-Eighth'!C45)</f>
        <v>PwC</v>
      </c>
      <c r="D6792" s="66" t="str">
        <f>IF('Twenty-Eighth'!D45="", "",'Twenty-Eighth'!D45)</f>
        <v>Returning</v>
      </c>
      <c r="E6792" s="66" t="str">
        <f>IF('Twenty-Eighth'!E45="", "",'Twenty-Eighth'!E45)</f>
        <v>Female</v>
      </c>
      <c r="F6792" s="66" t="str">
        <f>IF('Twenty-Eighth'!F45="", "",'Twenty-Eighth'!F45)</f>
        <v>Breast</v>
      </c>
      <c r="G6792" s="66" t="str">
        <f>IF('Twenty-Eighth'!G45="", "",'Twenty-Eighth'!G45)</f>
        <v>Curative Intent</v>
      </c>
      <c r="H6792" s="66" t="str">
        <f>IF('Twenty-Eighth'!H45="", "",'Twenty-Eighth'!H45)</f>
        <v>Programme</v>
      </c>
      <c r="I6792" s="66" t="str">
        <f>IF('Twenty-Eighth'!I45="", "",'Twenty-Eighth'!I45)</f>
        <v>Relaxation</v>
      </c>
      <c r="J6792" s="66" t="str">
        <f>IF('Twenty-Eighth'!J45="", "",'Twenty-Eighth'!J45)</f>
        <v>NG Haematology</v>
      </c>
      <c r="K6792" s="86" t="str">
        <f>IF('Twenty-Eighth'!K45="", "",'Twenty-Eighth'!K45)</f>
        <v/>
      </c>
      <c r="M6792" s="67">
        <f t="shared" si="323"/>
        <v>7</v>
      </c>
      <c r="N6792" s="76" t="str">
        <f t="shared" si="324"/>
        <v/>
      </c>
      <c r="O6792" s="33">
        <f t="shared" si="322"/>
        <v>7</v>
      </c>
    </row>
    <row r="6793" spans="1:15" x14ac:dyDescent="0.25">
      <c r="A6793" s="64" t="s">
        <v>195</v>
      </c>
      <c r="B6793" s="79" t="str">
        <f>IF('Twenty-Eighth'!B46="", "",'Twenty-Eighth'!B46)</f>
        <v>Centre Head</v>
      </c>
      <c r="C6793" s="66" t="str">
        <f>IF('Twenty-Eighth'!C46="", "",'Twenty-Eighth'!C46)</f>
        <v>PwC</v>
      </c>
      <c r="D6793" s="66" t="str">
        <f>IF('Twenty-Eighth'!D46="", "",'Twenty-Eighth'!D46)</f>
        <v>Returning</v>
      </c>
      <c r="E6793" s="66" t="str">
        <f>IF('Twenty-Eighth'!E46="", "",'Twenty-Eighth'!E46)</f>
        <v>Male</v>
      </c>
      <c r="F6793" s="66" t="str">
        <f>IF('Twenty-Eighth'!F46="", "",'Twenty-Eighth'!F46)</f>
        <v>Brain/CNS</v>
      </c>
      <c r="G6793" s="66" t="str">
        <f>IF('Twenty-Eighth'!G46="", "",'Twenty-Eighth'!G46)</f>
        <v>Curative Intent</v>
      </c>
      <c r="H6793" s="66" t="str">
        <f>IF('Twenty-Eighth'!H46="", "",'Twenty-Eighth'!H46)</f>
        <v>Programme</v>
      </c>
      <c r="I6793" s="66" t="str">
        <f>IF('Twenty-Eighth'!I46="", "",'Twenty-Eighth'!I46)</f>
        <v>Relaxation</v>
      </c>
      <c r="J6793" s="66" t="str">
        <f>IF('Twenty-Eighth'!J46="", "",'Twenty-Eighth'!J46)</f>
        <v>NG Haematology</v>
      </c>
      <c r="K6793" s="86" t="str">
        <f>IF('Twenty-Eighth'!K46="", "",'Twenty-Eighth'!K46)</f>
        <v/>
      </c>
      <c r="M6793" s="67">
        <f t="shared" si="323"/>
        <v>7</v>
      </c>
      <c r="N6793" s="76" t="str">
        <f t="shared" si="324"/>
        <v/>
      </c>
      <c r="O6793" s="33">
        <f t="shared" si="322"/>
        <v>7</v>
      </c>
    </row>
    <row r="6794" spans="1:15" x14ac:dyDescent="0.25">
      <c r="A6794" s="64" t="s">
        <v>195</v>
      </c>
      <c r="B6794" s="79" t="str">
        <f>IF('Twenty-Eighth'!B47="", "",'Twenty-Eighth'!B47)</f>
        <v>Centre Head</v>
      </c>
      <c r="C6794" s="66" t="str">
        <f>IF('Twenty-Eighth'!C47="", "",'Twenty-Eighth'!C47)</f>
        <v>PwC</v>
      </c>
      <c r="D6794" s="66" t="str">
        <f>IF('Twenty-Eighth'!D47="", "",'Twenty-Eighth'!D47)</f>
        <v>New</v>
      </c>
      <c r="E6794" s="66" t="str">
        <f>IF('Twenty-Eighth'!E47="", "",'Twenty-Eighth'!E47)</f>
        <v>Male</v>
      </c>
      <c r="F6794" s="66" t="str">
        <f>IF('Twenty-Eighth'!F47="", "",'Twenty-Eighth'!F47)</f>
        <v>Brain/CNS</v>
      </c>
      <c r="G6794" s="66" t="str">
        <f>IF('Twenty-Eighth'!G47="", "",'Twenty-Eighth'!G47)</f>
        <v>Curative Intent</v>
      </c>
      <c r="H6794" s="66" t="str">
        <f>IF('Twenty-Eighth'!H47="", "",'Twenty-Eighth'!H47)</f>
        <v>Booked</v>
      </c>
      <c r="I6794" s="66" t="str">
        <f>IF('Twenty-Eighth'!I47="", "",'Twenty-Eighth'!I47)</f>
        <v>Psych Support - Family</v>
      </c>
      <c r="J6794" s="66" t="str">
        <f>IF('Twenty-Eighth'!J47="", "",'Twenty-Eighth'!J47)</f>
        <v>NG Haematology</v>
      </c>
      <c r="K6794" s="86" t="str">
        <f>IF('Twenty-Eighth'!K47="", "",'Twenty-Eighth'!K47)</f>
        <v/>
      </c>
      <c r="M6794" s="67">
        <f t="shared" si="323"/>
        <v>7</v>
      </c>
      <c r="N6794" s="76" t="str">
        <f t="shared" si="324"/>
        <v/>
      </c>
      <c r="O6794" s="33">
        <f t="shared" ref="O6794:O6857" si="325">SUM(M6794:N6794)</f>
        <v>7</v>
      </c>
    </row>
    <row r="6795" spans="1:15" x14ac:dyDescent="0.25">
      <c r="A6795" s="64" t="s">
        <v>195</v>
      </c>
      <c r="B6795" s="79" t="str">
        <f>IF('Twenty-Eighth'!B48="", "",'Twenty-Eighth'!B48)</f>
        <v>Centre Head</v>
      </c>
      <c r="C6795" s="66" t="str">
        <f>IF('Twenty-Eighth'!C48="", "",'Twenty-Eighth'!C48)</f>
        <v>Carer</v>
      </c>
      <c r="D6795" s="66" t="str">
        <f>IF('Twenty-Eighth'!D48="", "",'Twenty-Eighth'!D48)</f>
        <v>New</v>
      </c>
      <c r="E6795" s="66" t="str">
        <f>IF('Twenty-Eighth'!E48="", "",'Twenty-Eighth'!E48)</f>
        <v>Male</v>
      </c>
      <c r="F6795" s="66" t="str">
        <f>IF('Twenty-Eighth'!F48="", "",'Twenty-Eighth'!F48)</f>
        <v>Brain/CNS</v>
      </c>
      <c r="G6795" s="66" t="str">
        <f>IF('Twenty-Eighth'!G48="", "",'Twenty-Eighth'!G48)</f>
        <v>Curative Intent</v>
      </c>
      <c r="H6795" s="66" t="str">
        <f>IF('Twenty-Eighth'!H48="", "",'Twenty-Eighth'!H48)</f>
        <v>Booked</v>
      </c>
      <c r="I6795" s="66" t="str">
        <f>IF('Twenty-Eighth'!I48="", "",'Twenty-Eighth'!I48)</f>
        <v>Psych Support - Family</v>
      </c>
      <c r="J6795" s="66" t="str">
        <f>IF('Twenty-Eighth'!J48="", "",'Twenty-Eighth'!J48)</f>
        <v/>
      </c>
      <c r="K6795" s="86" t="str">
        <f>IF('Twenty-Eighth'!K48="", "",'Twenty-Eighth'!K48)</f>
        <v/>
      </c>
      <c r="M6795" s="67" t="str">
        <f t="shared" si="323"/>
        <v/>
      </c>
      <c r="N6795" s="76">
        <f t="shared" si="324"/>
        <v>7</v>
      </c>
      <c r="O6795" s="33">
        <f t="shared" si="325"/>
        <v>7</v>
      </c>
    </row>
    <row r="6796" spans="1:15" x14ac:dyDescent="0.25">
      <c r="A6796" s="64" t="s">
        <v>195</v>
      </c>
      <c r="B6796" s="79" t="str">
        <f>IF('Twenty-Eighth'!B49="", "",'Twenty-Eighth'!B49)</f>
        <v>Centre Head</v>
      </c>
      <c r="C6796" s="66" t="str">
        <f>IF('Twenty-Eighth'!C49="", "",'Twenty-Eighth'!C49)</f>
        <v>Carer</v>
      </c>
      <c r="D6796" s="66" t="str">
        <f>IF('Twenty-Eighth'!D49="", "",'Twenty-Eighth'!D49)</f>
        <v>New</v>
      </c>
      <c r="E6796" s="66" t="str">
        <f>IF('Twenty-Eighth'!E49="", "",'Twenty-Eighth'!E49)</f>
        <v>Female</v>
      </c>
      <c r="F6796" s="66" t="str">
        <f>IF('Twenty-Eighth'!F49="", "",'Twenty-Eighth'!F49)</f>
        <v>Brain/CNS</v>
      </c>
      <c r="G6796" s="66" t="str">
        <f>IF('Twenty-Eighth'!G49="", "",'Twenty-Eighth'!G49)</f>
        <v>Curative Intent</v>
      </c>
      <c r="H6796" s="66" t="str">
        <f>IF('Twenty-Eighth'!H49="", "",'Twenty-Eighth'!H49)</f>
        <v>Booked</v>
      </c>
      <c r="I6796" s="66" t="str">
        <f>IF('Twenty-Eighth'!I49="", "",'Twenty-Eighth'!I49)</f>
        <v>Psych Support - Family</v>
      </c>
      <c r="J6796" s="66" t="str">
        <f>IF('Twenty-Eighth'!J49="", "",'Twenty-Eighth'!J49)</f>
        <v/>
      </c>
      <c r="K6796" s="86" t="str">
        <f>IF('Twenty-Eighth'!K49="", "",'Twenty-Eighth'!K49)</f>
        <v/>
      </c>
      <c r="M6796" s="67" t="str">
        <f t="shared" si="323"/>
        <v/>
      </c>
      <c r="N6796" s="76">
        <f t="shared" si="324"/>
        <v>7</v>
      </c>
      <c r="O6796" s="33">
        <f t="shared" si="325"/>
        <v>7</v>
      </c>
    </row>
    <row r="6797" spans="1:15" x14ac:dyDescent="0.25">
      <c r="A6797" s="64" t="s">
        <v>195</v>
      </c>
      <c r="B6797" s="79" t="str">
        <f>IF('Twenty-Eighth'!B50="", "",'Twenty-Eighth'!B50)</f>
        <v>Centre Head</v>
      </c>
      <c r="C6797" s="66" t="str">
        <f>IF('Twenty-Eighth'!C50="", "",'Twenty-Eighth'!C50)</f>
        <v>Carer</v>
      </c>
      <c r="D6797" s="66" t="str">
        <f>IF('Twenty-Eighth'!D50="", "",'Twenty-Eighth'!D50)</f>
        <v>New</v>
      </c>
      <c r="E6797" s="66" t="str">
        <f>IF('Twenty-Eighth'!E50="", "",'Twenty-Eighth'!E50)</f>
        <v>Female</v>
      </c>
      <c r="F6797" s="66" t="str">
        <f>IF('Twenty-Eighth'!F50="", "",'Twenty-Eighth'!F50)</f>
        <v>Haemat</v>
      </c>
      <c r="G6797" s="66" t="str">
        <f>IF('Twenty-Eighth'!G50="", "",'Twenty-Eighth'!G50)</f>
        <v>Bereaved</v>
      </c>
      <c r="H6797" s="66" t="str">
        <f>IF('Twenty-Eighth'!H50="", "",'Twenty-Eighth'!H50)</f>
        <v>Booked</v>
      </c>
      <c r="I6797" s="66" t="str">
        <f>IF('Twenty-Eighth'!I50="", "",'Twenty-Eighth'!I50)</f>
        <v>Psych Support - Individual</v>
      </c>
      <c r="J6797" s="66" t="str">
        <f>IF('Twenty-Eighth'!J50="", "",'Twenty-Eighth'!J50)</f>
        <v/>
      </c>
      <c r="K6797" s="86" t="str">
        <f>IF('Twenty-Eighth'!K50="", "",'Twenty-Eighth'!K50)</f>
        <v/>
      </c>
      <c r="M6797" s="67" t="str">
        <f t="shared" si="323"/>
        <v/>
      </c>
      <c r="N6797" s="76">
        <f t="shared" si="324"/>
        <v>7</v>
      </c>
      <c r="O6797" s="33">
        <f t="shared" si="325"/>
        <v>7</v>
      </c>
    </row>
    <row r="6798" spans="1:15" x14ac:dyDescent="0.25">
      <c r="A6798" s="64" t="s">
        <v>195</v>
      </c>
      <c r="B6798" s="79" t="str">
        <f>IF('Twenty-Eighth'!B51="", "",'Twenty-Eighth'!B51)</f>
        <v>Centre Head</v>
      </c>
      <c r="C6798" s="66" t="str">
        <f>IF('Twenty-Eighth'!C51="", "",'Twenty-Eighth'!C51)</f>
        <v>Carer</v>
      </c>
      <c r="D6798" s="66" t="str">
        <f>IF('Twenty-Eighth'!D51="", "",'Twenty-Eighth'!D51)</f>
        <v>Returning</v>
      </c>
      <c r="E6798" s="66" t="str">
        <f>IF('Twenty-Eighth'!E51="", "",'Twenty-Eighth'!E51)</f>
        <v>Female</v>
      </c>
      <c r="F6798" s="66" t="str">
        <f>IF('Twenty-Eighth'!F51="", "",'Twenty-Eighth'!F51)</f>
        <v>Haemat</v>
      </c>
      <c r="G6798" s="66" t="str">
        <f>IF('Twenty-Eighth'!G51="", "",'Twenty-Eighth'!G51)</f>
        <v>Bereaved</v>
      </c>
      <c r="H6798" s="66" t="str">
        <f>IF('Twenty-Eighth'!H51="", "",'Twenty-Eighth'!H51)</f>
        <v>Booked</v>
      </c>
      <c r="I6798" s="66" t="str">
        <f>IF('Twenty-Eighth'!I51="", "",'Twenty-Eighth'!I51)</f>
        <v>Psych Support - Individual</v>
      </c>
      <c r="J6798" s="66" t="str">
        <f>IF('Twenty-Eighth'!J51="", "",'Twenty-Eighth'!J51)</f>
        <v/>
      </c>
      <c r="K6798" s="86" t="str">
        <f>IF('Twenty-Eighth'!K51="", "",'Twenty-Eighth'!K51)</f>
        <v/>
      </c>
      <c r="M6798" s="67" t="str">
        <f t="shared" si="323"/>
        <v/>
      </c>
      <c r="N6798" s="76">
        <f t="shared" si="324"/>
        <v>7</v>
      </c>
      <c r="O6798" s="33">
        <f t="shared" si="325"/>
        <v>7</v>
      </c>
    </row>
    <row r="6799" spans="1:15" x14ac:dyDescent="0.25">
      <c r="A6799" s="64" t="s">
        <v>195</v>
      </c>
      <c r="B6799" s="79" t="str">
        <f>IF('Twenty-Eighth'!B52="", "",'Twenty-Eighth'!B52)</f>
        <v/>
      </c>
      <c r="C6799" s="66" t="str">
        <f>IF('Twenty-Eighth'!C52="", "",'Twenty-Eighth'!C52)</f>
        <v/>
      </c>
      <c r="D6799" s="66" t="str">
        <f>IF('Twenty-Eighth'!D52="", "",'Twenty-Eighth'!D52)</f>
        <v/>
      </c>
      <c r="E6799" s="66" t="str">
        <f>IF('Twenty-Eighth'!E52="", "",'Twenty-Eighth'!E52)</f>
        <v/>
      </c>
      <c r="F6799" s="66" t="str">
        <f>IF('Twenty-Eighth'!F52="", "",'Twenty-Eighth'!F52)</f>
        <v/>
      </c>
      <c r="G6799" s="66" t="str">
        <f>IF('Twenty-Eighth'!G52="", "",'Twenty-Eighth'!G52)</f>
        <v/>
      </c>
      <c r="H6799" s="66" t="str">
        <f>IF('Twenty-Eighth'!H52="", "",'Twenty-Eighth'!H52)</f>
        <v/>
      </c>
      <c r="I6799" s="66" t="str">
        <f>IF('Twenty-Eighth'!I52="", "",'Twenty-Eighth'!I52)</f>
        <v/>
      </c>
      <c r="J6799" s="66" t="str">
        <f>IF('Twenty-Eighth'!J52="", "",'Twenty-Eighth'!J52)</f>
        <v/>
      </c>
      <c r="K6799" s="86" t="str">
        <f>IF('Twenty-Eighth'!K52="", "",'Twenty-Eighth'!K52)</f>
        <v/>
      </c>
      <c r="M6799" s="67" t="str">
        <f t="shared" si="323"/>
        <v/>
      </c>
      <c r="N6799" s="76" t="str">
        <f t="shared" si="324"/>
        <v/>
      </c>
      <c r="O6799" s="33">
        <f t="shared" si="325"/>
        <v>0</v>
      </c>
    </row>
    <row r="6800" spans="1:15" x14ac:dyDescent="0.25">
      <c r="A6800" s="64" t="s">
        <v>195</v>
      </c>
      <c r="B6800" s="79" t="str">
        <f>IF('Twenty-Eighth'!B53="", "",'Twenty-Eighth'!B53)</f>
        <v/>
      </c>
      <c r="C6800" s="66" t="str">
        <f>IF('Twenty-Eighth'!C53="", "",'Twenty-Eighth'!C53)</f>
        <v/>
      </c>
      <c r="D6800" s="66" t="str">
        <f>IF('Twenty-Eighth'!D53="", "",'Twenty-Eighth'!D53)</f>
        <v/>
      </c>
      <c r="E6800" s="66" t="str">
        <f>IF('Twenty-Eighth'!E53="", "",'Twenty-Eighth'!E53)</f>
        <v/>
      </c>
      <c r="F6800" s="66" t="str">
        <f>IF('Twenty-Eighth'!F53="", "",'Twenty-Eighth'!F53)</f>
        <v/>
      </c>
      <c r="G6800" s="66" t="str">
        <f>IF('Twenty-Eighth'!G53="", "",'Twenty-Eighth'!G53)</f>
        <v/>
      </c>
      <c r="H6800" s="66" t="str">
        <f>IF('Twenty-Eighth'!H53="", "",'Twenty-Eighth'!H53)</f>
        <v/>
      </c>
      <c r="I6800" s="66" t="str">
        <f>IF('Twenty-Eighth'!I53="", "",'Twenty-Eighth'!I53)</f>
        <v/>
      </c>
      <c r="J6800" s="66" t="str">
        <f>IF('Twenty-Eighth'!J53="", "",'Twenty-Eighth'!J53)</f>
        <v/>
      </c>
      <c r="K6800" s="86" t="str">
        <f>IF('Twenty-Eighth'!K53="", "",'Twenty-Eighth'!K53)</f>
        <v/>
      </c>
      <c r="M6800" s="67" t="str">
        <f t="shared" si="323"/>
        <v/>
      </c>
      <c r="N6800" s="76" t="str">
        <f t="shared" si="324"/>
        <v/>
      </c>
      <c r="O6800" s="33">
        <f t="shared" si="325"/>
        <v>0</v>
      </c>
    </row>
    <row r="6801" spans="1:15" x14ac:dyDescent="0.25">
      <c r="A6801" s="64" t="s">
        <v>195</v>
      </c>
      <c r="B6801" s="79" t="str">
        <f>IF('Twenty-Eighth'!B54="", "",'Twenty-Eighth'!B54)</f>
        <v/>
      </c>
      <c r="C6801" s="66" t="str">
        <f>IF('Twenty-Eighth'!C54="", "",'Twenty-Eighth'!C54)</f>
        <v/>
      </c>
      <c r="D6801" s="66" t="str">
        <f>IF('Twenty-Eighth'!D54="", "",'Twenty-Eighth'!D54)</f>
        <v/>
      </c>
      <c r="E6801" s="66" t="str">
        <f>IF('Twenty-Eighth'!E54="", "",'Twenty-Eighth'!E54)</f>
        <v/>
      </c>
      <c r="F6801" s="66" t="str">
        <f>IF('Twenty-Eighth'!F54="", "",'Twenty-Eighth'!F54)</f>
        <v/>
      </c>
      <c r="G6801" s="66" t="str">
        <f>IF('Twenty-Eighth'!G54="", "",'Twenty-Eighth'!G54)</f>
        <v/>
      </c>
      <c r="H6801" s="66" t="str">
        <f>IF('Twenty-Eighth'!H54="", "",'Twenty-Eighth'!H54)</f>
        <v/>
      </c>
      <c r="I6801" s="66" t="str">
        <f>IF('Twenty-Eighth'!I54="", "",'Twenty-Eighth'!I54)</f>
        <v/>
      </c>
      <c r="J6801" s="66" t="str">
        <f>IF('Twenty-Eighth'!J54="", "",'Twenty-Eighth'!J54)</f>
        <v/>
      </c>
      <c r="K6801" s="86" t="str">
        <f>IF('Twenty-Eighth'!K54="", "",'Twenty-Eighth'!K54)</f>
        <v/>
      </c>
      <c r="M6801" s="67" t="str">
        <f t="shared" si="323"/>
        <v/>
      </c>
      <c r="N6801" s="76" t="str">
        <f t="shared" si="324"/>
        <v/>
      </c>
      <c r="O6801" s="33">
        <f t="shared" si="325"/>
        <v>0</v>
      </c>
    </row>
    <row r="6802" spans="1:15" x14ac:dyDescent="0.25">
      <c r="A6802" s="64" t="s">
        <v>195</v>
      </c>
      <c r="B6802" s="79" t="str">
        <f>IF('Twenty-Eighth'!B55="", "",'Twenty-Eighth'!B55)</f>
        <v/>
      </c>
      <c r="C6802" s="66" t="str">
        <f>IF('Twenty-Eighth'!C55="", "",'Twenty-Eighth'!C55)</f>
        <v/>
      </c>
      <c r="D6802" s="66" t="str">
        <f>IF('Twenty-Eighth'!D55="", "",'Twenty-Eighth'!D55)</f>
        <v/>
      </c>
      <c r="E6802" s="66" t="str">
        <f>IF('Twenty-Eighth'!E55="", "",'Twenty-Eighth'!E55)</f>
        <v/>
      </c>
      <c r="F6802" s="66" t="str">
        <f>IF('Twenty-Eighth'!F55="", "",'Twenty-Eighth'!F55)</f>
        <v/>
      </c>
      <c r="G6802" s="66" t="str">
        <f>IF('Twenty-Eighth'!G55="", "",'Twenty-Eighth'!G55)</f>
        <v/>
      </c>
      <c r="H6802" s="66" t="str">
        <f>IF('Twenty-Eighth'!H55="", "",'Twenty-Eighth'!H55)</f>
        <v/>
      </c>
      <c r="I6802" s="66" t="str">
        <f>IF('Twenty-Eighth'!I55="", "",'Twenty-Eighth'!I55)</f>
        <v/>
      </c>
      <c r="J6802" s="66" t="str">
        <f>IF('Twenty-Eighth'!J55="", "",'Twenty-Eighth'!J55)</f>
        <v/>
      </c>
      <c r="K6802" s="86" t="str">
        <f>IF('Twenty-Eighth'!K55="", "",'Twenty-Eighth'!K55)</f>
        <v/>
      </c>
      <c r="M6802" s="67" t="str">
        <f t="shared" si="323"/>
        <v/>
      </c>
      <c r="N6802" s="76" t="str">
        <f t="shared" si="324"/>
        <v/>
      </c>
      <c r="O6802" s="33">
        <f t="shared" si="325"/>
        <v>0</v>
      </c>
    </row>
    <row r="6803" spans="1:15" x14ac:dyDescent="0.25">
      <c r="A6803" s="64" t="s">
        <v>195</v>
      </c>
      <c r="B6803" s="79" t="str">
        <f>IF('Twenty-Eighth'!B56="", "",'Twenty-Eighth'!B56)</f>
        <v/>
      </c>
      <c r="C6803" s="66" t="str">
        <f>IF('Twenty-Eighth'!C56="", "",'Twenty-Eighth'!C56)</f>
        <v/>
      </c>
      <c r="D6803" s="66" t="str">
        <f>IF('Twenty-Eighth'!D56="", "",'Twenty-Eighth'!D56)</f>
        <v/>
      </c>
      <c r="E6803" s="66" t="str">
        <f>IF('Twenty-Eighth'!E56="", "",'Twenty-Eighth'!E56)</f>
        <v/>
      </c>
      <c r="F6803" s="66" t="str">
        <f>IF('Twenty-Eighth'!F56="", "",'Twenty-Eighth'!F56)</f>
        <v/>
      </c>
      <c r="G6803" s="66" t="str">
        <f>IF('Twenty-Eighth'!G56="", "",'Twenty-Eighth'!G56)</f>
        <v/>
      </c>
      <c r="H6803" s="66" t="str">
        <f>IF('Twenty-Eighth'!H56="", "",'Twenty-Eighth'!H56)</f>
        <v/>
      </c>
      <c r="I6803" s="66" t="str">
        <f>IF('Twenty-Eighth'!I56="", "",'Twenty-Eighth'!I56)</f>
        <v/>
      </c>
      <c r="J6803" s="66" t="str">
        <f>IF('Twenty-Eighth'!J56="", "",'Twenty-Eighth'!J56)</f>
        <v/>
      </c>
      <c r="K6803" s="86" t="str">
        <f>IF('Twenty-Eighth'!K56="", "",'Twenty-Eighth'!K56)</f>
        <v/>
      </c>
      <c r="M6803" s="67" t="str">
        <f t="shared" si="323"/>
        <v/>
      </c>
      <c r="N6803" s="76" t="str">
        <f t="shared" si="324"/>
        <v/>
      </c>
      <c r="O6803" s="33">
        <f t="shared" si="325"/>
        <v>0</v>
      </c>
    </row>
    <row r="6804" spans="1:15" x14ac:dyDescent="0.25">
      <c r="A6804" s="64" t="s">
        <v>195</v>
      </c>
      <c r="B6804" s="79" t="str">
        <f>IF('Twenty-Eighth'!B57="", "",'Twenty-Eighth'!B57)</f>
        <v/>
      </c>
      <c r="C6804" s="66" t="str">
        <f>IF('Twenty-Eighth'!C57="", "",'Twenty-Eighth'!C57)</f>
        <v/>
      </c>
      <c r="D6804" s="66" t="str">
        <f>IF('Twenty-Eighth'!D57="", "",'Twenty-Eighth'!D57)</f>
        <v/>
      </c>
      <c r="E6804" s="66" t="str">
        <f>IF('Twenty-Eighth'!E57="", "",'Twenty-Eighth'!E57)</f>
        <v/>
      </c>
      <c r="F6804" s="66" t="str">
        <f>IF('Twenty-Eighth'!F57="", "",'Twenty-Eighth'!F57)</f>
        <v/>
      </c>
      <c r="G6804" s="66" t="str">
        <f>IF('Twenty-Eighth'!G57="", "",'Twenty-Eighth'!G57)</f>
        <v/>
      </c>
      <c r="H6804" s="66" t="str">
        <f>IF('Twenty-Eighth'!H57="", "",'Twenty-Eighth'!H57)</f>
        <v/>
      </c>
      <c r="I6804" s="66" t="str">
        <f>IF('Twenty-Eighth'!I57="", "",'Twenty-Eighth'!I57)</f>
        <v/>
      </c>
      <c r="J6804" s="66" t="str">
        <f>IF('Twenty-Eighth'!J57="", "",'Twenty-Eighth'!J57)</f>
        <v/>
      </c>
      <c r="K6804" s="86" t="str">
        <f>IF('Twenty-Eighth'!K57="", "",'Twenty-Eighth'!K57)</f>
        <v/>
      </c>
      <c r="M6804" s="67" t="str">
        <f t="shared" si="323"/>
        <v/>
      </c>
      <c r="N6804" s="76" t="str">
        <f t="shared" si="324"/>
        <v/>
      </c>
      <c r="O6804" s="33">
        <f t="shared" si="325"/>
        <v>0</v>
      </c>
    </row>
    <row r="6805" spans="1:15" x14ac:dyDescent="0.25">
      <c r="A6805" s="64" t="s">
        <v>195</v>
      </c>
      <c r="B6805" s="79" t="str">
        <f>IF('Twenty-Eighth'!B58="", "",'Twenty-Eighth'!B58)</f>
        <v/>
      </c>
      <c r="C6805" s="66" t="str">
        <f>IF('Twenty-Eighth'!C58="", "",'Twenty-Eighth'!C58)</f>
        <v/>
      </c>
      <c r="D6805" s="66" t="str">
        <f>IF('Twenty-Eighth'!D58="", "",'Twenty-Eighth'!D58)</f>
        <v/>
      </c>
      <c r="E6805" s="66" t="str">
        <f>IF('Twenty-Eighth'!E58="", "",'Twenty-Eighth'!E58)</f>
        <v/>
      </c>
      <c r="F6805" s="66" t="str">
        <f>IF('Twenty-Eighth'!F58="", "",'Twenty-Eighth'!F58)</f>
        <v/>
      </c>
      <c r="G6805" s="66" t="str">
        <f>IF('Twenty-Eighth'!G58="", "",'Twenty-Eighth'!G58)</f>
        <v/>
      </c>
      <c r="H6805" s="66" t="str">
        <f>IF('Twenty-Eighth'!H58="", "",'Twenty-Eighth'!H58)</f>
        <v/>
      </c>
      <c r="I6805" s="66" t="str">
        <f>IF('Twenty-Eighth'!I58="", "",'Twenty-Eighth'!I58)</f>
        <v/>
      </c>
      <c r="J6805" s="66" t="str">
        <f>IF('Twenty-Eighth'!J58="", "",'Twenty-Eighth'!J58)</f>
        <v/>
      </c>
      <c r="K6805" s="86" t="str">
        <f>IF('Twenty-Eighth'!K58="", "",'Twenty-Eighth'!K58)</f>
        <v/>
      </c>
      <c r="M6805" s="67" t="str">
        <f t="shared" si="323"/>
        <v/>
      </c>
      <c r="N6805" s="76" t="str">
        <f t="shared" si="324"/>
        <v/>
      </c>
      <c r="O6805" s="33">
        <f t="shared" si="325"/>
        <v>0</v>
      </c>
    </row>
    <row r="6806" spans="1:15" x14ac:dyDescent="0.25">
      <c r="A6806" s="64" t="s">
        <v>195</v>
      </c>
      <c r="B6806" s="79" t="str">
        <f>IF('Twenty-Eighth'!B59="", "",'Twenty-Eighth'!B59)</f>
        <v/>
      </c>
      <c r="C6806" s="66" t="str">
        <f>IF('Twenty-Eighth'!C59="", "",'Twenty-Eighth'!C59)</f>
        <v/>
      </c>
      <c r="D6806" s="66" t="str">
        <f>IF('Twenty-Eighth'!D59="", "",'Twenty-Eighth'!D59)</f>
        <v/>
      </c>
      <c r="E6806" s="66" t="str">
        <f>IF('Twenty-Eighth'!E59="", "",'Twenty-Eighth'!E59)</f>
        <v/>
      </c>
      <c r="F6806" s="66" t="str">
        <f>IF('Twenty-Eighth'!F59="", "",'Twenty-Eighth'!F59)</f>
        <v/>
      </c>
      <c r="G6806" s="66" t="str">
        <f>IF('Twenty-Eighth'!G59="", "",'Twenty-Eighth'!G59)</f>
        <v/>
      </c>
      <c r="H6806" s="66" t="str">
        <f>IF('Twenty-Eighth'!H59="", "",'Twenty-Eighth'!H59)</f>
        <v/>
      </c>
      <c r="I6806" s="66" t="str">
        <f>IF('Twenty-Eighth'!I59="", "",'Twenty-Eighth'!I59)</f>
        <v/>
      </c>
      <c r="J6806" s="66" t="str">
        <f>IF('Twenty-Eighth'!J59="", "",'Twenty-Eighth'!J59)</f>
        <v/>
      </c>
      <c r="K6806" s="86" t="str">
        <f>IF('Twenty-Eighth'!K59="", "",'Twenty-Eighth'!K59)</f>
        <v/>
      </c>
      <c r="M6806" s="67" t="str">
        <f t="shared" si="323"/>
        <v/>
      </c>
      <c r="N6806" s="76" t="str">
        <f t="shared" si="324"/>
        <v/>
      </c>
      <c r="O6806" s="33">
        <f t="shared" si="325"/>
        <v>0</v>
      </c>
    </row>
    <row r="6807" spans="1:15" x14ac:dyDescent="0.25">
      <c r="A6807" s="64" t="s">
        <v>195</v>
      </c>
      <c r="B6807" s="79" t="str">
        <f>IF('Twenty-Eighth'!B60="", "",'Twenty-Eighth'!B60)</f>
        <v/>
      </c>
      <c r="C6807" s="66" t="str">
        <f>IF('Twenty-Eighth'!C60="", "",'Twenty-Eighth'!C60)</f>
        <v/>
      </c>
      <c r="D6807" s="66" t="str">
        <f>IF('Twenty-Eighth'!D60="", "",'Twenty-Eighth'!D60)</f>
        <v/>
      </c>
      <c r="E6807" s="66" t="str">
        <f>IF('Twenty-Eighth'!E60="", "",'Twenty-Eighth'!E60)</f>
        <v/>
      </c>
      <c r="F6807" s="66" t="str">
        <f>IF('Twenty-Eighth'!F60="", "",'Twenty-Eighth'!F60)</f>
        <v/>
      </c>
      <c r="G6807" s="66" t="str">
        <f>IF('Twenty-Eighth'!G60="", "",'Twenty-Eighth'!G60)</f>
        <v/>
      </c>
      <c r="H6807" s="66" t="str">
        <f>IF('Twenty-Eighth'!H60="", "",'Twenty-Eighth'!H60)</f>
        <v/>
      </c>
      <c r="I6807" s="66" t="str">
        <f>IF('Twenty-Eighth'!I60="", "",'Twenty-Eighth'!I60)</f>
        <v/>
      </c>
      <c r="J6807" s="66" t="str">
        <f>IF('Twenty-Eighth'!J60="", "",'Twenty-Eighth'!J60)</f>
        <v/>
      </c>
      <c r="K6807" s="86" t="str">
        <f>IF('Twenty-Eighth'!K60="", "",'Twenty-Eighth'!K60)</f>
        <v/>
      </c>
      <c r="M6807" s="67" t="str">
        <f t="shared" si="323"/>
        <v/>
      </c>
      <c r="N6807" s="76" t="str">
        <f t="shared" si="324"/>
        <v/>
      </c>
      <c r="O6807" s="33">
        <f t="shared" si="325"/>
        <v>0</v>
      </c>
    </row>
    <row r="6808" spans="1:15" x14ac:dyDescent="0.25">
      <c r="A6808" s="64" t="s">
        <v>195</v>
      </c>
      <c r="B6808" s="79" t="str">
        <f>IF('Twenty-Eighth'!B61="", "",'Twenty-Eighth'!B61)</f>
        <v/>
      </c>
      <c r="C6808" s="66" t="str">
        <f>IF('Twenty-Eighth'!C61="", "",'Twenty-Eighth'!C61)</f>
        <v/>
      </c>
      <c r="D6808" s="66" t="str">
        <f>IF('Twenty-Eighth'!D61="", "",'Twenty-Eighth'!D61)</f>
        <v/>
      </c>
      <c r="E6808" s="66" t="str">
        <f>IF('Twenty-Eighth'!E61="", "",'Twenty-Eighth'!E61)</f>
        <v/>
      </c>
      <c r="F6808" s="66" t="str">
        <f>IF('Twenty-Eighth'!F61="", "",'Twenty-Eighth'!F61)</f>
        <v/>
      </c>
      <c r="G6808" s="66" t="str">
        <f>IF('Twenty-Eighth'!G61="", "",'Twenty-Eighth'!G61)</f>
        <v/>
      </c>
      <c r="H6808" s="66" t="str">
        <f>IF('Twenty-Eighth'!H61="", "",'Twenty-Eighth'!H61)</f>
        <v/>
      </c>
      <c r="I6808" s="66" t="str">
        <f>IF('Twenty-Eighth'!I61="", "",'Twenty-Eighth'!I61)</f>
        <v/>
      </c>
      <c r="J6808" s="66" t="str">
        <f>IF('Twenty-Eighth'!J61="", "",'Twenty-Eighth'!J61)</f>
        <v/>
      </c>
      <c r="K6808" s="86" t="str">
        <f>IF('Twenty-Eighth'!K61="", "",'Twenty-Eighth'!K61)</f>
        <v/>
      </c>
      <c r="M6808" s="67" t="str">
        <f t="shared" si="323"/>
        <v/>
      </c>
      <c r="N6808" s="76" t="str">
        <f t="shared" si="324"/>
        <v/>
      </c>
      <c r="O6808" s="33">
        <f t="shared" si="325"/>
        <v>0</v>
      </c>
    </row>
    <row r="6809" spans="1:15" x14ac:dyDescent="0.25">
      <c r="A6809" s="64" t="s">
        <v>195</v>
      </c>
      <c r="B6809" s="79" t="str">
        <f>IF('Twenty-Eighth'!B62="", "",'Twenty-Eighth'!B62)</f>
        <v/>
      </c>
      <c r="C6809" s="66" t="str">
        <f>IF('Twenty-Eighth'!C62="", "",'Twenty-Eighth'!C62)</f>
        <v/>
      </c>
      <c r="D6809" s="66" t="str">
        <f>IF('Twenty-Eighth'!D62="", "",'Twenty-Eighth'!D62)</f>
        <v/>
      </c>
      <c r="E6809" s="66" t="str">
        <f>IF('Twenty-Eighth'!E62="", "",'Twenty-Eighth'!E62)</f>
        <v/>
      </c>
      <c r="F6809" s="66" t="str">
        <f>IF('Twenty-Eighth'!F62="", "",'Twenty-Eighth'!F62)</f>
        <v/>
      </c>
      <c r="G6809" s="66" t="str">
        <f>IF('Twenty-Eighth'!G62="", "",'Twenty-Eighth'!G62)</f>
        <v/>
      </c>
      <c r="H6809" s="66" t="str">
        <f>IF('Twenty-Eighth'!H62="", "",'Twenty-Eighth'!H62)</f>
        <v/>
      </c>
      <c r="I6809" s="66" t="str">
        <f>IF('Twenty-Eighth'!I62="", "",'Twenty-Eighth'!I62)</f>
        <v/>
      </c>
      <c r="J6809" s="66" t="str">
        <f>IF('Twenty-Eighth'!J62="", "",'Twenty-Eighth'!J62)</f>
        <v/>
      </c>
      <c r="K6809" s="86" t="str">
        <f>IF('Twenty-Eighth'!K62="", "",'Twenty-Eighth'!K62)</f>
        <v/>
      </c>
      <c r="M6809" s="67" t="str">
        <f t="shared" si="323"/>
        <v/>
      </c>
      <c r="N6809" s="76" t="str">
        <f t="shared" si="324"/>
        <v/>
      </c>
      <c r="O6809" s="33">
        <f t="shared" si="325"/>
        <v>0</v>
      </c>
    </row>
    <row r="6810" spans="1:15" x14ac:dyDescent="0.25">
      <c r="A6810" s="64" t="s">
        <v>195</v>
      </c>
      <c r="B6810" s="79" t="str">
        <f>IF('Twenty-Eighth'!B63="", "",'Twenty-Eighth'!B63)</f>
        <v/>
      </c>
      <c r="C6810" s="66" t="str">
        <f>IF('Twenty-Eighth'!C63="", "",'Twenty-Eighth'!C63)</f>
        <v/>
      </c>
      <c r="D6810" s="66" t="str">
        <f>IF('Twenty-Eighth'!D63="", "",'Twenty-Eighth'!D63)</f>
        <v/>
      </c>
      <c r="E6810" s="66" t="str">
        <f>IF('Twenty-Eighth'!E63="", "",'Twenty-Eighth'!E63)</f>
        <v/>
      </c>
      <c r="F6810" s="66" t="str">
        <f>IF('Twenty-Eighth'!F63="", "",'Twenty-Eighth'!F63)</f>
        <v/>
      </c>
      <c r="G6810" s="66" t="str">
        <f>IF('Twenty-Eighth'!G63="", "",'Twenty-Eighth'!G63)</f>
        <v/>
      </c>
      <c r="H6810" s="66" t="str">
        <f>IF('Twenty-Eighth'!H63="", "",'Twenty-Eighth'!H63)</f>
        <v/>
      </c>
      <c r="I6810" s="66" t="str">
        <f>IF('Twenty-Eighth'!I63="", "",'Twenty-Eighth'!I63)</f>
        <v/>
      </c>
      <c r="J6810" s="66" t="str">
        <f>IF('Twenty-Eighth'!J63="", "",'Twenty-Eighth'!J63)</f>
        <v/>
      </c>
      <c r="K6810" s="86" t="str">
        <f>IF('Twenty-Eighth'!K63="", "",'Twenty-Eighth'!K63)</f>
        <v/>
      </c>
      <c r="M6810" s="67" t="str">
        <f t="shared" si="323"/>
        <v/>
      </c>
      <c r="N6810" s="76" t="str">
        <f t="shared" si="324"/>
        <v/>
      </c>
      <c r="O6810" s="33">
        <f t="shared" si="325"/>
        <v>0</v>
      </c>
    </row>
    <row r="6811" spans="1:15" x14ac:dyDescent="0.25">
      <c r="A6811" s="64" t="s">
        <v>195</v>
      </c>
      <c r="B6811" s="79" t="str">
        <f>IF('Twenty-Eighth'!B64="", "",'Twenty-Eighth'!B64)</f>
        <v/>
      </c>
      <c r="C6811" s="66" t="str">
        <f>IF('Twenty-Eighth'!C64="", "",'Twenty-Eighth'!C64)</f>
        <v/>
      </c>
      <c r="D6811" s="66" t="str">
        <f>IF('Twenty-Eighth'!D64="", "",'Twenty-Eighth'!D64)</f>
        <v/>
      </c>
      <c r="E6811" s="66" t="str">
        <f>IF('Twenty-Eighth'!E64="", "",'Twenty-Eighth'!E64)</f>
        <v/>
      </c>
      <c r="F6811" s="66" t="str">
        <f>IF('Twenty-Eighth'!F64="", "",'Twenty-Eighth'!F64)</f>
        <v/>
      </c>
      <c r="G6811" s="66" t="str">
        <f>IF('Twenty-Eighth'!G64="", "",'Twenty-Eighth'!G64)</f>
        <v/>
      </c>
      <c r="H6811" s="66" t="str">
        <f>IF('Twenty-Eighth'!H64="", "",'Twenty-Eighth'!H64)</f>
        <v/>
      </c>
      <c r="I6811" s="66" t="str">
        <f>IF('Twenty-Eighth'!I64="", "",'Twenty-Eighth'!I64)</f>
        <v/>
      </c>
      <c r="J6811" s="66" t="str">
        <f>IF('Twenty-Eighth'!J64="", "",'Twenty-Eighth'!J64)</f>
        <v/>
      </c>
      <c r="K6811" s="86" t="str">
        <f>IF('Twenty-Eighth'!K64="", "",'Twenty-Eighth'!K64)</f>
        <v/>
      </c>
      <c r="M6811" s="67" t="str">
        <f t="shared" si="323"/>
        <v/>
      </c>
      <c r="N6811" s="76" t="str">
        <f t="shared" si="324"/>
        <v/>
      </c>
      <c r="O6811" s="33">
        <f t="shared" si="325"/>
        <v>0</v>
      </c>
    </row>
    <row r="6812" spans="1:15" x14ac:dyDescent="0.25">
      <c r="A6812" s="64" t="s">
        <v>195</v>
      </c>
      <c r="B6812" s="79" t="str">
        <f>IF('Twenty-Eighth'!B65="", "",'Twenty-Eighth'!B65)</f>
        <v/>
      </c>
      <c r="C6812" s="66" t="str">
        <f>IF('Twenty-Eighth'!C65="", "",'Twenty-Eighth'!C65)</f>
        <v/>
      </c>
      <c r="D6812" s="66" t="str">
        <f>IF('Twenty-Eighth'!D65="", "",'Twenty-Eighth'!D65)</f>
        <v/>
      </c>
      <c r="E6812" s="66" t="str">
        <f>IF('Twenty-Eighth'!E65="", "",'Twenty-Eighth'!E65)</f>
        <v/>
      </c>
      <c r="F6812" s="66" t="str">
        <f>IF('Twenty-Eighth'!F65="", "",'Twenty-Eighth'!F65)</f>
        <v/>
      </c>
      <c r="G6812" s="66" t="str">
        <f>IF('Twenty-Eighth'!G65="", "",'Twenty-Eighth'!G65)</f>
        <v/>
      </c>
      <c r="H6812" s="66" t="str">
        <f>IF('Twenty-Eighth'!H65="", "",'Twenty-Eighth'!H65)</f>
        <v/>
      </c>
      <c r="I6812" s="66" t="str">
        <f>IF('Twenty-Eighth'!I65="", "",'Twenty-Eighth'!I65)</f>
        <v/>
      </c>
      <c r="J6812" s="66" t="str">
        <f>IF('Twenty-Eighth'!J65="", "",'Twenty-Eighth'!J65)</f>
        <v/>
      </c>
      <c r="K6812" s="86" t="str">
        <f>IF('Twenty-Eighth'!K65="", "",'Twenty-Eighth'!K65)</f>
        <v/>
      </c>
      <c r="M6812" s="67" t="str">
        <f t="shared" si="323"/>
        <v/>
      </c>
      <c r="N6812" s="76" t="str">
        <f t="shared" si="324"/>
        <v/>
      </c>
      <c r="O6812" s="33">
        <f t="shared" si="325"/>
        <v>0</v>
      </c>
    </row>
    <row r="6813" spans="1:15" x14ac:dyDescent="0.25">
      <c r="A6813" s="64" t="s">
        <v>195</v>
      </c>
      <c r="B6813" s="79" t="str">
        <f>IF('Twenty-Eighth'!B66="", "",'Twenty-Eighth'!B66)</f>
        <v/>
      </c>
      <c r="C6813" s="66" t="str">
        <f>IF('Twenty-Eighth'!C66="", "",'Twenty-Eighth'!C66)</f>
        <v/>
      </c>
      <c r="D6813" s="66" t="str">
        <f>IF('Twenty-Eighth'!D66="", "",'Twenty-Eighth'!D66)</f>
        <v/>
      </c>
      <c r="E6813" s="66" t="str">
        <f>IF('Twenty-Eighth'!E66="", "",'Twenty-Eighth'!E66)</f>
        <v/>
      </c>
      <c r="F6813" s="66" t="str">
        <f>IF('Twenty-Eighth'!F66="", "",'Twenty-Eighth'!F66)</f>
        <v/>
      </c>
      <c r="G6813" s="66" t="str">
        <f>IF('Twenty-Eighth'!G66="", "",'Twenty-Eighth'!G66)</f>
        <v/>
      </c>
      <c r="H6813" s="66" t="str">
        <f>IF('Twenty-Eighth'!H66="", "",'Twenty-Eighth'!H66)</f>
        <v/>
      </c>
      <c r="I6813" s="66" t="str">
        <f>IF('Twenty-Eighth'!I66="", "",'Twenty-Eighth'!I66)</f>
        <v/>
      </c>
      <c r="J6813" s="66" t="str">
        <f>IF('Twenty-Eighth'!J66="", "",'Twenty-Eighth'!J66)</f>
        <v/>
      </c>
      <c r="K6813" s="86" t="str">
        <f>IF('Twenty-Eighth'!K66="", "",'Twenty-Eighth'!K66)</f>
        <v/>
      </c>
      <c r="M6813" s="67" t="str">
        <f t="shared" si="323"/>
        <v/>
      </c>
      <c r="N6813" s="76" t="str">
        <f t="shared" si="324"/>
        <v/>
      </c>
      <c r="O6813" s="33">
        <f t="shared" si="325"/>
        <v>0</v>
      </c>
    </row>
    <row r="6814" spans="1:15" x14ac:dyDescent="0.25">
      <c r="A6814" s="64" t="s">
        <v>195</v>
      </c>
      <c r="B6814" s="79" t="str">
        <f>IF('Twenty-Eighth'!B67="", "",'Twenty-Eighth'!B67)</f>
        <v/>
      </c>
      <c r="C6814" s="66" t="str">
        <f>IF('Twenty-Eighth'!C67="", "",'Twenty-Eighth'!C67)</f>
        <v/>
      </c>
      <c r="D6814" s="66" t="str">
        <f>IF('Twenty-Eighth'!D67="", "",'Twenty-Eighth'!D67)</f>
        <v/>
      </c>
      <c r="E6814" s="66" t="str">
        <f>IF('Twenty-Eighth'!E67="", "",'Twenty-Eighth'!E67)</f>
        <v/>
      </c>
      <c r="F6814" s="66" t="str">
        <f>IF('Twenty-Eighth'!F67="", "",'Twenty-Eighth'!F67)</f>
        <v/>
      </c>
      <c r="G6814" s="66" t="str">
        <f>IF('Twenty-Eighth'!G67="", "",'Twenty-Eighth'!G67)</f>
        <v/>
      </c>
      <c r="H6814" s="66" t="str">
        <f>IF('Twenty-Eighth'!H67="", "",'Twenty-Eighth'!H67)</f>
        <v/>
      </c>
      <c r="I6814" s="66" t="str">
        <f>IF('Twenty-Eighth'!I67="", "",'Twenty-Eighth'!I67)</f>
        <v/>
      </c>
      <c r="J6814" s="66" t="str">
        <f>IF('Twenty-Eighth'!J67="", "",'Twenty-Eighth'!J67)</f>
        <v/>
      </c>
      <c r="K6814" s="86" t="str">
        <f>IF('Twenty-Eighth'!K67="", "",'Twenty-Eighth'!K67)</f>
        <v/>
      </c>
      <c r="M6814" s="67" t="str">
        <f t="shared" si="323"/>
        <v/>
      </c>
      <c r="N6814" s="76" t="str">
        <f t="shared" si="324"/>
        <v/>
      </c>
      <c r="O6814" s="33">
        <f t="shared" si="325"/>
        <v>0</v>
      </c>
    </row>
    <row r="6815" spans="1:15" x14ac:dyDescent="0.25">
      <c r="A6815" s="64" t="s">
        <v>195</v>
      </c>
      <c r="B6815" s="79" t="str">
        <f>IF('Twenty-Eighth'!B68="", "",'Twenty-Eighth'!B68)</f>
        <v/>
      </c>
      <c r="C6815" s="66" t="str">
        <f>IF('Twenty-Eighth'!C68="", "",'Twenty-Eighth'!C68)</f>
        <v/>
      </c>
      <c r="D6815" s="66" t="str">
        <f>IF('Twenty-Eighth'!D68="", "",'Twenty-Eighth'!D68)</f>
        <v/>
      </c>
      <c r="E6815" s="66" t="str">
        <f>IF('Twenty-Eighth'!E68="", "",'Twenty-Eighth'!E68)</f>
        <v/>
      </c>
      <c r="F6815" s="66" t="str">
        <f>IF('Twenty-Eighth'!F68="", "",'Twenty-Eighth'!F68)</f>
        <v/>
      </c>
      <c r="G6815" s="66" t="str">
        <f>IF('Twenty-Eighth'!G68="", "",'Twenty-Eighth'!G68)</f>
        <v/>
      </c>
      <c r="H6815" s="66" t="str">
        <f>IF('Twenty-Eighth'!H68="", "",'Twenty-Eighth'!H68)</f>
        <v/>
      </c>
      <c r="I6815" s="66" t="str">
        <f>IF('Twenty-Eighth'!I68="", "",'Twenty-Eighth'!I68)</f>
        <v/>
      </c>
      <c r="J6815" s="66" t="str">
        <f>IF('Twenty-Eighth'!J68="", "",'Twenty-Eighth'!J68)</f>
        <v/>
      </c>
      <c r="K6815" s="86" t="str">
        <f>IF('Twenty-Eighth'!K68="", "",'Twenty-Eighth'!K68)</f>
        <v/>
      </c>
      <c r="M6815" s="67" t="str">
        <f t="shared" si="323"/>
        <v/>
      </c>
      <c r="N6815" s="76" t="str">
        <f t="shared" si="324"/>
        <v/>
      </c>
      <c r="O6815" s="33">
        <f t="shared" si="325"/>
        <v>0</v>
      </c>
    </row>
    <row r="6816" spans="1:15" x14ac:dyDescent="0.25">
      <c r="A6816" s="64" t="s">
        <v>195</v>
      </c>
      <c r="B6816" s="79" t="str">
        <f>IF('Twenty-Eighth'!B69="", "",'Twenty-Eighth'!B69)</f>
        <v/>
      </c>
      <c r="C6816" s="66" t="str">
        <f>IF('Twenty-Eighth'!C69="", "",'Twenty-Eighth'!C69)</f>
        <v/>
      </c>
      <c r="D6816" s="66" t="str">
        <f>IF('Twenty-Eighth'!D69="", "",'Twenty-Eighth'!D69)</f>
        <v/>
      </c>
      <c r="E6816" s="66" t="str">
        <f>IF('Twenty-Eighth'!E69="", "",'Twenty-Eighth'!E69)</f>
        <v/>
      </c>
      <c r="F6816" s="66" t="str">
        <f>IF('Twenty-Eighth'!F69="", "",'Twenty-Eighth'!F69)</f>
        <v/>
      </c>
      <c r="G6816" s="66" t="str">
        <f>IF('Twenty-Eighth'!G69="", "",'Twenty-Eighth'!G69)</f>
        <v/>
      </c>
      <c r="H6816" s="66" t="str">
        <f>IF('Twenty-Eighth'!H69="", "",'Twenty-Eighth'!H69)</f>
        <v/>
      </c>
      <c r="I6816" s="66" t="str">
        <f>IF('Twenty-Eighth'!I69="", "",'Twenty-Eighth'!I69)</f>
        <v/>
      </c>
      <c r="J6816" s="66" t="str">
        <f>IF('Twenty-Eighth'!J69="", "",'Twenty-Eighth'!J69)</f>
        <v/>
      </c>
      <c r="K6816" s="86" t="str">
        <f>IF('Twenty-Eighth'!K69="", "",'Twenty-Eighth'!K69)</f>
        <v/>
      </c>
      <c r="M6816" s="67" t="str">
        <f t="shared" si="323"/>
        <v/>
      </c>
      <c r="N6816" s="76" t="str">
        <f t="shared" si="324"/>
        <v/>
      </c>
      <c r="O6816" s="33">
        <f t="shared" si="325"/>
        <v>0</v>
      </c>
    </row>
    <row r="6817" spans="1:15" x14ac:dyDescent="0.25">
      <c r="A6817" s="64" t="s">
        <v>195</v>
      </c>
      <c r="B6817" s="79" t="str">
        <f>IF('Twenty-Eighth'!B70="", "",'Twenty-Eighth'!B70)</f>
        <v/>
      </c>
      <c r="C6817" s="66" t="str">
        <f>IF('Twenty-Eighth'!C70="", "",'Twenty-Eighth'!C70)</f>
        <v/>
      </c>
      <c r="D6817" s="66" t="str">
        <f>IF('Twenty-Eighth'!D70="", "",'Twenty-Eighth'!D70)</f>
        <v/>
      </c>
      <c r="E6817" s="66" t="str">
        <f>IF('Twenty-Eighth'!E70="", "",'Twenty-Eighth'!E70)</f>
        <v/>
      </c>
      <c r="F6817" s="66" t="str">
        <f>IF('Twenty-Eighth'!F70="", "",'Twenty-Eighth'!F70)</f>
        <v/>
      </c>
      <c r="G6817" s="66" t="str">
        <f>IF('Twenty-Eighth'!G70="", "",'Twenty-Eighth'!G70)</f>
        <v/>
      </c>
      <c r="H6817" s="66" t="str">
        <f>IF('Twenty-Eighth'!H70="", "",'Twenty-Eighth'!H70)</f>
        <v/>
      </c>
      <c r="I6817" s="66" t="str">
        <f>IF('Twenty-Eighth'!I70="", "",'Twenty-Eighth'!I70)</f>
        <v/>
      </c>
      <c r="J6817" s="66" t="str">
        <f>IF('Twenty-Eighth'!J70="", "",'Twenty-Eighth'!J70)</f>
        <v/>
      </c>
      <c r="K6817" s="86" t="str">
        <f>IF('Twenty-Eighth'!K70="", "",'Twenty-Eighth'!K70)</f>
        <v/>
      </c>
      <c r="M6817" s="67" t="str">
        <f t="shared" si="323"/>
        <v/>
      </c>
      <c r="N6817" s="76" t="str">
        <f t="shared" si="324"/>
        <v/>
      </c>
      <c r="O6817" s="33">
        <f t="shared" si="325"/>
        <v>0</v>
      </c>
    </row>
    <row r="6818" spans="1:15" x14ac:dyDescent="0.25">
      <c r="A6818" s="64" t="s">
        <v>195</v>
      </c>
      <c r="B6818" s="79" t="str">
        <f>IF('Twenty-Eighth'!B71="", "",'Twenty-Eighth'!B71)</f>
        <v/>
      </c>
      <c r="C6818" s="66" t="str">
        <f>IF('Twenty-Eighth'!C71="", "",'Twenty-Eighth'!C71)</f>
        <v/>
      </c>
      <c r="D6818" s="66" t="str">
        <f>IF('Twenty-Eighth'!D71="", "",'Twenty-Eighth'!D71)</f>
        <v/>
      </c>
      <c r="E6818" s="66" t="str">
        <f>IF('Twenty-Eighth'!E71="", "",'Twenty-Eighth'!E71)</f>
        <v/>
      </c>
      <c r="F6818" s="66" t="str">
        <f>IF('Twenty-Eighth'!F71="", "",'Twenty-Eighth'!F71)</f>
        <v/>
      </c>
      <c r="G6818" s="66" t="str">
        <f>IF('Twenty-Eighth'!G71="", "",'Twenty-Eighth'!G71)</f>
        <v/>
      </c>
      <c r="H6818" s="66" t="str">
        <f>IF('Twenty-Eighth'!H71="", "",'Twenty-Eighth'!H71)</f>
        <v/>
      </c>
      <c r="I6818" s="66" t="str">
        <f>IF('Twenty-Eighth'!I71="", "",'Twenty-Eighth'!I71)</f>
        <v/>
      </c>
      <c r="J6818" s="66" t="str">
        <f>IF('Twenty-Eighth'!J71="", "",'Twenty-Eighth'!J71)</f>
        <v/>
      </c>
      <c r="K6818" s="86" t="str">
        <f>IF('Twenty-Eighth'!K71="", "",'Twenty-Eighth'!K71)</f>
        <v/>
      </c>
      <c r="M6818" s="67" t="str">
        <f t="shared" si="323"/>
        <v/>
      </c>
      <c r="N6818" s="76" t="str">
        <f t="shared" si="324"/>
        <v/>
      </c>
      <c r="O6818" s="33">
        <f t="shared" si="325"/>
        <v>0</v>
      </c>
    </row>
    <row r="6819" spans="1:15" x14ac:dyDescent="0.25">
      <c r="A6819" s="64" t="s">
        <v>195</v>
      </c>
      <c r="B6819" s="79" t="str">
        <f>IF('Twenty-Eighth'!B72="", "",'Twenty-Eighth'!B72)</f>
        <v/>
      </c>
      <c r="C6819" s="66" t="str">
        <f>IF('Twenty-Eighth'!C72="", "",'Twenty-Eighth'!C72)</f>
        <v/>
      </c>
      <c r="D6819" s="66" t="str">
        <f>IF('Twenty-Eighth'!D72="", "",'Twenty-Eighth'!D72)</f>
        <v/>
      </c>
      <c r="E6819" s="66" t="str">
        <f>IF('Twenty-Eighth'!E72="", "",'Twenty-Eighth'!E72)</f>
        <v/>
      </c>
      <c r="F6819" s="66" t="str">
        <f>IF('Twenty-Eighth'!F72="", "",'Twenty-Eighth'!F72)</f>
        <v/>
      </c>
      <c r="G6819" s="66" t="str">
        <f>IF('Twenty-Eighth'!G72="", "",'Twenty-Eighth'!G72)</f>
        <v/>
      </c>
      <c r="H6819" s="66" t="str">
        <f>IF('Twenty-Eighth'!H72="", "",'Twenty-Eighth'!H72)</f>
        <v/>
      </c>
      <c r="I6819" s="66" t="str">
        <f>IF('Twenty-Eighth'!I72="", "",'Twenty-Eighth'!I72)</f>
        <v/>
      </c>
      <c r="J6819" s="66" t="str">
        <f>IF('Twenty-Eighth'!J72="", "",'Twenty-Eighth'!J72)</f>
        <v/>
      </c>
      <c r="K6819" s="86" t="str">
        <f>IF('Twenty-Eighth'!K72="", "",'Twenty-Eighth'!K72)</f>
        <v/>
      </c>
      <c r="M6819" s="67" t="str">
        <f t="shared" si="323"/>
        <v/>
      </c>
      <c r="N6819" s="76" t="str">
        <f t="shared" si="324"/>
        <v/>
      </c>
      <c r="O6819" s="33">
        <f t="shared" si="325"/>
        <v>0</v>
      </c>
    </row>
    <row r="6820" spans="1:15" x14ac:dyDescent="0.25">
      <c r="A6820" s="64" t="s">
        <v>195</v>
      </c>
      <c r="B6820" s="79" t="str">
        <f>IF('Twenty-Eighth'!B73="", "",'Twenty-Eighth'!B73)</f>
        <v/>
      </c>
      <c r="C6820" s="66" t="str">
        <f>IF('Twenty-Eighth'!C73="", "",'Twenty-Eighth'!C73)</f>
        <v/>
      </c>
      <c r="D6820" s="66" t="str">
        <f>IF('Twenty-Eighth'!D73="", "",'Twenty-Eighth'!D73)</f>
        <v/>
      </c>
      <c r="E6820" s="66" t="str">
        <f>IF('Twenty-Eighth'!E73="", "",'Twenty-Eighth'!E73)</f>
        <v/>
      </c>
      <c r="F6820" s="66" t="str">
        <f>IF('Twenty-Eighth'!F73="", "",'Twenty-Eighth'!F73)</f>
        <v/>
      </c>
      <c r="G6820" s="66" t="str">
        <f>IF('Twenty-Eighth'!G73="", "",'Twenty-Eighth'!G73)</f>
        <v/>
      </c>
      <c r="H6820" s="66" t="str">
        <f>IF('Twenty-Eighth'!H73="", "",'Twenty-Eighth'!H73)</f>
        <v/>
      </c>
      <c r="I6820" s="66" t="str">
        <f>IF('Twenty-Eighth'!I73="", "",'Twenty-Eighth'!I73)</f>
        <v/>
      </c>
      <c r="J6820" s="66" t="str">
        <f>IF('Twenty-Eighth'!J73="", "",'Twenty-Eighth'!J73)</f>
        <v/>
      </c>
      <c r="K6820" s="86" t="str">
        <f>IF('Twenty-Eighth'!K73="", "",'Twenty-Eighth'!K73)</f>
        <v/>
      </c>
      <c r="M6820" s="67" t="str">
        <f t="shared" si="323"/>
        <v/>
      </c>
      <c r="N6820" s="76" t="str">
        <f t="shared" si="324"/>
        <v/>
      </c>
      <c r="O6820" s="33">
        <f t="shared" si="325"/>
        <v>0</v>
      </c>
    </row>
    <row r="6821" spans="1:15" x14ac:dyDescent="0.25">
      <c r="A6821" s="64" t="s">
        <v>195</v>
      </c>
      <c r="B6821" s="79" t="str">
        <f>IF('Twenty-Eighth'!B74="", "",'Twenty-Eighth'!B74)</f>
        <v/>
      </c>
      <c r="C6821" s="66" t="str">
        <f>IF('Twenty-Eighth'!C74="", "",'Twenty-Eighth'!C74)</f>
        <v/>
      </c>
      <c r="D6821" s="66" t="str">
        <f>IF('Twenty-Eighth'!D74="", "",'Twenty-Eighth'!D74)</f>
        <v/>
      </c>
      <c r="E6821" s="66" t="str">
        <f>IF('Twenty-Eighth'!E74="", "",'Twenty-Eighth'!E74)</f>
        <v/>
      </c>
      <c r="F6821" s="66" t="str">
        <f>IF('Twenty-Eighth'!F74="", "",'Twenty-Eighth'!F74)</f>
        <v/>
      </c>
      <c r="G6821" s="66" t="str">
        <f>IF('Twenty-Eighth'!G74="", "",'Twenty-Eighth'!G74)</f>
        <v/>
      </c>
      <c r="H6821" s="66" t="str">
        <f>IF('Twenty-Eighth'!H74="", "",'Twenty-Eighth'!H74)</f>
        <v/>
      </c>
      <c r="I6821" s="66" t="str">
        <f>IF('Twenty-Eighth'!I74="", "",'Twenty-Eighth'!I74)</f>
        <v/>
      </c>
      <c r="J6821" s="66" t="str">
        <f>IF('Twenty-Eighth'!J74="", "",'Twenty-Eighth'!J74)</f>
        <v/>
      </c>
      <c r="K6821" s="86" t="str">
        <f>IF('Twenty-Eighth'!K74="", "",'Twenty-Eighth'!K74)</f>
        <v/>
      </c>
      <c r="M6821" s="67" t="str">
        <f t="shared" si="323"/>
        <v/>
      </c>
      <c r="N6821" s="76" t="str">
        <f t="shared" si="324"/>
        <v/>
      </c>
      <c r="O6821" s="33">
        <f t="shared" si="325"/>
        <v>0</v>
      </c>
    </row>
    <row r="6822" spans="1:15" x14ac:dyDescent="0.25">
      <c r="A6822" s="64" t="s">
        <v>195</v>
      </c>
      <c r="B6822" s="79" t="str">
        <f>IF('Twenty-Eighth'!B75="", "",'Twenty-Eighth'!B75)</f>
        <v/>
      </c>
      <c r="C6822" s="66" t="str">
        <f>IF('Twenty-Eighth'!C75="", "",'Twenty-Eighth'!C75)</f>
        <v/>
      </c>
      <c r="D6822" s="66" t="str">
        <f>IF('Twenty-Eighth'!D75="", "",'Twenty-Eighth'!D75)</f>
        <v/>
      </c>
      <c r="E6822" s="66" t="str">
        <f>IF('Twenty-Eighth'!E75="", "",'Twenty-Eighth'!E75)</f>
        <v/>
      </c>
      <c r="F6822" s="66" t="str">
        <f>IF('Twenty-Eighth'!F75="", "",'Twenty-Eighth'!F75)</f>
        <v/>
      </c>
      <c r="G6822" s="66" t="str">
        <f>IF('Twenty-Eighth'!G75="", "",'Twenty-Eighth'!G75)</f>
        <v/>
      </c>
      <c r="H6822" s="66" t="str">
        <f>IF('Twenty-Eighth'!H75="", "",'Twenty-Eighth'!H75)</f>
        <v/>
      </c>
      <c r="I6822" s="66" t="str">
        <f>IF('Twenty-Eighth'!I75="", "",'Twenty-Eighth'!I75)</f>
        <v/>
      </c>
      <c r="J6822" s="66" t="str">
        <f>IF('Twenty-Eighth'!J75="", "",'Twenty-Eighth'!J75)</f>
        <v/>
      </c>
      <c r="K6822" s="86" t="str">
        <f>IF('Twenty-Eighth'!K75="", "",'Twenty-Eighth'!K75)</f>
        <v/>
      </c>
      <c r="M6822" s="67" t="str">
        <f t="shared" si="323"/>
        <v/>
      </c>
      <c r="N6822" s="76" t="str">
        <f t="shared" si="324"/>
        <v/>
      </c>
      <c r="O6822" s="33">
        <f t="shared" si="325"/>
        <v>0</v>
      </c>
    </row>
    <row r="6823" spans="1:15" x14ac:dyDescent="0.25">
      <c r="A6823" s="64" t="s">
        <v>195</v>
      </c>
      <c r="B6823" s="79" t="str">
        <f>IF('Twenty-Eighth'!B76="", "",'Twenty-Eighth'!B76)</f>
        <v/>
      </c>
      <c r="C6823" s="66" t="str">
        <f>IF('Twenty-Eighth'!C76="", "",'Twenty-Eighth'!C76)</f>
        <v/>
      </c>
      <c r="D6823" s="66" t="str">
        <f>IF('Twenty-Eighth'!D76="", "",'Twenty-Eighth'!D76)</f>
        <v/>
      </c>
      <c r="E6823" s="66" t="str">
        <f>IF('Twenty-Eighth'!E76="", "",'Twenty-Eighth'!E76)</f>
        <v/>
      </c>
      <c r="F6823" s="66" t="str">
        <f>IF('Twenty-Eighth'!F76="", "",'Twenty-Eighth'!F76)</f>
        <v/>
      </c>
      <c r="G6823" s="66" t="str">
        <f>IF('Twenty-Eighth'!G76="", "",'Twenty-Eighth'!G76)</f>
        <v/>
      </c>
      <c r="H6823" s="66" t="str">
        <f>IF('Twenty-Eighth'!H76="", "",'Twenty-Eighth'!H76)</f>
        <v/>
      </c>
      <c r="I6823" s="66" t="str">
        <f>IF('Twenty-Eighth'!I76="", "",'Twenty-Eighth'!I76)</f>
        <v/>
      </c>
      <c r="J6823" s="66" t="str">
        <f>IF('Twenty-Eighth'!J76="", "",'Twenty-Eighth'!J76)</f>
        <v/>
      </c>
      <c r="K6823" s="86" t="str">
        <f>IF('Twenty-Eighth'!K76="", "",'Twenty-Eighth'!K76)</f>
        <v/>
      </c>
      <c r="M6823" s="67" t="str">
        <f t="shared" si="323"/>
        <v/>
      </c>
      <c r="N6823" s="76" t="str">
        <f t="shared" si="324"/>
        <v/>
      </c>
      <c r="O6823" s="33">
        <f t="shared" si="325"/>
        <v>0</v>
      </c>
    </row>
    <row r="6824" spans="1:15" x14ac:dyDescent="0.25">
      <c r="A6824" s="64" t="s">
        <v>195</v>
      </c>
      <c r="B6824" s="79" t="str">
        <f>IF('Twenty-Eighth'!B77="", "",'Twenty-Eighth'!B77)</f>
        <v/>
      </c>
      <c r="C6824" s="66" t="str">
        <f>IF('Twenty-Eighth'!C77="", "",'Twenty-Eighth'!C77)</f>
        <v/>
      </c>
      <c r="D6824" s="66" t="str">
        <f>IF('Twenty-Eighth'!D77="", "",'Twenty-Eighth'!D77)</f>
        <v/>
      </c>
      <c r="E6824" s="66" t="str">
        <f>IF('Twenty-Eighth'!E77="", "",'Twenty-Eighth'!E77)</f>
        <v/>
      </c>
      <c r="F6824" s="66" t="str">
        <f>IF('Twenty-Eighth'!F77="", "",'Twenty-Eighth'!F77)</f>
        <v/>
      </c>
      <c r="G6824" s="66" t="str">
        <f>IF('Twenty-Eighth'!G77="", "",'Twenty-Eighth'!G77)</f>
        <v/>
      </c>
      <c r="H6824" s="66" t="str">
        <f>IF('Twenty-Eighth'!H77="", "",'Twenty-Eighth'!H77)</f>
        <v/>
      </c>
      <c r="I6824" s="66" t="str">
        <f>IF('Twenty-Eighth'!I77="", "",'Twenty-Eighth'!I77)</f>
        <v/>
      </c>
      <c r="J6824" s="66" t="str">
        <f>IF('Twenty-Eighth'!J77="", "",'Twenty-Eighth'!J77)</f>
        <v/>
      </c>
      <c r="K6824" s="86" t="str">
        <f>IF('Twenty-Eighth'!K77="", "",'Twenty-Eighth'!K77)</f>
        <v/>
      </c>
      <c r="M6824" s="67" t="str">
        <f t="shared" si="323"/>
        <v/>
      </c>
      <c r="N6824" s="76" t="str">
        <f t="shared" si="324"/>
        <v/>
      </c>
      <c r="O6824" s="33">
        <f t="shared" si="325"/>
        <v>0</v>
      </c>
    </row>
    <row r="6825" spans="1:15" x14ac:dyDescent="0.25">
      <c r="A6825" s="64" t="s">
        <v>195</v>
      </c>
      <c r="B6825" s="79" t="str">
        <f>IF('Twenty-Eighth'!B78="", "",'Twenty-Eighth'!B78)</f>
        <v/>
      </c>
      <c r="C6825" s="66" t="str">
        <f>IF('Twenty-Eighth'!C78="", "",'Twenty-Eighth'!C78)</f>
        <v/>
      </c>
      <c r="D6825" s="66" t="str">
        <f>IF('Twenty-Eighth'!D78="", "",'Twenty-Eighth'!D78)</f>
        <v/>
      </c>
      <c r="E6825" s="66" t="str">
        <f>IF('Twenty-Eighth'!E78="", "",'Twenty-Eighth'!E78)</f>
        <v/>
      </c>
      <c r="F6825" s="66" t="str">
        <f>IF('Twenty-Eighth'!F78="", "",'Twenty-Eighth'!F78)</f>
        <v/>
      </c>
      <c r="G6825" s="66" t="str">
        <f>IF('Twenty-Eighth'!G78="", "",'Twenty-Eighth'!G78)</f>
        <v/>
      </c>
      <c r="H6825" s="66" t="str">
        <f>IF('Twenty-Eighth'!H78="", "",'Twenty-Eighth'!H78)</f>
        <v/>
      </c>
      <c r="I6825" s="66" t="str">
        <f>IF('Twenty-Eighth'!I78="", "",'Twenty-Eighth'!I78)</f>
        <v/>
      </c>
      <c r="J6825" s="66" t="str">
        <f>IF('Twenty-Eighth'!J78="", "",'Twenty-Eighth'!J78)</f>
        <v/>
      </c>
      <c r="K6825" s="86" t="str">
        <f>IF('Twenty-Eighth'!K78="", "",'Twenty-Eighth'!K78)</f>
        <v/>
      </c>
      <c r="M6825" s="67" t="str">
        <f t="shared" si="323"/>
        <v/>
      </c>
      <c r="N6825" s="76" t="str">
        <f t="shared" si="324"/>
        <v/>
      </c>
      <c r="O6825" s="33">
        <f t="shared" si="325"/>
        <v>0</v>
      </c>
    </row>
    <row r="6826" spans="1:15" x14ac:dyDescent="0.25">
      <c r="A6826" s="64" t="s">
        <v>195</v>
      </c>
      <c r="B6826" s="79" t="str">
        <f>IF('Twenty-Eighth'!B79="", "",'Twenty-Eighth'!B79)</f>
        <v/>
      </c>
      <c r="C6826" s="66" t="str">
        <f>IF('Twenty-Eighth'!C79="", "",'Twenty-Eighth'!C79)</f>
        <v/>
      </c>
      <c r="D6826" s="66" t="str">
        <f>IF('Twenty-Eighth'!D79="", "",'Twenty-Eighth'!D79)</f>
        <v/>
      </c>
      <c r="E6826" s="66" t="str">
        <f>IF('Twenty-Eighth'!E79="", "",'Twenty-Eighth'!E79)</f>
        <v/>
      </c>
      <c r="F6826" s="66" t="str">
        <f>IF('Twenty-Eighth'!F79="", "",'Twenty-Eighth'!F79)</f>
        <v/>
      </c>
      <c r="G6826" s="66" t="str">
        <f>IF('Twenty-Eighth'!G79="", "",'Twenty-Eighth'!G79)</f>
        <v/>
      </c>
      <c r="H6826" s="66" t="str">
        <f>IF('Twenty-Eighth'!H79="", "",'Twenty-Eighth'!H79)</f>
        <v/>
      </c>
      <c r="I6826" s="66" t="str">
        <f>IF('Twenty-Eighth'!I79="", "",'Twenty-Eighth'!I79)</f>
        <v/>
      </c>
      <c r="J6826" s="66" t="str">
        <f>IF('Twenty-Eighth'!J79="", "",'Twenty-Eighth'!J79)</f>
        <v/>
      </c>
      <c r="K6826" s="86" t="str">
        <f>IF('Twenty-Eighth'!K79="", "",'Twenty-Eighth'!K79)</f>
        <v/>
      </c>
      <c r="M6826" s="67" t="str">
        <f t="shared" si="323"/>
        <v/>
      </c>
      <c r="N6826" s="76" t="str">
        <f t="shared" si="324"/>
        <v/>
      </c>
      <c r="O6826" s="33">
        <f t="shared" si="325"/>
        <v>0</v>
      </c>
    </row>
    <row r="6827" spans="1:15" x14ac:dyDescent="0.25">
      <c r="A6827" s="64" t="s">
        <v>195</v>
      </c>
      <c r="B6827" s="79" t="str">
        <f>IF('Twenty-Eighth'!B80="", "",'Twenty-Eighth'!B80)</f>
        <v/>
      </c>
      <c r="C6827" s="66" t="str">
        <f>IF('Twenty-Eighth'!C80="", "",'Twenty-Eighth'!C80)</f>
        <v/>
      </c>
      <c r="D6827" s="66" t="str">
        <f>IF('Twenty-Eighth'!D80="", "",'Twenty-Eighth'!D80)</f>
        <v/>
      </c>
      <c r="E6827" s="66" t="str">
        <f>IF('Twenty-Eighth'!E80="", "",'Twenty-Eighth'!E80)</f>
        <v/>
      </c>
      <c r="F6827" s="66" t="str">
        <f>IF('Twenty-Eighth'!F80="", "",'Twenty-Eighth'!F80)</f>
        <v/>
      </c>
      <c r="G6827" s="66" t="str">
        <f>IF('Twenty-Eighth'!G80="", "",'Twenty-Eighth'!G80)</f>
        <v/>
      </c>
      <c r="H6827" s="66" t="str">
        <f>IF('Twenty-Eighth'!H80="", "",'Twenty-Eighth'!H80)</f>
        <v/>
      </c>
      <c r="I6827" s="66" t="str">
        <f>IF('Twenty-Eighth'!I80="", "",'Twenty-Eighth'!I80)</f>
        <v/>
      </c>
      <c r="J6827" s="66" t="str">
        <f>IF('Twenty-Eighth'!J80="", "",'Twenty-Eighth'!J80)</f>
        <v/>
      </c>
      <c r="K6827" s="86" t="str">
        <f>IF('Twenty-Eighth'!K80="", "",'Twenty-Eighth'!K80)</f>
        <v/>
      </c>
      <c r="M6827" s="67" t="str">
        <f t="shared" si="323"/>
        <v/>
      </c>
      <c r="N6827" s="76" t="str">
        <f t="shared" si="324"/>
        <v/>
      </c>
      <c r="O6827" s="33">
        <f t="shared" si="325"/>
        <v>0</v>
      </c>
    </row>
    <row r="6828" spans="1:15" x14ac:dyDescent="0.25">
      <c r="A6828" s="64" t="s">
        <v>195</v>
      </c>
      <c r="B6828" s="79" t="str">
        <f>IF('Twenty-Eighth'!B81="", "",'Twenty-Eighth'!B81)</f>
        <v/>
      </c>
      <c r="C6828" s="66" t="str">
        <f>IF('Twenty-Eighth'!C81="", "",'Twenty-Eighth'!C81)</f>
        <v/>
      </c>
      <c r="D6828" s="66" t="str">
        <f>IF('Twenty-Eighth'!D81="", "",'Twenty-Eighth'!D81)</f>
        <v/>
      </c>
      <c r="E6828" s="66" t="str">
        <f>IF('Twenty-Eighth'!E81="", "",'Twenty-Eighth'!E81)</f>
        <v/>
      </c>
      <c r="F6828" s="66" t="str">
        <f>IF('Twenty-Eighth'!F81="", "",'Twenty-Eighth'!F81)</f>
        <v/>
      </c>
      <c r="G6828" s="66" t="str">
        <f>IF('Twenty-Eighth'!G81="", "",'Twenty-Eighth'!G81)</f>
        <v/>
      </c>
      <c r="H6828" s="66" t="str">
        <f>IF('Twenty-Eighth'!H81="", "",'Twenty-Eighth'!H81)</f>
        <v/>
      </c>
      <c r="I6828" s="66" t="str">
        <f>IF('Twenty-Eighth'!I81="", "",'Twenty-Eighth'!I81)</f>
        <v/>
      </c>
      <c r="J6828" s="66" t="str">
        <f>IF('Twenty-Eighth'!J81="", "",'Twenty-Eighth'!J81)</f>
        <v/>
      </c>
      <c r="K6828" s="86" t="str">
        <f>IF('Twenty-Eighth'!K81="", "",'Twenty-Eighth'!K81)</f>
        <v/>
      </c>
      <c r="M6828" s="67" t="str">
        <f t="shared" si="323"/>
        <v/>
      </c>
      <c r="N6828" s="76" t="str">
        <f t="shared" si="324"/>
        <v/>
      </c>
      <c r="O6828" s="33">
        <f t="shared" si="325"/>
        <v>0</v>
      </c>
    </row>
    <row r="6829" spans="1:15" x14ac:dyDescent="0.25">
      <c r="A6829" s="64" t="s">
        <v>195</v>
      </c>
      <c r="B6829" s="79" t="str">
        <f>IF('Twenty-Eighth'!B82="", "",'Twenty-Eighth'!B82)</f>
        <v/>
      </c>
      <c r="C6829" s="66" t="str">
        <f>IF('Twenty-Eighth'!C82="", "",'Twenty-Eighth'!C82)</f>
        <v/>
      </c>
      <c r="D6829" s="66" t="str">
        <f>IF('Twenty-Eighth'!D82="", "",'Twenty-Eighth'!D82)</f>
        <v/>
      </c>
      <c r="E6829" s="66" t="str">
        <f>IF('Twenty-Eighth'!E82="", "",'Twenty-Eighth'!E82)</f>
        <v/>
      </c>
      <c r="F6829" s="66" t="str">
        <f>IF('Twenty-Eighth'!F82="", "",'Twenty-Eighth'!F82)</f>
        <v/>
      </c>
      <c r="G6829" s="66" t="str">
        <f>IF('Twenty-Eighth'!G82="", "",'Twenty-Eighth'!G82)</f>
        <v/>
      </c>
      <c r="H6829" s="66" t="str">
        <f>IF('Twenty-Eighth'!H82="", "",'Twenty-Eighth'!H82)</f>
        <v/>
      </c>
      <c r="I6829" s="66" t="str">
        <f>IF('Twenty-Eighth'!I82="", "",'Twenty-Eighth'!I82)</f>
        <v/>
      </c>
      <c r="J6829" s="66" t="str">
        <f>IF('Twenty-Eighth'!J82="", "",'Twenty-Eighth'!J82)</f>
        <v/>
      </c>
      <c r="K6829" s="86" t="str">
        <f>IF('Twenty-Eighth'!K82="", "",'Twenty-Eighth'!K82)</f>
        <v/>
      </c>
      <c r="M6829" s="67" t="str">
        <f t="shared" si="323"/>
        <v/>
      </c>
      <c r="N6829" s="76" t="str">
        <f t="shared" si="324"/>
        <v/>
      </c>
      <c r="O6829" s="33">
        <f t="shared" si="325"/>
        <v>0</v>
      </c>
    </row>
    <row r="6830" spans="1:15" x14ac:dyDescent="0.25">
      <c r="A6830" s="64" t="s">
        <v>195</v>
      </c>
      <c r="B6830" s="79" t="str">
        <f>IF('Twenty-Eighth'!B83="", "",'Twenty-Eighth'!B83)</f>
        <v/>
      </c>
      <c r="C6830" s="66" t="str">
        <f>IF('Twenty-Eighth'!C83="", "",'Twenty-Eighth'!C83)</f>
        <v/>
      </c>
      <c r="D6830" s="66" t="str">
        <f>IF('Twenty-Eighth'!D83="", "",'Twenty-Eighth'!D83)</f>
        <v/>
      </c>
      <c r="E6830" s="66" t="str">
        <f>IF('Twenty-Eighth'!E83="", "",'Twenty-Eighth'!E83)</f>
        <v/>
      </c>
      <c r="F6830" s="66" t="str">
        <f>IF('Twenty-Eighth'!F83="", "",'Twenty-Eighth'!F83)</f>
        <v/>
      </c>
      <c r="G6830" s="66" t="str">
        <f>IF('Twenty-Eighth'!G83="", "",'Twenty-Eighth'!G83)</f>
        <v/>
      </c>
      <c r="H6830" s="66" t="str">
        <f>IF('Twenty-Eighth'!H83="", "",'Twenty-Eighth'!H83)</f>
        <v/>
      </c>
      <c r="I6830" s="66" t="str">
        <f>IF('Twenty-Eighth'!I83="", "",'Twenty-Eighth'!I83)</f>
        <v/>
      </c>
      <c r="J6830" s="66" t="str">
        <f>IF('Twenty-Eighth'!J83="", "",'Twenty-Eighth'!J83)</f>
        <v/>
      </c>
      <c r="K6830" s="86" t="str">
        <f>IF('Twenty-Eighth'!K83="", "",'Twenty-Eighth'!K83)</f>
        <v/>
      </c>
      <c r="M6830" s="67" t="str">
        <f t="shared" si="323"/>
        <v/>
      </c>
      <c r="N6830" s="76" t="str">
        <f t="shared" si="324"/>
        <v/>
      </c>
      <c r="O6830" s="33">
        <f t="shared" si="325"/>
        <v>0</v>
      </c>
    </row>
    <row r="6831" spans="1:15" x14ac:dyDescent="0.25">
      <c r="A6831" s="64" t="s">
        <v>195</v>
      </c>
      <c r="B6831" s="79" t="str">
        <f>IF('Twenty-Eighth'!B84="", "",'Twenty-Eighth'!B84)</f>
        <v/>
      </c>
      <c r="C6831" s="66" t="str">
        <f>IF('Twenty-Eighth'!C84="", "",'Twenty-Eighth'!C84)</f>
        <v/>
      </c>
      <c r="D6831" s="66" t="str">
        <f>IF('Twenty-Eighth'!D84="", "",'Twenty-Eighth'!D84)</f>
        <v/>
      </c>
      <c r="E6831" s="66" t="str">
        <f>IF('Twenty-Eighth'!E84="", "",'Twenty-Eighth'!E84)</f>
        <v/>
      </c>
      <c r="F6831" s="66" t="str">
        <f>IF('Twenty-Eighth'!F84="", "",'Twenty-Eighth'!F84)</f>
        <v/>
      </c>
      <c r="G6831" s="66" t="str">
        <f>IF('Twenty-Eighth'!G84="", "",'Twenty-Eighth'!G84)</f>
        <v/>
      </c>
      <c r="H6831" s="66" t="str">
        <f>IF('Twenty-Eighth'!H84="", "",'Twenty-Eighth'!H84)</f>
        <v/>
      </c>
      <c r="I6831" s="66" t="str">
        <f>IF('Twenty-Eighth'!I84="", "",'Twenty-Eighth'!I84)</f>
        <v/>
      </c>
      <c r="J6831" s="66" t="str">
        <f>IF('Twenty-Eighth'!J84="", "",'Twenty-Eighth'!J84)</f>
        <v/>
      </c>
      <c r="K6831" s="86" t="str">
        <f>IF('Twenty-Eighth'!K84="", "",'Twenty-Eighth'!K84)</f>
        <v/>
      </c>
      <c r="M6831" s="67" t="str">
        <f t="shared" si="323"/>
        <v/>
      </c>
      <c r="N6831" s="76" t="str">
        <f t="shared" si="324"/>
        <v/>
      </c>
      <c r="O6831" s="33">
        <f t="shared" si="325"/>
        <v>0</v>
      </c>
    </row>
    <row r="6832" spans="1:15" x14ac:dyDescent="0.25">
      <c r="A6832" s="64" t="s">
        <v>195</v>
      </c>
      <c r="B6832" s="79" t="str">
        <f>IF('Twenty-Eighth'!B85="", "",'Twenty-Eighth'!B85)</f>
        <v/>
      </c>
      <c r="C6832" s="66" t="str">
        <f>IF('Twenty-Eighth'!C85="", "",'Twenty-Eighth'!C85)</f>
        <v/>
      </c>
      <c r="D6832" s="66" t="str">
        <f>IF('Twenty-Eighth'!D85="", "",'Twenty-Eighth'!D85)</f>
        <v/>
      </c>
      <c r="E6832" s="66" t="str">
        <f>IF('Twenty-Eighth'!E85="", "",'Twenty-Eighth'!E85)</f>
        <v/>
      </c>
      <c r="F6832" s="66" t="str">
        <f>IF('Twenty-Eighth'!F85="", "",'Twenty-Eighth'!F85)</f>
        <v/>
      </c>
      <c r="G6832" s="66" t="str">
        <f>IF('Twenty-Eighth'!G85="", "",'Twenty-Eighth'!G85)</f>
        <v/>
      </c>
      <c r="H6832" s="66" t="str">
        <f>IF('Twenty-Eighth'!H85="", "",'Twenty-Eighth'!H85)</f>
        <v/>
      </c>
      <c r="I6832" s="66" t="str">
        <f>IF('Twenty-Eighth'!I85="", "",'Twenty-Eighth'!I85)</f>
        <v/>
      </c>
      <c r="J6832" s="66" t="str">
        <f>IF('Twenty-Eighth'!J85="", "",'Twenty-Eighth'!J85)</f>
        <v/>
      </c>
      <c r="K6832" s="86" t="str">
        <f>IF('Twenty-Eighth'!K85="", "",'Twenty-Eighth'!K85)</f>
        <v/>
      </c>
      <c r="M6832" s="67" t="str">
        <f t="shared" si="323"/>
        <v/>
      </c>
      <c r="N6832" s="76" t="str">
        <f t="shared" si="324"/>
        <v/>
      </c>
      <c r="O6832" s="33">
        <f t="shared" si="325"/>
        <v>0</v>
      </c>
    </row>
    <row r="6833" spans="1:15" x14ac:dyDescent="0.25">
      <c r="A6833" s="64" t="s">
        <v>195</v>
      </c>
      <c r="B6833" s="79" t="str">
        <f>IF('Twenty-Eighth'!B86="", "",'Twenty-Eighth'!B86)</f>
        <v/>
      </c>
      <c r="C6833" s="66" t="str">
        <f>IF('Twenty-Eighth'!C86="", "",'Twenty-Eighth'!C86)</f>
        <v/>
      </c>
      <c r="D6833" s="66" t="str">
        <f>IF('Twenty-Eighth'!D86="", "",'Twenty-Eighth'!D86)</f>
        <v/>
      </c>
      <c r="E6833" s="66" t="str">
        <f>IF('Twenty-Eighth'!E86="", "",'Twenty-Eighth'!E86)</f>
        <v/>
      </c>
      <c r="F6833" s="66" t="str">
        <f>IF('Twenty-Eighth'!F86="", "",'Twenty-Eighth'!F86)</f>
        <v/>
      </c>
      <c r="G6833" s="66" t="str">
        <f>IF('Twenty-Eighth'!G86="", "",'Twenty-Eighth'!G86)</f>
        <v/>
      </c>
      <c r="H6833" s="66" t="str">
        <f>IF('Twenty-Eighth'!H86="", "",'Twenty-Eighth'!H86)</f>
        <v/>
      </c>
      <c r="I6833" s="66" t="str">
        <f>IF('Twenty-Eighth'!I86="", "",'Twenty-Eighth'!I86)</f>
        <v/>
      </c>
      <c r="J6833" s="66" t="str">
        <f>IF('Twenty-Eighth'!J86="", "",'Twenty-Eighth'!J86)</f>
        <v/>
      </c>
      <c r="K6833" s="86" t="str">
        <f>IF('Twenty-Eighth'!K86="", "",'Twenty-Eighth'!K86)</f>
        <v/>
      </c>
      <c r="M6833" s="67" t="str">
        <f t="shared" si="323"/>
        <v/>
      </c>
      <c r="N6833" s="76" t="str">
        <f t="shared" si="324"/>
        <v/>
      </c>
      <c r="O6833" s="33">
        <f t="shared" si="325"/>
        <v>0</v>
      </c>
    </row>
    <row r="6834" spans="1:15" x14ac:dyDescent="0.25">
      <c r="A6834" s="64" t="s">
        <v>195</v>
      </c>
      <c r="B6834" s="79" t="str">
        <f>IF('Twenty-Eighth'!B87="", "",'Twenty-Eighth'!B87)</f>
        <v/>
      </c>
      <c r="C6834" s="66" t="str">
        <f>IF('Twenty-Eighth'!C87="", "",'Twenty-Eighth'!C87)</f>
        <v/>
      </c>
      <c r="D6834" s="66" t="str">
        <f>IF('Twenty-Eighth'!D87="", "",'Twenty-Eighth'!D87)</f>
        <v/>
      </c>
      <c r="E6834" s="66" t="str">
        <f>IF('Twenty-Eighth'!E87="", "",'Twenty-Eighth'!E87)</f>
        <v/>
      </c>
      <c r="F6834" s="66" t="str">
        <f>IF('Twenty-Eighth'!F87="", "",'Twenty-Eighth'!F87)</f>
        <v/>
      </c>
      <c r="G6834" s="66" t="str">
        <f>IF('Twenty-Eighth'!G87="", "",'Twenty-Eighth'!G87)</f>
        <v/>
      </c>
      <c r="H6834" s="66" t="str">
        <f>IF('Twenty-Eighth'!H87="", "",'Twenty-Eighth'!H87)</f>
        <v/>
      </c>
      <c r="I6834" s="66" t="str">
        <f>IF('Twenty-Eighth'!I87="", "",'Twenty-Eighth'!I87)</f>
        <v/>
      </c>
      <c r="J6834" s="66" t="str">
        <f>IF('Twenty-Eighth'!J87="", "",'Twenty-Eighth'!J87)</f>
        <v/>
      </c>
      <c r="K6834" s="86" t="str">
        <f>IF('Twenty-Eighth'!K87="", "",'Twenty-Eighth'!K87)</f>
        <v/>
      </c>
      <c r="M6834" s="67" t="str">
        <f t="shared" si="323"/>
        <v/>
      </c>
      <c r="N6834" s="76" t="str">
        <f t="shared" si="324"/>
        <v/>
      </c>
      <c r="O6834" s="33">
        <f t="shared" si="325"/>
        <v>0</v>
      </c>
    </row>
    <row r="6835" spans="1:15" x14ac:dyDescent="0.25">
      <c r="A6835" s="64" t="s">
        <v>195</v>
      </c>
      <c r="B6835" s="79" t="str">
        <f>IF('Twenty-Eighth'!B88="", "",'Twenty-Eighth'!B88)</f>
        <v/>
      </c>
      <c r="C6835" s="66" t="str">
        <f>IF('Twenty-Eighth'!C88="", "",'Twenty-Eighth'!C88)</f>
        <v/>
      </c>
      <c r="D6835" s="66" t="str">
        <f>IF('Twenty-Eighth'!D88="", "",'Twenty-Eighth'!D88)</f>
        <v/>
      </c>
      <c r="E6835" s="66" t="str">
        <f>IF('Twenty-Eighth'!E88="", "",'Twenty-Eighth'!E88)</f>
        <v/>
      </c>
      <c r="F6835" s="66" t="str">
        <f>IF('Twenty-Eighth'!F88="", "",'Twenty-Eighth'!F88)</f>
        <v/>
      </c>
      <c r="G6835" s="66" t="str">
        <f>IF('Twenty-Eighth'!G88="", "",'Twenty-Eighth'!G88)</f>
        <v/>
      </c>
      <c r="H6835" s="66" t="str">
        <f>IF('Twenty-Eighth'!H88="", "",'Twenty-Eighth'!H88)</f>
        <v/>
      </c>
      <c r="I6835" s="66" t="str">
        <f>IF('Twenty-Eighth'!I88="", "",'Twenty-Eighth'!I88)</f>
        <v/>
      </c>
      <c r="J6835" s="66" t="str">
        <f>IF('Twenty-Eighth'!J88="", "",'Twenty-Eighth'!J88)</f>
        <v/>
      </c>
      <c r="K6835" s="86" t="str">
        <f>IF('Twenty-Eighth'!K88="", "",'Twenty-Eighth'!K88)</f>
        <v/>
      </c>
      <c r="M6835" s="67" t="str">
        <f t="shared" si="323"/>
        <v/>
      </c>
      <c r="N6835" s="76" t="str">
        <f t="shared" si="324"/>
        <v/>
      </c>
      <c r="O6835" s="33">
        <f t="shared" si="325"/>
        <v>0</v>
      </c>
    </row>
    <row r="6836" spans="1:15" x14ac:dyDescent="0.25">
      <c r="A6836" s="64" t="s">
        <v>195</v>
      </c>
      <c r="B6836" s="79" t="str">
        <f>IF('Twenty-Eighth'!B89="", "",'Twenty-Eighth'!B89)</f>
        <v/>
      </c>
      <c r="C6836" s="66" t="str">
        <f>IF('Twenty-Eighth'!C89="", "",'Twenty-Eighth'!C89)</f>
        <v/>
      </c>
      <c r="D6836" s="66" t="str">
        <f>IF('Twenty-Eighth'!D89="", "",'Twenty-Eighth'!D89)</f>
        <v/>
      </c>
      <c r="E6836" s="66" t="str">
        <f>IF('Twenty-Eighth'!E89="", "",'Twenty-Eighth'!E89)</f>
        <v/>
      </c>
      <c r="F6836" s="66" t="str">
        <f>IF('Twenty-Eighth'!F89="", "",'Twenty-Eighth'!F89)</f>
        <v/>
      </c>
      <c r="G6836" s="66" t="str">
        <f>IF('Twenty-Eighth'!G89="", "",'Twenty-Eighth'!G89)</f>
        <v/>
      </c>
      <c r="H6836" s="66" t="str">
        <f>IF('Twenty-Eighth'!H89="", "",'Twenty-Eighth'!H89)</f>
        <v/>
      </c>
      <c r="I6836" s="66" t="str">
        <f>IF('Twenty-Eighth'!I89="", "",'Twenty-Eighth'!I89)</f>
        <v/>
      </c>
      <c r="J6836" s="66" t="str">
        <f>IF('Twenty-Eighth'!J89="", "",'Twenty-Eighth'!J89)</f>
        <v/>
      </c>
      <c r="K6836" s="86" t="str">
        <f>IF('Twenty-Eighth'!K89="", "",'Twenty-Eighth'!K89)</f>
        <v/>
      </c>
      <c r="M6836" s="67" t="str">
        <f t="shared" si="323"/>
        <v/>
      </c>
      <c r="N6836" s="76" t="str">
        <f t="shared" si="324"/>
        <v/>
      </c>
      <c r="O6836" s="33">
        <f t="shared" si="325"/>
        <v>0</v>
      </c>
    </row>
    <row r="6837" spans="1:15" x14ac:dyDescent="0.25">
      <c r="A6837" s="64" t="s">
        <v>195</v>
      </c>
      <c r="B6837" s="79" t="str">
        <f>IF('Twenty-Eighth'!B90="", "",'Twenty-Eighth'!B90)</f>
        <v/>
      </c>
      <c r="C6837" s="66" t="str">
        <f>IF('Twenty-Eighth'!C90="", "",'Twenty-Eighth'!C90)</f>
        <v/>
      </c>
      <c r="D6837" s="66" t="str">
        <f>IF('Twenty-Eighth'!D90="", "",'Twenty-Eighth'!D90)</f>
        <v/>
      </c>
      <c r="E6837" s="66" t="str">
        <f>IF('Twenty-Eighth'!E90="", "",'Twenty-Eighth'!E90)</f>
        <v/>
      </c>
      <c r="F6837" s="66" t="str">
        <f>IF('Twenty-Eighth'!F90="", "",'Twenty-Eighth'!F90)</f>
        <v/>
      </c>
      <c r="G6837" s="66" t="str">
        <f>IF('Twenty-Eighth'!G90="", "",'Twenty-Eighth'!G90)</f>
        <v/>
      </c>
      <c r="H6837" s="66" t="str">
        <f>IF('Twenty-Eighth'!H90="", "",'Twenty-Eighth'!H90)</f>
        <v/>
      </c>
      <c r="I6837" s="66" t="str">
        <f>IF('Twenty-Eighth'!I90="", "",'Twenty-Eighth'!I90)</f>
        <v/>
      </c>
      <c r="J6837" s="66" t="str">
        <f>IF('Twenty-Eighth'!J90="", "",'Twenty-Eighth'!J90)</f>
        <v/>
      </c>
      <c r="K6837" s="86" t="str">
        <f>IF('Twenty-Eighth'!K90="", "",'Twenty-Eighth'!K90)</f>
        <v/>
      </c>
      <c r="M6837" s="67" t="str">
        <f t="shared" si="323"/>
        <v/>
      </c>
      <c r="N6837" s="76" t="str">
        <f t="shared" si="324"/>
        <v/>
      </c>
      <c r="O6837" s="33">
        <f t="shared" si="325"/>
        <v>0</v>
      </c>
    </row>
    <row r="6838" spans="1:15" x14ac:dyDescent="0.25">
      <c r="A6838" s="64" t="s">
        <v>195</v>
      </c>
      <c r="B6838" s="79" t="str">
        <f>IF('Twenty-Eighth'!B91="", "",'Twenty-Eighth'!B91)</f>
        <v/>
      </c>
      <c r="C6838" s="66" t="str">
        <f>IF('Twenty-Eighth'!C91="", "",'Twenty-Eighth'!C91)</f>
        <v/>
      </c>
      <c r="D6838" s="66" t="str">
        <f>IF('Twenty-Eighth'!D91="", "",'Twenty-Eighth'!D91)</f>
        <v/>
      </c>
      <c r="E6838" s="66" t="str">
        <f>IF('Twenty-Eighth'!E91="", "",'Twenty-Eighth'!E91)</f>
        <v/>
      </c>
      <c r="F6838" s="66" t="str">
        <f>IF('Twenty-Eighth'!F91="", "",'Twenty-Eighth'!F91)</f>
        <v/>
      </c>
      <c r="G6838" s="66" t="str">
        <f>IF('Twenty-Eighth'!G91="", "",'Twenty-Eighth'!G91)</f>
        <v/>
      </c>
      <c r="H6838" s="66" t="str">
        <f>IF('Twenty-Eighth'!H91="", "",'Twenty-Eighth'!H91)</f>
        <v/>
      </c>
      <c r="I6838" s="66" t="str">
        <f>IF('Twenty-Eighth'!I91="", "",'Twenty-Eighth'!I91)</f>
        <v/>
      </c>
      <c r="J6838" s="66" t="str">
        <f>IF('Twenty-Eighth'!J91="", "",'Twenty-Eighth'!J91)</f>
        <v/>
      </c>
      <c r="K6838" s="86" t="str">
        <f>IF('Twenty-Eighth'!K91="", "",'Twenty-Eighth'!K91)</f>
        <v/>
      </c>
      <c r="M6838" s="67" t="str">
        <f t="shared" si="323"/>
        <v/>
      </c>
      <c r="N6838" s="76" t="str">
        <f t="shared" si="324"/>
        <v/>
      </c>
      <c r="O6838" s="33">
        <f t="shared" si="325"/>
        <v>0</v>
      </c>
    </row>
    <row r="6839" spans="1:15" x14ac:dyDescent="0.25">
      <c r="A6839" s="64" t="s">
        <v>195</v>
      </c>
      <c r="B6839" s="79" t="str">
        <f>IF('Twenty-Eighth'!B92="", "",'Twenty-Eighth'!B92)</f>
        <v/>
      </c>
      <c r="C6839" s="66" t="str">
        <f>IF('Twenty-Eighth'!C92="", "",'Twenty-Eighth'!C92)</f>
        <v/>
      </c>
      <c r="D6839" s="66" t="str">
        <f>IF('Twenty-Eighth'!D92="", "",'Twenty-Eighth'!D92)</f>
        <v/>
      </c>
      <c r="E6839" s="66" t="str">
        <f>IF('Twenty-Eighth'!E92="", "",'Twenty-Eighth'!E92)</f>
        <v/>
      </c>
      <c r="F6839" s="66" t="str">
        <f>IF('Twenty-Eighth'!F92="", "",'Twenty-Eighth'!F92)</f>
        <v/>
      </c>
      <c r="G6839" s="66" t="str">
        <f>IF('Twenty-Eighth'!G92="", "",'Twenty-Eighth'!G92)</f>
        <v/>
      </c>
      <c r="H6839" s="66" t="str">
        <f>IF('Twenty-Eighth'!H92="", "",'Twenty-Eighth'!H92)</f>
        <v/>
      </c>
      <c r="I6839" s="66" t="str">
        <f>IF('Twenty-Eighth'!I92="", "",'Twenty-Eighth'!I92)</f>
        <v/>
      </c>
      <c r="J6839" s="66" t="str">
        <f>IF('Twenty-Eighth'!J92="", "",'Twenty-Eighth'!J92)</f>
        <v/>
      </c>
      <c r="K6839" s="86" t="str">
        <f>IF('Twenty-Eighth'!K92="", "",'Twenty-Eighth'!K92)</f>
        <v/>
      </c>
      <c r="M6839" s="67" t="str">
        <f t="shared" si="323"/>
        <v/>
      </c>
      <c r="N6839" s="76" t="str">
        <f t="shared" si="324"/>
        <v/>
      </c>
      <c r="O6839" s="33">
        <f t="shared" si="325"/>
        <v>0</v>
      </c>
    </row>
    <row r="6840" spans="1:15" x14ac:dyDescent="0.25">
      <c r="A6840" s="64" t="s">
        <v>195</v>
      </c>
      <c r="B6840" s="79" t="str">
        <f>IF('Twenty-Eighth'!B93="", "",'Twenty-Eighth'!B93)</f>
        <v/>
      </c>
      <c r="C6840" s="66" t="str">
        <f>IF('Twenty-Eighth'!C93="", "",'Twenty-Eighth'!C93)</f>
        <v/>
      </c>
      <c r="D6840" s="66" t="str">
        <f>IF('Twenty-Eighth'!D93="", "",'Twenty-Eighth'!D93)</f>
        <v/>
      </c>
      <c r="E6840" s="66" t="str">
        <f>IF('Twenty-Eighth'!E93="", "",'Twenty-Eighth'!E93)</f>
        <v/>
      </c>
      <c r="F6840" s="66" t="str">
        <f>IF('Twenty-Eighth'!F93="", "",'Twenty-Eighth'!F93)</f>
        <v/>
      </c>
      <c r="G6840" s="66" t="str">
        <f>IF('Twenty-Eighth'!G93="", "",'Twenty-Eighth'!G93)</f>
        <v/>
      </c>
      <c r="H6840" s="66" t="str">
        <f>IF('Twenty-Eighth'!H93="", "",'Twenty-Eighth'!H93)</f>
        <v/>
      </c>
      <c r="I6840" s="66" t="str">
        <f>IF('Twenty-Eighth'!I93="", "",'Twenty-Eighth'!I93)</f>
        <v/>
      </c>
      <c r="J6840" s="66" t="str">
        <f>IF('Twenty-Eighth'!J93="", "",'Twenty-Eighth'!J93)</f>
        <v/>
      </c>
      <c r="K6840" s="86" t="str">
        <f>IF('Twenty-Eighth'!K93="", "",'Twenty-Eighth'!K93)</f>
        <v/>
      </c>
      <c r="M6840" s="67" t="str">
        <f t="shared" si="323"/>
        <v/>
      </c>
      <c r="N6840" s="76" t="str">
        <f t="shared" si="324"/>
        <v/>
      </c>
      <c r="O6840" s="33">
        <f t="shared" si="325"/>
        <v>0</v>
      </c>
    </row>
    <row r="6841" spans="1:15" x14ac:dyDescent="0.25">
      <c r="A6841" s="64" t="s">
        <v>195</v>
      </c>
      <c r="B6841" s="79" t="str">
        <f>IF('Twenty-Eighth'!B94="", "",'Twenty-Eighth'!B94)</f>
        <v/>
      </c>
      <c r="C6841" s="66" t="str">
        <f>IF('Twenty-Eighth'!C94="", "",'Twenty-Eighth'!C94)</f>
        <v/>
      </c>
      <c r="D6841" s="66" t="str">
        <f>IF('Twenty-Eighth'!D94="", "",'Twenty-Eighth'!D94)</f>
        <v/>
      </c>
      <c r="E6841" s="66" t="str">
        <f>IF('Twenty-Eighth'!E94="", "",'Twenty-Eighth'!E94)</f>
        <v/>
      </c>
      <c r="F6841" s="66" t="str">
        <f>IF('Twenty-Eighth'!F94="", "",'Twenty-Eighth'!F94)</f>
        <v/>
      </c>
      <c r="G6841" s="66" t="str">
        <f>IF('Twenty-Eighth'!G94="", "",'Twenty-Eighth'!G94)</f>
        <v/>
      </c>
      <c r="H6841" s="66" t="str">
        <f>IF('Twenty-Eighth'!H94="", "",'Twenty-Eighth'!H94)</f>
        <v/>
      </c>
      <c r="I6841" s="66" t="str">
        <f>IF('Twenty-Eighth'!I94="", "",'Twenty-Eighth'!I94)</f>
        <v/>
      </c>
      <c r="J6841" s="66" t="str">
        <f>IF('Twenty-Eighth'!J94="", "",'Twenty-Eighth'!J94)</f>
        <v/>
      </c>
      <c r="K6841" s="86" t="str">
        <f>IF('Twenty-Eighth'!K94="", "",'Twenty-Eighth'!K94)</f>
        <v/>
      </c>
      <c r="M6841" s="67" t="str">
        <f t="shared" si="323"/>
        <v/>
      </c>
      <c r="N6841" s="76" t="str">
        <f t="shared" si="324"/>
        <v/>
      </c>
      <c r="O6841" s="33">
        <f t="shared" si="325"/>
        <v>0</v>
      </c>
    </row>
    <row r="6842" spans="1:15" x14ac:dyDescent="0.25">
      <c r="A6842" s="64" t="s">
        <v>195</v>
      </c>
      <c r="B6842" s="79" t="str">
        <f>IF('Twenty-Eighth'!B95="", "",'Twenty-Eighth'!B95)</f>
        <v/>
      </c>
      <c r="C6842" s="66" t="str">
        <f>IF('Twenty-Eighth'!C95="", "",'Twenty-Eighth'!C95)</f>
        <v/>
      </c>
      <c r="D6842" s="66" t="str">
        <f>IF('Twenty-Eighth'!D95="", "",'Twenty-Eighth'!D95)</f>
        <v/>
      </c>
      <c r="E6842" s="66" t="str">
        <f>IF('Twenty-Eighth'!E95="", "",'Twenty-Eighth'!E95)</f>
        <v/>
      </c>
      <c r="F6842" s="66" t="str">
        <f>IF('Twenty-Eighth'!F95="", "",'Twenty-Eighth'!F95)</f>
        <v/>
      </c>
      <c r="G6842" s="66" t="str">
        <f>IF('Twenty-Eighth'!G95="", "",'Twenty-Eighth'!G95)</f>
        <v/>
      </c>
      <c r="H6842" s="66" t="str">
        <f>IF('Twenty-Eighth'!H95="", "",'Twenty-Eighth'!H95)</f>
        <v/>
      </c>
      <c r="I6842" s="66" t="str">
        <f>IF('Twenty-Eighth'!I95="", "",'Twenty-Eighth'!I95)</f>
        <v/>
      </c>
      <c r="J6842" s="66" t="str">
        <f>IF('Twenty-Eighth'!J95="", "",'Twenty-Eighth'!J95)</f>
        <v/>
      </c>
      <c r="K6842" s="86" t="str">
        <f>IF('Twenty-Eighth'!K95="", "",'Twenty-Eighth'!K95)</f>
        <v/>
      </c>
      <c r="M6842" s="67" t="str">
        <f t="shared" si="323"/>
        <v/>
      </c>
      <c r="N6842" s="76" t="str">
        <f t="shared" si="324"/>
        <v/>
      </c>
      <c r="O6842" s="33">
        <f t="shared" si="325"/>
        <v>0</v>
      </c>
    </row>
    <row r="6843" spans="1:15" x14ac:dyDescent="0.25">
      <c r="A6843" s="64" t="s">
        <v>195</v>
      </c>
      <c r="B6843" s="79" t="str">
        <f>IF('Twenty-Eighth'!B96="", "",'Twenty-Eighth'!B96)</f>
        <v/>
      </c>
      <c r="C6843" s="66" t="str">
        <f>IF('Twenty-Eighth'!C96="", "",'Twenty-Eighth'!C96)</f>
        <v/>
      </c>
      <c r="D6843" s="66" t="str">
        <f>IF('Twenty-Eighth'!D96="", "",'Twenty-Eighth'!D96)</f>
        <v/>
      </c>
      <c r="E6843" s="66" t="str">
        <f>IF('Twenty-Eighth'!E96="", "",'Twenty-Eighth'!E96)</f>
        <v/>
      </c>
      <c r="F6843" s="66" t="str">
        <f>IF('Twenty-Eighth'!F96="", "",'Twenty-Eighth'!F96)</f>
        <v/>
      </c>
      <c r="G6843" s="66" t="str">
        <f>IF('Twenty-Eighth'!G96="", "",'Twenty-Eighth'!G96)</f>
        <v/>
      </c>
      <c r="H6843" s="66" t="str">
        <f>IF('Twenty-Eighth'!H96="", "",'Twenty-Eighth'!H96)</f>
        <v/>
      </c>
      <c r="I6843" s="66" t="str">
        <f>IF('Twenty-Eighth'!I96="", "",'Twenty-Eighth'!I96)</f>
        <v/>
      </c>
      <c r="J6843" s="66" t="str">
        <f>IF('Twenty-Eighth'!J96="", "",'Twenty-Eighth'!J96)</f>
        <v/>
      </c>
      <c r="K6843" s="86" t="str">
        <f>IF('Twenty-Eighth'!K96="", "",'Twenty-Eighth'!K96)</f>
        <v/>
      </c>
      <c r="M6843" s="67" t="str">
        <f t="shared" si="323"/>
        <v/>
      </c>
      <c r="N6843" s="76" t="str">
        <f t="shared" si="324"/>
        <v/>
      </c>
      <c r="O6843" s="33">
        <f t="shared" si="325"/>
        <v>0</v>
      </c>
    </row>
    <row r="6844" spans="1:15" x14ac:dyDescent="0.25">
      <c r="A6844" s="64" t="s">
        <v>195</v>
      </c>
      <c r="B6844" s="79" t="str">
        <f>IF('Twenty-Eighth'!B97="", "",'Twenty-Eighth'!B97)</f>
        <v/>
      </c>
      <c r="C6844" s="66" t="str">
        <f>IF('Twenty-Eighth'!C97="", "",'Twenty-Eighth'!C97)</f>
        <v/>
      </c>
      <c r="D6844" s="66" t="str">
        <f>IF('Twenty-Eighth'!D97="", "",'Twenty-Eighth'!D97)</f>
        <v/>
      </c>
      <c r="E6844" s="66" t="str">
        <f>IF('Twenty-Eighth'!E97="", "",'Twenty-Eighth'!E97)</f>
        <v/>
      </c>
      <c r="F6844" s="66" t="str">
        <f>IF('Twenty-Eighth'!F97="", "",'Twenty-Eighth'!F97)</f>
        <v/>
      </c>
      <c r="G6844" s="66" t="str">
        <f>IF('Twenty-Eighth'!G97="", "",'Twenty-Eighth'!G97)</f>
        <v/>
      </c>
      <c r="H6844" s="66" t="str">
        <f>IF('Twenty-Eighth'!H97="", "",'Twenty-Eighth'!H97)</f>
        <v/>
      </c>
      <c r="I6844" s="66" t="str">
        <f>IF('Twenty-Eighth'!I97="", "",'Twenty-Eighth'!I97)</f>
        <v/>
      </c>
      <c r="J6844" s="66" t="str">
        <f>IF('Twenty-Eighth'!J97="", "",'Twenty-Eighth'!J97)</f>
        <v/>
      </c>
      <c r="K6844" s="86" t="str">
        <f>IF('Twenty-Eighth'!K97="", "",'Twenty-Eighth'!K97)</f>
        <v/>
      </c>
      <c r="M6844" s="67" t="str">
        <f t="shared" si="323"/>
        <v/>
      </c>
      <c r="N6844" s="76" t="str">
        <f t="shared" si="324"/>
        <v/>
      </c>
      <c r="O6844" s="33">
        <f t="shared" si="325"/>
        <v>0</v>
      </c>
    </row>
    <row r="6845" spans="1:15" x14ac:dyDescent="0.25">
      <c r="A6845" s="64" t="s">
        <v>195</v>
      </c>
      <c r="B6845" s="79" t="str">
        <f>IF('Twenty-Eighth'!B98="", "",'Twenty-Eighth'!B98)</f>
        <v/>
      </c>
      <c r="C6845" s="66" t="str">
        <f>IF('Twenty-Eighth'!C98="", "",'Twenty-Eighth'!C98)</f>
        <v/>
      </c>
      <c r="D6845" s="66" t="str">
        <f>IF('Twenty-Eighth'!D98="", "",'Twenty-Eighth'!D98)</f>
        <v/>
      </c>
      <c r="E6845" s="66" t="str">
        <f>IF('Twenty-Eighth'!E98="", "",'Twenty-Eighth'!E98)</f>
        <v/>
      </c>
      <c r="F6845" s="66" t="str">
        <f>IF('Twenty-Eighth'!F98="", "",'Twenty-Eighth'!F98)</f>
        <v/>
      </c>
      <c r="G6845" s="66" t="str">
        <f>IF('Twenty-Eighth'!G98="", "",'Twenty-Eighth'!G98)</f>
        <v/>
      </c>
      <c r="H6845" s="66" t="str">
        <f>IF('Twenty-Eighth'!H98="", "",'Twenty-Eighth'!H98)</f>
        <v/>
      </c>
      <c r="I6845" s="66" t="str">
        <f>IF('Twenty-Eighth'!I98="", "",'Twenty-Eighth'!I98)</f>
        <v/>
      </c>
      <c r="J6845" s="66" t="str">
        <f>IF('Twenty-Eighth'!J98="", "",'Twenty-Eighth'!J98)</f>
        <v/>
      </c>
      <c r="K6845" s="86" t="str">
        <f>IF('Twenty-Eighth'!K98="", "",'Twenty-Eighth'!K98)</f>
        <v/>
      </c>
      <c r="M6845" s="67" t="str">
        <f t="shared" si="323"/>
        <v/>
      </c>
      <c r="N6845" s="76" t="str">
        <f t="shared" si="324"/>
        <v/>
      </c>
      <c r="O6845" s="33">
        <f t="shared" si="325"/>
        <v>0</v>
      </c>
    </row>
    <row r="6846" spans="1:15" x14ac:dyDescent="0.25">
      <c r="A6846" s="64" t="s">
        <v>195</v>
      </c>
      <c r="B6846" s="79" t="str">
        <f>IF('Twenty-Eighth'!B99="", "",'Twenty-Eighth'!B99)</f>
        <v/>
      </c>
      <c r="C6846" s="66" t="str">
        <f>IF('Twenty-Eighth'!C99="", "",'Twenty-Eighth'!C99)</f>
        <v/>
      </c>
      <c r="D6846" s="66" t="str">
        <f>IF('Twenty-Eighth'!D99="", "",'Twenty-Eighth'!D99)</f>
        <v/>
      </c>
      <c r="E6846" s="66" t="str">
        <f>IF('Twenty-Eighth'!E99="", "",'Twenty-Eighth'!E99)</f>
        <v/>
      </c>
      <c r="F6846" s="66" t="str">
        <f>IF('Twenty-Eighth'!F99="", "",'Twenty-Eighth'!F99)</f>
        <v/>
      </c>
      <c r="G6846" s="66" t="str">
        <f>IF('Twenty-Eighth'!G99="", "",'Twenty-Eighth'!G99)</f>
        <v/>
      </c>
      <c r="H6846" s="66" t="str">
        <f>IF('Twenty-Eighth'!H99="", "",'Twenty-Eighth'!H99)</f>
        <v/>
      </c>
      <c r="I6846" s="66" t="str">
        <f>IF('Twenty-Eighth'!I99="", "",'Twenty-Eighth'!I99)</f>
        <v/>
      </c>
      <c r="J6846" s="66" t="str">
        <f>IF('Twenty-Eighth'!J99="", "",'Twenty-Eighth'!J99)</f>
        <v/>
      </c>
      <c r="K6846" s="86" t="str">
        <f>IF('Twenty-Eighth'!K99="", "",'Twenty-Eighth'!K99)</f>
        <v/>
      </c>
      <c r="M6846" s="67" t="str">
        <f t="shared" si="323"/>
        <v/>
      </c>
      <c r="N6846" s="76" t="str">
        <f t="shared" si="324"/>
        <v/>
      </c>
      <c r="O6846" s="33">
        <f t="shared" si="325"/>
        <v>0</v>
      </c>
    </row>
    <row r="6847" spans="1:15" x14ac:dyDescent="0.25">
      <c r="A6847" s="64" t="s">
        <v>195</v>
      </c>
      <c r="B6847" s="79" t="str">
        <f>IF('Twenty-Eighth'!B100="", "",'Twenty-Eighth'!B100)</f>
        <v/>
      </c>
      <c r="C6847" s="66" t="str">
        <f>IF('Twenty-Eighth'!C100="", "",'Twenty-Eighth'!C100)</f>
        <v/>
      </c>
      <c r="D6847" s="66" t="str">
        <f>IF('Twenty-Eighth'!D100="", "",'Twenty-Eighth'!D100)</f>
        <v/>
      </c>
      <c r="E6847" s="66" t="str">
        <f>IF('Twenty-Eighth'!E100="", "",'Twenty-Eighth'!E100)</f>
        <v/>
      </c>
      <c r="F6847" s="66" t="str">
        <f>IF('Twenty-Eighth'!F100="", "",'Twenty-Eighth'!F100)</f>
        <v/>
      </c>
      <c r="G6847" s="66" t="str">
        <f>IF('Twenty-Eighth'!G100="", "",'Twenty-Eighth'!G100)</f>
        <v/>
      </c>
      <c r="H6847" s="66" t="str">
        <f>IF('Twenty-Eighth'!H100="", "",'Twenty-Eighth'!H100)</f>
        <v/>
      </c>
      <c r="I6847" s="66" t="str">
        <f>IF('Twenty-Eighth'!I100="", "",'Twenty-Eighth'!I100)</f>
        <v/>
      </c>
      <c r="J6847" s="66" t="str">
        <f>IF('Twenty-Eighth'!J100="", "",'Twenty-Eighth'!J100)</f>
        <v/>
      </c>
      <c r="K6847" s="86" t="str">
        <f>IF('Twenty-Eighth'!K100="", "",'Twenty-Eighth'!K100)</f>
        <v/>
      </c>
      <c r="M6847" s="67" t="str">
        <f t="shared" ref="M6847:M6910" si="326">IF(C6847="PwC",(7-COUNTIF(B6847:H6847,"")),"")</f>
        <v/>
      </c>
      <c r="N6847" s="76" t="str">
        <f t="shared" ref="N6847:N6910" si="327">IF(C6847="Carer",(7-COUNTIF(B6847:H6847,"")),"")</f>
        <v/>
      </c>
      <c r="O6847" s="33">
        <f t="shared" si="325"/>
        <v>0</v>
      </c>
    </row>
    <row r="6848" spans="1:15" x14ac:dyDescent="0.25">
      <c r="A6848" s="64" t="s">
        <v>195</v>
      </c>
      <c r="B6848" s="79" t="str">
        <f>IF('Twenty-Eighth'!B101="", "",'Twenty-Eighth'!B101)</f>
        <v/>
      </c>
      <c r="C6848" s="66" t="str">
        <f>IF('Twenty-Eighth'!C101="", "",'Twenty-Eighth'!C101)</f>
        <v/>
      </c>
      <c r="D6848" s="66" t="str">
        <f>IF('Twenty-Eighth'!D101="", "",'Twenty-Eighth'!D101)</f>
        <v/>
      </c>
      <c r="E6848" s="66" t="str">
        <f>IF('Twenty-Eighth'!E101="", "",'Twenty-Eighth'!E101)</f>
        <v/>
      </c>
      <c r="F6848" s="66" t="str">
        <f>IF('Twenty-Eighth'!F101="", "",'Twenty-Eighth'!F101)</f>
        <v/>
      </c>
      <c r="G6848" s="66" t="str">
        <f>IF('Twenty-Eighth'!G101="", "",'Twenty-Eighth'!G101)</f>
        <v/>
      </c>
      <c r="H6848" s="66" t="str">
        <f>IF('Twenty-Eighth'!H101="", "",'Twenty-Eighth'!H101)</f>
        <v/>
      </c>
      <c r="I6848" s="66" t="str">
        <f>IF('Twenty-Eighth'!I101="", "",'Twenty-Eighth'!I101)</f>
        <v/>
      </c>
      <c r="J6848" s="66" t="str">
        <f>IF('Twenty-Eighth'!J101="", "",'Twenty-Eighth'!J101)</f>
        <v/>
      </c>
      <c r="K6848" s="86" t="str">
        <f>IF('Twenty-Eighth'!K101="", "",'Twenty-Eighth'!K101)</f>
        <v/>
      </c>
      <c r="M6848" s="67" t="str">
        <f t="shared" si="326"/>
        <v/>
      </c>
      <c r="N6848" s="76" t="str">
        <f t="shared" si="327"/>
        <v/>
      </c>
      <c r="O6848" s="33">
        <f t="shared" si="325"/>
        <v>0</v>
      </c>
    </row>
    <row r="6849" spans="1:15" x14ac:dyDescent="0.25">
      <c r="A6849" s="64" t="s">
        <v>195</v>
      </c>
      <c r="B6849" s="79" t="str">
        <f>IF('Twenty-Eighth'!B102="", "",'Twenty-Eighth'!B102)</f>
        <v/>
      </c>
      <c r="C6849" s="66" t="str">
        <f>IF('Twenty-Eighth'!C102="", "",'Twenty-Eighth'!C102)</f>
        <v/>
      </c>
      <c r="D6849" s="66" t="str">
        <f>IF('Twenty-Eighth'!D102="", "",'Twenty-Eighth'!D102)</f>
        <v/>
      </c>
      <c r="E6849" s="66" t="str">
        <f>IF('Twenty-Eighth'!E102="", "",'Twenty-Eighth'!E102)</f>
        <v/>
      </c>
      <c r="F6849" s="66" t="str">
        <f>IF('Twenty-Eighth'!F102="", "",'Twenty-Eighth'!F102)</f>
        <v/>
      </c>
      <c r="G6849" s="66" t="str">
        <f>IF('Twenty-Eighth'!G102="", "",'Twenty-Eighth'!G102)</f>
        <v/>
      </c>
      <c r="H6849" s="66" t="str">
        <f>IF('Twenty-Eighth'!H102="", "",'Twenty-Eighth'!H102)</f>
        <v/>
      </c>
      <c r="I6849" s="66" t="str">
        <f>IF('Twenty-Eighth'!I102="", "",'Twenty-Eighth'!I102)</f>
        <v/>
      </c>
      <c r="J6849" s="66" t="str">
        <f>IF('Twenty-Eighth'!J102="", "",'Twenty-Eighth'!J102)</f>
        <v/>
      </c>
      <c r="K6849" s="86" t="str">
        <f>IF('Twenty-Eighth'!K102="", "",'Twenty-Eighth'!K102)</f>
        <v/>
      </c>
      <c r="M6849" s="67" t="str">
        <f t="shared" si="326"/>
        <v/>
      </c>
      <c r="N6849" s="76" t="str">
        <f t="shared" si="327"/>
        <v/>
      </c>
      <c r="O6849" s="33">
        <f t="shared" si="325"/>
        <v>0</v>
      </c>
    </row>
    <row r="6850" spans="1:15" x14ac:dyDescent="0.25">
      <c r="A6850" s="64" t="s">
        <v>195</v>
      </c>
      <c r="B6850" s="79" t="str">
        <f>IF('Twenty-Eighth'!B103="", "",'Twenty-Eighth'!B103)</f>
        <v/>
      </c>
      <c r="C6850" s="66" t="str">
        <f>IF('Twenty-Eighth'!C103="", "",'Twenty-Eighth'!C103)</f>
        <v/>
      </c>
      <c r="D6850" s="66" t="str">
        <f>IF('Twenty-Eighth'!D103="", "",'Twenty-Eighth'!D103)</f>
        <v/>
      </c>
      <c r="E6850" s="66" t="str">
        <f>IF('Twenty-Eighth'!E103="", "",'Twenty-Eighth'!E103)</f>
        <v/>
      </c>
      <c r="F6850" s="66" t="str">
        <f>IF('Twenty-Eighth'!F103="", "",'Twenty-Eighth'!F103)</f>
        <v/>
      </c>
      <c r="G6850" s="66" t="str">
        <f>IF('Twenty-Eighth'!G103="", "",'Twenty-Eighth'!G103)</f>
        <v/>
      </c>
      <c r="H6850" s="66" t="str">
        <f>IF('Twenty-Eighth'!H103="", "",'Twenty-Eighth'!H103)</f>
        <v/>
      </c>
      <c r="I6850" s="66" t="str">
        <f>IF('Twenty-Eighth'!I103="", "",'Twenty-Eighth'!I103)</f>
        <v/>
      </c>
      <c r="J6850" s="66" t="str">
        <f>IF('Twenty-Eighth'!J103="", "",'Twenty-Eighth'!J103)</f>
        <v/>
      </c>
      <c r="K6850" s="86" t="str">
        <f>IF('Twenty-Eighth'!K103="", "",'Twenty-Eighth'!K103)</f>
        <v/>
      </c>
      <c r="M6850" s="67" t="str">
        <f t="shared" si="326"/>
        <v/>
      </c>
      <c r="N6850" s="76" t="str">
        <f t="shared" si="327"/>
        <v/>
      </c>
      <c r="O6850" s="33">
        <f t="shared" si="325"/>
        <v>0</v>
      </c>
    </row>
    <row r="6851" spans="1:15" x14ac:dyDescent="0.25">
      <c r="A6851" s="64" t="s">
        <v>195</v>
      </c>
      <c r="B6851" s="79" t="str">
        <f>IF('Twenty-Eighth'!B104="", "",'Twenty-Eighth'!B104)</f>
        <v/>
      </c>
      <c r="C6851" s="66" t="str">
        <f>IF('Twenty-Eighth'!C104="", "",'Twenty-Eighth'!C104)</f>
        <v/>
      </c>
      <c r="D6851" s="66" t="str">
        <f>IF('Twenty-Eighth'!D104="", "",'Twenty-Eighth'!D104)</f>
        <v/>
      </c>
      <c r="E6851" s="66" t="str">
        <f>IF('Twenty-Eighth'!E104="", "",'Twenty-Eighth'!E104)</f>
        <v/>
      </c>
      <c r="F6851" s="66" t="str">
        <f>IF('Twenty-Eighth'!F104="", "",'Twenty-Eighth'!F104)</f>
        <v/>
      </c>
      <c r="G6851" s="66" t="str">
        <f>IF('Twenty-Eighth'!G104="", "",'Twenty-Eighth'!G104)</f>
        <v/>
      </c>
      <c r="H6851" s="66" t="str">
        <f>IF('Twenty-Eighth'!H104="", "",'Twenty-Eighth'!H104)</f>
        <v/>
      </c>
      <c r="I6851" s="66" t="str">
        <f>IF('Twenty-Eighth'!I104="", "",'Twenty-Eighth'!I104)</f>
        <v/>
      </c>
      <c r="J6851" s="66" t="str">
        <f>IF('Twenty-Eighth'!J104="", "",'Twenty-Eighth'!J104)</f>
        <v/>
      </c>
      <c r="K6851" s="86" t="str">
        <f>IF('Twenty-Eighth'!K104="", "",'Twenty-Eighth'!K104)</f>
        <v/>
      </c>
      <c r="M6851" s="67" t="str">
        <f t="shared" si="326"/>
        <v/>
      </c>
      <c r="N6851" s="76" t="str">
        <f t="shared" si="327"/>
        <v/>
      </c>
      <c r="O6851" s="33">
        <f t="shared" si="325"/>
        <v>0</v>
      </c>
    </row>
    <row r="6852" spans="1:15" x14ac:dyDescent="0.25">
      <c r="A6852" s="64" t="s">
        <v>195</v>
      </c>
      <c r="B6852" s="79" t="str">
        <f>IF('Twenty-Eighth'!B105="", "",'Twenty-Eighth'!B105)</f>
        <v/>
      </c>
      <c r="C6852" s="66" t="str">
        <f>IF('Twenty-Eighth'!C105="", "",'Twenty-Eighth'!C105)</f>
        <v/>
      </c>
      <c r="D6852" s="66" t="str">
        <f>IF('Twenty-Eighth'!D105="", "",'Twenty-Eighth'!D105)</f>
        <v/>
      </c>
      <c r="E6852" s="66" t="str">
        <f>IF('Twenty-Eighth'!E105="", "",'Twenty-Eighth'!E105)</f>
        <v/>
      </c>
      <c r="F6852" s="66" t="str">
        <f>IF('Twenty-Eighth'!F105="", "",'Twenty-Eighth'!F105)</f>
        <v/>
      </c>
      <c r="G6852" s="66" t="str">
        <f>IF('Twenty-Eighth'!G105="", "",'Twenty-Eighth'!G105)</f>
        <v/>
      </c>
      <c r="H6852" s="66" t="str">
        <f>IF('Twenty-Eighth'!H105="", "",'Twenty-Eighth'!H105)</f>
        <v/>
      </c>
      <c r="I6852" s="66" t="str">
        <f>IF('Twenty-Eighth'!I105="", "",'Twenty-Eighth'!I105)</f>
        <v/>
      </c>
      <c r="J6852" s="66" t="str">
        <f>IF('Twenty-Eighth'!J105="", "",'Twenty-Eighth'!J105)</f>
        <v/>
      </c>
      <c r="K6852" s="86" t="str">
        <f>IF('Twenty-Eighth'!K105="", "",'Twenty-Eighth'!K105)</f>
        <v/>
      </c>
      <c r="M6852" s="67" t="str">
        <f t="shared" si="326"/>
        <v/>
      </c>
      <c r="N6852" s="76" t="str">
        <f t="shared" si="327"/>
        <v/>
      </c>
      <c r="O6852" s="33">
        <f t="shared" si="325"/>
        <v>0</v>
      </c>
    </row>
    <row r="6853" spans="1:15" x14ac:dyDescent="0.25">
      <c r="A6853" s="64" t="s">
        <v>195</v>
      </c>
      <c r="B6853" s="79" t="str">
        <f>IF('Twenty-Eighth'!B106="", "",'Twenty-Eighth'!B106)</f>
        <v/>
      </c>
      <c r="C6853" s="66" t="str">
        <f>IF('Twenty-Eighth'!C106="", "",'Twenty-Eighth'!C106)</f>
        <v/>
      </c>
      <c r="D6853" s="66" t="str">
        <f>IF('Twenty-Eighth'!D106="", "",'Twenty-Eighth'!D106)</f>
        <v/>
      </c>
      <c r="E6853" s="66" t="str">
        <f>IF('Twenty-Eighth'!E106="", "",'Twenty-Eighth'!E106)</f>
        <v/>
      </c>
      <c r="F6853" s="66" t="str">
        <f>IF('Twenty-Eighth'!F106="", "",'Twenty-Eighth'!F106)</f>
        <v/>
      </c>
      <c r="G6853" s="66" t="str">
        <f>IF('Twenty-Eighth'!G106="", "",'Twenty-Eighth'!G106)</f>
        <v/>
      </c>
      <c r="H6853" s="66" t="str">
        <f>IF('Twenty-Eighth'!H106="", "",'Twenty-Eighth'!H106)</f>
        <v/>
      </c>
      <c r="I6853" s="66" t="str">
        <f>IF('Twenty-Eighth'!I106="", "",'Twenty-Eighth'!I106)</f>
        <v/>
      </c>
      <c r="J6853" s="66" t="str">
        <f>IF('Twenty-Eighth'!J106="", "",'Twenty-Eighth'!J106)</f>
        <v/>
      </c>
      <c r="K6853" s="86" t="str">
        <f>IF('Twenty-Eighth'!K106="", "",'Twenty-Eighth'!K106)</f>
        <v/>
      </c>
      <c r="M6853" s="67" t="str">
        <f t="shared" si="326"/>
        <v/>
      </c>
      <c r="N6853" s="76" t="str">
        <f t="shared" si="327"/>
        <v/>
      </c>
      <c r="O6853" s="33">
        <f t="shared" si="325"/>
        <v>0</v>
      </c>
    </row>
    <row r="6854" spans="1:15" x14ac:dyDescent="0.25">
      <c r="A6854" s="64" t="s">
        <v>195</v>
      </c>
      <c r="B6854" s="79" t="str">
        <f>IF('Twenty-Eighth'!B107="", "",'Twenty-Eighth'!B107)</f>
        <v/>
      </c>
      <c r="C6854" s="66" t="str">
        <f>IF('Twenty-Eighth'!C107="", "",'Twenty-Eighth'!C107)</f>
        <v/>
      </c>
      <c r="D6854" s="66" t="str">
        <f>IF('Twenty-Eighth'!D107="", "",'Twenty-Eighth'!D107)</f>
        <v/>
      </c>
      <c r="E6854" s="66" t="str">
        <f>IF('Twenty-Eighth'!E107="", "",'Twenty-Eighth'!E107)</f>
        <v/>
      </c>
      <c r="F6854" s="66" t="str">
        <f>IF('Twenty-Eighth'!F107="", "",'Twenty-Eighth'!F107)</f>
        <v/>
      </c>
      <c r="G6854" s="66" t="str">
        <f>IF('Twenty-Eighth'!G107="", "",'Twenty-Eighth'!G107)</f>
        <v/>
      </c>
      <c r="H6854" s="66" t="str">
        <f>IF('Twenty-Eighth'!H107="", "",'Twenty-Eighth'!H107)</f>
        <v/>
      </c>
      <c r="I6854" s="66" t="str">
        <f>IF('Twenty-Eighth'!I107="", "",'Twenty-Eighth'!I107)</f>
        <v/>
      </c>
      <c r="J6854" s="66" t="str">
        <f>IF('Twenty-Eighth'!J107="", "",'Twenty-Eighth'!J107)</f>
        <v/>
      </c>
      <c r="K6854" s="86" t="str">
        <f>IF('Twenty-Eighth'!K107="", "",'Twenty-Eighth'!K107)</f>
        <v/>
      </c>
      <c r="M6854" s="67" t="str">
        <f t="shared" si="326"/>
        <v/>
      </c>
      <c r="N6854" s="76" t="str">
        <f t="shared" si="327"/>
        <v/>
      </c>
      <c r="O6854" s="33">
        <f t="shared" si="325"/>
        <v>0</v>
      </c>
    </row>
    <row r="6855" spans="1:15" x14ac:dyDescent="0.25">
      <c r="A6855" s="64" t="s">
        <v>195</v>
      </c>
      <c r="B6855" s="79" t="str">
        <f>IF('Twenty-Eighth'!B108="", "",'Twenty-Eighth'!B108)</f>
        <v/>
      </c>
      <c r="C6855" s="66" t="str">
        <f>IF('Twenty-Eighth'!C108="", "",'Twenty-Eighth'!C108)</f>
        <v/>
      </c>
      <c r="D6855" s="66" t="str">
        <f>IF('Twenty-Eighth'!D108="", "",'Twenty-Eighth'!D108)</f>
        <v/>
      </c>
      <c r="E6855" s="66" t="str">
        <f>IF('Twenty-Eighth'!E108="", "",'Twenty-Eighth'!E108)</f>
        <v/>
      </c>
      <c r="F6855" s="66" t="str">
        <f>IF('Twenty-Eighth'!F108="", "",'Twenty-Eighth'!F108)</f>
        <v/>
      </c>
      <c r="G6855" s="66" t="str">
        <f>IF('Twenty-Eighth'!G108="", "",'Twenty-Eighth'!G108)</f>
        <v/>
      </c>
      <c r="H6855" s="66" t="str">
        <f>IF('Twenty-Eighth'!H108="", "",'Twenty-Eighth'!H108)</f>
        <v/>
      </c>
      <c r="I6855" s="66" t="str">
        <f>IF('Twenty-Eighth'!I108="", "",'Twenty-Eighth'!I108)</f>
        <v/>
      </c>
      <c r="J6855" s="66" t="str">
        <f>IF('Twenty-Eighth'!J108="", "",'Twenty-Eighth'!J108)</f>
        <v/>
      </c>
      <c r="K6855" s="86" t="str">
        <f>IF('Twenty-Eighth'!K108="", "",'Twenty-Eighth'!K108)</f>
        <v/>
      </c>
      <c r="M6855" s="67" t="str">
        <f t="shared" si="326"/>
        <v/>
      </c>
      <c r="N6855" s="76" t="str">
        <f t="shared" si="327"/>
        <v/>
      </c>
      <c r="O6855" s="33">
        <f t="shared" si="325"/>
        <v>0</v>
      </c>
    </row>
    <row r="6856" spans="1:15" x14ac:dyDescent="0.25">
      <c r="A6856" s="64" t="s">
        <v>195</v>
      </c>
      <c r="B6856" s="79" t="str">
        <f>IF('Twenty-Eighth'!B109="", "",'Twenty-Eighth'!B109)</f>
        <v/>
      </c>
      <c r="C6856" s="66" t="str">
        <f>IF('Twenty-Eighth'!C109="", "",'Twenty-Eighth'!C109)</f>
        <v/>
      </c>
      <c r="D6856" s="66" t="str">
        <f>IF('Twenty-Eighth'!D109="", "",'Twenty-Eighth'!D109)</f>
        <v/>
      </c>
      <c r="E6856" s="66" t="str">
        <f>IF('Twenty-Eighth'!E109="", "",'Twenty-Eighth'!E109)</f>
        <v/>
      </c>
      <c r="F6856" s="66" t="str">
        <f>IF('Twenty-Eighth'!F109="", "",'Twenty-Eighth'!F109)</f>
        <v/>
      </c>
      <c r="G6856" s="66" t="str">
        <f>IF('Twenty-Eighth'!G109="", "",'Twenty-Eighth'!G109)</f>
        <v/>
      </c>
      <c r="H6856" s="66" t="str">
        <f>IF('Twenty-Eighth'!H109="", "",'Twenty-Eighth'!H109)</f>
        <v/>
      </c>
      <c r="I6856" s="66" t="str">
        <f>IF('Twenty-Eighth'!I109="", "",'Twenty-Eighth'!I109)</f>
        <v/>
      </c>
      <c r="J6856" s="66" t="str">
        <f>IF('Twenty-Eighth'!J109="", "",'Twenty-Eighth'!J109)</f>
        <v/>
      </c>
      <c r="K6856" s="86" t="str">
        <f>IF('Twenty-Eighth'!K109="", "",'Twenty-Eighth'!K109)</f>
        <v/>
      </c>
      <c r="M6856" s="67" t="str">
        <f t="shared" si="326"/>
        <v/>
      </c>
      <c r="N6856" s="76" t="str">
        <f t="shared" si="327"/>
        <v/>
      </c>
      <c r="O6856" s="33">
        <f t="shared" si="325"/>
        <v>0</v>
      </c>
    </row>
    <row r="6857" spans="1:15" x14ac:dyDescent="0.25">
      <c r="A6857" s="64" t="s">
        <v>195</v>
      </c>
      <c r="B6857" s="79" t="str">
        <f>IF('Twenty-Eighth'!B110="", "",'Twenty-Eighth'!B110)</f>
        <v/>
      </c>
      <c r="C6857" s="66" t="str">
        <f>IF('Twenty-Eighth'!C110="", "",'Twenty-Eighth'!C110)</f>
        <v/>
      </c>
      <c r="D6857" s="66" t="str">
        <f>IF('Twenty-Eighth'!D110="", "",'Twenty-Eighth'!D110)</f>
        <v/>
      </c>
      <c r="E6857" s="66" t="str">
        <f>IF('Twenty-Eighth'!E110="", "",'Twenty-Eighth'!E110)</f>
        <v/>
      </c>
      <c r="F6857" s="66" t="str">
        <f>IF('Twenty-Eighth'!F110="", "",'Twenty-Eighth'!F110)</f>
        <v/>
      </c>
      <c r="G6857" s="66" t="str">
        <f>IF('Twenty-Eighth'!G110="", "",'Twenty-Eighth'!G110)</f>
        <v/>
      </c>
      <c r="H6857" s="66" t="str">
        <f>IF('Twenty-Eighth'!H110="", "",'Twenty-Eighth'!H110)</f>
        <v/>
      </c>
      <c r="I6857" s="66" t="str">
        <f>IF('Twenty-Eighth'!I110="", "",'Twenty-Eighth'!I110)</f>
        <v/>
      </c>
      <c r="J6857" s="66" t="str">
        <f>IF('Twenty-Eighth'!J110="", "",'Twenty-Eighth'!J110)</f>
        <v/>
      </c>
      <c r="K6857" s="86" t="str">
        <f>IF('Twenty-Eighth'!K110="", "",'Twenty-Eighth'!K110)</f>
        <v/>
      </c>
      <c r="M6857" s="67" t="str">
        <f t="shared" si="326"/>
        <v/>
      </c>
      <c r="N6857" s="76" t="str">
        <f t="shared" si="327"/>
        <v/>
      </c>
      <c r="O6857" s="33">
        <f t="shared" si="325"/>
        <v>0</v>
      </c>
    </row>
    <row r="6858" spans="1:15" x14ac:dyDescent="0.25">
      <c r="A6858" s="64" t="s">
        <v>195</v>
      </c>
      <c r="B6858" s="79" t="str">
        <f>IF('Twenty-Eighth'!B111="", "",'Twenty-Eighth'!B111)</f>
        <v/>
      </c>
      <c r="C6858" s="66" t="str">
        <f>IF('Twenty-Eighth'!C111="", "",'Twenty-Eighth'!C111)</f>
        <v/>
      </c>
      <c r="D6858" s="66" t="str">
        <f>IF('Twenty-Eighth'!D111="", "",'Twenty-Eighth'!D111)</f>
        <v/>
      </c>
      <c r="E6858" s="66" t="str">
        <f>IF('Twenty-Eighth'!E111="", "",'Twenty-Eighth'!E111)</f>
        <v/>
      </c>
      <c r="F6858" s="66" t="str">
        <f>IF('Twenty-Eighth'!F111="", "",'Twenty-Eighth'!F111)</f>
        <v/>
      </c>
      <c r="G6858" s="66" t="str">
        <f>IF('Twenty-Eighth'!G111="", "",'Twenty-Eighth'!G111)</f>
        <v/>
      </c>
      <c r="H6858" s="66" t="str">
        <f>IF('Twenty-Eighth'!H111="", "",'Twenty-Eighth'!H111)</f>
        <v/>
      </c>
      <c r="I6858" s="66" t="str">
        <f>IF('Twenty-Eighth'!I111="", "",'Twenty-Eighth'!I111)</f>
        <v/>
      </c>
      <c r="J6858" s="66" t="str">
        <f>IF('Twenty-Eighth'!J111="", "",'Twenty-Eighth'!J111)</f>
        <v/>
      </c>
      <c r="K6858" s="86" t="str">
        <f>IF('Twenty-Eighth'!K111="", "",'Twenty-Eighth'!K111)</f>
        <v/>
      </c>
      <c r="M6858" s="67" t="str">
        <f t="shared" si="326"/>
        <v/>
      </c>
      <c r="N6858" s="76" t="str">
        <f t="shared" si="327"/>
        <v/>
      </c>
      <c r="O6858" s="33">
        <f t="shared" ref="O6858:O6921" si="328">SUM(M6858:N6858)</f>
        <v>0</v>
      </c>
    </row>
    <row r="6859" spans="1:15" x14ac:dyDescent="0.25">
      <c r="A6859" s="64" t="s">
        <v>195</v>
      </c>
      <c r="B6859" s="79" t="str">
        <f>IF('Twenty-Eighth'!B112="", "",'Twenty-Eighth'!B112)</f>
        <v/>
      </c>
      <c r="C6859" s="66" t="str">
        <f>IF('Twenty-Eighth'!C112="", "",'Twenty-Eighth'!C112)</f>
        <v/>
      </c>
      <c r="D6859" s="66" t="str">
        <f>IF('Twenty-Eighth'!D112="", "",'Twenty-Eighth'!D112)</f>
        <v/>
      </c>
      <c r="E6859" s="66" t="str">
        <f>IF('Twenty-Eighth'!E112="", "",'Twenty-Eighth'!E112)</f>
        <v/>
      </c>
      <c r="F6859" s="66" t="str">
        <f>IF('Twenty-Eighth'!F112="", "",'Twenty-Eighth'!F112)</f>
        <v/>
      </c>
      <c r="G6859" s="66" t="str">
        <f>IF('Twenty-Eighth'!G112="", "",'Twenty-Eighth'!G112)</f>
        <v/>
      </c>
      <c r="H6859" s="66" t="str">
        <f>IF('Twenty-Eighth'!H112="", "",'Twenty-Eighth'!H112)</f>
        <v/>
      </c>
      <c r="I6859" s="66" t="str">
        <f>IF('Twenty-Eighth'!I112="", "",'Twenty-Eighth'!I112)</f>
        <v/>
      </c>
      <c r="J6859" s="66" t="str">
        <f>IF('Twenty-Eighth'!J112="", "",'Twenty-Eighth'!J112)</f>
        <v/>
      </c>
      <c r="K6859" s="86" t="str">
        <f>IF('Twenty-Eighth'!K112="", "",'Twenty-Eighth'!K112)</f>
        <v/>
      </c>
      <c r="M6859" s="67" t="str">
        <f t="shared" si="326"/>
        <v/>
      </c>
      <c r="N6859" s="76" t="str">
        <f t="shared" si="327"/>
        <v/>
      </c>
      <c r="O6859" s="33">
        <f t="shared" si="328"/>
        <v>0</v>
      </c>
    </row>
    <row r="6860" spans="1:15" x14ac:dyDescent="0.25">
      <c r="A6860" s="64" t="s">
        <v>195</v>
      </c>
      <c r="B6860" s="79" t="str">
        <f>IF('Twenty-Eighth'!B113="", "",'Twenty-Eighth'!B113)</f>
        <v/>
      </c>
      <c r="C6860" s="66" t="str">
        <f>IF('Twenty-Eighth'!C113="", "",'Twenty-Eighth'!C113)</f>
        <v/>
      </c>
      <c r="D6860" s="66" t="str">
        <f>IF('Twenty-Eighth'!D113="", "",'Twenty-Eighth'!D113)</f>
        <v/>
      </c>
      <c r="E6860" s="66" t="str">
        <f>IF('Twenty-Eighth'!E113="", "",'Twenty-Eighth'!E113)</f>
        <v/>
      </c>
      <c r="F6860" s="66" t="str">
        <f>IF('Twenty-Eighth'!F113="", "",'Twenty-Eighth'!F113)</f>
        <v/>
      </c>
      <c r="G6860" s="66" t="str">
        <f>IF('Twenty-Eighth'!G113="", "",'Twenty-Eighth'!G113)</f>
        <v/>
      </c>
      <c r="H6860" s="66" t="str">
        <f>IF('Twenty-Eighth'!H113="", "",'Twenty-Eighth'!H113)</f>
        <v/>
      </c>
      <c r="I6860" s="66" t="str">
        <f>IF('Twenty-Eighth'!I113="", "",'Twenty-Eighth'!I113)</f>
        <v/>
      </c>
      <c r="J6860" s="66" t="str">
        <f>IF('Twenty-Eighth'!J113="", "",'Twenty-Eighth'!J113)</f>
        <v/>
      </c>
      <c r="K6860" s="86" t="str">
        <f>IF('Twenty-Eighth'!K113="", "",'Twenty-Eighth'!K113)</f>
        <v/>
      </c>
      <c r="M6860" s="67" t="str">
        <f t="shared" si="326"/>
        <v/>
      </c>
      <c r="N6860" s="76" t="str">
        <f t="shared" si="327"/>
        <v/>
      </c>
      <c r="O6860" s="33">
        <f t="shared" si="328"/>
        <v>0</v>
      </c>
    </row>
    <row r="6861" spans="1:15" x14ac:dyDescent="0.25">
      <c r="A6861" s="64" t="s">
        <v>195</v>
      </c>
      <c r="B6861" s="79" t="str">
        <f>IF('Twenty-Eighth'!B114="", "",'Twenty-Eighth'!B114)</f>
        <v/>
      </c>
      <c r="C6861" s="66" t="str">
        <f>IF('Twenty-Eighth'!C114="", "",'Twenty-Eighth'!C114)</f>
        <v/>
      </c>
      <c r="D6861" s="66" t="str">
        <f>IF('Twenty-Eighth'!D114="", "",'Twenty-Eighth'!D114)</f>
        <v/>
      </c>
      <c r="E6861" s="66" t="str">
        <f>IF('Twenty-Eighth'!E114="", "",'Twenty-Eighth'!E114)</f>
        <v/>
      </c>
      <c r="F6861" s="66" t="str">
        <f>IF('Twenty-Eighth'!F114="", "",'Twenty-Eighth'!F114)</f>
        <v/>
      </c>
      <c r="G6861" s="66" t="str">
        <f>IF('Twenty-Eighth'!G114="", "",'Twenty-Eighth'!G114)</f>
        <v/>
      </c>
      <c r="H6861" s="66" t="str">
        <f>IF('Twenty-Eighth'!H114="", "",'Twenty-Eighth'!H114)</f>
        <v/>
      </c>
      <c r="I6861" s="66" t="str">
        <f>IF('Twenty-Eighth'!I114="", "",'Twenty-Eighth'!I114)</f>
        <v/>
      </c>
      <c r="J6861" s="66" t="str">
        <f>IF('Twenty-Eighth'!J114="", "",'Twenty-Eighth'!J114)</f>
        <v/>
      </c>
      <c r="K6861" s="86" t="str">
        <f>IF('Twenty-Eighth'!K114="", "",'Twenty-Eighth'!K114)</f>
        <v/>
      </c>
      <c r="M6861" s="67" t="str">
        <f t="shared" si="326"/>
        <v/>
      </c>
      <c r="N6861" s="76" t="str">
        <f t="shared" si="327"/>
        <v/>
      </c>
      <c r="O6861" s="33">
        <f t="shared" si="328"/>
        <v>0</v>
      </c>
    </row>
    <row r="6862" spans="1:15" x14ac:dyDescent="0.25">
      <c r="A6862" s="64" t="s">
        <v>195</v>
      </c>
      <c r="B6862" s="79" t="str">
        <f>IF('Twenty-Eighth'!B115="", "",'Twenty-Eighth'!B115)</f>
        <v/>
      </c>
      <c r="C6862" s="66" t="str">
        <f>IF('Twenty-Eighth'!C115="", "",'Twenty-Eighth'!C115)</f>
        <v/>
      </c>
      <c r="D6862" s="66" t="str">
        <f>IF('Twenty-Eighth'!D115="", "",'Twenty-Eighth'!D115)</f>
        <v/>
      </c>
      <c r="E6862" s="66" t="str">
        <f>IF('Twenty-Eighth'!E115="", "",'Twenty-Eighth'!E115)</f>
        <v/>
      </c>
      <c r="F6862" s="66" t="str">
        <f>IF('Twenty-Eighth'!F115="", "",'Twenty-Eighth'!F115)</f>
        <v/>
      </c>
      <c r="G6862" s="66" t="str">
        <f>IF('Twenty-Eighth'!G115="", "",'Twenty-Eighth'!G115)</f>
        <v/>
      </c>
      <c r="H6862" s="66" t="str">
        <f>IF('Twenty-Eighth'!H115="", "",'Twenty-Eighth'!H115)</f>
        <v/>
      </c>
      <c r="I6862" s="66" t="str">
        <f>IF('Twenty-Eighth'!I115="", "",'Twenty-Eighth'!I115)</f>
        <v/>
      </c>
      <c r="J6862" s="66" t="str">
        <f>IF('Twenty-Eighth'!J115="", "",'Twenty-Eighth'!J115)</f>
        <v/>
      </c>
      <c r="K6862" s="86" t="str">
        <f>IF('Twenty-Eighth'!K115="", "",'Twenty-Eighth'!K115)</f>
        <v/>
      </c>
      <c r="M6862" s="67" t="str">
        <f t="shared" si="326"/>
        <v/>
      </c>
      <c r="N6862" s="76" t="str">
        <f t="shared" si="327"/>
        <v/>
      </c>
      <c r="O6862" s="33">
        <f t="shared" si="328"/>
        <v>0</v>
      </c>
    </row>
    <row r="6863" spans="1:15" x14ac:dyDescent="0.25">
      <c r="A6863" s="64" t="s">
        <v>195</v>
      </c>
      <c r="B6863" s="79" t="str">
        <f>IF('Twenty-Eighth'!B116="", "",'Twenty-Eighth'!B116)</f>
        <v/>
      </c>
      <c r="C6863" s="66" t="str">
        <f>IF('Twenty-Eighth'!C116="", "",'Twenty-Eighth'!C116)</f>
        <v/>
      </c>
      <c r="D6863" s="66" t="str">
        <f>IF('Twenty-Eighth'!D116="", "",'Twenty-Eighth'!D116)</f>
        <v/>
      </c>
      <c r="E6863" s="66" t="str">
        <f>IF('Twenty-Eighth'!E116="", "",'Twenty-Eighth'!E116)</f>
        <v/>
      </c>
      <c r="F6863" s="66" t="str">
        <f>IF('Twenty-Eighth'!F116="", "",'Twenty-Eighth'!F116)</f>
        <v/>
      </c>
      <c r="G6863" s="66" t="str">
        <f>IF('Twenty-Eighth'!G116="", "",'Twenty-Eighth'!G116)</f>
        <v/>
      </c>
      <c r="H6863" s="66" t="str">
        <f>IF('Twenty-Eighth'!H116="", "",'Twenty-Eighth'!H116)</f>
        <v/>
      </c>
      <c r="I6863" s="66" t="str">
        <f>IF('Twenty-Eighth'!I116="", "",'Twenty-Eighth'!I116)</f>
        <v/>
      </c>
      <c r="J6863" s="66" t="str">
        <f>IF('Twenty-Eighth'!J116="", "",'Twenty-Eighth'!J116)</f>
        <v/>
      </c>
      <c r="K6863" s="86" t="str">
        <f>IF('Twenty-Eighth'!K116="", "",'Twenty-Eighth'!K116)</f>
        <v/>
      </c>
      <c r="M6863" s="67" t="str">
        <f t="shared" si="326"/>
        <v/>
      </c>
      <c r="N6863" s="76" t="str">
        <f t="shared" si="327"/>
        <v/>
      </c>
      <c r="O6863" s="33">
        <f t="shared" si="328"/>
        <v>0</v>
      </c>
    </row>
    <row r="6864" spans="1:15" x14ac:dyDescent="0.25">
      <c r="A6864" s="64" t="s">
        <v>195</v>
      </c>
      <c r="B6864" s="79" t="str">
        <f>IF('Twenty-Eighth'!B117="", "",'Twenty-Eighth'!B117)</f>
        <v/>
      </c>
      <c r="C6864" s="66" t="str">
        <f>IF('Twenty-Eighth'!C117="", "",'Twenty-Eighth'!C117)</f>
        <v/>
      </c>
      <c r="D6864" s="66" t="str">
        <f>IF('Twenty-Eighth'!D117="", "",'Twenty-Eighth'!D117)</f>
        <v/>
      </c>
      <c r="E6864" s="66" t="str">
        <f>IF('Twenty-Eighth'!E117="", "",'Twenty-Eighth'!E117)</f>
        <v/>
      </c>
      <c r="F6864" s="66" t="str">
        <f>IF('Twenty-Eighth'!F117="", "",'Twenty-Eighth'!F117)</f>
        <v/>
      </c>
      <c r="G6864" s="66" t="str">
        <f>IF('Twenty-Eighth'!G117="", "",'Twenty-Eighth'!G117)</f>
        <v/>
      </c>
      <c r="H6864" s="66" t="str">
        <f>IF('Twenty-Eighth'!H117="", "",'Twenty-Eighth'!H117)</f>
        <v/>
      </c>
      <c r="I6864" s="66" t="str">
        <f>IF('Twenty-Eighth'!I117="", "",'Twenty-Eighth'!I117)</f>
        <v/>
      </c>
      <c r="J6864" s="66" t="str">
        <f>IF('Twenty-Eighth'!J117="", "",'Twenty-Eighth'!J117)</f>
        <v/>
      </c>
      <c r="K6864" s="86" t="str">
        <f>IF('Twenty-Eighth'!K117="", "",'Twenty-Eighth'!K117)</f>
        <v/>
      </c>
      <c r="M6864" s="67" t="str">
        <f t="shared" si="326"/>
        <v/>
      </c>
      <c r="N6864" s="76" t="str">
        <f t="shared" si="327"/>
        <v/>
      </c>
      <c r="O6864" s="33">
        <f t="shared" si="328"/>
        <v>0</v>
      </c>
    </row>
    <row r="6865" spans="1:15" x14ac:dyDescent="0.25">
      <c r="A6865" s="64" t="s">
        <v>195</v>
      </c>
      <c r="B6865" s="79" t="str">
        <f>IF('Twenty-Eighth'!B118="", "",'Twenty-Eighth'!B118)</f>
        <v/>
      </c>
      <c r="C6865" s="66" t="str">
        <f>IF('Twenty-Eighth'!C118="", "",'Twenty-Eighth'!C118)</f>
        <v/>
      </c>
      <c r="D6865" s="66" t="str">
        <f>IF('Twenty-Eighth'!D118="", "",'Twenty-Eighth'!D118)</f>
        <v/>
      </c>
      <c r="E6865" s="66" t="str">
        <f>IF('Twenty-Eighth'!E118="", "",'Twenty-Eighth'!E118)</f>
        <v/>
      </c>
      <c r="F6865" s="66" t="str">
        <f>IF('Twenty-Eighth'!F118="", "",'Twenty-Eighth'!F118)</f>
        <v/>
      </c>
      <c r="G6865" s="66" t="str">
        <f>IF('Twenty-Eighth'!G118="", "",'Twenty-Eighth'!G118)</f>
        <v/>
      </c>
      <c r="H6865" s="66" t="str">
        <f>IF('Twenty-Eighth'!H118="", "",'Twenty-Eighth'!H118)</f>
        <v/>
      </c>
      <c r="I6865" s="66" t="str">
        <f>IF('Twenty-Eighth'!I118="", "",'Twenty-Eighth'!I118)</f>
        <v/>
      </c>
      <c r="J6865" s="66" t="str">
        <f>IF('Twenty-Eighth'!J118="", "",'Twenty-Eighth'!J118)</f>
        <v/>
      </c>
      <c r="K6865" s="86" t="str">
        <f>IF('Twenty-Eighth'!K118="", "",'Twenty-Eighth'!K118)</f>
        <v/>
      </c>
      <c r="M6865" s="67" t="str">
        <f t="shared" si="326"/>
        <v/>
      </c>
      <c r="N6865" s="76" t="str">
        <f t="shared" si="327"/>
        <v/>
      </c>
      <c r="O6865" s="33">
        <f t="shared" si="328"/>
        <v>0</v>
      </c>
    </row>
    <row r="6866" spans="1:15" x14ac:dyDescent="0.25">
      <c r="A6866" s="64" t="s">
        <v>195</v>
      </c>
      <c r="B6866" s="79" t="str">
        <f>IF('Twenty-Eighth'!B119="", "",'Twenty-Eighth'!B119)</f>
        <v/>
      </c>
      <c r="C6866" s="66" t="str">
        <f>IF('Twenty-Eighth'!C119="", "",'Twenty-Eighth'!C119)</f>
        <v/>
      </c>
      <c r="D6866" s="66" t="str">
        <f>IF('Twenty-Eighth'!D119="", "",'Twenty-Eighth'!D119)</f>
        <v/>
      </c>
      <c r="E6866" s="66" t="str">
        <f>IF('Twenty-Eighth'!E119="", "",'Twenty-Eighth'!E119)</f>
        <v/>
      </c>
      <c r="F6866" s="66" t="str">
        <f>IF('Twenty-Eighth'!F119="", "",'Twenty-Eighth'!F119)</f>
        <v/>
      </c>
      <c r="G6866" s="66" t="str">
        <f>IF('Twenty-Eighth'!G119="", "",'Twenty-Eighth'!G119)</f>
        <v/>
      </c>
      <c r="H6866" s="66" t="str">
        <f>IF('Twenty-Eighth'!H119="", "",'Twenty-Eighth'!H119)</f>
        <v/>
      </c>
      <c r="I6866" s="66" t="str">
        <f>IF('Twenty-Eighth'!I119="", "",'Twenty-Eighth'!I119)</f>
        <v/>
      </c>
      <c r="J6866" s="66" t="str">
        <f>IF('Twenty-Eighth'!J119="", "",'Twenty-Eighth'!J119)</f>
        <v/>
      </c>
      <c r="K6866" s="86" t="str">
        <f>IF('Twenty-Eighth'!K119="", "",'Twenty-Eighth'!K119)</f>
        <v/>
      </c>
      <c r="M6866" s="67" t="str">
        <f t="shared" si="326"/>
        <v/>
      </c>
      <c r="N6866" s="76" t="str">
        <f t="shared" si="327"/>
        <v/>
      </c>
      <c r="O6866" s="33">
        <f t="shared" si="328"/>
        <v>0</v>
      </c>
    </row>
    <row r="6867" spans="1:15" x14ac:dyDescent="0.25">
      <c r="A6867" s="64" t="s">
        <v>195</v>
      </c>
      <c r="B6867" s="79" t="str">
        <f>IF('Twenty-Eighth'!B120="", "",'Twenty-Eighth'!B120)</f>
        <v/>
      </c>
      <c r="C6867" s="66" t="str">
        <f>IF('Twenty-Eighth'!C120="", "",'Twenty-Eighth'!C120)</f>
        <v/>
      </c>
      <c r="D6867" s="66" t="str">
        <f>IF('Twenty-Eighth'!D120="", "",'Twenty-Eighth'!D120)</f>
        <v/>
      </c>
      <c r="E6867" s="66" t="str">
        <f>IF('Twenty-Eighth'!E120="", "",'Twenty-Eighth'!E120)</f>
        <v/>
      </c>
      <c r="F6867" s="66" t="str">
        <f>IF('Twenty-Eighth'!F120="", "",'Twenty-Eighth'!F120)</f>
        <v/>
      </c>
      <c r="G6867" s="66" t="str">
        <f>IF('Twenty-Eighth'!G120="", "",'Twenty-Eighth'!G120)</f>
        <v/>
      </c>
      <c r="H6867" s="66" t="str">
        <f>IF('Twenty-Eighth'!H120="", "",'Twenty-Eighth'!H120)</f>
        <v/>
      </c>
      <c r="I6867" s="66" t="str">
        <f>IF('Twenty-Eighth'!I120="", "",'Twenty-Eighth'!I120)</f>
        <v/>
      </c>
      <c r="J6867" s="66" t="str">
        <f>IF('Twenty-Eighth'!J120="", "",'Twenty-Eighth'!J120)</f>
        <v/>
      </c>
      <c r="K6867" s="86" t="str">
        <f>IF('Twenty-Eighth'!K120="", "",'Twenty-Eighth'!K120)</f>
        <v/>
      </c>
      <c r="M6867" s="67" t="str">
        <f t="shared" si="326"/>
        <v/>
      </c>
      <c r="N6867" s="76" t="str">
        <f t="shared" si="327"/>
        <v/>
      </c>
      <c r="O6867" s="33">
        <f t="shared" si="328"/>
        <v>0</v>
      </c>
    </row>
    <row r="6868" spans="1:15" x14ac:dyDescent="0.25">
      <c r="A6868" s="64" t="s">
        <v>195</v>
      </c>
      <c r="B6868" s="79" t="str">
        <f>IF('Twenty-Eighth'!B121="", "",'Twenty-Eighth'!B121)</f>
        <v/>
      </c>
      <c r="C6868" s="66" t="str">
        <f>IF('Twenty-Eighth'!C121="", "",'Twenty-Eighth'!C121)</f>
        <v/>
      </c>
      <c r="D6868" s="66" t="str">
        <f>IF('Twenty-Eighth'!D121="", "",'Twenty-Eighth'!D121)</f>
        <v/>
      </c>
      <c r="E6868" s="66" t="str">
        <f>IF('Twenty-Eighth'!E121="", "",'Twenty-Eighth'!E121)</f>
        <v/>
      </c>
      <c r="F6868" s="66" t="str">
        <f>IF('Twenty-Eighth'!F121="", "",'Twenty-Eighth'!F121)</f>
        <v/>
      </c>
      <c r="G6868" s="66" t="str">
        <f>IF('Twenty-Eighth'!G121="", "",'Twenty-Eighth'!G121)</f>
        <v/>
      </c>
      <c r="H6868" s="66" t="str">
        <f>IF('Twenty-Eighth'!H121="", "",'Twenty-Eighth'!H121)</f>
        <v/>
      </c>
      <c r="I6868" s="66" t="str">
        <f>IF('Twenty-Eighth'!I121="", "",'Twenty-Eighth'!I121)</f>
        <v/>
      </c>
      <c r="J6868" s="66" t="str">
        <f>IF('Twenty-Eighth'!J121="", "",'Twenty-Eighth'!J121)</f>
        <v/>
      </c>
      <c r="K6868" s="86" t="str">
        <f>IF('Twenty-Eighth'!K121="", "",'Twenty-Eighth'!K121)</f>
        <v/>
      </c>
      <c r="M6868" s="67" t="str">
        <f t="shared" si="326"/>
        <v/>
      </c>
      <c r="N6868" s="76" t="str">
        <f t="shared" si="327"/>
        <v/>
      </c>
      <c r="O6868" s="33">
        <f t="shared" si="328"/>
        <v>0</v>
      </c>
    </row>
    <row r="6869" spans="1:15" x14ac:dyDescent="0.25">
      <c r="A6869" s="64" t="s">
        <v>195</v>
      </c>
      <c r="B6869" s="79" t="str">
        <f>IF('Twenty-Eighth'!B122="", "",'Twenty-Eighth'!B122)</f>
        <v/>
      </c>
      <c r="C6869" s="66" t="str">
        <f>IF('Twenty-Eighth'!C122="", "",'Twenty-Eighth'!C122)</f>
        <v/>
      </c>
      <c r="D6869" s="66" t="str">
        <f>IF('Twenty-Eighth'!D122="", "",'Twenty-Eighth'!D122)</f>
        <v/>
      </c>
      <c r="E6869" s="66" t="str">
        <f>IF('Twenty-Eighth'!E122="", "",'Twenty-Eighth'!E122)</f>
        <v/>
      </c>
      <c r="F6869" s="66" t="str">
        <f>IF('Twenty-Eighth'!F122="", "",'Twenty-Eighth'!F122)</f>
        <v/>
      </c>
      <c r="G6869" s="66" t="str">
        <f>IF('Twenty-Eighth'!G122="", "",'Twenty-Eighth'!G122)</f>
        <v/>
      </c>
      <c r="H6869" s="66" t="str">
        <f>IF('Twenty-Eighth'!H122="", "",'Twenty-Eighth'!H122)</f>
        <v/>
      </c>
      <c r="I6869" s="66" t="str">
        <f>IF('Twenty-Eighth'!I122="", "",'Twenty-Eighth'!I122)</f>
        <v/>
      </c>
      <c r="J6869" s="66" t="str">
        <f>IF('Twenty-Eighth'!J122="", "",'Twenty-Eighth'!J122)</f>
        <v/>
      </c>
      <c r="K6869" s="86" t="str">
        <f>IF('Twenty-Eighth'!K122="", "",'Twenty-Eighth'!K122)</f>
        <v/>
      </c>
      <c r="M6869" s="67" t="str">
        <f t="shared" si="326"/>
        <v/>
      </c>
      <c r="N6869" s="76" t="str">
        <f t="shared" si="327"/>
        <v/>
      </c>
      <c r="O6869" s="33">
        <f t="shared" si="328"/>
        <v>0</v>
      </c>
    </row>
    <row r="6870" spans="1:15" x14ac:dyDescent="0.25">
      <c r="A6870" s="64" t="s">
        <v>195</v>
      </c>
      <c r="B6870" s="79" t="str">
        <f>IF('Twenty-Eighth'!B123="", "",'Twenty-Eighth'!B123)</f>
        <v/>
      </c>
      <c r="C6870" s="66" t="str">
        <f>IF('Twenty-Eighth'!C123="", "",'Twenty-Eighth'!C123)</f>
        <v/>
      </c>
      <c r="D6870" s="66" t="str">
        <f>IF('Twenty-Eighth'!D123="", "",'Twenty-Eighth'!D123)</f>
        <v/>
      </c>
      <c r="E6870" s="66" t="str">
        <f>IF('Twenty-Eighth'!E123="", "",'Twenty-Eighth'!E123)</f>
        <v/>
      </c>
      <c r="F6870" s="66" t="str">
        <f>IF('Twenty-Eighth'!F123="", "",'Twenty-Eighth'!F123)</f>
        <v/>
      </c>
      <c r="G6870" s="66" t="str">
        <f>IF('Twenty-Eighth'!G123="", "",'Twenty-Eighth'!G123)</f>
        <v/>
      </c>
      <c r="H6870" s="66" t="str">
        <f>IF('Twenty-Eighth'!H123="", "",'Twenty-Eighth'!H123)</f>
        <v/>
      </c>
      <c r="I6870" s="66" t="str">
        <f>IF('Twenty-Eighth'!I123="", "",'Twenty-Eighth'!I123)</f>
        <v/>
      </c>
      <c r="J6870" s="66" t="str">
        <f>IF('Twenty-Eighth'!J123="", "",'Twenty-Eighth'!J123)</f>
        <v/>
      </c>
      <c r="K6870" s="86" t="str">
        <f>IF('Twenty-Eighth'!K123="", "",'Twenty-Eighth'!K123)</f>
        <v/>
      </c>
      <c r="M6870" s="67" t="str">
        <f t="shared" si="326"/>
        <v/>
      </c>
      <c r="N6870" s="76" t="str">
        <f t="shared" si="327"/>
        <v/>
      </c>
      <c r="O6870" s="33">
        <f t="shared" si="328"/>
        <v>0</v>
      </c>
    </row>
    <row r="6871" spans="1:15" x14ac:dyDescent="0.25">
      <c r="A6871" s="64" t="s">
        <v>195</v>
      </c>
      <c r="B6871" s="79" t="str">
        <f>IF('Twenty-Eighth'!B124="", "",'Twenty-Eighth'!B124)</f>
        <v/>
      </c>
      <c r="C6871" s="66" t="str">
        <f>IF('Twenty-Eighth'!C124="", "",'Twenty-Eighth'!C124)</f>
        <v/>
      </c>
      <c r="D6871" s="66" t="str">
        <f>IF('Twenty-Eighth'!D124="", "",'Twenty-Eighth'!D124)</f>
        <v/>
      </c>
      <c r="E6871" s="66" t="str">
        <f>IF('Twenty-Eighth'!E124="", "",'Twenty-Eighth'!E124)</f>
        <v/>
      </c>
      <c r="F6871" s="66" t="str">
        <f>IF('Twenty-Eighth'!F124="", "",'Twenty-Eighth'!F124)</f>
        <v/>
      </c>
      <c r="G6871" s="66" t="str">
        <f>IF('Twenty-Eighth'!G124="", "",'Twenty-Eighth'!G124)</f>
        <v/>
      </c>
      <c r="H6871" s="66" t="str">
        <f>IF('Twenty-Eighth'!H124="", "",'Twenty-Eighth'!H124)</f>
        <v/>
      </c>
      <c r="I6871" s="66" t="str">
        <f>IF('Twenty-Eighth'!I124="", "",'Twenty-Eighth'!I124)</f>
        <v/>
      </c>
      <c r="J6871" s="66" t="str">
        <f>IF('Twenty-Eighth'!J124="", "",'Twenty-Eighth'!J124)</f>
        <v/>
      </c>
      <c r="K6871" s="86" t="str">
        <f>IF('Twenty-Eighth'!K124="", "",'Twenty-Eighth'!K124)</f>
        <v/>
      </c>
      <c r="M6871" s="67" t="str">
        <f t="shared" si="326"/>
        <v/>
      </c>
      <c r="N6871" s="76" t="str">
        <f t="shared" si="327"/>
        <v/>
      </c>
      <c r="O6871" s="33">
        <f t="shared" si="328"/>
        <v>0</v>
      </c>
    </row>
    <row r="6872" spans="1:15" x14ac:dyDescent="0.25">
      <c r="A6872" s="64" t="s">
        <v>195</v>
      </c>
      <c r="B6872" s="79" t="str">
        <f>IF('Twenty-Eighth'!B125="", "",'Twenty-Eighth'!B125)</f>
        <v/>
      </c>
      <c r="C6872" s="66" t="str">
        <f>IF('Twenty-Eighth'!C125="", "",'Twenty-Eighth'!C125)</f>
        <v/>
      </c>
      <c r="D6872" s="66" t="str">
        <f>IF('Twenty-Eighth'!D125="", "",'Twenty-Eighth'!D125)</f>
        <v/>
      </c>
      <c r="E6872" s="66" t="str">
        <f>IF('Twenty-Eighth'!E125="", "",'Twenty-Eighth'!E125)</f>
        <v/>
      </c>
      <c r="F6872" s="66" t="str">
        <f>IF('Twenty-Eighth'!F125="", "",'Twenty-Eighth'!F125)</f>
        <v/>
      </c>
      <c r="G6872" s="66" t="str">
        <f>IF('Twenty-Eighth'!G125="", "",'Twenty-Eighth'!G125)</f>
        <v/>
      </c>
      <c r="H6872" s="66" t="str">
        <f>IF('Twenty-Eighth'!H125="", "",'Twenty-Eighth'!H125)</f>
        <v/>
      </c>
      <c r="I6872" s="66" t="str">
        <f>IF('Twenty-Eighth'!I125="", "",'Twenty-Eighth'!I125)</f>
        <v/>
      </c>
      <c r="J6872" s="66" t="str">
        <f>IF('Twenty-Eighth'!J125="", "",'Twenty-Eighth'!J125)</f>
        <v/>
      </c>
      <c r="K6872" s="86" t="str">
        <f>IF('Twenty-Eighth'!K125="", "",'Twenty-Eighth'!K125)</f>
        <v/>
      </c>
      <c r="M6872" s="67" t="str">
        <f t="shared" si="326"/>
        <v/>
      </c>
      <c r="N6872" s="76" t="str">
        <f t="shared" si="327"/>
        <v/>
      </c>
      <c r="O6872" s="33">
        <f t="shared" si="328"/>
        <v>0</v>
      </c>
    </row>
    <row r="6873" spans="1:15" x14ac:dyDescent="0.25">
      <c r="A6873" s="64" t="s">
        <v>195</v>
      </c>
      <c r="B6873" s="79" t="str">
        <f>IF('Twenty-Eighth'!B126="", "",'Twenty-Eighth'!B126)</f>
        <v/>
      </c>
      <c r="C6873" s="66" t="str">
        <f>IF('Twenty-Eighth'!C126="", "",'Twenty-Eighth'!C126)</f>
        <v/>
      </c>
      <c r="D6873" s="66" t="str">
        <f>IF('Twenty-Eighth'!D126="", "",'Twenty-Eighth'!D126)</f>
        <v/>
      </c>
      <c r="E6873" s="66" t="str">
        <f>IF('Twenty-Eighth'!E126="", "",'Twenty-Eighth'!E126)</f>
        <v/>
      </c>
      <c r="F6873" s="66" t="str">
        <f>IF('Twenty-Eighth'!F126="", "",'Twenty-Eighth'!F126)</f>
        <v/>
      </c>
      <c r="G6873" s="66" t="str">
        <f>IF('Twenty-Eighth'!G126="", "",'Twenty-Eighth'!G126)</f>
        <v/>
      </c>
      <c r="H6873" s="66" t="str">
        <f>IF('Twenty-Eighth'!H126="", "",'Twenty-Eighth'!H126)</f>
        <v/>
      </c>
      <c r="I6873" s="66" t="str">
        <f>IF('Twenty-Eighth'!I126="", "",'Twenty-Eighth'!I126)</f>
        <v/>
      </c>
      <c r="J6873" s="66" t="str">
        <f>IF('Twenty-Eighth'!J126="", "",'Twenty-Eighth'!J126)</f>
        <v/>
      </c>
      <c r="K6873" s="86" t="str">
        <f>IF('Twenty-Eighth'!K126="", "",'Twenty-Eighth'!K126)</f>
        <v/>
      </c>
      <c r="M6873" s="67" t="str">
        <f t="shared" si="326"/>
        <v/>
      </c>
      <c r="N6873" s="76" t="str">
        <f t="shared" si="327"/>
        <v/>
      </c>
      <c r="O6873" s="33">
        <f t="shared" si="328"/>
        <v>0</v>
      </c>
    </row>
    <row r="6874" spans="1:15" x14ac:dyDescent="0.25">
      <c r="A6874" s="64" t="s">
        <v>195</v>
      </c>
      <c r="B6874" s="79" t="str">
        <f>IF('Twenty-Eighth'!B127="", "",'Twenty-Eighth'!B127)</f>
        <v/>
      </c>
      <c r="C6874" s="66" t="str">
        <f>IF('Twenty-Eighth'!C127="", "",'Twenty-Eighth'!C127)</f>
        <v/>
      </c>
      <c r="D6874" s="66" t="str">
        <f>IF('Twenty-Eighth'!D127="", "",'Twenty-Eighth'!D127)</f>
        <v/>
      </c>
      <c r="E6874" s="66" t="str">
        <f>IF('Twenty-Eighth'!E127="", "",'Twenty-Eighth'!E127)</f>
        <v/>
      </c>
      <c r="F6874" s="66" t="str">
        <f>IF('Twenty-Eighth'!F127="", "",'Twenty-Eighth'!F127)</f>
        <v/>
      </c>
      <c r="G6874" s="66" t="str">
        <f>IF('Twenty-Eighth'!G127="", "",'Twenty-Eighth'!G127)</f>
        <v/>
      </c>
      <c r="H6874" s="66" t="str">
        <f>IF('Twenty-Eighth'!H127="", "",'Twenty-Eighth'!H127)</f>
        <v/>
      </c>
      <c r="I6874" s="66" t="str">
        <f>IF('Twenty-Eighth'!I127="", "",'Twenty-Eighth'!I127)</f>
        <v/>
      </c>
      <c r="J6874" s="66" t="str">
        <f>IF('Twenty-Eighth'!J127="", "",'Twenty-Eighth'!J127)</f>
        <v/>
      </c>
      <c r="K6874" s="86" t="str">
        <f>IF('Twenty-Eighth'!K127="", "",'Twenty-Eighth'!K127)</f>
        <v/>
      </c>
      <c r="M6874" s="67" t="str">
        <f t="shared" si="326"/>
        <v/>
      </c>
      <c r="N6874" s="76" t="str">
        <f t="shared" si="327"/>
        <v/>
      </c>
      <c r="O6874" s="33">
        <f t="shared" si="328"/>
        <v>0</v>
      </c>
    </row>
    <row r="6875" spans="1:15" x14ac:dyDescent="0.25">
      <c r="A6875" s="64" t="s">
        <v>195</v>
      </c>
      <c r="B6875" s="79" t="str">
        <f>IF('Twenty-Eighth'!B128="", "",'Twenty-Eighth'!B128)</f>
        <v/>
      </c>
      <c r="C6875" s="66" t="str">
        <f>IF('Twenty-Eighth'!C128="", "",'Twenty-Eighth'!C128)</f>
        <v/>
      </c>
      <c r="D6875" s="66" t="str">
        <f>IF('Twenty-Eighth'!D128="", "",'Twenty-Eighth'!D128)</f>
        <v/>
      </c>
      <c r="E6875" s="66" t="str">
        <f>IF('Twenty-Eighth'!E128="", "",'Twenty-Eighth'!E128)</f>
        <v/>
      </c>
      <c r="F6875" s="66" t="str">
        <f>IF('Twenty-Eighth'!F128="", "",'Twenty-Eighth'!F128)</f>
        <v/>
      </c>
      <c r="G6875" s="66" t="str">
        <f>IF('Twenty-Eighth'!G128="", "",'Twenty-Eighth'!G128)</f>
        <v/>
      </c>
      <c r="H6875" s="66" t="str">
        <f>IF('Twenty-Eighth'!H128="", "",'Twenty-Eighth'!H128)</f>
        <v/>
      </c>
      <c r="I6875" s="66" t="str">
        <f>IF('Twenty-Eighth'!I128="", "",'Twenty-Eighth'!I128)</f>
        <v/>
      </c>
      <c r="J6875" s="66" t="str">
        <f>IF('Twenty-Eighth'!J128="", "",'Twenty-Eighth'!J128)</f>
        <v/>
      </c>
      <c r="K6875" s="86" t="str">
        <f>IF('Twenty-Eighth'!K128="", "",'Twenty-Eighth'!K128)</f>
        <v/>
      </c>
      <c r="M6875" s="67" t="str">
        <f t="shared" si="326"/>
        <v/>
      </c>
      <c r="N6875" s="76" t="str">
        <f t="shared" si="327"/>
        <v/>
      </c>
      <c r="O6875" s="33">
        <f t="shared" si="328"/>
        <v>0</v>
      </c>
    </row>
    <row r="6876" spans="1:15" x14ac:dyDescent="0.25">
      <c r="A6876" s="64" t="s">
        <v>195</v>
      </c>
      <c r="B6876" s="79" t="str">
        <f>IF('Twenty-Eighth'!B129="", "",'Twenty-Eighth'!B129)</f>
        <v/>
      </c>
      <c r="C6876" s="66" t="str">
        <f>IF('Twenty-Eighth'!C129="", "",'Twenty-Eighth'!C129)</f>
        <v/>
      </c>
      <c r="D6876" s="66" t="str">
        <f>IF('Twenty-Eighth'!D129="", "",'Twenty-Eighth'!D129)</f>
        <v/>
      </c>
      <c r="E6876" s="66" t="str">
        <f>IF('Twenty-Eighth'!E129="", "",'Twenty-Eighth'!E129)</f>
        <v/>
      </c>
      <c r="F6876" s="66" t="str">
        <f>IF('Twenty-Eighth'!F129="", "",'Twenty-Eighth'!F129)</f>
        <v/>
      </c>
      <c r="G6876" s="66" t="str">
        <f>IF('Twenty-Eighth'!G129="", "",'Twenty-Eighth'!G129)</f>
        <v/>
      </c>
      <c r="H6876" s="66" t="str">
        <f>IF('Twenty-Eighth'!H129="", "",'Twenty-Eighth'!H129)</f>
        <v/>
      </c>
      <c r="I6876" s="66" t="str">
        <f>IF('Twenty-Eighth'!I129="", "",'Twenty-Eighth'!I129)</f>
        <v/>
      </c>
      <c r="J6876" s="66" t="str">
        <f>IF('Twenty-Eighth'!J129="", "",'Twenty-Eighth'!J129)</f>
        <v/>
      </c>
      <c r="K6876" s="86" t="str">
        <f>IF('Twenty-Eighth'!K129="", "",'Twenty-Eighth'!K129)</f>
        <v/>
      </c>
      <c r="M6876" s="67" t="str">
        <f t="shared" si="326"/>
        <v/>
      </c>
      <c r="N6876" s="76" t="str">
        <f t="shared" si="327"/>
        <v/>
      </c>
      <c r="O6876" s="33">
        <f t="shared" si="328"/>
        <v>0</v>
      </c>
    </row>
    <row r="6877" spans="1:15" x14ac:dyDescent="0.25">
      <c r="A6877" s="64" t="s">
        <v>195</v>
      </c>
      <c r="B6877" s="79" t="str">
        <f>IF('Twenty-Eighth'!B130="", "",'Twenty-Eighth'!B130)</f>
        <v/>
      </c>
      <c r="C6877" s="66" t="str">
        <f>IF('Twenty-Eighth'!C130="", "",'Twenty-Eighth'!C130)</f>
        <v/>
      </c>
      <c r="D6877" s="66" t="str">
        <f>IF('Twenty-Eighth'!D130="", "",'Twenty-Eighth'!D130)</f>
        <v/>
      </c>
      <c r="E6877" s="66" t="str">
        <f>IF('Twenty-Eighth'!E130="", "",'Twenty-Eighth'!E130)</f>
        <v/>
      </c>
      <c r="F6877" s="66" t="str">
        <f>IF('Twenty-Eighth'!F130="", "",'Twenty-Eighth'!F130)</f>
        <v/>
      </c>
      <c r="G6877" s="66" t="str">
        <f>IF('Twenty-Eighth'!G130="", "",'Twenty-Eighth'!G130)</f>
        <v/>
      </c>
      <c r="H6877" s="66" t="str">
        <f>IF('Twenty-Eighth'!H130="", "",'Twenty-Eighth'!H130)</f>
        <v/>
      </c>
      <c r="I6877" s="66" t="str">
        <f>IF('Twenty-Eighth'!I130="", "",'Twenty-Eighth'!I130)</f>
        <v/>
      </c>
      <c r="J6877" s="66" t="str">
        <f>IF('Twenty-Eighth'!J130="", "",'Twenty-Eighth'!J130)</f>
        <v/>
      </c>
      <c r="K6877" s="86" t="str">
        <f>IF('Twenty-Eighth'!K130="", "",'Twenty-Eighth'!K130)</f>
        <v/>
      </c>
      <c r="M6877" s="67" t="str">
        <f t="shared" si="326"/>
        <v/>
      </c>
      <c r="N6877" s="76" t="str">
        <f t="shared" si="327"/>
        <v/>
      </c>
      <c r="O6877" s="33">
        <f t="shared" si="328"/>
        <v>0</v>
      </c>
    </row>
    <row r="6878" spans="1:15" x14ac:dyDescent="0.25">
      <c r="A6878" s="64" t="s">
        <v>195</v>
      </c>
      <c r="B6878" s="79" t="str">
        <f>IF('Twenty-Eighth'!B131="", "",'Twenty-Eighth'!B131)</f>
        <v/>
      </c>
      <c r="C6878" s="66" t="str">
        <f>IF('Twenty-Eighth'!C131="", "",'Twenty-Eighth'!C131)</f>
        <v/>
      </c>
      <c r="D6878" s="66" t="str">
        <f>IF('Twenty-Eighth'!D131="", "",'Twenty-Eighth'!D131)</f>
        <v/>
      </c>
      <c r="E6878" s="66" t="str">
        <f>IF('Twenty-Eighth'!E131="", "",'Twenty-Eighth'!E131)</f>
        <v/>
      </c>
      <c r="F6878" s="66" t="str">
        <f>IF('Twenty-Eighth'!F131="", "",'Twenty-Eighth'!F131)</f>
        <v/>
      </c>
      <c r="G6878" s="66" t="str">
        <f>IF('Twenty-Eighth'!G131="", "",'Twenty-Eighth'!G131)</f>
        <v/>
      </c>
      <c r="H6878" s="66" t="str">
        <f>IF('Twenty-Eighth'!H131="", "",'Twenty-Eighth'!H131)</f>
        <v/>
      </c>
      <c r="I6878" s="66" t="str">
        <f>IF('Twenty-Eighth'!I131="", "",'Twenty-Eighth'!I131)</f>
        <v/>
      </c>
      <c r="J6878" s="66" t="str">
        <f>IF('Twenty-Eighth'!J131="", "",'Twenty-Eighth'!J131)</f>
        <v/>
      </c>
      <c r="K6878" s="86" t="str">
        <f>IF('Twenty-Eighth'!K131="", "",'Twenty-Eighth'!K131)</f>
        <v/>
      </c>
      <c r="M6878" s="67" t="str">
        <f t="shared" si="326"/>
        <v/>
      </c>
      <c r="N6878" s="76" t="str">
        <f t="shared" si="327"/>
        <v/>
      </c>
      <c r="O6878" s="33">
        <f t="shared" si="328"/>
        <v>0</v>
      </c>
    </row>
    <row r="6879" spans="1:15" x14ac:dyDescent="0.25">
      <c r="A6879" s="64" t="s">
        <v>195</v>
      </c>
      <c r="B6879" s="79" t="str">
        <f>IF('Twenty-Eighth'!B132="", "",'Twenty-Eighth'!B132)</f>
        <v/>
      </c>
      <c r="C6879" s="66" t="str">
        <f>IF('Twenty-Eighth'!C132="", "",'Twenty-Eighth'!C132)</f>
        <v/>
      </c>
      <c r="D6879" s="66" t="str">
        <f>IF('Twenty-Eighth'!D132="", "",'Twenty-Eighth'!D132)</f>
        <v/>
      </c>
      <c r="E6879" s="66" t="str">
        <f>IF('Twenty-Eighth'!E132="", "",'Twenty-Eighth'!E132)</f>
        <v/>
      </c>
      <c r="F6879" s="66" t="str">
        <f>IF('Twenty-Eighth'!F132="", "",'Twenty-Eighth'!F132)</f>
        <v/>
      </c>
      <c r="G6879" s="66" t="str">
        <f>IF('Twenty-Eighth'!G132="", "",'Twenty-Eighth'!G132)</f>
        <v/>
      </c>
      <c r="H6879" s="66" t="str">
        <f>IF('Twenty-Eighth'!H132="", "",'Twenty-Eighth'!H132)</f>
        <v/>
      </c>
      <c r="I6879" s="66" t="str">
        <f>IF('Twenty-Eighth'!I132="", "",'Twenty-Eighth'!I132)</f>
        <v/>
      </c>
      <c r="J6879" s="66" t="str">
        <f>IF('Twenty-Eighth'!J132="", "",'Twenty-Eighth'!J132)</f>
        <v/>
      </c>
      <c r="K6879" s="86" t="str">
        <f>IF('Twenty-Eighth'!K132="", "",'Twenty-Eighth'!K132)</f>
        <v/>
      </c>
      <c r="M6879" s="67" t="str">
        <f t="shared" si="326"/>
        <v/>
      </c>
      <c r="N6879" s="76" t="str">
        <f t="shared" si="327"/>
        <v/>
      </c>
      <c r="O6879" s="33">
        <f t="shared" si="328"/>
        <v>0</v>
      </c>
    </row>
    <row r="6880" spans="1:15" x14ac:dyDescent="0.25">
      <c r="A6880" s="64" t="s">
        <v>195</v>
      </c>
      <c r="B6880" s="79" t="str">
        <f>IF('Twenty-Eighth'!B133="", "",'Twenty-Eighth'!B133)</f>
        <v/>
      </c>
      <c r="C6880" s="66" t="str">
        <f>IF('Twenty-Eighth'!C133="", "",'Twenty-Eighth'!C133)</f>
        <v/>
      </c>
      <c r="D6880" s="66" t="str">
        <f>IF('Twenty-Eighth'!D133="", "",'Twenty-Eighth'!D133)</f>
        <v/>
      </c>
      <c r="E6880" s="66" t="str">
        <f>IF('Twenty-Eighth'!E133="", "",'Twenty-Eighth'!E133)</f>
        <v/>
      </c>
      <c r="F6880" s="66" t="str">
        <f>IF('Twenty-Eighth'!F133="", "",'Twenty-Eighth'!F133)</f>
        <v/>
      </c>
      <c r="G6880" s="66" t="str">
        <f>IF('Twenty-Eighth'!G133="", "",'Twenty-Eighth'!G133)</f>
        <v/>
      </c>
      <c r="H6880" s="66" t="str">
        <f>IF('Twenty-Eighth'!H133="", "",'Twenty-Eighth'!H133)</f>
        <v/>
      </c>
      <c r="I6880" s="66" t="str">
        <f>IF('Twenty-Eighth'!I133="", "",'Twenty-Eighth'!I133)</f>
        <v/>
      </c>
      <c r="J6880" s="66" t="str">
        <f>IF('Twenty-Eighth'!J133="", "",'Twenty-Eighth'!J133)</f>
        <v/>
      </c>
      <c r="K6880" s="86" t="str">
        <f>IF('Twenty-Eighth'!K133="", "",'Twenty-Eighth'!K133)</f>
        <v/>
      </c>
      <c r="M6880" s="67" t="str">
        <f t="shared" si="326"/>
        <v/>
      </c>
      <c r="N6880" s="76" t="str">
        <f t="shared" si="327"/>
        <v/>
      </c>
      <c r="O6880" s="33">
        <f t="shared" si="328"/>
        <v>0</v>
      </c>
    </row>
    <row r="6881" spans="1:15" x14ac:dyDescent="0.25">
      <c r="A6881" s="64" t="s">
        <v>195</v>
      </c>
      <c r="B6881" s="79" t="str">
        <f>IF('Twenty-Eighth'!B134="", "",'Twenty-Eighth'!B134)</f>
        <v/>
      </c>
      <c r="C6881" s="66" t="str">
        <f>IF('Twenty-Eighth'!C134="", "",'Twenty-Eighth'!C134)</f>
        <v/>
      </c>
      <c r="D6881" s="66" t="str">
        <f>IF('Twenty-Eighth'!D134="", "",'Twenty-Eighth'!D134)</f>
        <v/>
      </c>
      <c r="E6881" s="66" t="str">
        <f>IF('Twenty-Eighth'!E134="", "",'Twenty-Eighth'!E134)</f>
        <v/>
      </c>
      <c r="F6881" s="66" t="str">
        <f>IF('Twenty-Eighth'!F134="", "",'Twenty-Eighth'!F134)</f>
        <v/>
      </c>
      <c r="G6881" s="66" t="str">
        <f>IF('Twenty-Eighth'!G134="", "",'Twenty-Eighth'!G134)</f>
        <v/>
      </c>
      <c r="H6881" s="66" t="str">
        <f>IF('Twenty-Eighth'!H134="", "",'Twenty-Eighth'!H134)</f>
        <v/>
      </c>
      <c r="I6881" s="66" t="str">
        <f>IF('Twenty-Eighth'!I134="", "",'Twenty-Eighth'!I134)</f>
        <v/>
      </c>
      <c r="J6881" s="66" t="str">
        <f>IF('Twenty-Eighth'!J134="", "",'Twenty-Eighth'!J134)</f>
        <v/>
      </c>
      <c r="K6881" s="86" t="str">
        <f>IF('Twenty-Eighth'!K134="", "",'Twenty-Eighth'!K134)</f>
        <v/>
      </c>
      <c r="M6881" s="67" t="str">
        <f t="shared" si="326"/>
        <v/>
      </c>
      <c r="N6881" s="76" t="str">
        <f t="shared" si="327"/>
        <v/>
      </c>
      <c r="O6881" s="33">
        <f t="shared" si="328"/>
        <v>0</v>
      </c>
    </row>
    <row r="6882" spans="1:15" x14ac:dyDescent="0.25">
      <c r="A6882" s="64" t="s">
        <v>195</v>
      </c>
      <c r="B6882" s="79" t="str">
        <f>IF('Twenty-Eighth'!B135="", "",'Twenty-Eighth'!B135)</f>
        <v/>
      </c>
      <c r="C6882" s="66" t="str">
        <f>IF('Twenty-Eighth'!C135="", "",'Twenty-Eighth'!C135)</f>
        <v/>
      </c>
      <c r="D6882" s="66" t="str">
        <f>IF('Twenty-Eighth'!D135="", "",'Twenty-Eighth'!D135)</f>
        <v/>
      </c>
      <c r="E6882" s="66" t="str">
        <f>IF('Twenty-Eighth'!E135="", "",'Twenty-Eighth'!E135)</f>
        <v/>
      </c>
      <c r="F6882" s="66" t="str">
        <f>IF('Twenty-Eighth'!F135="", "",'Twenty-Eighth'!F135)</f>
        <v/>
      </c>
      <c r="G6882" s="66" t="str">
        <f>IF('Twenty-Eighth'!G135="", "",'Twenty-Eighth'!G135)</f>
        <v/>
      </c>
      <c r="H6882" s="66" t="str">
        <f>IF('Twenty-Eighth'!H135="", "",'Twenty-Eighth'!H135)</f>
        <v/>
      </c>
      <c r="I6882" s="66" t="str">
        <f>IF('Twenty-Eighth'!I135="", "",'Twenty-Eighth'!I135)</f>
        <v/>
      </c>
      <c r="J6882" s="66" t="str">
        <f>IF('Twenty-Eighth'!J135="", "",'Twenty-Eighth'!J135)</f>
        <v/>
      </c>
      <c r="K6882" s="86" t="str">
        <f>IF('Twenty-Eighth'!K135="", "",'Twenty-Eighth'!K135)</f>
        <v/>
      </c>
      <c r="M6882" s="67" t="str">
        <f t="shared" si="326"/>
        <v/>
      </c>
      <c r="N6882" s="76" t="str">
        <f t="shared" si="327"/>
        <v/>
      </c>
      <c r="O6882" s="33">
        <f t="shared" si="328"/>
        <v>0</v>
      </c>
    </row>
    <row r="6883" spans="1:15" x14ac:dyDescent="0.25">
      <c r="A6883" s="64" t="s">
        <v>195</v>
      </c>
      <c r="B6883" s="79" t="str">
        <f>IF('Twenty-Eighth'!B136="", "",'Twenty-Eighth'!B136)</f>
        <v/>
      </c>
      <c r="C6883" s="66" t="str">
        <f>IF('Twenty-Eighth'!C136="", "",'Twenty-Eighth'!C136)</f>
        <v/>
      </c>
      <c r="D6883" s="66" t="str">
        <f>IF('Twenty-Eighth'!D136="", "",'Twenty-Eighth'!D136)</f>
        <v/>
      </c>
      <c r="E6883" s="66" t="str">
        <f>IF('Twenty-Eighth'!E136="", "",'Twenty-Eighth'!E136)</f>
        <v/>
      </c>
      <c r="F6883" s="66" t="str">
        <f>IF('Twenty-Eighth'!F136="", "",'Twenty-Eighth'!F136)</f>
        <v/>
      </c>
      <c r="G6883" s="66" t="str">
        <f>IF('Twenty-Eighth'!G136="", "",'Twenty-Eighth'!G136)</f>
        <v/>
      </c>
      <c r="H6883" s="66" t="str">
        <f>IF('Twenty-Eighth'!H136="", "",'Twenty-Eighth'!H136)</f>
        <v/>
      </c>
      <c r="I6883" s="66" t="str">
        <f>IF('Twenty-Eighth'!I136="", "",'Twenty-Eighth'!I136)</f>
        <v/>
      </c>
      <c r="J6883" s="66" t="str">
        <f>IF('Twenty-Eighth'!J136="", "",'Twenty-Eighth'!J136)</f>
        <v/>
      </c>
      <c r="K6883" s="86" t="str">
        <f>IF('Twenty-Eighth'!K136="", "",'Twenty-Eighth'!K136)</f>
        <v/>
      </c>
      <c r="M6883" s="67" t="str">
        <f t="shared" si="326"/>
        <v/>
      </c>
      <c r="N6883" s="76" t="str">
        <f t="shared" si="327"/>
        <v/>
      </c>
      <c r="O6883" s="33">
        <f t="shared" si="328"/>
        <v>0</v>
      </c>
    </row>
    <row r="6884" spans="1:15" x14ac:dyDescent="0.25">
      <c r="A6884" s="64" t="s">
        <v>195</v>
      </c>
      <c r="B6884" s="79" t="str">
        <f>IF('Twenty-Eighth'!B137="", "",'Twenty-Eighth'!B137)</f>
        <v/>
      </c>
      <c r="C6884" s="66" t="str">
        <f>IF('Twenty-Eighth'!C137="", "",'Twenty-Eighth'!C137)</f>
        <v/>
      </c>
      <c r="D6884" s="66" t="str">
        <f>IF('Twenty-Eighth'!D137="", "",'Twenty-Eighth'!D137)</f>
        <v/>
      </c>
      <c r="E6884" s="66" t="str">
        <f>IF('Twenty-Eighth'!E137="", "",'Twenty-Eighth'!E137)</f>
        <v/>
      </c>
      <c r="F6884" s="66" t="str">
        <f>IF('Twenty-Eighth'!F137="", "",'Twenty-Eighth'!F137)</f>
        <v/>
      </c>
      <c r="G6884" s="66" t="str">
        <f>IF('Twenty-Eighth'!G137="", "",'Twenty-Eighth'!G137)</f>
        <v/>
      </c>
      <c r="H6884" s="66" t="str">
        <f>IF('Twenty-Eighth'!H137="", "",'Twenty-Eighth'!H137)</f>
        <v/>
      </c>
      <c r="I6884" s="66" t="str">
        <f>IF('Twenty-Eighth'!I137="", "",'Twenty-Eighth'!I137)</f>
        <v/>
      </c>
      <c r="J6884" s="66" t="str">
        <f>IF('Twenty-Eighth'!J137="", "",'Twenty-Eighth'!J137)</f>
        <v/>
      </c>
      <c r="K6884" s="86" t="str">
        <f>IF('Twenty-Eighth'!K137="", "",'Twenty-Eighth'!K137)</f>
        <v/>
      </c>
      <c r="M6884" s="67" t="str">
        <f t="shared" si="326"/>
        <v/>
      </c>
      <c r="N6884" s="76" t="str">
        <f t="shared" si="327"/>
        <v/>
      </c>
      <c r="O6884" s="33">
        <f t="shared" si="328"/>
        <v>0</v>
      </c>
    </row>
    <row r="6885" spans="1:15" x14ac:dyDescent="0.25">
      <c r="A6885" s="64" t="s">
        <v>195</v>
      </c>
      <c r="B6885" s="79" t="str">
        <f>IF('Twenty-Eighth'!B138="", "",'Twenty-Eighth'!B138)</f>
        <v/>
      </c>
      <c r="C6885" s="66" t="str">
        <f>IF('Twenty-Eighth'!C138="", "",'Twenty-Eighth'!C138)</f>
        <v/>
      </c>
      <c r="D6885" s="66" t="str">
        <f>IF('Twenty-Eighth'!D138="", "",'Twenty-Eighth'!D138)</f>
        <v/>
      </c>
      <c r="E6885" s="66" t="str">
        <f>IF('Twenty-Eighth'!E138="", "",'Twenty-Eighth'!E138)</f>
        <v/>
      </c>
      <c r="F6885" s="66" t="str">
        <f>IF('Twenty-Eighth'!F138="", "",'Twenty-Eighth'!F138)</f>
        <v/>
      </c>
      <c r="G6885" s="66" t="str">
        <f>IF('Twenty-Eighth'!G138="", "",'Twenty-Eighth'!G138)</f>
        <v/>
      </c>
      <c r="H6885" s="66" t="str">
        <f>IF('Twenty-Eighth'!H138="", "",'Twenty-Eighth'!H138)</f>
        <v/>
      </c>
      <c r="I6885" s="66" t="str">
        <f>IF('Twenty-Eighth'!I138="", "",'Twenty-Eighth'!I138)</f>
        <v/>
      </c>
      <c r="J6885" s="66" t="str">
        <f>IF('Twenty-Eighth'!J138="", "",'Twenty-Eighth'!J138)</f>
        <v/>
      </c>
      <c r="K6885" s="86" t="str">
        <f>IF('Twenty-Eighth'!K138="", "",'Twenty-Eighth'!K138)</f>
        <v/>
      </c>
      <c r="M6885" s="67" t="str">
        <f t="shared" si="326"/>
        <v/>
      </c>
      <c r="N6885" s="76" t="str">
        <f t="shared" si="327"/>
        <v/>
      </c>
      <c r="O6885" s="33">
        <f t="shared" si="328"/>
        <v>0</v>
      </c>
    </row>
    <row r="6886" spans="1:15" x14ac:dyDescent="0.25">
      <c r="A6886" s="64" t="s">
        <v>195</v>
      </c>
      <c r="B6886" s="79" t="str">
        <f>IF('Twenty-Eighth'!B139="", "",'Twenty-Eighth'!B139)</f>
        <v/>
      </c>
      <c r="C6886" s="66" t="str">
        <f>IF('Twenty-Eighth'!C139="", "",'Twenty-Eighth'!C139)</f>
        <v/>
      </c>
      <c r="D6886" s="66" t="str">
        <f>IF('Twenty-Eighth'!D139="", "",'Twenty-Eighth'!D139)</f>
        <v/>
      </c>
      <c r="E6886" s="66" t="str">
        <f>IF('Twenty-Eighth'!E139="", "",'Twenty-Eighth'!E139)</f>
        <v/>
      </c>
      <c r="F6886" s="66" t="str">
        <f>IF('Twenty-Eighth'!F139="", "",'Twenty-Eighth'!F139)</f>
        <v/>
      </c>
      <c r="G6886" s="66" t="str">
        <f>IF('Twenty-Eighth'!G139="", "",'Twenty-Eighth'!G139)</f>
        <v/>
      </c>
      <c r="H6886" s="66" t="str">
        <f>IF('Twenty-Eighth'!H139="", "",'Twenty-Eighth'!H139)</f>
        <v/>
      </c>
      <c r="I6886" s="66" t="str">
        <f>IF('Twenty-Eighth'!I139="", "",'Twenty-Eighth'!I139)</f>
        <v/>
      </c>
      <c r="J6886" s="66" t="str">
        <f>IF('Twenty-Eighth'!J139="", "",'Twenty-Eighth'!J139)</f>
        <v/>
      </c>
      <c r="K6886" s="86" t="str">
        <f>IF('Twenty-Eighth'!K139="", "",'Twenty-Eighth'!K139)</f>
        <v/>
      </c>
      <c r="M6886" s="67" t="str">
        <f t="shared" si="326"/>
        <v/>
      </c>
      <c r="N6886" s="76" t="str">
        <f t="shared" si="327"/>
        <v/>
      </c>
      <c r="O6886" s="33">
        <f t="shared" si="328"/>
        <v>0</v>
      </c>
    </row>
    <row r="6887" spans="1:15" x14ac:dyDescent="0.25">
      <c r="A6887" s="64" t="s">
        <v>195</v>
      </c>
      <c r="B6887" s="79" t="str">
        <f>IF('Twenty-Eighth'!B140="", "",'Twenty-Eighth'!B140)</f>
        <v/>
      </c>
      <c r="C6887" s="66" t="str">
        <f>IF('Twenty-Eighth'!C140="", "",'Twenty-Eighth'!C140)</f>
        <v/>
      </c>
      <c r="D6887" s="66" t="str">
        <f>IF('Twenty-Eighth'!D140="", "",'Twenty-Eighth'!D140)</f>
        <v/>
      </c>
      <c r="E6887" s="66" t="str">
        <f>IF('Twenty-Eighth'!E140="", "",'Twenty-Eighth'!E140)</f>
        <v/>
      </c>
      <c r="F6887" s="66" t="str">
        <f>IF('Twenty-Eighth'!F140="", "",'Twenty-Eighth'!F140)</f>
        <v/>
      </c>
      <c r="G6887" s="66" t="str">
        <f>IF('Twenty-Eighth'!G140="", "",'Twenty-Eighth'!G140)</f>
        <v/>
      </c>
      <c r="H6887" s="66" t="str">
        <f>IF('Twenty-Eighth'!H140="", "",'Twenty-Eighth'!H140)</f>
        <v/>
      </c>
      <c r="I6887" s="66" t="str">
        <f>IF('Twenty-Eighth'!I140="", "",'Twenty-Eighth'!I140)</f>
        <v/>
      </c>
      <c r="J6887" s="66" t="str">
        <f>IF('Twenty-Eighth'!J140="", "",'Twenty-Eighth'!J140)</f>
        <v/>
      </c>
      <c r="K6887" s="86" t="str">
        <f>IF('Twenty-Eighth'!K140="", "",'Twenty-Eighth'!K140)</f>
        <v/>
      </c>
      <c r="M6887" s="67" t="str">
        <f t="shared" si="326"/>
        <v/>
      </c>
      <c r="N6887" s="76" t="str">
        <f t="shared" si="327"/>
        <v/>
      </c>
      <c r="O6887" s="33">
        <f t="shared" si="328"/>
        <v>0</v>
      </c>
    </row>
    <row r="6888" spans="1:15" x14ac:dyDescent="0.25">
      <c r="A6888" s="64" t="s">
        <v>195</v>
      </c>
      <c r="B6888" s="79" t="str">
        <f>IF('Twenty-Eighth'!B141="", "",'Twenty-Eighth'!B141)</f>
        <v/>
      </c>
      <c r="C6888" s="66" t="str">
        <f>IF('Twenty-Eighth'!C141="", "",'Twenty-Eighth'!C141)</f>
        <v/>
      </c>
      <c r="D6888" s="66" t="str">
        <f>IF('Twenty-Eighth'!D141="", "",'Twenty-Eighth'!D141)</f>
        <v/>
      </c>
      <c r="E6888" s="66" t="str">
        <f>IF('Twenty-Eighth'!E141="", "",'Twenty-Eighth'!E141)</f>
        <v/>
      </c>
      <c r="F6888" s="66" t="str">
        <f>IF('Twenty-Eighth'!F141="", "",'Twenty-Eighth'!F141)</f>
        <v/>
      </c>
      <c r="G6888" s="66" t="str">
        <f>IF('Twenty-Eighth'!G141="", "",'Twenty-Eighth'!G141)</f>
        <v/>
      </c>
      <c r="H6888" s="66" t="str">
        <f>IF('Twenty-Eighth'!H141="", "",'Twenty-Eighth'!H141)</f>
        <v/>
      </c>
      <c r="I6888" s="66" t="str">
        <f>IF('Twenty-Eighth'!I141="", "",'Twenty-Eighth'!I141)</f>
        <v/>
      </c>
      <c r="J6888" s="66" t="str">
        <f>IF('Twenty-Eighth'!J141="", "",'Twenty-Eighth'!J141)</f>
        <v/>
      </c>
      <c r="K6888" s="86" t="str">
        <f>IF('Twenty-Eighth'!K141="", "",'Twenty-Eighth'!K141)</f>
        <v/>
      </c>
      <c r="M6888" s="67" t="str">
        <f t="shared" si="326"/>
        <v/>
      </c>
      <c r="N6888" s="76" t="str">
        <f t="shared" si="327"/>
        <v/>
      </c>
      <c r="O6888" s="33">
        <f t="shared" si="328"/>
        <v>0</v>
      </c>
    </row>
    <row r="6889" spans="1:15" x14ac:dyDescent="0.25">
      <c r="A6889" s="64" t="s">
        <v>195</v>
      </c>
      <c r="B6889" s="79" t="str">
        <f>IF('Twenty-Eighth'!B142="", "",'Twenty-Eighth'!B142)</f>
        <v/>
      </c>
      <c r="C6889" s="66" t="str">
        <f>IF('Twenty-Eighth'!C142="", "",'Twenty-Eighth'!C142)</f>
        <v/>
      </c>
      <c r="D6889" s="66" t="str">
        <f>IF('Twenty-Eighth'!D142="", "",'Twenty-Eighth'!D142)</f>
        <v/>
      </c>
      <c r="E6889" s="66" t="str">
        <f>IF('Twenty-Eighth'!E142="", "",'Twenty-Eighth'!E142)</f>
        <v/>
      </c>
      <c r="F6889" s="66" t="str">
        <f>IF('Twenty-Eighth'!F142="", "",'Twenty-Eighth'!F142)</f>
        <v/>
      </c>
      <c r="G6889" s="66" t="str">
        <f>IF('Twenty-Eighth'!G142="", "",'Twenty-Eighth'!G142)</f>
        <v/>
      </c>
      <c r="H6889" s="66" t="str">
        <f>IF('Twenty-Eighth'!H142="", "",'Twenty-Eighth'!H142)</f>
        <v/>
      </c>
      <c r="I6889" s="66" t="str">
        <f>IF('Twenty-Eighth'!I142="", "",'Twenty-Eighth'!I142)</f>
        <v/>
      </c>
      <c r="J6889" s="66" t="str">
        <f>IF('Twenty-Eighth'!J142="", "",'Twenty-Eighth'!J142)</f>
        <v/>
      </c>
      <c r="K6889" s="86" t="str">
        <f>IF('Twenty-Eighth'!K142="", "",'Twenty-Eighth'!K142)</f>
        <v/>
      </c>
      <c r="M6889" s="67" t="str">
        <f t="shared" si="326"/>
        <v/>
      </c>
      <c r="N6889" s="76" t="str">
        <f t="shared" si="327"/>
        <v/>
      </c>
      <c r="O6889" s="33">
        <f t="shared" si="328"/>
        <v>0</v>
      </c>
    </row>
    <row r="6890" spans="1:15" x14ac:dyDescent="0.25">
      <c r="A6890" s="64" t="s">
        <v>195</v>
      </c>
      <c r="B6890" s="79" t="str">
        <f>IF('Twenty-Eighth'!B143="", "",'Twenty-Eighth'!B143)</f>
        <v/>
      </c>
      <c r="C6890" s="66" t="str">
        <f>IF('Twenty-Eighth'!C143="", "",'Twenty-Eighth'!C143)</f>
        <v/>
      </c>
      <c r="D6890" s="66" t="str">
        <f>IF('Twenty-Eighth'!D143="", "",'Twenty-Eighth'!D143)</f>
        <v/>
      </c>
      <c r="E6890" s="66" t="str">
        <f>IF('Twenty-Eighth'!E143="", "",'Twenty-Eighth'!E143)</f>
        <v/>
      </c>
      <c r="F6890" s="66" t="str">
        <f>IF('Twenty-Eighth'!F143="", "",'Twenty-Eighth'!F143)</f>
        <v/>
      </c>
      <c r="G6890" s="66" t="str">
        <f>IF('Twenty-Eighth'!G143="", "",'Twenty-Eighth'!G143)</f>
        <v/>
      </c>
      <c r="H6890" s="66" t="str">
        <f>IF('Twenty-Eighth'!H143="", "",'Twenty-Eighth'!H143)</f>
        <v/>
      </c>
      <c r="I6890" s="66" t="str">
        <f>IF('Twenty-Eighth'!I143="", "",'Twenty-Eighth'!I143)</f>
        <v/>
      </c>
      <c r="J6890" s="66" t="str">
        <f>IF('Twenty-Eighth'!J143="", "",'Twenty-Eighth'!J143)</f>
        <v/>
      </c>
      <c r="K6890" s="86" t="str">
        <f>IF('Twenty-Eighth'!K143="", "",'Twenty-Eighth'!K143)</f>
        <v/>
      </c>
      <c r="M6890" s="67" t="str">
        <f t="shared" si="326"/>
        <v/>
      </c>
      <c r="N6890" s="76" t="str">
        <f t="shared" si="327"/>
        <v/>
      </c>
      <c r="O6890" s="33">
        <f t="shared" si="328"/>
        <v>0</v>
      </c>
    </row>
    <row r="6891" spans="1:15" x14ac:dyDescent="0.25">
      <c r="A6891" s="64" t="s">
        <v>195</v>
      </c>
      <c r="B6891" s="79" t="str">
        <f>IF('Twenty-Eighth'!B144="", "",'Twenty-Eighth'!B144)</f>
        <v/>
      </c>
      <c r="C6891" s="66" t="str">
        <f>IF('Twenty-Eighth'!C144="", "",'Twenty-Eighth'!C144)</f>
        <v/>
      </c>
      <c r="D6891" s="66" t="str">
        <f>IF('Twenty-Eighth'!D144="", "",'Twenty-Eighth'!D144)</f>
        <v/>
      </c>
      <c r="E6891" s="66" t="str">
        <f>IF('Twenty-Eighth'!E144="", "",'Twenty-Eighth'!E144)</f>
        <v/>
      </c>
      <c r="F6891" s="66" t="str">
        <f>IF('Twenty-Eighth'!F144="", "",'Twenty-Eighth'!F144)</f>
        <v/>
      </c>
      <c r="G6891" s="66" t="str">
        <f>IF('Twenty-Eighth'!G144="", "",'Twenty-Eighth'!G144)</f>
        <v/>
      </c>
      <c r="H6891" s="66" t="str">
        <f>IF('Twenty-Eighth'!H144="", "",'Twenty-Eighth'!H144)</f>
        <v/>
      </c>
      <c r="I6891" s="66" t="str">
        <f>IF('Twenty-Eighth'!I144="", "",'Twenty-Eighth'!I144)</f>
        <v/>
      </c>
      <c r="J6891" s="66" t="str">
        <f>IF('Twenty-Eighth'!J144="", "",'Twenty-Eighth'!J144)</f>
        <v/>
      </c>
      <c r="K6891" s="86" t="str">
        <f>IF('Twenty-Eighth'!K144="", "",'Twenty-Eighth'!K144)</f>
        <v/>
      </c>
      <c r="M6891" s="67" t="str">
        <f t="shared" si="326"/>
        <v/>
      </c>
      <c r="N6891" s="76" t="str">
        <f t="shared" si="327"/>
        <v/>
      </c>
      <c r="O6891" s="33">
        <f t="shared" si="328"/>
        <v>0</v>
      </c>
    </row>
    <row r="6892" spans="1:15" x14ac:dyDescent="0.25">
      <c r="A6892" s="64" t="s">
        <v>195</v>
      </c>
      <c r="B6892" s="79" t="str">
        <f>IF('Twenty-Eighth'!B145="", "",'Twenty-Eighth'!B145)</f>
        <v/>
      </c>
      <c r="C6892" s="66" t="str">
        <f>IF('Twenty-Eighth'!C145="", "",'Twenty-Eighth'!C145)</f>
        <v/>
      </c>
      <c r="D6892" s="66" t="str">
        <f>IF('Twenty-Eighth'!D145="", "",'Twenty-Eighth'!D145)</f>
        <v/>
      </c>
      <c r="E6892" s="66" t="str">
        <f>IF('Twenty-Eighth'!E145="", "",'Twenty-Eighth'!E145)</f>
        <v/>
      </c>
      <c r="F6892" s="66" t="str">
        <f>IF('Twenty-Eighth'!F145="", "",'Twenty-Eighth'!F145)</f>
        <v/>
      </c>
      <c r="G6892" s="66" t="str">
        <f>IF('Twenty-Eighth'!G145="", "",'Twenty-Eighth'!G145)</f>
        <v/>
      </c>
      <c r="H6892" s="66" t="str">
        <f>IF('Twenty-Eighth'!H145="", "",'Twenty-Eighth'!H145)</f>
        <v/>
      </c>
      <c r="I6892" s="66" t="str">
        <f>IF('Twenty-Eighth'!I145="", "",'Twenty-Eighth'!I145)</f>
        <v/>
      </c>
      <c r="J6892" s="66" t="str">
        <f>IF('Twenty-Eighth'!J145="", "",'Twenty-Eighth'!J145)</f>
        <v/>
      </c>
      <c r="K6892" s="86" t="str">
        <f>IF('Twenty-Eighth'!K145="", "",'Twenty-Eighth'!K145)</f>
        <v/>
      </c>
      <c r="M6892" s="67" t="str">
        <f t="shared" si="326"/>
        <v/>
      </c>
      <c r="N6892" s="76" t="str">
        <f t="shared" si="327"/>
        <v/>
      </c>
      <c r="O6892" s="33">
        <f t="shared" si="328"/>
        <v>0</v>
      </c>
    </row>
    <row r="6893" spans="1:15" x14ac:dyDescent="0.25">
      <c r="A6893" s="64" t="s">
        <v>195</v>
      </c>
      <c r="B6893" s="79" t="str">
        <f>IF('Twenty-Eighth'!B146="", "",'Twenty-Eighth'!B146)</f>
        <v/>
      </c>
      <c r="C6893" s="66" t="str">
        <f>IF('Twenty-Eighth'!C146="", "",'Twenty-Eighth'!C146)</f>
        <v/>
      </c>
      <c r="D6893" s="66" t="str">
        <f>IF('Twenty-Eighth'!D146="", "",'Twenty-Eighth'!D146)</f>
        <v/>
      </c>
      <c r="E6893" s="66" t="str">
        <f>IF('Twenty-Eighth'!E146="", "",'Twenty-Eighth'!E146)</f>
        <v/>
      </c>
      <c r="F6893" s="66" t="str">
        <f>IF('Twenty-Eighth'!F146="", "",'Twenty-Eighth'!F146)</f>
        <v/>
      </c>
      <c r="G6893" s="66" t="str">
        <f>IF('Twenty-Eighth'!G146="", "",'Twenty-Eighth'!G146)</f>
        <v/>
      </c>
      <c r="H6893" s="66" t="str">
        <f>IF('Twenty-Eighth'!H146="", "",'Twenty-Eighth'!H146)</f>
        <v/>
      </c>
      <c r="I6893" s="66" t="str">
        <f>IF('Twenty-Eighth'!I146="", "",'Twenty-Eighth'!I146)</f>
        <v/>
      </c>
      <c r="J6893" s="66" t="str">
        <f>IF('Twenty-Eighth'!J146="", "",'Twenty-Eighth'!J146)</f>
        <v/>
      </c>
      <c r="K6893" s="86" t="str">
        <f>IF('Twenty-Eighth'!K146="", "",'Twenty-Eighth'!K146)</f>
        <v/>
      </c>
      <c r="M6893" s="67" t="str">
        <f t="shared" si="326"/>
        <v/>
      </c>
      <c r="N6893" s="76" t="str">
        <f t="shared" si="327"/>
        <v/>
      </c>
      <c r="O6893" s="33">
        <f t="shared" si="328"/>
        <v>0</v>
      </c>
    </row>
    <row r="6894" spans="1:15" x14ac:dyDescent="0.25">
      <c r="A6894" s="64" t="s">
        <v>195</v>
      </c>
      <c r="B6894" s="79" t="str">
        <f>IF('Twenty-Eighth'!B147="", "",'Twenty-Eighth'!B147)</f>
        <v/>
      </c>
      <c r="C6894" s="66" t="str">
        <f>IF('Twenty-Eighth'!C147="", "",'Twenty-Eighth'!C147)</f>
        <v/>
      </c>
      <c r="D6894" s="66" t="str">
        <f>IF('Twenty-Eighth'!D147="", "",'Twenty-Eighth'!D147)</f>
        <v/>
      </c>
      <c r="E6894" s="66" t="str">
        <f>IF('Twenty-Eighth'!E147="", "",'Twenty-Eighth'!E147)</f>
        <v/>
      </c>
      <c r="F6894" s="66" t="str">
        <f>IF('Twenty-Eighth'!F147="", "",'Twenty-Eighth'!F147)</f>
        <v/>
      </c>
      <c r="G6894" s="66" t="str">
        <f>IF('Twenty-Eighth'!G147="", "",'Twenty-Eighth'!G147)</f>
        <v/>
      </c>
      <c r="H6894" s="66" t="str">
        <f>IF('Twenty-Eighth'!H147="", "",'Twenty-Eighth'!H147)</f>
        <v/>
      </c>
      <c r="I6894" s="66" t="str">
        <f>IF('Twenty-Eighth'!I147="", "",'Twenty-Eighth'!I147)</f>
        <v/>
      </c>
      <c r="J6894" s="66" t="str">
        <f>IF('Twenty-Eighth'!J147="", "",'Twenty-Eighth'!J147)</f>
        <v/>
      </c>
      <c r="K6894" s="86" t="str">
        <f>IF('Twenty-Eighth'!K147="", "",'Twenty-Eighth'!K147)</f>
        <v/>
      </c>
      <c r="M6894" s="67" t="str">
        <f t="shared" si="326"/>
        <v/>
      </c>
      <c r="N6894" s="76" t="str">
        <f t="shared" si="327"/>
        <v/>
      </c>
      <c r="O6894" s="33">
        <f t="shared" si="328"/>
        <v>0</v>
      </c>
    </row>
    <row r="6895" spans="1:15" x14ac:dyDescent="0.25">
      <c r="A6895" s="64" t="s">
        <v>195</v>
      </c>
      <c r="B6895" s="79" t="str">
        <f>IF('Twenty-Eighth'!B148="", "",'Twenty-Eighth'!B148)</f>
        <v/>
      </c>
      <c r="C6895" s="66" t="str">
        <f>IF('Twenty-Eighth'!C148="", "",'Twenty-Eighth'!C148)</f>
        <v/>
      </c>
      <c r="D6895" s="66" t="str">
        <f>IF('Twenty-Eighth'!D148="", "",'Twenty-Eighth'!D148)</f>
        <v/>
      </c>
      <c r="E6895" s="66" t="str">
        <f>IF('Twenty-Eighth'!E148="", "",'Twenty-Eighth'!E148)</f>
        <v/>
      </c>
      <c r="F6895" s="66" t="str">
        <f>IF('Twenty-Eighth'!F148="", "",'Twenty-Eighth'!F148)</f>
        <v/>
      </c>
      <c r="G6895" s="66" t="str">
        <f>IF('Twenty-Eighth'!G148="", "",'Twenty-Eighth'!G148)</f>
        <v/>
      </c>
      <c r="H6895" s="66" t="str">
        <f>IF('Twenty-Eighth'!H148="", "",'Twenty-Eighth'!H148)</f>
        <v/>
      </c>
      <c r="I6895" s="66" t="str">
        <f>IF('Twenty-Eighth'!I148="", "",'Twenty-Eighth'!I148)</f>
        <v/>
      </c>
      <c r="J6895" s="66" t="str">
        <f>IF('Twenty-Eighth'!J148="", "",'Twenty-Eighth'!J148)</f>
        <v/>
      </c>
      <c r="K6895" s="86" t="str">
        <f>IF('Twenty-Eighth'!K148="", "",'Twenty-Eighth'!K148)</f>
        <v/>
      </c>
      <c r="M6895" s="67" t="str">
        <f t="shared" si="326"/>
        <v/>
      </c>
      <c r="N6895" s="76" t="str">
        <f t="shared" si="327"/>
        <v/>
      </c>
      <c r="O6895" s="33">
        <f t="shared" si="328"/>
        <v>0</v>
      </c>
    </row>
    <row r="6896" spans="1:15" x14ac:dyDescent="0.25">
      <c r="A6896" s="64" t="s">
        <v>195</v>
      </c>
      <c r="B6896" s="79" t="str">
        <f>IF('Twenty-Eighth'!B149="", "",'Twenty-Eighth'!B149)</f>
        <v/>
      </c>
      <c r="C6896" s="66" t="str">
        <f>IF('Twenty-Eighth'!C149="", "",'Twenty-Eighth'!C149)</f>
        <v/>
      </c>
      <c r="D6896" s="66" t="str">
        <f>IF('Twenty-Eighth'!D149="", "",'Twenty-Eighth'!D149)</f>
        <v/>
      </c>
      <c r="E6896" s="66" t="str">
        <f>IF('Twenty-Eighth'!E149="", "",'Twenty-Eighth'!E149)</f>
        <v/>
      </c>
      <c r="F6896" s="66" t="str">
        <f>IF('Twenty-Eighth'!F149="", "",'Twenty-Eighth'!F149)</f>
        <v/>
      </c>
      <c r="G6896" s="66" t="str">
        <f>IF('Twenty-Eighth'!G149="", "",'Twenty-Eighth'!G149)</f>
        <v/>
      </c>
      <c r="H6896" s="66" t="str">
        <f>IF('Twenty-Eighth'!H149="", "",'Twenty-Eighth'!H149)</f>
        <v/>
      </c>
      <c r="I6896" s="66" t="str">
        <f>IF('Twenty-Eighth'!I149="", "",'Twenty-Eighth'!I149)</f>
        <v/>
      </c>
      <c r="J6896" s="66" t="str">
        <f>IF('Twenty-Eighth'!J149="", "",'Twenty-Eighth'!J149)</f>
        <v/>
      </c>
      <c r="K6896" s="86" t="str">
        <f>IF('Twenty-Eighth'!K149="", "",'Twenty-Eighth'!K149)</f>
        <v/>
      </c>
      <c r="M6896" s="67" t="str">
        <f t="shared" si="326"/>
        <v/>
      </c>
      <c r="N6896" s="76" t="str">
        <f t="shared" si="327"/>
        <v/>
      </c>
      <c r="O6896" s="33">
        <f t="shared" si="328"/>
        <v>0</v>
      </c>
    </row>
    <row r="6897" spans="1:15" x14ac:dyDescent="0.25">
      <c r="A6897" s="64" t="s">
        <v>195</v>
      </c>
      <c r="B6897" s="79" t="str">
        <f>IF('Twenty-Eighth'!B150="", "",'Twenty-Eighth'!B150)</f>
        <v/>
      </c>
      <c r="C6897" s="66" t="str">
        <f>IF('Twenty-Eighth'!C150="", "",'Twenty-Eighth'!C150)</f>
        <v/>
      </c>
      <c r="D6897" s="66" t="str">
        <f>IF('Twenty-Eighth'!D150="", "",'Twenty-Eighth'!D150)</f>
        <v/>
      </c>
      <c r="E6897" s="66" t="str">
        <f>IF('Twenty-Eighth'!E150="", "",'Twenty-Eighth'!E150)</f>
        <v/>
      </c>
      <c r="F6897" s="66" t="str">
        <f>IF('Twenty-Eighth'!F150="", "",'Twenty-Eighth'!F150)</f>
        <v/>
      </c>
      <c r="G6897" s="66" t="str">
        <f>IF('Twenty-Eighth'!G150="", "",'Twenty-Eighth'!G150)</f>
        <v/>
      </c>
      <c r="H6897" s="66" t="str">
        <f>IF('Twenty-Eighth'!H150="", "",'Twenty-Eighth'!H150)</f>
        <v/>
      </c>
      <c r="I6897" s="66" t="str">
        <f>IF('Twenty-Eighth'!I150="", "",'Twenty-Eighth'!I150)</f>
        <v/>
      </c>
      <c r="J6897" s="66" t="str">
        <f>IF('Twenty-Eighth'!J150="", "",'Twenty-Eighth'!J150)</f>
        <v/>
      </c>
      <c r="K6897" s="86" t="str">
        <f>IF('Twenty-Eighth'!K150="", "",'Twenty-Eighth'!K150)</f>
        <v/>
      </c>
      <c r="M6897" s="67" t="str">
        <f t="shared" si="326"/>
        <v/>
      </c>
      <c r="N6897" s="76" t="str">
        <f t="shared" si="327"/>
        <v/>
      </c>
      <c r="O6897" s="33">
        <f t="shared" si="328"/>
        <v>0</v>
      </c>
    </row>
    <row r="6898" spans="1:15" x14ac:dyDescent="0.25">
      <c r="A6898" s="64" t="s">
        <v>195</v>
      </c>
      <c r="B6898" s="79" t="str">
        <f>IF('Twenty-Eighth'!B151="", "",'Twenty-Eighth'!B151)</f>
        <v/>
      </c>
      <c r="C6898" s="66" t="str">
        <f>IF('Twenty-Eighth'!C151="", "",'Twenty-Eighth'!C151)</f>
        <v/>
      </c>
      <c r="D6898" s="66" t="str">
        <f>IF('Twenty-Eighth'!D151="", "",'Twenty-Eighth'!D151)</f>
        <v/>
      </c>
      <c r="E6898" s="66" t="str">
        <f>IF('Twenty-Eighth'!E151="", "",'Twenty-Eighth'!E151)</f>
        <v/>
      </c>
      <c r="F6898" s="66" t="str">
        <f>IF('Twenty-Eighth'!F151="", "",'Twenty-Eighth'!F151)</f>
        <v/>
      </c>
      <c r="G6898" s="66" t="str">
        <f>IF('Twenty-Eighth'!G151="", "",'Twenty-Eighth'!G151)</f>
        <v/>
      </c>
      <c r="H6898" s="66" t="str">
        <f>IF('Twenty-Eighth'!H151="", "",'Twenty-Eighth'!H151)</f>
        <v/>
      </c>
      <c r="I6898" s="66" t="str">
        <f>IF('Twenty-Eighth'!I151="", "",'Twenty-Eighth'!I151)</f>
        <v/>
      </c>
      <c r="J6898" s="66" t="str">
        <f>IF('Twenty-Eighth'!J151="", "",'Twenty-Eighth'!J151)</f>
        <v/>
      </c>
      <c r="K6898" s="86" t="str">
        <f>IF('Twenty-Eighth'!K151="", "",'Twenty-Eighth'!K151)</f>
        <v/>
      </c>
      <c r="M6898" s="67" t="str">
        <f t="shared" si="326"/>
        <v/>
      </c>
      <c r="N6898" s="76" t="str">
        <f t="shared" si="327"/>
        <v/>
      </c>
      <c r="O6898" s="33">
        <f t="shared" si="328"/>
        <v>0</v>
      </c>
    </row>
    <row r="6899" spans="1:15" x14ac:dyDescent="0.25">
      <c r="A6899" s="64" t="s">
        <v>195</v>
      </c>
      <c r="B6899" s="79" t="str">
        <f>IF('Twenty-Eighth'!B152="", "",'Twenty-Eighth'!B152)</f>
        <v/>
      </c>
      <c r="C6899" s="66" t="str">
        <f>IF('Twenty-Eighth'!C152="", "",'Twenty-Eighth'!C152)</f>
        <v/>
      </c>
      <c r="D6899" s="66" t="str">
        <f>IF('Twenty-Eighth'!D152="", "",'Twenty-Eighth'!D152)</f>
        <v/>
      </c>
      <c r="E6899" s="66" t="str">
        <f>IF('Twenty-Eighth'!E152="", "",'Twenty-Eighth'!E152)</f>
        <v/>
      </c>
      <c r="F6899" s="66" t="str">
        <f>IF('Twenty-Eighth'!F152="", "",'Twenty-Eighth'!F152)</f>
        <v/>
      </c>
      <c r="G6899" s="66" t="str">
        <f>IF('Twenty-Eighth'!G152="", "",'Twenty-Eighth'!G152)</f>
        <v/>
      </c>
      <c r="H6899" s="66" t="str">
        <f>IF('Twenty-Eighth'!H152="", "",'Twenty-Eighth'!H152)</f>
        <v/>
      </c>
      <c r="I6899" s="66" t="str">
        <f>IF('Twenty-Eighth'!I152="", "",'Twenty-Eighth'!I152)</f>
        <v/>
      </c>
      <c r="J6899" s="66" t="str">
        <f>IF('Twenty-Eighth'!J152="", "",'Twenty-Eighth'!J152)</f>
        <v/>
      </c>
      <c r="K6899" s="86" t="str">
        <f>IF('Twenty-Eighth'!K152="", "",'Twenty-Eighth'!K152)</f>
        <v/>
      </c>
      <c r="M6899" s="67" t="str">
        <f t="shared" si="326"/>
        <v/>
      </c>
      <c r="N6899" s="76" t="str">
        <f t="shared" si="327"/>
        <v/>
      </c>
      <c r="O6899" s="33">
        <f t="shared" si="328"/>
        <v>0</v>
      </c>
    </row>
    <row r="6900" spans="1:15" x14ac:dyDescent="0.25">
      <c r="A6900" s="64" t="s">
        <v>195</v>
      </c>
      <c r="B6900" s="79" t="str">
        <f>IF('Twenty-Eighth'!B153="", "",'Twenty-Eighth'!B153)</f>
        <v/>
      </c>
      <c r="C6900" s="66" t="str">
        <f>IF('Twenty-Eighth'!C153="", "",'Twenty-Eighth'!C153)</f>
        <v/>
      </c>
      <c r="D6900" s="66" t="str">
        <f>IF('Twenty-Eighth'!D153="", "",'Twenty-Eighth'!D153)</f>
        <v/>
      </c>
      <c r="E6900" s="66" t="str">
        <f>IF('Twenty-Eighth'!E153="", "",'Twenty-Eighth'!E153)</f>
        <v/>
      </c>
      <c r="F6900" s="66" t="str">
        <f>IF('Twenty-Eighth'!F153="", "",'Twenty-Eighth'!F153)</f>
        <v/>
      </c>
      <c r="G6900" s="66" t="str">
        <f>IF('Twenty-Eighth'!G153="", "",'Twenty-Eighth'!G153)</f>
        <v/>
      </c>
      <c r="H6900" s="66" t="str">
        <f>IF('Twenty-Eighth'!H153="", "",'Twenty-Eighth'!H153)</f>
        <v/>
      </c>
      <c r="I6900" s="66" t="str">
        <f>IF('Twenty-Eighth'!I153="", "",'Twenty-Eighth'!I153)</f>
        <v/>
      </c>
      <c r="J6900" s="66" t="str">
        <f>IF('Twenty-Eighth'!J153="", "",'Twenty-Eighth'!J153)</f>
        <v/>
      </c>
      <c r="K6900" s="86" t="str">
        <f>IF('Twenty-Eighth'!K153="", "",'Twenty-Eighth'!K153)</f>
        <v/>
      </c>
      <c r="M6900" s="67" t="str">
        <f t="shared" si="326"/>
        <v/>
      </c>
      <c r="N6900" s="76" t="str">
        <f t="shared" si="327"/>
        <v/>
      </c>
      <c r="O6900" s="33">
        <f t="shared" si="328"/>
        <v>0</v>
      </c>
    </row>
    <row r="6901" spans="1:15" x14ac:dyDescent="0.25">
      <c r="A6901" s="64" t="s">
        <v>195</v>
      </c>
      <c r="B6901" s="79" t="str">
        <f>IF('Twenty-Eighth'!B154="", "",'Twenty-Eighth'!B154)</f>
        <v/>
      </c>
      <c r="C6901" s="66" t="str">
        <f>IF('Twenty-Eighth'!C154="", "",'Twenty-Eighth'!C154)</f>
        <v/>
      </c>
      <c r="D6901" s="66" t="str">
        <f>IF('Twenty-Eighth'!D154="", "",'Twenty-Eighth'!D154)</f>
        <v/>
      </c>
      <c r="E6901" s="66" t="str">
        <f>IF('Twenty-Eighth'!E154="", "",'Twenty-Eighth'!E154)</f>
        <v/>
      </c>
      <c r="F6901" s="66" t="str">
        <f>IF('Twenty-Eighth'!F154="", "",'Twenty-Eighth'!F154)</f>
        <v/>
      </c>
      <c r="G6901" s="66" t="str">
        <f>IF('Twenty-Eighth'!G154="", "",'Twenty-Eighth'!G154)</f>
        <v/>
      </c>
      <c r="H6901" s="66" t="str">
        <f>IF('Twenty-Eighth'!H154="", "",'Twenty-Eighth'!H154)</f>
        <v/>
      </c>
      <c r="I6901" s="66" t="str">
        <f>IF('Twenty-Eighth'!I154="", "",'Twenty-Eighth'!I154)</f>
        <v/>
      </c>
      <c r="J6901" s="66" t="str">
        <f>IF('Twenty-Eighth'!J154="", "",'Twenty-Eighth'!J154)</f>
        <v/>
      </c>
      <c r="K6901" s="86" t="str">
        <f>IF('Twenty-Eighth'!K154="", "",'Twenty-Eighth'!K154)</f>
        <v/>
      </c>
      <c r="M6901" s="67" t="str">
        <f t="shared" si="326"/>
        <v/>
      </c>
      <c r="N6901" s="76" t="str">
        <f t="shared" si="327"/>
        <v/>
      </c>
      <c r="O6901" s="33">
        <f t="shared" si="328"/>
        <v>0</v>
      </c>
    </row>
    <row r="6902" spans="1:15" x14ac:dyDescent="0.25">
      <c r="A6902" s="64" t="s">
        <v>195</v>
      </c>
      <c r="B6902" s="79" t="str">
        <f>IF('Twenty-Eighth'!B155="", "",'Twenty-Eighth'!B155)</f>
        <v/>
      </c>
      <c r="C6902" s="66" t="str">
        <f>IF('Twenty-Eighth'!C155="", "",'Twenty-Eighth'!C155)</f>
        <v/>
      </c>
      <c r="D6902" s="66" t="str">
        <f>IF('Twenty-Eighth'!D155="", "",'Twenty-Eighth'!D155)</f>
        <v/>
      </c>
      <c r="E6902" s="66" t="str">
        <f>IF('Twenty-Eighth'!E155="", "",'Twenty-Eighth'!E155)</f>
        <v/>
      </c>
      <c r="F6902" s="66" t="str">
        <f>IF('Twenty-Eighth'!F155="", "",'Twenty-Eighth'!F155)</f>
        <v/>
      </c>
      <c r="G6902" s="66" t="str">
        <f>IF('Twenty-Eighth'!G155="", "",'Twenty-Eighth'!G155)</f>
        <v/>
      </c>
      <c r="H6902" s="66" t="str">
        <f>IF('Twenty-Eighth'!H155="", "",'Twenty-Eighth'!H155)</f>
        <v/>
      </c>
      <c r="I6902" s="66" t="str">
        <f>IF('Twenty-Eighth'!I155="", "",'Twenty-Eighth'!I155)</f>
        <v/>
      </c>
      <c r="J6902" s="66" t="str">
        <f>IF('Twenty-Eighth'!J155="", "",'Twenty-Eighth'!J155)</f>
        <v/>
      </c>
      <c r="K6902" s="86" t="str">
        <f>IF('Twenty-Eighth'!K155="", "",'Twenty-Eighth'!K155)</f>
        <v/>
      </c>
      <c r="M6902" s="67" t="str">
        <f t="shared" si="326"/>
        <v/>
      </c>
      <c r="N6902" s="76" t="str">
        <f t="shared" si="327"/>
        <v/>
      </c>
      <c r="O6902" s="33">
        <f t="shared" si="328"/>
        <v>0</v>
      </c>
    </row>
    <row r="6903" spans="1:15" x14ac:dyDescent="0.25">
      <c r="A6903" s="64" t="s">
        <v>195</v>
      </c>
      <c r="B6903" s="79" t="str">
        <f>IF('Twenty-Eighth'!B156="", "",'Twenty-Eighth'!B156)</f>
        <v/>
      </c>
      <c r="C6903" s="66" t="str">
        <f>IF('Twenty-Eighth'!C156="", "",'Twenty-Eighth'!C156)</f>
        <v/>
      </c>
      <c r="D6903" s="66" t="str">
        <f>IF('Twenty-Eighth'!D156="", "",'Twenty-Eighth'!D156)</f>
        <v/>
      </c>
      <c r="E6903" s="66" t="str">
        <f>IF('Twenty-Eighth'!E156="", "",'Twenty-Eighth'!E156)</f>
        <v/>
      </c>
      <c r="F6903" s="66" t="str">
        <f>IF('Twenty-Eighth'!F156="", "",'Twenty-Eighth'!F156)</f>
        <v/>
      </c>
      <c r="G6903" s="66" t="str">
        <f>IF('Twenty-Eighth'!G156="", "",'Twenty-Eighth'!G156)</f>
        <v/>
      </c>
      <c r="H6903" s="66" t="str">
        <f>IF('Twenty-Eighth'!H156="", "",'Twenty-Eighth'!H156)</f>
        <v/>
      </c>
      <c r="I6903" s="66" t="str">
        <f>IF('Twenty-Eighth'!I156="", "",'Twenty-Eighth'!I156)</f>
        <v/>
      </c>
      <c r="J6903" s="66" t="str">
        <f>IF('Twenty-Eighth'!J156="", "",'Twenty-Eighth'!J156)</f>
        <v/>
      </c>
      <c r="K6903" s="86" t="str">
        <f>IF('Twenty-Eighth'!K156="", "",'Twenty-Eighth'!K156)</f>
        <v/>
      </c>
      <c r="M6903" s="67" t="str">
        <f t="shared" si="326"/>
        <v/>
      </c>
      <c r="N6903" s="76" t="str">
        <f t="shared" si="327"/>
        <v/>
      </c>
      <c r="O6903" s="33">
        <f t="shared" si="328"/>
        <v>0</v>
      </c>
    </row>
    <row r="6904" spans="1:15" x14ac:dyDescent="0.25">
      <c r="A6904" s="64" t="s">
        <v>195</v>
      </c>
      <c r="B6904" s="79" t="str">
        <f>IF('Twenty-Eighth'!B157="", "",'Twenty-Eighth'!B157)</f>
        <v/>
      </c>
      <c r="C6904" s="66" t="str">
        <f>IF('Twenty-Eighth'!C157="", "",'Twenty-Eighth'!C157)</f>
        <v/>
      </c>
      <c r="D6904" s="66" t="str">
        <f>IF('Twenty-Eighth'!D157="", "",'Twenty-Eighth'!D157)</f>
        <v/>
      </c>
      <c r="E6904" s="66" t="str">
        <f>IF('Twenty-Eighth'!E157="", "",'Twenty-Eighth'!E157)</f>
        <v/>
      </c>
      <c r="F6904" s="66" t="str">
        <f>IF('Twenty-Eighth'!F157="", "",'Twenty-Eighth'!F157)</f>
        <v/>
      </c>
      <c r="G6904" s="66" t="str">
        <f>IF('Twenty-Eighth'!G157="", "",'Twenty-Eighth'!G157)</f>
        <v/>
      </c>
      <c r="H6904" s="66" t="str">
        <f>IF('Twenty-Eighth'!H157="", "",'Twenty-Eighth'!H157)</f>
        <v/>
      </c>
      <c r="I6904" s="66" t="str">
        <f>IF('Twenty-Eighth'!I157="", "",'Twenty-Eighth'!I157)</f>
        <v/>
      </c>
      <c r="J6904" s="66" t="str">
        <f>IF('Twenty-Eighth'!J157="", "",'Twenty-Eighth'!J157)</f>
        <v/>
      </c>
      <c r="K6904" s="86" t="str">
        <f>IF('Twenty-Eighth'!K157="", "",'Twenty-Eighth'!K157)</f>
        <v/>
      </c>
      <c r="M6904" s="67" t="str">
        <f t="shared" si="326"/>
        <v/>
      </c>
      <c r="N6904" s="76" t="str">
        <f t="shared" si="327"/>
        <v/>
      </c>
      <c r="O6904" s="33">
        <f t="shared" si="328"/>
        <v>0</v>
      </c>
    </row>
    <row r="6905" spans="1:15" x14ac:dyDescent="0.25">
      <c r="A6905" s="64" t="s">
        <v>195</v>
      </c>
      <c r="B6905" s="79" t="str">
        <f>IF('Twenty-Eighth'!B158="", "",'Twenty-Eighth'!B158)</f>
        <v/>
      </c>
      <c r="C6905" s="66" t="str">
        <f>IF('Twenty-Eighth'!C158="", "",'Twenty-Eighth'!C158)</f>
        <v/>
      </c>
      <c r="D6905" s="66" t="str">
        <f>IF('Twenty-Eighth'!D158="", "",'Twenty-Eighth'!D158)</f>
        <v/>
      </c>
      <c r="E6905" s="66" t="str">
        <f>IF('Twenty-Eighth'!E158="", "",'Twenty-Eighth'!E158)</f>
        <v/>
      </c>
      <c r="F6905" s="66" t="str">
        <f>IF('Twenty-Eighth'!F158="", "",'Twenty-Eighth'!F158)</f>
        <v/>
      </c>
      <c r="G6905" s="66" t="str">
        <f>IF('Twenty-Eighth'!G158="", "",'Twenty-Eighth'!G158)</f>
        <v/>
      </c>
      <c r="H6905" s="66" t="str">
        <f>IF('Twenty-Eighth'!H158="", "",'Twenty-Eighth'!H158)</f>
        <v/>
      </c>
      <c r="I6905" s="66" t="str">
        <f>IF('Twenty-Eighth'!I158="", "",'Twenty-Eighth'!I158)</f>
        <v/>
      </c>
      <c r="J6905" s="66" t="str">
        <f>IF('Twenty-Eighth'!J158="", "",'Twenty-Eighth'!J158)</f>
        <v/>
      </c>
      <c r="K6905" s="86" t="str">
        <f>IF('Twenty-Eighth'!K158="", "",'Twenty-Eighth'!K158)</f>
        <v/>
      </c>
      <c r="M6905" s="67" t="str">
        <f t="shared" si="326"/>
        <v/>
      </c>
      <c r="N6905" s="76" t="str">
        <f t="shared" si="327"/>
        <v/>
      </c>
      <c r="O6905" s="33">
        <f t="shared" si="328"/>
        <v>0</v>
      </c>
    </row>
    <row r="6906" spans="1:15" x14ac:dyDescent="0.25">
      <c r="A6906" s="64" t="s">
        <v>195</v>
      </c>
      <c r="B6906" s="79" t="str">
        <f>IF('Twenty-Eighth'!B159="", "",'Twenty-Eighth'!B159)</f>
        <v/>
      </c>
      <c r="C6906" s="66" t="str">
        <f>IF('Twenty-Eighth'!C159="", "",'Twenty-Eighth'!C159)</f>
        <v/>
      </c>
      <c r="D6906" s="66" t="str">
        <f>IF('Twenty-Eighth'!D159="", "",'Twenty-Eighth'!D159)</f>
        <v/>
      </c>
      <c r="E6906" s="66" t="str">
        <f>IF('Twenty-Eighth'!E159="", "",'Twenty-Eighth'!E159)</f>
        <v/>
      </c>
      <c r="F6906" s="66" t="str">
        <f>IF('Twenty-Eighth'!F159="", "",'Twenty-Eighth'!F159)</f>
        <v/>
      </c>
      <c r="G6906" s="66" t="str">
        <f>IF('Twenty-Eighth'!G159="", "",'Twenty-Eighth'!G159)</f>
        <v/>
      </c>
      <c r="H6906" s="66" t="str">
        <f>IF('Twenty-Eighth'!H159="", "",'Twenty-Eighth'!H159)</f>
        <v/>
      </c>
      <c r="I6906" s="66" t="str">
        <f>IF('Twenty-Eighth'!I159="", "",'Twenty-Eighth'!I159)</f>
        <v/>
      </c>
      <c r="J6906" s="66" t="str">
        <f>IF('Twenty-Eighth'!J159="", "",'Twenty-Eighth'!J159)</f>
        <v/>
      </c>
      <c r="K6906" s="86" t="str">
        <f>IF('Twenty-Eighth'!K159="", "",'Twenty-Eighth'!K159)</f>
        <v/>
      </c>
      <c r="M6906" s="67" t="str">
        <f t="shared" si="326"/>
        <v/>
      </c>
      <c r="N6906" s="76" t="str">
        <f t="shared" si="327"/>
        <v/>
      </c>
      <c r="O6906" s="33">
        <f t="shared" si="328"/>
        <v>0</v>
      </c>
    </row>
    <row r="6907" spans="1:15" x14ac:dyDescent="0.25">
      <c r="A6907" s="64" t="s">
        <v>195</v>
      </c>
      <c r="B6907" s="79" t="str">
        <f>IF('Twenty-Eighth'!B160="", "",'Twenty-Eighth'!B160)</f>
        <v/>
      </c>
      <c r="C6907" s="66" t="str">
        <f>IF('Twenty-Eighth'!C160="", "",'Twenty-Eighth'!C160)</f>
        <v/>
      </c>
      <c r="D6907" s="66" t="str">
        <f>IF('Twenty-Eighth'!D160="", "",'Twenty-Eighth'!D160)</f>
        <v/>
      </c>
      <c r="E6907" s="66" t="str">
        <f>IF('Twenty-Eighth'!E160="", "",'Twenty-Eighth'!E160)</f>
        <v/>
      </c>
      <c r="F6907" s="66" t="str">
        <f>IF('Twenty-Eighth'!F160="", "",'Twenty-Eighth'!F160)</f>
        <v/>
      </c>
      <c r="G6907" s="66" t="str">
        <f>IF('Twenty-Eighth'!G160="", "",'Twenty-Eighth'!G160)</f>
        <v/>
      </c>
      <c r="H6907" s="66" t="str">
        <f>IF('Twenty-Eighth'!H160="", "",'Twenty-Eighth'!H160)</f>
        <v/>
      </c>
      <c r="I6907" s="66" t="str">
        <f>IF('Twenty-Eighth'!I160="", "",'Twenty-Eighth'!I160)</f>
        <v/>
      </c>
      <c r="J6907" s="66" t="str">
        <f>IF('Twenty-Eighth'!J160="", "",'Twenty-Eighth'!J160)</f>
        <v/>
      </c>
      <c r="K6907" s="86" t="str">
        <f>IF('Twenty-Eighth'!K160="", "",'Twenty-Eighth'!K160)</f>
        <v/>
      </c>
      <c r="M6907" s="67" t="str">
        <f t="shared" si="326"/>
        <v/>
      </c>
      <c r="N6907" s="76" t="str">
        <f t="shared" si="327"/>
        <v/>
      </c>
      <c r="O6907" s="33">
        <f t="shared" si="328"/>
        <v>0</v>
      </c>
    </row>
    <row r="6908" spans="1:15" x14ac:dyDescent="0.25">
      <c r="A6908" s="64" t="s">
        <v>195</v>
      </c>
      <c r="B6908" s="79" t="str">
        <f>IF('Twenty-Eighth'!B161="", "",'Twenty-Eighth'!B161)</f>
        <v/>
      </c>
      <c r="C6908" s="66" t="str">
        <f>IF('Twenty-Eighth'!C161="", "",'Twenty-Eighth'!C161)</f>
        <v/>
      </c>
      <c r="D6908" s="66" t="str">
        <f>IF('Twenty-Eighth'!D161="", "",'Twenty-Eighth'!D161)</f>
        <v/>
      </c>
      <c r="E6908" s="66" t="str">
        <f>IF('Twenty-Eighth'!E161="", "",'Twenty-Eighth'!E161)</f>
        <v/>
      </c>
      <c r="F6908" s="66" t="str">
        <f>IF('Twenty-Eighth'!F161="", "",'Twenty-Eighth'!F161)</f>
        <v/>
      </c>
      <c r="G6908" s="66" t="str">
        <f>IF('Twenty-Eighth'!G161="", "",'Twenty-Eighth'!G161)</f>
        <v/>
      </c>
      <c r="H6908" s="66" t="str">
        <f>IF('Twenty-Eighth'!H161="", "",'Twenty-Eighth'!H161)</f>
        <v/>
      </c>
      <c r="I6908" s="66" t="str">
        <f>IF('Twenty-Eighth'!I161="", "",'Twenty-Eighth'!I161)</f>
        <v/>
      </c>
      <c r="J6908" s="66" t="str">
        <f>IF('Twenty-Eighth'!J161="", "",'Twenty-Eighth'!J161)</f>
        <v/>
      </c>
      <c r="K6908" s="86" t="str">
        <f>IF('Twenty-Eighth'!K161="", "",'Twenty-Eighth'!K161)</f>
        <v/>
      </c>
      <c r="M6908" s="67" t="str">
        <f t="shared" si="326"/>
        <v/>
      </c>
      <c r="N6908" s="76" t="str">
        <f t="shared" si="327"/>
        <v/>
      </c>
      <c r="O6908" s="33">
        <f t="shared" si="328"/>
        <v>0</v>
      </c>
    </row>
    <row r="6909" spans="1:15" x14ac:dyDescent="0.25">
      <c r="A6909" s="64" t="s">
        <v>195</v>
      </c>
      <c r="B6909" s="79" t="str">
        <f>IF('Twenty-Eighth'!B162="", "",'Twenty-Eighth'!B162)</f>
        <v/>
      </c>
      <c r="C6909" s="66" t="str">
        <f>IF('Twenty-Eighth'!C162="", "",'Twenty-Eighth'!C162)</f>
        <v/>
      </c>
      <c r="D6909" s="66" t="str">
        <f>IF('Twenty-Eighth'!D162="", "",'Twenty-Eighth'!D162)</f>
        <v/>
      </c>
      <c r="E6909" s="66" t="str">
        <f>IF('Twenty-Eighth'!E162="", "",'Twenty-Eighth'!E162)</f>
        <v/>
      </c>
      <c r="F6909" s="66" t="str">
        <f>IF('Twenty-Eighth'!F162="", "",'Twenty-Eighth'!F162)</f>
        <v/>
      </c>
      <c r="G6909" s="66" t="str">
        <f>IF('Twenty-Eighth'!G162="", "",'Twenty-Eighth'!G162)</f>
        <v/>
      </c>
      <c r="H6909" s="66" t="str">
        <f>IF('Twenty-Eighth'!H162="", "",'Twenty-Eighth'!H162)</f>
        <v/>
      </c>
      <c r="I6909" s="66" t="str">
        <f>IF('Twenty-Eighth'!I162="", "",'Twenty-Eighth'!I162)</f>
        <v/>
      </c>
      <c r="J6909" s="66" t="str">
        <f>IF('Twenty-Eighth'!J162="", "",'Twenty-Eighth'!J162)</f>
        <v/>
      </c>
      <c r="K6909" s="86" t="str">
        <f>IF('Twenty-Eighth'!K162="", "",'Twenty-Eighth'!K162)</f>
        <v/>
      </c>
      <c r="M6909" s="67" t="str">
        <f t="shared" si="326"/>
        <v/>
      </c>
      <c r="N6909" s="76" t="str">
        <f t="shared" si="327"/>
        <v/>
      </c>
      <c r="O6909" s="33">
        <f t="shared" si="328"/>
        <v>0</v>
      </c>
    </row>
    <row r="6910" spans="1:15" x14ac:dyDescent="0.25">
      <c r="A6910" s="64" t="s">
        <v>195</v>
      </c>
      <c r="B6910" s="79" t="str">
        <f>IF('Twenty-Eighth'!B163="", "",'Twenty-Eighth'!B163)</f>
        <v/>
      </c>
      <c r="C6910" s="66" t="str">
        <f>IF('Twenty-Eighth'!C163="", "",'Twenty-Eighth'!C163)</f>
        <v/>
      </c>
      <c r="D6910" s="66" t="str">
        <f>IF('Twenty-Eighth'!D163="", "",'Twenty-Eighth'!D163)</f>
        <v/>
      </c>
      <c r="E6910" s="66" t="str">
        <f>IF('Twenty-Eighth'!E163="", "",'Twenty-Eighth'!E163)</f>
        <v/>
      </c>
      <c r="F6910" s="66" t="str">
        <f>IF('Twenty-Eighth'!F163="", "",'Twenty-Eighth'!F163)</f>
        <v/>
      </c>
      <c r="G6910" s="66" t="str">
        <f>IF('Twenty-Eighth'!G163="", "",'Twenty-Eighth'!G163)</f>
        <v/>
      </c>
      <c r="H6910" s="66" t="str">
        <f>IF('Twenty-Eighth'!H163="", "",'Twenty-Eighth'!H163)</f>
        <v/>
      </c>
      <c r="I6910" s="66" t="str">
        <f>IF('Twenty-Eighth'!I163="", "",'Twenty-Eighth'!I163)</f>
        <v/>
      </c>
      <c r="J6910" s="66" t="str">
        <f>IF('Twenty-Eighth'!J163="", "",'Twenty-Eighth'!J163)</f>
        <v/>
      </c>
      <c r="K6910" s="86" t="str">
        <f>IF('Twenty-Eighth'!K163="", "",'Twenty-Eighth'!K163)</f>
        <v/>
      </c>
      <c r="M6910" s="67" t="str">
        <f t="shared" si="326"/>
        <v/>
      </c>
      <c r="N6910" s="76" t="str">
        <f t="shared" si="327"/>
        <v/>
      </c>
      <c r="O6910" s="33">
        <f t="shared" si="328"/>
        <v>0</v>
      </c>
    </row>
    <row r="6911" spans="1:15" x14ac:dyDescent="0.25">
      <c r="A6911" s="64" t="s">
        <v>195</v>
      </c>
      <c r="B6911" s="79" t="str">
        <f>IF('Twenty-Eighth'!B164="", "",'Twenty-Eighth'!B164)</f>
        <v/>
      </c>
      <c r="C6911" s="66" t="str">
        <f>IF('Twenty-Eighth'!C164="", "",'Twenty-Eighth'!C164)</f>
        <v/>
      </c>
      <c r="D6911" s="66" t="str">
        <f>IF('Twenty-Eighth'!D164="", "",'Twenty-Eighth'!D164)</f>
        <v/>
      </c>
      <c r="E6911" s="66" t="str">
        <f>IF('Twenty-Eighth'!E164="", "",'Twenty-Eighth'!E164)</f>
        <v/>
      </c>
      <c r="F6911" s="66" t="str">
        <f>IF('Twenty-Eighth'!F164="", "",'Twenty-Eighth'!F164)</f>
        <v/>
      </c>
      <c r="G6911" s="66" t="str">
        <f>IF('Twenty-Eighth'!G164="", "",'Twenty-Eighth'!G164)</f>
        <v/>
      </c>
      <c r="H6911" s="66" t="str">
        <f>IF('Twenty-Eighth'!H164="", "",'Twenty-Eighth'!H164)</f>
        <v/>
      </c>
      <c r="I6911" s="66" t="str">
        <f>IF('Twenty-Eighth'!I164="", "",'Twenty-Eighth'!I164)</f>
        <v/>
      </c>
      <c r="J6911" s="66" t="str">
        <f>IF('Twenty-Eighth'!J164="", "",'Twenty-Eighth'!J164)</f>
        <v/>
      </c>
      <c r="K6911" s="86" t="str">
        <f>IF('Twenty-Eighth'!K164="", "",'Twenty-Eighth'!K164)</f>
        <v/>
      </c>
      <c r="M6911" s="67" t="str">
        <f t="shared" ref="M6911:M6974" si="329">IF(C6911="PwC",(7-COUNTIF(B6911:H6911,"")),"")</f>
        <v/>
      </c>
      <c r="N6911" s="76" t="str">
        <f t="shared" ref="N6911:N6974" si="330">IF(C6911="Carer",(7-COUNTIF(B6911:H6911,"")),"")</f>
        <v/>
      </c>
      <c r="O6911" s="33">
        <f t="shared" si="328"/>
        <v>0</v>
      </c>
    </row>
    <row r="6912" spans="1:15" x14ac:dyDescent="0.25">
      <c r="A6912" s="64" t="s">
        <v>195</v>
      </c>
      <c r="B6912" s="79" t="str">
        <f>IF('Twenty-Eighth'!B165="", "",'Twenty-Eighth'!B165)</f>
        <v/>
      </c>
      <c r="C6912" s="66" t="str">
        <f>IF('Twenty-Eighth'!C165="", "",'Twenty-Eighth'!C165)</f>
        <v/>
      </c>
      <c r="D6912" s="66" t="str">
        <f>IF('Twenty-Eighth'!D165="", "",'Twenty-Eighth'!D165)</f>
        <v/>
      </c>
      <c r="E6912" s="66" t="str">
        <f>IF('Twenty-Eighth'!E165="", "",'Twenty-Eighth'!E165)</f>
        <v/>
      </c>
      <c r="F6912" s="66" t="str">
        <f>IF('Twenty-Eighth'!F165="", "",'Twenty-Eighth'!F165)</f>
        <v/>
      </c>
      <c r="G6912" s="66" t="str">
        <f>IF('Twenty-Eighth'!G165="", "",'Twenty-Eighth'!G165)</f>
        <v/>
      </c>
      <c r="H6912" s="66" t="str">
        <f>IF('Twenty-Eighth'!H165="", "",'Twenty-Eighth'!H165)</f>
        <v/>
      </c>
      <c r="I6912" s="66" t="str">
        <f>IF('Twenty-Eighth'!I165="", "",'Twenty-Eighth'!I165)</f>
        <v/>
      </c>
      <c r="J6912" s="66" t="str">
        <f>IF('Twenty-Eighth'!J165="", "",'Twenty-Eighth'!J165)</f>
        <v/>
      </c>
      <c r="K6912" s="86" t="str">
        <f>IF('Twenty-Eighth'!K165="", "",'Twenty-Eighth'!K165)</f>
        <v/>
      </c>
      <c r="M6912" s="67" t="str">
        <f t="shared" si="329"/>
        <v/>
      </c>
      <c r="N6912" s="76" t="str">
        <f t="shared" si="330"/>
        <v/>
      </c>
      <c r="O6912" s="33">
        <f t="shared" si="328"/>
        <v>0</v>
      </c>
    </row>
    <row r="6913" spans="1:15" x14ac:dyDescent="0.25">
      <c r="A6913" s="64" t="s">
        <v>195</v>
      </c>
      <c r="B6913" s="79" t="str">
        <f>IF('Twenty-Eighth'!B166="", "",'Twenty-Eighth'!B166)</f>
        <v/>
      </c>
      <c r="C6913" s="66" t="str">
        <f>IF('Twenty-Eighth'!C166="", "",'Twenty-Eighth'!C166)</f>
        <v/>
      </c>
      <c r="D6913" s="66" t="str">
        <f>IF('Twenty-Eighth'!D166="", "",'Twenty-Eighth'!D166)</f>
        <v/>
      </c>
      <c r="E6913" s="66" t="str">
        <f>IF('Twenty-Eighth'!E166="", "",'Twenty-Eighth'!E166)</f>
        <v/>
      </c>
      <c r="F6913" s="66" t="str">
        <f>IF('Twenty-Eighth'!F166="", "",'Twenty-Eighth'!F166)</f>
        <v/>
      </c>
      <c r="G6913" s="66" t="str">
        <f>IF('Twenty-Eighth'!G166="", "",'Twenty-Eighth'!G166)</f>
        <v/>
      </c>
      <c r="H6913" s="66" t="str">
        <f>IF('Twenty-Eighth'!H166="", "",'Twenty-Eighth'!H166)</f>
        <v/>
      </c>
      <c r="I6913" s="66" t="str">
        <f>IF('Twenty-Eighth'!I166="", "",'Twenty-Eighth'!I166)</f>
        <v/>
      </c>
      <c r="J6913" s="66" t="str">
        <f>IF('Twenty-Eighth'!J166="", "",'Twenty-Eighth'!J166)</f>
        <v/>
      </c>
      <c r="K6913" s="86" t="str">
        <f>IF('Twenty-Eighth'!K166="", "",'Twenty-Eighth'!K166)</f>
        <v/>
      </c>
      <c r="M6913" s="67" t="str">
        <f t="shared" si="329"/>
        <v/>
      </c>
      <c r="N6913" s="76" t="str">
        <f t="shared" si="330"/>
        <v/>
      </c>
      <c r="O6913" s="33">
        <f t="shared" si="328"/>
        <v>0</v>
      </c>
    </row>
    <row r="6914" spans="1:15" x14ac:dyDescent="0.25">
      <c r="A6914" s="64" t="s">
        <v>195</v>
      </c>
      <c r="B6914" s="79" t="str">
        <f>IF('Twenty-Eighth'!B167="", "",'Twenty-Eighth'!B167)</f>
        <v/>
      </c>
      <c r="C6914" s="66" t="str">
        <f>IF('Twenty-Eighth'!C167="", "",'Twenty-Eighth'!C167)</f>
        <v/>
      </c>
      <c r="D6914" s="66" t="str">
        <f>IF('Twenty-Eighth'!D167="", "",'Twenty-Eighth'!D167)</f>
        <v/>
      </c>
      <c r="E6914" s="66" t="str">
        <f>IF('Twenty-Eighth'!E167="", "",'Twenty-Eighth'!E167)</f>
        <v/>
      </c>
      <c r="F6914" s="66" t="str">
        <f>IF('Twenty-Eighth'!F167="", "",'Twenty-Eighth'!F167)</f>
        <v/>
      </c>
      <c r="G6914" s="66" t="str">
        <f>IF('Twenty-Eighth'!G167="", "",'Twenty-Eighth'!G167)</f>
        <v/>
      </c>
      <c r="H6914" s="66" t="str">
        <f>IF('Twenty-Eighth'!H167="", "",'Twenty-Eighth'!H167)</f>
        <v/>
      </c>
      <c r="I6914" s="66" t="str">
        <f>IF('Twenty-Eighth'!I167="", "",'Twenty-Eighth'!I167)</f>
        <v/>
      </c>
      <c r="J6914" s="66" t="str">
        <f>IF('Twenty-Eighth'!J167="", "",'Twenty-Eighth'!J167)</f>
        <v/>
      </c>
      <c r="K6914" s="86" t="str">
        <f>IF('Twenty-Eighth'!K167="", "",'Twenty-Eighth'!K167)</f>
        <v/>
      </c>
      <c r="M6914" s="67" t="str">
        <f t="shared" si="329"/>
        <v/>
      </c>
      <c r="N6914" s="76" t="str">
        <f t="shared" si="330"/>
        <v/>
      </c>
      <c r="O6914" s="33">
        <f t="shared" si="328"/>
        <v>0</v>
      </c>
    </row>
    <row r="6915" spans="1:15" x14ac:dyDescent="0.25">
      <c r="A6915" s="64" t="s">
        <v>195</v>
      </c>
      <c r="B6915" s="79" t="str">
        <f>IF('Twenty-Eighth'!B168="", "",'Twenty-Eighth'!B168)</f>
        <v/>
      </c>
      <c r="C6915" s="66" t="str">
        <f>IF('Twenty-Eighth'!C168="", "",'Twenty-Eighth'!C168)</f>
        <v/>
      </c>
      <c r="D6915" s="66" t="str">
        <f>IF('Twenty-Eighth'!D168="", "",'Twenty-Eighth'!D168)</f>
        <v/>
      </c>
      <c r="E6915" s="66" t="str">
        <f>IF('Twenty-Eighth'!E168="", "",'Twenty-Eighth'!E168)</f>
        <v/>
      </c>
      <c r="F6915" s="66" t="str">
        <f>IF('Twenty-Eighth'!F168="", "",'Twenty-Eighth'!F168)</f>
        <v/>
      </c>
      <c r="G6915" s="66" t="str">
        <f>IF('Twenty-Eighth'!G168="", "",'Twenty-Eighth'!G168)</f>
        <v/>
      </c>
      <c r="H6915" s="66" t="str">
        <f>IF('Twenty-Eighth'!H168="", "",'Twenty-Eighth'!H168)</f>
        <v/>
      </c>
      <c r="I6915" s="66" t="str">
        <f>IF('Twenty-Eighth'!I168="", "",'Twenty-Eighth'!I168)</f>
        <v/>
      </c>
      <c r="J6915" s="66" t="str">
        <f>IF('Twenty-Eighth'!J168="", "",'Twenty-Eighth'!J168)</f>
        <v/>
      </c>
      <c r="K6915" s="86" t="str">
        <f>IF('Twenty-Eighth'!K168="", "",'Twenty-Eighth'!K168)</f>
        <v/>
      </c>
      <c r="M6915" s="67" t="str">
        <f t="shared" si="329"/>
        <v/>
      </c>
      <c r="N6915" s="76" t="str">
        <f t="shared" si="330"/>
        <v/>
      </c>
      <c r="O6915" s="33">
        <f t="shared" si="328"/>
        <v>0</v>
      </c>
    </row>
    <row r="6916" spans="1:15" x14ac:dyDescent="0.25">
      <c r="A6916" s="64" t="s">
        <v>195</v>
      </c>
      <c r="B6916" s="79" t="str">
        <f>IF('Twenty-Eighth'!B169="", "",'Twenty-Eighth'!B169)</f>
        <v/>
      </c>
      <c r="C6916" s="66" t="str">
        <f>IF('Twenty-Eighth'!C169="", "",'Twenty-Eighth'!C169)</f>
        <v/>
      </c>
      <c r="D6916" s="66" t="str">
        <f>IF('Twenty-Eighth'!D169="", "",'Twenty-Eighth'!D169)</f>
        <v/>
      </c>
      <c r="E6916" s="66" t="str">
        <f>IF('Twenty-Eighth'!E169="", "",'Twenty-Eighth'!E169)</f>
        <v/>
      </c>
      <c r="F6916" s="66" t="str">
        <f>IF('Twenty-Eighth'!F169="", "",'Twenty-Eighth'!F169)</f>
        <v/>
      </c>
      <c r="G6916" s="66" t="str">
        <f>IF('Twenty-Eighth'!G169="", "",'Twenty-Eighth'!G169)</f>
        <v/>
      </c>
      <c r="H6916" s="66" t="str">
        <f>IF('Twenty-Eighth'!H169="", "",'Twenty-Eighth'!H169)</f>
        <v/>
      </c>
      <c r="I6916" s="66" t="str">
        <f>IF('Twenty-Eighth'!I169="", "",'Twenty-Eighth'!I169)</f>
        <v/>
      </c>
      <c r="J6916" s="66" t="str">
        <f>IF('Twenty-Eighth'!J169="", "",'Twenty-Eighth'!J169)</f>
        <v/>
      </c>
      <c r="K6916" s="86" t="str">
        <f>IF('Twenty-Eighth'!K169="", "",'Twenty-Eighth'!K169)</f>
        <v/>
      </c>
      <c r="M6916" s="67" t="str">
        <f t="shared" si="329"/>
        <v/>
      </c>
      <c r="N6916" s="76" t="str">
        <f t="shared" si="330"/>
        <v/>
      </c>
      <c r="O6916" s="33">
        <f t="shared" si="328"/>
        <v>0</v>
      </c>
    </row>
    <row r="6917" spans="1:15" x14ac:dyDescent="0.25">
      <c r="A6917" s="64" t="s">
        <v>195</v>
      </c>
      <c r="B6917" s="79" t="str">
        <f>IF('Twenty-Eighth'!B170="", "",'Twenty-Eighth'!B170)</f>
        <v/>
      </c>
      <c r="C6917" s="66" t="str">
        <f>IF('Twenty-Eighth'!C170="", "",'Twenty-Eighth'!C170)</f>
        <v/>
      </c>
      <c r="D6917" s="66" t="str">
        <f>IF('Twenty-Eighth'!D170="", "",'Twenty-Eighth'!D170)</f>
        <v/>
      </c>
      <c r="E6917" s="66" t="str">
        <f>IF('Twenty-Eighth'!E170="", "",'Twenty-Eighth'!E170)</f>
        <v/>
      </c>
      <c r="F6917" s="66" t="str">
        <f>IF('Twenty-Eighth'!F170="", "",'Twenty-Eighth'!F170)</f>
        <v/>
      </c>
      <c r="G6917" s="66" t="str">
        <f>IF('Twenty-Eighth'!G170="", "",'Twenty-Eighth'!G170)</f>
        <v/>
      </c>
      <c r="H6917" s="66" t="str">
        <f>IF('Twenty-Eighth'!H170="", "",'Twenty-Eighth'!H170)</f>
        <v/>
      </c>
      <c r="I6917" s="66" t="str">
        <f>IF('Twenty-Eighth'!I170="", "",'Twenty-Eighth'!I170)</f>
        <v/>
      </c>
      <c r="J6917" s="66" t="str">
        <f>IF('Twenty-Eighth'!J170="", "",'Twenty-Eighth'!J170)</f>
        <v/>
      </c>
      <c r="K6917" s="86" t="str">
        <f>IF('Twenty-Eighth'!K170="", "",'Twenty-Eighth'!K170)</f>
        <v/>
      </c>
      <c r="M6917" s="67" t="str">
        <f t="shared" si="329"/>
        <v/>
      </c>
      <c r="N6917" s="76" t="str">
        <f t="shared" si="330"/>
        <v/>
      </c>
      <c r="O6917" s="33">
        <f t="shared" si="328"/>
        <v>0</v>
      </c>
    </row>
    <row r="6918" spans="1:15" x14ac:dyDescent="0.25">
      <c r="A6918" s="64" t="s">
        <v>195</v>
      </c>
      <c r="B6918" s="79" t="str">
        <f>IF('Twenty-Eighth'!B171="", "",'Twenty-Eighth'!B171)</f>
        <v/>
      </c>
      <c r="C6918" s="66" t="str">
        <f>IF('Twenty-Eighth'!C171="", "",'Twenty-Eighth'!C171)</f>
        <v/>
      </c>
      <c r="D6918" s="66" t="str">
        <f>IF('Twenty-Eighth'!D171="", "",'Twenty-Eighth'!D171)</f>
        <v/>
      </c>
      <c r="E6918" s="66" t="str">
        <f>IF('Twenty-Eighth'!E171="", "",'Twenty-Eighth'!E171)</f>
        <v/>
      </c>
      <c r="F6918" s="66" t="str">
        <f>IF('Twenty-Eighth'!F171="", "",'Twenty-Eighth'!F171)</f>
        <v/>
      </c>
      <c r="G6918" s="66" t="str">
        <f>IF('Twenty-Eighth'!G171="", "",'Twenty-Eighth'!G171)</f>
        <v/>
      </c>
      <c r="H6918" s="66" t="str">
        <f>IF('Twenty-Eighth'!H171="", "",'Twenty-Eighth'!H171)</f>
        <v/>
      </c>
      <c r="I6918" s="66" t="str">
        <f>IF('Twenty-Eighth'!I171="", "",'Twenty-Eighth'!I171)</f>
        <v/>
      </c>
      <c r="J6918" s="66" t="str">
        <f>IF('Twenty-Eighth'!J171="", "",'Twenty-Eighth'!J171)</f>
        <v/>
      </c>
      <c r="K6918" s="86" t="str">
        <f>IF('Twenty-Eighth'!K171="", "",'Twenty-Eighth'!K171)</f>
        <v/>
      </c>
      <c r="M6918" s="67" t="str">
        <f t="shared" si="329"/>
        <v/>
      </c>
      <c r="N6918" s="76" t="str">
        <f t="shared" si="330"/>
        <v/>
      </c>
      <c r="O6918" s="33">
        <f t="shared" si="328"/>
        <v>0</v>
      </c>
    </row>
    <row r="6919" spans="1:15" x14ac:dyDescent="0.25">
      <c r="A6919" s="64" t="s">
        <v>195</v>
      </c>
      <c r="B6919" s="79" t="str">
        <f>IF('Twenty-Eighth'!B172="", "",'Twenty-Eighth'!B172)</f>
        <v/>
      </c>
      <c r="C6919" s="66" t="str">
        <f>IF('Twenty-Eighth'!C172="", "",'Twenty-Eighth'!C172)</f>
        <v/>
      </c>
      <c r="D6919" s="66" t="str">
        <f>IF('Twenty-Eighth'!D172="", "",'Twenty-Eighth'!D172)</f>
        <v/>
      </c>
      <c r="E6919" s="66" t="str">
        <f>IF('Twenty-Eighth'!E172="", "",'Twenty-Eighth'!E172)</f>
        <v/>
      </c>
      <c r="F6919" s="66" t="str">
        <f>IF('Twenty-Eighth'!F172="", "",'Twenty-Eighth'!F172)</f>
        <v/>
      </c>
      <c r="G6919" s="66" t="str">
        <f>IF('Twenty-Eighth'!G172="", "",'Twenty-Eighth'!G172)</f>
        <v/>
      </c>
      <c r="H6919" s="66" t="str">
        <f>IF('Twenty-Eighth'!H172="", "",'Twenty-Eighth'!H172)</f>
        <v/>
      </c>
      <c r="I6919" s="66" t="str">
        <f>IF('Twenty-Eighth'!I172="", "",'Twenty-Eighth'!I172)</f>
        <v/>
      </c>
      <c r="J6919" s="66" t="str">
        <f>IF('Twenty-Eighth'!J172="", "",'Twenty-Eighth'!J172)</f>
        <v/>
      </c>
      <c r="K6919" s="86" t="str">
        <f>IF('Twenty-Eighth'!K172="", "",'Twenty-Eighth'!K172)</f>
        <v/>
      </c>
      <c r="M6919" s="67" t="str">
        <f t="shared" si="329"/>
        <v/>
      </c>
      <c r="N6919" s="76" t="str">
        <f t="shared" si="330"/>
        <v/>
      </c>
      <c r="O6919" s="33">
        <f t="shared" si="328"/>
        <v>0</v>
      </c>
    </row>
    <row r="6920" spans="1:15" x14ac:dyDescent="0.25">
      <c r="A6920" s="64" t="s">
        <v>195</v>
      </c>
      <c r="B6920" s="79" t="str">
        <f>IF('Twenty-Eighth'!B173="", "",'Twenty-Eighth'!B173)</f>
        <v/>
      </c>
      <c r="C6920" s="66" t="str">
        <f>IF('Twenty-Eighth'!C173="", "",'Twenty-Eighth'!C173)</f>
        <v/>
      </c>
      <c r="D6920" s="66" t="str">
        <f>IF('Twenty-Eighth'!D173="", "",'Twenty-Eighth'!D173)</f>
        <v/>
      </c>
      <c r="E6920" s="66" t="str">
        <f>IF('Twenty-Eighth'!E173="", "",'Twenty-Eighth'!E173)</f>
        <v/>
      </c>
      <c r="F6920" s="66" t="str">
        <f>IF('Twenty-Eighth'!F173="", "",'Twenty-Eighth'!F173)</f>
        <v/>
      </c>
      <c r="G6920" s="66" t="str">
        <f>IF('Twenty-Eighth'!G173="", "",'Twenty-Eighth'!G173)</f>
        <v/>
      </c>
      <c r="H6920" s="66" t="str">
        <f>IF('Twenty-Eighth'!H173="", "",'Twenty-Eighth'!H173)</f>
        <v/>
      </c>
      <c r="I6920" s="66" t="str">
        <f>IF('Twenty-Eighth'!I173="", "",'Twenty-Eighth'!I173)</f>
        <v/>
      </c>
      <c r="J6920" s="66" t="str">
        <f>IF('Twenty-Eighth'!J173="", "",'Twenty-Eighth'!J173)</f>
        <v/>
      </c>
      <c r="K6920" s="86" t="str">
        <f>IF('Twenty-Eighth'!K173="", "",'Twenty-Eighth'!K173)</f>
        <v/>
      </c>
      <c r="M6920" s="67" t="str">
        <f t="shared" si="329"/>
        <v/>
      </c>
      <c r="N6920" s="76" t="str">
        <f t="shared" si="330"/>
        <v/>
      </c>
      <c r="O6920" s="33">
        <f t="shared" si="328"/>
        <v>0</v>
      </c>
    </row>
    <row r="6921" spans="1:15" x14ac:dyDescent="0.25">
      <c r="A6921" s="64" t="s">
        <v>195</v>
      </c>
      <c r="B6921" s="79" t="str">
        <f>IF('Twenty-Eighth'!B174="", "",'Twenty-Eighth'!B174)</f>
        <v/>
      </c>
      <c r="C6921" s="66" t="str">
        <f>IF('Twenty-Eighth'!C174="", "",'Twenty-Eighth'!C174)</f>
        <v/>
      </c>
      <c r="D6921" s="66" t="str">
        <f>IF('Twenty-Eighth'!D174="", "",'Twenty-Eighth'!D174)</f>
        <v/>
      </c>
      <c r="E6921" s="66" t="str">
        <f>IF('Twenty-Eighth'!E174="", "",'Twenty-Eighth'!E174)</f>
        <v/>
      </c>
      <c r="F6921" s="66" t="str">
        <f>IF('Twenty-Eighth'!F174="", "",'Twenty-Eighth'!F174)</f>
        <v/>
      </c>
      <c r="G6921" s="66" t="str">
        <f>IF('Twenty-Eighth'!G174="", "",'Twenty-Eighth'!G174)</f>
        <v/>
      </c>
      <c r="H6921" s="66" t="str">
        <f>IF('Twenty-Eighth'!H174="", "",'Twenty-Eighth'!H174)</f>
        <v/>
      </c>
      <c r="I6921" s="66" t="str">
        <f>IF('Twenty-Eighth'!I174="", "",'Twenty-Eighth'!I174)</f>
        <v/>
      </c>
      <c r="J6921" s="66" t="str">
        <f>IF('Twenty-Eighth'!J174="", "",'Twenty-Eighth'!J174)</f>
        <v/>
      </c>
      <c r="K6921" s="86" t="str">
        <f>IF('Twenty-Eighth'!K174="", "",'Twenty-Eighth'!K174)</f>
        <v/>
      </c>
      <c r="M6921" s="67" t="str">
        <f t="shared" si="329"/>
        <v/>
      </c>
      <c r="N6921" s="76" t="str">
        <f t="shared" si="330"/>
        <v/>
      </c>
      <c r="O6921" s="33">
        <f t="shared" si="328"/>
        <v>0</v>
      </c>
    </row>
    <row r="6922" spans="1:15" x14ac:dyDescent="0.25">
      <c r="A6922" s="64" t="s">
        <v>195</v>
      </c>
      <c r="B6922" s="79" t="str">
        <f>IF('Twenty-Eighth'!B175="", "",'Twenty-Eighth'!B175)</f>
        <v/>
      </c>
      <c r="C6922" s="66" t="str">
        <f>IF('Twenty-Eighth'!C175="", "",'Twenty-Eighth'!C175)</f>
        <v/>
      </c>
      <c r="D6922" s="66" t="str">
        <f>IF('Twenty-Eighth'!D175="", "",'Twenty-Eighth'!D175)</f>
        <v/>
      </c>
      <c r="E6922" s="66" t="str">
        <f>IF('Twenty-Eighth'!E175="", "",'Twenty-Eighth'!E175)</f>
        <v/>
      </c>
      <c r="F6922" s="66" t="str">
        <f>IF('Twenty-Eighth'!F175="", "",'Twenty-Eighth'!F175)</f>
        <v/>
      </c>
      <c r="G6922" s="66" t="str">
        <f>IF('Twenty-Eighth'!G175="", "",'Twenty-Eighth'!G175)</f>
        <v/>
      </c>
      <c r="H6922" s="66" t="str">
        <f>IF('Twenty-Eighth'!H175="", "",'Twenty-Eighth'!H175)</f>
        <v/>
      </c>
      <c r="I6922" s="66" t="str">
        <f>IF('Twenty-Eighth'!I175="", "",'Twenty-Eighth'!I175)</f>
        <v/>
      </c>
      <c r="J6922" s="66" t="str">
        <f>IF('Twenty-Eighth'!J175="", "",'Twenty-Eighth'!J175)</f>
        <v/>
      </c>
      <c r="K6922" s="86" t="str">
        <f>IF('Twenty-Eighth'!K175="", "",'Twenty-Eighth'!K175)</f>
        <v/>
      </c>
      <c r="M6922" s="67" t="str">
        <f t="shared" si="329"/>
        <v/>
      </c>
      <c r="N6922" s="76" t="str">
        <f t="shared" si="330"/>
        <v/>
      </c>
      <c r="O6922" s="33">
        <f t="shared" ref="O6922:O6985" si="331">SUM(M6922:N6922)</f>
        <v>0</v>
      </c>
    </row>
    <row r="6923" spans="1:15" x14ac:dyDescent="0.25">
      <c r="A6923" s="64" t="s">
        <v>195</v>
      </c>
      <c r="B6923" s="79" t="str">
        <f>IF('Twenty-Eighth'!B176="", "",'Twenty-Eighth'!B176)</f>
        <v/>
      </c>
      <c r="C6923" s="66" t="str">
        <f>IF('Twenty-Eighth'!C176="", "",'Twenty-Eighth'!C176)</f>
        <v/>
      </c>
      <c r="D6923" s="66" t="str">
        <f>IF('Twenty-Eighth'!D176="", "",'Twenty-Eighth'!D176)</f>
        <v/>
      </c>
      <c r="E6923" s="66" t="str">
        <f>IF('Twenty-Eighth'!E176="", "",'Twenty-Eighth'!E176)</f>
        <v/>
      </c>
      <c r="F6923" s="66" t="str">
        <f>IF('Twenty-Eighth'!F176="", "",'Twenty-Eighth'!F176)</f>
        <v/>
      </c>
      <c r="G6923" s="66" t="str">
        <f>IF('Twenty-Eighth'!G176="", "",'Twenty-Eighth'!G176)</f>
        <v/>
      </c>
      <c r="H6923" s="66" t="str">
        <f>IF('Twenty-Eighth'!H176="", "",'Twenty-Eighth'!H176)</f>
        <v/>
      </c>
      <c r="I6923" s="66" t="str">
        <f>IF('Twenty-Eighth'!I176="", "",'Twenty-Eighth'!I176)</f>
        <v/>
      </c>
      <c r="J6923" s="66" t="str">
        <f>IF('Twenty-Eighth'!J176="", "",'Twenty-Eighth'!J176)</f>
        <v/>
      </c>
      <c r="K6923" s="86" t="str">
        <f>IF('Twenty-Eighth'!K176="", "",'Twenty-Eighth'!K176)</f>
        <v/>
      </c>
      <c r="M6923" s="67" t="str">
        <f t="shared" si="329"/>
        <v/>
      </c>
      <c r="N6923" s="76" t="str">
        <f t="shared" si="330"/>
        <v/>
      </c>
      <c r="O6923" s="33">
        <f t="shared" si="331"/>
        <v>0</v>
      </c>
    </row>
    <row r="6924" spans="1:15" x14ac:dyDescent="0.25">
      <c r="A6924" s="64" t="s">
        <v>195</v>
      </c>
      <c r="B6924" s="79" t="str">
        <f>IF('Twenty-Eighth'!B177="", "",'Twenty-Eighth'!B177)</f>
        <v/>
      </c>
      <c r="C6924" s="66" t="str">
        <f>IF('Twenty-Eighth'!C177="", "",'Twenty-Eighth'!C177)</f>
        <v/>
      </c>
      <c r="D6924" s="66" t="str">
        <f>IF('Twenty-Eighth'!D177="", "",'Twenty-Eighth'!D177)</f>
        <v/>
      </c>
      <c r="E6924" s="66" t="str">
        <f>IF('Twenty-Eighth'!E177="", "",'Twenty-Eighth'!E177)</f>
        <v/>
      </c>
      <c r="F6924" s="66" t="str">
        <f>IF('Twenty-Eighth'!F177="", "",'Twenty-Eighth'!F177)</f>
        <v/>
      </c>
      <c r="G6924" s="66" t="str">
        <f>IF('Twenty-Eighth'!G177="", "",'Twenty-Eighth'!G177)</f>
        <v/>
      </c>
      <c r="H6924" s="66" t="str">
        <f>IF('Twenty-Eighth'!H177="", "",'Twenty-Eighth'!H177)</f>
        <v/>
      </c>
      <c r="I6924" s="66" t="str">
        <f>IF('Twenty-Eighth'!I177="", "",'Twenty-Eighth'!I177)</f>
        <v/>
      </c>
      <c r="J6924" s="66" t="str">
        <f>IF('Twenty-Eighth'!J177="", "",'Twenty-Eighth'!J177)</f>
        <v/>
      </c>
      <c r="K6924" s="86" t="str">
        <f>IF('Twenty-Eighth'!K177="", "",'Twenty-Eighth'!K177)</f>
        <v/>
      </c>
      <c r="M6924" s="67" t="str">
        <f t="shared" si="329"/>
        <v/>
      </c>
      <c r="N6924" s="76" t="str">
        <f t="shared" si="330"/>
        <v/>
      </c>
      <c r="O6924" s="33">
        <f t="shared" si="331"/>
        <v>0</v>
      </c>
    </row>
    <row r="6925" spans="1:15" x14ac:dyDescent="0.25">
      <c r="A6925" s="64" t="s">
        <v>195</v>
      </c>
      <c r="B6925" s="79" t="str">
        <f>IF('Twenty-Eighth'!B178="", "",'Twenty-Eighth'!B178)</f>
        <v/>
      </c>
      <c r="C6925" s="66" t="str">
        <f>IF('Twenty-Eighth'!C178="", "",'Twenty-Eighth'!C178)</f>
        <v/>
      </c>
      <c r="D6925" s="66" t="str">
        <f>IF('Twenty-Eighth'!D178="", "",'Twenty-Eighth'!D178)</f>
        <v/>
      </c>
      <c r="E6925" s="66" t="str">
        <f>IF('Twenty-Eighth'!E178="", "",'Twenty-Eighth'!E178)</f>
        <v/>
      </c>
      <c r="F6925" s="66" t="str">
        <f>IF('Twenty-Eighth'!F178="", "",'Twenty-Eighth'!F178)</f>
        <v/>
      </c>
      <c r="G6925" s="66" t="str">
        <f>IF('Twenty-Eighth'!G178="", "",'Twenty-Eighth'!G178)</f>
        <v/>
      </c>
      <c r="H6925" s="66" t="str">
        <f>IF('Twenty-Eighth'!H178="", "",'Twenty-Eighth'!H178)</f>
        <v/>
      </c>
      <c r="I6925" s="66" t="str">
        <f>IF('Twenty-Eighth'!I178="", "",'Twenty-Eighth'!I178)</f>
        <v/>
      </c>
      <c r="J6925" s="66" t="str">
        <f>IF('Twenty-Eighth'!J178="", "",'Twenty-Eighth'!J178)</f>
        <v/>
      </c>
      <c r="K6925" s="86" t="str">
        <f>IF('Twenty-Eighth'!K178="", "",'Twenty-Eighth'!K178)</f>
        <v/>
      </c>
      <c r="M6925" s="67" t="str">
        <f t="shared" si="329"/>
        <v/>
      </c>
      <c r="N6925" s="76" t="str">
        <f t="shared" si="330"/>
        <v/>
      </c>
      <c r="O6925" s="33">
        <f t="shared" si="331"/>
        <v>0</v>
      </c>
    </row>
    <row r="6926" spans="1:15" x14ac:dyDescent="0.25">
      <c r="A6926" s="64" t="s">
        <v>195</v>
      </c>
      <c r="B6926" s="79" t="str">
        <f>IF('Twenty-Eighth'!B179="", "",'Twenty-Eighth'!B179)</f>
        <v/>
      </c>
      <c r="C6926" s="66" t="str">
        <f>IF('Twenty-Eighth'!C179="", "",'Twenty-Eighth'!C179)</f>
        <v/>
      </c>
      <c r="D6926" s="66" t="str">
        <f>IF('Twenty-Eighth'!D179="", "",'Twenty-Eighth'!D179)</f>
        <v/>
      </c>
      <c r="E6926" s="66" t="str">
        <f>IF('Twenty-Eighth'!E179="", "",'Twenty-Eighth'!E179)</f>
        <v/>
      </c>
      <c r="F6926" s="66" t="str">
        <f>IF('Twenty-Eighth'!F179="", "",'Twenty-Eighth'!F179)</f>
        <v/>
      </c>
      <c r="G6926" s="66" t="str">
        <f>IF('Twenty-Eighth'!G179="", "",'Twenty-Eighth'!G179)</f>
        <v/>
      </c>
      <c r="H6926" s="66" t="str">
        <f>IF('Twenty-Eighth'!H179="", "",'Twenty-Eighth'!H179)</f>
        <v/>
      </c>
      <c r="I6926" s="66" t="str">
        <f>IF('Twenty-Eighth'!I179="", "",'Twenty-Eighth'!I179)</f>
        <v/>
      </c>
      <c r="J6926" s="66" t="str">
        <f>IF('Twenty-Eighth'!J179="", "",'Twenty-Eighth'!J179)</f>
        <v/>
      </c>
      <c r="K6926" s="86" t="str">
        <f>IF('Twenty-Eighth'!K179="", "",'Twenty-Eighth'!K179)</f>
        <v/>
      </c>
      <c r="M6926" s="67" t="str">
        <f t="shared" si="329"/>
        <v/>
      </c>
      <c r="N6926" s="76" t="str">
        <f t="shared" si="330"/>
        <v/>
      </c>
      <c r="O6926" s="33">
        <f t="shared" si="331"/>
        <v>0</v>
      </c>
    </row>
    <row r="6927" spans="1:15" x14ac:dyDescent="0.25">
      <c r="A6927" s="64" t="s">
        <v>195</v>
      </c>
      <c r="B6927" s="79" t="str">
        <f>IF('Twenty-Eighth'!B180="", "",'Twenty-Eighth'!B180)</f>
        <v/>
      </c>
      <c r="C6927" s="66" t="str">
        <f>IF('Twenty-Eighth'!C180="", "",'Twenty-Eighth'!C180)</f>
        <v/>
      </c>
      <c r="D6927" s="66" t="str">
        <f>IF('Twenty-Eighth'!D180="", "",'Twenty-Eighth'!D180)</f>
        <v/>
      </c>
      <c r="E6927" s="66" t="str">
        <f>IF('Twenty-Eighth'!E180="", "",'Twenty-Eighth'!E180)</f>
        <v/>
      </c>
      <c r="F6927" s="66" t="str">
        <f>IF('Twenty-Eighth'!F180="", "",'Twenty-Eighth'!F180)</f>
        <v/>
      </c>
      <c r="G6927" s="66" t="str">
        <f>IF('Twenty-Eighth'!G180="", "",'Twenty-Eighth'!G180)</f>
        <v/>
      </c>
      <c r="H6927" s="66" t="str">
        <f>IF('Twenty-Eighth'!H180="", "",'Twenty-Eighth'!H180)</f>
        <v/>
      </c>
      <c r="I6927" s="66" t="str">
        <f>IF('Twenty-Eighth'!I180="", "",'Twenty-Eighth'!I180)</f>
        <v/>
      </c>
      <c r="J6927" s="66" t="str">
        <f>IF('Twenty-Eighth'!J180="", "",'Twenty-Eighth'!J180)</f>
        <v/>
      </c>
      <c r="K6927" s="86" t="str">
        <f>IF('Twenty-Eighth'!K180="", "",'Twenty-Eighth'!K180)</f>
        <v/>
      </c>
      <c r="M6927" s="67" t="str">
        <f t="shared" si="329"/>
        <v/>
      </c>
      <c r="N6927" s="76" t="str">
        <f t="shared" si="330"/>
        <v/>
      </c>
      <c r="O6927" s="33">
        <f t="shared" si="331"/>
        <v>0</v>
      </c>
    </row>
    <row r="6928" spans="1:15" x14ac:dyDescent="0.25">
      <c r="A6928" s="64" t="s">
        <v>195</v>
      </c>
      <c r="B6928" s="79" t="str">
        <f>IF('Twenty-Eighth'!B181="", "",'Twenty-Eighth'!B181)</f>
        <v/>
      </c>
      <c r="C6928" s="66" t="str">
        <f>IF('Twenty-Eighth'!C181="", "",'Twenty-Eighth'!C181)</f>
        <v/>
      </c>
      <c r="D6928" s="66" t="str">
        <f>IF('Twenty-Eighth'!D181="", "",'Twenty-Eighth'!D181)</f>
        <v/>
      </c>
      <c r="E6928" s="66" t="str">
        <f>IF('Twenty-Eighth'!E181="", "",'Twenty-Eighth'!E181)</f>
        <v/>
      </c>
      <c r="F6928" s="66" t="str">
        <f>IF('Twenty-Eighth'!F181="", "",'Twenty-Eighth'!F181)</f>
        <v/>
      </c>
      <c r="G6928" s="66" t="str">
        <f>IF('Twenty-Eighth'!G181="", "",'Twenty-Eighth'!G181)</f>
        <v/>
      </c>
      <c r="H6928" s="66" t="str">
        <f>IF('Twenty-Eighth'!H181="", "",'Twenty-Eighth'!H181)</f>
        <v/>
      </c>
      <c r="I6928" s="66" t="str">
        <f>IF('Twenty-Eighth'!I181="", "",'Twenty-Eighth'!I181)</f>
        <v/>
      </c>
      <c r="J6928" s="66" t="str">
        <f>IF('Twenty-Eighth'!J181="", "",'Twenty-Eighth'!J181)</f>
        <v/>
      </c>
      <c r="K6928" s="86" t="str">
        <f>IF('Twenty-Eighth'!K181="", "",'Twenty-Eighth'!K181)</f>
        <v/>
      </c>
      <c r="M6928" s="67" t="str">
        <f t="shared" si="329"/>
        <v/>
      </c>
      <c r="N6928" s="76" t="str">
        <f t="shared" si="330"/>
        <v/>
      </c>
      <c r="O6928" s="33">
        <f t="shared" si="331"/>
        <v>0</v>
      </c>
    </row>
    <row r="6929" spans="1:15" x14ac:dyDescent="0.25">
      <c r="A6929" s="64" t="s">
        <v>195</v>
      </c>
      <c r="B6929" s="79" t="str">
        <f>IF('Twenty-Eighth'!B182="", "",'Twenty-Eighth'!B182)</f>
        <v/>
      </c>
      <c r="C6929" s="66" t="str">
        <f>IF('Twenty-Eighth'!C182="", "",'Twenty-Eighth'!C182)</f>
        <v/>
      </c>
      <c r="D6929" s="66" t="str">
        <f>IF('Twenty-Eighth'!D182="", "",'Twenty-Eighth'!D182)</f>
        <v/>
      </c>
      <c r="E6929" s="66" t="str">
        <f>IF('Twenty-Eighth'!E182="", "",'Twenty-Eighth'!E182)</f>
        <v/>
      </c>
      <c r="F6929" s="66" t="str">
        <f>IF('Twenty-Eighth'!F182="", "",'Twenty-Eighth'!F182)</f>
        <v/>
      </c>
      <c r="G6929" s="66" t="str">
        <f>IF('Twenty-Eighth'!G182="", "",'Twenty-Eighth'!G182)</f>
        <v/>
      </c>
      <c r="H6929" s="66" t="str">
        <f>IF('Twenty-Eighth'!H182="", "",'Twenty-Eighth'!H182)</f>
        <v/>
      </c>
      <c r="I6929" s="66" t="str">
        <f>IF('Twenty-Eighth'!I182="", "",'Twenty-Eighth'!I182)</f>
        <v/>
      </c>
      <c r="J6929" s="66" t="str">
        <f>IF('Twenty-Eighth'!J182="", "",'Twenty-Eighth'!J182)</f>
        <v/>
      </c>
      <c r="K6929" s="86" t="str">
        <f>IF('Twenty-Eighth'!K182="", "",'Twenty-Eighth'!K182)</f>
        <v/>
      </c>
      <c r="M6929" s="67" t="str">
        <f t="shared" si="329"/>
        <v/>
      </c>
      <c r="N6929" s="76" t="str">
        <f t="shared" si="330"/>
        <v/>
      </c>
      <c r="O6929" s="33">
        <f t="shared" si="331"/>
        <v>0</v>
      </c>
    </row>
    <row r="6930" spans="1:15" x14ac:dyDescent="0.25">
      <c r="A6930" s="64" t="s">
        <v>195</v>
      </c>
      <c r="B6930" s="79" t="str">
        <f>IF('Twenty-Eighth'!B183="", "",'Twenty-Eighth'!B183)</f>
        <v/>
      </c>
      <c r="C6930" s="66" t="str">
        <f>IF('Twenty-Eighth'!C183="", "",'Twenty-Eighth'!C183)</f>
        <v/>
      </c>
      <c r="D6930" s="66" t="str">
        <f>IF('Twenty-Eighth'!D183="", "",'Twenty-Eighth'!D183)</f>
        <v/>
      </c>
      <c r="E6930" s="66" t="str">
        <f>IF('Twenty-Eighth'!E183="", "",'Twenty-Eighth'!E183)</f>
        <v/>
      </c>
      <c r="F6930" s="66" t="str">
        <f>IF('Twenty-Eighth'!F183="", "",'Twenty-Eighth'!F183)</f>
        <v/>
      </c>
      <c r="G6930" s="66" t="str">
        <f>IF('Twenty-Eighth'!G183="", "",'Twenty-Eighth'!G183)</f>
        <v/>
      </c>
      <c r="H6930" s="66" t="str">
        <f>IF('Twenty-Eighth'!H183="", "",'Twenty-Eighth'!H183)</f>
        <v/>
      </c>
      <c r="I6930" s="66" t="str">
        <f>IF('Twenty-Eighth'!I183="", "",'Twenty-Eighth'!I183)</f>
        <v/>
      </c>
      <c r="J6930" s="66" t="str">
        <f>IF('Twenty-Eighth'!J183="", "",'Twenty-Eighth'!J183)</f>
        <v/>
      </c>
      <c r="K6930" s="86" t="str">
        <f>IF('Twenty-Eighth'!K183="", "",'Twenty-Eighth'!K183)</f>
        <v/>
      </c>
      <c r="M6930" s="67" t="str">
        <f t="shared" si="329"/>
        <v/>
      </c>
      <c r="N6930" s="76" t="str">
        <f t="shared" si="330"/>
        <v/>
      </c>
      <c r="O6930" s="33">
        <f t="shared" si="331"/>
        <v>0</v>
      </c>
    </row>
    <row r="6931" spans="1:15" x14ac:dyDescent="0.25">
      <c r="A6931" s="64" t="s">
        <v>195</v>
      </c>
      <c r="B6931" s="79" t="str">
        <f>IF('Twenty-Eighth'!B184="", "",'Twenty-Eighth'!B184)</f>
        <v/>
      </c>
      <c r="C6931" s="66" t="str">
        <f>IF('Twenty-Eighth'!C184="", "",'Twenty-Eighth'!C184)</f>
        <v/>
      </c>
      <c r="D6931" s="66" t="str">
        <f>IF('Twenty-Eighth'!D184="", "",'Twenty-Eighth'!D184)</f>
        <v/>
      </c>
      <c r="E6931" s="66" t="str">
        <f>IF('Twenty-Eighth'!E184="", "",'Twenty-Eighth'!E184)</f>
        <v/>
      </c>
      <c r="F6931" s="66" t="str">
        <f>IF('Twenty-Eighth'!F184="", "",'Twenty-Eighth'!F184)</f>
        <v/>
      </c>
      <c r="G6931" s="66" t="str">
        <f>IF('Twenty-Eighth'!G184="", "",'Twenty-Eighth'!G184)</f>
        <v/>
      </c>
      <c r="H6931" s="66" t="str">
        <f>IF('Twenty-Eighth'!H184="", "",'Twenty-Eighth'!H184)</f>
        <v/>
      </c>
      <c r="I6931" s="66" t="str">
        <f>IF('Twenty-Eighth'!I184="", "",'Twenty-Eighth'!I184)</f>
        <v/>
      </c>
      <c r="J6931" s="66" t="str">
        <f>IF('Twenty-Eighth'!J184="", "",'Twenty-Eighth'!J184)</f>
        <v/>
      </c>
      <c r="K6931" s="86" t="str">
        <f>IF('Twenty-Eighth'!K184="", "",'Twenty-Eighth'!K184)</f>
        <v/>
      </c>
      <c r="M6931" s="67" t="str">
        <f t="shared" si="329"/>
        <v/>
      </c>
      <c r="N6931" s="76" t="str">
        <f t="shared" si="330"/>
        <v/>
      </c>
      <c r="O6931" s="33">
        <f t="shared" si="331"/>
        <v>0</v>
      </c>
    </row>
    <row r="6932" spans="1:15" x14ac:dyDescent="0.25">
      <c r="A6932" s="64" t="s">
        <v>195</v>
      </c>
      <c r="B6932" s="79" t="str">
        <f>IF('Twenty-Eighth'!B185="", "",'Twenty-Eighth'!B185)</f>
        <v/>
      </c>
      <c r="C6932" s="66" t="str">
        <f>IF('Twenty-Eighth'!C185="", "",'Twenty-Eighth'!C185)</f>
        <v/>
      </c>
      <c r="D6932" s="66" t="str">
        <f>IF('Twenty-Eighth'!D185="", "",'Twenty-Eighth'!D185)</f>
        <v/>
      </c>
      <c r="E6932" s="66" t="str">
        <f>IF('Twenty-Eighth'!E185="", "",'Twenty-Eighth'!E185)</f>
        <v/>
      </c>
      <c r="F6932" s="66" t="str">
        <f>IF('Twenty-Eighth'!F185="", "",'Twenty-Eighth'!F185)</f>
        <v/>
      </c>
      <c r="G6932" s="66" t="str">
        <f>IF('Twenty-Eighth'!G185="", "",'Twenty-Eighth'!G185)</f>
        <v/>
      </c>
      <c r="H6932" s="66" t="str">
        <f>IF('Twenty-Eighth'!H185="", "",'Twenty-Eighth'!H185)</f>
        <v/>
      </c>
      <c r="I6932" s="66" t="str">
        <f>IF('Twenty-Eighth'!I185="", "",'Twenty-Eighth'!I185)</f>
        <v/>
      </c>
      <c r="J6932" s="66" t="str">
        <f>IF('Twenty-Eighth'!J185="", "",'Twenty-Eighth'!J185)</f>
        <v/>
      </c>
      <c r="K6932" s="86" t="str">
        <f>IF('Twenty-Eighth'!K185="", "",'Twenty-Eighth'!K185)</f>
        <v/>
      </c>
      <c r="M6932" s="67" t="str">
        <f t="shared" si="329"/>
        <v/>
      </c>
      <c r="N6932" s="76" t="str">
        <f t="shared" si="330"/>
        <v/>
      </c>
      <c r="O6932" s="33">
        <f t="shared" si="331"/>
        <v>0</v>
      </c>
    </row>
    <row r="6933" spans="1:15" x14ac:dyDescent="0.25">
      <c r="A6933" s="64" t="s">
        <v>195</v>
      </c>
      <c r="B6933" s="79" t="str">
        <f>IF('Twenty-Eighth'!B186="", "",'Twenty-Eighth'!B186)</f>
        <v/>
      </c>
      <c r="C6933" s="66" t="str">
        <f>IF('Twenty-Eighth'!C186="", "",'Twenty-Eighth'!C186)</f>
        <v/>
      </c>
      <c r="D6933" s="66" t="str">
        <f>IF('Twenty-Eighth'!D186="", "",'Twenty-Eighth'!D186)</f>
        <v/>
      </c>
      <c r="E6933" s="66" t="str">
        <f>IF('Twenty-Eighth'!E186="", "",'Twenty-Eighth'!E186)</f>
        <v/>
      </c>
      <c r="F6933" s="66" t="str">
        <f>IF('Twenty-Eighth'!F186="", "",'Twenty-Eighth'!F186)</f>
        <v/>
      </c>
      <c r="G6933" s="66" t="str">
        <f>IF('Twenty-Eighth'!G186="", "",'Twenty-Eighth'!G186)</f>
        <v/>
      </c>
      <c r="H6933" s="66" t="str">
        <f>IF('Twenty-Eighth'!H186="", "",'Twenty-Eighth'!H186)</f>
        <v/>
      </c>
      <c r="I6933" s="66" t="str">
        <f>IF('Twenty-Eighth'!I186="", "",'Twenty-Eighth'!I186)</f>
        <v/>
      </c>
      <c r="J6933" s="66" t="str">
        <f>IF('Twenty-Eighth'!J186="", "",'Twenty-Eighth'!J186)</f>
        <v/>
      </c>
      <c r="K6933" s="86" t="str">
        <f>IF('Twenty-Eighth'!K186="", "",'Twenty-Eighth'!K186)</f>
        <v/>
      </c>
      <c r="M6933" s="67" t="str">
        <f t="shared" si="329"/>
        <v/>
      </c>
      <c r="N6933" s="76" t="str">
        <f t="shared" si="330"/>
        <v/>
      </c>
      <c r="O6933" s="33">
        <f t="shared" si="331"/>
        <v>0</v>
      </c>
    </row>
    <row r="6934" spans="1:15" x14ac:dyDescent="0.25">
      <c r="A6934" s="64" t="s">
        <v>195</v>
      </c>
      <c r="B6934" s="79" t="str">
        <f>IF('Twenty-Eighth'!B187="", "",'Twenty-Eighth'!B187)</f>
        <v/>
      </c>
      <c r="C6934" s="66" t="str">
        <f>IF('Twenty-Eighth'!C187="", "",'Twenty-Eighth'!C187)</f>
        <v/>
      </c>
      <c r="D6934" s="66" t="str">
        <f>IF('Twenty-Eighth'!D187="", "",'Twenty-Eighth'!D187)</f>
        <v/>
      </c>
      <c r="E6934" s="66" t="str">
        <f>IF('Twenty-Eighth'!E187="", "",'Twenty-Eighth'!E187)</f>
        <v/>
      </c>
      <c r="F6934" s="66" t="str">
        <f>IF('Twenty-Eighth'!F187="", "",'Twenty-Eighth'!F187)</f>
        <v/>
      </c>
      <c r="G6934" s="66" t="str">
        <f>IF('Twenty-Eighth'!G187="", "",'Twenty-Eighth'!G187)</f>
        <v/>
      </c>
      <c r="H6934" s="66" t="str">
        <f>IF('Twenty-Eighth'!H187="", "",'Twenty-Eighth'!H187)</f>
        <v/>
      </c>
      <c r="I6934" s="66" t="str">
        <f>IF('Twenty-Eighth'!I187="", "",'Twenty-Eighth'!I187)</f>
        <v/>
      </c>
      <c r="J6934" s="66" t="str">
        <f>IF('Twenty-Eighth'!J187="", "",'Twenty-Eighth'!J187)</f>
        <v/>
      </c>
      <c r="K6934" s="86" t="str">
        <f>IF('Twenty-Eighth'!K187="", "",'Twenty-Eighth'!K187)</f>
        <v/>
      </c>
      <c r="M6934" s="67" t="str">
        <f t="shared" si="329"/>
        <v/>
      </c>
      <c r="N6934" s="76" t="str">
        <f t="shared" si="330"/>
        <v/>
      </c>
      <c r="O6934" s="33">
        <f t="shared" si="331"/>
        <v>0</v>
      </c>
    </row>
    <row r="6935" spans="1:15" x14ac:dyDescent="0.25">
      <c r="A6935" s="64" t="s">
        <v>195</v>
      </c>
      <c r="B6935" s="79" t="str">
        <f>IF('Twenty-Eighth'!B188="", "",'Twenty-Eighth'!B188)</f>
        <v/>
      </c>
      <c r="C6935" s="66" t="str">
        <f>IF('Twenty-Eighth'!C188="", "",'Twenty-Eighth'!C188)</f>
        <v/>
      </c>
      <c r="D6935" s="66" t="str">
        <f>IF('Twenty-Eighth'!D188="", "",'Twenty-Eighth'!D188)</f>
        <v/>
      </c>
      <c r="E6935" s="66" t="str">
        <f>IF('Twenty-Eighth'!E188="", "",'Twenty-Eighth'!E188)</f>
        <v/>
      </c>
      <c r="F6935" s="66" t="str">
        <f>IF('Twenty-Eighth'!F188="", "",'Twenty-Eighth'!F188)</f>
        <v/>
      </c>
      <c r="G6935" s="66" t="str">
        <f>IF('Twenty-Eighth'!G188="", "",'Twenty-Eighth'!G188)</f>
        <v/>
      </c>
      <c r="H6935" s="66" t="str">
        <f>IF('Twenty-Eighth'!H188="", "",'Twenty-Eighth'!H188)</f>
        <v/>
      </c>
      <c r="I6935" s="66" t="str">
        <f>IF('Twenty-Eighth'!I188="", "",'Twenty-Eighth'!I188)</f>
        <v/>
      </c>
      <c r="J6935" s="66" t="str">
        <f>IF('Twenty-Eighth'!J188="", "",'Twenty-Eighth'!J188)</f>
        <v/>
      </c>
      <c r="K6935" s="86" t="str">
        <f>IF('Twenty-Eighth'!K188="", "",'Twenty-Eighth'!K188)</f>
        <v/>
      </c>
      <c r="M6935" s="67" t="str">
        <f t="shared" si="329"/>
        <v/>
      </c>
      <c r="N6935" s="76" t="str">
        <f t="shared" si="330"/>
        <v/>
      </c>
      <c r="O6935" s="33">
        <f t="shared" si="331"/>
        <v>0</v>
      </c>
    </row>
    <row r="6936" spans="1:15" x14ac:dyDescent="0.25">
      <c r="A6936" s="64" t="s">
        <v>195</v>
      </c>
      <c r="B6936" s="79" t="str">
        <f>IF('Twenty-Eighth'!B189="", "",'Twenty-Eighth'!B189)</f>
        <v/>
      </c>
      <c r="C6936" s="66" t="str">
        <f>IF('Twenty-Eighth'!C189="", "",'Twenty-Eighth'!C189)</f>
        <v/>
      </c>
      <c r="D6936" s="66" t="str">
        <f>IF('Twenty-Eighth'!D189="", "",'Twenty-Eighth'!D189)</f>
        <v/>
      </c>
      <c r="E6936" s="66" t="str">
        <f>IF('Twenty-Eighth'!E189="", "",'Twenty-Eighth'!E189)</f>
        <v/>
      </c>
      <c r="F6936" s="66" t="str">
        <f>IF('Twenty-Eighth'!F189="", "",'Twenty-Eighth'!F189)</f>
        <v/>
      </c>
      <c r="G6936" s="66" t="str">
        <f>IF('Twenty-Eighth'!G189="", "",'Twenty-Eighth'!G189)</f>
        <v/>
      </c>
      <c r="H6936" s="66" t="str">
        <f>IF('Twenty-Eighth'!H189="", "",'Twenty-Eighth'!H189)</f>
        <v/>
      </c>
      <c r="I6936" s="66" t="str">
        <f>IF('Twenty-Eighth'!I189="", "",'Twenty-Eighth'!I189)</f>
        <v/>
      </c>
      <c r="J6936" s="66" t="str">
        <f>IF('Twenty-Eighth'!J189="", "",'Twenty-Eighth'!J189)</f>
        <v/>
      </c>
      <c r="K6936" s="86" t="str">
        <f>IF('Twenty-Eighth'!K189="", "",'Twenty-Eighth'!K189)</f>
        <v/>
      </c>
      <c r="M6936" s="67" t="str">
        <f t="shared" si="329"/>
        <v/>
      </c>
      <c r="N6936" s="76" t="str">
        <f t="shared" si="330"/>
        <v/>
      </c>
      <c r="O6936" s="33">
        <f t="shared" si="331"/>
        <v>0</v>
      </c>
    </row>
    <row r="6937" spans="1:15" x14ac:dyDescent="0.25">
      <c r="A6937" s="64" t="s">
        <v>195</v>
      </c>
      <c r="B6937" s="79" t="str">
        <f>IF('Twenty-Eighth'!B190="", "",'Twenty-Eighth'!B190)</f>
        <v/>
      </c>
      <c r="C6937" s="66" t="str">
        <f>IF('Twenty-Eighth'!C190="", "",'Twenty-Eighth'!C190)</f>
        <v/>
      </c>
      <c r="D6937" s="66" t="str">
        <f>IF('Twenty-Eighth'!D190="", "",'Twenty-Eighth'!D190)</f>
        <v/>
      </c>
      <c r="E6937" s="66" t="str">
        <f>IF('Twenty-Eighth'!E190="", "",'Twenty-Eighth'!E190)</f>
        <v/>
      </c>
      <c r="F6937" s="66" t="str">
        <f>IF('Twenty-Eighth'!F190="", "",'Twenty-Eighth'!F190)</f>
        <v/>
      </c>
      <c r="G6937" s="66" t="str">
        <f>IF('Twenty-Eighth'!G190="", "",'Twenty-Eighth'!G190)</f>
        <v/>
      </c>
      <c r="H6937" s="66" t="str">
        <f>IF('Twenty-Eighth'!H190="", "",'Twenty-Eighth'!H190)</f>
        <v/>
      </c>
      <c r="I6937" s="66" t="str">
        <f>IF('Twenty-Eighth'!I190="", "",'Twenty-Eighth'!I190)</f>
        <v/>
      </c>
      <c r="J6937" s="66" t="str">
        <f>IF('Twenty-Eighth'!J190="", "",'Twenty-Eighth'!J190)</f>
        <v/>
      </c>
      <c r="K6937" s="86" t="str">
        <f>IF('Twenty-Eighth'!K190="", "",'Twenty-Eighth'!K190)</f>
        <v/>
      </c>
      <c r="M6937" s="67" t="str">
        <f t="shared" si="329"/>
        <v/>
      </c>
      <c r="N6937" s="76" t="str">
        <f t="shared" si="330"/>
        <v/>
      </c>
      <c r="O6937" s="33">
        <f t="shared" si="331"/>
        <v>0</v>
      </c>
    </row>
    <row r="6938" spans="1:15" x14ac:dyDescent="0.25">
      <c r="A6938" s="64" t="s">
        <v>195</v>
      </c>
      <c r="B6938" s="79" t="str">
        <f>IF('Twenty-Eighth'!B191="", "",'Twenty-Eighth'!B191)</f>
        <v/>
      </c>
      <c r="C6938" s="66" t="str">
        <f>IF('Twenty-Eighth'!C191="", "",'Twenty-Eighth'!C191)</f>
        <v/>
      </c>
      <c r="D6938" s="66" t="str">
        <f>IF('Twenty-Eighth'!D191="", "",'Twenty-Eighth'!D191)</f>
        <v/>
      </c>
      <c r="E6938" s="66" t="str">
        <f>IF('Twenty-Eighth'!E191="", "",'Twenty-Eighth'!E191)</f>
        <v/>
      </c>
      <c r="F6938" s="66" t="str">
        <f>IF('Twenty-Eighth'!F191="", "",'Twenty-Eighth'!F191)</f>
        <v/>
      </c>
      <c r="G6938" s="66" t="str">
        <f>IF('Twenty-Eighth'!G191="", "",'Twenty-Eighth'!G191)</f>
        <v/>
      </c>
      <c r="H6938" s="66" t="str">
        <f>IF('Twenty-Eighth'!H191="", "",'Twenty-Eighth'!H191)</f>
        <v/>
      </c>
      <c r="I6938" s="66" t="str">
        <f>IF('Twenty-Eighth'!I191="", "",'Twenty-Eighth'!I191)</f>
        <v/>
      </c>
      <c r="J6938" s="66" t="str">
        <f>IF('Twenty-Eighth'!J191="", "",'Twenty-Eighth'!J191)</f>
        <v/>
      </c>
      <c r="K6938" s="86" t="str">
        <f>IF('Twenty-Eighth'!K191="", "",'Twenty-Eighth'!K191)</f>
        <v/>
      </c>
      <c r="M6938" s="67" t="str">
        <f t="shared" si="329"/>
        <v/>
      </c>
      <c r="N6938" s="76" t="str">
        <f t="shared" si="330"/>
        <v/>
      </c>
      <c r="O6938" s="33">
        <f t="shared" si="331"/>
        <v>0</v>
      </c>
    </row>
    <row r="6939" spans="1:15" x14ac:dyDescent="0.25">
      <c r="A6939" s="64" t="s">
        <v>195</v>
      </c>
      <c r="B6939" s="79" t="str">
        <f>IF('Twenty-Eighth'!B192="", "",'Twenty-Eighth'!B192)</f>
        <v/>
      </c>
      <c r="C6939" s="66" t="str">
        <f>IF('Twenty-Eighth'!C192="", "",'Twenty-Eighth'!C192)</f>
        <v/>
      </c>
      <c r="D6939" s="66" t="str">
        <f>IF('Twenty-Eighth'!D192="", "",'Twenty-Eighth'!D192)</f>
        <v/>
      </c>
      <c r="E6939" s="66" t="str">
        <f>IF('Twenty-Eighth'!E192="", "",'Twenty-Eighth'!E192)</f>
        <v/>
      </c>
      <c r="F6939" s="66" t="str">
        <f>IF('Twenty-Eighth'!F192="", "",'Twenty-Eighth'!F192)</f>
        <v/>
      </c>
      <c r="G6939" s="66" t="str">
        <f>IF('Twenty-Eighth'!G192="", "",'Twenty-Eighth'!G192)</f>
        <v/>
      </c>
      <c r="H6939" s="66" t="str">
        <f>IF('Twenty-Eighth'!H192="", "",'Twenty-Eighth'!H192)</f>
        <v/>
      </c>
      <c r="I6939" s="66" t="str">
        <f>IF('Twenty-Eighth'!I192="", "",'Twenty-Eighth'!I192)</f>
        <v/>
      </c>
      <c r="J6939" s="66" t="str">
        <f>IF('Twenty-Eighth'!J192="", "",'Twenty-Eighth'!J192)</f>
        <v/>
      </c>
      <c r="K6939" s="86" t="str">
        <f>IF('Twenty-Eighth'!K192="", "",'Twenty-Eighth'!K192)</f>
        <v/>
      </c>
      <c r="M6939" s="67" t="str">
        <f t="shared" si="329"/>
        <v/>
      </c>
      <c r="N6939" s="76" t="str">
        <f t="shared" si="330"/>
        <v/>
      </c>
      <c r="O6939" s="33">
        <f t="shared" si="331"/>
        <v>0</v>
      </c>
    </row>
    <row r="6940" spans="1:15" x14ac:dyDescent="0.25">
      <c r="A6940" s="64" t="s">
        <v>195</v>
      </c>
      <c r="B6940" s="79" t="str">
        <f>IF('Twenty-Eighth'!B193="", "",'Twenty-Eighth'!B193)</f>
        <v/>
      </c>
      <c r="C6940" s="66" t="str">
        <f>IF('Twenty-Eighth'!C193="", "",'Twenty-Eighth'!C193)</f>
        <v/>
      </c>
      <c r="D6940" s="66" t="str">
        <f>IF('Twenty-Eighth'!D193="", "",'Twenty-Eighth'!D193)</f>
        <v/>
      </c>
      <c r="E6940" s="66" t="str">
        <f>IF('Twenty-Eighth'!E193="", "",'Twenty-Eighth'!E193)</f>
        <v/>
      </c>
      <c r="F6940" s="66" t="str">
        <f>IF('Twenty-Eighth'!F193="", "",'Twenty-Eighth'!F193)</f>
        <v/>
      </c>
      <c r="G6940" s="66" t="str">
        <f>IF('Twenty-Eighth'!G193="", "",'Twenty-Eighth'!G193)</f>
        <v/>
      </c>
      <c r="H6940" s="66" t="str">
        <f>IF('Twenty-Eighth'!H193="", "",'Twenty-Eighth'!H193)</f>
        <v/>
      </c>
      <c r="I6940" s="66" t="str">
        <f>IF('Twenty-Eighth'!I193="", "",'Twenty-Eighth'!I193)</f>
        <v/>
      </c>
      <c r="J6940" s="66" t="str">
        <f>IF('Twenty-Eighth'!J193="", "",'Twenty-Eighth'!J193)</f>
        <v/>
      </c>
      <c r="K6940" s="86" t="str">
        <f>IF('Twenty-Eighth'!K193="", "",'Twenty-Eighth'!K193)</f>
        <v/>
      </c>
      <c r="M6940" s="67" t="str">
        <f t="shared" si="329"/>
        <v/>
      </c>
      <c r="N6940" s="76" t="str">
        <f t="shared" si="330"/>
        <v/>
      </c>
      <c r="O6940" s="33">
        <f t="shared" si="331"/>
        <v>0</v>
      </c>
    </row>
    <row r="6941" spans="1:15" x14ac:dyDescent="0.25">
      <c r="A6941" s="64" t="s">
        <v>195</v>
      </c>
      <c r="B6941" s="79" t="str">
        <f>IF('Twenty-Eighth'!B194="", "",'Twenty-Eighth'!B194)</f>
        <v/>
      </c>
      <c r="C6941" s="66" t="str">
        <f>IF('Twenty-Eighth'!C194="", "",'Twenty-Eighth'!C194)</f>
        <v/>
      </c>
      <c r="D6941" s="66" t="str">
        <f>IF('Twenty-Eighth'!D194="", "",'Twenty-Eighth'!D194)</f>
        <v/>
      </c>
      <c r="E6941" s="66" t="str">
        <f>IF('Twenty-Eighth'!E194="", "",'Twenty-Eighth'!E194)</f>
        <v/>
      </c>
      <c r="F6941" s="66" t="str">
        <f>IF('Twenty-Eighth'!F194="", "",'Twenty-Eighth'!F194)</f>
        <v/>
      </c>
      <c r="G6941" s="66" t="str">
        <f>IF('Twenty-Eighth'!G194="", "",'Twenty-Eighth'!G194)</f>
        <v/>
      </c>
      <c r="H6941" s="66" t="str">
        <f>IF('Twenty-Eighth'!H194="", "",'Twenty-Eighth'!H194)</f>
        <v/>
      </c>
      <c r="I6941" s="66" t="str">
        <f>IF('Twenty-Eighth'!I194="", "",'Twenty-Eighth'!I194)</f>
        <v/>
      </c>
      <c r="J6941" s="66" t="str">
        <f>IF('Twenty-Eighth'!J194="", "",'Twenty-Eighth'!J194)</f>
        <v/>
      </c>
      <c r="K6941" s="86" t="str">
        <f>IF('Twenty-Eighth'!K194="", "",'Twenty-Eighth'!K194)</f>
        <v/>
      </c>
      <c r="M6941" s="67" t="str">
        <f t="shared" si="329"/>
        <v/>
      </c>
      <c r="N6941" s="76" t="str">
        <f t="shared" si="330"/>
        <v/>
      </c>
      <c r="O6941" s="33">
        <f t="shared" si="331"/>
        <v>0</v>
      </c>
    </row>
    <row r="6942" spans="1:15" x14ac:dyDescent="0.25">
      <c r="A6942" s="64" t="s">
        <v>195</v>
      </c>
      <c r="B6942" s="79" t="str">
        <f>IF('Twenty-Eighth'!B195="", "",'Twenty-Eighth'!B195)</f>
        <v/>
      </c>
      <c r="C6942" s="66" t="str">
        <f>IF('Twenty-Eighth'!C195="", "",'Twenty-Eighth'!C195)</f>
        <v/>
      </c>
      <c r="D6942" s="66" t="str">
        <f>IF('Twenty-Eighth'!D195="", "",'Twenty-Eighth'!D195)</f>
        <v/>
      </c>
      <c r="E6942" s="66" t="str">
        <f>IF('Twenty-Eighth'!E195="", "",'Twenty-Eighth'!E195)</f>
        <v/>
      </c>
      <c r="F6942" s="66" t="str">
        <f>IF('Twenty-Eighth'!F195="", "",'Twenty-Eighth'!F195)</f>
        <v/>
      </c>
      <c r="G6942" s="66" t="str">
        <f>IF('Twenty-Eighth'!G195="", "",'Twenty-Eighth'!G195)</f>
        <v/>
      </c>
      <c r="H6942" s="66" t="str">
        <f>IF('Twenty-Eighth'!H195="", "",'Twenty-Eighth'!H195)</f>
        <v/>
      </c>
      <c r="I6942" s="66" t="str">
        <f>IF('Twenty-Eighth'!I195="", "",'Twenty-Eighth'!I195)</f>
        <v/>
      </c>
      <c r="J6942" s="66" t="str">
        <f>IF('Twenty-Eighth'!J195="", "",'Twenty-Eighth'!J195)</f>
        <v/>
      </c>
      <c r="K6942" s="86" t="str">
        <f>IF('Twenty-Eighth'!K195="", "",'Twenty-Eighth'!K195)</f>
        <v/>
      </c>
      <c r="M6942" s="67" t="str">
        <f t="shared" si="329"/>
        <v/>
      </c>
      <c r="N6942" s="76" t="str">
        <f t="shared" si="330"/>
        <v/>
      </c>
      <c r="O6942" s="33">
        <f t="shared" si="331"/>
        <v>0</v>
      </c>
    </row>
    <row r="6943" spans="1:15" x14ac:dyDescent="0.25">
      <c r="A6943" s="64" t="s">
        <v>195</v>
      </c>
      <c r="B6943" s="79" t="str">
        <f>IF('Twenty-Eighth'!B196="", "",'Twenty-Eighth'!B196)</f>
        <v/>
      </c>
      <c r="C6943" s="66" t="str">
        <f>IF('Twenty-Eighth'!C196="", "",'Twenty-Eighth'!C196)</f>
        <v/>
      </c>
      <c r="D6943" s="66" t="str">
        <f>IF('Twenty-Eighth'!D196="", "",'Twenty-Eighth'!D196)</f>
        <v/>
      </c>
      <c r="E6943" s="66" t="str">
        <f>IF('Twenty-Eighth'!E196="", "",'Twenty-Eighth'!E196)</f>
        <v/>
      </c>
      <c r="F6943" s="66" t="str">
        <f>IF('Twenty-Eighth'!F196="", "",'Twenty-Eighth'!F196)</f>
        <v/>
      </c>
      <c r="G6943" s="66" t="str">
        <f>IF('Twenty-Eighth'!G196="", "",'Twenty-Eighth'!G196)</f>
        <v/>
      </c>
      <c r="H6943" s="66" t="str">
        <f>IF('Twenty-Eighth'!H196="", "",'Twenty-Eighth'!H196)</f>
        <v/>
      </c>
      <c r="I6943" s="66" t="str">
        <f>IF('Twenty-Eighth'!I196="", "",'Twenty-Eighth'!I196)</f>
        <v/>
      </c>
      <c r="J6943" s="66" t="str">
        <f>IF('Twenty-Eighth'!J196="", "",'Twenty-Eighth'!J196)</f>
        <v/>
      </c>
      <c r="K6943" s="86" t="str">
        <f>IF('Twenty-Eighth'!K196="", "",'Twenty-Eighth'!K196)</f>
        <v/>
      </c>
      <c r="M6943" s="67" t="str">
        <f t="shared" si="329"/>
        <v/>
      </c>
      <c r="N6943" s="76" t="str">
        <f t="shared" si="330"/>
        <v/>
      </c>
      <c r="O6943" s="33">
        <f t="shared" si="331"/>
        <v>0</v>
      </c>
    </row>
    <row r="6944" spans="1:15" x14ac:dyDescent="0.25">
      <c r="A6944" s="64" t="s">
        <v>195</v>
      </c>
      <c r="B6944" s="79" t="str">
        <f>IF('Twenty-Eighth'!B197="", "",'Twenty-Eighth'!B197)</f>
        <v/>
      </c>
      <c r="C6944" s="66" t="str">
        <f>IF('Twenty-Eighth'!C197="", "",'Twenty-Eighth'!C197)</f>
        <v/>
      </c>
      <c r="D6944" s="66" t="str">
        <f>IF('Twenty-Eighth'!D197="", "",'Twenty-Eighth'!D197)</f>
        <v/>
      </c>
      <c r="E6944" s="66" t="str">
        <f>IF('Twenty-Eighth'!E197="", "",'Twenty-Eighth'!E197)</f>
        <v/>
      </c>
      <c r="F6944" s="66" t="str">
        <f>IF('Twenty-Eighth'!F197="", "",'Twenty-Eighth'!F197)</f>
        <v/>
      </c>
      <c r="G6944" s="66" t="str">
        <f>IF('Twenty-Eighth'!G197="", "",'Twenty-Eighth'!G197)</f>
        <v/>
      </c>
      <c r="H6944" s="66" t="str">
        <f>IF('Twenty-Eighth'!H197="", "",'Twenty-Eighth'!H197)</f>
        <v/>
      </c>
      <c r="I6944" s="66" t="str">
        <f>IF('Twenty-Eighth'!I197="", "",'Twenty-Eighth'!I197)</f>
        <v/>
      </c>
      <c r="J6944" s="66" t="str">
        <f>IF('Twenty-Eighth'!J197="", "",'Twenty-Eighth'!J197)</f>
        <v/>
      </c>
      <c r="K6944" s="86" t="str">
        <f>IF('Twenty-Eighth'!K197="", "",'Twenty-Eighth'!K197)</f>
        <v/>
      </c>
      <c r="M6944" s="67" t="str">
        <f t="shared" si="329"/>
        <v/>
      </c>
      <c r="N6944" s="76" t="str">
        <f t="shared" si="330"/>
        <v/>
      </c>
      <c r="O6944" s="33">
        <f t="shared" si="331"/>
        <v>0</v>
      </c>
    </row>
    <row r="6945" spans="1:15" x14ac:dyDescent="0.25">
      <c r="A6945" s="64" t="s">
        <v>195</v>
      </c>
      <c r="B6945" s="79" t="str">
        <f>IF('Twenty-Eighth'!B198="", "",'Twenty-Eighth'!B198)</f>
        <v/>
      </c>
      <c r="C6945" s="66" t="str">
        <f>IF('Twenty-Eighth'!C198="", "",'Twenty-Eighth'!C198)</f>
        <v/>
      </c>
      <c r="D6945" s="66" t="str">
        <f>IF('Twenty-Eighth'!D198="", "",'Twenty-Eighth'!D198)</f>
        <v/>
      </c>
      <c r="E6945" s="66" t="str">
        <f>IF('Twenty-Eighth'!E198="", "",'Twenty-Eighth'!E198)</f>
        <v/>
      </c>
      <c r="F6945" s="66" t="str">
        <f>IF('Twenty-Eighth'!F198="", "",'Twenty-Eighth'!F198)</f>
        <v/>
      </c>
      <c r="G6945" s="66" t="str">
        <f>IF('Twenty-Eighth'!G198="", "",'Twenty-Eighth'!G198)</f>
        <v/>
      </c>
      <c r="H6945" s="66" t="str">
        <f>IF('Twenty-Eighth'!H198="", "",'Twenty-Eighth'!H198)</f>
        <v/>
      </c>
      <c r="I6945" s="66" t="str">
        <f>IF('Twenty-Eighth'!I198="", "",'Twenty-Eighth'!I198)</f>
        <v/>
      </c>
      <c r="J6945" s="66" t="str">
        <f>IF('Twenty-Eighth'!J198="", "",'Twenty-Eighth'!J198)</f>
        <v/>
      </c>
      <c r="K6945" s="86" t="str">
        <f>IF('Twenty-Eighth'!K198="", "",'Twenty-Eighth'!K198)</f>
        <v/>
      </c>
      <c r="M6945" s="67" t="str">
        <f t="shared" si="329"/>
        <v/>
      </c>
      <c r="N6945" s="76" t="str">
        <f t="shared" si="330"/>
        <v/>
      </c>
      <c r="O6945" s="33">
        <f t="shared" si="331"/>
        <v>0</v>
      </c>
    </row>
    <row r="6946" spans="1:15" x14ac:dyDescent="0.25">
      <c r="A6946" s="64" t="s">
        <v>195</v>
      </c>
      <c r="B6946" s="79" t="str">
        <f>IF('Twenty-Eighth'!B199="", "",'Twenty-Eighth'!B199)</f>
        <v/>
      </c>
      <c r="C6946" s="66" t="str">
        <f>IF('Twenty-Eighth'!C199="", "",'Twenty-Eighth'!C199)</f>
        <v/>
      </c>
      <c r="D6946" s="66" t="str">
        <f>IF('Twenty-Eighth'!D199="", "",'Twenty-Eighth'!D199)</f>
        <v/>
      </c>
      <c r="E6946" s="66" t="str">
        <f>IF('Twenty-Eighth'!E199="", "",'Twenty-Eighth'!E199)</f>
        <v/>
      </c>
      <c r="F6946" s="66" t="str">
        <f>IF('Twenty-Eighth'!F199="", "",'Twenty-Eighth'!F199)</f>
        <v/>
      </c>
      <c r="G6946" s="66" t="str">
        <f>IF('Twenty-Eighth'!G199="", "",'Twenty-Eighth'!G199)</f>
        <v/>
      </c>
      <c r="H6946" s="66" t="str">
        <f>IF('Twenty-Eighth'!H199="", "",'Twenty-Eighth'!H199)</f>
        <v/>
      </c>
      <c r="I6946" s="66" t="str">
        <f>IF('Twenty-Eighth'!I199="", "",'Twenty-Eighth'!I199)</f>
        <v/>
      </c>
      <c r="J6946" s="66" t="str">
        <f>IF('Twenty-Eighth'!J199="", "",'Twenty-Eighth'!J199)</f>
        <v/>
      </c>
      <c r="K6946" s="86" t="str">
        <f>IF('Twenty-Eighth'!K199="", "",'Twenty-Eighth'!K199)</f>
        <v/>
      </c>
      <c r="M6946" s="67" t="str">
        <f t="shared" si="329"/>
        <v/>
      </c>
      <c r="N6946" s="76" t="str">
        <f t="shared" si="330"/>
        <v/>
      </c>
      <c r="O6946" s="33">
        <f t="shared" si="331"/>
        <v>0</v>
      </c>
    </row>
    <row r="6947" spans="1:15" x14ac:dyDescent="0.25">
      <c r="A6947" s="64" t="s">
        <v>195</v>
      </c>
      <c r="B6947" s="79" t="str">
        <f>IF('Twenty-Eighth'!B200="", "",'Twenty-Eighth'!B200)</f>
        <v/>
      </c>
      <c r="C6947" s="66" t="str">
        <f>IF('Twenty-Eighth'!C200="", "",'Twenty-Eighth'!C200)</f>
        <v/>
      </c>
      <c r="D6947" s="66" t="str">
        <f>IF('Twenty-Eighth'!D200="", "",'Twenty-Eighth'!D200)</f>
        <v/>
      </c>
      <c r="E6947" s="66" t="str">
        <f>IF('Twenty-Eighth'!E200="", "",'Twenty-Eighth'!E200)</f>
        <v/>
      </c>
      <c r="F6947" s="66" t="str">
        <f>IF('Twenty-Eighth'!F200="", "",'Twenty-Eighth'!F200)</f>
        <v/>
      </c>
      <c r="G6947" s="66" t="str">
        <f>IF('Twenty-Eighth'!G200="", "",'Twenty-Eighth'!G200)</f>
        <v/>
      </c>
      <c r="H6947" s="66" t="str">
        <f>IF('Twenty-Eighth'!H200="", "",'Twenty-Eighth'!H200)</f>
        <v/>
      </c>
      <c r="I6947" s="66" t="str">
        <f>IF('Twenty-Eighth'!I200="", "",'Twenty-Eighth'!I200)</f>
        <v/>
      </c>
      <c r="J6947" s="66" t="str">
        <f>IF('Twenty-Eighth'!J200="", "",'Twenty-Eighth'!J200)</f>
        <v/>
      </c>
      <c r="K6947" s="86" t="str">
        <f>IF('Twenty-Eighth'!K200="", "",'Twenty-Eighth'!K200)</f>
        <v/>
      </c>
      <c r="M6947" s="67" t="str">
        <f t="shared" si="329"/>
        <v/>
      </c>
      <c r="N6947" s="76" t="str">
        <f t="shared" si="330"/>
        <v/>
      </c>
      <c r="O6947" s="33">
        <f t="shared" si="331"/>
        <v>0</v>
      </c>
    </row>
    <row r="6948" spans="1:15" x14ac:dyDescent="0.25">
      <c r="A6948" s="64" t="s">
        <v>195</v>
      </c>
      <c r="B6948" s="79" t="str">
        <f>IF('Twenty-Eighth'!B201="", "",'Twenty-Eighth'!B201)</f>
        <v/>
      </c>
      <c r="C6948" s="66" t="str">
        <f>IF('Twenty-Eighth'!C201="", "",'Twenty-Eighth'!C201)</f>
        <v/>
      </c>
      <c r="D6948" s="66" t="str">
        <f>IF('Twenty-Eighth'!D201="", "",'Twenty-Eighth'!D201)</f>
        <v/>
      </c>
      <c r="E6948" s="66" t="str">
        <f>IF('Twenty-Eighth'!E201="", "",'Twenty-Eighth'!E201)</f>
        <v/>
      </c>
      <c r="F6948" s="66" t="str">
        <f>IF('Twenty-Eighth'!F201="", "",'Twenty-Eighth'!F201)</f>
        <v/>
      </c>
      <c r="G6948" s="66" t="str">
        <f>IF('Twenty-Eighth'!G201="", "",'Twenty-Eighth'!G201)</f>
        <v/>
      </c>
      <c r="H6948" s="66" t="str">
        <f>IF('Twenty-Eighth'!H201="", "",'Twenty-Eighth'!H201)</f>
        <v/>
      </c>
      <c r="I6948" s="66" t="str">
        <f>IF('Twenty-Eighth'!I201="", "",'Twenty-Eighth'!I201)</f>
        <v/>
      </c>
      <c r="J6948" s="66" t="str">
        <f>IF('Twenty-Eighth'!J201="", "",'Twenty-Eighth'!J201)</f>
        <v/>
      </c>
      <c r="K6948" s="86" t="str">
        <f>IF('Twenty-Eighth'!K201="", "",'Twenty-Eighth'!K201)</f>
        <v/>
      </c>
      <c r="M6948" s="67" t="str">
        <f t="shared" si="329"/>
        <v/>
      </c>
      <c r="N6948" s="76" t="str">
        <f t="shared" si="330"/>
        <v/>
      </c>
      <c r="O6948" s="33">
        <f t="shared" si="331"/>
        <v>0</v>
      </c>
    </row>
    <row r="6949" spans="1:15" x14ac:dyDescent="0.25">
      <c r="A6949" s="64" t="s">
        <v>195</v>
      </c>
      <c r="B6949" s="79" t="str">
        <f>IF('Twenty-Eighth'!B202="", "",'Twenty-Eighth'!B202)</f>
        <v/>
      </c>
      <c r="C6949" s="66" t="str">
        <f>IF('Twenty-Eighth'!C202="", "",'Twenty-Eighth'!C202)</f>
        <v/>
      </c>
      <c r="D6949" s="66" t="str">
        <f>IF('Twenty-Eighth'!D202="", "",'Twenty-Eighth'!D202)</f>
        <v/>
      </c>
      <c r="E6949" s="66" t="str">
        <f>IF('Twenty-Eighth'!E202="", "",'Twenty-Eighth'!E202)</f>
        <v/>
      </c>
      <c r="F6949" s="66" t="str">
        <f>IF('Twenty-Eighth'!F202="", "",'Twenty-Eighth'!F202)</f>
        <v/>
      </c>
      <c r="G6949" s="66" t="str">
        <f>IF('Twenty-Eighth'!G202="", "",'Twenty-Eighth'!G202)</f>
        <v/>
      </c>
      <c r="H6949" s="66" t="str">
        <f>IF('Twenty-Eighth'!H202="", "",'Twenty-Eighth'!H202)</f>
        <v/>
      </c>
      <c r="I6949" s="66" t="str">
        <f>IF('Twenty-Eighth'!I202="", "",'Twenty-Eighth'!I202)</f>
        <v/>
      </c>
      <c r="J6949" s="66" t="str">
        <f>IF('Twenty-Eighth'!J202="", "",'Twenty-Eighth'!J202)</f>
        <v/>
      </c>
      <c r="K6949" s="86" t="str">
        <f>IF('Twenty-Eighth'!K202="", "",'Twenty-Eighth'!K202)</f>
        <v/>
      </c>
      <c r="M6949" s="67" t="str">
        <f t="shared" si="329"/>
        <v/>
      </c>
      <c r="N6949" s="76" t="str">
        <f t="shared" si="330"/>
        <v/>
      </c>
      <c r="O6949" s="33">
        <f t="shared" si="331"/>
        <v>0</v>
      </c>
    </row>
    <row r="6950" spans="1:15" x14ac:dyDescent="0.25">
      <c r="A6950" s="64" t="s">
        <v>195</v>
      </c>
      <c r="B6950" s="79" t="str">
        <f>IF('Twenty-Eighth'!B203="", "",'Twenty-Eighth'!B203)</f>
        <v/>
      </c>
      <c r="C6950" s="66" t="str">
        <f>IF('Twenty-Eighth'!C203="", "",'Twenty-Eighth'!C203)</f>
        <v/>
      </c>
      <c r="D6950" s="66" t="str">
        <f>IF('Twenty-Eighth'!D203="", "",'Twenty-Eighth'!D203)</f>
        <v/>
      </c>
      <c r="E6950" s="66" t="str">
        <f>IF('Twenty-Eighth'!E203="", "",'Twenty-Eighth'!E203)</f>
        <v/>
      </c>
      <c r="F6950" s="66" t="str">
        <f>IF('Twenty-Eighth'!F203="", "",'Twenty-Eighth'!F203)</f>
        <v/>
      </c>
      <c r="G6950" s="66" t="str">
        <f>IF('Twenty-Eighth'!G203="", "",'Twenty-Eighth'!G203)</f>
        <v/>
      </c>
      <c r="H6950" s="66" t="str">
        <f>IF('Twenty-Eighth'!H203="", "",'Twenty-Eighth'!H203)</f>
        <v/>
      </c>
      <c r="I6950" s="66" t="str">
        <f>IF('Twenty-Eighth'!I203="", "",'Twenty-Eighth'!I203)</f>
        <v/>
      </c>
      <c r="J6950" s="66" t="str">
        <f>IF('Twenty-Eighth'!J203="", "",'Twenty-Eighth'!J203)</f>
        <v/>
      </c>
      <c r="K6950" s="86" t="str">
        <f>IF('Twenty-Eighth'!K203="", "",'Twenty-Eighth'!K203)</f>
        <v/>
      </c>
      <c r="M6950" s="67" t="str">
        <f t="shared" si="329"/>
        <v/>
      </c>
      <c r="N6950" s="76" t="str">
        <f t="shared" si="330"/>
        <v/>
      </c>
      <c r="O6950" s="33">
        <f t="shared" si="331"/>
        <v>0</v>
      </c>
    </row>
    <row r="6951" spans="1:15" x14ac:dyDescent="0.25">
      <c r="A6951" s="64" t="s">
        <v>195</v>
      </c>
      <c r="B6951" s="79" t="str">
        <f>IF('Twenty-Eighth'!B204="", "",'Twenty-Eighth'!B204)</f>
        <v/>
      </c>
      <c r="C6951" s="66" t="str">
        <f>IF('Twenty-Eighth'!C204="", "",'Twenty-Eighth'!C204)</f>
        <v/>
      </c>
      <c r="D6951" s="66" t="str">
        <f>IF('Twenty-Eighth'!D204="", "",'Twenty-Eighth'!D204)</f>
        <v/>
      </c>
      <c r="E6951" s="66" t="str">
        <f>IF('Twenty-Eighth'!E204="", "",'Twenty-Eighth'!E204)</f>
        <v/>
      </c>
      <c r="F6951" s="66" t="str">
        <f>IF('Twenty-Eighth'!F204="", "",'Twenty-Eighth'!F204)</f>
        <v/>
      </c>
      <c r="G6951" s="66" t="str">
        <f>IF('Twenty-Eighth'!G204="", "",'Twenty-Eighth'!G204)</f>
        <v/>
      </c>
      <c r="H6951" s="66" t="str">
        <f>IF('Twenty-Eighth'!H204="", "",'Twenty-Eighth'!H204)</f>
        <v/>
      </c>
      <c r="I6951" s="66" t="str">
        <f>IF('Twenty-Eighth'!I204="", "",'Twenty-Eighth'!I204)</f>
        <v/>
      </c>
      <c r="J6951" s="66" t="str">
        <f>IF('Twenty-Eighth'!J204="", "",'Twenty-Eighth'!J204)</f>
        <v/>
      </c>
      <c r="K6951" s="86" t="str">
        <f>IF('Twenty-Eighth'!K204="", "",'Twenty-Eighth'!K204)</f>
        <v/>
      </c>
      <c r="M6951" s="67" t="str">
        <f t="shared" si="329"/>
        <v/>
      </c>
      <c r="N6951" s="76" t="str">
        <f t="shared" si="330"/>
        <v/>
      </c>
      <c r="O6951" s="33">
        <f t="shared" si="331"/>
        <v>0</v>
      </c>
    </row>
    <row r="6952" spans="1:15" x14ac:dyDescent="0.25">
      <c r="A6952" s="64" t="s">
        <v>195</v>
      </c>
      <c r="B6952" s="79" t="str">
        <f>IF('Twenty-Eighth'!B205="", "",'Twenty-Eighth'!B205)</f>
        <v/>
      </c>
      <c r="C6952" s="66" t="str">
        <f>IF('Twenty-Eighth'!C205="", "",'Twenty-Eighth'!C205)</f>
        <v/>
      </c>
      <c r="D6952" s="66" t="str">
        <f>IF('Twenty-Eighth'!D205="", "",'Twenty-Eighth'!D205)</f>
        <v/>
      </c>
      <c r="E6952" s="66" t="str">
        <f>IF('Twenty-Eighth'!E205="", "",'Twenty-Eighth'!E205)</f>
        <v/>
      </c>
      <c r="F6952" s="66" t="str">
        <f>IF('Twenty-Eighth'!F205="", "",'Twenty-Eighth'!F205)</f>
        <v/>
      </c>
      <c r="G6952" s="66" t="str">
        <f>IF('Twenty-Eighth'!G205="", "",'Twenty-Eighth'!G205)</f>
        <v/>
      </c>
      <c r="H6952" s="66" t="str">
        <f>IF('Twenty-Eighth'!H205="", "",'Twenty-Eighth'!H205)</f>
        <v/>
      </c>
      <c r="I6952" s="66" t="str">
        <f>IF('Twenty-Eighth'!I205="", "",'Twenty-Eighth'!I205)</f>
        <v/>
      </c>
      <c r="J6952" s="66" t="str">
        <f>IF('Twenty-Eighth'!J205="", "",'Twenty-Eighth'!J205)</f>
        <v/>
      </c>
      <c r="K6952" s="86" t="str">
        <f>IF('Twenty-Eighth'!K205="", "",'Twenty-Eighth'!K205)</f>
        <v/>
      </c>
      <c r="M6952" s="67" t="str">
        <f t="shared" si="329"/>
        <v/>
      </c>
      <c r="N6952" s="76" t="str">
        <f t="shared" si="330"/>
        <v/>
      </c>
      <c r="O6952" s="33">
        <f t="shared" si="331"/>
        <v>0</v>
      </c>
    </row>
    <row r="6953" spans="1:15" x14ac:dyDescent="0.25">
      <c r="A6953" s="64" t="s">
        <v>195</v>
      </c>
      <c r="B6953" s="79" t="str">
        <f>IF('Twenty-Eighth'!B206="", "",'Twenty-Eighth'!B206)</f>
        <v/>
      </c>
      <c r="C6953" s="66" t="str">
        <f>IF('Twenty-Eighth'!C206="", "",'Twenty-Eighth'!C206)</f>
        <v/>
      </c>
      <c r="D6953" s="66" t="str">
        <f>IF('Twenty-Eighth'!D206="", "",'Twenty-Eighth'!D206)</f>
        <v/>
      </c>
      <c r="E6953" s="66" t="str">
        <f>IF('Twenty-Eighth'!E206="", "",'Twenty-Eighth'!E206)</f>
        <v/>
      </c>
      <c r="F6953" s="66" t="str">
        <f>IF('Twenty-Eighth'!F206="", "",'Twenty-Eighth'!F206)</f>
        <v/>
      </c>
      <c r="G6953" s="66" t="str">
        <f>IF('Twenty-Eighth'!G206="", "",'Twenty-Eighth'!G206)</f>
        <v/>
      </c>
      <c r="H6953" s="66" t="str">
        <f>IF('Twenty-Eighth'!H206="", "",'Twenty-Eighth'!H206)</f>
        <v/>
      </c>
      <c r="I6953" s="66" t="str">
        <f>IF('Twenty-Eighth'!I206="", "",'Twenty-Eighth'!I206)</f>
        <v/>
      </c>
      <c r="J6953" s="66" t="str">
        <f>IF('Twenty-Eighth'!J206="", "",'Twenty-Eighth'!J206)</f>
        <v/>
      </c>
      <c r="K6953" s="86" t="str">
        <f>IF('Twenty-Eighth'!K206="", "",'Twenty-Eighth'!K206)</f>
        <v/>
      </c>
      <c r="M6953" s="67" t="str">
        <f t="shared" si="329"/>
        <v/>
      </c>
      <c r="N6953" s="76" t="str">
        <f t="shared" si="330"/>
        <v/>
      </c>
      <c r="O6953" s="33">
        <f t="shared" si="331"/>
        <v>0</v>
      </c>
    </row>
    <row r="6954" spans="1:15" x14ac:dyDescent="0.25">
      <c r="A6954" s="64" t="s">
        <v>195</v>
      </c>
      <c r="B6954" s="79" t="str">
        <f>IF('Twenty-Eighth'!B207="", "",'Twenty-Eighth'!B207)</f>
        <v/>
      </c>
      <c r="C6954" s="66" t="str">
        <f>IF('Twenty-Eighth'!C207="", "",'Twenty-Eighth'!C207)</f>
        <v/>
      </c>
      <c r="D6954" s="66" t="str">
        <f>IF('Twenty-Eighth'!D207="", "",'Twenty-Eighth'!D207)</f>
        <v/>
      </c>
      <c r="E6954" s="66" t="str">
        <f>IF('Twenty-Eighth'!E207="", "",'Twenty-Eighth'!E207)</f>
        <v/>
      </c>
      <c r="F6954" s="66" t="str">
        <f>IF('Twenty-Eighth'!F207="", "",'Twenty-Eighth'!F207)</f>
        <v/>
      </c>
      <c r="G6954" s="66" t="str">
        <f>IF('Twenty-Eighth'!G207="", "",'Twenty-Eighth'!G207)</f>
        <v/>
      </c>
      <c r="H6954" s="66" t="str">
        <f>IF('Twenty-Eighth'!H207="", "",'Twenty-Eighth'!H207)</f>
        <v/>
      </c>
      <c r="I6954" s="66" t="str">
        <f>IF('Twenty-Eighth'!I207="", "",'Twenty-Eighth'!I207)</f>
        <v/>
      </c>
      <c r="J6954" s="66" t="str">
        <f>IF('Twenty-Eighth'!J207="", "",'Twenty-Eighth'!J207)</f>
        <v/>
      </c>
      <c r="K6954" s="86" t="str">
        <f>IF('Twenty-Eighth'!K207="", "",'Twenty-Eighth'!K207)</f>
        <v/>
      </c>
      <c r="M6954" s="67" t="str">
        <f t="shared" si="329"/>
        <v/>
      </c>
      <c r="N6954" s="76" t="str">
        <f t="shared" si="330"/>
        <v/>
      </c>
      <c r="O6954" s="33">
        <f t="shared" si="331"/>
        <v>0</v>
      </c>
    </row>
    <row r="6955" spans="1:15" x14ac:dyDescent="0.25">
      <c r="A6955" s="64" t="s">
        <v>195</v>
      </c>
      <c r="B6955" s="79" t="str">
        <f>IF('Twenty-Eighth'!B208="", "",'Twenty-Eighth'!B208)</f>
        <v/>
      </c>
      <c r="C6955" s="66" t="str">
        <f>IF('Twenty-Eighth'!C208="", "",'Twenty-Eighth'!C208)</f>
        <v/>
      </c>
      <c r="D6955" s="66" t="str">
        <f>IF('Twenty-Eighth'!D208="", "",'Twenty-Eighth'!D208)</f>
        <v/>
      </c>
      <c r="E6955" s="66" t="str">
        <f>IF('Twenty-Eighth'!E208="", "",'Twenty-Eighth'!E208)</f>
        <v/>
      </c>
      <c r="F6955" s="66" t="str">
        <f>IF('Twenty-Eighth'!F208="", "",'Twenty-Eighth'!F208)</f>
        <v/>
      </c>
      <c r="G6955" s="66" t="str">
        <f>IF('Twenty-Eighth'!G208="", "",'Twenty-Eighth'!G208)</f>
        <v/>
      </c>
      <c r="H6955" s="66" t="str">
        <f>IF('Twenty-Eighth'!H208="", "",'Twenty-Eighth'!H208)</f>
        <v/>
      </c>
      <c r="I6955" s="66" t="str">
        <f>IF('Twenty-Eighth'!I208="", "",'Twenty-Eighth'!I208)</f>
        <v/>
      </c>
      <c r="J6955" s="66" t="str">
        <f>IF('Twenty-Eighth'!J208="", "",'Twenty-Eighth'!J208)</f>
        <v/>
      </c>
      <c r="K6955" s="86" t="str">
        <f>IF('Twenty-Eighth'!K208="", "",'Twenty-Eighth'!K208)</f>
        <v/>
      </c>
      <c r="M6955" s="67" t="str">
        <f t="shared" si="329"/>
        <v/>
      </c>
      <c r="N6955" s="76" t="str">
        <f t="shared" si="330"/>
        <v/>
      </c>
      <c r="O6955" s="33">
        <f t="shared" si="331"/>
        <v>0</v>
      </c>
    </row>
    <row r="6956" spans="1:15" x14ac:dyDescent="0.25">
      <c r="A6956" s="64" t="s">
        <v>195</v>
      </c>
      <c r="B6956" s="79" t="str">
        <f>IF('Twenty-Eighth'!B209="", "",'Twenty-Eighth'!B209)</f>
        <v/>
      </c>
      <c r="C6956" s="66" t="str">
        <f>IF('Twenty-Eighth'!C209="", "",'Twenty-Eighth'!C209)</f>
        <v/>
      </c>
      <c r="D6956" s="66" t="str">
        <f>IF('Twenty-Eighth'!D209="", "",'Twenty-Eighth'!D209)</f>
        <v/>
      </c>
      <c r="E6956" s="66" t="str">
        <f>IF('Twenty-Eighth'!E209="", "",'Twenty-Eighth'!E209)</f>
        <v/>
      </c>
      <c r="F6956" s="66" t="str">
        <f>IF('Twenty-Eighth'!F209="", "",'Twenty-Eighth'!F209)</f>
        <v/>
      </c>
      <c r="G6956" s="66" t="str">
        <f>IF('Twenty-Eighth'!G209="", "",'Twenty-Eighth'!G209)</f>
        <v/>
      </c>
      <c r="H6956" s="66" t="str">
        <f>IF('Twenty-Eighth'!H209="", "",'Twenty-Eighth'!H209)</f>
        <v/>
      </c>
      <c r="I6956" s="66" t="str">
        <f>IF('Twenty-Eighth'!I209="", "",'Twenty-Eighth'!I209)</f>
        <v/>
      </c>
      <c r="J6956" s="66" t="str">
        <f>IF('Twenty-Eighth'!J209="", "",'Twenty-Eighth'!J209)</f>
        <v/>
      </c>
      <c r="K6956" s="86" t="str">
        <f>IF('Twenty-Eighth'!K209="", "",'Twenty-Eighth'!K209)</f>
        <v/>
      </c>
      <c r="M6956" s="67" t="str">
        <f t="shared" si="329"/>
        <v/>
      </c>
      <c r="N6956" s="76" t="str">
        <f t="shared" si="330"/>
        <v/>
      </c>
      <c r="O6956" s="33">
        <f t="shared" si="331"/>
        <v>0</v>
      </c>
    </row>
    <row r="6957" spans="1:15" x14ac:dyDescent="0.25">
      <c r="A6957" s="64" t="s">
        <v>195</v>
      </c>
      <c r="B6957" s="79" t="str">
        <f>IF('Twenty-Eighth'!B210="", "",'Twenty-Eighth'!B210)</f>
        <v/>
      </c>
      <c r="C6957" s="66" t="str">
        <f>IF('Twenty-Eighth'!C210="", "",'Twenty-Eighth'!C210)</f>
        <v/>
      </c>
      <c r="D6957" s="66" t="str">
        <f>IF('Twenty-Eighth'!D210="", "",'Twenty-Eighth'!D210)</f>
        <v/>
      </c>
      <c r="E6957" s="66" t="str">
        <f>IF('Twenty-Eighth'!E210="", "",'Twenty-Eighth'!E210)</f>
        <v/>
      </c>
      <c r="F6957" s="66" t="str">
        <f>IF('Twenty-Eighth'!F210="", "",'Twenty-Eighth'!F210)</f>
        <v/>
      </c>
      <c r="G6957" s="66" t="str">
        <f>IF('Twenty-Eighth'!G210="", "",'Twenty-Eighth'!G210)</f>
        <v/>
      </c>
      <c r="H6957" s="66" t="str">
        <f>IF('Twenty-Eighth'!H210="", "",'Twenty-Eighth'!H210)</f>
        <v/>
      </c>
      <c r="I6957" s="66" t="str">
        <f>IF('Twenty-Eighth'!I210="", "",'Twenty-Eighth'!I210)</f>
        <v/>
      </c>
      <c r="J6957" s="66" t="str">
        <f>IF('Twenty-Eighth'!J210="", "",'Twenty-Eighth'!J210)</f>
        <v/>
      </c>
      <c r="K6957" s="86" t="str">
        <f>IF('Twenty-Eighth'!K210="", "",'Twenty-Eighth'!K210)</f>
        <v/>
      </c>
      <c r="M6957" s="67" t="str">
        <f t="shared" si="329"/>
        <v/>
      </c>
      <c r="N6957" s="76" t="str">
        <f t="shared" si="330"/>
        <v/>
      </c>
      <c r="O6957" s="33">
        <f t="shared" si="331"/>
        <v>0</v>
      </c>
    </row>
    <row r="6958" spans="1:15" x14ac:dyDescent="0.25">
      <c r="A6958" s="64" t="s">
        <v>195</v>
      </c>
      <c r="B6958" s="79" t="str">
        <f>IF('Twenty-Eighth'!B211="", "",'Twenty-Eighth'!B211)</f>
        <v/>
      </c>
      <c r="C6958" s="66" t="str">
        <f>IF('Twenty-Eighth'!C211="", "",'Twenty-Eighth'!C211)</f>
        <v/>
      </c>
      <c r="D6958" s="66" t="str">
        <f>IF('Twenty-Eighth'!D211="", "",'Twenty-Eighth'!D211)</f>
        <v/>
      </c>
      <c r="E6958" s="66" t="str">
        <f>IF('Twenty-Eighth'!E211="", "",'Twenty-Eighth'!E211)</f>
        <v/>
      </c>
      <c r="F6958" s="66" t="str">
        <f>IF('Twenty-Eighth'!F211="", "",'Twenty-Eighth'!F211)</f>
        <v/>
      </c>
      <c r="G6958" s="66" t="str">
        <f>IF('Twenty-Eighth'!G211="", "",'Twenty-Eighth'!G211)</f>
        <v/>
      </c>
      <c r="H6958" s="66" t="str">
        <f>IF('Twenty-Eighth'!H211="", "",'Twenty-Eighth'!H211)</f>
        <v/>
      </c>
      <c r="I6958" s="66" t="str">
        <f>IF('Twenty-Eighth'!I211="", "",'Twenty-Eighth'!I211)</f>
        <v/>
      </c>
      <c r="J6958" s="66" t="str">
        <f>IF('Twenty-Eighth'!J211="", "",'Twenty-Eighth'!J211)</f>
        <v/>
      </c>
      <c r="K6958" s="86" t="str">
        <f>IF('Twenty-Eighth'!K211="", "",'Twenty-Eighth'!K211)</f>
        <v/>
      </c>
      <c r="M6958" s="67" t="str">
        <f t="shared" si="329"/>
        <v/>
      </c>
      <c r="N6958" s="76" t="str">
        <f t="shared" si="330"/>
        <v/>
      </c>
      <c r="O6958" s="33">
        <f t="shared" si="331"/>
        <v>0</v>
      </c>
    </row>
    <row r="6959" spans="1:15" x14ac:dyDescent="0.25">
      <c r="A6959" s="64" t="s">
        <v>195</v>
      </c>
      <c r="B6959" s="79" t="str">
        <f>IF('Twenty-Eighth'!B212="", "",'Twenty-Eighth'!B212)</f>
        <v/>
      </c>
      <c r="C6959" s="66" t="str">
        <f>IF('Twenty-Eighth'!C212="", "",'Twenty-Eighth'!C212)</f>
        <v/>
      </c>
      <c r="D6959" s="66" t="str">
        <f>IF('Twenty-Eighth'!D212="", "",'Twenty-Eighth'!D212)</f>
        <v/>
      </c>
      <c r="E6959" s="66" t="str">
        <f>IF('Twenty-Eighth'!E212="", "",'Twenty-Eighth'!E212)</f>
        <v/>
      </c>
      <c r="F6959" s="66" t="str">
        <f>IF('Twenty-Eighth'!F212="", "",'Twenty-Eighth'!F212)</f>
        <v/>
      </c>
      <c r="G6959" s="66" t="str">
        <f>IF('Twenty-Eighth'!G212="", "",'Twenty-Eighth'!G212)</f>
        <v/>
      </c>
      <c r="H6959" s="66" t="str">
        <f>IF('Twenty-Eighth'!H212="", "",'Twenty-Eighth'!H212)</f>
        <v/>
      </c>
      <c r="I6959" s="66" t="str">
        <f>IF('Twenty-Eighth'!I212="", "",'Twenty-Eighth'!I212)</f>
        <v/>
      </c>
      <c r="J6959" s="66" t="str">
        <f>IF('Twenty-Eighth'!J212="", "",'Twenty-Eighth'!J212)</f>
        <v/>
      </c>
      <c r="K6959" s="86" t="str">
        <f>IF('Twenty-Eighth'!K212="", "",'Twenty-Eighth'!K212)</f>
        <v/>
      </c>
      <c r="M6959" s="67" t="str">
        <f t="shared" si="329"/>
        <v/>
      </c>
      <c r="N6959" s="76" t="str">
        <f t="shared" si="330"/>
        <v/>
      </c>
      <c r="O6959" s="33">
        <f t="shared" si="331"/>
        <v>0</v>
      </c>
    </row>
    <row r="6960" spans="1:15" x14ac:dyDescent="0.25">
      <c r="A6960" s="64" t="s">
        <v>195</v>
      </c>
      <c r="B6960" s="79" t="str">
        <f>IF('Twenty-Eighth'!B213="", "",'Twenty-Eighth'!B213)</f>
        <v/>
      </c>
      <c r="C6960" s="66" t="str">
        <f>IF('Twenty-Eighth'!C213="", "",'Twenty-Eighth'!C213)</f>
        <v/>
      </c>
      <c r="D6960" s="66" t="str">
        <f>IF('Twenty-Eighth'!D213="", "",'Twenty-Eighth'!D213)</f>
        <v/>
      </c>
      <c r="E6960" s="66" t="str">
        <f>IF('Twenty-Eighth'!E213="", "",'Twenty-Eighth'!E213)</f>
        <v/>
      </c>
      <c r="F6960" s="66" t="str">
        <f>IF('Twenty-Eighth'!F213="", "",'Twenty-Eighth'!F213)</f>
        <v/>
      </c>
      <c r="G6960" s="66" t="str">
        <f>IF('Twenty-Eighth'!G213="", "",'Twenty-Eighth'!G213)</f>
        <v/>
      </c>
      <c r="H6960" s="66" t="str">
        <f>IF('Twenty-Eighth'!H213="", "",'Twenty-Eighth'!H213)</f>
        <v/>
      </c>
      <c r="I6960" s="66" t="str">
        <f>IF('Twenty-Eighth'!I213="", "",'Twenty-Eighth'!I213)</f>
        <v/>
      </c>
      <c r="J6960" s="66" t="str">
        <f>IF('Twenty-Eighth'!J213="", "",'Twenty-Eighth'!J213)</f>
        <v/>
      </c>
      <c r="K6960" s="86" t="str">
        <f>IF('Twenty-Eighth'!K213="", "",'Twenty-Eighth'!K213)</f>
        <v/>
      </c>
      <c r="M6960" s="67" t="str">
        <f t="shared" si="329"/>
        <v/>
      </c>
      <c r="N6960" s="76" t="str">
        <f t="shared" si="330"/>
        <v/>
      </c>
      <c r="O6960" s="33">
        <f t="shared" si="331"/>
        <v>0</v>
      </c>
    </row>
    <row r="6961" spans="1:15" x14ac:dyDescent="0.25">
      <c r="A6961" s="64" t="s">
        <v>195</v>
      </c>
      <c r="B6961" s="79" t="str">
        <f>IF('Twenty-Eighth'!B214="", "",'Twenty-Eighth'!B214)</f>
        <v/>
      </c>
      <c r="C6961" s="66" t="str">
        <f>IF('Twenty-Eighth'!C214="", "",'Twenty-Eighth'!C214)</f>
        <v/>
      </c>
      <c r="D6961" s="66" t="str">
        <f>IF('Twenty-Eighth'!D214="", "",'Twenty-Eighth'!D214)</f>
        <v/>
      </c>
      <c r="E6961" s="66" t="str">
        <f>IF('Twenty-Eighth'!E214="", "",'Twenty-Eighth'!E214)</f>
        <v/>
      </c>
      <c r="F6961" s="66" t="str">
        <f>IF('Twenty-Eighth'!F214="", "",'Twenty-Eighth'!F214)</f>
        <v/>
      </c>
      <c r="G6961" s="66" t="str">
        <f>IF('Twenty-Eighth'!G214="", "",'Twenty-Eighth'!G214)</f>
        <v/>
      </c>
      <c r="H6961" s="66" t="str">
        <f>IF('Twenty-Eighth'!H214="", "",'Twenty-Eighth'!H214)</f>
        <v/>
      </c>
      <c r="I6961" s="66" t="str">
        <f>IF('Twenty-Eighth'!I214="", "",'Twenty-Eighth'!I214)</f>
        <v/>
      </c>
      <c r="J6961" s="66" t="str">
        <f>IF('Twenty-Eighth'!J214="", "",'Twenty-Eighth'!J214)</f>
        <v/>
      </c>
      <c r="K6961" s="86" t="str">
        <f>IF('Twenty-Eighth'!K214="", "",'Twenty-Eighth'!K214)</f>
        <v/>
      </c>
      <c r="M6961" s="67" t="str">
        <f t="shared" si="329"/>
        <v/>
      </c>
      <c r="N6961" s="76" t="str">
        <f t="shared" si="330"/>
        <v/>
      </c>
      <c r="O6961" s="33">
        <f t="shared" si="331"/>
        <v>0</v>
      </c>
    </row>
    <row r="6962" spans="1:15" x14ac:dyDescent="0.25">
      <c r="A6962" s="64" t="s">
        <v>195</v>
      </c>
      <c r="B6962" s="79" t="str">
        <f>IF('Twenty-Eighth'!B215="", "",'Twenty-Eighth'!B215)</f>
        <v/>
      </c>
      <c r="C6962" s="66" t="str">
        <f>IF('Twenty-Eighth'!C215="", "",'Twenty-Eighth'!C215)</f>
        <v/>
      </c>
      <c r="D6962" s="66" t="str">
        <f>IF('Twenty-Eighth'!D215="", "",'Twenty-Eighth'!D215)</f>
        <v/>
      </c>
      <c r="E6962" s="66" t="str">
        <f>IF('Twenty-Eighth'!E215="", "",'Twenty-Eighth'!E215)</f>
        <v/>
      </c>
      <c r="F6962" s="66" t="str">
        <f>IF('Twenty-Eighth'!F215="", "",'Twenty-Eighth'!F215)</f>
        <v/>
      </c>
      <c r="G6962" s="66" t="str">
        <f>IF('Twenty-Eighth'!G215="", "",'Twenty-Eighth'!G215)</f>
        <v/>
      </c>
      <c r="H6962" s="66" t="str">
        <f>IF('Twenty-Eighth'!H215="", "",'Twenty-Eighth'!H215)</f>
        <v/>
      </c>
      <c r="I6962" s="66" t="str">
        <f>IF('Twenty-Eighth'!I215="", "",'Twenty-Eighth'!I215)</f>
        <v/>
      </c>
      <c r="J6962" s="66" t="str">
        <f>IF('Twenty-Eighth'!J215="", "",'Twenty-Eighth'!J215)</f>
        <v/>
      </c>
      <c r="K6962" s="86" t="str">
        <f>IF('Twenty-Eighth'!K215="", "",'Twenty-Eighth'!K215)</f>
        <v/>
      </c>
      <c r="M6962" s="67" t="str">
        <f t="shared" si="329"/>
        <v/>
      </c>
      <c r="N6962" s="76" t="str">
        <f t="shared" si="330"/>
        <v/>
      </c>
      <c r="O6962" s="33">
        <f t="shared" si="331"/>
        <v>0</v>
      </c>
    </row>
    <row r="6963" spans="1:15" x14ac:dyDescent="0.25">
      <c r="A6963" s="64" t="s">
        <v>195</v>
      </c>
      <c r="B6963" s="79" t="str">
        <f>IF('Twenty-Eighth'!B216="", "",'Twenty-Eighth'!B216)</f>
        <v/>
      </c>
      <c r="C6963" s="66" t="str">
        <f>IF('Twenty-Eighth'!C216="", "",'Twenty-Eighth'!C216)</f>
        <v/>
      </c>
      <c r="D6963" s="66" t="str">
        <f>IF('Twenty-Eighth'!D216="", "",'Twenty-Eighth'!D216)</f>
        <v/>
      </c>
      <c r="E6963" s="66" t="str">
        <f>IF('Twenty-Eighth'!E216="", "",'Twenty-Eighth'!E216)</f>
        <v/>
      </c>
      <c r="F6963" s="66" t="str">
        <f>IF('Twenty-Eighth'!F216="", "",'Twenty-Eighth'!F216)</f>
        <v/>
      </c>
      <c r="G6963" s="66" t="str">
        <f>IF('Twenty-Eighth'!G216="", "",'Twenty-Eighth'!G216)</f>
        <v/>
      </c>
      <c r="H6963" s="66" t="str">
        <f>IF('Twenty-Eighth'!H216="", "",'Twenty-Eighth'!H216)</f>
        <v/>
      </c>
      <c r="I6963" s="66" t="str">
        <f>IF('Twenty-Eighth'!I216="", "",'Twenty-Eighth'!I216)</f>
        <v/>
      </c>
      <c r="J6963" s="66" t="str">
        <f>IF('Twenty-Eighth'!J216="", "",'Twenty-Eighth'!J216)</f>
        <v/>
      </c>
      <c r="K6963" s="86" t="str">
        <f>IF('Twenty-Eighth'!K216="", "",'Twenty-Eighth'!K216)</f>
        <v/>
      </c>
      <c r="M6963" s="67" t="str">
        <f t="shared" si="329"/>
        <v/>
      </c>
      <c r="N6963" s="76" t="str">
        <f t="shared" si="330"/>
        <v/>
      </c>
      <c r="O6963" s="33">
        <f t="shared" si="331"/>
        <v>0</v>
      </c>
    </row>
    <row r="6964" spans="1:15" x14ac:dyDescent="0.25">
      <c r="A6964" s="64" t="s">
        <v>195</v>
      </c>
      <c r="B6964" s="79" t="str">
        <f>IF('Twenty-Eighth'!B217="", "",'Twenty-Eighth'!B217)</f>
        <v/>
      </c>
      <c r="C6964" s="66" t="str">
        <f>IF('Twenty-Eighth'!C217="", "",'Twenty-Eighth'!C217)</f>
        <v/>
      </c>
      <c r="D6964" s="66" t="str">
        <f>IF('Twenty-Eighth'!D217="", "",'Twenty-Eighth'!D217)</f>
        <v/>
      </c>
      <c r="E6964" s="66" t="str">
        <f>IF('Twenty-Eighth'!E217="", "",'Twenty-Eighth'!E217)</f>
        <v/>
      </c>
      <c r="F6964" s="66" t="str">
        <f>IF('Twenty-Eighth'!F217="", "",'Twenty-Eighth'!F217)</f>
        <v/>
      </c>
      <c r="G6964" s="66" t="str">
        <f>IF('Twenty-Eighth'!G217="", "",'Twenty-Eighth'!G217)</f>
        <v/>
      </c>
      <c r="H6964" s="66" t="str">
        <f>IF('Twenty-Eighth'!H217="", "",'Twenty-Eighth'!H217)</f>
        <v/>
      </c>
      <c r="I6964" s="66" t="str">
        <f>IF('Twenty-Eighth'!I217="", "",'Twenty-Eighth'!I217)</f>
        <v/>
      </c>
      <c r="J6964" s="66" t="str">
        <f>IF('Twenty-Eighth'!J217="", "",'Twenty-Eighth'!J217)</f>
        <v/>
      </c>
      <c r="K6964" s="86" t="str">
        <f>IF('Twenty-Eighth'!K217="", "",'Twenty-Eighth'!K217)</f>
        <v/>
      </c>
      <c r="M6964" s="67" t="str">
        <f t="shared" si="329"/>
        <v/>
      </c>
      <c r="N6964" s="76" t="str">
        <f t="shared" si="330"/>
        <v/>
      </c>
      <c r="O6964" s="33">
        <f t="shared" si="331"/>
        <v>0</v>
      </c>
    </row>
    <row r="6965" spans="1:15" x14ac:dyDescent="0.25">
      <c r="A6965" s="64" t="s">
        <v>195</v>
      </c>
      <c r="B6965" s="79" t="str">
        <f>IF('Twenty-Eighth'!B218="", "",'Twenty-Eighth'!B218)</f>
        <v/>
      </c>
      <c r="C6965" s="66" t="str">
        <f>IF('Twenty-Eighth'!C218="", "",'Twenty-Eighth'!C218)</f>
        <v/>
      </c>
      <c r="D6965" s="66" t="str">
        <f>IF('Twenty-Eighth'!D218="", "",'Twenty-Eighth'!D218)</f>
        <v/>
      </c>
      <c r="E6965" s="66" t="str">
        <f>IF('Twenty-Eighth'!E218="", "",'Twenty-Eighth'!E218)</f>
        <v/>
      </c>
      <c r="F6965" s="66" t="str">
        <f>IF('Twenty-Eighth'!F218="", "",'Twenty-Eighth'!F218)</f>
        <v/>
      </c>
      <c r="G6965" s="66" t="str">
        <f>IF('Twenty-Eighth'!G218="", "",'Twenty-Eighth'!G218)</f>
        <v/>
      </c>
      <c r="H6965" s="66" t="str">
        <f>IF('Twenty-Eighth'!H218="", "",'Twenty-Eighth'!H218)</f>
        <v/>
      </c>
      <c r="I6965" s="66" t="str">
        <f>IF('Twenty-Eighth'!I218="", "",'Twenty-Eighth'!I218)</f>
        <v/>
      </c>
      <c r="J6965" s="66" t="str">
        <f>IF('Twenty-Eighth'!J218="", "",'Twenty-Eighth'!J218)</f>
        <v/>
      </c>
      <c r="K6965" s="86" t="str">
        <f>IF('Twenty-Eighth'!K218="", "",'Twenty-Eighth'!K218)</f>
        <v/>
      </c>
      <c r="M6965" s="67" t="str">
        <f t="shared" si="329"/>
        <v/>
      </c>
      <c r="N6965" s="76" t="str">
        <f t="shared" si="330"/>
        <v/>
      </c>
      <c r="O6965" s="33">
        <f t="shared" si="331"/>
        <v>0</v>
      </c>
    </row>
    <row r="6966" spans="1:15" x14ac:dyDescent="0.25">
      <c r="A6966" s="64" t="s">
        <v>195</v>
      </c>
      <c r="B6966" s="79" t="str">
        <f>IF('Twenty-Eighth'!B219="", "",'Twenty-Eighth'!B219)</f>
        <v/>
      </c>
      <c r="C6966" s="66" t="str">
        <f>IF('Twenty-Eighth'!C219="", "",'Twenty-Eighth'!C219)</f>
        <v/>
      </c>
      <c r="D6966" s="66" t="str">
        <f>IF('Twenty-Eighth'!D219="", "",'Twenty-Eighth'!D219)</f>
        <v/>
      </c>
      <c r="E6966" s="66" t="str">
        <f>IF('Twenty-Eighth'!E219="", "",'Twenty-Eighth'!E219)</f>
        <v/>
      </c>
      <c r="F6966" s="66" t="str">
        <f>IF('Twenty-Eighth'!F219="", "",'Twenty-Eighth'!F219)</f>
        <v/>
      </c>
      <c r="G6966" s="66" t="str">
        <f>IF('Twenty-Eighth'!G219="", "",'Twenty-Eighth'!G219)</f>
        <v/>
      </c>
      <c r="H6966" s="66" t="str">
        <f>IF('Twenty-Eighth'!H219="", "",'Twenty-Eighth'!H219)</f>
        <v/>
      </c>
      <c r="I6966" s="66" t="str">
        <f>IF('Twenty-Eighth'!I219="", "",'Twenty-Eighth'!I219)</f>
        <v/>
      </c>
      <c r="J6966" s="66" t="str">
        <f>IF('Twenty-Eighth'!J219="", "",'Twenty-Eighth'!J219)</f>
        <v/>
      </c>
      <c r="K6966" s="86" t="str">
        <f>IF('Twenty-Eighth'!K219="", "",'Twenty-Eighth'!K219)</f>
        <v/>
      </c>
      <c r="M6966" s="67" t="str">
        <f t="shared" si="329"/>
        <v/>
      </c>
      <c r="N6966" s="76" t="str">
        <f t="shared" si="330"/>
        <v/>
      </c>
      <c r="O6966" s="33">
        <f t="shared" si="331"/>
        <v>0</v>
      </c>
    </row>
    <row r="6967" spans="1:15" x14ac:dyDescent="0.25">
      <c r="A6967" s="64" t="s">
        <v>195</v>
      </c>
      <c r="B6967" s="79" t="str">
        <f>IF('Twenty-Eighth'!B220="", "",'Twenty-Eighth'!B220)</f>
        <v/>
      </c>
      <c r="C6967" s="66" t="str">
        <f>IF('Twenty-Eighth'!C220="", "",'Twenty-Eighth'!C220)</f>
        <v/>
      </c>
      <c r="D6967" s="66" t="str">
        <f>IF('Twenty-Eighth'!D220="", "",'Twenty-Eighth'!D220)</f>
        <v/>
      </c>
      <c r="E6967" s="66" t="str">
        <f>IF('Twenty-Eighth'!E220="", "",'Twenty-Eighth'!E220)</f>
        <v/>
      </c>
      <c r="F6967" s="66" t="str">
        <f>IF('Twenty-Eighth'!F220="", "",'Twenty-Eighth'!F220)</f>
        <v/>
      </c>
      <c r="G6967" s="66" t="str">
        <f>IF('Twenty-Eighth'!G220="", "",'Twenty-Eighth'!G220)</f>
        <v/>
      </c>
      <c r="H6967" s="66" t="str">
        <f>IF('Twenty-Eighth'!H220="", "",'Twenty-Eighth'!H220)</f>
        <v/>
      </c>
      <c r="I6967" s="66" t="str">
        <f>IF('Twenty-Eighth'!I220="", "",'Twenty-Eighth'!I220)</f>
        <v/>
      </c>
      <c r="J6967" s="66" t="str">
        <f>IF('Twenty-Eighth'!J220="", "",'Twenty-Eighth'!J220)</f>
        <v/>
      </c>
      <c r="K6967" s="86" t="str">
        <f>IF('Twenty-Eighth'!K220="", "",'Twenty-Eighth'!K220)</f>
        <v/>
      </c>
      <c r="M6967" s="67" t="str">
        <f t="shared" si="329"/>
        <v/>
      </c>
      <c r="N6967" s="76" t="str">
        <f t="shared" si="330"/>
        <v/>
      </c>
      <c r="O6967" s="33">
        <f t="shared" si="331"/>
        <v>0</v>
      </c>
    </row>
    <row r="6968" spans="1:15" x14ac:dyDescent="0.25">
      <c r="A6968" s="64" t="s">
        <v>195</v>
      </c>
      <c r="B6968" s="79" t="str">
        <f>IF('Twenty-Eighth'!B221="", "",'Twenty-Eighth'!B221)</f>
        <v/>
      </c>
      <c r="C6968" s="66" t="str">
        <f>IF('Twenty-Eighth'!C221="", "",'Twenty-Eighth'!C221)</f>
        <v/>
      </c>
      <c r="D6968" s="66" t="str">
        <f>IF('Twenty-Eighth'!D221="", "",'Twenty-Eighth'!D221)</f>
        <v/>
      </c>
      <c r="E6968" s="66" t="str">
        <f>IF('Twenty-Eighth'!E221="", "",'Twenty-Eighth'!E221)</f>
        <v/>
      </c>
      <c r="F6968" s="66" t="str">
        <f>IF('Twenty-Eighth'!F221="", "",'Twenty-Eighth'!F221)</f>
        <v/>
      </c>
      <c r="G6968" s="66" t="str">
        <f>IF('Twenty-Eighth'!G221="", "",'Twenty-Eighth'!G221)</f>
        <v/>
      </c>
      <c r="H6968" s="66" t="str">
        <f>IF('Twenty-Eighth'!H221="", "",'Twenty-Eighth'!H221)</f>
        <v/>
      </c>
      <c r="I6968" s="66" t="str">
        <f>IF('Twenty-Eighth'!I221="", "",'Twenty-Eighth'!I221)</f>
        <v/>
      </c>
      <c r="J6968" s="66" t="str">
        <f>IF('Twenty-Eighth'!J221="", "",'Twenty-Eighth'!J221)</f>
        <v/>
      </c>
      <c r="K6968" s="86" t="str">
        <f>IF('Twenty-Eighth'!K221="", "",'Twenty-Eighth'!K221)</f>
        <v/>
      </c>
      <c r="M6968" s="67" t="str">
        <f t="shared" si="329"/>
        <v/>
      </c>
      <c r="N6968" s="76" t="str">
        <f t="shared" si="330"/>
        <v/>
      </c>
      <c r="O6968" s="33">
        <f t="shared" si="331"/>
        <v>0</v>
      </c>
    </row>
    <row r="6969" spans="1:15" x14ac:dyDescent="0.25">
      <c r="A6969" s="64" t="s">
        <v>195</v>
      </c>
      <c r="B6969" s="79" t="str">
        <f>IF('Twenty-Eighth'!B222="", "",'Twenty-Eighth'!B222)</f>
        <v/>
      </c>
      <c r="C6969" s="66" t="str">
        <f>IF('Twenty-Eighth'!C222="", "",'Twenty-Eighth'!C222)</f>
        <v/>
      </c>
      <c r="D6969" s="66" t="str">
        <f>IF('Twenty-Eighth'!D222="", "",'Twenty-Eighth'!D222)</f>
        <v/>
      </c>
      <c r="E6969" s="66" t="str">
        <f>IF('Twenty-Eighth'!E222="", "",'Twenty-Eighth'!E222)</f>
        <v/>
      </c>
      <c r="F6969" s="66" t="str">
        <f>IF('Twenty-Eighth'!F222="", "",'Twenty-Eighth'!F222)</f>
        <v/>
      </c>
      <c r="G6969" s="66" t="str">
        <f>IF('Twenty-Eighth'!G222="", "",'Twenty-Eighth'!G222)</f>
        <v/>
      </c>
      <c r="H6969" s="66" t="str">
        <f>IF('Twenty-Eighth'!H222="", "",'Twenty-Eighth'!H222)</f>
        <v/>
      </c>
      <c r="I6969" s="66" t="str">
        <f>IF('Twenty-Eighth'!I222="", "",'Twenty-Eighth'!I222)</f>
        <v/>
      </c>
      <c r="J6969" s="66" t="str">
        <f>IF('Twenty-Eighth'!J222="", "",'Twenty-Eighth'!J222)</f>
        <v/>
      </c>
      <c r="K6969" s="86" t="str">
        <f>IF('Twenty-Eighth'!K222="", "",'Twenty-Eighth'!K222)</f>
        <v/>
      </c>
      <c r="M6969" s="67" t="str">
        <f t="shared" si="329"/>
        <v/>
      </c>
      <c r="N6969" s="76" t="str">
        <f t="shared" si="330"/>
        <v/>
      </c>
      <c r="O6969" s="33">
        <f t="shared" si="331"/>
        <v>0</v>
      </c>
    </row>
    <row r="6970" spans="1:15" x14ac:dyDescent="0.25">
      <c r="A6970" s="64" t="s">
        <v>195</v>
      </c>
      <c r="B6970" s="79" t="str">
        <f>IF('Twenty-Eighth'!B223="", "",'Twenty-Eighth'!B223)</f>
        <v/>
      </c>
      <c r="C6970" s="66" t="str">
        <f>IF('Twenty-Eighth'!C223="", "",'Twenty-Eighth'!C223)</f>
        <v/>
      </c>
      <c r="D6970" s="66" t="str">
        <f>IF('Twenty-Eighth'!D223="", "",'Twenty-Eighth'!D223)</f>
        <v/>
      </c>
      <c r="E6970" s="66" t="str">
        <f>IF('Twenty-Eighth'!E223="", "",'Twenty-Eighth'!E223)</f>
        <v/>
      </c>
      <c r="F6970" s="66" t="str">
        <f>IF('Twenty-Eighth'!F223="", "",'Twenty-Eighth'!F223)</f>
        <v/>
      </c>
      <c r="G6970" s="66" t="str">
        <f>IF('Twenty-Eighth'!G223="", "",'Twenty-Eighth'!G223)</f>
        <v/>
      </c>
      <c r="H6970" s="66" t="str">
        <f>IF('Twenty-Eighth'!H223="", "",'Twenty-Eighth'!H223)</f>
        <v/>
      </c>
      <c r="I6970" s="66" t="str">
        <f>IF('Twenty-Eighth'!I223="", "",'Twenty-Eighth'!I223)</f>
        <v/>
      </c>
      <c r="J6970" s="66" t="str">
        <f>IF('Twenty-Eighth'!J223="", "",'Twenty-Eighth'!J223)</f>
        <v/>
      </c>
      <c r="K6970" s="86" t="str">
        <f>IF('Twenty-Eighth'!K223="", "",'Twenty-Eighth'!K223)</f>
        <v/>
      </c>
      <c r="M6970" s="67" t="str">
        <f t="shared" si="329"/>
        <v/>
      </c>
      <c r="N6970" s="76" t="str">
        <f t="shared" si="330"/>
        <v/>
      </c>
      <c r="O6970" s="33">
        <f t="shared" si="331"/>
        <v>0</v>
      </c>
    </row>
    <row r="6971" spans="1:15" x14ac:dyDescent="0.25">
      <c r="A6971" s="64" t="s">
        <v>195</v>
      </c>
      <c r="B6971" s="79" t="str">
        <f>IF('Twenty-Eighth'!B224="", "",'Twenty-Eighth'!B224)</f>
        <v/>
      </c>
      <c r="C6971" s="66" t="str">
        <f>IF('Twenty-Eighth'!C224="", "",'Twenty-Eighth'!C224)</f>
        <v/>
      </c>
      <c r="D6971" s="66" t="str">
        <f>IF('Twenty-Eighth'!D224="", "",'Twenty-Eighth'!D224)</f>
        <v/>
      </c>
      <c r="E6971" s="66" t="str">
        <f>IF('Twenty-Eighth'!E224="", "",'Twenty-Eighth'!E224)</f>
        <v/>
      </c>
      <c r="F6971" s="66" t="str">
        <f>IF('Twenty-Eighth'!F224="", "",'Twenty-Eighth'!F224)</f>
        <v/>
      </c>
      <c r="G6971" s="66" t="str">
        <f>IF('Twenty-Eighth'!G224="", "",'Twenty-Eighth'!G224)</f>
        <v/>
      </c>
      <c r="H6971" s="66" t="str">
        <f>IF('Twenty-Eighth'!H224="", "",'Twenty-Eighth'!H224)</f>
        <v/>
      </c>
      <c r="I6971" s="66" t="str">
        <f>IF('Twenty-Eighth'!I224="", "",'Twenty-Eighth'!I224)</f>
        <v/>
      </c>
      <c r="J6971" s="66" t="str">
        <f>IF('Twenty-Eighth'!J224="", "",'Twenty-Eighth'!J224)</f>
        <v/>
      </c>
      <c r="K6971" s="86" t="str">
        <f>IF('Twenty-Eighth'!K224="", "",'Twenty-Eighth'!K224)</f>
        <v/>
      </c>
      <c r="M6971" s="67" t="str">
        <f t="shared" si="329"/>
        <v/>
      </c>
      <c r="N6971" s="76" t="str">
        <f t="shared" si="330"/>
        <v/>
      </c>
      <c r="O6971" s="33">
        <f t="shared" si="331"/>
        <v>0</v>
      </c>
    </row>
    <row r="6972" spans="1:15" x14ac:dyDescent="0.25">
      <c r="A6972" s="64" t="s">
        <v>195</v>
      </c>
      <c r="B6972" s="79" t="str">
        <f>IF('Twenty-Eighth'!B225="", "",'Twenty-Eighth'!B225)</f>
        <v/>
      </c>
      <c r="C6972" s="66" t="str">
        <f>IF('Twenty-Eighth'!C225="", "",'Twenty-Eighth'!C225)</f>
        <v/>
      </c>
      <c r="D6972" s="66" t="str">
        <f>IF('Twenty-Eighth'!D225="", "",'Twenty-Eighth'!D225)</f>
        <v/>
      </c>
      <c r="E6972" s="66" t="str">
        <f>IF('Twenty-Eighth'!E225="", "",'Twenty-Eighth'!E225)</f>
        <v/>
      </c>
      <c r="F6972" s="66" t="str">
        <f>IF('Twenty-Eighth'!F225="", "",'Twenty-Eighth'!F225)</f>
        <v/>
      </c>
      <c r="G6972" s="66" t="str">
        <f>IF('Twenty-Eighth'!G225="", "",'Twenty-Eighth'!G225)</f>
        <v/>
      </c>
      <c r="H6972" s="66" t="str">
        <f>IF('Twenty-Eighth'!H225="", "",'Twenty-Eighth'!H225)</f>
        <v/>
      </c>
      <c r="I6972" s="66" t="str">
        <f>IF('Twenty-Eighth'!I225="", "",'Twenty-Eighth'!I225)</f>
        <v/>
      </c>
      <c r="J6972" s="66" t="str">
        <f>IF('Twenty-Eighth'!J225="", "",'Twenty-Eighth'!J225)</f>
        <v/>
      </c>
      <c r="K6972" s="86" t="str">
        <f>IF('Twenty-Eighth'!K225="", "",'Twenty-Eighth'!K225)</f>
        <v/>
      </c>
      <c r="M6972" s="67" t="str">
        <f t="shared" si="329"/>
        <v/>
      </c>
      <c r="N6972" s="76" t="str">
        <f t="shared" si="330"/>
        <v/>
      </c>
      <c r="O6972" s="33">
        <f t="shared" si="331"/>
        <v>0</v>
      </c>
    </row>
    <row r="6973" spans="1:15" x14ac:dyDescent="0.25">
      <c r="A6973" s="64" t="s">
        <v>195</v>
      </c>
      <c r="B6973" s="79" t="str">
        <f>IF('Twenty-Eighth'!B226="", "",'Twenty-Eighth'!B226)</f>
        <v/>
      </c>
      <c r="C6973" s="66" t="str">
        <f>IF('Twenty-Eighth'!C226="", "",'Twenty-Eighth'!C226)</f>
        <v/>
      </c>
      <c r="D6973" s="66" t="str">
        <f>IF('Twenty-Eighth'!D226="", "",'Twenty-Eighth'!D226)</f>
        <v/>
      </c>
      <c r="E6973" s="66" t="str">
        <f>IF('Twenty-Eighth'!E226="", "",'Twenty-Eighth'!E226)</f>
        <v/>
      </c>
      <c r="F6973" s="66" t="str">
        <f>IF('Twenty-Eighth'!F226="", "",'Twenty-Eighth'!F226)</f>
        <v/>
      </c>
      <c r="G6973" s="66" t="str">
        <f>IF('Twenty-Eighth'!G226="", "",'Twenty-Eighth'!G226)</f>
        <v/>
      </c>
      <c r="H6973" s="66" t="str">
        <f>IF('Twenty-Eighth'!H226="", "",'Twenty-Eighth'!H226)</f>
        <v/>
      </c>
      <c r="I6973" s="66" t="str">
        <f>IF('Twenty-Eighth'!I226="", "",'Twenty-Eighth'!I226)</f>
        <v/>
      </c>
      <c r="J6973" s="66" t="str">
        <f>IF('Twenty-Eighth'!J226="", "",'Twenty-Eighth'!J226)</f>
        <v/>
      </c>
      <c r="K6973" s="86" t="str">
        <f>IF('Twenty-Eighth'!K226="", "",'Twenty-Eighth'!K226)</f>
        <v/>
      </c>
      <c r="M6973" s="67" t="str">
        <f t="shared" si="329"/>
        <v/>
      </c>
      <c r="N6973" s="76" t="str">
        <f t="shared" si="330"/>
        <v/>
      </c>
      <c r="O6973" s="33">
        <f t="shared" si="331"/>
        <v>0</v>
      </c>
    </row>
    <row r="6974" spans="1:15" x14ac:dyDescent="0.25">
      <c r="A6974" s="64" t="s">
        <v>195</v>
      </c>
      <c r="B6974" s="79" t="str">
        <f>IF('Twenty-Eighth'!B227="", "",'Twenty-Eighth'!B227)</f>
        <v/>
      </c>
      <c r="C6974" s="66" t="str">
        <f>IF('Twenty-Eighth'!C227="", "",'Twenty-Eighth'!C227)</f>
        <v/>
      </c>
      <c r="D6974" s="66" t="str">
        <f>IF('Twenty-Eighth'!D227="", "",'Twenty-Eighth'!D227)</f>
        <v/>
      </c>
      <c r="E6974" s="66" t="str">
        <f>IF('Twenty-Eighth'!E227="", "",'Twenty-Eighth'!E227)</f>
        <v/>
      </c>
      <c r="F6974" s="66" t="str">
        <f>IF('Twenty-Eighth'!F227="", "",'Twenty-Eighth'!F227)</f>
        <v/>
      </c>
      <c r="G6974" s="66" t="str">
        <f>IF('Twenty-Eighth'!G227="", "",'Twenty-Eighth'!G227)</f>
        <v/>
      </c>
      <c r="H6974" s="66" t="str">
        <f>IF('Twenty-Eighth'!H227="", "",'Twenty-Eighth'!H227)</f>
        <v/>
      </c>
      <c r="I6974" s="66" t="str">
        <f>IF('Twenty-Eighth'!I227="", "",'Twenty-Eighth'!I227)</f>
        <v/>
      </c>
      <c r="J6974" s="66" t="str">
        <f>IF('Twenty-Eighth'!J227="", "",'Twenty-Eighth'!J227)</f>
        <v/>
      </c>
      <c r="K6974" s="86" t="str">
        <f>IF('Twenty-Eighth'!K227="", "",'Twenty-Eighth'!K227)</f>
        <v/>
      </c>
      <c r="M6974" s="67" t="str">
        <f t="shared" si="329"/>
        <v/>
      </c>
      <c r="N6974" s="76" t="str">
        <f t="shared" si="330"/>
        <v/>
      </c>
      <c r="O6974" s="33">
        <f t="shared" si="331"/>
        <v>0</v>
      </c>
    </row>
    <row r="6975" spans="1:15" x14ac:dyDescent="0.25">
      <c r="A6975" s="64" t="s">
        <v>195</v>
      </c>
      <c r="B6975" s="79" t="str">
        <f>IF('Twenty-Eighth'!B228="", "",'Twenty-Eighth'!B228)</f>
        <v/>
      </c>
      <c r="C6975" s="66" t="str">
        <f>IF('Twenty-Eighth'!C228="", "",'Twenty-Eighth'!C228)</f>
        <v/>
      </c>
      <c r="D6975" s="66" t="str">
        <f>IF('Twenty-Eighth'!D228="", "",'Twenty-Eighth'!D228)</f>
        <v/>
      </c>
      <c r="E6975" s="66" t="str">
        <f>IF('Twenty-Eighth'!E228="", "",'Twenty-Eighth'!E228)</f>
        <v/>
      </c>
      <c r="F6975" s="66" t="str">
        <f>IF('Twenty-Eighth'!F228="", "",'Twenty-Eighth'!F228)</f>
        <v/>
      </c>
      <c r="G6975" s="66" t="str">
        <f>IF('Twenty-Eighth'!G228="", "",'Twenty-Eighth'!G228)</f>
        <v/>
      </c>
      <c r="H6975" s="66" t="str">
        <f>IF('Twenty-Eighth'!H228="", "",'Twenty-Eighth'!H228)</f>
        <v/>
      </c>
      <c r="I6975" s="66" t="str">
        <f>IF('Twenty-Eighth'!I228="", "",'Twenty-Eighth'!I228)</f>
        <v/>
      </c>
      <c r="J6975" s="66" t="str">
        <f>IF('Twenty-Eighth'!J228="", "",'Twenty-Eighth'!J228)</f>
        <v/>
      </c>
      <c r="K6975" s="86" t="str">
        <f>IF('Twenty-Eighth'!K228="", "",'Twenty-Eighth'!K228)</f>
        <v/>
      </c>
      <c r="M6975" s="67" t="str">
        <f t="shared" ref="M6975:M7038" si="332">IF(C6975="PwC",(7-COUNTIF(B6975:H6975,"")),"")</f>
        <v/>
      </c>
      <c r="N6975" s="76" t="str">
        <f t="shared" ref="N6975:N7038" si="333">IF(C6975="Carer",(7-COUNTIF(B6975:H6975,"")),"")</f>
        <v/>
      </c>
      <c r="O6975" s="33">
        <f t="shared" si="331"/>
        <v>0</v>
      </c>
    </row>
    <row r="6976" spans="1:15" x14ac:dyDescent="0.25">
      <c r="A6976" s="64" t="s">
        <v>195</v>
      </c>
      <c r="B6976" s="79" t="str">
        <f>IF('Twenty-Eighth'!B229="", "",'Twenty-Eighth'!B229)</f>
        <v/>
      </c>
      <c r="C6976" s="66" t="str">
        <f>IF('Twenty-Eighth'!C229="", "",'Twenty-Eighth'!C229)</f>
        <v/>
      </c>
      <c r="D6976" s="66" t="str">
        <f>IF('Twenty-Eighth'!D229="", "",'Twenty-Eighth'!D229)</f>
        <v/>
      </c>
      <c r="E6976" s="66" t="str">
        <f>IF('Twenty-Eighth'!E229="", "",'Twenty-Eighth'!E229)</f>
        <v/>
      </c>
      <c r="F6976" s="66" t="str">
        <f>IF('Twenty-Eighth'!F229="", "",'Twenty-Eighth'!F229)</f>
        <v/>
      </c>
      <c r="G6976" s="66" t="str">
        <f>IF('Twenty-Eighth'!G229="", "",'Twenty-Eighth'!G229)</f>
        <v/>
      </c>
      <c r="H6976" s="66" t="str">
        <f>IF('Twenty-Eighth'!H229="", "",'Twenty-Eighth'!H229)</f>
        <v/>
      </c>
      <c r="I6976" s="66" t="str">
        <f>IF('Twenty-Eighth'!I229="", "",'Twenty-Eighth'!I229)</f>
        <v/>
      </c>
      <c r="J6976" s="66" t="str">
        <f>IF('Twenty-Eighth'!J229="", "",'Twenty-Eighth'!J229)</f>
        <v/>
      </c>
      <c r="K6976" s="86" t="str">
        <f>IF('Twenty-Eighth'!K229="", "",'Twenty-Eighth'!K229)</f>
        <v/>
      </c>
      <c r="M6976" s="67" t="str">
        <f t="shared" si="332"/>
        <v/>
      </c>
      <c r="N6976" s="76" t="str">
        <f t="shared" si="333"/>
        <v/>
      </c>
      <c r="O6976" s="33">
        <f t="shared" si="331"/>
        <v>0</v>
      </c>
    </row>
    <row r="6977" spans="1:15" x14ac:dyDescent="0.25">
      <c r="A6977" s="64" t="s">
        <v>195</v>
      </c>
      <c r="B6977" s="79" t="str">
        <f>IF('Twenty-Eighth'!B230="", "",'Twenty-Eighth'!B230)</f>
        <v/>
      </c>
      <c r="C6977" s="66" t="str">
        <f>IF('Twenty-Eighth'!C230="", "",'Twenty-Eighth'!C230)</f>
        <v/>
      </c>
      <c r="D6977" s="66" t="str">
        <f>IF('Twenty-Eighth'!D230="", "",'Twenty-Eighth'!D230)</f>
        <v/>
      </c>
      <c r="E6977" s="66" t="str">
        <f>IF('Twenty-Eighth'!E230="", "",'Twenty-Eighth'!E230)</f>
        <v/>
      </c>
      <c r="F6977" s="66" t="str">
        <f>IF('Twenty-Eighth'!F230="", "",'Twenty-Eighth'!F230)</f>
        <v/>
      </c>
      <c r="G6977" s="66" t="str">
        <f>IF('Twenty-Eighth'!G230="", "",'Twenty-Eighth'!G230)</f>
        <v/>
      </c>
      <c r="H6977" s="66" t="str">
        <f>IF('Twenty-Eighth'!H230="", "",'Twenty-Eighth'!H230)</f>
        <v/>
      </c>
      <c r="I6977" s="66" t="str">
        <f>IF('Twenty-Eighth'!I230="", "",'Twenty-Eighth'!I230)</f>
        <v/>
      </c>
      <c r="J6977" s="66" t="str">
        <f>IF('Twenty-Eighth'!J230="", "",'Twenty-Eighth'!J230)</f>
        <v/>
      </c>
      <c r="K6977" s="86" t="str">
        <f>IF('Twenty-Eighth'!K230="", "",'Twenty-Eighth'!K230)</f>
        <v/>
      </c>
      <c r="M6977" s="67" t="str">
        <f t="shared" si="332"/>
        <v/>
      </c>
      <c r="N6977" s="76" t="str">
        <f t="shared" si="333"/>
        <v/>
      </c>
      <c r="O6977" s="33">
        <f t="shared" si="331"/>
        <v>0</v>
      </c>
    </row>
    <row r="6978" spans="1:15" x14ac:dyDescent="0.25">
      <c r="A6978" s="64" t="s">
        <v>195</v>
      </c>
      <c r="B6978" s="79" t="str">
        <f>IF('Twenty-Eighth'!B231="", "",'Twenty-Eighth'!B231)</f>
        <v/>
      </c>
      <c r="C6978" s="66" t="str">
        <f>IF('Twenty-Eighth'!C231="", "",'Twenty-Eighth'!C231)</f>
        <v/>
      </c>
      <c r="D6978" s="66" t="str">
        <f>IF('Twenty-Eighth'!D231="", "",'Twenty-Eighth'!D231)</f>
        <v/>
      </c>
      <c r="E6978" s="66" t="str">
        <f>IF('Twenty-Eighth'!E231="", "",'Twenty-Eighth'!E231)</f>
        <v/>
      </c>
      <c r="F6978" s="66" t="str">
        <f>IF('Twenty-Eighth'!F231="", "",'Twenty-Eighth'!F231)</f>
        <v/>
      </c>
      <c r="G6978" s="66" t="str">
        <f>IF('Twenty-Eighth'!G231="", "",'Twenty-Eighth'!G231)</f>
        <v/>
      </c>
      <c r="H6978" s="66" t="str">
        <f>IF('Twenty-Eighth'!H231="", "",'Twenty-Eighth'!H231)</f>
        <v/>
      </c>
      <c r="I6978" s="66" t="str">
        <f>IF('Twenty-Eighth'!I231="", "",'Twenty-Eighth'!I231)</f>
        <v/>
      </c>
      <c r="J6978" s="66" t="str">
        <f>IF('Twenty-Eighth'!J231="", "",'Twenty-Eighth'!J231)</f>
        <v/>
      </c>
      <c r="K6978" s="86" t="str">
        <f>IF('Twenty-Eighth'!K231="", "",'Twenty-Eighth'!K231)</f>
        <v/>
      </c>
      <c r="M6978" s="67" t="str">
        <f t="shared" si="332"/>
        <v/>
      </c>
      <c r="N6978" s="76" t="str">
        <f t="shared" si="333"/>
        <v/>
      </c>
      <c r="O6978" s="33">
        <f t="shared" si="331"/>
        <v>0</v>
      </c>
    </row>
    <row r="6979" spans="1:15" x14ac:dyDescent="0.25">
      <c r="A6979" s="64" t="s">
        <v>195</v>
      </c>
      <c r="B6979" s="79" t="str">
        <f>IF('Twenty-Eighth'!B232="", "",'Twenty-Eighth'!B232)</f>
        <v/>
      </c>
      <c r="C6979" s="66" t="str">
        <f>IF('Twenty-Eighth'!C232="", "",'Twenty-Eighth'!C232)</f>
        <v/>
      </c>
      <c r="D6979" s="66" t="str">
        <f>IF('Twenty-Eighth'!D232="", "",'Twenty-Eighth'!D232)</f>
        <v/>
      </c>
      <c r="E6979" s="66" t="str">
        <f>IF('Twenty-Eighth'!E232="", "",'Twenty-Eighth'!E232)</f>
        <v/>
      </c>
      <c r="F6979" s="66" t="str">
        <f>IF('Twenty-Eighth'!F232="", "",'Twenty-Eighth'!F232)</f>
        <v/>
      </c>
      <c r="G6979" s="66" t="str">
        <f>IF('Twenty-Eighth'!G232="", "",'Twenty-Eighth'!G232)</f>
        <v/>
      </c>
      <c r="H6979" s="66" t="str">
        <f>IF('Twenty-Eighth'!H232="", "",'Twenty-Eighth'!H232)</f>
        <v/>
      </c>
      <c r="I6979" s="66" t="str">
        <f>IF('Twenty-Eighth'!I232="", "",'Twenty-Eighth'!I232)</f>
        <v/>
      </c>
      <c r="J6979" s="66" t="str">
        <f>IF('Twenty-Eighth'!J232="", "",'Twenty-Eighth'!J232)</f>
        <v/>
      </c>
      <c r="K6979" s="86" t="str">
        <f>IF('Twenty-Eighth'!K232="", "",'Twenty-Eighth'!K232)</f>
        <v/>
      </c>
      <c r="M6979" s="67" t="str">
        <f t="shared" si="332"/>
        <v/>
      </c>
      <c r="N6979" s="76" t="str">
        <f t="shared" si="333"/>
        <v/>
      </c>
      <c r="O6979" s="33">
        <f t="shared" si="331"/>
        <v>0</v>
      </c>
    </row>
    <row r="6980" spans="1:15" x14ac:dyDescent="0.25">
      <c r="A6980" s="64" t="s">
        <v>195</v>
      </c>
      <c r="B6980" s="79" t="str">
        <f>IF('Twenty-Eighth'!B233="", "",'Twenty-Eighth'!B233)</f>
        <v/>
      </c>
      <c r="C6980" s="66" t="str">
        <f>IF('Twenty-Eighth'!C233="", "",'Twenty-Eighth'!C233)</f>
        <v/>
      </c>
      <c r="D6980" s="66" t="str">
        <f>IF('Twenty-Eighth'!D233="", "",'Twenty-Eighth'!D233)</f>
        <v/>
      </c>
      <c r="E6980" s="66" t="str">
        <f>IF('Twenty-Eighth'!E233="", "",'Twenty-Eighth'!E233)</f>
        <v/>
      </c>
      <c r="F6980" s="66" t="str">
        <f>IF('Twenty-Eighth'!F233="", "",'Twenty-Eighth'!F233)</f>
        <v/>
      </c>
      <c r="G6980" s="66" t="str">
        <f>IF('Twenty-Eighth'!G233="", "",'Twenty-Eighth'!G233)</f>
        <v/>
      </c>
      <c r="H6980" s="66" t="str">
        <f>IF('Twenty-Eighth'!H233="", "",'Twenty-Eighth'!H233)</f>
        <v/>
      </c>
      <c r="I6980" s="66" t="str">
        <f>IF('Twenty-Eighth'!I233="", "",'Twenty-Eighth'!I233)</f>
        <v/>
      </c>
      <c r="J6980" s="66" t="str">
        <f>IF('Twenty-Eighth'!J233="", "",'Twenty-Eighth'!J233)</f>
        <v/>
      </c>
      <c r="K6980" s="86" t="str">
        <f>IF('Twenty-Eighth'!K233="", "",'Twenty-Eighth'!K233)</f>
        <v/>
      </c>
      <c r="M6980" s="67" t="str">
        <f t="shared" si="332"/>
        <v/>
      </c>
      <c r="N6980" s="76" t="str">
        <f t="shared" si="333"/>
        <v/>
      </c>
      <c r="O6980" s="33">
        <f t="shared" si="331"/>
        <v>0</v>
      </c>
    </row>
    <row r="6981" spans="1:15" x14ac:dyDescent="0.25">
      <c r="A6981" s="64" t="s">
        <v>195</v>
      </c>
      <c r="B6981" s="79" t="str">
        <f>IF('Twenty-Eighth'!B234="", "",'Twenty-Eighth'!B234)</f>
        <v/>
      </c>
      <c r="C6981" s="66" t="str">
        <f>IF('Twenty-Eighth'!C234="", "",'Twenty-Eighth'!C234)</f>
        <v/>
      </c>
      <c r="D6981" s="66" t="str">
        <f>IF('Twenty-Eighth'!D234="", "",'Twenty-Eighth'!D234)</f>
        <v/>
      </c>
      <c r="E6981" s="66" t="str">
        <f>IF('Twenty-Eighth'!E234="", "",'Twenty-Eighth'!E234)</f>
        <v/>
      </c>
      <c r="F6981" s="66" t="str">
        <f>IF('Twenty-Eighth'!F234="", "",'Twenty-Eighth'!F234)</f>
        <v/>
      </c>
      <c r="G6981" s="66" t="str">
        <f>IF('Twenty-Eighth'!G234="", "",'Twenty-Eighth'!G234)</f>
        <v/>
      </c>
      <c r="H6981" s="66" t="str">
        <f>IF('Twenty-Eighth'!H234="", "",'Twenty-Eighth'!H234)</f>
        <v/>
      </c>
      <c r="I6981" s="66" t="str">
        <f>IF('Twenty-Eighth'!I234="", "",'Twenty-Eighth'!I234)</f>
        <v/>
      </c>
      <c r="J6981" s="66" t="str">
        <f>IF('Twenty-Eighth'!J234="", "",'Twenty-Eighth'!J234)</f>
        <v/>
      </c>
      <c r="K6981" s="86" t="str">
        <f>IF('Twenty-Eighth'!K234="", "",'Twenty-Eighth'!K234)</f>
        <v/>
      </c>
      <c r="M6981" s="67" t="str">
        <f t="shared" si="332"/>
        <v/>
      </c>
      <c r="N6981" s="76" t="str">
        <f t="shared" si="333"/>
        <v/>
      </c>
      <c r="O6981" s="33">
        <f t="shared" si="331"/>
        <v>0</v>
      </c>
    </row>
    <row r="6982" spans="1:15" x14ac:dyDescent="0.25">
      <c r="A6982" s="64" t="s">
        <v>195</v>
      </c>
      <c r="B6982" s="79" t="str">
        <f>IF('Twenty-Eighth'!B235="", "",'Twenty-Eighth'!B235)</f>
        <v/>
      </c>
      <c r="C6982" s="66" t="str">
        <f>IF('Twenty-Eighth'!C235="", "",'Twenty-Eighth'!C235)</f>
        <v/>
      </c>
      <c r="D6982" s="66" t="str">
        <f>IF('Twenty-Eighth'!D235="", "",'Twenty-Eighth'!D235)</f>
        <v/>
      </c>
      <c r="E6982" s="66" t="str">
        <f>IF('Twenty-Eighth'!E235="", "",'Twenty-Eighth'!E235)</f>
        <v/>
      </c>
      <c r="F6982" s="66" t="str">
        <f>IF('Twenty-Eighth'!F235="", "",'Twenty-Eighth'!F235)</f>
        <v/>
      </c>
      <c r="G6982" s="66" t="str">
        <f>IF('Twenty-Eighth'!G235="", "",'Twenty-Eighth'!G235)</f>
        <v/>
      </c>
      <c r="H6982" s="66" t="str">
        <f>IF('Twenty-Eighth'!H235="", "",'Twenty-Eighth'!H235)</f>
        <v/>
      </c>
      <c r="I6982" s="66" t="str">
        <f>IF('Twenty-Eighth'!I235="", "",'Twenty-Eighth'!I235)</f>
        <v/>
      </c>
      <c r="J6982" s="66" t="str">
        <f>IF('Twenty-Eighth'!J235="", "",'Twenty-Eighth'!J235)</f>
        <v/>
      </c>
      <c r="K6982" s="86" t="str">
        <f>IF('Twenty-Eighth'!K235="", "",'Twenty-Eighth'!K235)</f>
        <v/>
      </c>
      <c r="M6982" s="67" t="str">
        <f t="shared" si="332"/>
        <v/>
      </c>
      <c r="N6982" s="76" t="str">
        <f t="shared" si="333"/>
        <v/>
      </c>
      <c r="O6982" s="33">
        <f t="shared" si="331"/>
        <v>0</v>
      </c>
    </row>
    <row r="6983" spans="1:15" x14ac:dyDescent="0.25">
      <c r="A6983" s="64" t="s">
        <v>195</v>
      </c>
      <c r="B6983" s="79" t="str">
        <f>IF('Twenty-Eighth'!B236="", "",'Twenty-Eighth'!B236)</f>
        <v/>
      </c>
      <c r="C6983" s="66" t="str">
        <f>IF('Twenty-Eighth'!C236="", "",'Twenty-Eighth'!C236)</f>
        <v/>
      </c>
      <c r="D6983" s="66" t="str">
        <f>IF('Twenty-Eighth'!D236="", "",'Twenty-Eighth'!D236)</f>
        <v/>
      </c>
      <c r="E6983" s="66" t="str">
        <f>IF('Twenty-Eighth'!E236="", "",'Twenty-Eighth'!E236)</f>
        <v/>
      </c>
      <c r="F6983" s="66" t="str">
        <f>IF('Twenty-Eighth'!F236="", "",'Twenty-Eighth'!F236)</f>
        <v/>
      </c>
      <c r="G6983" s="66" t="str">
        <f>IF('Twenty-Eighth'!G236="", "",'Twenty-Eighth'!G236)</f>
        <v/>
      </c>
      <c r="H6983" s="66" t="str">
        <f>IF('Twenty-Eighth'!H236="", "",'Twenty-Eighth'!H236)</f>
        <v/>
      </c>
      <c r="I6983" s="66" t="str">
        <f>IF('Twenty-Eighth'!I236="", "",'Twenty-Eighth'!I236)</f>
        <v/>
      </c>
      <c r="J6983" s="66" t="str">
        <f>IF('Twenty-Eighth'!J236="", "",'Twenty-Eighth'!J236)</f>
        <v/>
      </c>
      <c r="K6983" s="86" t="str">
        <f>IF('Twenty-Eighth'!K236="", "",'Twenty-Eighth'!K236)</f>
        <v/>
      </c>
      <c r="M6983" s="67" t="str">
        <f t="shared" si="332"/>
        <v/>
      </c>
      <c r="N6983" s="76" t="str">
        <f t="shared" si="333"/>
        <v/>
      </c>
      <c r="O6983" s="33">
        <f t="shared" si="331"/>
        <v>0</v>
      </c>
    </row>
    <row r="6984" spans="1:15" x14ac:dyDescent="0.25">
      <c r="A6984" s="64" t="s">
        <v>195</v>
      </c>
      <c r="B6984" s="79" t="str">
        <f>IF('Twenty-Eighth'!B237="", "",'Twenty-Eighth'!B237)</f>
        <v/>
      </c>
      <c r="C6984" s="66" t="str">
        <f>IF('Twenty-Eighth'!C237="", "",'Twenty-Eighth'!C237)</f>
        <v/>
      </c>
      <c r="D6984" s="66" t="str">
        <f>IF('Twenty-Eighth'!D237="", "",'Twenty-Eighth'!D237)</f>
        <v/>
      </c>
      <c r="E6984" s="66" t="str">
        <f>IF('Twenty-Eighth'!E237="", "",'Twenty-Eighth'!E237)</f>
        <v/>
      </c>
      <c r="F6984" s="66" t="str">
        <f>IF('Twenty-Eighth'!F237="", "",'Twenty-Eighth'!F237)</f>
        <v/>
      </c>
      <c r="G6984" s="66" t="str">
        <f>IF('Twenty-Eighth'!G237="", "",'Twenty-Eighth'!G237)</f>
        <v/>
      </c>
      <c r="H6984" s="66" t="str">
        <f>IF('Twenty-Eighth'!H237="", "",'Twenty-Eighth'!H237)</f>
        <v/>
      </c>
      <c r="I6984" s="66" t="str">
        <f>IF('Twenty-Eighth'!I237="", "",'Twenty-Eighth'!I237)</f>
        <v/>
      </c>
      <c r="J6984" s="66" t="str">
        <f>IF('Twenty-Eighth'!J237="", "",'Twenty-Eighth'!J237)</f>
        <v/>
      </c>
      <c r="K6984" s="86" t="str">
        <f>IF('Twenty-Eighth'!K237="", "",'Twenty-Eighth'!K237)</f>
        <v/>
      </c>
      <c r="M6984" s="67" t="str">
        <f t="shared" si="332"/>
        <v/>
      </c>
      <c r="N6984" s="76" t="str">
        <f t="shared" si="333"/>
        <v/>
      </c>
      <c r="O6984" s="33">
        <f t="shared" si="331"/>
        <v>0</v>
      </c>
    </row>
    <row r="6985" spans="1:15" x14ac:dyDescent="0.25">
      <c r="A6985" s="64" t="s">
        <v>195</v>
      </c>
      <c r="B6985" s="79" t="str">
        <f>IF('Twenty-Eighth'!B238="", "",'Twenty-Eighth'!B238)</f>
        <v/>
      </c>
      <c r="C6985" s="66" t="str">
        <f>IF('Twenty-Eighth'!C238="", "",'Twenty-Eighth'!C238)</f>
        <v/>
      </c>
      <c r="D6985" s="66" t="str">
        <f>IF('Twenty-Eighth'!D238="", "",'Twenty-Eighth'!D238)</f>
        <v/>
      </c>
      <c r="E6985" s="66" t="str">
        <f>IF('Twenty-Eighth'!E238="", "",'Twenty-Eighth'!E238)</f>
        <v/>
      </c>
      <c r="F6985" s="66" t="str">
        <f>IF('Twenty-Eighth'!F238="", "",'Twenty-Eighth'!F238)</f>
        <v/>
      </c>
      <c r="G6985" s="66" t="str">
        <f>IF('Twenty-Eighth'!G238="", "",'Twenty-Eighth'!G238)</f>
        <v/>
      </c>
      <c r="H6985" s="66" t="str">
        <f>IF('Twenty-Eighth'!H238="", "",'Twenty-Eighth'!H238)</f>
        <v/>
      </c>
      <c r="I6985" s="66" t="str">
        <f>IF('Twenty-Eighth'!I238="", "",'Twenty-Eighth'!I238)</f>
        <v/>
      </c>
      <c r="J6985" s="66" t="str">
        <f>IF('Twenty-Eighth'!J238="", "",'Twenty-Eighth'!J238)</f>
        <v/>
      </c>
      <c r="K6985" s="86" t="str">
        <f>IF('Twenty-Eighth'!K238="", "",'Twenty-Eighth'!K238)</f>
        <v/>
      </c>
      <c r="M6985" s="67" t="str">
        <f t="shared" si="332"/>
        <v/>
      </c>
      <c r="N6985" s="76" t="str">
        <f t="shared" si="333"/>
        <v/>
      </c>
      <c r="O6985" s="33">
        <f t="shared" si="331"/>
        <v>0</v>
      </c>
    </row>
    <row r="6986" spans="1:15" x14ac:dyDescent="0.25">
      <c r="A6986" s="64" t="s">
        <v>195</v>
      </c>
      <c r="B6986" s="79" t="str">
        <f>IF('Twenty-Eighth'!B239="", "",'Twenty-Eighth'!B239)</f>
        <v/>
      </c>
      <c r="C6986" s="66" t="str">
        <f>IF('Twenty-Eighth'!C239="", "",'Twenty-Eighth'!C239)</f>
        <v/>
      </c>
      <c r="D6986" s="66" t="str">
        <f>IF('Twenty-Eighth'!D239="", "",'Twenty-Eighth'!D239)</f>
        <v/>
      </c>
      <c r="E6986" s="66" t="str">
        <f>IF('Twenty-Eighth'!E239="", "",'Twenty-Eighth'!E239)</f>
        <v/>
      </c>
      <c r="F6986" s="66" t="str">
        <f>IF('Twenty-Eighth'!F239="", "",'Twenty-Eighth'!F239)</f>
        <v/>
      </c>
      <c r="G6986" s="66" t="str">
        <f>IF('Twenty-Eighth'!G239="", "",'Twenty-Eighth'!G239)</f>
        <v/>
      </c>
      <c r="H6986" s="66" t="str">
        <f>IF('Twenty-Eighth'!H239="", "",'Twenty-Eighth'!H239)</f>
        <v/>
      </c>
      <c r="I6986" s="66" t="str">
        <f>IF('Twenty-Eighth'!I239="", "",'Twenty-Eighth'!I239)</f>
        <v/>
      </c>
      <c r="J6986" s="66" t="str">
        <f>IF('Twenty-Eighth'!J239="", "",'Twenty-Eighth'!J239)</f>
        <v/>
      </c>
      <c r="K6986" s="86" t="str">
        <f>IF('Twenty-Eighth'!K239="", "",'Twenty-Eighth'!K239)</f>
        <v/>
      </c>
      <c r="M6986" s="67" t="str">
        <f t="shared" si="332"/>
        <v/>
      </c>
      <c r="N6986" s="76" t="str">
        <f t="shared" si="333"/>
        <v/>
      </c>
      <c r="O6986" s="33">
        <f t="shared" ref="O6986:O7049" si="334">SUM(M6986:N6986)</f>
        <v>0</v>
      </c>
    </row>
    <row r="6987" spans="1:15" x14ac:dyDescent="0.25">
      <c r="A6987" s="64" t="s">
        <v>195</v>
      </c>
      <c r="B6987" s="79" t="str">
        <f>IF('Twenty-Eighth'!B240="", "",'Twenty-Eighth'!B240)</f>
        <v/>
      </c>
      <c r="C6987" s="66" t="str">
        <f>IF('Twenty-Eighth'!C240="", "",'Twenty-Eighth'!C240)</f>
        <v/>
      </c>
      <c r="D6987" s="66" t="str">
        <f>IF('Twenty-Eighth'!D240="", "",'Twenty-Eighth'!D240)</f>
        <v/>
      </c>
      <c r="E6987" s="66" t="str">
        <f>IF('Twenty-Eighth'!E240="", "",'Twenty-Eighth'!E240)</f>
        <v/>
      </c>
      <c r="F6987" s="66" t="str">
        <f>IF('Twenty-Eighth'!F240="", "",'Twenty-Eighth'!F240)</f>
        <v/>
      </c>
      <c r="G6987" s="66" t="str">
        <f>IF('Twenty-Eighth'!G240="", "",'Twenty-Eighth'!G240)</f>
        <v/>
      </c>
      <c r="H6987" s="66" t="str">
        <f>IF('Twenty-Eighth'!H240="", "",'Twenty-Eighth'!H240)</f>
        <v/>
      </c>
      <c r="I6987" s="66" t="str">
        <f>IF('Twenty-Eighth'!I240="", "",'Twenty-Eighth'!I240)</f>
        <v/>
      </c>
      <c r="J6987" s="66" t="str">
        <f>IF('Twenty-Eighth'!J240="", "",'Twenty-Eighth'!J240)</f>
        <v/>
      </c>
      <c r="K6987" s="86" t="str">
        <f>IF('Twenty-Eighth'!K240="", "",'Twenty-Eighth'!K240)</f>
        <v/>
      </c>
      <c r="M6987" s="67" t="str">
        <f t="shared" si="332"/>
        <v/>
      </c>
      <c r="N6987" s="76" t="str">
        <f t="shared" si="333"/>
        <v/>
      </c>
      <c r="O6987" s="33">
        <f t="shared" si="334"/>
        <v>0</v>
      </c>
    </row>
    <row r="6988" spans="1:15" x14ac:dyDescent="0.25">
      <c r="A6988" s="64" t="s">
        <v>195</v>
      </c>
      <c r="B6988" s="79" t="str">
        <f>IF('Twenty-Eighth'!B241="", "",'Twenty-Eighth'!B241)</f>
        <v/>
      </c>
      <c r="C6988" s="66" t="str">
        <f>IF('Twenty-Eighth'!C241="", "",'Twenty-Eighth'!C241)</f>
        <v/>
      </c>
      <c r="D6988" s="66" t="str">
        <f>IF('Twenty-Eighth'!D241="", "",'Twenty-Eighth'!D241)</f>
        <v/>
      </c>
      <c r="E6988" s="66" t="str">
        <f>IF('Twenty-Eighth'!E241="", "",'Twenty-Eighth'!E241)</f>
        <v/>
      </c>
      <c r="F6988" s="66" t="str">
        <f>IF('Twenty-Eighth'!F241="", "",'Twenty-Eighth'!F241)</f>
        <v/>
      </c>
      <c r="G6988" s="66" t="str">
        <f>IF('Twenty-Eighth'!G241="", "",'Twenty-Eighth'!G241)</f>
        <v/>
      </c>
      <c r="H6988" s="66" t="str">
        <f>IF('Twenty-Eighth'!H241="", "",'Twenty-Eighth'!H241)</f>
        <v/>
      </c>
      <c r="I6988" s="66" t="str">
        <f>IF('Twenty-Eighth'!I241="", "",'Twenty-Eighth'!I241)</f>
        <v/>
      </c>
      <c r="J6988" s="66" t="str">
        <f>IF('Twenty-Eighth'!J241="", "",'Twenty-Eighth'!J241)</f>
        <v/>
      </c>
      <c r="K6988" s="86" t="str">
        <f>IF('Twenty-Eighth'!K241="", "",'Twenty-Eighth'!K241)</f>
        <v/>
      </c>
      <c r="M6988" s="67" t="str">
        <f t="shared" si="332"/>
        <v/>
      </c>
      <c r="N6988" s="76" t="str">
        <f t="shared" si="333"/>
        <v/>
      </c>
      <c r="O6988" s="33">
        <f t="shared" si="334"/>
        <v>0</v>
      </c>
    </row>
    <row r="6989" spans="1:15" x14ac:dyDescent="0.25">
      <c r="A6989" s="64" t="s">
        <v>195</v>
      </c>
      <c r="B6989" s="79" t="str">
        <f>IF('Twenty-Eighth'!B242="", "",'Twenty-Eighth'!B242)</f>
        <v/>
      </c>
      <c r="C6989" s="66" t="str">
        <f>IF('Twenty-Eighth'!C242="", "",'Twenty-Eighth'!C242)</f>
        <v/>
      </c>
      <c r="D6989" s="66" t="str">
        <f>IF('Twenty-Eighth'!D242="", "",'Twenty-Eighth'!D242)</f>
        <v/>
      </c>
      <c r="E6989" s="66" t="str">
        <f>IF('Twenty-Eighth'!E242="", "",'Twenty-Eighth'!E242)</f>
        <v/>
      </c>
      <c r="F6989" s="66" t="str">
        <f>IF('Twenty-Eighth'!F242="", "",'Twenty-Eighth'!F242)</f>
        <v/>
      </c>
      <c r="G6989" s="66" t="str">
        <f>IF('Twenty-Eighth'!G242="", "",'Twenty-Eighth'!G242)</f>
        <v/>
      </c>
      <c r="H6989" s="66" t="str">
        <f>IF('Twenty-Eighth'!H242="", "",'Twenty-Eighth'!H242)</f>
        <v/>
      </c>
      <c r="I6989" s="66" t="str">
        <f>IF('Twenty-Eighth'!I242="", "",'Twenty-Eighth'!I242)</f>
        <v/>
      </c>
      <c r="J6989" s="66" t="str">
        <f>IF('Twenty-Eighth'!J242="", "",'Twenty-Eighth'!J242)</f>
        <v/>
      </c>
      <c r="K6989" s="86" t="str">
        <f>IF('Twenty-Eighth'!K242="", "",'Twenty-Eighth'!K242)</f>
        <v/>
      </c>
      <c r="M6989" s="67" t="str">
        <f t="shared" si="332"/>
        <v/>
      </c>
      <c r="N6989" s="76" t="str">
        <f t="shared" si="333"/>
        <v/>
      </c>
      <c r="O6989" s="33">
        <f t="shared" si="334"/>
        <v>0</v>
      </c>
    </row>
    <row r="6990" spans="1:15" x14ac:dyDescent="0.25">
      <c r="A6990" s="64" t="s">
        <v>195</v>
      </c>
      <c r="B6990" s="79" t="str">
        <f>IF('Twenty-Eighth'!B243="", "",'Twenty-Eighth'!B243)</f>
        <v/>
      </c>
      <c r="C6990" s="66" t="str">
        <f>IF('Twenty-Eighth'!C243="", "",'Twenty-Eighth'!C243)</f>
        <v/>
      </c>
      <c r="D6990" s="66" t="str">
        <f>IF('Twenty-Eighth'!D243="", "",'Twenty-Eighth'!D243)</f>
        <v/>
      </c>
      <c r="E6990" s="66" t="str">
        <f>IF('Twenty-Eighth'!E243="", "",'Twenty-Eighth'!E243)</f>
        <v/>
      </c>
      <c r="F6990" s="66" t="str">
        <f>IF('Twenty-Eighth'!F243="", "",'Twenty-Eighth'!F243)</f>
        <v/>
      </c>
      <c r="G6990" s="66" t="str">
        <f>IF('Twenty-Eighth'!G243="", "",'Twenty-Eighth'!G243)</f>
        <v/>
      </c>
      <c r="H6990" s="66" t="str">
        <f>IF('Twenty-Eighth'!H243="", "",'Twenty-Eighth'!H243)</f>
        <v/>
      </c>
      <c r="I6990" s="66" t="str">
        <f>IF('Twenty-Eighth'!I243="", "",'Twenty-Eighth'!I243)</f>
        <v/>
      </c>
      <c r="J6990" s="66" t="str">
        <f>IF('Twenty-Eighth'!J243="", "",'Twenty-Eighth'!J243)</f>
        <v/>
      </c>
      <c r="K6990" s="86" t="str">
        <f>IF('Twenty-Eighth'!K243="", "",'Twenty-Eighth'!K243)</f>
        <v/>
      </c>
      <c r="M6990" s="67" t="str">
        <f t="shared" si="332"/>
        <v/>
      </c>
      <c r="N6990" s="76" t="str">
        <f t="shared" si="333"/>
        <v/>
      </c>
      <c r="O6990" s="33">
        <f t="shared" si="334"/>
        <v>0</v>
      </c>
    </row>
    <row r="6991" spans="1:15" x14ac:dyDescent="0.25">
      <c r="A6991" s="64" t="s">
        <v>195</v>
      </c>
      <c r="B6991" s="79" t="str">
        <f>IF('Twenty-Eighth'!B244="", "",'Twenty-Eighth'!B244)</f>
        <v/>
      </c>
      <c r="C6991" s="66" t="str">
        <f>IF('Twenty-Eighth'!C244="", "",'Twenty-Eighth'!C244)</f>
        <v/>
      </c>
      <c r="D6991" s="66" t="str">
        <f>IF('Twenty-Eighth'!D244="", "",'Twenty-Eighth'!D244)</f>
        <v/>
      </c>
      <c r="E6991" s="66" t="str">
        <f>IF('Twenty-Eighth'!E244="", "",'Twenty-Eighth'!E244)</f>
        <v/>
      </c>
      <c r="F6991" s="66" t="str">
        <f>IF('Twenty-Eighth'!F244="", "",'Twenty-Eighth'!F244)</f>
        <v/>
      </c>
      <c r="G6991" s="66" t="str">
        <f>IF('Twenty-Eighth'!G244="", "",'Twenty-Eighth'!G244)</f>
        <v/>
      </c>
      <c r="H6991" s="66" t="str">
        <f>IF('Twenty-Eighth'!H244="", "",'Twenty-Eighth'!H244)</f>
        <v/>
      </c>
      <c r="I6991" s="66" t="str">
        <f>IF('Twenty-Eighth'!I244="", "",'Twenty-Eighth'!I244)</f>
        <v/>
      </c>
      <c r="J6991" s="66" t="str">
        <f>IF('Twenty-Eighth'!J244="", "",'Twenty-Eighth'!J244)</f>
        <v/>
      </c>
      <c r="K6991" s="86" t="str">
        <f>IF('Twenty-Eighth'!K244="", "",'Twenty-Eighth'!K244)</f>
        <v/>
      </c>
      <c r="M6991" s="67" t="str">
        <f t="shared" si="332"/>
        <v/>
      </c>
      <c r="N6991" s="76" t="str">
        <f t="shared" si="333"/>
        <v/>
      </c>
      <c r="O6991" s="33">
        <f t="shared" si="334"/>
        <v>0</v>
      </c>
    </row>
    <row r="6992" spans="1:15" x14ac:dyDescent="0.25">
      <c r="A6992" s="64" t="s">
        <v>195</v>
      </c>
      <c r="B6992" s="79" t="str">
        <f>IF('Twenty-Eighth'!B245="", "",'Twenty-Eighth'!B245)</f>
        <v/>
      </c>
      <c r="C6992" s="66" t="str">
        <f>IF('Twenty-Eighth'!C245="", "",'Twenty-Eighth'!C245)</f>
        <v/>
      </c>
      <c r="D6992" s="66" t="str">
        <f>IF('Twenty-Eighth'!D245="", "",'Twenty-Eighth'!D245)</f>
        <v/>
      </c>
      <c r="E6992" s="66" t="str">
        <f>IF('Twenty-Eighth'!E245="", "",'Twenty-Eighth'!E245)</f>
        <v/>
      </c>
      <c r="F6992" s="66" t="str">
        <f>IF('Twenty-Eighth'!F245="", "",'Twenty-Eighth'!F245)</f>
        <v/>
      </c>
      <c r="G6992" s="66" t="str">
        <f>IF('Twenty-Eighth'!G245="", "",'Twenty-Eighth'!G245)</f>
        <v/>
      </c>
      <c r="H6992" s="66" t="str">
        <f>IF('Twenty-Eighth'!H245="", "",'Twenty-Eighth'!H245)</f>
        <v/>
      </c>
      <c r="I6992" s="66" t="str">
        <f>IF('Twenty-Eighth'!I245="", "",'Twenty-Eighth'!I245)</f>
        <v/>
      </c>
      <c r="J6992" s="66" t="str">
        <f>IF('Twenty-Eighth'!J245="", "",'Twenty-Eighth'!J245)</f>
        <v/>
      </c>
      <c r="K6992" s="86" t="str">
        <f>IF('Twenty-Eighth'!K245="", "",'Twenty-Eighth'!K245)</f>
        <v/>
      </c>
      <c r="M6992" s="67" t="str">
        <f t="shared" si="332"/>
        <v/>
      </c>
      <c r="N6992" s="76" t="str">
        <f t="shared" si="333"/>
        <v/>
      </c>
      <c r="O6992" s="33">
        <f t="shared" si="334"/>
        <v>0</v>
      </c>
    </row>
    <row r="6993" spans="1:15" x14ac:dyDescent="0.25">
      <c r="A6993" s="64" t="s">
        <v>195</v>
      </c>
      <c r="B6993" s="79" t="str">
        <f>IF('Twenty-Eighth'!B246="", "",'Twenty-Eighth'!B246)</f>
        <v/>
      </c>
      <c r="C6993" s="66" t="str">
        <f>IF('Twenty-Eighth'!C246="", "",'Twenty-Eighth'!C246)</f>
        <v/>
      </c>
      <c r="D6993" s="66" t="str">
        <f>IF('Twenty-Eighth'!D246="", "",'Twenty-Eighth'!D246)</f>
        <v/>
      </c>
      <c r="E6993" s="66" t="str">
        <f>IF('Twenty-Eighth'!E246="", "",'Twenty-Eighth'!E246)</f>
        <v/>
      </c>
      <c r="F6993" s="66" t="str">
        <f>IF('Twenty-Eighth'!F246="", "",'Twenty-Eighth'!F246)</f>
        <v/>
      </c>
      <c r="G6993" s="66" t="str">
        <f>IF('Twenty-Eighth'!G246="", "",'Twenty-Eighth'!G246)</f>
        <v/>
      </c>
      <c r="H6993" s="66" t="str">
        <f>IF('Twenty-Eighth'!H246="", "",'Twenty-Eighth'!H246)</f>
        <v/>
      </c>
      <c r="I6993" s="66" t="str">
        <f>IF('Twenty-Eighth'!I246="", "",'Twenty-Eighth'!I246)</f>
        <v/>
      </c>
      <c r="J6993" s="66" t="str">
        <f>IF('Twenty-Eighth'!J246="", "",'Twenty-Eighth'!J246)</f>
        <v/>
      </c>
      <c r="K6993" s="86" t="str">
        <f>IF('Twenty-Eighth'!K246="", "",'Twenty-Eighth'!K246)</f>
        <v/>
      </c>
      <c r="M6993" s="67" t="str">
        <f t="shared" si="332"/>
        <v/>
      </c>
      <c r="N6993" s="76" t="str">
        <f t="shared" si="333"/>
        <v/>
      </c>
      <c r="O6993" s="33">
        <f t="shared" si="334"/>
        <v>0</v>
      </c>
    </row>
    <row r="6994" spans="1:15" x14ac:dyDescent="0.25">
      <c r="A6994" s="64" t="s">
        <v>195</v>
      </c>
      <c r="B6994" s="79" t="str">
        <f>IF('Twenty-Eighth'!B247="", "",'Twenty-Eighth'!B247)</f>
        <v/>
      </c>
      <c r="C6994" s="66" t="str">
        <f>IF('Twenty-Eighth'!C247="", "",'Twenty-Eighth'!C247)</f>
        <v/>
      </c>
      <c r="D6994" s="66" t="str">
        <f>IF('Twenty-Eighth'!D247="", "",'Twenty-Eighth'!D247)</f>
        <v/>
      </c>
      <c r="E6994" s="66" t="str">
        <f>IF('Twenty-Eighth'!E247="", "",'Twenty-Eighth'!E247)</f>
        <v/>
      </c>
      <c r="F6994" s="66" t="str">
        <f>IF('Twenty-Eighth'!F247="", "",'Twenty-Eighth'!F247)</f>
        <v/>
      </c>
      <c r="G6994" s="66" t="str">
        <f>IF('Twenty-Eighth'!G247="", "",'Twenty-Eighth'!G247)</f>
        <v/>
      </c>
      <c r="H6994" s="66" t="str">
        <f>IF('Twenty-Eighth'!H247="", "",'Twenty-Eighth'!H247)</f>
        <v/>
      </c>
      <c r="I6994" s="66" t="str">
        <f>IF('Twenty-Eighth'!I247="", "",'Twenty-Eighth'!I247)</f>
        <v/>
      </c>
      <c r="J6994" s="66" t="str">
        <f>IF('Twenty-Eighth'!J247="", "",'Twenty-Eighth'!J247)</f>
        <v/>
      </c>
      <c r="K6994" s="86" t="str">
        <f>IF('Twenty-Eighth'!K247="", "",'Twenty-Eighth'!K247)</f>
        <v/>
      </c>
      <c r="M6994" s="67" t="str">
        <f t="shared" si="332"/>
        <v/>
      </c>
      <c r="N6994" s="76" t="str">
        <f t="shared" si="333"/>
        <v/>
      </c>
      <c r="O6994" s="33">
        <f t="shared" si="334"/>
        <v>0</v>
      </c>
    </row>
    <row r="6995" spans="1:15" x14ac:dyDescent="0.25">
      <c r="A6995" s="64" t="s">
        <v>195</v>
      </c>
      <c r="B6995" s="79" t="str">
        <f>IF('Twenty-Eighth'!B248="", "",'Twenty-Eighth'!B248)</f>
        <v/>
      </c>
      <c r="C6995" s="66" t="str">
        <f>IF('Twenty-Eighth'!C248="", "",'Twenty-Eighth'!C248)</f>
        <v/>
      </c>
      <c r="D6995" s="66" t="str">
        <f>IF('Twenty-Eighth'!D248="", "",'Twenty-Eighth'!D248)</f>
        <v/>
      </c>
      <c r="E6995" s="66" t="str">
        <f>IF('Twenty-Eighth'!E248="", "",'Twenty-Eighth'!E248)</f>
        <v/>
      </c>
      <c r="F6995" s="66" t="str">
        <f>IF('Twenty-Eighth'!F248="", "",'Twenty-Eighth'!F248)</f>
        <v/>
      </c>
      <c r="G6995" s="66" t="str">
        <f>IF('Twenty-Eighth'!G248="", "",'Twenty-Eighth'!G248)</f>
        <v/>
      </c>
      <c r="H6995" s="66" t="str">
        <f>IF('Twenty-Eighth'!H248="", "",'Twenty-Eighth'!H248)</f>
        <v/>
      </c>
      <c r="I6995" s="66" t="str">
        <f>IF('Twenty-Eighth'!I248="", "",'Twenty-Eighth'!I248)</f>
        <v/>
      </c>
      <c r="J6995" s="66" t="str">
        <f>IF('Twenty-Eighth'!J248="", "",'Twenty-Eighth'!J248)</f>
        <v/>
      </c>
      <c r="K6995" s="86" t="str">
        <f>IF('Twenty-Eighth'!K248="", "",'Twenty-Eighth'!K248)</f>
        <v/>
      </c>
      <c r="M6995" s="67" t="str">
        <f t="shared" si="332"/>
        <v/>
      </c>
      <c r="N6995" s="76" t="str">
        <f t="shared" si="333"/>
        <v/>
      </c>
      <c r="O6995" s="33">
        <f t="shared" si="334"/>
        <v>0</v>
      </c>
    </row>
    <row r="6996" spans="1:15" x14ac:dyDescent="0.25">
      <c r="A6996" s="64" t="s">
        <v>195</v>
      </c>
      <c r="B6996" s="79" t="str">
        <f>IF('Twenty-Eighth'!B249="", "",'Twenty-Eighth'!B249)</f>
        <v/>
      </c>
      <c r="C6996" s="66" t="str">
        <f>IF('Twenty-Eighth'!C249="", "",'Twenty-Eighth'!C249)</f>
        <v/>
      </c>
      <c r="D6996" s="66" t="str">
        <f>IF('Twenty-Eighth'!D249="", "",'Twenty-Eighth'!D249)</f>
        <v/>
      </c>
      <c r="E6996" s="66" t="str">
        <f>IF('Twenty-Eighth'!E249="", "",'Twenty-Eighth'!E249)</f>
        <v/>
      </c>
      <c r="F6996" s="66" t="str">
        <f>IF('Twenty-Eighth'!F249="", "",'Twenty-Eighth'!F249)</f>
        <v/>
      </c>
      <c r="G6996" s="66" t="str">
        <f>IF('Twenty-Eighth'!G249="", "",'Twenty-Eighth'!G249)</f>
        <v/>
      </c>
      <c r="H6996" s="66" t="str">
        <f>IF('Twenty-Eighth'!H249="", "",'Twenty-Eighth'!H249)</f>
        <v/>
      </c>
      <c r="I6996" s="66" t="str">
        <f>IF('Twenty-Eighth'!I249="", "",'Twenty-Eighth'!I249)</f>
        <v/>
      </c>
      <c r="J6996" s="66" t="str">
        <f>IF('Twenty-Eighth'!J249="", "",'Twenty-Eighth'!J249)</f>
        <v/>
      </c>
      <c r="K6996" s="86" t="str">
        <f>IF('Twenty-Eighth'!K249="", "",'Twenty-Eighth'!K249)</f>
        <v/>
      </c>
      <c r="M6996" s="67" t="str">
        <f t="shared" si="332"/>
        <v/>
      </c>
      <c r="N6996" s="76" t="str">
        <f t="shared" si="333"/>
        <v/>
      </c>
      <c r="O6996" s="33">
        <f t="shared" si="334"/>
        <v>0</v>
      </c>
    </row>
    <row r="6997" spans="1:15" x14ac:dyDescent="0.25">
      <c r="A6997" s="64" t="s">
        <v>195</v>
      </c>
      <c r="B6997" s="79" t="str">
        <f>IF('Twenty-Eighth'!B250="", "",'Twenty-Eighth'!B250)</f>
        <v/>
      </c>
      <c r="C6997" s="66" t="str">
        <f>IF('Twenty-Eighth'!C250="", "",'Twenty-Eighth'!C250)</f>
        <v/>
      </c>
      <c r="D6997" s="66" t="str">
        <f>IF('Twenty-Eighth'!D250="", "",'Twenty-Eighth'!D250)</f>
        <v/>
      </c>
      <c r="E6997" s="66" t="str">
        <f>IF('Twenty-Eighth'!E250="", "",'Twenty-Eighth'!E250)</f>
        <v/>
      </c>
      <c r="F6997" s="66" t="str">
        <f>IF('Twenty-Eighth'!F250="", "",'Twenty-Eighth'!F250)</f>
        <v/>
      </c>
      <c r="G6997" s="66" t="str">
        <f>IF('Twenty-Eighth'!G250="", "",'Twenty-Eighth'!G250)</f>
        <v/>
      </c>
      <c r="H6997" s="66" t="str">
        <f>IF('Twenty-Eighth'!H250="", "",'Twenty-Eighth'!H250)</f>
        <v/>
      </c>
      <c r="I6997" s="66" t="str">
        <f>IF('Twenty-Eighth'!I250="", "",'Twenty-Eighth'!I250)</f>
        <v/>
      </c>
      <c r="J6997" s="66" t="str">
        <f>IF('Twenty-Eighth'!J250="", "",'Twenty-Eighth'!J250)</f>
        <v/>
      </c>
      <c r="K6997" s="86" t="str">
        <f>IF('Twenty-Eighth'!K250="", "",'Twenty-Eighth'!K250)</f>
        <v/>
      </c>
      <c r="M6997" s="67" t="str">
        <f t="shared" si="332"/>
        <v/>
      </c>
      <c r="N6997" s="76" t="str">
        <f t="shared" si="333"/>
        <v/>
      </c>
      <c r="O6997" s="33">
        <f t="shared" si="334"/>
        <v>0</v>
      </c>
    </row>
    <row r="6998" spans="1:15" x14ac:dyDescent="0.25">
      <c r="A6998" s="64" t="s">
        <v>195</v>
      </c>
      <c r="B6998" s="79" t="str">
        <f>IF('Twenty-Eighth'!B251="", "",'Twenty-Eighth'!B251)</f>
        <v/>
      </c>
      <c r="C6998" s="66" t="str">
        <f>IF('Twenty-Eighth'!C251="", "",'Twenty-Eighth'!C251)</f>
        <v/>
      </c>
      <c r="D6998" s="66" t="str">
        <f>IF('Twenty-Eighth'!D251="", "",'Twenty-Eighth'!D251)</f>
        <v/>
      </c>
      <c r="E6998" s="66" t="str">
        <f>IF('Twenty-Eighth'!E251="", "",'Twenty-Eighth'!E251)</f>
        <v/>
      </c>
      <c r="F6998" s="66" t="str">
        <f>IF('Twenty-Eighth'!F251="", "",'Twenty-Eighth'!F251)</f>
        <v/>
      </c>
      <c r="G6998" s="66" t="str">
        <f>IF('Twenty-Eighth'!G251="", "",'Twenty-Eighth'!G251)</f>
        <v/>
      </c>
      <c r="H6998" s="66" t="str">
        <f>IF('Twenty-Eighth'!H251="", "",'Twenty-Eighth'!H251)</f>
        <v/>
      </c>
      <c r="I6998" s="66" t="str">
        <f>IF('Twenty-Eighth'!I251="", "",'Twenty-Eighth'!I251)</f>
        <v/>
      </c>
      <c r="J6998" s="66" t="str">
        <f>IF('Twenty-Eighth'!J251="", "",'Twenty-Eighth'!J251)</f>
        <v/>
      </c>
      <c r="K6998" s="86" t="str">
        <f>IF('Twenty-Eighth'!K251="", "",'Twenty-Eighth'!K251)</f>
        <v/>
      </c>
      <c r="M6998" s="67" t="str">
        <f t="shared" si="332"/>
        <v/>
      </c>
      <c r="N6998" s="76" t="str">
        <f t="shared" si="333"/>
        <v/>
      </c>
      <c r="O6998" s="33">
        <f t="shared" si="334"/>
        <v>0</v>
      </c>
    </row>
    <row r="6999" spans="1:15" x14ac:dyDescent="0.25">
      <c r="A6999" s="64" t="s">
        <v>195</v>
      </c>
      <c r="B6999" s="79" t="str">
        <f>IF('Twenty-Eighth'!B252="", "",'Twenty-Eighth'!B252)</f>
        <v/>
      </c>
      <c r="C6999" s="66" t="str">
        <f>IF('Twenty-Eighth'!C252="", "",'Twenty-Eighth'!C252)</f>
        <v/>
      </c>
      <c r="D6999" s="66" t="str">
        <f>IF('Twenty-Eighth'!D252="", "",'Twenty-Eighth'!D252)</f>
        <v/>
      </c>
      <c r="E6999" s="66" t="str">
        <f>IF('Twenty-Eighth'!E252="", "",'Twenty-Eighth'!E252)</f>
        <v/>
      </c>
      <c r="F6999" s="66" t="str">
        <f>IF('Twenty-Eighth'!F252="", "",'Twenty-Eighth'!F252)</f>
        <v/>
      </c>
      <c r="G6999" s="66" t="str">
        <f>IF('Twenty-Eighth'!G252="", "",'Twenty-Eighth'!G252)</f>
        <v/>
      </c>
      <c r="H6999" s="66" t="str">
        <f>IF('Twenty-Eighth'!H252="", "",'Twenty-Eighth'!H252)</f>
        <v/>
      </c>
      <c r="I6999" s="66" t="str">
        <f>IF('Twenty-Eighth'!I252="", "",'Twenty-Eighth'!I252)</f>
        <v/>
      </c>
      <c r="J6999" s="66" t="str">
        <f>IF('Twenty-Eighth'!J252="", "",'Twenty-Eighth'!J252)</f>
        <v/>
      </c>
      <c r="K6999" s="86" t="str">
        <f>IF('Twenty-Eighth'!K252="", "",'Twenty-Eighth'!K252)</f>
        <v/>
      </c>
      <c r="M6999" s="67" t="str">
        <f t="shared" si="332"/>
        <v/>
      </c>
      <c r="N6999" s="76" t="str">
        <f t="shared" si="333"/>
        <v/>
      </c>
      <c r="O6999" s="33">
        <f t="shared" si="334"/>
        <v>0</v>
      </c>
    </row>
    <row r="7000" spans="1:15" x14ac:dyDescent="0.25">
      <c r="A7000" s="64" t="s">
        <v>195</v>
      </c>
      <c r="B7000" s="79" t="str">
        <f>IF('Twenty-Eighth'!B253="", "",'Twenty-Eighth'!B253)</f>
        <v/>
      </c>
      <c r="C7000" s="66" t="str">
        <f>IF('Twenty-Eighth'!C253="", "",'Twenty-Eighth'!C253)</f>
        <v/>
      </c>
      <c r="D7000" s="66" t="str">
        <f>IF('Twenty-Eighth'!D253="", "",'Twenty-Eighth'!D253)</f>
        <v/>
      </c>
      <c r="E7000" s="66" t="str">
        <f>IF('Twenty-Eighth'!E253="", "",'Twenty-Eighth'!E253)</f>
        <v/>
      </c>
      <c r="F7000" s="66" t="str">
        <f>IF('Twenty-Eighth'!F253="", "",'Twenty-Eighth'!F253)</f>
        <v/>
      </c>
      <c r="G7000" s="66" t="str">
        <f>IF('Twenty-Eighth'!G253="", "",'Twenty-Eighth'!G253)</f>
        <v/>
      </c>
      <c r="H7000" s="66" t="str">
        <f>IF('Twenty-Eighth'!H253="", "",'Twenty-Eighth'!H253)</f>
        <v/>
      </c>
      <c r="I7000" s="66" t="str">
        <f>IF('Twenty-Eighth'!I253="", "",'Twenty-Eighth'!I253)</f>
        <v/>
      </c>
      <c r="J7000" s="66" t="str">
        <f>IF('Twenty-Eighth'!J253="", "",'Twenty-Eighth'!J253)</f>
        <v/>
      </c>
      <c r="K7000" s="86" t="str">
        <f>IF('Twenty-Eighth'!K253="", "",'Twenty-Eighth'!K253)</f>
        <v/>
      </c>
      <c r="M7000" s="67" t="str">
        <f t="shared" si="332"/>
        <v/>
      </c>
      <c r="N7000" s="76" t="str">
        <f t="shared" si="333"/>
        <v/>
      </c>
      <c r="O7000" s="33">
        <f t="shared" si="334"/>
        <v>0</v>
      </c>
    </row>
    <row r="7001" spans="1:15" ht="15.75" thickBot="1" x14ac:dyDescent="0.3">
      <c r="A7001" s="68" t="s">
        <v>195</v>
      </c>
      <c r="B7001" s="80" t="str">
        <f>IF('Twenty-Eighth'!B254="", "",'Twenty-Eighth'!B254)</f>
        <v/>
      </c>
      <c r="C7001" s="70" t="str">
        <f>IF('Twenty-Eighth'!C254="", "",'Twenty-Eighth'!C254)</f>
        <v/>
      </c>
      <c r="D7001" s="70" t="str">
        <f>IF('Twenty-Eighth'!D254="", "",'Twenty-Eighth'!D254)</f>
        <v/>
      </c>
      <c r="E7001" s="70" t="str">
        <f>IF('Twenty-Eighth'!E254="", "",'Twenty-Eighth'!E254)</f>
        <v/>
      </c>
      <c r="F7001" s="70" t="str">
        <f>IF('Twenty-Eighth'!F254="", "",'Twenty-Eighth'!F254)</f>
        <v/>
      </c>
      <c r="G7001" s="70" t="str">
        <f>IF('Twenty-Eighth'!G254="", "",'Twenty-Eighth'!G254)</f>
        <v/>
      </c>
      <c r="H7001" s="70" t="str">
        <f>IF('Twenty-Eighth'!H254="", "",'Twenty-Eighth'!H254)</f>
        <v/>
      </c>
      <c r="I7001" s="70" t="str">
        <f>IF('Twenty-Eighth'!I254="", "",'Twenty-Eighth'!I254)</f>
        <v/>
      </c>
      <c r="J7001" s="70" t="str">
        <f>IF('Twenty-Eighth'!J254="", "",'Twenty-Eighth'!J254)</f>
        <v/>
      </c>
      <c r="K7001" s="90" t="str">
        <f>IF('Twenty-Eighth'!K254="", "",'Twenty-Eighth'!K254)</f>
        <v/>
      </c>
      <c r="L7001" s="91"/>
      <c r="M7001" s="71" t="str">
        <f t="shared" si="332"/>
        <v/>
      </c>
      <c r="N7001" s="77" t="str">
        <f t="shared" si="333"/>
        <v/>
      </c>
      <c r="O7001" s="33">
        <f t="shared" si="334"/>
        <v>0</v>
      </c>
    </row>
    <row r="7002" spans="1:15" x14ac:dyDescent="0.25">
      <c r="A7002" s="64" t="s">
        <v>226</v>
      </c>
      <c r="B7002" s="79" t="str">
        <f>IF('Twenty-Ninth'!B5="", "",'Twenty-Ninth'!B5)</f>
        <v>CSS</v>
      </c>
      <c r="C7002" s="66" t="str">
        <f>IF('Twenty-Ninth'!C5="", "",'Twenty-Ninth'!C5)</f>
        <v>PwC</v>
      </c>
      <c r="D7002" s="66" t="str">
        <f>IF('Twenty-Ninth'!D5="", "",'Twenty-Ninth'!D5)</f>
        <v>New</v>
      </c>
      <c r="E7002" s="66" t="str">
        <f>IF('Twenty-Ninth'!E5="", "",'Twenty-Ninth'!E5)</f>
        <v>Female</v>
      </c>
      <c r="F7002" s="66" t="str">
        <f>IF('Twenty-Ninth'!F5="", "",'Twenty-Ninth'!F5)</f>
        <v>Breast</v>
      </c>
      <c r="G7002" s="66" t="str">
        <f>IF('Twenty-Ninth'!G5="", "",'Twenty-Ninth'!G5)</f>
        <v>Curative Intent</v>
      </c>
      <c r="H7002" s="66" t="str">
        <f>IF('Twenty-Ninth'!H5="", "",'Twenty-Ninth'!H5)</f>
        <v>Drop-In</v>
      </c>
      <c r="I7002" s="66" t="str">
        <f>IF('Twenty-Ninth'!I5="", "",'Twenty-Ninth'!I5)</f>
        <v/>
      </c>
      <c r="J7002" s="66" t="str">
        <f>IF('Twenty-Ninth'!J5="", "",'Twenty-Ninth'!J5)</f>
        <v/>
      </c>
      <c r="K7002" s="86" t="str">
        <f>IF('Twenty-Ninth'!K5="", "",'Twenty-Ninth'!K5)</f>
        <v/>
      </c>
      <c r="M7002" s="67">
        <f t="shared" si="332"/>
        <v>7</v>
      </c>
      <c r="N7002" s="76" t="str">
        <f t="shared" si="333"/>
        <v/>
      </c>
      <c r="O7002" s="33">
        <f t="shared" si="334"/>
        <v>7</v>
      </c>
    </row>
    <row r="7003" spans="1:15" x14ac:dyDescent="0.25">
      <c r="A7003" s="64" t="s">
        <v>226</v>
      </c>
      <c r="B7003" s="79" t="str">
        <f>IF('Twenty-Ninth'!B6="", "",'Twenty-Ninth'!B6)</f>
        <v>CSS</v>
      </c>
      <c r="C7003" s="66" t="str">
        <f>IF('Twenty-Ninth'!C6="", "",'Twenty-Ninth'!C6)</f>
        <v>Carer</v>
      </c>
      <c r="D7003" s="66" t="str">
        <f>IF('Twenty-Ninth'!D6="", "",'Twenty-Ninth'!D6)</f>
        <v>New</v>
      </c>
      <c r="E7003" s="66" t="str">
        <f>IF('Twenty-Ninth'!E6="", "",'Twenty-Ninth'!E6)</f>
        <v>Female</v>
      </c>
      <c r="F7003" s="66" t="str">
        <f>IF('Twenty-Ninth'!F6="", "",'Twenty-Ninth'!F6)</f>
        <v>Breast</v>
      </c>
      <c r="G7003" s="66" t="str">
        <f>IF('Twenty-Ninth'!G6="", "",'Twenty-Ninth'!G6)</f>
        <v>Curative Intent</v>
      </c>
      <c r="H7003" s="66" t="str">
        <f>IF('Twenty-Ninth'!H6="", "",'Twenty-Ninth'!H6)</f>
        <v>Drop-In</v>
      </c>
      <c r="I7003" s="66" t="str">
        <f>IF('Twenty-Ninth'!I6="", "",'Twenty-Ninth'!I6)</f>
        <v/>
      </c>
      <c r="J7003" s="66" t="str">
        <f>IF('Twenty-Ninth'!J6="", "",'Twenty-Ninth'!J6)</f>
        <v/>
      </c>
      <c r="K7003" s="86" t="str">
        <f>IF('Twenty-Ninth'!K6="", "",'Twenty-Ninth'!K6)</f>
        <v/>
      </c>
      <c r="M7003" s="67" t="str">
        <f t="shared" si="332"/>
        <v/>
      </c>
      <c r="N7003" s="76">
        <f t="shared" si="333"/>
        <v>7</v>
      </c>
      <c r="O7003" s="33">
        <f t="shared" si="334"/>
        <v>7</v>
      </c>
    </row>
    <row r="7004" spans="1:15" x14ac:dyDescent="0.25">
      <c r="A7004" s="64" t="s">
        <v>226</v>
      </c>
      <c r="B7004" s="79" t="str">
        <f>IF('Twenty-Ninth'!B7="", "",'Twenty-Ninth'!B7)</f>
        <v>CSS</v>
      </c>
      <c r="C7004" s="66" t="str">
        <f>IF('Twenty-Ninth'!C7="", "",'Twenty-Ninth'!C7)</f>
        <v>PwC</v>
      </c>
      <c r="D7004" s="66" t="str">
        <f>IF('Twenty-Ninth'!D7="", "",'Twenty-Ninth'!D7)</f>
        <v>Returning</v>
      </c>
      <c r="E7004" s="66" t="str">
        <f>IF('Twenty-Ninth'!E7="", "",'Twenty-Ninth'!E7)</f>
        <v>Female</v>
      </c>
      <c r="F7004" s="66" t="str">
        <f>IF('Twenty-Ninth'!F7="", "",'Twenty-Ninth'!F7)</f>
        <v>Breast</v>
      </c>
      <c r="G7004" s="66" t="str">
        <f>IF('Twenty-Ninth'!G7="", "",'Twenty-Ninth'!G7)</f>
        <v>Post Treatment - Curative Intent</v>
      </c>
      <c r="H7004" s="66" t="str">
        <f>IF('Twenty-Ninth'!H7="", "",'Twenty-Ninth'!H7)</f>
        <v>Drop-In</v>
      </c>
      <c r="I7004" s="66" t="str">
        <f>IF('Twenty-Ninth'!I7="", "",'Twenty-Ninth'!I7)</f>
        <v/>
      </c>
      <c r="J7004" s="66" t="str">
        <f>IF('Twenty-Ninth'!J7="", "",'Twenty-Ninth'!J7)</f>
        <v/>
      </c>
      <c r="K7004" s="86" t="str">
        <f>IF('Twenty-Ninth'!K7="", "",'Twenty-Ninth'!K7)</f>
        <v/>
      </c>
      <c r="M7004" s="67">
        <f t="shared" si="332"/>
        <v>7</v>
      </c>
      <c r="N7004" s="76" t="str">
        <f t="shared" si="333"/>
        <v/>
      </c>
      <c r="O7004" s="33">
        <f t="shared" si="334"/>
        <v>7</v>
      </c>
    </row>
    <row r="7005" spans="1:15" x14ac:dyDescent="0.25">
      <c r="A7005" s="64" t="s">
        <v>226</v>
      </c>
      <c r="B7005" s="79" t="str">
        <f>IF('Twenty-Ninth'!B8="", "",'Twenty-Ninth'!B8)</f>
        <v>CSS</v>
      </c>
      <c r="C7005" s="66" t="str">
        <f>IF('Twenty-Ninth'!C8="", "",'Twenty-Ninth'!C8)</f>
        <v>Carer</v>
      </c>
      <c r="D7005" s="66" t="str">
        <f>IF('Twenty-Ninth'!D8="", "",'Twenty-Ninth'!D8)</f>
        <v>Returning</v>
      </c>
      <c r="E7005" s="66" t="str">
        <f>IF('Twenty-Ninth'!E8="", "",'Twenty-Ninth'!E8)</f>
        <v>Male</v>
      </c>
      <c r="F7005" s="66" t="str">
        <f>IF('Twenty-Ninth'!F8="", "",'Twenty-Ninth'!F8)</f>
        <v>Breast</v>
      </c>
      <c r="G7005" s="66" t="str">
        <f>IF('Twenty-Ninth'!G8="", "",'Twenty-Ninth'!G8)</f>
        <v>Post Treatment - Curative Intent</v>
      </c>
      <c r="H7005" s="66" t="str">
        <f>IF('Twenty-Ninth'!H8="", "",'Twenty-Ninth'!H8)</f>
        <v>Drop-In</v>
      </c>
      <c r="I7005" s="66" t="str">
        <f>IF('Twenty-Ninth'!I8="", "",'Twenty-Ninth'!I8)</f>
        <v/>
      </c>
      <c r="J7005" s="66" t="str">
        <f>IF('Twenty-Ninth'!J8="", "",'Twenty-Ninth'!J8)</f>
        <v/>
      </c>
      <c r="K7005" s="86" t="str">
        <f>IF('Twenty-Ninth'!K8="", "",'Twenty-Ninth'!K8)</f>
        <v/>
      </c>
      <c r="M7005" s="67" t="str">
        <f t="shared" si="332"/>
        <v/>
      </c>
      <c r="N7005" s="76">
        <f t="shared" si="333"/>
        <v>7</v>
      </c>
      <c r="O7005" s="33">
        <f t="shared" si="334"/>
        <v>7</v>
      </c>
    </row>
    <row r="7006" spans="1:15" x14ac:dyDescent="0.25">
      <c r="A7006" s="64" t="s">
        <v>226</v>
      </c>
      <c r="B7006" s="79" t="str">
        <f>IF('Twenty-Ninth'!B9="", "",'Twenty-Ninth'!B9)</f>
        <v>CSS</v>
      </c>
      <c r="C7006" s="66" t="str">
        <f>IF('Twenty-Ninth'!C9="", "",'Twenty-Ninth'!C9)</f>
        <v>PwC</v>
      </c>
      <c r="D7006" s="66" t="str">
        <f>IF('Twenty-Ninth'!D9="", "",'Twenty-Ninth'!D9)</f>
        <v>Returning</v>
      </c>
      <c r="E7006" s="66" t="str">
        <f>IF('Twenty-Ninth'!E9="", "",'Twenty-Ninth'!E9)</f>
        <v>Male</v>
      </c>
      <c r="F7006" s="66" t="str">
        <f>IF('Twenty-Ninth'!F9="", "",'Twenty-Ninth'!F9)</f>
        <v>Prostate</v>
      </c>
      <c r="G7006" s="66" t="str">
        <f>IF('Twenty-Ninth'!G9="", "",'Twenty-Ninth'!G9)</f>
        <v>Post Treatment - Curative Intent</v>
      </c>
      <c r="H7006" s="66" t="str">
        <f>IF('Twenty-Ninth'!H9="", "",'Twenty-Ninth'!H9)</f>
        <v>Drop-In</v>
      </c>
      <c r="I7006" s="66" t="str">
        <f>IF('Twenty-Ninth'!I9="", "",'Twenty-Ninth'!I9)</f>
        <v/>
      </c>
      <c r="J7006" s="66" t="str">
        <f>IF('Twenty-Ninth'!J9="", "",'Twenty-Ninth'!J9)</f>
        <v/>
      </c>
      <c r="K7006" s="86" t="str">
        <f>IF('Twenty-Ninth'!K9="", "",'Twenty-Ninth'!K9)</f>
        <v/>
      </c>
      <c r="M7006" s="67">
        <f t="shared" si="332"/>
        <v>7</v>
      </c>
      <c r="N7006" s="76" t="str">
        <f t="shared" si="333"/>
        <v/>
      </c>
      <c r="O7006" s="33">
        <f t="shared" si="334"/>
        <v>7</v>
      </c>
    </row>
    <row r="7007" spans="1:15" x14ac:dyDescent="0.25">
      <c r="A7007" s="64" t="s">
        <v>226</v>
      </c>
      <c r="B7007" s="79" t="str">
        <f>IF('Twenty-Ninth'!B10="", "",'Twenty-Ninth'!B10)</f>
        <v>Psychologist</v>
      </c>
      <c r="C7007" s="66" t="str">
        <f>IF('Twenty-Ninth'!C10="", "",'Twenty-Ninth'!C10)</f>
        <v>PwC</v>
      </c>
      <c r="D7007" s="66" t="str">
        <f>IF('Twenty-Ninth'!D10="", "",'Twenty-Ninth'!D10)</f>
        <v>Returning</v>
      </c>
      <c r="E7007" s="66" t="str">
        <f>IF('Twenty-Ninth'!E10="", "",'Twenty-Ninth'!E10)</f>
        <v>Male</v>
      </c>
      <c r="F7007" s="66" t="str">
        <f>IF('Twenty-Ninth'!F10="", "",'Twenty-Ninth'!F10)</f>
        <v>Lower GI</v>
      </c>
      <c r="G7007" s="66" t="str">
        <f>IF('Twenty-Ninth'!G10="", "",'Twenty-Ninth'!G10)</f>
        <v>Non-Curative Intent</v>
      </c>
      <c r="H7007" s="66" t="str">
        <f>IF('Twenty-Ninth'!H10="", "",'Twenty-Ninth'!H10)</f>
        <v>Booked</v>
      </c>
      <c r="I7007" s="66" t="str">
        <f>IF('Twenty-Ninth'!I10="", "",'Twenty-Ninth'!I10)</f>
        <v>Psych Support - Couple</v>
      </c>
      <c r="J7007" s="66" t="str">
        <f>IF('Twenty-Ninth'!J10="", "",'Twenty-Ninth'!J10)</f>
        <v/>
      </c>
      <c r="K7007" s="86" t="str">
        <f>IF('Twenty-Ninth'!K10="", "",'Twenty-Ninth'!K10)</f>
        <v/>
      </c>
      <c r="M7007" s="67">
        <f t="shared" si="332"/>
        <v>7</v>
      </c>
      <c r="N7007" s="76" t="str">
        <f t="shared" si="333"/>
        <v/>
      </c>
      <c r="O7007" s="33">
        <f t="shared" si="334"/>
        <v>7</v>
      </c>
    </row>
    <row r="7008" spans="1:15" x14ac:dyDescent="0.25">
      <c r="A7008" s="64" t="s">
        <v>226</v>
      </c>
      <c r="B7008" s="79" t="str">
        <f>IF('Twenty-Ninth'!B11="", "",'Twenty-Ninth'!B11)</f>
        <v>Psychologist</v>
      </c>
      <c r="C7008" s="66" t="str">
        <f>IF('Twenty-Ninth'!C11="", "",'Twenty-Ninth'!C11)</f>
        <v>Carer</v>
      </c>
      <c r="D7008" s="66" t="str">
        <f>IF('Twenty-Ninth'!D11="", "",'Twenty-Ninth'!D11)</f>
        <v>Returning</v>
      </c>
      <c r="E7008" s="66" t="str">
        <f>IF('Twenty-Ninth'!E11="", "",'Twenty-Ninth'!E11)</f>
        <v>Female</v>
      </c>
      <c r="F7008" s="66" t="str">
        <f>IF('Twenty-Ninth'!F11="", "",'Twenty-Ninth'!F11)</f>
        <v>Lower GI</v>
      </c>
      <c r="G7008" s="66" t="str">
        <f>IF('Twenty-Ninth'!G11="", "",'Twenty-Ninth'!G11)</f>
        <v>Non-Curative Intent</v>
      </c>
      <c r="H7008" s="66" t="str">
        <f>IF('Twenty-Ninth'!H11="", "",'Twenty-Ninth'!H11)</f>
        <v>Booked</v>
      </c>
      <c r="I7008" s="66" t="str">
        <f>IF('Twenty-Ninth'!I11="", "",'Twenty-Ninth'!I11)</f>
        <v>Psych Support - Couple</v>
      </c>
      <c r="J7008" s="66" t="str">
        <f>IF('Twenty-Ninth'!J11="", "",'Twenty-Ninth'!J11)</f>
        <v/>
      </c>
      <c r="K7008" s="86" t="str">
        <f>IF('Twenty-Ninth'!K11="", "",'Twenty-Ninth'!K11)</f>
        <v/>
      </c>
      <c r="M7008" s="67" t="str">
        <f t="shared" si="332"/>
        <v/>
      </c>
      <c r="N7008" s="76">
        <f t="shared" si="333"/>
        <v>7</v>
      </c>
      <c r="O7008" s="33">
        <f t="shared" si="334"/>
        <v>7</v>
      </c>
    </row>
    <row r="7009" spans="1:15" x14ac:dyDescent="0.25">
      <c r="A7009" s="64" t="s">
        <v>226</v>
      </c>
      <c r="B7009" s="79" t="str">
        <f>IF('Twenty-Ninth'!B12="", "",'Twenty-Ninth'!B12)</f>
        <v>CSS</v>
      </c>
      <c r="C7009" s="66" t="str">
        <f>IF('Twenty-Ninth'!C12="", "",'Twenty-Ninth'!C12)</f>
        <v>PwC</v>
      </c>
      <c r="D7009" s="66" t="str">
        <f>IF('Twenty-Ninth'!D12="", "",'Twenty-Ninth'!D12)</f>
        <v>New</v>
      </c>
      <c r="E7009" s="66" t="str">
        <f>IF('Twenty-Ninth'!E12="", "",'Twenty-Ninth'!E12)</f>
        <v>Female</v>
      </c>
      <c r="F7009" s="66" t="str">
        <f>IF('Twenty-Ninth'!F12="", "",'Twenty-Ninth'!F12)</f>
        <v>Breast</v>
      </c>
      <c r="G7009" s="66" t="str">
        <f>IF('Twenty-Ninth'!G12="", "",'Twenty-Ninth'!G12)</f>
        <v>Non-Curative Intent</v>
      </c>
      <c r="H7009" s="66" t="str">
        <f>IF('Twenty-Ninth'!H12="", "",'Twenty-Ninth'!H12)</f>
        <v>Drop-In</v>
      </c>
      <c r="I7009" s="66" t="str">
        <f>IF('Twenty-Ninth'!I12="", "",'Twenty-Ninth'!I12)</f>
        <v/>
      </c>
      <c r="J7009" s="66" t="str">
        <f>IF('Twenty-Ninth'!J12="", "",'Twenty-Ninth'!J12)</f>
        <v/>
      </c>
      <c r="K7009" s="86" t="str">
        <f>IF('Twenty-Ninth'!K12="", "",'Twenty-Ninth'!K12)</f>
        <v/>
      </c>
      <c r="M7009" s="67">
        <f t="shared" si="332"/>
        <v>7</v>
      </c>
      <c r="N7009" s="76" t="str">
        <f t="shared" si="333"/>
        <v/>
      </c>
      <c r="O7009" s="33">
        <f t="shared" si="334"/>
        <v>7</v>
      </c>
    </row>
    <row r="7010" spans="1:15" x14ac:dyDescent="0.25">
      <c r="A7010" s="64" t="s">
        <v>226</v>
      </c>
      <c r="B7010" s="79" t="str">
        <f>IF('Twenty-Ninth'!B13="", "",'Twenty-Ninth'!B13)</f>
        <v>CSS</v>
      </c>
      <c r="C7010" s="66" t="str">
        <f>IF('Twenty-Ninth'!C13="", "",'Twenty-Ninth'!C13)</f>
        <v>Carer</v>
      </c>
      <c r="D7010" s="66" t="str">
        <f>IF('Twenty-Ninth'!D13="", "",'Twenty-Ninth'!D13)</f>
        <v>New</v>
      </c>
      <c r="E7010" s="66" t="str">
        <f>IF('Twenty-Ninth'!E13="", "",'Twenty-Ninth'!E13)</f>
        <v>Male</v>
      </c>
      <c r="F7010" s="66" t="str">
        <f>IF('Twenty-Ninth'!F13="", "",'Twenty-Ninth'!F13)</f>
        <v>Breast</v>
      </c>
      <c r="G7010" s="66" t="str">
        <f>IF('Twenty-Ninth'!G13="", "",'Twenty-Ninth'!G13)</f>
        <v>Non-Curative Intent</v>
      </c>
      <c r="H7010" s="66" t="str">
        <f>IF('Twenty-Ninth'!H13="", "",'Twenty-Ninth'!H13)</f>
        <v>Drop-In</v>
      </c>
      <c r="I7010" s="66" t="str">
        <f>IF('Twenty-Ninth'!I13="", "",'Twenty-Ninth'!I13)</f>
        <v/>
      </c>
      <c r="J7010" s="66" t="str">
        <f>IF('Twenty-Ninth'!J13="", "",'Twenty-Ninth'!J13)</f>
        <v/>
      </c>
      <c r="K7010" s="86" t="str">
        <f>IF('Twenty-Ninth'!K13="", "",'Twenty-Ninth'!K13)</f>
        <v/>
      </c>
      <c r="M7010" s="67" t="str">
        <f t="shared" si="332"/>
        <v/>
      </c>
      <c r="N7010" s="76">
        <f t="shared" si="333"/>
        <v>7</v>
      </c>
      <c r="O7010" s="33">
        <f t="shared" si="334"/>
        <v>7</v>
      </c>
    </row>
    <row r="7011" spans="1:15" x14ac:dyDescent="0.25">
      <c r="A7011" s="64" t="s">
        <v>226</v>
      </c>
      <c r="B7011" s="79" t="str">
        <f>IF('Twenty-Ninth'!B14="", "",'Twenty-Ninth'!B14)</f>
        <v>CSS</v>
      </c>
      <c r="C7011" s="66" t="str">
        <f>IF('Twenty-Ninth'!C14="", "",'Twenty-Ninth'!C14)</f>
        <v>PwC</v>
      </c>
      <c r="D7011" s="66" t="str">
        <f>IF('Twenty-Ninth'!D14="", "",'Twenty-Ninth'!D14)</f>
        <v>Returning</v>
      </c>
      <c r="E7011" s="66" t="str">
        <f>IF('Twenty-Ninth'!E14="", "",'Twenty-Ninth'!E14)</f>
        <v>Female</v>
      </c>
      <c r="F7011" s="66" t="str">
        <f>IF('Twenty-Ninth'!F14="", "",'Twenty-Ninth'!F14)</f>
        <v>Gynae</v>
      </c>
      <c r="G7011" s="66" t="str">
        <f>IF('Twenty-Ninth'!G14="", "",'Twenty-Ninth'!G14)</f>
        <v>Post Treatment - Curative Intent</v>
      </c>
      <c r="H7011" s="66" t="str">
        <f>IF('Twenty-Ninth'!H14="", "",'Twenty-Ninth'!H14)</f>
        <v>Booked</v>
      </c>
      <c r="I7011" s="66" t="str">
        <f>IF('Twenty-Ninth'!I14="", "",'Twenty-Ninth'!I14)</f>
        <v>Psych Support - Individual</v>
      </c>
      <c r="J7011" s="66" t="str">
        <f>IF('Twenty-Ninth'!J14="", "",'Twenty-Ninth'!J14)</f>
        <v/>
      </c>
      <c r="K7011" s="86" t="str">
        <f>IF('Twenty-Ninth'!K14="", "",'Twenty-Ninth'!K14)</f>
        <v/>
      </c>
      <c r="M7011" s="67">
        <f t="shared" si="332"/>
        <v>7</v>
      </c>
      <c r="N7011" s="76" t="str">
        <f t="shared" si="333"/>
        <v/>
      </c>
      <c r="O7011" s="33">
        <f t="shared" si="334"/>
        <v>7</v>
      </c>
    </row>
    <row r="7012" spans="1:15" x14ac:dyDescent="0.25">
      <c r="A7012" s="64" t="s">
        <v>226</v>
      </c>
      <c r="B7012" s="79" t="str">
        <f>IF('Twenty-Ninth'!B15="", "",'Twenty-Ninth'!B15)</f>
        <v>CSS</v>
      </c>
      <c r="C7012" s="66" t="str">
        <f>IF('Twenty-Ninth'!C15="", "",'Twenty-Ninth'!C15)</f>
        <v>PwC</v>
      </c>
      <c r="D7012" s="66" t="str">
        <f>IF('Twenty-Ninth'!D15="", "",'Twenty-Ninth'!D15)</f>
        <v>Returning</v>
      </c>
      <c r="E7012" s="66" t="str">
        <f>IF('Twenty-Ninth'!E15="", "",'Twenty-Ninth'!E15)</f>
        <v>Female</v>
      </c>
      <c r="F7012" s="66" t="str">
        <f>IF('Twenty-Ninth'!F15="", "",'Twenty-Ninth'!F15)</f>
        <v>Lung</v>
      </c>
      <c r="G7012" s="66" t="str">
        <f>IF('Twenty-Ninth'!G15="", "",'Twenty-Ninth'!G15)</f>
        <v>Curative Intent</v>
      </c>
      <c r="H7012" s="66" t="str">
        <f>IF('Twenty-Ninth'!H15="", "",'Twenty-Ninth'!H15)</f>
        <v>Booked</v>
      </c>
      <c r="I7012" s="66" t="str">
        <f>IF('Twenty-Ninth'!I15="", "",'Twenty-Ninth'!I15)</f>
        <v>Psych Support - Couple</v>
      </c>
      <c r="J7012" s="66" t="str">
        <f>IF('Twenty-Ninth'!J15="", "",'Twenty-Ninth'!J15)</f>
        <v/>
      </c>
      <c r="K7012" s="86" t="str">
        <f>IF('Twenty-Ninth'!K15="", "",'Twenty-Ninth'!K15)</f>
        <v/>
      </c>
      <c r="M7012" s="67">
        <f t="shared" si="332"/>
        <v>7</v>
      </c>
      <c r="N7012" s="76" t="str">
        <f t="shared" si="333"/>
        <v/>
      </c>
      <c r="O7012" s="33">
        <f t="shared" si="334"/>
        <v>7</v>
      </c>
    </row>
    <row r="7013" spans="1:15" x14ac:dyDescent="0.25">
      <c r="A7013" s="64" t="s">
        <v>226</v>
      </c>
      <c r="B7013" s="79" t="str">
        <f>IF('Twenty-Ninth'!B16="", "",'Twenty-Ninth'!B16)</f>
        <v>CSS</v>
      </c>
      <c r="C7013" s="66" t="str">
        <f>IF('Twenty-Ninth'!C16="", "",'Twenty-Ninth'!C16)</f>
        <v>Carer</v>
      </c>
      <c r="D7013" s="66" t="str">
        <f>IF('Twenty-Ninth'!D16="", "",'Twenty-Ninth'!D16)</f>
        <v>Returning</v>
      </c>
      <c r="E7013" s="66" t="str">
        <f>IF('Twenty-Ninth'!E16="", "",'Twenty-Ninth'!E16)</f>
        <v>Male</v>
      </c>
      <c r="F7013" s="66" t="str">
        <f>IF('Twenty-Ninth'!F16="", "",'Twenty-Ninth'!F16)</f>
        <v>Lung</v>
      </c>
      <c r="G7013" s="66" t="str">
        <f>IF('Twenty-Ninth'!G16="", "",'Twenty-Ninth'!G16)</f>
        <v>Curative Intent</v>
      </c>
      <c r="H7013" s="66" t="str">
        <f>IF('Twenty-Ninth'!H16="", "",'Twenty-Ninth'!H16)</f>
        <v>Booked</v>
      </c>
      <c r="I7013" s="66" t="str">
        <f>IF('Twenty-Ninth'!I16="", "",'Twenty-Ninth'!I16)</f>
        <v>Psych Support - Couple</v>
      </c>
      <c r="J7013" s="66" t="str">
        <f>IF('Twenty-Ninth'!J16="", "",'Twenty-Ninth'!J16)</f>
        <v/>
      </c>
      <c r="K7013" s="86" t="str">
        <f>IF('Twenty-Ninth'!K16="", "",'Twenty-Ninth'!K16)</f>
        <v/>
      </c>
      <c r="M7013" s="67" t="str">
        <f t="shared" si="332"/>
        <v/>
      </c>
      <c r="N7013" s="76">
        <f t="shared" si="333"/>
        <v>7</v>
      </c>
      <c r="O7013" s="33">
        <f t="shared" si="334"/>
        <v>7</v>
      </c>
    </row>
    <row r="7014" spans="1:15" x14ac:dyDescent="0.25">
      <c r="A7014" s="64" t="s">
        <v>226</v>
      </c>
      <c r="B7014" s="79" t="str">
        <f>IF('Twenty-Ninth'!B17="", "",'Twenty-Ninth'!B17)</f>
        <v>CSS</v>
      </c>
      <c r="C7014" s="66" t="str">
        <f>IF('Twenty-Ninth'!C17="", "",'Twenty-Ninth'!C17)</f>
        <v>PwC</v>
      </c>
      <c r="D7014" s="66" t="str">
        <f>IF('Twenty-Ninth'!D17="", "",'Twenty-Ninth'!D17)</f>
        <v>New</v>
      </c>
      <c r="E7014" s="66" t="str">
        <f>IF('Twenty-Ninth'!E17="", "",'Twenty-Ninth'!E17)</f>
        <v>Female</v>
      </c>
      <c r="F7014" s="66" t="str">
        <f>IF('Twenty-Ninth'!F17="", "",'Twenty-Ninth'!F17)</f>
        <v>Lower GI</v>
      </c>
      <c r="G7014" s="66" t="str">
        <f>IF('Twenty-Ninth'!G17="", "",'Twenty-Ninth'!G17)</f>
        <v>Non-Curative Intent</v>
      </c>
      <c r="H7014" s="66" t="str">
        <f>IF('Twenty-Ninth'!H17="", "",'Twenty-Ninth'!H17)</f>
        <v>Drop-In</v>
      </c>
      <c r="I7014" s="66" t="str">
        <f>IF('Twenty-Ninth'!I17="", "",'Twenty-Ninth'!I17)</f>
        <v/>
      </c>
      <c r="J7014" s="66" t="str">
        <f>IF('Twenty-Ninth'!J17="", "",'Twenty-Ninth'!J17)</f>
        <v/>
      </c>
      <c r="K7014" s="86" t="str">
        <f>IF('Twenty-Ninth'!K17="", "",'Twenty-Ninth'!K17)</f>
        <v/>
      </c>
      <c r="M7014" s="67">
        <f t="shared" si="332"/>
        <v>7</v>
      </c>
      <c r="N7014" s="76" t="str">
        <f t="shared" si="333"/>
        <v/>
      </c>
      <c r="O7014" s="33">
        <f t="shared" si="334"/>
        <v>7</v>
      </c>
    </row>
    <row r="7015" spans="1:15" x14ac:dyDescent="0.25">
      <c r="A7015" s="64" t="s">
        <v>226</v>
      </c>
      <c r="B7015" s="79" t="str">
        <f>IF('Twenty-Ninth'!B18="", "",'Twenty-Ninth'!B18)</f>
        <v>CSS</v>
      </c>
      <c r="C7015" s="66" t="str">
        <f>IF('Twenty-Ninth'!C18="", "",'Twenty-Ninth'!C18)</f>
        <v>Carer</v>
      </c>
      <c r="D7015" s="66" t="str">
        <f>IF('Twenty-Ninth'!D18="", "",'Twenty-Ninth'!D18)</f>
        <v>New</v>
      </c>
      <c r="E7015" s="66" t="str">
        <f>IF('Twenty-Ninth'!E18="", "",'Twenty-Ninth'!E18)</f>
        <v>Female</v>
      </c>
      <c r="F7015" s="66" t="str">
        <f>IF('Twenty-Ninth'!F18="", "",'Twenty-Ninth'!F18)</f>
        <v>Lower GI</v>
      </c>
      <c r="G7015" s="66" t="str">
        <f>IF('Twenty-Ninth'!G18="", "",'Twenty-Ninth'!G18)</f>
        <v>Non-Curative Intent</v>
      </c>
      <c r="H7015" s="66" t="str">
        <f>IF('Twenty-Ninth'!H18="", "",'Twenty-Ninth'!H18)</f>
        <v>Drop-In</v>
      </c>
      <c r="I7015" s="66" t="str">
        <f>IF('Twenty-Ninth'!I18="", "",'Twenty-Ninth'!I18)</f>
        <v/>
      </c>
      <c r="J7015" s="66" t="str">
        <f>IF('Twenty-Ninth'!J18="", "",'Twenty-Ninth'!J18)</f>
        <v/>
      </c>
      <c r="K7015" s="86" t="str">
        <f>IF('Twenty-Ninth'!K18="", "",'Twenty-Ninth'!K18)</f>
        <v/>
      </c>
      <c r="M7015" s="67" t="str">
        <f t="shared" si="332"/>
        <v/>
      </c>
      <c r="N7015" s="76">
        <f t="shared" si="333"/>
        <v>7</v>
      </c>
      <c r="O7015" s="33">
        <f t="shared" si="334"/>
        <v>7</v>
      </c>
    </row>
    <row r="7016" spans="1:15" x14ac:dyDescent="0.25">
      <c r="A7016" s="64" t="s">
        <v>226</v>
      </c>
      <c r="B7016" s="79" t="str">
        <f>IF('Twenty-Ninth'!B19="", "",'Twenty-Ninth'!B19)</f>
        <v>CSS</v>
      </c>
      <c r="C7016" s="66" t="str">
        <f>IF('Twenty-Ninth'!C19="", "",'Twenty-Ninth'!C19)</f>
        <v>PwC</v>
      </c>
      <c r="D7016" s="66" t="str">
        <f>IF('Twenty-Ninth'!D19="", "",'Twenty-Ninth'!D19)</f>
        <v>Returning</v>
      </c>
      <c r="E7016" s="66" t="str">
        <f>IF('Twenty-Ninth'!E19="", "",'Twenty-Ninth'!E19)</f>
        <v>Female</v>
      </c>
      <c r="F7016" s="66" t="str">
        <f>IF('Twenty-Ninth'!F19="", "",'Twenty-Ninth'!F19)</f>
        <v>Breast</v>
      </c>
      <c r="G7016" s="66" t="str">
        <f>IF('Twenty-Ninth'!G19="", "",'Twenty-Ninth'!G19)</f>
        <v>Curative Intent</v>
      </c>
      <c r="H7016" s="66" t="str">
        <f>IF('Twenty-Ninth'!H19="", "",'Twenty-Ninth'!H19)</f>
        <v>Telephone Support</v>
      </c>
      <c r="I7016" s="66" t="str">
        <f>IF('Twenty-Ninth'!I19="", "",'Twenty-Ninth'!I19)</f>
        <v/>
      </c>
      <c r="J7016" s="66" t="str">
        <f>IF('Twenty-Ninth'!J19="", "",'Twenty-Ninth'!J19)</f>
        <v/>
      </c>
      <c r="K7016" s="86" t="str">
        <f>IF('Twenty-Ninth'!K19="", "",'Twenty-Ninth'!K19)</f>
        <v/>
      </c>
      <c r="M7016" s="67">
        <f t="shared" si="332"/>
        <v>7</v>
      </c>
      <c r="N7016" s="76" t="str">
        <f t="shared" si="333"/>
        <v/>
      </c>
      <c r="O7016" s="33">
        <f t="shared" si="334"/>
        <v>7</v>
      </c>
    </row>
    <row r="7017" spans="1:15" x14ac:dyDescent="0.25">
      <c r="A7017" s="64" t="s">
        <v>226</v>
      </c>
      <c r="B7017" s="79" t="str">
        <f>IF('Twenty-Ninth'!B20="", "",'Twenty-Ninth'!B20)</f>
        <v>CSS</v>
      </c>
      <c r="C7017" s="66" t="str">
        <f>IF('Twenty-Ninth'!C20="", "",'Twenty-Ninth'!C20)</f>
        <v>Carer</v>
      </c>
      <c r="D7017" s="66" t="str">
        <f>IF('Twenty-Ninth'!D20="", "",'Twenty-Ninth'!D20)</f>
        <v>Returning</v>
      </c>
      <c r="E7017" s="66" t="str">
        <f>IF('Twenty-Ninth'!E20="", "",'Twenty-Ninth'!E20)</f>
        <v>Male</v>
      </c>
      <c r="F7017" s="66" t="str">
        <f>IF('Twenty-Ninth'!F20="", "",'Twenty-Ninth'!F20)</f>
        <v>Prostate</v>
      </c>
      <c r="G7017" s="66" t="str">
        <f>IF('Twenty-Ninth'!G20="", "",'Twenty-Ninth'!G20)</f>
        <v>Post Treatment - Curative Intent</v>
      </c>
      <c r="H7017" s="66" t="str">
        <f>IF('Twenty-Ninth'!H20="", "",'Twenty-Ninth'!H20)</f>
        <v>Drop-In</v>
      </c>
      <c r="I7017" s="66" t="str">
        <f>IF('Twenty-Ninth'!I20="", "",'Twenty-Ninth'!I20)</f>
        <v/>
      </c>
      <c r="J7017" s="66" t="str">
        <f>IF('Twenty-Ninth'!J20="", "",'Twenty-Ninth'!J20)</f>
        <v/>
      </c>
      <c r="K7017" s="86" t="str">
        <f>IF('Twenty-Ninth'!K20="", "",'Twenty-Ninth'!K20)</f>
        <v/>
      </c>
      <c r="M7017" s="67" t="str">
        <f t="shared" si="332"/>
        <v/>
      </c>
      <c r="N7017" s="76">
        <f t="shared" si="333"/>
        <v>7</v>
      </c>
      <c r="O7017" s="33">
        <f t="shared" si="334"/>
        <v>7</v>
      </c>
    </row>
    <row r="7018" spans="1:15" x14ac:dyDescent="0.25">
      <c r="A7018" s="64" t="s">
        <v>226</v>
      </c>
      <c r="B7018" s="79" t="str">
        <f>IF('Twenty-Ninth'!B21="", "",'Twenty-Ninth'!B21)</f>
        <v>Psychologist</v>
      </c>
      <c r="C7018" s="66" t="str">
        <f>IF('Twenty-Ninth'!C21="", "",'Twenty-Ninth'!C21)</f>
        <v>PwC</v>
      </c>
      <c r="D7018" s="66" t="str">
        <f>IF('Twenty-Ninth'!D21="", "",'Twenty-Ninth'!D21)</f>
        <v>Returning</v>
      </c>
      <c r="E7018" s="66" t="str">
        <f>IF('Twenty-Ninth'!E21="", "",'Twenty-Ninth'!E21)</f>
        <v>Male</v>
      </c>
      <c r="F7018" s="66" t="str">
        <f>IF('Twenty-Ninth'!F21="", "",'Twenty-Ninth'!F21)</f>
        <v>Head/Neck</v>
      </c>
      <c r="G7018" s="66" t="str">
        <f>IF('Twenty-Ninth'!G21="", "",'Twenty-Ninth'!G21)</f>
        <v>Curative Intent</v>
      </c>
      <c r="H7018" s="66" t="str">
        <f>IF('Twenty-Ninth'!H21="", "",'Twenty-Ninth'!H21)</f>
        <v>Programme</v>
      </c>
      <c r="I7018" s="66" t="str">
        <f>IF('Twenty-Ninth'!I21="", "",'Twenty-Ninth'!I21)</f>
        <v>Managing Stress</v>
      </c>
      <c r="J7018" s="66" t="str">
        <f>IF('Twenty-Ninth'!J21="", "",'Twenty-Ninth'!J21)</f>
        <v/>
      </c>
      <c r="K7018" s="86" t="str">
        <f>IF('Twenty-Ninth'!K21="", "",'Twenty-Ninth'!K21)</f>
        <v/>
      </c>
      <c r="M7018" s="67">
        <f t="shared" si="332"/>
        <v>7</v>
      </c>
      <c r="N7018" s="76" t="str">
        <f t="shared" si="333"/>
        <v/>
      </c>
      <c r="O7018" s="33">
        <f t="shared" si="334"/>
        <v>7</v>
      </c>
    </row>
    <row r="7019" spans="1:15" x14ac:dyDescent="0.25">
      <c r="A7019" s="64" t="s">
        <v>226</v>
      </c>
      <c r="B7019" s="79" t="str">
        <f>IF('Twenty-Ninth'!B22="", "",'Twenty-Ninth'!B22)</f>
        <v>Psychologist</v>
      </c>
      <c r="C7019" s="66" t="str">
        <f>IF('Twenty-Ninth'!C22="", "",'Twenty-Ninth'!C22)</f>
        <v>PwC</v>
      </c>
      <c r="D7019" s="66" t="str">
        <f>IF('Twenty-Ninth'!D22="", "",'Twenty-Ninth'!D22)</f>
        <v>Returning</v>
      </c>
      <c r="E7019" s="66" t="str">
        <f>IF('Twenty-Ninth'!E22="", "",'Twenty-Ninth'!E22)</f>
        <v>Female</v>
      </c>
      <c r="F7019" s="66" t="str">
        <f>IF('Twenty-Ninth'!F22="", "",'Twenty-Ninth'!F22)</f>
        <v>Breast</v>
      </c>
      <c r="G7019" s="66" t="str">
        <f>IF('Twenty-Ninth'!G22="", "",'Twenty-Ninth'!G22)</f>
        <v>Post Treatment - Curative Intent</v>
      </c>
      <c r="H7019" s="66" t="str">
        <f>IF('Twenty-Ninth'!H22="", "",'Twenty-Ninth'!H22)</f>
        <v>Programme</v>
      </c>
      <c r="I7019" s="66" t="str">
        <f>IF('Twenty-Ninth'!I22="", "",'Twenty-Ninth'!I22)</f>
        <v>Managing Stress</v>
      </c>
      <c r="J7019" s="66" t="str">
        <f>IF('Twenty-Ninth'!J22="", "",'Twenty-Ninth'!J22)</f>
        <v/>
      </c>
      <c r="K7019" s="86" t="str">
        <f>IF('Twenty-Ninth'!K22="", "",'Twenty-Ninth'!K22)</f>
        <v/>
      </c>
      <c r="M7019" s="67">
        <f t="shared" si="332"/>
        <v>7</v>
      </c>
      <c r="N7019" s="76" t="str">
        <f t="shared" si="333"/>
        <v/>
      </c>
      <c r="O7019" s="33">
        <f t="shared" si="334"/>
        <v>7</v>
      </c>
    </row>
    <row r="7020" spans="1:15" x14ac:dyDescent="0.25">
      <c r="A7020" s="64" t="s">
        <v>226</v>
      </c>
      <c r="B7020" s="79" t="str">
        <f>IF('Twenty-Ninth'!B23="", "",'Twenty-Ninth'!B23)</f>
        <v>Psychologist</v>
      </c>
      <c r="C7020" s="66" t="str">
        <f>IF('Twenty-Ninth'!C23="", "",'Twenty-Ninth'!C23)</f>
        <v>PwC</v>
      </c>
      <c r="D7020" s="66" t="str">
        <f>IF('Twenty-Ninth'!D23="", "",'Twenty-Ninth'!D23)</f>
        <v>Returning</v>
      </c>
      <c r="E7020" s="66" t="str">
        <f>IF('Twenty-Ninth'!E23="", "",'Twenty-Ninth'!E23)</f>
        <v>Female</v>
      </c>
      <c r="F7020" s="66" t="str">
        <f>IF('Twenty-Ninth'!F23="", "",'Twenty-Ninth'!F23)</f>
        <v>Breast</v>
      </c>
      <c r="G7020" s="66" t="str">
        <f>IF('Twenty-Ninth'!G23="", "",'Twenty-Ninth'!G23)</f>
        <v>Post Treatment - Curative Intent</v>
      </c>
      <c r="H7020" s="66" t="str">
        <f>IF('Twenty-Ninth'!H23="", "",'Twenty-Ninth'!H23)</f>
        <v>Programme</v>
      </c>
      <c r="I7020" s="66" t="str">
        <f>IF('Twenty-Ninth'!I23="", "",'Twenty-Ninth'!I23)</f>
        <v>Managing Stress</v>
      </c>
      <c r="J7020" s="66" t="str">
        <f>IF('Twenty-Ninth'!J23="", "",'Twenty-Ninth'!J23)</f>
        <v/>
      </c>
      <c r="K7020" s="86" t="str">
        <f>IF('Twenty-Ninth'!K23="", "",'Twenty-Ninth'!K23)</f>
        <v/>
      </c>
      <c r="M7020" s="67">
        <f t="shared" si="332"/>
        <v>7</v>
      </c>
      <c r="N7020" s="76" t="str">
        <f t="shared" si="333"/>
        <v/>
      </c>
      <c r="O7020" s="33">
        <f t="shared" si="334"/>
        <v>7</v>
      </c>
    </row>
    <row r="7021" spans="1:15" x14ac:dyDescent="0.25">
      <c r="A7021" s="64" t="s">
        <v>226</v>
      </c>
      <c r="B7021" s="79" t="str">
        <f>IF('Twenty-Ninth'!B24="", "",'Twenty-Ninth'!B24)</f>
        <v>Psychologist</v>
      </c>
      <c r="C7021" s="66" t="str">
        <f>IF('Twenty-Ninth'!C24="", "",'Twenty-Ninth'!C24)</f>
        <v>Carer</v>
      </c>
      <c r="D7021" s="66" t="str">
        <f>IF('Twenty-Ninth'!D24="", "",'Twenty-Ninth'!D24)</f>
        <v>Returning</v>
      </c>
      <c r="E7021" s="66" t="str">
        <f>IF('Twenty-Ninth'!E24="", "",'Twenty-Ninth'!E24)</f>
        <v>Female</v>
      </c>
      <c r="F7021" s="66" t="str">
        <f>IF('Twenty-Ninth'!F24="", "",'Twenty-Ninth'!F24)</f>
        <v>Haemat</v>
      </c>
      <c r="G7021" s="66" t="str">
        <f>IF('Twenty-Ninth'!G24="", "",'Twenty-Ninth'!G24)</f>
        <v>Non-Curative Intent</v>
      </c>
      <c r="H7021" s="66" t="str">
        <f>IF('Twenty-Ninth'!H24="", "",'Twenty-Ninth'!H24)</f>
        <v>Programme</v>
      </c>
      <c r="I7021" s="66" t="str">
        <f>IF('Twenty-Ninth'!I24="", "",'Twenty-Ninth'!I24)</f>
        <v>Managing Stress</v>
      </c>
      <c r="J7021" s="66" t="str">
        <f>IF('Twenty-Ninth'!J24="", "",'Twenty-Ninth'!J24)</f>
        <v/>
      </c>
      <c r="K7021" s="86" t="str">
        <f>IF('Twenty-Ninth'!K24="", "",'Twenty-Ninth'!K24)</f>
        <v/>
      </c>
      <c r="M7021" s="67" t="str">
        <f t="shared" si="332"/>
        <v/>
      </c>
      <c r="N7021" s="76">
        <f t="shared" si="333"/>
        <v>7</v>
      </c>
      <c r="O7021" s="33">
        <f t="shared" si="334"/>
        <v>7</v>
      </c>
    </row>
    <row r="7022" spans="1:15" x14ac:dyDescent="0.25">
      <c r="A7022" s="64" t="s">
        <v>226</v>
      </c>
      <c r="B7022" s="79" t="str">
        <f>IF('Twenty-Ninth'!B25="", "",'Twenty-Ninth'!B25)</f>
        <v>Psychologist</v>
      </c>
      <c r="C7022" s="66" t="str">
        <f>IF('Twenty-Ninth'!C25="", "",'Twenty-Ninth'!C25)</f>
        <v>PwC</v>
      </c>
      <c r="D7022" s="66" t="str">
        <f>IF('Twenty-Ninth'!D25="", "",'Twenty-Ninth'!D25)</f>
        <v>Returning</v>
      </c>
      <c r="E7022" s="66" t="str">
        <f>IF('Twenty-Ninth'!E25="", "",'Twenty-Ninth'!E25)</f>
        <v>Female</v>
      </c>
      <c r="F7022" s="66" t="str">
        <f>IF('Twenty-Ninth'!F25="", "",'Twenty-Ninth'!F25)</f>
        <v>Haemat</v>
      </c>
      <c r="G7022" s="66" t="str">
        <f>IF('Twenty-Ninth'!G25="", "",'Twenty-Ninth'!G25)</f>
        <v>Non-Curative Intent</v>
      </c>
      <c r="H7022" s="66" t="str">
        <f>IF('Twenty-Ninth'!H25="", "",'Twenty-Ninth'!H25)</f>
        <v>Programme</v>
      </c>
      <c r="I7022" s="66" t="str">
        <f>IF('Twenty-Ninth'!I25="", "",'Twenty-Ninth'!I25)</f>
        <v>Managing Stress</v>
      </c>
      <c r="J7022" s="66" t="str">
        <f>IF('Twenty-Ninth'!J25="", "",'Twenty-Ninth'!J25)</f>
        <v/>
      </c>
      <c r="K7022" s="86" t="str">
        <f>IF('Twenty-Ninth'!K25="", "",'Twenty-Ninth'!K25)</f>
        <v/>
      </c>
      <c r="M7022" s="67">
        <f t="shared" si="332"/>
        <v>7</v>
      </c>
      <c r="N7022" s="76" t="str">
        <f t="shared" si="333"/>
        <v/>
      </c>
      <c r="O7022" s="33">
        <f t="shared" si="334"/>
        <v>7</v>
      </c>
    </row>
    <row r="7023" spans="1:15" x14ac:dyDescent="0.25">
      <c r="A7023" s="64" t="s">
        <v>226</v>
      </c>
      <c r="B7023" s="79" t="str">
        <f>IF('Twenty-Ninth'!B26="", "",'Twenty-Ninth'!B26)</f>
        <v>Psychologist</v>
      </c>
      <c r="C7023" s="66" t="str">
        <f>IF('Twenty-Ninth'!C26="", "",'Twenty-Ninth'!C26)</f>
        <v>PwC</v>
      </c>
      <c r="D7023" s="66" t="str">
        <f>IF('Twenty-Ninth'!D26="", "",'Twenty-Ninth'!D26)</f>
        <v>Returning</v>
      </c>
      <c r="E7023" s="66" t="str">
        <f>IF('Twenty-Ninth'!E26="", "",'Twenty-Ninth'!E26)</f>
        <v>Female</v>
      </c>
      <c r="F7023" s="66" t="str">
        <f>IF('Twenty-Ninth'!F26="", "",'Twenty-Ninth'!F26)</f>
        <v>Breast</v>
      </c>
      <c r="G7023" s="66" t="str">
        <f>IF('Twenty-Ninth'!G26="", "",'Twenty-Ninth'!G26)</f>
        <v>Curative Intent</v>
      </c>
      <c r="H7023" s="66" t="str">
        <f>IF('Twenty-Ninth'!H26="", "",'Twenty-Ninth'!H26)</f>
        <v>Programme</v>
      </c>
      <c r="I7023" s="66" t="str">
        <f>IF('Twenty-Ninth'!I26="", "",'Twenty-Ninth'!I26)</f>
        <v>Managing Stress</v>
      </c>
      <c r="J7023" s="66" t="str">
        <f>IF('Twenty-Ninth'!J26="", "",'Twenty-Ninth'!J26)</f>
        <v/>
      </c>
      <c r="K7023" s="86" t="str">
        <f>IF('Twenty-Ninth'!K26="", "",'Twenty-Ninth'!K26)</f>
        <v/>
      </c>
      <c r="M7023" s="67">
        <f t="shared" si="332"/>
        <v>7</v>
      </c>
      <c r="N7023" s="76" t="str">
        <f t="shared" si="333"/>
        <v/>
      </c>
      <c r="O7023" s="33">
        <f t="shared" si="334"/>
        <v>7</v>
      </c>
    </row>
    <row r="7024" spans="1:15" x14ac:dyDescent="0.25">
      <c r="A7024" s="64" t="s">
        <v>226</v>
      </c>
      <c r="B7024" s="79" t="str">
        <f>IF('Twenty-Ninth'!B27="", "",'Twenty-Ninth'!B27)</f>
        <v>Psychologist</v>
      </c>
      <c r="C7024" s="66" t="str">
        <f>IF('Twenty-Ninth'!C27="", "",'Twenty-Ninth'!C27)</f>
        <v>Carer</v>
      </c>
      <c r="D7024" s="66" t="str">
        <f>IF('Twenty-Ninth'!D27="", "",'Twenty-Ninth'!D27)</f>
        <v>New</v>
      </c>
      <c r="E7024" s="66" t="str">
        <f>IF('Twenty-Ninth'!E27="", "",'Twenty-Ninth'!E27)</f>
        <v>Female</v>
      </c>
      <c r="F7024" s="66" t="str">
        <f>IF('Twenty-Ninth'!F27="", "",'Twenty-Ninth'!F27)</f>
        <v>Upper GI</v>
      </c>
      <c r="G7024" s="66" t="str">
        <f>IF('Twenty-Ninth'!G27="", "",'Twenty-Ninth'!G27)</f>
        <v>Bereaved</v>
      </c>
      <c r="H7024" s="66" t="str">
        <f>IF('Twenty-Ninth'!H27="", "",'Twenty-Ninth'!H27)</f>
        <v>Booked</v>
      </c>
      <c r="I7024" s="66" t="str">
        <f>IF('Twenty-Ninth'!I27="", "",'Twenty-Ninth'!I27)</f>
        <v>Psych Support - Individual</v>
      </c>
      <c r="J7024" s="66" t="str">
        <f>IF('Twenty-Ninth'!J27="", "",'Twenty-Ninth'!J27)</f>
        <v/>
      </c>
      <c r="K7024" s="86" t="str">
        <f>IF('Twenty-Ninth'!K27="", "",'Twenty-Ninth'!K27)</f>
        <v/>
      </c>
      <c r="M7024" s="67" t="str">
        <f t="shared" si="332"/>
        <v/>
      </c>
      <c r="N7024" s="76">
        <f t="shared" si="333"/>
        <v>7</v>
      </c>
      <c r="O7024" s="33">
        <f t="shared" si="334"/>
        <v>7</v>
      </c>
    </row>
    <row r="7025" spans="1:15" x14ac:dyDescent="0.25">
      <c r="A7025" s="64" t="s">
        <v>226</v>
      </c>
      <c r="B7025" s="79" t="str">
        <f>IF('Twenty-Ninth'!B28="", "",'Twenty-Ninth'!B28)</f>
        <v>Psychologist</v>
      </c>
      <c r="C7025" s="66" t="str">
        <f>IF('Twenty-Ninth'!C28="", "",'Twenty-Ninth'!C28)</f>
        <v>PwC</v>
      </c>
      <c r="D7025" s="66" t="str">
        <f>IF('Twenty-Ninth'!D28="", "",'Twenty-Ninth'!D28)</f>
        <v>Returning</v>
      </c>
      <c r="E7025" s="66" t="str">
        <f>IF('Twenty-Ninth'!E28="", "",'Twenty-Ninth'!E28)</f>
        <v>Female</v>
      </c>
      <c r="F7025" s="66" t="str">
        <f>IF('Twenty-Ninth'!F28="", "",'Twenty-Ninth'!F28)</f>
        <v>Breast</v>
      </c>
      <c r="G7025" s="66" t="str">
        <f>IF('Twenty-Ninth'!G28="", "",'Twenty-Ninth'!G28)</f>
        <v>Post Treatment - Curative Intent</v>
      </c>
      <c r="H7025" s="66" t="str">
        <f>IF('Twenty-Ninth'!H28="", "",'Twenty-Ninth'!H28)</f>
        <v>Booked</v>
      </c>
      <c r="I7025" s="66" t="str">
        <f>IF('Twenty-Ninth'!I28="", "",'Twenty-Ninth'!I28)</f>
        <v>Psych Support - Individual</v>
      </c>
      <c r="J7025" s="66" t="str">
        <f>IF('Twenty-Ninth'!J28="", "",'Twenty-Ninth'!J28)</f>
        <v/>
      </c>
      <c r="K7025" s="86" t="str">
        <f>IF('Twenty-Ninth'!K28="", "",'Twenty-Ninth'!K28)</f>
        <v/>
      </c>
      <c r="M7025" s="67">
        <f t="shared" si="332"/>
        <v>7</v>
      </c>
      <c r="N7025" s="76" t="str">
        <f t="shared" si="333"/>
        <v/>
      </c>
      <c r="O7025" s="33">
        <f t="shared" si="334"/>
        <v>7</v>
      </c>
    </row>
    <row r="7026" spans="1:15" x14ac:dyDescent="0.25">
      <c r="A7026" s="64" t="s">
        <v>226</v>
      </c>
      <c r="B7026" s="79" t="str">
        <f>IF('Twenty-Ninth'!B29="", "",'Twenty-Ninth'!B29)</f>
        <v>Psychologist</v>
      </c>
      <c r="C7026" s="66" t="str">
        <f>IF('Twenty-Ninth'!C29="", "",'Twenty-Ninth'!C29)</f>
        <v>PwC</v>
      </c>
      <c r="D7026" s="66" t="str">
        <f>IF('Twenty-Ninth'!D29="", "",'Twenty-Ninth'!D29)</f>
        <v>Returning</v>
      </c>
      <c r="E7026" s="66" t="str">
        <f>IF('Twenty-Ninth'!E29="", "",'Twenty-Ninth'!E29)</f>
        <v>Male</v>
      </c>
      <c r="F7026" s="66" t="str">
        <f>IF('Twenty-Ninth'!F29="", "",'Twenty-Ninth'!F29)</f>
        <v>Upper GI</v>
      </c>
      <c r="G7026" s="66" t="str">
        <f>IF('Twenty-Ninth'!G29="", "",'Twenty-Ninth'!G29)</f>
        <v>Non-Curative Intent</v>
      </c>
      <c r="H7026" s="66" t="str">
        <f>IF('Twenty-Ninth'!H29="", "",'Twenty-Ninth'!H29)</f>
        <v>Booked</v>
      </c>
      <c r="I7026" s="66" t="str">
        <f>IF('Twenty-Ninth'!I29="", "",'Twenty-Ninth'!I29)</f>
        <v>Psych Support - Individual</v>
      </c>
      <c r="J7026" s="66" t="str">
        <f>IF('Twenty-Ninth'!J29="", "",'Twenty-Ninth'!J29)</f>
        <v/>
      </c>
      <c r="K7026" s="86" t="str">
        <f>IF('Twenty-Ninth'!K29="", "",'Twenty-Ninth'!K29)</f>
        <v/>
      </c>
      <c r="M7026" s="67">
        <f t="shared" si="332"/>
        <v>7</v>
      </c>
      <c r="N7026" s="76" t="str">
        <f t="shared" si="333"/>
        <v/>
      </c>
      <c r="O7026" s="33">
        <f t="shared" si="334"/>
        <v>7</v>
      </c>
    </row>
    <row r="7027" spans="1:15" x14ac:dyDescent="0.25">
      <c r="A7027" s="64" t="s">
        <v>226</v>
      </c>
      <c r="B7027" s="79" t="str">
        <f>IF('Twenty-Ninth'!B30="", "",'Twenty-Ninth'!B30)</f>
        <v>Psychologist</v>
      </c>
      <c r="C7027" s="66" t="str">
        <f>IF('Twenty-Ninth'!C30="", "",'Twenty-Ninth'!C30)</f>
        <v>PwC</v>
      </c>
      <c r="D7027" s="66" t="str">
        <f>IF('Twenty-Ninth'!D30="", "",'Twenty-Ninth'!D30)</f>
        <v>Returning</v>
      </c>
      <c r="E7027" s="66" t="str">
        <f>IF('Twenty-Ninth'!E30="", "",'Twenty-Ninth'!E30)</f>
        <v>Female</v>
      </c>
      <c r="F7027" s="66" t="str">
        <f>IF('Twenty-Ninth'!F30="", "",'Twenty-Ninth'!F30)</f>
        <v>Breast</v>
      </c>
      <c r="G7027" s="66" t="str">
        <f>IF('Twenty-Ninth'!G30="", "",'Twenty-Ninth'!G30)</f>
        <v>Post Treatment - Curative Intent</v>
      </c>
      <c r="H7027" s="66" t="str">
        <f>IF('Twenty-Ninth'!H30="", "",'Twenty-Ninth'!H30)</f>
        <v>Booked</v>
      </c>
      <c r="I7027" s="66" t="str">
        <f>IF('Twenty-Ninth'!I30="", "",'Twenty-Ninth'!I30)</f>
        <v>Psych Support - Individual</v>
      </c>
      <c r="J7027" s="66" t="str">
        <f>IF('Twenty-Ninth'!J30="", "",'Twenty-Ninth'!J30)</f>
        <v/>
      </c>
      <c r="K7027" s="86" t="str">
        <f>IF('Twenty-Ninth'!K30="", "",'Twenty-Ninth'!K30)</f>
        <v/>
      </c>
      <c r="M7027" s="67">
        <f t="shared" si="332"/>
        <v>7</v>
      </c>
      <c r="N7027" s="76" t="str">
        <f t="shared" si="333"/>
        <v/>
      </c>
      <c r="O7027" s="33">
        <f t="shared" si="334"/>
        <v>7</v>
      </c>
    </row>
    <row r="7028" spans="1:15" x14ac:dyDescent="0.25">
      <c r="A7028" s="64" t="s">
        <v>226</v>
      </c>
      <c r="B7028" s="79" t="str">
        <f>IF('Twenty-Ninth'!B31="", "",'Twenty-Ninth'!B31)</f>
        <v>Psychologist</v>
      </c>
      <c r="C7028" s="66" t="str">
        <f>IF('Twenty-Ninth'!C31="", "",'Twenty-Ninth'!C31)</f>
        <v>Carer</v>
      </c>
      <c r="D7028" s="66" t="str">
        <f>IF('Twenty-Ninth'!D31="", "",'Twenty-Ninth'!D31)</f>
        <v>Returning</v>
      </c>
      <c r="E7028" s="66" t="str">
        <f>IF('Twenty-Ninth'!E31="", "",'Twenty-Ninth'!E31)</f>
        <v>Female</v>
      </c>
      <c r="F7028" s="66" t="str">
        <f>IF('Twenty-Ninth'!F31="", "",'Twenty-Ninth'!F31)</f>
        <v>Breast</v>
      </c>
      <c r="G7028" s="66" t="str">
        <f>IF('Twenty-Ninth'!G31="", "",'Twenty-Ninth'!G31)</f>
        <v>Bereaved</v>
      </c>
      <c r="H7028" s="66" t="str">
        <f>IF('Twenty-Ninth'!H31="", "",'Twenty-Ninth'!H31)</f>
        <v>Booked</v>
      </c>
      <c r="I7028" s="66" t="str">
        <f>IF('Twenty-Ninth'!I31="", "",'Twenty-Ninth'!I31)</f>
        <v>Psych Support - Individual</v>
      </c>
      <c r="J7028" s="66" t="str">
        <f>IF('Twenty-Ninth'!J31="", "",'Twenty-Ninth'!J31)</f>
        <v/>
      </c>
      <c r="K7028" s="86" t="str">
        <f>IF('Twenty-Ninth'!K31="", "",'Twenty-Ninth'!K31)</f>
        <v/>
      </c>
      <c r="M7028" s="67" t="str">
        <f t="shared" si="332"/>
        <v/>
      </c>
      <c r="N7028" s="76">
        <f t="shared" si="333"/>
        <v>7</v>
      </c>
      <c r="O7028" s="33">
        <f t="shared" si="334"/>
        <v>7</v>
      </c>
    </row>
    <row r="7029" spans="1:15" x14ac:dyDescent="0.25">
      <c r="A7029" s="64" t="s">
        <v>226</v>
      </c>
      <c r="B7029" s="79" t="str">
        <f>IF('Twenty-Ninth'!B32="", "",'Twenty-Ninth'!B32)</f>
        <v>Psychologist</v>
      </c>
      <c r="C7029" s="66" t="str">
        <f>IF('Twenty-Ninth'!C32="", "",'Twenty-Ninth'!C32)</f>
        <v>Carer</v>
      </c>
      <c r="D7029" s="66" t="str">
        <f>IF('Twenty-Ninth'!D32="", "",'Twenty-Ninth'!D32)</f>
        <v>Returning</v>
      </c>
      <c r="E7029" s="66" t="str">
        <f>IF('Twenty-Ninth'!E32="", "",'Twenty-Ninth'!E32)</f>
        <v>Male</v>
      </c>
      <c r="F7029" s="66" t="str">
        <f>IF('Twenty-Ninth'!F32="", "",'Twenty-Ninth'!F32)</f>
        <v>Lung</v>
      </c>
      <c r="G7029" s="66" t="str">
        <f>IF('Twenty-Ninth'!G32="", "",'Twenty-Ninth'!G32)</f>
        <v>Bereaved</v>
      </c>
      <c r="H7029" s="66" t="str">
        <f>IF('Twenty-Ninth'!H32="", "",'Twenty-Ninth'!H32)</f>
        <v>Booked</v>
      </c>
      <c r="I7029" s="66" t="str">
        <f>IF('Twenty-Ninth'!I32="", "",'Twenty-Ninth'!I32)</f>
        <v>Psych Support - Individual</v>
      </c>
      <c r="J7029" s="66" t="str">
        <f>IF('Twenty-Ninth'!J32="", "",'Twenty-Ninth'!J32)</f>
        <v/>
      </c>
      <c r="K7029" s="86" t="str">
        <f>IF('Twenty-Ninth'!K32="", "",'Twenty-Ninth'!K32)</f>
        <v/>
      </c>
      <c r="M7029" s="67" t="str">
        <f t="shared" si="332"/>
        <v/>
      </c>
      <c r="N7029" s="76">
        <f t="shared" si="333"/>
        <v>7</v>
      </c>
      <c r="O7029" s="33">
        <f t="shared" si="334"/>
        <v>7</v>
      </c>
    </row>
    <row r="7030" spans="1:15" x14ac:dyDescent="0.25">
      <c r="A7030" s="64" t="s">
        <v>226</v>
      </c>
      <c r="B7030" s="79" t="str">
        <f>IF('Twenty-Ninth'!B33="", "",'Twenty-Ninth'!B33)</f>
        <v>Psychologist</v>
      </c>
      <c r="C7030" s="66" t="str">
        <f>IF('Twenty-Ninth'!C33="", "",'Twenty-Ninth'!C33)</f>
        <v>PwC</v>
      </c>
      <c r="D7030" s="66" t="str">
        <f>IF('Twenty-Ninth'!D33="", "",'Twenty-Ninth'!D33)</f>
        <v>New</v>
      </c>
      <c r="E7030" s="66" t="str">
        <f>IF('Twenty-Ninth'!E33="", "",'Twenty-Ninth'!E33)</f>
        <v>Male</v>
      </c>
      <c r="F7030" s="66" t="str">
        <f>IF('Twenty-Ninth'!F33="", "",'Twenty-Ninth'!F33)</f>
        <v>Haemat</v>
      </c>
      <c r="G7030" s="66" t="str">
        <f>IF('Twenty-Ninth'!G33="", "",'Twenty-Ninth'!G33)</f>
        <v>Bereaved</v>
      </c>
      <c r="H7030" s="66" t="str">
        <f>IF('Twenty-Ninth'!H33="", "",'Twenty-Ninth'!H33)</f>
        <v>Booked</v>
      </c>
      <c r="I7030" s="66" t="str">
        <f>IF('Twenty-Ninth'!I33="", "",'Twenty-Ninth'!I33)</f>
        <v>Psych Support - Individual</v>
      </c>
      <c r="J7030" s="66" t="str">
        <f>IF('Twenty-Ninth'!J33="", "",'Twenty-Ninth'!J33)</f>
        <v/>
      </c>
      <c r="K7030" s="86" t="str">
        <f>IF('Twenty-Ninth'!K33="", "",'Twenty-Ninth'!K33)</f>
        <v/>
      </c>
      <c r="M7030" s="67">
        <f t="shared" si="332"/>
        <v>7</v>
      </c>
      <c r="N7030" s="76" t="str">
        <f t="shared" si="333"/>
        <v/>
      </c>
      <c r="O7030" s="33">
        <f t="shared" si="334"/>
        <v>7</v>
      </c>
    </row>
    <row r="7031" spans="1:15" x14ac:dyDescent="0.25">
      <c r="A7031" s="64" t="s">
        <v>226</v>
      </c>
      <c r="B7031" s="79" t="str">
        <f>IF('Twenty-Ninth'!B34="", "",'Twenty-Ninth'!B34)</f>
        <v>Psychologist</v>
      </c>
      <c r="C7031" s="66" t="str">
        <f>IF('Twenty-Ninth'!C34="", "",'Twenty-Ninth'!C34)</f>
        <v>Carer</v>
      </c>
      <c r="D7031" s="66" t="str">
        <f>IF('Twenty-Ninth'!D34="", "",'Twenty-Ninth'!D34)</f>
        <v>New</v>
      </c>
      <c r="E7031" s="66" t="str">
        <f>IF('Twenty-Ninth'!E34="", "",'Twenty-Ninth'!E34)</f>
        <v>Female</v>
      </c>
      <c r="F7031" s="66" t="str">
        <f>IF('Twenty-Ninth'!F34="", "",'Twenty-Ninth'!F34)</f>
        <v>Haemat</v>
      </c>
      <c r="G7031" s="66" t="str">
        <f>IF('Twenty-Ninth'!G34="", "",'Twenty-Ninth'!G34)</f>
        <v>Curative Intent</v>
      </c>
      <c r="H7031" s="66" t="str">
        <f>IF('Twenty-Ninth'!H34="", "",'Twenty-Ninth'!H34)</f>
        <v>Booked</v>
      </c>
      <c r="I7031" s="66" t="str">
        <f>IF('Twenty-Ninth'!I34="", "",'Twenty-Ninth'!I34)</f>
        <v>Psych Support - Family</v>
      </c>
      <c r="J7031" s="66" t="str">
        <f>IF('Twenty-Ninth'!J34="", "",'Twenty-Ninth'!J34)</f>
        <v/>
      </c>
      <c r="K7031" s="86" t="str">
        <f>IF('Twenty-Ninth'!K34="", "",'Twenty-Ninth'!K34)</f>
        <v/>
      </c>
      <c r="M7031" s="67" t="str">
        <f t="shared" si="332"/>
        <v/>
      </c>
      <c r="N7031" s="76">
        <f t="shared" si="333"/>
        <v>7</v>
      </c>
      <c r="O7031" s="33">
        <f t="shared" si="334"/>
        <v>7</v>
      </c>
    </row>
    <row r="7032" spans="1:15" x14ac:dyDescent="0.25">
      <c r="A7032" s="64" t="s">
        <v>226</v>
      </c>
      <c r="B7032" s="79" t="str">
        <f>IF('Twenty-Ninth'!B35="", "",'Twenty-Ninth'!B35)</f>
        <v>CSS</v>
      </c>
      <c r="C7032" s="66" t="str">
        <f>IF('Twenty-Ninth'!C35="", "",'Twenty-Ninth'!C35)</f>
        <v>PwC</v>
      </c>
      <c r="D7032" s="66" t="str">
        <f>IF('Twenty-Ninth'!D35="", "",'Twenty-Ninth'!D35)</f>
        <v>New</v>
      </c>
      <c r="E7032" s="66" t="str">
        <f>IF('Twenty-Ninth'!E35="", "",'Twenty-Ninth'!E35)</f>
        <v>Female</v>
      </c>
      <c r="F7032" s="66" t="str">
        <f>IF('Twenty-Ninth'!F35="", "",'Twenty-Ninth'!F35)</f>
        <v>Breast</v>
      </c>
      <c r="G7032" s="66" t="str">
        <f>IF('Twenty-Ninth'!G35="", "",'Twenty-Ninth'!G35)</f>
        <v>Non-Curative Intent</v>
      </c>
      <c r="H7032" s="66" t="str">
        <f>IF('Twenty-Ninth'!H35="", "",'Twenty-Ninth'!H35)</f>
        <v>Drop-In</v>
      </c>
      <c r="I7032" s="66" t="str">
        <f>IF('Twenty-Ninth'!I35="", "",'Twenty-Ninth'!I35)</f>
        <v/>
      </c>
      <c r="J7032" s="66" t="str">
        <f>IF('Twenty-Ninth'!J35="", "",'Twenty-Ninth'!J35)</f>
        <v/>
      </c>
      <c r="K7032" s="86" t="str">
        <f>IF('Twenty-Ninth'!K35="", "",'Twenty-Ninth'!K35)</f>
        <v/>
      </c>
      <c r="M7032" s="67">
        <f t="shared" si="332"/>
        <v>7</v>
      </c>
      <c r="N7032" s="76" t="str">
        <f t="shared" si="333"/>
        <v/>
      </c>
      <c r="O7032" s="33">
        <f t="shared" si="334"/>
        <v>7</v>
      </c>
    </row>
    <row r="7033" spans="1:15" x14ac:dyDescent="0.25">
      <c r="A7033" s="64" t="s">
        <v>226</v>
      </c>
      <c r="B7033" s="79" t="str">
        <f>IF('Twenty-Ninth'!B36="", "",'Twenty-Ninth'!B36)</f>
        <v>CSS</v>
      </c>
      <c r="C7033" s="66" t="str">
        <f>IF('Twenty-Ninth'!C36="", "",'Twenty-Ninth'!C36)</f>
        <v>Carer</v>
      </c>
      <c r="D7033" s="66" t="str">
        <f>IF('Twenty-Ninth'!D36="", "",'Twenty-Ninth'!D36)</f>
        <v>New</v>
      </c>
      <c r="E7033" s="66" t="str">
        <f>IF('Twenty-Ninth'!E36="", "",'Twenty-Ninth'!E36)</f>
        <v>Male</v>
      </c>
      <c r="F7033" s="66" t="str">
        <f>IF('Twenty-Ninth'!F36="", "",'Twenty-Ninth'!F36)</f>
        <v>Breast</v>
      </c>
      <c r="G7033" s="66" t="str">
        <f>IF('Twenty-Ninth'!G36="", "",'Twenty-Ninth'!G36)</f>
        <v>Non-Curative Intent</v>
      </c>
      <c r="H7033" s="66" t="str">
        <f>IF('Twenty-Ninth'!H36="", "",'Twenty-Ninth'!H36)</f>
        <v>Drop-In</v>
      </c>
      <c r="I7033" s="66" t="str">
        <f>IF('Twenty-Ninth'!I36="", "",'Twenty-Ninth'!I36)</f>
        <v/>
      </c>
      <c r="J7033" s="66" t="str">
        <f>IF('Twenty-Ninth'!J36="", "",'Twenty-Ninth'!J36)</f>
        <v/>
      </c>
      <c r="K7033" s="86" t="str">
        <f>IF('Twenty-Ninth'!K36="", "",'Twenty-Ninth'!K36)</f>
        <v/>
      </c>
      <c r="M7033" s="67" t="str">
        <f t="shared" si="332"/>
        <v/>
      </c>
      <c r="N7033" s="76">
        <f t="shared" si="333"/>
        <v>7</v>
      </c>
      <c r="O7033" s="33">
        <f t="shared" si="334"/>
        <v>7</v>
      </c>
    </row>
    <row r="7034" spans="1:15" x14ac:dyDescent="0.25">
      <c r="A7034" s="64" t="s">
        <v>226</v>
      </c>
      <c r="B7034" s="79" t="str">
        <f>IF('Twenty-Ninth'!B37="", "",'Twenty-Ninth'!B37)</f>
        <v>CSS</v>
      </c>
      <c r="C7034" s="66" t="str">
        <f>IF('Twenty-Ninth'!C37="", "",'Twenty-Ninth'!C37)</f>
        <v>PwC</v>
      </c>
      <c r="D7034" s="66" t="str">
        <f>IF('Twenty-Ninth'!D37="", "",'Twenty-Ninth'!D37)</f>
        <v>Returning</v>
      </c>
      <c r="E7034" s="66" t="str">
        <f>IF('Twenty-Ninth'!E37="", "",'Twenty-Ninth'!E37)</f>
        <v>Female</v>
      </c>
      <c r="F7034" s="66" t="str">
        <f>IF('Twenty-Ninth'!F37="", "",'Twenty-Ninth'!F37)</f>
        <v>Sarcoma</v>
      </c>
      <c r="G7034" s="66" t="str">
        <f>IF('Twenty-Ninth'!G37="", "",'Twenty-Ninth'!G37)</f>
        <v>Non-Curative Intent</v>
      </c>
      <c r="H7034" s="66" t="str">
        <f>IF('Twenty-Ninth'!H37="", "",'Twenty-Ninth'!H37)</f>
        <v>Drop-In</v>
      </c>
      <c r="I7034" s="66" t="str">
        <f>IF('Twenty-Ninth'!I37="", "",'Twenty-Ninth'!I37)</f>
        <v/>
      </c>
      <c r="J7034" s="66" t="str">
        <f>IF('Twenty-Ninth'!J37="", "",'Twenty-Ninth'!J37)</f>
        <v/>
      </c>
      <c r="K7034" s="86" t="str">
        <f>IF('Twenty-Ninth'!K37="", "",'Twenty-Ninth'!K37)</f>
        <v/>
      </c>
      <c r="M7034" s="67">
        <f t="shared" si="332"/>
        <v>7</v>
      </c>
      <c r="N7034" s="76" t="str">
        <f t="shared" si="333"/>
        <v/>
      </c>
      <c r="O7034" s="33">
        <f t="shared" si="334"/>
        <v>7</v>
      </c>
    </row>
    <row r="7035" spans="1:15" x14ac:dyDescent="0.25">
      <c r="A7035" s="64" t="s">
        <v>226</v>
      </c>
      <c r="B7035" s="79" t="str">
        <f>IF('Twenty-Ninth'!B38="", "",'Twenty-Ninth'!B38)</f>
        <v>CSS</v>
      </c>
      <c r="C7035" s="66" t="str">
        <f>IF('Twenty-Ninth'!C38="", "",'Twenty-Ninth'!C38)</f>
        <v>Carer</v>
      </c>
      <c r="D7035" s="66" t="str">
        <f>IF('Twenty-Ninth'!D38="", "",'Twenty-Ninth'!D38)</f>
        <v>New</v>
      </c>
      <c r="E7035" s="66" t="str">
        <f>IF('Twenty-Ninth'!E38="", "",'Twenty-Ninth'!E38)</f>
        <v>Female</v>
      </c>
      <c r="F7035" s="66" t="str">
        <f>IF('Twenty-Ninth'!F38="", "",'Twenty-Ninth'!F38)</f>
        <v>Sarcoma</v>
      </c>
      <c r="G7035" s="66" t="str">
        <f>IF('Twenty-Ninth'!G38="", "",'Twenty-Ninth'!G38)</f>
        <v>Non-Curative Intent</v>
      </c>
      <c r="H7035" s="66" t="str">
        <f>IF('Twenty-Ninth'!H38="", "",'Twenty-Ninth'!H38)</f>
        <v>Drop-In</v>
      </c>
      <c r="I7035" s="66" t="str">
        <f>IF('Twenty-Ninth'!I38="", "",'Twenty-Ninth'!I38)</f>
        <v/>
      </c>
      <c r="J7035" s="66" t="str">
        <f>IF('Twenty-Ninth'!J38="", "",'Twenty-Ninth'!J38)</f>
        <v/>
      </c>
      <c r="K7035" s="86" t="str">
        <f>IF('Twenty-Ninth'!K38="", "",'Twenty-Ninth'!K38)</f>
        <v/>
      </c>
      <c r="M7035" s="67" t="str">
        <f t="shared" si="332"/>
        <v/>
      </c>
      <c r="N7035" s="76">
        <f t="shared" si="333"/>
        <v>7</v>
      </c>
      <c r="O7035" s="33">
        <f t="shared" si="334"/>
        <v>7</v>
      </c>
    </row>
    <row r="7036" spans="1:15" x14ac:dyDescent="0.25">
      <c r="A7036" s="64" t="s">
        <v>226</v>
      </c>
      <c r="B7036" s="79" t="str">
        <f>IF('Twenty-Ninth'!B39="", "",'Twenty-Ninth'!B39)</f>
        <v>CSS</v>
      </c>
      <c r="C7036" s="66" t="str">
        <f>IF('Twenty-Ninth'!C39="", "",'Twenty-Ninth'!C39)</f>
        <v>Professional</v>
      </c>
      <c r="D7036" s="66" t="str">
        <f>IF('Twenty-Ninth'!D39="", "",'Twenty-Ninth'!D39)</f>
        <v/>
      </c>
      <c r="E7036" s="66" t="str">
        <f>IF('Twenty-Ninth'!E39="", "",'Twenty-Ninth'!E39)</f>
        <v>Female</v>
      </c>
      <c r="F7036" s="66" t="str">
        <f>IF('Twenty-Ninth'!F39="", "",'Twenty-Ninth'!F39)</f>
        <v/>
      </c>
      <c r="G7036" s="66" t="str">
        <f>IF('Twenty-Ninth'!G39="", "",'Twenty-Ninth'!G39)</f>
        <v/>
      </c>
      <c r="H7036" s="66" t="str">
        <f>IF('Twenty-Ninth'!H39="", "",'Twenty-Ninth'!H39)</f>
        <v/>
      </c>
      <c r="I7036" s="66" t="str">
        <f>IF('Twenty-Ninth'!I39="", "",'Twenty-Ninth'!I39)</f>
        <v/>
      </c>
      <c r="J7036" s="66" t="str">
        <f>IF('Twenty-Ninth'!J39="", "",'Twenty-Ninth'!J39)</f>
        <v/>
      </c>
      <c r="K7036" s="86" t="str">
        <f>IF('Twenty-Ninth'!K39="", "",'Twenty-Ninth'!K39)</f>
        <v/>
      </c>
      <c r="M7036" s="67" t="str">
        <f t="shared" si="332"/>
        <v/>
      </c>
      <c r="N7036" s="76" t="str">
        <f t="shared" si="333"/>
        <v/>
      </c>
      <c r="O7036" s="33">
        <f t="shared" si="334"/>
        <v>0</v>
      </c>
    </row>
    <row r="7037" spans="1:15" x14ac:dyDescent="0.25">
      <c r="A7037" s="64" t="s">
        <v>226</v>
      </c>
      <c r="B7037" s="79" t="str">
        <f>IF('Twenty-Ninth'!B40="", "",'Twenty-Ninth'!B40)</f>
        <v>CSS</v>
      </c>
      <c r="C7037" s="66" t="str">
        <f>IF('Twenty-Ninth'!C40="", "",'Twenty-Ninth'!C40)</f>
        <v>PwC</v>
      </c>
      <c r="D7037" s="66" t="str">
        <f>IF('Twenty-Ninth'!D40="", "",'Twenty-Ninth'!D40)</f>
        <v>Returning</v>
      </c>
      <c r="E7037" s="66" t="str">
        <f>IF('Twenty-Ninth'!E40="", "",'Twenty-Ninth'!E40)</f>
        <v>Male</v>
      </c>
      <c r="F7037" s="66" t="str">
        <f>IF('Twenty-Ninth'!F40="", "",'Twenty-Ninth'!F40)</f>
        <v>Prostate</v>
      </c>
      <c r="G7037" s="66" t="str">
        <f>IF('Twenty-Ninth'!G40="", "",'Twenty-Ninth'!G40)</f>
        <v>Post Treatment - Curative Intent</v>
      </c>
      <c r="H7037" s="66" t="str">
        <f>IF('Twenty-Ninth'!H40="", "",'Twenty-Ninth'!H40)</f>
        <v>Drop-In</v>
      </c>
      <c r="I7037" s="66" t="str">
        <f>IF('Twenty-Ninth'!I40="", "",'Twenty-Ninth'!I40)</f>
        <v/>
      </c>
      <c r="J7037" s="66" t="str">
        <f>IF('Twenty-Ninth'!J40="", "",'Twenty-Ninth'!J40)</f>
        <v/>
      </c>
      <c r="K7037" s="86" t="str">
        <f>IF('Twenty-Ninth'!K40="", "",'Twenty-Ninth'!K40)</f>
        <v/>
      </c>
      <c r="M7037" s="67">
        <f t="shared" si="332"/>
        <v>7</v>
      </c>
      <c r="N7037" s="76" t="str">
        <f t="shared" si="333"/>
        <v/>
      </c>
      <c r="O7037" s="33">
        <f t="shared" si="334"/>
        <v>7</v>
      </c>
    </row>
    <row r="7038" spans="1:15" x14ac:dyDescent="0.25">
      <c r="A7038" s="64" t="s">
        <v>226</v>
      </c>
      <c r="B7038" s="79" t="str">
        <f>IF('Twenty-Ninth'!B41="", "",'Twenty-Ninth'!B41)</f>
        <v>CSS</v>
      </c>
      <c r="C7038" s="66" t="str">
        <f>IF('Twenty-Ninth'!C41="", "",'Twenty-Ninth'!C41)</f>
        <v>Carer</v>
      </c>
      <c r="D7038" s="66" t="str">
        <f>IF('Twenty-Ninth'!D41="", "",'Twenty-Ninth'!D41)</f>
        <v>New</v>
      </c>
      <c r="E7038" s="66" t="str">
        <f>IF('Twenty-Ninth'!E41="", "",'Twenty-Ninth'!E41)</f>
        <v>Female</v>
      </c>
      <c r="F7038" s="66" t="str">
        <f>IF('Twenty-Ninth'!F41="", "",'Twenty-Ninth'!F41)</f>
        <v>Prostate</v>
      </c>
      <c r="G7038" s="66" t="str">
        <f>IF('Twenty-Ninth'!G41="", "",'Twenty-Ninth'!G41)</f>
        <v>Post Treatment - Curative Intent</v>
      </c>
      <c r="H7038" s="66" t="str">
        <f>IF('Twenty-Ninth'!H41="", "",'Twenty-Ninth'!H41)</f>
        <v>Booked</v>
      </c>
      <c r="I7038" s="66" t="str">
        <f>IF('Twenty-Ninth'!I41="", "",'Twenty-Ninth'!I41)</f>
        <v>Psych Support - Individual</v>
      </c>
      <c r="J7038" s="66" t="str">
        <f>IF('Twenty-Ninth'!J41="", "",'Twenty-Ninth'!J41)</f>
        <v/>
      </c>
      <c r="K7038" s="86" t="str">
        <f>IF('Twenty-Ninth'!K41="", "",'Twenty-Ninth'!K41)</f>
        <v/>
      </c>
      <c r="M7038" s="67" t="str">
        <f t="shared" si="332"/>
        <v/>
      </c>
      <c r="N7038" s="76">
        <f t="shared" si="333"/>
        <v>7</v>
      </c>
      <c r="O7038" s="33">
        <f t="shared" si="334"/>
        <v>7</v>
      </c>
    </row>
    <row r="7039" spans="1:15" x14ac:dyDescent="0.25">
      <c r="A7039" s="64" t="s">
        <v>226</v>
      </c>
      <c r="B7039" s="79" t="str">
        <f>IF('Twenty-Ninth'!B42="", "",'Twenty-Ninth'!B42)</f>
        <v>CSS</v>
      </c>
      <c r="C7039" s="66" t="str">
        <f>IF('Twenty-Ninth'!C42="", "",'Twenty-Ninth'!C42)</f>
        <v>Carer</v>
      </c>
      <c r="D7039" s="66" t="str">
        <f>IF('Twenty-Ninth'!D42="", "",'Twenty-Ninth'!D42)</f>
        <v>Returning</v>
      </c>
      <c r="E7039" s="66" t="str">
        <f>IF('Twenty-Ninth'!E42="", "",'Twenty-Ninth'!E42)</f>
        <v>Female</v>
      </c>
      <c r="F7039" s="66" t="str">
        <f>IF('Twenty-Ninth'!F42="", "",'Twenty-Ninth'!F42)</f>
        <v>Sarcoma</v>
      </c>
      <c r="G7039" s="66" t="str">
        <f>IF('Twenty-Ninth'!G42="", "",'Twenty-Ninth'!G42)</f>
        <v>Non-Curative Intent</v>
      </c>
      <c r="H7039" s="66" t="str">
        <f>IF('Twenty-Ninth'!H42="", "",'Twenty-Ninth'!H42)</f>
        <v>Booked</v>
      </c>
      <c r="I7039" s="66" t="str">
        <f>IF('Twenty-Ninth'!I42="", "",'Twenty-Ninth'!I42)</f>
        <v>Psych Support - Individual</v>
      </c>
      <c r="J7039" s="66" t="str">
        <f>IF('Twenty-Ninth'!J42="", "",'Twenty-Ninth'!J42)</f>
        <v/>
      </c>
      <c r="K7039" s="86" t="str">
        <f>IF('Twenty-Ninth'!K42="", "",'Twenty-Ninth'!K42)</f>
        <v/>
      </c>
      <c r="M7039" s="67" t="str">
        <f t="shared" ref="M7039:M7102" si="335">IF(C7039="PwC",(7-COUNTIF(B7039:H7039,"")),"")</f>
        <v/>
      </c>
      <c r="N7039" s="76">
        <f t="shared" ref="N7039:N7102" si="336">IF(C7039="Carer",(7-COUNTIF(B7039:H7039,"")),"")</f>
        <v>7</v>
      </c>
      <c r="O7039" s="33">
        <f t="shared" si="334"/>
        <v>7</v>
      </c>
    </row>
    <row r="7040" spans="1:15" x14ac:dyDescent="0.25">
      <c r="A7040" s="64" t="s">
        <v>226</v>
      </c>
      <c r="B7040" s="79" t="str">
        <f>IF('Twenty-Ninth'!B43="", "",'Twenty-Ninth'!B43)</f>
        <v>CSS</v>
      </c>
      <c r="C7040" s="66" t="str">
        <f>IF('Twenty-Ninth'!C43="", "",'Twenty-Ninth'!C43)</f>
        <v>PwC</v>
      </c>
      <c r="D7040" s="66" t="str">
        <f>IF('Twenty-Ninth'!D43="", "",'Twenty-Ninth'!D43)</f>
        <v>Returning</v>
      </c>
      <c r="E7040" s="66" t="str">
        <f>IF('Twenty-Ninth'!E43="", "",'Twenty-Ninth'!E43)</f>
        <v>Female</v>
      </c>
      <c r="F7040" s="66" t="str">
        <f>IF('Twenty-Ninth'!F43="", "",'Twenty-Ninth'!F43)</f>
        <v>Gynae</v>
      </c>
      <c r="G7040" s="66" t="str">
        <f>IF('Twenty-Ninth'!G43="", "",'Twenty-Ninth'!G43)</f>
        <v>Post Treatment - Curative Intent</v>
      </c>
      <c r="H7040" s="66" t="str">
        <f>IF('Twenty-Ninth'!H43="", "",'Twenty-Ninth'!H43)</f>
        <v>Booked</v>
      </c>
      <c r="I7040" s="66" t="str">
        <f>IF('Twenty-Ninth'!I43="", "",'Twenty-Ninth'!I43)</f>
        <v>Psych Support - Individual</v>
      </c>
      <c r="J7040" s="66" t="str">
        <f>IF('Twenty-Ninth'!J43="", "",'Twenty-Ninth'!J43)</f>
        <v/>
      </c>
      <c r="K7040" s="86" t="str">
        <f>IF('Twenty-Ninth'!K43="", "",'Twenty-Ninth'!K43)</f>
        <v/>
      </c>
      <c r="M7040" s="67">
        <f t="shared" si="335"/>
        <v>7</v>
      </c>
      <c r="N7040" s="76" t="str">
        <f t="shared" si="336"/>
        <v/>
      </c>
      <c r="O7040" s="33">
        <f t="shared" si="334"/>
        <v>7</v>
      </c>
    </row>
    <row r="7041" spans="1:15" x14ac:dyDescent="0.25">
      <c r="A7041" s="64" t="s">
        <v>226</v>
      </c>
      <c r="B7041" s="79" t="str">
        <f>IF('Twenty-Ninth'!B44="", "",'Twenty-Ninth'!B44)</f>
        <v>CSS</v>
      </c>
      <c r="C7041" s="66" t="str">
        <f>IF('Twenty-Ninth'!C44="", "",'Twenty-Ninth'!C44)</f>
        <v>PwC</v>
      </c>
      <c r="D7041" s="66" t="str">
        <f>IF('Twenty-Ninth'!D44="", "",'Twenty-Ninth'!D44)</f>
        <v>New</v>
      </c>
      <c r="E7041" s="66" t="str">
        <f>IF('Twenty-Ninth'!E44="", "",'Twenty-Ninth'!E44)</f>
        <v>Male</v>
      </c>
      <c r="F7041" s="66" t="str">
        <f>IF('Twenty-Ninth'!F44="", "",'Twenty-Ninth'!F44)</f>
        <v>Lower GI</v>
      </c>
      <c r="G7041" s="66" t="str">
        <f>IF('Twenty-Ninth'!G44="", "",'Twenty-Ninth'!G44)</f>
        <v>Curative Intent</v>
      </c>
      <c r="H7041" s="66" t="str">
        <f>IF('Twenty-Ninth'!H44="", "",'Twenty-Ninth'!H44)</f>
        <v>Drop-In</v>
      </c>
      <c r="I7041" s="66" t="str">
        <f>IF('Twenty-Ninth'!I44="", "",'Twenty-Ninth'!I44)</f>
        <v/>
      </c>
      <c r="J7041" s="66" t="str">
        <f>IF('Twenty-Ninth'!J44="", "",'Twenty-Ninth'!J44)</f>
        <v/>
      </c>
      <c r="K7041" s="86" t="str">
        <f>IF('Twenty-Ninth'!K44="", "",'Twenty-Ninth'!K44)</f>
        <v/>
      </c>
      <c r="M7041" s="67">
        <f t="shared" si="335"/>
        <v>7</v>
      </c>
      <c r="N7041" s="76" t="str">
        <f t="shared" si="336"/>
        <v/>
      </c>
      <c r="O7041" s="33">
        <f t="shared" si="334"/>
        <v>7</v>
      </c>
    </row>
    <row r="7042" spans="1:15" x14ac:dyDescent="0.25">
      <c r="A7042" s="64" t="s">
        <v>226</v>
      </c>
      <c r="B7042" s="79" t="str">
        <f>IF('Twenty-Ninth'!B45="", "",'Twenty-Ninth'!B45)</f>
        <v>CSS</v>
      </c>
      <c r="C7042" s="66" t="str">
        <f>IF('Twenty-Ninth'!C45="", "",'Twenty-Ninth'!C45)</f>
        <v>Carer</v>
      </c>
      <c r="D7042" s="66" t="str">
        <f>IF('Twenty-Ninth'!D45="", "",'Twenty-Ninth'!D45)</f>
        <v>New</v>
      </c>
      <c r="E7042" s="66" t="str">
        <f>IF('Twenty-Ninth'!E45="", "",'Twenty-Ninth'!E45)</f>
        <v>Female</v>
      </c>
      <c r="F7042" s="66" t="str">
        <f>IF('Twenty-Ninth'!F45="", "",'Twenty-Ninth'!F45)</f>
        <v>Lower GI</v>
      </c>
      <c r="G7042" s="66" t="str">
        <f>IF('Twenty-Ninth'!G45="", "",'Twenty-Ninth'!G45)</f>
        <v>Curative Intent</v>
      </c>
      <c r="H7042" s="66" t="str">
        <f>IF('Twenty-Ninth'!H45="", "",'Twenty-Ninth'!H45)</f>
        <v>Drop-In</v>
      </c>
      <c r="I7042" s="66" t="str">
        <f>IF('Twenty-Ninth'!I45="", "",'Twenty-Ninth'!I45)</f>
        <v/>
      </c>
      <c r="J7042" s="66" t="str">
        <f>IF('Twenty-Ninth'!J45="", "",'Twenty-Ninth'!J45)</f>
        <v/>
      </c>
      <c r="K7042" s="86" t="str">
        <f>IF('Twenty-Ninth'!K45="", "",'Twenty-Ninth'!K45)</f>
        <v/>
      </c>
      <c r="M7042" s="67" t="str">
        <f t="shared" si="335"/>
        <v/>
      </c>
      <c r="N7042" s="76">
        <f t="shared" si="336"/>
        <v>7</v>
      </c>
      <c r="O7042" s="33">
        <f t="shared" si="334"/>
        <v>7</v>
      </c>
    </row>
    <row r="7043" spans="1:15" x14ac:dyDescent="0.25">
      <c r="A7043" s="64" t="s">
        <v>226</v>
      </c>
      <c r="B7043" s="79" t="str">
        <f>IF('Twenty-Ninth'!B46="", "",'Twenty-Ninth'!B46)</f>
        <v>CSS</v>
      </c>
      <c r="C7043" s="66" t="str">
        <f>IF('Twenty-Ninth'!C46="", "",'Twenty-Ninth'!C46)</f>
        <v>PwC</v>
      </c>
      <c r="D7043" s="66" t="str">
        <f>IF('Twenty-Ninth'!D46="", "",'Twenty-Ninth'!D46)</f>
        <v>Returning</v>
      </c>
      <c r="E7043" s="66" t="str">
        <f>IF('Twenty-Ninth'!E46="", "",'Twenty-Ninth'!E46)</f>
        <v>Female</v>
      </c>
      <c r="F7043" s="66" t="str">
        <f>IF('Twenty-Ninth'!F46="", "",'Twenty-Ninth'!F46)</f>
        <v>Breast</v>
      </c>
      <c r="G7043" s="66" t="str">
        <f>IF('Twenty-Ninth'!G46="", "",'Twenty-Ninth'!G46)</f>
        <v>Non-Curative Intent</v>
      </c>
      <c r="H7043" s="66" t="str">
        <f>IF('Twenty-Ninth'!H46="", "",'Twenty-Ninth'!H46)</f>
        <v>Drop-In</v>
      </c>
      <c r="I7043" s="66" t="str">
        <f>IF('Twenty-Ninth'!I46="", "",'Twenty-Ninth'!I46)</f>
        <v/>
      </c>
      <c r="J7043" s="66" t="str">
        <f>IF('Twenty-Ninth'!J46="", "",'Twenty-Ninth'!J46)</f>
        <v/>
      </c>
      <c r="K7043" s="86" t="str">
        <f>IF('Twenty-Ninth'!K46="", "",'Twenty-Ninth'!K46)</f>
        <v/>
      </c>
      <c r="M7043" s="67">
        <f t="shared" si="335"/>
        <v>7</v>
      </c>
      <c r="N7043" s="76" t="str">
        <f t="shared" si="336"/>
        <v/>
      </c>
      <c r="O7043" s="33">
        <f t="shared" si="334"/>
        <v>7</v>
      </c>
    </row>
    <row r="7044" spans="1:15" x14ac:dyDescent="0.25">
      <c r="A7044" s="64" t="s">
        <v>226</v>
      </c>
      <c r="B7044" s="79" t="str">
        <f>IF('Twenty-Ninth'!B47="", "",'Twenty-Ninth'!B47)</f>
        <v>CSS</v>
      </c>
      <c r="C7044" s="66" t="str">
        <f>IF('Twenty-Ninth'!C47="", "",'Twenty-Ninth'!C47)</f>
        <v>PwC</v>
      </c>
      <c r="D7044" s="66" t="str">
        <f>IF('Twenty-Ninth'!D47="", "",'Twenty-Ninth'!D47)</f>
        <v>New</v>
      </c>
      <c r="E7044" s="66" t="str">
        <f>IF('Twenty-Ninth'!E47="", "",'Twenty-Ninth'!E47)</f>
        <v>Male</v>
      </c>
      <c r="F7044" s="66" t="str">
        <f>IF('Twenty-Ninth'!F47="", "",'Twenty-Ninth'!F47)</f>
        <v>Sarcoma</v>
      </c>
      <c r="G7044" s="66" t="str">
        <f>IF('Twenty-Ninth'!G47="", "",'Twenty-Ninth'!G47)</f>
        <v>Curative Intent</v>
      </c>
      <c r="H7044" s="66" t="str">
        <f>IF('Twenty-Ninth'!H47="", "",'Twenty-Ninth'!H47)</f>
        <v>Drop-In</v>
      </c>
      <c r="I7044" s="66" t="str">
        <f>IF('Twenty-Ninth'!I47="", "",'Twenty-Ninth'!I47)</f>
        <v/>
      </c>
      <c r="J7044" s="66" t="str">
        <f>IF('Twenty-Ninth'!J47="", "",'Twenty-Ninth'!J47)</f>
        <v/>
      </c>
      <c r="K7044" s="86" t="str">
        <f>IF('Twenty-Ninth'!K47="", "",'Twenty-Ninth'!K47)</f>
        <v/>
      </c>
      <c r="M7044" s="67">
        <f t="shared" si="335"/>
        <v>7</v>
      </c>
      <c r="N7044" s="76" t="str">
        <f t="shared" si="336"/>
        <v/>
      </c>
      <c r="O7044" s="33">
        <f t="shared" si="334"/>
        <v>7</v>
      </c>
    </row>
    <row r="7045" spans="1:15" x14ac:dyDescent="0.25">
      <c r="A7045" s="64" t="s">
        <v>226</v>
      </c>
      <c r="B7045" s="79" t="str">
        <f>IF('Twenty-Ninth'!B48="", "",'Twenty-Ninth'!B48)</f>
        <v/>
      </c>
      <c r="C7045" s="66" t="str">
        <f>IF('Twenty-Ninth'!C48="", "",'Twenty-Ninth'!C48)</f>
        <v/>
      </c>
      <c r="D7045" s="66" t="str">
        <f>IF('Twenty-Ninth'!D48="", "",'Twenty-Ninth'!D48)</f>
        <v/>
      </c>
      <c r="E7045" s="66" t="str">
        <f>IF('Twenty-Ninth'!E48="", "",'Twenty-Ninth'!E48)</f>
        <v/>
      </c>
      <c r="F7045" s="66" t="str">
        <f>IF('Twenty-Ninth'!F48="", "",'Twenty-Ninth'!F48)</f>
        <v/>
      </c>
      <c r="G7045" s="66" t="str">
        <f>IF('Twenty-Ninth'!G48="", "",'Twenty-Ninth'!G48)</f>
        <v/>
      </c>
      <c r="H7045" s="66" t="str">
        <f>IF('Twenty-Ninth'!H48="", "",'Twenty-Ninth'!H48)</f>
        <v/>
      </c>
      <c r="I7045" s="66" t="str">
        <f>IF('Twenty-Ninth'!I48="", "",'Twenty-Ninth'!I48)</f>
        <v/>
      </c>
      <c r="J7045" s="66" t="str">
        <f>IF('Twenty-Ninth'!J48="", "",'Twenty-Ninth'!J48)</f>
        <v/>
      </c>
      <c r="K7045" s="86" t="str">
        <f>IF('Twenty-Ninth'!K48="", "",'Twenty-Ninth'!K48)</f>
        <v/>
      </c>
      <c r="M7045" s="67" t="str">
        <f t="shared" si="335"/>
        <v/>
      </c>
      <c r="N7045" s="76" t="str">
        <f t="shared" si="336"/>
        <v/>
      </c>
      <c r="O7045" s="33">
        <f t="shared" si="334"/>
        <v>0</v>
      </c>
    </row>
    <row r="7046" spans="1:15" x14ac:dyDescent="0.25">
      <c r="A7046" s="64" t="s">
        <v>226</v>
      </c>
      <c r="B7046" s="79" t="str">
        <f>IF('Twenty-Ninth'!B49="", "",'Twenty-Ninth'!B49)</f>
        <v/>
      </c>
      <c r="C7046" s="66" t="str">
        <f>IF('Twenty-Ninth'!C49="", "",'Twenty-Ninth'!C49)</f>
        <v/>
      </c>
      <c r="D7046" s="66" t="str">
        <f>IF('Twenty-Ninth'!D49="", "",'Twenty-Ninth'!D49)</f>
        <v/>
      </c>
      <c r="E7046" s="66" t="str">
        <f>IF('Twenty-Ninth'!E49="", "",'Twenty-Ninth'!E49)</f>
        <v/>
      </c>
      <c r="F7046" s="66" t="str">
        <f>IF('Twenty-Ninth'!F49="", "",'Twenty-Ninth'!F49)</f>
        <v/>
      </c>
      <c r="G7046" s="66" t="str">
        <f>IF('Twenty-Ninth'!G49="", "",'Twenty-Ninth'!G49)</f>
        <v/>
      </c>
      <c r="H7046" s="66" t="str">
        <f>IF('Twenty-Ninth'!H49="", "",'Twenty-Ninth'!H49)</f>
        <v/>
      </c>
      <c r="I7046" s="66" t="str">
        <f>IF('Twenty-Ninth'!I49="", "",'Twenty-Ninth'!I49)</f>
        <v/>
      </c>
      <c r="J7046" s="66" t="str">
        <f>IF('Twenty-Ninth'!J49="", "",'Twenty-Ninth'!J49)</f>
        <v/>
      </c>
      <c r="K7046" s="86" t="str">
        <f>IF('Twenty-Ninth'!K49="", "",'Twenty-Ninth'!K49)</f>
        <v/>
      </c>
      <c r="M7046" s="67" t="str">
        <f t="shared" si="335"/>
        <v/>
      </c>
      <c r="N7046" s="76" t="str">
        <f t="shared" si="336"/>
        <v/>
      </c>
      <c r="O7046" s="33">
        <f t="shared" si="334"/>
        <v>0</v>
      </c>
    </row>
    <row r="7047" spans="1:15" x14ac:dyDescent="0.25">
      <c r="A7047" s="64" t="s">
        <v>226</v>
      </c>
      <c r="B7047" s="79" t="str">
        <f>IF('Twenty-Ninth'!B50="", "",'Twenty-Ninth'!B50)</f>
        <v/>
      </c>
      <c r="C7047" s="66" t="str">
        <f>IF('Twenty-Ninth'!C50="", "",'Twenty-Ninth'!C50)</f>
        <v/>
      </c>
      <c r="D7047" s="66" t="str">
        <f>IF('Twenty-Ninth'!D50="", "",'Twenty-Ninth'!D50)</f>
        <v/>
      </c>
      <c r="E7047" s="66" t="str">
        <f>IF('Twenty-Ninth'!E50="", "",'Twenty-Ninth'!E50)</f>
        <v/>
      </c>
      <c r="F7047" s="66" t="str">
        <f>IF('Twenty-Ninth'!F50="", "",'Twenty-Ninth'!F50)</f>
        <v/>
      </c>
      <c r="G7047" s="66" t="str">
        <f>IF('Twenty-Ninth'!G50="", "",'Twenty-Ninth'!G50)</f>
        <v/>
      </c>
      <c r="H7047" s="66" t="str">
        <f>IF('Twenty-Ninth'!H50="", "",'Twenty-Ninth'!H50)</f>
        <v/>
      </c>
      <c r="I7047" s="66" t="str">
        <f>IF('Twenty-Ninth'!I50="", "",'Twenty-Ninth'!I50)</f>
        <v/>
      </c>
      <c r="J7047" s="66" t="str">
        <f>IF('Twenty-Ninth'!J50="", "",'Twenty-Ninth'!J50)</f>
        <v/>
      </c>
      <c r="K7047" s="86" t="str">
        <f>IF('Twenty-Ninth'!K50="", "",'Twenty-Ninth'!K50)</f>
        <v/>
      </c>
      <c r="M7047" s="67" t="str">
        <f t="shared" si="335"/>
        <v/>
      </c>
      <c r="N7047" s="76" t="str">
        <f t="shared" si="336"/>
        <v/>
      </c>
      <c r="O7047" s="33">
        <f t="shared" si="334"/>
        <v>0</v>
      </c>
    </row>
    <row r="7048" spans="1:15" x14ac:dyDescent="0.25">
      <c r="A7048" s="64" t="s">
        <v>226</v>
      </c>
      <c r="B7048" s="79" t="str">
        <f>IF('Twenty-Ninth'!B51="", "",'Twenty-Ninth'!B51)</f>
        <v/>
      </c>
      <c r="C7048" s="66" t="str">
        <f>IF('Twenty-Ninth'!C51="", "",'Twenty-Ninth'!C51)</f>
        <v/>
      </c>
      <c r="D7048" s="66" t="str">
        <f>IF('Twenty-Ninth'!D51="", "",'Twenty-Ninth'!D51)</f>
        <v/>
      </c>
      <c r="E7048" s="66" t="str">
        <f>IF('Twenty-Ninth'!E51="", "",'Twenty-Ninth'!E51)</f>
        <v/>
      </c>
      <c r="F7048" s="66" t="str">
        <f>IF('Twenty-Ninth'!F51="", "",'Twenty-Ninth'!F51)</f>
        <v/>
      </c>
      <c r="G7048" s="66" t="str">
        <f>IF('Twenty-Ninth'!G51="", "",'Twenty-Ninth'!G51)</f>
        <v/>
      </c>
      <c r="H7048" s="66" t="str">
        <f>IF('Twenty-Ninth'!H51="", "",'Twenty-Ninth'!H51)</f>
        <v/>
      </c>
      <c r="I7048" s="66" t="str">
        <f>IF('Twenty-Ninth'!I51="", "",'Twenty-Ninth'!I51)</f>
        <v/>
      </c>
      <c r="J7048" s="66" t="str">
        <f>IF('Twenty-Ninth'!J51="", "",'Twenty-Ninth'!J51)</f>
        <v/>
      </c>
      <c r="K7048" s="86" t="str">
        <f>IF('Twenty-Ninth'!K51="", "",'Twenty-Ninth'!K51)</f>
        <v/>
      </c>
      <c r="M7048" s="67" t="str">
        <f t="shared" si="335"/>
        <v/>
      </c>
      <c r="N7048" s="76" t="str">
        <f t="shared" si="336"/>
        <v/>
      </c>
      <c r="O7048" s="33">
        <f t="shared" si="334"/>
        <v>0</v>
      </c>
    </row>
    <row r="7049" spans="1:15" x14ac:dyDescent="0.25">
      <c r="A7049" s="64" t="s">
        <v>226</v>
      </c>
      <c r="B7049" s="79" t="str">
        <f>IF('Twenty-Ninth'!B52="", "",'Twenty-Ninth'!B52)</f>
        <v/>
      </c>
      <c r="C7049" s="66" t="str">
        <f>IF('Twenty-Ninth'!C52="", "",'Twenty-Ninth'!C52)</f>
        <v/>
      </c>
      <c r="D7049" s="66" t="str">
        <f>IF('Twenty-Ninth'!D52="", "",'Twenty-Ninth'!D52)</f>
        <v/>
      </c>
      <c r="E7049" s="66" t="str">
        <f>IF('Twenty-Ninth'!E52="", "",'Twenty-Ninth'!E52)</f>
        <v/>
      </c>
      <c r="F7049" s="66" t="str">
        <f>IF('Twenty-Ninth'!F52="", "",'Twenty-Ninth'!F52)</f>
        <v/>
      </c>
      <c r="G7049" s="66" t="str">
        <f>IF('Twenty-Ninth'!G52="", "",'Twenty-Ninth'!G52)</f>
        <v/>
      </c>
      <c r="H7049" s="66" t="str">
        <f>IF('Twenty-Ninth'!H52="", "",'Twenty-Ninth'!H52)</f>
        <v/>
      </c>
      <c r="I7049" s="66" t="str">
        <f>IF('Twenty-Ninth'!I52="", "",'Twenty-Ninth'!I52)</f>
        <v/>
      </c>
      <c r="J7049" s="66" t="str">
        <f>IF('Twenty-Ninth'!J52="", "",'Twenty-Ninth'!J52)</f>
        <v/>
      </c>
      <c r="K7049" s="86" t="str">
        <f>IF('Twenty-Ninth'!K52="", "",'Twenty-Ninth'!K52)</f>
        <v/>
      </c>
      <c r="M7049" s="67" t="str">
        <f t="shared" si="335"/>
        <v/>
      </c>
      <c r="N7049" s="76" t="str">
        <f t="shared" si="336"/>
        <v/>
      </c>
      <c r="O7049" s="33">
        <f t="shared" si="334"/>
        <v>0</v>
      </c>
    </row>
    <row r="7050" spans="1:15" x14ac:dyDescent="0.25">
      <c r="A7050" s="64" t="s">
        <v>226</v>
      </c>
      <c r="B7050" s="79" t="str">
        <f>IF('Twenty-Ninth'!B53="", "",'Twenty-Ninth'!B53)</f>
        <v/>
      </c>
      <c r="C7050" s="66" t="str">
        <f>IF('Twenty-Ninth'!C53="", "",'Twenty-Ninth'!C53)</f>
        <v/>
      </c>
      <c r="D7050" s="66" t="str">
        <f>IF('Twenty-Ninth'!D53="", "",'Twenty-Ninth'!D53)</f>
        <v/>
      </c>
      <c r="E7050" s="66" t="str">
        <f>IF('Twenty-Ninth'!E53="", "",'Twenty-Ninth'!E53)</f>
        <v/>
      </c>
      <c r="F7050" s="66" t="str">
        <f>IF('Twenty-Ninth'!F53="", "",'Twenty-Ninth'!F53)</f>
        <v/>
      </c>
      <c r="G7050" s="66" t="str">
        <f>IF('Twenty-Ninth'!G53="", "",'Twenty-Ninth'!G53)</f>
        <v/>
      </c>
      <c r="H7050" s="66" t="str">
        <f>IF('Twenty-Ninth'!H53="", "",'Twenty-Ninth'!H53)</f>
        <v/>
      </c>
      <c r="I7050" s="66" t="str">
        <f>IF('Twenty-Ninth'!I53="", "",'Twenty-Ninth'!I53)</f>
        <v/>
      </c>
      <c r="J7050" s="66" t="str">
        <f>IF('Twenty-Ninth'!J53="", "",'Twenty-Ninth'!J53)</f>
        <v/>
      </c>
      <c r="K7050" s="86" t="str">
        <f>IF('Twenty-Ninth'!K53="", "",'Twenty-Ninth'!K53)</f>
        <v/>
      </c>
      <c r="M7050" s="67" t="str">
        <f t="shared" si="335"/>
        <v/>
      </c>
      <c r="N7050" s="76" t="str">
        <f t="shared" si="336"/>
        <v/>
      </c>
      <c r="O7050" s="33">
        <f t="shared" ref="O7050:O7113" si="337">SUM(M7050:N7050)</f>
        <v>0</v>
      </c>
    </row>
    <row r="7051" spans="1:15" x14ac:dyDescent="0.25">
      <c r="A7051" s="64" t="s">
        <v>226</v>
      </c>
      <c r="B7051" s="79" t="str">
        <f>IF('Twenty-Ninth'!B54="", "",'Twenty-Ninth'!B54)</f>
        <v/>
      </c>
      <c r="C7051" s="66" t="str">
        <f>IF('Twenty-Ninth'!C54="", "",'Twenty-Ninth'!C54)</f>
        <v/>
      </c>
      <c r="D7051" s="66" t="str">
        <f>IF('Twenty-Ninth'!D54="", "",'Twenty-Ninth'!D54)</f>
        <v/>
      </c>
      <c r="E7051" s="66" t="str">
        <f>IF('Twenty-Ninth'!E54="", "",'Twenty-Ninth'!E54)</f>
        <v/>
      </c>
      <c r="F7051" s="66" t="str">
        <f>IF('Twenty-Ninth'!F54="", "",'Twenty-Ninth'!F54)</f>
        <v/>
      </c>
      <c r="G7051" s="66" t="str">
        <f>IF('Twenty-Ninth'!G54="", "",'Twenty-Ninth'!G54)</f>
        <v/>
      </c>
      <c r="H7051" s="66" t="str">
        <f>IF('Twenty-Ninth'!H54="", "",'Twenty-Ninth'!H54)</f>
        <v/>
      </c>
      <c r="I7051" s="66" t="str">
        <f>IF('Twenty-Ninth'!I54="", "",'Twenty-Ninth'!I54)</f>
        <v/>
      </c>
      <c r="J7051" s="66" t="str">
        <f>IF('Twenty-Ninth'!J54="", "",'Twenty-Ninth'!J54)</f>
        <v/>
      </c>
      <c r="K7051" s="86" t="str">
        <f>IF('Twenty-Ninth'!K54="", "",'Twenty-Ninth'!K54)</f>
        <v/>
      </c>
      <c r="M7051" s="67" t="str">
        <f t="shared" si="335"/>
        <v/>
      </c>
      <c r="N7051" s="76" t="str">
        <f t="shared" si="336"/>
        <v/>
      </c>
      <c r="O7051" s="33">
        <f t="shared" si="337"/>
        <v>0</v>
      </c>
    </row>
    <row r="7052" spans="1:15" x14ac:dyDescent="0.25">
      <c r="A7052" s="64" t="s">
        <v>226</v>
      </c>
      <c r="B7052" s="79" t="str">
        <f>IF('Twenty-Ninth'!B55="", "",'Twenty-Ninth'!B55)</f>
        <v/>
      </c>
      <c r="C7052" s="66" t="str">
        <f>IF('Twenty-Ninth'!C55="", "",'Twenty-Ninth'!C55)</f>
        <v/>
      </c>
      <c r="D7052" s="66" t="str">
        <f>IF('Twenty-Ninth'!D55="", "",'Twenty-Ninth'!D55)</f>
        <v/>
      </c>
      <c r="E7052" s="66" t="str">
        <f>IF('Twenty-Ninth'!E55="", "",'Twenty-Ninth'!E55)</f>
        <v/>
      </c>
      <c r="F7052" s="66" t="str">
        <f>IF('Twenty-Ninth'!F55="", "",'Twenty-Ninth'!F55)</f>
        <v/>
      </c>
      <c r="G7052" s="66" t="str">
        <f>IF('Twenty-Ninth'!G55="", "",'Twenty-Ninth'!G55)</f>
        <v/>
      </c>
      <c r="H7052" s="66" t="str">
        <f>IF('Twenty-Ninth'!H55="", "",'Twenty-Ninth'!H55)</f>
        <v/>
      </c>
      <c r="I7052" s="66" t="str">
        <f>IF('Twenty-Ninth'!I55="", "",'Twenty-Ninth'!I55)</f>
        <v/>
      </c>
      <c r="J7052" s="66" t="str">
        <f>IF('Twenty-Ninth'!J55="", "",'Twenty-Ninth'!J55)</f>
        <v/>
      </c>
      <c r="K7052" s="86" t="str">
        <f>IF('Twenty-Ninth'!K55="", "",'Twenty-Ninth'!K55)</f>
        <v/>
      </c>
      <c r="M7052" s="67" t="str">
        <f t="shared" si="335"/>
        <v/>
      </c>
      <c r="N7052" s="76" t="str">
        <f t="shared" si="336"/>
        <v/>
      </c>
      <c r="O7052" s="33">
        <f t="shared" si="337"/>
        <v>0</v>
      </c>
    </row>
    <row r="7053" spans="1:15" x14ac:dyDescent="0.25">
      <c r="A7053" s="64" t="s">
        <v>226</v>
      </c>
      <c r="B7053" s="79" t="str">
        <f>IF('Twenty-Ninth'!B56="", "",'Twenty-Ninth'!B56)</f>
        <v/>
      </c>
      <c r="C7053" s="66" t="str">
        <f>IF('Twenty-Ninth'!C56="", "",'Twenty-Ninth'!C56)</f>
        <v/>
      </c>
      <c r="D7053" s="66" t="str">
        <f>IF('Twenty-Ninth'!D56="", "",'Twenty-Ninth'!D56)</f>
        <v/>
      </c>
      <c r="E7053" s="66" t="str">
        <f>IF('Twenty-Ninth'!E56="", "",'Twenty-Ninth'!E56)</f>
        <v/>
      </c>
      <c r="F7053" s="66" t="str">
        <f>IF('Twenty-Ninth'!F56="", "",'Twenty-Ninth'!F56)</f>
        <v/>
      </c>
      <c r="G7053" s="66" t="str">
        <f>IF('Twenty-Ninth'!G56="", "",'Twenty-Ninth'!G56)</f>
        <v/>
      </c>
      <c r="H7053" s="66" t="str">
        <f>IF('Twenty-Ninth'!H56="", "",'Twenty-Ninth'!H56)</f>
        <v/>
      </c>
      <c r="I7053" s="66" t="str">
        <f>IF('Twenty-Ninth'!I56="", "",'Twenty-Ninth'!I56)</f>
        <v/>
      </c>
      <c r="J7053" s="66" t="str">
        <f>IF('Twenty-Ninth'!J56="", "",'Twenty-Ninth'!J56)</f>
        <v/>
      </c>
      <c r="K7053" s="86" t="str">
        <f>IF('Twenty-Ninth'!K56="", "",'Twenty-Ninth'!K56)</f>
        <v/>
      </c>
      <c r="M7053" s="67" t="str">
        <f t="shared" si="335"/>
        <v/>
      </c>
      <c r="N7053" s="76" t="str">
        <f t="shared" si="336"/>
        <v/>
      </c>
      <c r="O7053" s="33">
        <f t="shared" si="337"/>
        <v>0</v>
      </c>
    </row>
    <row r="7054" spans="1:15" x14ac:dyDescent="0.25">
      <c r="A7054" s="64" t="s">
        <v>226</v>
      </c>
      <c r="B7054" s="79" t="str">
        <f>IF('Twenty-Ninth'!B57="", "",'Twenty-Ninth'!B57)</f>
        <v/>
      </c>
      <c r="C7054" s="66" t="str">
        <f>IF('Twenty-Ninth'!C57="", "",'Twenty-Ninth'!C57)</f>
        <v/>
      </c>
      <c r="D7054" s="66" t="str">
        <f>IF('Twenty-Ninth'!D57="", "",'Twenty-Ninth'!D57)</f>
        <v/>
      </c>
      <c r="E7054" s="66" t="str">
        <f>IF('Twenty-Ninth'!E57="", "",'Twenty-Ninth'!E57)</f>
        <v/>
      </c>
      <c r="F7054" s="66" t="str">
        <f>IF('Twenty-Ninth'!F57="", "",'Twenty-Ninth'!F57)</f>
        <v/>
      </c>
      <c r="G7054" s="66" t="str">
        <f>IF('Twenty-Ninth'!G57="", "",'Twenty-Ninth'!G57)</f>
        <v/>
      </c>
      <c r="H7054" s="66" t="str">
        <f>IF('Twenty-Ninth'!H57="", "",'Twenty-Ninth'!H57)</f>
        <v/>
      </c>
      <c r="I7054" s="66" t="str">
        <f>IF('Twenty-Ninth'!I57="", "",'Twenty-Ninth'!I57)</f>
        <v/>
      </c>
      <c r="J7054" s="66" t="str">
        <f>IF('Twenty-Ninth'!J57="", "",'Twenty-Ninth'!J57)</f>
        <v/>
      </c>
      <c r="K7054" s="86" t="str">
        <f>IF('Twenty-Ninth'!K57="", "",'Twenty-Ninth'!K57)</f>
        <v/>
      </c>
      <c r="M7054" s="67" t="str">
        <f t="shared" si="335"/>
        <v/>
      </c>
      <c r="N7054" s="76" t="str">
        <f t="shared" si="336"/>
        <v/>
      </c>
      <c r="O7054" s="33">
        <f t="shared" si="337"/>
        <v>0</v>
      </c>
    </row>
    <row r="7055" spans="1:15" x14ac:dyDescent="0.25">
      <c r="A7055" s="64" t="s">
        <v>226</v>
      </c>
      <c r="B7055" s="79" t="str">
        <f>IF('Twenty-Ninth'!B58="", "",'Twenty-Ninth'!B58)</f>
        <v/>
      </c>
      <c r="C7055" s="66" t="str">
        <f>IF('Twenty-Ninth'!C58="", "",'Twenty-Ninth'!C58)</f>
        <v/>
      </c>
      <c r="D7055" s="66" t="str">
        <f>IF('Twenty-Ninth'!D58="", "",'Twenty-Ninth'!D58)</f>
        <v/>
      </c>
      <c r="E7055" s="66" t="str">
        <f>IF('Twenty-Ninth'!E58="", "",'Twenty-Ninth'!E58)</f>
        <v/>
      </c>
      <c r="F7055" s="66" t="str">
        <f>IF('Twenty-Ninth'!F58="", "",'Twenty-Ninth'!F58)</f>
        <v/>
      </c>
      <c r="G7055" s="66" t="str">
        <f>IF('Twenty-Ninth'!G58="", "",'Twenty-Ninth'!G58)</f>
        <v/>
      </c>
      <c r="H7055" s="66" t="str">
        <f>IF('Twenty-Ninth'!H58="", "",'Twenty-Ninth'!H58)</f>
        <v/>
      </c>
      <c r="I7055" s="66" t="str">
        <f>IF('Twenty-Ninth'!I58="", "",'Twenty-Ninth'!I58)</f>
        <v/>
      </c>
      <c r="J7055" s="66" t="str">
        <f>IF('Twenty-Ninth'!J58="", "",'Twenty-Ninth'!J58)</f>
        <v/>
      </c>
      <c r="K7055" s="86" t="str">
        <f>IF('Twenty-Ninth'!K58="", "",'Twenty-Ninth'!K58)</f>
        <v/>
      </c>
      <c r="M7055" s="67" t="str">
        <f t="shared" si="335"/>
        <v/>
      </c>
      <c r="N7055" s="76" t="str">
        <f t="shared" si="336"/>
        <v/>
      </c>
      <c r="O7055" s="33">
        <f t="shared" si="337"/>
        <v>0</v>
      </c>
    </row>
    <row r="7056" spans="1:15" x14ac:dyDescent="0.25">
      <c r="A7056" s="64" t="s">
        <v>226</v>
      </c>
      <c r="B7056" s="79" t="str">
        <f>IF('Twenty-Ninth'!B59="", "",'Twenty-Ninth'!B59)</f>
        <v/>
      </c>
      <c r="C7056" s="66" t="str">
        <f>IF('Twenty-Ninth'!C59="", "",'Twenty-Ninth'!C59)</f>
        <v/>
      </c>
      <c r="D7056" s="66" t="str">
        <f>IF('Twenty-Ninth'!D59="", "",'Twenty-Ninth'!D59)</f>
        <v/>
      </c>
      <c r="E7056" s="66" t="str">
        <f>IF('Twenty-Ninth'!E59="", "",'Twenty-Ninth'!E59)</f>
        <v/>
      </c>
      <c r="F7056" s="66" t="str">
        <f>IF('Twenty-Ninth'!F59="", "",'Twenty-Ninth'!F59)</f>
        <v/>
      </c>
      <c r="G7056" s="66" t="str">
        <f>IF('Twenty-Ninth'!G59="", "",'Twenty-Ninth'!G59)</f>
        <v/>
      </c>
      <c r="H7056" s="66" t="str">
        <f>IF('Twenty-Ninth'!H59="", "",'Twenty-Ninth'!H59)</f>
        <v/>
      </c>
      <c r="I7056" s="66" t="str">
        <f>IF('Twenty-Ninth'!I59="", "",'Twenty-Ninth'!I59)</f>
        <v/>
      </c>
      <c r="J7056" s="66" t="str">
        <f>IF('Twenty-Ninth'!J59="", "",'Twenty-Ninth'!J59)</f>
        <v/>
      </c>
      <c r="K7056" s="86" t="str">
        <f>IF('Twenty-Ninth'!K59="", "",'Twenty-Ninth'!K59)</f>
        <v/>
      </c>
      <c r="M7056" s="67" t="str">
        <f t="shared" si="335"/>
        <v/>
      </c>
      <c r="N7056" s="76" t="str">
        <f t="shared" si="336"/>
        <v/>
      </c>
      <c r="O7056" s="33">
        <f t="shared" si="337"/>
        <v>0</v>
      </c>
    </row>
    <row r="7057" spans="1:15" x14ac:dyDescent="0.25">
      <c r="A7057" s="64" t="s">
        <v>226</v>
      </c>
      <c r="B7057" s="79" t="str">
        <f>IF('Twenty-Ninth'!B60="", "",'Twenty-Ninth'!B60)</f>
        <v/>
      </c>
      <c r="C7057" s="66" t="str">
        <f>IF('Twenty-Ninth'!C60="", "",'Twenty-Ninth'!C60)</f>
        <v/>
      </c>
      <c r="D7057" s="66" t="str">
        <f>IF('Twenty-Ninth'!D60="", "",'Twenty-Ninth'!D60)</f>
        <v/>
      </c>
      <c r="E7057" s="66" t="str">
        <f>IF('Twenty-Ninth'!E60="", "",'Twenty-Ninth'!E60)</f>
        <v/>
      </c>
      <c r="F7057" s="66" t="str">
        <f>IF('Twenty-Ninth'!F60="", "",'Twenty-Ninth'!F60)</f>
        <v/>
      </c>
      <c r="G7057" s="66" t="str">
        <f>IF('Twenty-Ninth'!G60="", "",'Twenty-Ninth'!G60)</f>
        <v/>
      </c>
      <c r="H7057" s="66" t="str">
        <f>IF('Twenty-Ninth'!H60="", "",'Twenty-Ninth'!H60)</f>
        <v/>
      </c>
      <c r="I7057" s="66" t="str">
        <f>IF('Twenty-Ninth'!I60="", "",'Twenty-Ninth'!I60)</f>
        <v/>
      </c>
      <c r="J7057" s="66" t="str">
        <f>IF('Twenty-Ninth'!J60="", "",'Twenty-Ninth'!J60)</f>
        <v/>
      </c>
      <c r="K7057" s="86" t="str">
        <f>IF('Twenty-Ninth'!K60="", "",'Twenty-Ninth'!K60)</f>
        <v/>
      </c>
      <c r="M7057" s="67" t="str">
        <f t="shared" si="335"/>
        <v/>
      </c>
      <c r="N7057" s="76" t="str">
        <f t="shared" si="336"/>
        <v/>
      </c>
      <c r="O7057" s="33">
        <f t="shared" si="337"/>
        <v>0</v>
      </c>
    </row>
    <row r="7058" spans="1:15" x14ac:dyDescent="0.25">
      <c r="A7058" s="64" t="s">
        <v>226</v>
      </c>
      <c r="B7058" s="79" t="str">
        <f>IF('Twenty-Ninth'!B61="", "",'Twenty-Ninth'!B61)</f>
        <v/>
      </c>
      <c r="C7058" s="66" t="str">
        <f>IF('Twenty-Ninth'!C61="", "",'Twenty-Ninth'!C61)</f>
        <v/>
      </c>
      <c r="D7058" s="66" t="str">
        <f>IF('Twenty-Ninth'!D61="", "",'Twenty-Ninth'!D61)</f>
        <v/>
      </c>
      <c r="E7058" s="66" t="str">
        <f>IF('Twenty-Ninth'!E61="", "",'Twenty-Ninth'!E61)</f>
        <v/>
      </c>
      <c r="F7058" s="66" t="str">
        <f>IF('Twenty-Ninth'!F61="", "",'Twenty-Ninth'!F61)</f>
        <v/>
      </c>
      <c r="G7058" s="66" t="str">
        <f>IF('Twenty-Ninth'!G61="", "",'Twenty-Ninth'!G61)</f>
        <v/>
      </c>
      <c r="H7058" s="66" t="str">
        <f>IF('Twenty-Ninth'!H61="", "",'Twenty-Ninth'!H61)</f>
        <v/>
      </c>
      <c r="I7058" s="66" t="str">
        <f>IF('Twenty-Ninth'!I61="", "",'Twenty-Ninth'!I61)</f>
        <v/>
      </c>
      <c r="J7058" s="66" t="str">
        <f>IF('Twenty-Ninth'!J61="", "",'Twenty-Ninth'!J61)</f>
        <v/>
      </c>
      <c r="K7058" s="86" t="str">
        <f>IF('Twenty-Ninth'!K61="", "",'Twenty-Ninth'!K61)</f>
        <v/>
      </c>
      <c r="M7058" s="67" t="str">
        <f t="shared" si="335"/>
        <v/>
      </c>
      <c r="N7058" s="76" t="str">
        <f t="shared" si="336"/>
        <v/>
      </c>
      <c r="O7058" s="33">
        <f t="shared" si="337"/>
        <v>0</v>
      </c>
    </row>
    <row r="7059" spans="1:15" x14ac:dyDescent="0.25">
      <c r="A7059" s="64" t="s">
        <v>226</v>
      </c>
      <c r="B7059" s="79" t="str">
        <f>IF('Twenty-Ninth'!B62="", "",'Twenty-Ninth'!B62)</f>
        <v/>
      </c>
      <c r="C7059" s="66" t="str">
        <f>IF('Twenty-Ninth'!C62="", "",'Twenty-Ninth'!C62)</f>
        <v/>
      </c>
      <c r="D7059" s="66" t="str">
        <f>IF('Twenty-Ninth'!D62="", "",'Twenty-Ninth'!D62)</f>
        <v/>
      </c>
      <c r="E7059" s="66" t="str">
        <f>IF('Twenty-Ninth'!E62="", "",'Twenty-Ninth'!E62)</f>
        <v/>
      </c>
      <c r="F7059" s="66" t="str">
        <f>IF('Twenty-Ninth'!F62="", "",'Twenty-Ninth'!F62)</f>
        <v/>
      </c>
      <c r="G7059" s="66" t="str">
        <f>IF('Twenty-Ninth'!G62="", "",'Twenty-Ninth'!G62)</f>
        <v/>
      </c>
      <c r="H7059" s="66" t="str">
        <f>IF('Twenty-Ninth'!H62="", "",'Twenty-Ninth'!H62)</f>
        <v/>
      </c>
      <c r="I7059" s="66" t="str">
        <f>IF('Twenty-Ninth'!I62="", "",'Twenty-Ninth'!I62)</f>
        <v/>
      </c>
      <c r="J7059" s="66" t="str">
        <f>IF('Twenty-Ninth'!J62="", "",'Twenty-Ninth'!J62)</f>
        <v/>
      </c>
      <c r="K7059" s="86" t="str">
        <f>IF('Twenty-Ninth'!K62="", "",'Twenty-Ninth'!K62)</f>
        <v/>
      </c>
      <c r="M7059" s="67" t="str">
        <f t="shared" si="335"/>
        <v/>
      </c>
      <c r="N7059" s="76" t="str">
        <f t="shared" si="336"/>
        <v/>
      </c>
      <c r="O7059" s="33">
        <f t="shared" si="337"/>
        <v>0</v>
      </c>
    </row>
    <row r="7060" spans="1:15" x14ac:dyDescent="0.25">
      <c r="A7060" s="64" t="s">
        <v>226</v>
      </c>
      <c r="B7060" s="79" t="str">
        <f>IF('Twenty-Ninth'!B63="", "",'Twenty-Ninth'!B63)</f>
        <v/>
      </c>
      <c r="C7060" s="66" t="str">
        <f>IF('Twenty-Ninth'!C63="", "",'Twenty-Ninth'!C63)</f>
        <v/>
      </c>
      <c r="D7060" s="66" t="str">
        <f>IF('Twenty-Ninth'!D63="", "",'Twenty-Ninth'!D63)</f>
        <v/>
      </c>
      <c r="E7060" s="66" t="str">
        <f>IF('Twenty-Ninth'!E63="", "",'Twenty-Ninth'!E63)</f>
        <v/>
      </c>
      <c r="F7060" s="66" t="str">
        <f>IF('Twenty-Ninth'!F63="", "",'Twenty-Ninth'!F63)</f>
        <v/>
      </c>
      <c r="G7060" s="66" t="str">
        <f>IF('Twenty-Ninth'!G63="", "",'Twenty-Ninth'!G63)</f>
        <v/>
      </c>
      <c r="H7060" s="66" t="str">
        <f>IF('Twenty-Ninth'!H63="", "",'Twenty-Ninth'!H63)</f>
        <v/>
      </c>
      <c r="I7060" s="66" t="str">
        <f>IF('Twenty-Ninth'!I63="", "",'Twenty-Ninth'!I63)</f>
        <v/>
      </c>
      <c r="J7060" s="66" t="str">
        <f>IF('Twenty-Ninth'!J63="", "",'Twenty-Ninth'!J63)</f>
        <v/>
      </c>
      <c r="K7060" s="86" t="str">
        <f>IF('Twenty-Ninth'!K63="", "",'Twenty-Ninth'!K63)</f>
        <v/>
      </c>
      <c r="M7060" s="67" t="str">
        <f t="shared" si="335"/>
        <v/>
      </c>
      <c r="N7060" s="76" t="str">
        <f t="shared" si="336"/>
        <v/>
      </c>
      <c r="O7060" s="33">
        <f t="shared" si="337"/>
        <v>0</v>
      </c>
    </row>
    <row r="7061" spans="1:15" x14ac:dyDescent="0.25">
      <c r="A7061" s="64" t="s">
        <v>226</v>
      </c>
      <c r="B7061" s="79" t="str">
        <f>IF('Twenty-Ninth'!B64="", "",'Twenty-Ninth'!B64)</f>
        <v/>
      </c>
      <c r="C7061" s="66" t="str">
        <f>IF('Twenty-Ninth'!C64="", "",'Twenty-Ninth'!C64)</f>
        <v/>
      </c>
      <c r="D7061" s="66" t="str">
        <f>IF('Twenty-Ninth'!D64="", "",'Twenty-Ninth'!D64)</f>
        <v/>
      </c>
      <c r="E7061" s="66" t="str">
        <f>IF('Twenty-Ninth'!E64="", "",'Twenty-Ninth'!E64)</f>
        <v/>
      </c>
      <c r="F7061" s="66" t="str">
        <f>IF('Twenty-Ninth'!F64="", "",'Twenty-Ninth'!F64)</f>
        <v/>
      </c>
      <c r="G7061" s="66" t="str">
        <f>IF('Twenty-Ninth'!G64="", "",'Twenty-Ninth'!G64)</f>
        <v/>
      </c>
      <c r="H7061" s="66" t="str">
        <f>IF('Twenty-Ninth'!H64="", "",'Twenty-Ninth'!H64)</f>
        <v/>
      </c>
      <c r="I7061" s="66" t="str">
        <f>IF('Twenty-Ninth'!I64="", "",'Twenty-Ninth'!I64)</f>
        <v/>
      </c>
      <c r="J7061" s="66" t="str">
        <f>IF('Twenty-Ninth'!J64="", "",'Twenty-Ninth'!J64)</f>
        <v/>
      </c>
      <c r="K7061" s="86" t="str">
        <f>IF('Twenty-Ninth'!K64="", "",'Twenty-Ninth'!K64)</f>
        <v/>
      </c>
      <c r="M7061" s="67" t="str">
        <f t="shared" si="335"/>
        <v/>
      </c>
      <c r="N7061" s="76" t="str">
        <f t="shared" si="336"/>
        <v/>
      </c>
      <c r="O7061" s="33">
        <f t="shared" si="337"/>
        <v>0</v>
      </c>
    </row>
    <row r="7062" spans="1:15" x14ac:dyDescent="0.25">
      <c r="A7062" s="64" t="s">
        <v>226</v>
      </c>
      <c r="B7062" s="79" t="str">
        <f>IF('Twenty-Ninth'!B65="", "",'Twenty-Ninth'!B65)</f>
        <v/>
      </c>
      <c r="C7062" s="66" t="str">
        <f>IF('Twenty-Ninth'!C65="", "",'Twenty-Ninth'!C65)</f>
        <v/>
      </c>
      <c r="D7062" s="66" t="str">
        <f>IF('Twenty-Ninth'!D65="", "",'Twenty-Ninth'!D65)</f>
        <v/>
      </c>
      <c r="E7062" s="66" t="str">
        <f>IF('Twenty-Ninth'!E65="", "",'Twenty-Ninth'!E65)</f>
        <v/>
      </c>
      <c r="F7062" s="66" t="str">
        <f>IF('Twenty-Ninth'!F65="", "",'Twenty-Ninth'!F65)</f>
        <v/>
      </c>
      <c r="G7062" s="66" t="str">
        <f>IF('Twenty-Ninth'!G65="", "",'Twenty-Ninth'!G65)</f>
        <v/>
      </c>
      <c r="H7062" s="66" t="str">
        <f>IF('Twenty-Ninth'!H65="", "",'Twenty-Ninth'!H65)</f>
        <v/>
      </c>
      <c r="I7062" s="66" t="str">
        <f>IF('Twenty-Ninth'!I65="", "",'Twenty-Ninth'!I65)</f>
        <v/>
      </c>
      <c r="J7062" s="66" t="str">
        <f>IF('Twenty-Ninth'!J65="", "",'Twenty-Ninth'!J65)</f>
        <v/>
      </c>
      <c r="K7062" s="86" t="str">
        <f>IF('Twenty-Ninth'!K65="", "",'Twenty-Ninth'!K65)</f>
        <v/>
      </c>
      <c r="M7062" s="67" t="str">
        <f t="shared" si="335"/>
        <v/>
      </c>
      <c r="N7062" s="76" t="str">
        <f t="shared" si="336"/>
        <v/>
      </c>
      <c r="O7062" s="33">
        <f t="shared" si="337"/>
        <v>0</v>
      </c>
    </row>
    <row r="7063" spans="1:15" x14ac:dyDescent="0.25">
      <c r="A7063" s="64" t="s">
        <v>226</v>
      </c>
      <c r="B7063" s="79" t="str">
        <f>IF('Twenty-Ninth'!B66="", "",'Twenty-Ninth'!B66)</f>
        <v/>
      </c>
      <c r="C7063" s="66" t="str">
        <f>IF('Twenty-Ninth'!C66="", "",'Twenty-Ninth'!C66)</f>
        <v/>
      </c>
      <c r="D7063" s="66" t="str">
        <f>IF('Twenty-Ninth'!D66="", "",'Twenty-Ninth'!D66)</f>
        <v/>
      </c>
      <c r="E7063" s="66" t="str">
        <f>IF('Twenty-Ninth'!E66="", "",'Twenty-Ninth'!E66)</f>
        <v/>
      </c>
      <c r="F7063" s="66" t="str">
        <f>IF('Twenty-Ninth'!F66="", "",'Twenty-Ninth'!F66)</f>
        <v/>
      </c>
      <c r="G7063" s="66" t="str">
        <f>IF('Twenty-Ninth'!G66="", "",'Twenty-Ninth'!G66)</f>
        <v/>
      </c>
      <c r="H7063" s="66" t="str">
        <f>IF('Twenty-Ninth'!H66="", "",'Twenty-Ninth'!H66)</f>
        <v/>
      </c>
      <c r="I7063" s="66" t="str">
        <f>IF('Twenty-Ninth'!I66="", "",'Twenty-Ninth'!I66)</f>
        <v/>
      </c>
      <c r="J7063" s="66" t="str">
        <f>IF('Twenty-Ninth'!J66="", "",'Twenty-Ninth'!J66)</f>
        <v/>
      </c>
      <c r="K7063" s="86" t="str">
        <f>IF('Twenty-Ninth'!K66="", "",'Twenty-Ninth'!K66)</f>
        <v/>
      </c>
      <c r="M7063" s="67" t="str">
        <f t="shared" si="335"/>
        <v/>
      </c>
      <c r="N7063" s="76" t="str">
        <f t="shared" si="336"/>
        <v/>
      </c>
      <c r="O7063" s="33">
        <f t="shared" si="337"/>
        <v>0</v>
      </c>
    </row>
    <row r="7064" spans="1:15" x14ac:dyDescent="0.25">
      <c r="A7064" s="64" t="s">
        <v>226</v>
      </c>
      <c r="B7064" s="79" t="str">
        <f>IF('Twenty-Ninth'!B67="", "",'Twenty-Ninth'!B67)</f>
        <v/>
      </c>
      <c r="C7064" s="66" t="str">
        <f>IF('Twenty-Ninth'!C67="", "",'Twenty-Ninth'!C67)</f>
        <v/>
      </c>
      <c r="D7064" s="66" t="str">
        <f>IF('Twenty-Ninth'!D67="", "",'Twenty-Ninth'!D67)</f>
        <v/>
      </c>
      <c r="E7064" s="66" t="str">
        <f>IF('Twenty-Ninth'!E67="", "",'Twenty-Ninth'!E67)</f>
        <v/>
      </c>
      <c r="F7064" s="66" t="str">
        <f>IF('Twenty-Ninth'!F67="", "",'Twenty-Ninth'!F67)</f>
        <v/>
      </c>
      <c r="G7064" s="66" t="str">
        <f>IF('Twenty-Ninth'!G67="", "",'Twenty-Ninth'!G67)</f>
        <v/>
      </c>
      <c r="H7064" s="66" t="str">
        <f>IF('Twenty-Ninth'!H67="", "",'Twenty-Ninth'!H67)</f>
        <v/>
      </c>
      <c r="I7064" s="66" t="str">
        <f>IF('Twenty-Ninth'!I67="", "",'Twenty-Ninth'!I67)</f>
        <v/>
      </c>
      <c r="J7064" s="66" t="str">
        <f>IF('Twenty-Ninth'!J67="", "",'Twenty-Ninth'!J67)</f>
        <v/>
      </c>
      <c r="K7064" s="86" t="str">
        <f>IF('Twenty-Ninth'!K67="", "",'Twenty-Ninth'!K67)</f>
        <v/>
      </c>
      <c r="M7064" s="67" t="str">
        <f t="shared" si="335"/>
        <v/>
      </c>
      <c r="N7064" s="76" t="str">
        <f t="shared" si="336"/>
        <v/>
      </c>
      <c r="O7064" s="33">
        <f t="shared" si="337"/>
        <v>0</v>
      </c>
    </row>
    <row r="7065" spans="1:15" x14ac:dyDescent="0.25">
      <c r="A7065" s="64" t="s">
        <v>226</v>
      </c>
      <c r="B7065" s="79" t="str">
        <f>IF('Twenty-Ninth'!B68="", "",'Twenty-Ninth'!B68)</f>
        <v/>
      </c>
      <c r="C7065" s="66" t="str">
        <f>IF('Twenty-Ninth'!C68="", "",'Twenty-Ninth'!C68)</f>
        <v/>
      </c>
      <c r="D7065" s="66" t="str">
        <f>IF('Twenty-Ninth'!D68="", "",'Twenty-Ninth'!D68)</f>
        <v/>
      </c>
      <c r="E7065" s="66" t="str">
        <f>IF('Twenty-Ninth'!E68="", "",'Twenty-Ninth'!E68)</f>
        <v/>
      </c>
      <c r="F7065" s="66" t="str">
        <f>IF('Twenty-Ninth'!F68="", "",'Twenty-Ninth'!F68)</f>
        <v/>
      </c>
      <c r="G7065" s="66" t="str">
        <f>IF('Twenty-Ninth'!G68="", "",'Twenty-Ninth'!G68)</f>
        <v/>
      </c>
      <c r="H7065" s="66" t="str">
        <f>IF('Twenty-Ninth'!H68="", "",'Twenty-Ninth'!H68)</f>
        <v/>
      </c>
      <c r="I7065" s="66" t="str">
        <f>IF('Twenty-Ninth'!I68="", "",'Twenty-Ninth'!I68)</f>
        <v/>
      </c>
      <c r="J7065" s="66" t="str">
        <f>IF('Twenty-Ninth'!J68="", "",'Twenty-Ninth'!J68)</f>
        <v/>
      </c>
      <c r="K7065" s="86" t="str">
        <f>IF('Twenty-Ninth'!K68="", "",'Twenty-Ninth'!K68)</f>
        <v/>
      </c>
      <c r="M7065" s="67" t="str">
        <f t="shared" si="335"/>
        <v/>
      </c>
      <c r="N7065" s="76" t="str">
        <f t="shared" si="336"/>
        <v/>
      </c>
      <c r="O7065" s="33">
        <f t="shared" si="337"/>
        <v>0</v>
      </c>
    </row>
    <row r="7066" spans="1:15" x14ac:dyDescent="0.25">
      <c r="A7066" s="64" t="s">
        <v>226</v>
      </c>
      <c r="B7066" s="79" t="str">
        <f>IF('Twenty-Ninth'!B69="", "",'Twenty-Ninth'!B69)</f>
        <v/>
      </c>
      <c r="C7066" s="66" t="str">
        <f>IF('Twenty-Ninth'!C69="", "",'Twenty-Ninth'!C69)</f>
        <v/>
      </c>
      <c r="D7066" s="66" t="str">
        <f>IF('Twenty-Ninth'!D69="", "",'Twenty-Ninth'!D69)</f>
        <v/>
      </c>
      <c r="E7066" s="66" t="str">
        <f>IF('Twenty-Ninth'!E69="", "",'Twenty-Ninth'!E69)</f>
        <v/>
      </c>
      <c r="F7066" s="66" t="str">
        <f>IF('Twenty-Ninth'!F69="", "",'Twenty-Ninth'!F69)</f>
        <v/>
      </c>
      <c r="G7066" s="66" t="str">
        <f>IF('Twenty-Ninth'!G69="", "",'Twenty-Ninth'!G69)</f>
        <v/>
      </c>
      <c r="H7066" s="66" t="str">
        <f>IF('Twenty-Ninth'!H69="", "",'Twenty-Ninth'!H69)</f>
        <v/>
      </c>
      <c r="I7066" s="66" t="str">
        <f>IF('Twenty-Ninth'!I69="", "",'Twenty-Ninth'!I69)</f>
        <v/>
      </c>
      <c r="J7066" s="66" t="str">
        <f>IF('Twenty-Ninth'!J69="", "",'Twenty-Ninth'!J69)</f>
        <v/>
      </c>
      <c r="K7066" s="86" t="str">
        <f>IF('Twenty-Ninth'!K69="", "",'Twenty-Ninth'!K69)</f>
        <v/>
      </c>
      <c r="M7066" s="67" t="str">
        <f t="shared" si="335"/>
        <v/>
      </c>
      <c r="N7066" s="76" t="str">
        <f t="shared" si="336"/>
        <v/>
      </c>
      <c r="O7066" s="33">
        <f t="shared" si="337"/>
        <v>0</v>
      </c>
    </row>
    <row r="7067" spans="1:15" x14ac:dyDescent="0.25">
      <c r="A7067" s="64" t="s">
        <v>226</v>
      </c>
      <c r="B7067" s="79" t="str">
        <f>IF('Twenty-Ninth'!B70="", "",'Twenty-Ninth'!B70)</f>
        <v/>
      </c>
      <c r="C7067" s="66" t="str">
        <f>IF('Twenty-Ninth'!C70="", "",'Twenty-Ninth'!C70)</f>
        <v/>
      </c>
      <c r="D7067" s="66" t="str">
        <f>IF('Twenty-Ninth'!D70="", "",'Twenty-Ninth'!D70)</f>
        <v/>
      </c>
      <c r="E7067" s="66" t="str">
        <f>IF('Twenty-Ninth'!E70="", "",'Twenty-Ninth'!E70)</f>
        <v/>
      </c>
      <c r="F7067" s="66" t="str">
        <f>IF('Twenty-Ninth'!F70="", "",'Twenty-Ninth'!F70)</f>
        <v/>
      </c>
      <c r="G7067" s="66" t="str">
        <f>IF('Twenty-Ninth'!G70="", "",'Twenty-Ninth'!G70)</f>
        <v/>
      </c>
      <c r="H7067" s="66" t="str">
        <f>IF('Twenty-Ninth'!H70="", "",'Twenty-Ninth'!H70)</f>
        <v/>
      </c>
      <c r="I7067" s="66" t="str">
        <f>IF('Twenty-Ninth'!I70="", "",'Twenty-Ninth'!I70)</f>
        <v/>
      </c>
      <c r="J7067" s="66" t="str">
        <f>IF('Twenty-Ninth'!J70="", "",'Twenty-Ninth'!J70)</f>
        <v/>
      </c>
      <c r="K7067" s="86" t="str">
        <f>IF('Twenty-Ninth'!K70="", "",'Twenty-Ninth'!K70)</f>
        <v/>
      </c>
      <c r="M7067" s="67" t="str">
        <f t="shared" si="335"/>
        <v/>
      </c>
      <c r="N7067" s="76" t="str">
        <f t="shared" si="336"/>
        <v/>
      </c>
      <c r="O7067" s="33">
        <f t="shared" si="337"/>
        <v>0</v>
      </c>
    </row>
    <row r="7068" spans="1:15" x14ac:dyDescent="0.25">
      <c r="A7068" s="64" t="s">
        <v>226</v>
      </c>
      <c r="B7068" s="79" t="str">
        <f>IF('Twenty-Ninth'!B71="", "",'Twenty-Ninth'!B71)</f>
        <v/>
      </c>
      <c r="C7068" s="66" t="str">
        <f>IF('Twenty-Ninth'!C71="", "",'Twenty-Ninth'!C71)</f>
        <v/>
      </c>
      <c r="D7068" s="66" t="str">
        <f>IF('Twenty-Ninth'!D71="", "",'Twenty-Ninth'!D71)</f>
        <v/>
      </c>
      <c r="E7068" s="66" t="str">
        <f>IF('Twenty-Ninth'!E71="", "",'Twenty-Ninth'!E71)</f>
        <v/>
      </c>
      <c r="F7068" s="66" t="str">
        <f>IF('Twenty-Ninth'!F71="", "",'Twenty-Ninth'!F71)</f>
        <v/>
      </c>
      <c r="G7068" s="66" t="str">
        <f>IF('Twenty-Ninth'!G71="", "",'Twenty-Ninth'!G71)</f>
        <v/>
      </c>
      <c r="H7068" s="66" t="str">
        <f>IF('Twenty-Ninth'!H71="", "",'Twenty-Ninth'!H71)</f>
        <v/>
      </c>
      <c r="I7068" s="66" t="str">
        <f>IF('Twenty-Ninth'!I71="", "",'Twenty-Ninth'!I71)</f>
        <v/>
      </c>
      <c r="J7068" s="66" t="str">
        <f>IF('Twenty-Ninth'!J71="", "",'Twenty-Ninth'!J71)</f>
        <v/>
      </c>
      <c r="K7068" s="86" t="str">
        <f>IF('Twenty-Ninth'!K71="", "",'Twenty-Ninth'!K71)</f>
        <v/>
      </c>
      <c r="M7068" s="67" t="str">
        <f t="shared" si="335"/>
        <v/>
      </c>
      <c r="N7068" s="76" t="str">
        <f t="shared" si="336"/>
        <v/>
      </c>
      <c r="O7068" s="33">
        <f t="shared" si="337"/>
        <v>0</v>
      </c>
    </row>
    <row r="7069" spans="1:15" x14ac:dyDescent="0.25">
      <c r="A7069" s="64" t="s">
        <v>226</v>
      </c>
      <c r="B7069" s="79" t="str">
        <f>IF('Twenty-Ninth'!B72="", "",'Twenty-Ninth'!B72)</f>
        <v/>
      </c>
      <c r="C7069" s="66" t="str">
        <f>IF('Twenty-Ninth'!C72="", "",'Twenty-Ninth'!C72)</f>
        <v/>
      </c>
      <c r="D7069" s="66" t="str">
        <f>IF('Twenty-Ninth'!D72="", "",'Twenty-Ninth'!D72)</f>
        <v/>
      </c>
      <c r="E7069" s="66" t="str">
        <f>IF('Twenty-Ninth'!E72="", "",'Twenty-Ninth'!E72)</f>
        <v/>
      </c>
      <c r="F7069" s="66" t="str">
        <f>IF('Twenty-Ninth'!F72="", "",'Twenty-Ninth'!F72)</f>
        <v/>
      </c>
      <c r="G7069" s="66" t="str">
        <f>IF('Twenty-Ninth'!G72="", "",'Twenty-Ninth'!G72)</f>
        <v/>
      </c>
      <c r="H7069" s="66" t="str">
        <f>IF('Twenty-Ninth'!H72="", "",'Twenty-Ninth'!H72)</f>
        <v/>
      </c>
      <c r="I7069" s="66" t="str">
        <f>IF('Twenty-Ninth'!I72="", "",'Twenty-Ninth'!I72)</f>
        <v/>
      </c>
      <c r="J7069" s="66" t="str">
        <f>IF('Twenty-Ninth'!J72="", "",'Twenty-Ninth'!J72)</f>
        <v/>
      </c>
      <c r="K7069" s="86" t="str">
        <f>IF('Twenty-Ninth'!K72="", "",'Twenty-Ninth'!K72)</f>
        <v/>
      </c>
      <c r="M7069" s="67" t="str">
        <f t="shared" si="335"/>
        <v/>
      </c>
      <c r="N7069" s="76" t="str">
        <f t="shared" si="336"/>
        <v/>
      </c>
      <c r="O7069" s="33">
        <f t="shared" si="337"/>
        <v>0</v>
      </c>
    </row>
    <row r="7070" spans="1:15" x14ac:dyDescent="0.25">
      <c r="A7070" s="64" t="s">
        <v>226</v>
      </c>
      <c r="B7070" s="79" t="str">
        <f>IF('Twenty-Ninth'!B73="", "",'Twenty-Ninth'!B73)</f>
        <v/>
      </c>
      <c r="C7070" s="66" t="str">
        <f>IF('Twenty-Ninth'!C73="", "",'Twenty-Ninth'!C73)</f>
        <v/>
      </c>
      <c r="D7070" s="66" t="str">
        <f>IF('Twenty-Ninth'!D73="", "",'Twenty-Ninth'!D73)</f>
        <v/>
      </c>
      <c r="E7070" s="66" t="str">
        <f>IF('Twenty-Ninth'!E73="", "",'Twenty-Ninth'!E73)</f>
        <v/>
      </c>
      <c r="F7070" s="66" t="str">
        <f>IF('Twenty-Ninth'!F73="", "",'Twenty-Ninth'!F73)</f>
        <v/>
      </c>
      <c r="G7070" s="66" t="str">
        <f>IF('Twenty-Ninth'!G73="", "",'Twenty-Ninth'!G73)</f>
        <v/>
      </c>
      <c r="H7070" s="66" t="str">
        <f>IF('Twenty-Ninth'!H73="", "",'Twenty-Ninth'!H73)</f>
        <v/>
      </c>
      <c r="I7070" s="66" t="str">
        <f>IF('Twenty-Ninth'!I73="", "",'Twenty-Ninth'!I73)</f>
        <v/>
      </c>
      <c r="J7070" s="66" t="str">
        <f>IF('Twenty-Ninth'!J73="", "",'Twenty-Ninth'!J73)</f>
        <v/>
      </c>
      <c r="K7070" s="86" t="str">
        <f>IF('Twenty-Ninth'!K73="", "",'Twenty-Ninth'!K73)</f>
        <v/>
      </c>
      <c r="M7070" s="67" t="str">
        <f t="shared" si="335"/>
        <v/>
      </c>
      <c r="N7070" s="76" t="str">
        <f t="shared" si="336"/>
        <v/>
      </c>
      <c r="O7070" s="33">
        <f t="shared" si="337"/>
        <v>0</v>
      </c>
    </row>
    <row r="7071" spans="1:15" x14ac:dyDescent="0.25">
      <c r="A7071" s="64" t="s">
        <v>226</v>
      </c>
      <c r="B7071" s="79" t="str">
        <f>IF('Twenty-Ninth'!B74="", "",'Twenty-Ninth'!B74)</f>
        <v/>
      </c>
      <c r="C7071" s="66" t="str">
        <f>IF('Twenty-Ninth'!C74="", "",'Twenty-Ninth'!C74)</f>
        <v/>
      </c>
      <c r="D7071" s="66" t="str">
        <f>IF('Twenty-Ninth'!D74="", "",'Twenty-Ninth'!D74)</f>
        <v/>
      </c>
      <c r="E7071" s="66" t="str">
        <f>IF('Twenty-Ninth'!E74="", "",'Twenty-Ninth'!E74)</f>
        <v/>
      </c>
      <c r="F7071" s="66" t="str">
        <f>IF('Twenty-Ninth'!F74="", "",'Twenty-Ninth'!F74)</f>
        <v/>
      </c>
      <c r="G7071" s="66" t="str">
        <f>IF('Twenty-Ninth'!G74="", "",'Twenty-Ninth'!G74)</f>
        <v/>
      </c>
      <c r="H7071" s="66" t="str">
        <f>IF('Twenty-Ninth'!H74="", "",'Twenty-Ninth'!H74)</f>
        <v/>
      </c>
      <c r="I7071" s="66" t="str">
        <f>IF('Twenty-Ninth'!I74="", "",'Twenty-Ninth'!I74)</f>
        <v/>
      </c>
      <c r="J7071" s="66" t="str">
        <f>IF('Twenty-Ninth'!J74="", "",'Twenty-Ninth'!J74)</f>
        <v/>
      </c>
      <c r="K7071" s="86" t="str">
        <f>IF('Twenty-Ninth'!K74="", "",'Twenty-Ninth'!K74)</f>
        <v/>
      </c>
      <c r="M7071" s="67" t="str">
        <f t="shared" si="335"/>
        <v/>
      </c>
      <c r="N7071" s="76" t="str">
        <f t="shared" si="336"/>
        <v/>
      </c>
      <c r="O7071" s="33">
        <f t="shared" si="337"/>
        <v>0</v>
      </c>
    </row>
    <row r="7072" spans="1:15" x14ac:dyDescent="0.25">
      <c r="A7072" s="64" t="s">
        <v>226</v>
      </c>
      <c r="B7072" s="79" t="str">
        <f>IF('Twenty-Ninth'!B75="", "",'Twenty-Ninth'!B75)</f>
        <v/>
      </c>
      <c r="C7072" s="66" t="str">
        <f>IF('Twenty-Ninth'!C75="", "",'Twenty-Ninth'!C75)</f>
        <v/>
      </c>
      <c r="D7072" s="66" t="str">
        <f>IF('Twenty-Ninth'!D75="", "",'Twenty-Ninth'!D75)</f>
        <v/>
      </c>
      <c r="E7072" s="66" t="str">
        <f>IF('Twenty-Ninth'!E75="", "",'Twenty-Ninth'!E75)</f>
        <v/>
      </c>
      <c r="F7072" s="66" t="str">
        <f>IF('Twenty-Ninth'!F75="", "",'Twenty-Ninth'!F75)</f>
        <v/>
      </c>
      <c r="G7072" s="66" t="str">
        <f>IF('Twenty-Ninth'!G75="", "",'Twenty-Ninth'!G75)</f>
        <v/>
      </c>
      <c r="H7072" s="66" t="str">
        <f>IF('Twenty-Ninth'!H75="", "",'Twenty-Ninth'!H75)</f>
        <v/>
      </c>
      <c r="I7072" s="66" t="str">
        <f>IF('Twenty-Ninth'!I75="", "",'Twenty-Ninth'!I75)</f>
        <v/>
      </c>
      <c r="J7072" s="66" t="str">
        <f>IF('Twenty-Ninth'!J75="", "",'Twenty-Ninth'!J75)</f>
        <v/>
      </c>
      <c r="K7072" s="86" t="str">
        <f>IF('Twenty-Ninth'!K75="", "",'Twenty-Ninth'!K75)</f>
        <v/>
      </c>
      <c r="M7072" s="67" t="str">
        <f t="shared" si="335"/>
        <v/>
      </c>
      <c r="N7072" s="76" t="str">
        <f t="shared" si="336"/>
        <v/>
      </c>
      <c r="O7072" s="33">
        <f t="shared" si="337"/>
        <v>0</v>
      </c>
    </row>
    <row r="7073" spans="1:15" x14ac:dyDescent="0.25">
      <c r="A7073" s="64" t="s">
        <v>226</v>
      </c>
      <c r="B7073" s="79" t="str">
        <f>IF('Twenty-Ninth'!B76="", "",'Twenty-Ninth'!B76)</f>
        <v/>
      </c>
      <c r="C7073" s="66" t="str">
        <f>IF('Twenty-Ninth'!C76="", "",'Twenty-Ninth'!C76)</f>
        <v/>
      </c>
      <c r="D7073" s="66" t="str">
        <f>IF('Twenty-Ninth'!D76="", "",'Twenty-Ninth'!D76)</f>
        <v/>
      </c>
      <c r="E7073" s="66" t="str">
        <f>IF('Twenty-Ninth'!E76="", "",'Twenty-Ninth'!E76)</f>
        <v/>
      </c>
      <c r="F7073" s="66" t="str">
        <f>IF('Twenty-Ninth'!F76="", "",'Twenty-Ninth'!F76)</f>
        <v/>
      </c>
      <c r="G7073" s="66" t="str">
        <f>IF('Twenty-Ninth'!G76="", "",'Twenty-Ninth'!G76)</f>
        <v/>
      </c>
      <c r="H7073" s="66" t="str">
        <f>IF('Twenty-Ninth'!H76="", "",'Twenty-Ninth'!H76)</f>
        <v/>
      </c>
      <c r="I7073" s="66" t="str">
        <f>IF('Twenty-Ninth'!I76="", "",'Twenty-Ninth'!I76)</f>
        <v/>
      </c>
      <c r="J7073" s="66" t="str">
        <f>IF('Twenty-Ninth'!J76="", "",'Twenty-Ninth'!J76)</f>
        <v/>
      </c>
      <c r="K7073" s="86" t="str">
        <f>IF('Twenty-Ninth'!K76="", "",'Twenty-Ninth'!K76)</f>
        <v/>
      </c>
      <c r="M7073" s="67" t="str">
        <f t="shared" si="335"/>
        <v/>
      </c>
      <c r="N7073" s="76" t="str">
        <f t="shared" si="336"/>
        <v/>
      </c>
      <c r="O7073" s="33">
        <f t="shared" si="337"/>
        <v>0</v>
      </c>
    </row>
    <row r="7074" spans="1:15" x14ac:dyDescent="0.25">
      <c r="A7074" s="64" t="s">
        <v>226</v>
      </c>
      <c r="B7074" s="79" t="str">
        <f>IF('Twenty-Ninth'!B77="", "",'Twenty-Ninth'!B77)</f>
        <v/>
      </c>
      <c r="C7074" s="66" t="str">
        <f>IF('Twenty-Ninth'!C77="", "",'Twenty-Ninth'!C77)</f>
        <v/>
      </c>
      <c r="D7074" s="66" t="str">
        <f>IF('Twenty-Ninth'!D77="", "",'Twenty-Ninth'!D77)</f>
        <v/>
      </c>
      <c r="E7074" s="66" t="str">
        <f>IF('Twenty-Ninth'!E77="", "",'Twenty-Ninth'!E77)</f>
        <v/>
      </c>
      <c r="F7074" s="66" t="str">
        <f>IF('Twenty-Ninth'!F77="", "",'Twenty-Ninth'!F77)</f>
        <v/>
      </c>
      <c r="G7074" s="66" t="str">
        <f>IF('Twenty-Ninth'!G77="", "",'Twenty-Ninth'!G77)</f>
        <v/>
      </c>
      <c r="H7074" s="66" t="str">
        <f>IF('Twenty-Ninth'!H77="", "",'Twenty-Ninth'!H77)</f>
        <v/>
      </c>
      <c r="I7074" s="66" t="str">
        <f>IF('Twenty-Ninth'!I77="", "",'Twenty-Ninth'!I77)</f>
        <v/>
      </c>
      <c r="J7074" s="66" t="str">
        <f>IF('Twenty-Ninth'!J77="", "",'Twenty-Ninth'!J77)</f>
        <v/>
      </c>
      <c r="K7074" s="86" t="str">
        <f>IF('Twenty-Ninth'!K77="", "",'Twenty-Ninth'!K77)</f>
        <v/>
      </c>
      <c r="M7074" s="67" t="str">
        <f t="shared" si="335"/>
        <v/>
      </c>
      <c r="N7074" s="76" t="str">
        <f t="shared" si="336"/>
        <v/>
      </c>
      <c r="O7074" s="33">
        <f t="shared" si="337"/>
        <v>0</v>
      </c>
    </row>
    <row r="7075" spans="1:15" x14ac:dyDescent="0.25">
      <c r="A7075" s="64" t="s">
        <v>226</v>
      </c>
      <c r="B7075" s="79" t="str">
        <f>IF('Twenty-Ninth'!B78="", "",'Twenty-Ninth'!B78)</f>
        <v/>
      </c>
      <c r="C7075" s="66" t="str">
        <f>IF('Twenty-Ninth'!C78="", "",'Twenty-Ninth'!C78)</f>
        <v/>
      </c>
      <c r="D7075" s="66" t="str">
        <f>IF('Twenty-Ninth'!D78="", "",'Twenty-Ninth'!D78)</f>
        <v/>
      </c>
      <c r="E7075" s="66" t="str">
        <f>IF('Twenty-Ninth'!E78="", "",'Twenty-Ninth'!E78)</f>
        <v/>
      </c>
      <c r="F7075" s="66" t="str">
        <f>IF('Twenty-Ninth'!F78="", "",'Twenty-Ninth'!F78)</f>
        <v/>
      </c>
      <c r="G7075" s="66" t="str">
        <f>IF('Twenty-Ninth'!G78="", "",'Twenty-Ninth'!G78)</f>
        <v/>
      </c>
      <c r="H7075" s="66" t="str">
        <f>IF('Twenty-Ninth'!H78="", "",'Twenty-Ninth'!H78)</f>
        <v/>
      </c>
      <c r="I7075" s="66" t="str">
        <f>IF('Twenty-Ninth'!I78="", "",'Twenty-Ninth'!I78)</f>
        <v/>
      </c>
      <c r="J7075" s="66" t="str">
        <f>IF('Twenty-Ninth'!J78="", "",'Twenty-Ninth'!J78)</f>
        <v/>
      </c>
      <c r="K7075" s="86" t="str">
        <f>IF('Twenty-Ninth'!K78="", "",'Twenty-Ninth'!K78)</f>
        <v/>
      </c>
      <c r="M7075" s="67" t="str">
        <f t="shared" si="335"/>
        <v/>
      </c>
      <c r="N7075" s="76" t="str">
        <f t="shared" si="336"/>
        <v/>
      </c>
      <c r="O7075" s="33">
        <f t="shared" si="337"/>
        <v>0</v>
      </c>
    </row>
    <row r="7076" spans="1:15" x14ac:dyDescent="0.25">
      <c r="A7076" s="64" t="s">
        <v>226</v>
      </c>
      <c r="B7076" s="79" t="str">
        <f>IF('Twenty-Ninth'!B79="", "",'Twenty-Ninth'!B79)</f>
        <v/>
      </c>
      <c r="C7076" s="66" t="str">
        <f>IF('Twenty-Ninth'!C79="", "",'Twenty-Ninth'!C79)</f>
        <v/>
      </c>
      <c r="D7076" s="66" t="str">
        <f>IF('Twenty-Ninth'!D79="", "",'Twenty-Ninth'!D79)</f>
        <v/>
      </c>
      <c r="E7076" s="66" t="str">
        <f>IF('Twenty-Ninth'!E79="", "",'Twenty-Ninth'!E79)</f>
        <v/>
      </c>
      <c r="F7076" s="66" t="str">
        <f>IF('Twenty-Ninth'!F79="", "",'Twenty-Ninth'!F79)</f>
        <v/>
      </c>
      <c r="G7076" s="66" t="str">
        <f>IF('Twenty-Ninth'!G79="", "",'Twenty-Ninth'!G79)</f>
        <v/>
      </c>
      <c r="H7076" s="66" t="str">
        <f>IF('Twenty-Ninth'!H79="", "",'Twenty-Ninth'!H79)</f>
        <v/>
      </c>
      <c r="I7076" s="66" t="str">
        <f>IF('Twenty-Ninth'!I79="", "",'Twenty-Ninth'!I79)</f>
        <v/>
      </c>
      <c r="J7076" s="66" t="str">
        <f>IF('Twenty-Ninth'!J79="", "",'Twenty-Ninth'!J79)</f>
        <v/>
      </c>
      <c r="K7076" s="86" t="str">
        <f>IF('Twenty-Ninth'!K79="", "",'Twenty-Ninth'!K79)</f>
        <v/>
      </c>
      <c r="M7076" s="67" t="str">
        <f t="shared" si="335"/>
        <v/>
      </c>
      <c r="N7076" s="76" t="str">
        <f t="shared" si="336"/>
        <v/>
      </c>
      <c r="O7076" s="33">
        <f t="shared" si="337"/>
        <v>0</v>
      </c>
    </row>
    <row r="7077" spans="1:15" x14ac:dyDescent="0.25">
      <c r="A7077" s="64" t="s">
        <v>226</v>
      </c>
      <c r="B7077" s="79" t="str">
        <f>IF('Twenty-Ninth'!B80="", "",'Twenty-Ninth'!B80)</f>
        <v/>
      </c>
      <c r="C7077" s="66" t="str">
        <f>IF('Twenty-Ninth'!C80="", "",'Twenty-Ninth'!C80)</f>
        <v/>
      </c>
      <c r="D7077" s="66" t="str">
        <f>IF('Twenty-Ninth'!D80="", "",'Twenty-Ninth'!D80)</f>
        <v/>
      </c>
      <c r="E7077" s="66" t="str">
        <f>IF('Twenty-Ninth'!E80="", "",'Twenty-Ninth'!E80)</f>
        <v/>
      </c>
      <c r="F7077" s="66" t="str">
        <f>IF('Twenty-Ninth'!F80="", "",'Twenty-Ninth'!F80)</f>
        <v/>
      </c>
      <c r="G7077" s="66" t="str">
        <f>IF('Twenty-Ninth'!G80="", "",'Twenty-Ninth'!G80)</f>
        <v/>
      </c>
      <c r="H7077" s="66" t="str">
        <f>IF('Twenty-Ninth'!H80="", "",'Twenty-Ninth'!H80)</f>
        <v/>
      </c>
      <c r="I7077" s="66" t="str">
        <f>IF('Twenty-Ninth'!I80="", "",'Twenty-Ninth'!I80)</f>
        <v/>
      </c>
      <c r="J7077" s="66" t="str">
        <f>IF('Twenty-Ninth'!J80="", "",'Twenty-Ninth'!J80)</f>
        <v/>
      </c>
      <c r="K7077" s="86" t="str">
        <f>IF('Twenty-Ninth'!K80="", "",'Twenty-Ninth'!K80)</f>
        <v/>
      </c>
      <c r="M7077" s="67" t="str">
        <f t="shared" si="335"/>
        <v/>
      </c>
      <c r="N7077" s="76" t="str">
        <f t="shared" si="336"/>
        <v/>
      </c>
      <c r="O7077" s="33">
        <f t="shared" si="337"/>
        <v>0</v>
      </c>
    </row>
    <row r="7078" spans="1:15" x14ac:dyDescent="0.25">
      <c r="A7078" s="64" t="s">
        <v>226</v>
      </c>
      <c r="B7078" s="79" t="str">
        <f>IF('Twenty-Ninth'!B81="", "",'Twenty-Ninth'!B81)</f>
        <v/>
      </c>
      <c r="C7078" s="66" t="str">
        <f>IF('Twenty-Ninth'!C81="", "",'Twenty-Ninth'!C81)</f>
        <v/>
      </c>
      <c r="D7078" s="66" t="str">
        <f>IF('Twenty-Ninth'!D81="", "",'Twenty-Ninth'!D81)</f>
        <v/>
      </c>
      <c r="E7078" s="66" t="str">
        <f>IF('Twenty-Ninth'!E81="", "",'Twenty-Ninth'!E81)</f>
        <v/>
      </c>
      <c r="F7078" s="66" t="str">
        <f>IF('Twenty-Ninth'!F81="", "",'Twenty-Ninth'!F81)</f>
        <v/>
      </c>
      <c r="G7078" s="66" t="str">
        <f>IF('Twenty-Ninth'!G81="", "",'Twenty-Ninth'!G81)</f>
        <v/>
      </c>
      <c r="H7078" s="66" t="str">
        <f>IF('Twenty-Ninth'!H81="", "",'Twenty-Ninth'!H81)</f>
        <v/>
      </c>
      <c r="I7078" s="66" t="str">
        <f>IF('Twenty-Ninth'!I81="", "",'Twenty-Ninth'!I81)</f>
        <v/>
      </c>
      <c r="J7078" s="66" t="str">
        <f>IF('Twenty-Ninth'!J81="", "",'Twenty-Ninth'!J81)</f>
        <v/>
      </c>
      <c r="K7078" s="86" t="str">
        <f>IF('Twenty-Ninth'!K81="", "",'Twenty-Ninth'!K81)</f>
        <v/>
      </c>
      <c r="M7078" s="67" t="str">
        <f t="shared" si="335"/>
        <v/>
      </c>
      <c r="N7078" s="76" t="str">
        <f t="shared" si="336"/>
        <v/>
      </c>
      <c r="O7078" s="33">
        <f t="shared" si="337"/>
        <v>0</v>
      </c>
    </row>
    <row r="7079" spans="1:15" x14ac:dyDescent="0.25">
      <c r="A7079" s="64" t="s">
        <v>226</v>
      </c>
      <c r="B7079" s="79" t="str">
        <f>IF('Twenty-Ninth'!B82="", "",'Twenty-Ninth'!B82)</f>
        <v/>
      </c>
      <c r="C7079" s="66" t="str">
        <f>IF('Twenty-Ninth'!C82="", "",'Twenty-Ninth'!C82)</f>
        <v/>
      </c>
      <c r="D7079" s="66" t="str">
        <f>IF('Twenty-Ninth'!D82="", "",'Twenty-Ninth'!D82)</f>
        <v/>
      </c>
      <c r="E7079" s="66" t="str">
        <f>IF('Twenty-Ninth'!E82="", "",'Twenty-Ninth'!E82)</f>
        <v/>
      </c>
      <c r="F7079" s="66" t="str">
        <f>IF('Twenty-Ninth'!F82="", "",'Twenty-Ninth'!F82)</f>
        <v/>
      </c>
      <c r="G7079" s="66" t="str">
        <f>IF('Twenty-Ninth'!G82="", "",'Twenty-Ninth'!G82)</f>
        <v/>
      </c>
      <c r="H7079" s="66" t="str">
        <f>IF('Twenty-Ninth'!H82="", "",'Twenty-Ninth'!H82)</f>
        <v/>
      </c>
      <c r="I7079" s="66" t="str">
        <f>IF('Twenty-Ninth'!I82="", "",'Twenty-Ninth'!I82)</f>
        <v/>
      </c>
      <c r="J7079" s="66" t="str">
        <f>IF('Twenty-Ninth'!J82="", "",'Twenty-Ninth'!J82)</f>
        <v/>
      </c>
      <c r="K7079" s="86" t="str">
        <f>IF('Twenty-Ninth'!K82="", "",'Twenty-Ninth'!K82)</f>
        <v/>
      </c>
      <c r="M7079" s="67" t="str">
        <f t="shared" si="335"/>
        <v/>
      </c>
      <c r="N7079" s="76" t="str">
        <f t="shared" si="336"/>
        <v/>
      </c>
      <c r="O7079" s="33">
        <f t="shared" si="337"/>
        <v>0</v>
      </c>
    </row>
    <row r="7080" spans="1:15" x14ac:dyDescent="0.25">
      <c r="A7080" s="64" t="s">
        <v>226</v>
      </c>
      <c r="B7080" s="79" t="str">
        <f>IF('Twenty-Ninth'!B83="", "",'Twenty-Ninth'!B83)</f>
        <v/>
      </c>
      <c r="C7080" s="66" t="str">
        <f>IF('Twenty-Ninth'!C83="", "",'Twenty-Ninth'!C83)</f>
        <v/>
      </c>
      <c r="D7080" s="66" t="str">
        <f>IF('Twenty-Ninth'!D83="", "",'Twenty-Ninth'!D83)</f>
        <v/>
      </c>
      <c r="E7080" s="66" t="str">
        <f>IF('Twenty-Ninth'!E83="", "",'Twenty-Ninth'!E83)</f>
        <v/>
      </c>
      <c r="F7080" s="66" t="str">
        <f>IF('Twenty-Ninth'!F83="", "",'Twenty-Ninth'!F83)</f>
        <v/>
      </c>
      <c r="G7080" s="66" t="str">
        <f>IF('Twenty-Ninth'!G83="", "",'Twenty-Ninth'!G83)</f>
        <v/>
      </c>
      <c r="H7080" s="66" t="str">
        <f>IF('Twenty-Ninth'!H83="", "",'Twenty-Ninth'!H83)</f>
        <v/>
      </c>
      <c r="I7080" s="66" t="str">
        <f>IF('Twenty-Ninth'!I83="", "",'Twenty-Ninth'!I83)</f>
        <v/>
      </c>
      <c r="J7080" s="66" t="str">
        <f>IF('Twenty-Ninth'!J83="", "",'Twenty-Ninth'!J83)</f>
        <v/>
      </c>
      <c r="K7080" s="86" t="str">
        <f>IF('Twenty-Ninth'!K83="", "",'Twenty-Ninth'!K83)</f>
        <v/>
      </c>
      <c r="M7080" s="67" t="str">
        <f t="shared" si="335"/>
        <v/>
      </c>
      <c r="N7080" s="76" t="str">
        <f t="shared" si="336"/>
        <v/>
      </c>
      <c r="O7080" s="33">
        <f t="shared" si="337"/>
        <v>0</v>
      </c>
    </row>
    <row r="7081" spans="1:15" x14ac:dyDescent="0.25">
      <c r="A7081" s="64" t="s">
        <v>226</v>
      </c>
      <c r="B7081" s="79" t="str">
        <f>IF('Twenty-Ninth'!B84="", "",'Twenty-Ninth'!B84)</f>
        <v/>
      </c>
      <c r="C7081" s="66" t="str">
        <f>IF('Twenty-Ninth'!C84="", "",'Twenty-Ninth'!C84)</f>
        <v/>
      </c>
      <c r="D7081" s="66" t="str">
        <f>IF('Twenty-Ninth'!D84="", "",'Twenty-Ninth'!D84)</f>
        <v/>
      </c>
      <c r="E7081" s="66" t="str">
        <f>IF('Twenty-Ninth'!E84="", "",'Twenty-Ninth'!E84)</f>
        <v/>
      </c>
      <c r="F7081" s="66" t="str">
        <f>IF('Twenty-Ninth'!F84="", "",'Twenty-Ninth'!F84)</f>
        <v/>
      </c>
      <c r="G7081" s="66" t="str">
        <f>IF('Twenty-Ninth'!G84="", "",'Twenty-Ninth'!G84)</f>
        <v/>
      </c>
      <c r="H7081" s="66" t="str">
        <f>IF('Twenty-Ninth'!H84="", "",'Twenty-Ninth'!H84)</f>
        <v/>
      </c>
      <c r="I7081" s="66" t="str">
        <f>IF('Twenty-Ninth'!I84="", "",'Twenty-Ninth'!I84)</f>
        <v/>
      </c>
      <c r="J7081" s="66" t="str">
        <f>IF('Twenty-Ninth'!J84="", "",'Twenty-Ninth'!J84)</f>
        <v/>
      </c>
      <c r="K7081" s="86" t="str">
        <f>IF('Twenty-Ninth'!K84="", "",'Twenty-Ninth'!K84)</f>
        <v/>
      </c>
      <c r="M7081" s="67" t="str">
        <f t="shared" si="335"/>
        <v/>
      </c>
      <c r="N7081" s="76" t="str">
        <f t="shared" si="336"/>
        <v/>
      </c>
      <c r="O7081" s="33">
        <f t="shared" si="337"/>
        <v>0</v>
      </c>
    </row>
    <row r="7082" spans="1:15" x14ac:dyDescent="0.25">
      <c r="A7082" s="64" t="s">
        <v>226</v>
      </c>
      <c r="B7082" s="79" t="str">
        <f>IF('Twenty-Ninth'!B85="", "",'Twenty-Ninth'!B85)</f>
        <v/>
      </c>
      <c r="C7082" s="66" t="str">
        <f>IF('Twenty-Ninth'!C85="", "",'Twenty-Ninth'!C85)</f>
        <v/>
      </c>
      <c r="D7082" s="66" t="str">
        <f>IF('Twenty-Ninth'!D85="", "",'Twenty-Ninth'!D85)</f>
        <v/>
      </c>
      <c r="E7082" s="66" t="str">
        <f>IF('Twenty-Ninth'!E85="", "",'Twenty-Ninth'!E85)</f>
        <v/>
      </c>
      <c r="F7082" s="66" t="str">
        <f>IF('Twenty-Ninth'!F85="", "",'Twenty-Ninth'!F85)</f>
        <v/>
      </c>
      <c r="G7082" s="66" t="str">
        <f>IF('Twenty-Ninth'!G85="", "",'Twenty-Ninth'!G85)</f>
        <v/>
      </c>
      <c r="H7082" s="66" t="str">
        <f>IF('Twenty-Ninth'!H85="", "",'Twenty-Ninth'!H85)</f>
        <v/>
      </c>
      <c r="I7082" s="66" t="str">
        <f>IF('Twenty-Ninth'!I85="", "",'Twenty-Ninth'!I85)</f>
        <v/>
      </c>
      <c r="J7082" s="66" t="str">
        <f>IF('Twenty-Ninth'!J85="", "",'Twenty-Ninth'!J85)</f>
        <v/>
      </c>
      <c r="K7082" s="86" t="str">
        <f>IF('Twenty-Ninth'!K85="", "",'Twenty-Ninth'!K85)</f>
        <v/>
      </c>
      <c r="M7082" s="67" t="str">
        <f t="shared" si="335"/>
        <v/>
      </c>
      <c r="N7082" s="76" t="str">
        <f t="shared" si="336"/>
        <v/>
      </c>
      <c r="O7082" s="33">
        <f t="shared" si="337"/>
        <v>0</v>
      </c>
    </row>
    <row r="7083" spans="1:15" x14ac:dyDescent="0.25">
      <c r="A7083" s="64" t="s">
        <v>226</v>
      </c>
      <c r="B7083" s="79" t="str">
        <f>IF('Twenty-Ninth'!B86="", "",'Twenty-Ninth'!B86)</f>
        <v/>
      </c>
      <c r="C7083" s="66" t="str">
        <f>IF('Twenty-Ninth'!C86="", "",'Twenty-Ninth'!C86)</f>
        <v/>
      </c>
      <c r="D7083" s="66" t="str">
        <f>IF('Twenty-Ninth'!D86="", "",'Twenty-Ninth'!D86)</f>
        <v/>
      </c>
      <c r="E7083" s="66" t="str">
        <f>IF('Twenty-Ninth'!E86="", "",'Twenty-Ninth'!E86)</f>
        <v/>
      </c>
      <c r="F7083" s="66" t="str">
        <f>IF('Twenty-Ninth'!F86="", "",'Twenty-Ninth'!F86)</f>
        <v/>
      </c>
      <c r="G7083" s="66" t="str">
        <f>IF('Twenty-Ninth'!G86="", "",'Twenty-Ninth'!G86)</f>
        <v/>
      </c>
      <c r="H7083" s="66" t="str">
        <f>IF('Twenty-Ninth'!H86="", "",'Twenty-Ninth'!H86)</f>
        <v/>
      </c>
      <c r="I7083" s="66" t="str">
        <f>IF('Twenty-Ninth'!I86="", "",'Twenty-Ninth'!I86)</f>
        <v/>
      </c>
      <c r="J7083" s="66" t="str">
        <f>IF('Twenty-Ninth'!J86="", "",'Twenty-Ninth'!J86)</f>
        <v/>
      </c>
      <c r="K7083" s="86" t="str">
        <f>IF('Twenty-Ninth'!K86="", "",'Twenty-Ninth'!K86)</f>
        <v/>
      </c>
      <c r="M7083" s="67" t="str">
        <f t="shared" si="335"/>
        <v/>
      </c>
      <c r="N7083" s="76" t="str">
        <f t="shared" si="336"/>
        <v/>
      </c>
      <c r="O7083" s="33">
        <f t="shared" si="337"/>
        <v>0</v>
      </c>
    </row>
    <row r="7084" spans="1:15" x14ac:dyDescent="0.25">
      <c r="A7084" s="64" t="s">
        <v>226</v>
      </c>
      <c r="B7084" s="79" t="str">
        <f>IF('Twenty-Ninth'!B87="", "",'Twenty-Ninth'!B87)</f>
        <v/>
      </c>
      <c r="C7084" s="66" t="str">
        <f>IF('Twenty-Ninth'!C87="", "",'Twenty-Ninth'!C87)</f>
        <v/>
      </c>
      <c r="D7084" s="66" t="str">
        <f>IF('Twenty-Ninth'!D87="", "",'Twenty-Ninth'!D87)</f>
        <v/>
      </c>
      <c r="E7084" s="66" t="str">
        <f>IF('Twenty-Ninth'!E87="", "",'Twenty-Ninth'!E87)</f>
        <v/>
      </c>
      <c r="F7084" s="66" t="str">
        <f>IF('Twenty-Ninth'!F87="", "",'Twenty-Ninth'!F87)</f>
        <v/>
      </c>
      <c r="G7084" s="66" t="str">
        <f>IF('Twenty-Ninth'!G87="", "",'Twenty-Ninth'!G87)</f>
        <v/>
      </c>
      <c r="H7084" s="66" t="str">
        <f>IF('Twenty-Ninth'!H87="", "",'Twenty-Ninth'!H87)</f>
        <v/>
      </c>
      <c r="I7084" s="66" t="str">
        <f>IF('Twenty-Ninth'!I87="", "",'Twenty-Ninth'!I87)</f>
        <v/>
      </c>
      <c r="J7084" s="66" t="str">
        <f>IF('Twenty-Ninth'!J87="", "",'Twenty-Ninth'!J87)</f>
        <v/>
      </c>
      <c r="K7084" s="86" t="str">
        <f>IF('Twenty-Ninth'!K87="", "",'Twenty-Ninth'!K87)</f>
        <v/>
      </c>
      <c r="M7084" s="67" t="str">
        <f t="shared" si="335"/>
        <v/>
      </c>
      <c r="N7084" s="76" t="str">
        <f t="shared" si="336"/>
        <v/>
      </c>
      <c r="O7084" s="33">
        <f t="shared" si="337"/>
        <v>0</v>
      </c>
    </row>
    <row r="7085" spans="1:15" x14ac:dyDescent="0.25">
      <c r="A7085" s="64" t="s">
        <v>226</v>
      </c>
      <c r="B7085" s="79" t="str">
        <f>IF('Twenty-Ninth'!B88="", "",'Twenty-Ninth'!B88)</f>
        <v/>
      </c>
      <c r="C7085" s="66" t="str">
        <f>IF('Twenty-Ninth'!C88="", "",'Twenty-Ninth'!C88)</f>
        <v/>
      </c>
      <c r="D7085" s="66" t="str">
        <f>IF('Twenty-Ninth'!D88="", "",'Twenty-Ninth'!D88)</f>
        <v/>
      </c>
      <c r="E7085" s="66" t="str">
        <f>IF('Twenty-Ninth'!E88="", "",'Twenty-Ninth'!E88)</f>
        <v/>
      </c>
      <c r="F7085" s="66" t="str">
        <f>IF('Twenty-Ninth'!F88="", "",'Twenty-Ninth'!F88)</f>
        <v/>
      </c>
      <c r="G7085" s="66" t="str">
        <f>IF('Twenty-Ninth'!G88="", "",'Twenty-Ninth'!G88)</f>
        <v/>
      </c>
      <c r="H7085" s="66" t="str">
        <f>IF('Twenty-Ninth'!H88="", "",'Twenty-Ninth'!H88)</f>
        <v/>
      </c>
      <c r="I7085" s="66" t="str">
        <f>IF('Twenty-Ninth'!I88="", "",'Twenty-Ninth'!I88)</f>
        <v/>
      </c>
      <c r="J7085" s="66" t="str">
        <f>IF('Twenty-Ninth'!J88="", "",'Twenty-Ninth'!J88)</f>
        <v/>
      </c>
      <c r="K7085" s="86" t="str">
        <f>IF('Twenty-Ninth'!K88="", "",'Twenty-Ninth'!K88)</f>
        <v/>
      </c>
      <c r="M7085" s="67" t="str">
        <f t="shared" si="335"/>
        <v/>
      </c>
      <c r="N7085" s="76" t="str">
        <f t="shared" si="336"/>
        <v/>
      </c>
      <c r="O7085" s="33">
        <f t="shared" si="337"/>
        <v>0</v>
      </c>
    </row>
    <row r="7086" spans="1:15" x14ac:dyDescent="0.25">
      <c r="A7086" s="64" t="s">
        <v>226</v>
      </c>
      <c r="B7086" s="79" t="str">
        <f>IF('Twenty-Ninth'!B89="", "",'Twenty-Ninth'!B89)</f>
        <v/>
      </c>
      <c r="C7086" s="66" t="str">
        <f>IF('Twenty-Ninth'!C89="", "",'Twenty-Ninth'!C89)</f>
        <v/>
      </c>
      <c r="D7086" s="66" t="str">
        <f>IF('Twenty-Ninth'!D89="", "",'Twenty-Ninth'!D89)</f>
        <v/>
      </c>
      <c r="E7086" s="66" t="str">
        <f>IF('Twenty-Ninth'!E89="", "",'Twenty-Ninth'!E89)</f>
        <v/>
      </c>
      <c r="F7086" s="66" t="str">
        <f>IF('Twenty-Ninth'!F89="", "",'Twenty-Ninth'!F89)</f>
        <v/>
      </c>
      <c r="G7086" s="66" t="str">
        <f>IF('Twenty-Ninth'!G89="", "",'Twenty-Ninth'!G89)</f>
        <v/>
      </c>
      <c r="H7086" s="66" t="str">
        <f>IF('Twenty-Ninth'!H89="", "",'Twenty-Ninth'!H89)</f>
        <v/>
      </c>
      <c r="I7086" s="66" t="str">
        <f>IF('Twenty-Ninth'!I89="", "",'Twenty-Ninth'!I89)</f>
        <v/>
      </c>
      <c r="J7086" s="66" t="str">
        <f>IF('Twenty-Ninth'!J89="", "",'Twenty-Ninth'!J89)</f>
        <v/>
      </c>
      <c r="K7086" s="86" t="str">
        <f>IF('Twenty-Ninth'!K89="", "",'Twenty-Ninth'!K89)</f>
        <v/>
      </c>
      <c r="M7086" s="67" t="str">
        <f t="shared" si="335"/>
        <v/>
      </c>
      <c r="N7086" s="76" t="str">
        <f t="shared" si="336"/>
        <v/>
      </c>
      <c r="O7086" s="33">
        <f t="shared" si="337"/>
        <v>0</v>
      </c>
    </row>
    <row r="7087" spans="1:15" x14ac:dyDescent="0.25">
      <c r="A7087" s="64" t="s">
        <v>226</v>
      </c>
      <c r="B7087" s="79" t="str">
        <f>IF('Twenty-Ninth'!B90="", "",'Twenty-Ninth'!B90)</f>
        <v/>
      </c>
      <c r="C7087" s="66" t="str">
        <f>IF('Twenty-Ninth'!C90="", "",'Twenty-Ninth'!C90)</f>
        <v/>
      </c>
      <c r="D7087" s="66" t="str">
        <f>IF('Twenty-Ninth'!D90="", "",'Twenty-Ninth'!D90)</f>
        <v/>
      </c>
      <c r="E7087" s="66" t="str">
        <f>IF('Twenty-Ninth'!E90="", "",'Twenty-Ninth'!E90)</f>
        <v/>
      </c>
      <c r="F7087" s="66" t="str">
        <f>IF('Twenty-Ninth'!F90="", "",'Twenty-Ninth'!F90)</f>
        <v/>
      </c>
      <c r="G7087" s="66" t="str">
        <f>IF('Twenty-Ninth'!G90="", "",'Twenty-Ninth'!G90)</f>
        <v/>
      </c>
      <c r="H7087" s="66" t="str">
        <f>IF('Twenty-Ninth'!H90="", "",'Twenty-Ninth'!H90)</f>
        <v/>
      </c>
      <c r="I7087" s="66" t="str">
        <f>IF('Twenty-Ninth'!I90="", "",'Twenty-Ninth'!I90)</f>
        <v/>
      </c>
      <c r="J7087" s="66" t="str">
        <f>IF('Twenty-Ninth'!J90="", "",'Twenty-Ninth'!J90)</f>
        <v/>
      </c>
      <c r="K7087" s="86" t="str">
        <f>IF('Twenty-Ninth'!K90="", "",'Twenty-Ninth'!K90)</f>
        <v/>
      </c>
      <c r="M7087" s="67" t="str">
        <f t="shared" si="335"/>
        <v/>
      </c>
      <c r="N7087" s="76" t="str">
        <f t="shared" si="336"/>
        <v/>
      </c>
      <c r="O7087" s="33">
        <f t="shared" si="337"/>
        <v>0</v>
      </c>
    </row>
    <row r="7088" spans="1:15" x14ac:dyDescent="0.25">
      <c r="A7088" s="64" t="s">
        <v>226</v>
      </c>
      <c r="B7088" s="79" t="str">
        <f>IF('Twenty-Ninth'!B91="", "",'Twenty-Ninth'!B91)</f>
        <v/>
      </c>
      <c r="C7088" s="66" t="str">
        <f>IF('Twenty-Ninth'!C91="", "",'Twenty-Ninth'!C91)</f>
        <v/>
      </c>
      <c r="D7088" s="66" t="str">
        <f>IF('Twenty-Ninth'!D91="", "",'Twenty-Ninth'!D91)</f>
        <v/>
      </c>
      <c r="E7088" s="66" t="str">
        <f>IF('Twenty-Ninth'!E91="", "",'Twenty-Ninth'!E91)</f>
        <v/>
      </c>
      <c r="F7088" s="66" t="str">
        <f>IF('Twenty-Ninth'!F91="", "",'Twenty-Ninth'!F91)</f>
        <v/>
      </c>
      <c r="G7088" s="66" t="str">
        <f>IF('Twenty-Ninth'!G91="", "",'Twenty-Ninth'!G91)</f>
        <v/>
      </c>
      <c r="H7088" s="66" t="str">
        <f>IF('Twenty-Ninth'!H91="", "",'Twenty-Ninth'!H91)</f>
        <v/>
      </c>
      <c r="I7088" s="66" t="str">
        <f>IF('Twenty-Ninth'!I91="", "",'Twenty-Ninth'!I91)</f>
        <v/>
      </c>
      <c r="J7088" s="66" t="str">
        <f>IF('Twenty-Ninth'!J91="", "",'Twenty-Ninth'!J91)</f>
        <v/>
      </c>
      <c r="K7088" s="86" t="str">
        <f>IF('Twenty-Ninth'!K91="", "",'Twenty-Ninth'!K91)</f>
        <v/>
      </c>
      <c r="M7088" s="67" t="str">
        <f t="shared" si="335"/>
        <v/>
      </c>
      <c r="N7088" s="76" t="str">
        <f t="shared" si="336"/>
        <v/>
      </c>
      <c r="O7088" s="33">
        <f t="shared" si="337"/>
        <v>0</v>
      </c>
    </row>
    <row r="7089" spans="1:15" x14ac:dyDescent="0.25">
      <c r="A7089" s="64" t="s">
        <v>226</v>
      </c>
      <c r="B7089" s="79" t="str">
        <f>IF('Twenty-Ninth'!B92="", "",'Twenty-Ninth'!B92)</f>
        <v/>
      </c>
      <c r="C7089" s="66" t="str">
        <f>IF('Twenty-Ninth'!C92="", "",'Twenty-Ninth'!C92)</f>
        <v/>
      </c>
      <c r="D7089" s="66" t="str">
        <f>IF('Twenty-Ninth'!D92="", "",'Twenty-Ninth'!D92)</f>
        <v/>
      </c>
      <c r="E7089" s="66" t="str">
        <f>IF('Twenty-Ninth'!E92="", "",'Twenty-Ninth'!E92)</f>
        <v/>
      </c>
      <c r="F7089" s="66" t="str">
        <f>IF('Twenty-Ninth'!F92="", "",'Twenty-Ninth'!F92)</f>
        <v/>
      </c>
      <c r="G7089" s="66" t="str">
        <f>IF('Twenty-Ninth'!G92="", "",'Twenty-Ninth'!G92)</f>
        <v/>
      </c>
      <c r="H7089" s="66" t="str">
        <f>IF('Twenty-Ninth'!H92="", "",'Twenty-Ninth'!H92)</f>
        <v/>
      </c>
      <c r="I7089" s="66" t="str">
        <f>IF('Twenty-Ninth'!I92="", "",'Twenty-Ninth'!I92)</f>
        <v/>
      </c>
      <c r="J7089" s="66" t="str">
        <f>IF('Twenty-Ninth'!J92="", "",'Twenty-Ninth'!J92)</f>
        <v/>
      </c>
      <c r="K7089" s="86" t="str">
        <f>IF('Twenty-Ninth'!K92="", "",'Twenty-Ninth'!K92)</f>
        <v/>
      </c>
      <c r="M7089" s="67" t="str">
        <f t="shared" si="335"/>
        <v/>
      </c>
      <c r="N7089" s="76" t="str">
        <f t="shared" si="336"/>
        <v/>
      </c>
      <c r="O7089" s="33">
        <f t="shared" si="337"/>
        <v>0</v>
      </c>
    </row>
    <row r="7090" spans="1:15" x14ac:dyDescent="0.25">
      <c r="A7090" s="64" t="s">
        <v>226</v>
      </c>
      <c r="B7090" s="79" t="str">
        <f>IF('Twenty-Ninth'!B93="", "",'Twenty-Ninth'!B93)</f>
        <v/>
      </c>
      <c r="C7090" s="66" t="str">
        <f>IF('Twenty-Ninth'!C93="", "",'Twenty-Ninth'!C93)</f>
        <v/>
      </c>
      <c r="D7090" s="66" t="str">
        <f>IF('Twenty-Ninth'!D93="", "",'Twenty-Ninth'!D93)</f>
        <v/>
      </c>
      <c r="E7090" s="66" t="str">
        <f>IF('Twenty-Ninth'!E93="", "",'Twenty-Ninth'!E93)</f>
        <v/>
      </c>
      <c r="F7090" s="66" t="str">
        <f>IF('Twenty-Ninth'!F93="", "",'Twenty-Ninth'!F93)</f>
        <v/>
      </c>
      <c r="G7090" s="66" t="str">
        <f>IF('Twenty-Ninth'!G93="", "",'Twenty-Ninth'!G93)</f>
        <v/>
      </c>
      <c r="H7090" s="66" t="str">
        <f>IF('Twenty-Ninth'!H93="", "",'Twenty-Ninth'!H93)</f>
        <v/>
      </c>
      <c r="I7090" s="66" t="str">
        <f>IF('Twenty-Ninth'!I93="", "",'Twenty-Ninth'!I93)</f>
        <v/>
      </c>
      <c r="J7090" s="66" t="str">
        <f>IF('Twenty-Ninth'!J93="", "",'Twenty-Ninth'!J93)</f>
        <v/>
      </c>
      <c r="K7090" s="86" t="str">
        <f>IF('Twenty-Ninth'!K93="", "",'Twenty-Ninth'!K93)</f>
        <v/>
      </c>
      <c r="M7090" s="67" t="str">
        <f t="shared" si="335"/>
        <v/>
      </c>
      <c r="N7090" s="76" t="str">
        <f t="shared" si="336"/>
        <v/>
      </c>
      <c r="O7090" s="33">
        <f t="shared" si="337"/>
        <v>0</v>
      </c>
    </row>
    <row r="7091" spans="1:15" x14ac:dyDescent="0.25">
      <c r="A7091" s="64" t="s">
        <v>226</v>
      </c>
      <c r="B7091" s="79" t="str">
        <f>IF('Twenty-Ninth'!B94="", "",'Twenty-Ninth'!B94)</f>
        <v/>
      </c>
      <c r="C7091" s="66" t="str">
        <f>IF('Twenty-Ninth'!C94="", "",'Twenty-Ninth'!C94)</f>
        <v/>
      </c>
      <c r="D7091" s="66" t="str">
        <f>IF('Twenty-Ninth'!D94="", "",'Twenty-Ninth'!D94)</f>
        <v/>
      </c>
      <c r="E7091" s="66" t="str">
        <f>IF('Twenty-Ninth'!E94="", "",'Twenty-Ninth'!E94)</f>
        <v/>
      </c>
      <c r="F7091" s="66" t="str">
        <f>IF('Twenty-Ninth'!F94="", "",'Twenty-Ninth'!F94)</f>
        <v/>
      </c>
      <c r="G7091" s="66" t="str">
        <f>IF('Twenty-Ninth'!G94="", "",'Twenty-Ninth'!G94)</f>
        <v/>
      </c>
      <c r="H7091" s="66" t="str">
        <f>IF('Twenty-Ninth'!H94="", "",'Twenty-Ninth'!H94)</f>
        <v/>
      </c>
      <c r="I7091" s="66" t="str">
        <f>IF('Twenty-Ninth'!I94="", "",'Twenty-Ninth'!I94)</f>
        <v/>
      </c>
      <c r="J7091" s="66" t="str">
        <f>IF('Twenty-Ninth'!J94="", "",'Twenty-Ninth'!J94)</f>
        <v/>
      </c>
      <c r="K7091" s="86" t="str">
        <f>IF('Twenty-Ninth'!K94="", "",'Twenty-Ninth'!K94)</f>
        <v/>
      </c>
      <c r="M7091" s="67" t="str">
        <f t="shared" si="335"/>
        <v/>
      </c>
      <c r="N7091" s="76" t="str">
        <f t="shared" si="336"/>
        <v/>
      </c>
      <c r="O7091" s="33">
        <f t="shared" si="337"/>
        <v>0</v>
      </c>
    </row>
    <row r="7092" spans="1:15" x14ac:dyDescent="0.25">
      <c r="A7092" s="64" t="s">
        <v>226</v>
      </c>
      <c r="B7092" s="79" t="str">
        <f>IF('Twenty-Ninth'!B95="", "",'Twenty-Ninth'!B95)</f>
        <v/>
      </c>
      <c r="C7092" s="66" t="str">
        <f>IF('Twenty-Ninth'!C95="", "",'Twenty-Ninth'!C95)</f>
        <v/>
      </c>
      <c r="D7092" s="66" t="str">
        <f>IF('Twenty-Ninth'!D95="", "",'Twenty-Ninth'!D95)</f>
        <v/>
      </c>
      <c r="E7092" s="66" t="str">
        <f>IF('Twenty-Ninth'!E95="", "",'Twenty-Ninth'!E95)</f>
        <v/>
      </c>
      <c r="F7092" s="66" t="str">
        <f>IF('Twenty-Ninth'!F95="", "",'Twenty-Ninth'!F95)</f>
        <v/>
      </c>
      <c r="G7092" s="66" t="str">
        <f>IF('Twenty-Ninth'!G95="", "",'Twenty-Ninth'!G95)</f>
        <v/>
      </c>
      <c r="H7092" s="66" t="str">
        <f>IF('Twenty-Ninth'!H95="", "",'Twenty-Ninth'!H95)</f>
        <v/>
      </c>
      <c r="I7092" s="66" t="str">
        <f>IF('Twenty-Ninth'!I95="", "",'Twenty-Ninth'!I95)</f>
        <v/>
      </c>
      <c r="J7092" s="66" t="str">
        <f>IF('Twenty-Ninth'!J95="", "",'Twenty-Ninth'!J95)</f>
        <v/>
      </c>
      <c r="K7092" s="86" t="str">
        <f>IF('Twenty-Ninth'!K95="", "",'Twenty-Ninth'!K95)</f>
        <v/>
      </c>
      <c r="M7092" s="67" t="str">
        <f t="shared" si="335"/>
        <v/>
      </c>
      <c r="N7092" s="76" t="str">
        <f t="shared" si="336"/>
        <v/>
      </c>
      <c r="O7092" s="33">
        <f t="shared" si="337"/>
        <v>0</v>
      </c>
    </row>
    <row r="7093" spans="1:15" x14ac:dyDescent="0.25">
      <c r="A7093" s="64" t="s">
        <v>226</v>
      </c>
      <c r="B7093" s="79" t="str">
        <f>IF('Twenty-Ninth'!B96="", "",'Twenty-Ninth'!B96)</f>
        <v/>
      </c>
      <c r="C7093" s="66" t="str">
        <f>IF('Twenty-Ninth'!C96="", "",'Twenty-Ninth'!C96)</f>
        <v/>
      </c>
      <c r="D7093" s="66" t="str">
        <f>IF('Twenty-Ninth'!D96="", "",'Twenty-Ninth'!D96)</f>
        <v/>
      </c>
      <c r="E7093" s="66" t="str">
        <f>IF('Twenty-Ninth'!E96="", "",'Twenty-Ninth'!E96)</f>
        <v/>
      </c>
      <c r="F7093" s="66" t="str">
        <f>IF('Twenty-Ninth'!F96="", "",'Twenty-Ninth'!F96)</f>
        <v/>
      </c>
      <c r="G7093" s="66" t="str">
        <f>IF('Twenty-Ninth'!G96="", "",'Twenty-Ninth'!G96)</f>
        <v/>
      </c>
      <c r="H7093" s="66" t="str">
        <f>IF('Twenty-Ninth'!H96="", "",'Twenty-Ninth'!H96)</f>
        <v/>
      </c>
      <c r="I7093" s="66" t="str">
        <f>IF('Twenty-Ninth'!I96="", "",'Twenty-Ninth'!I96)</f>
        <v/>
      </c>
      <c r="J7093" s="66" t="str">
        <f>IF('Twenty-Ninth'!J96="", "",'Twenty-Ninth'!J96)</f>
        <v/>
      </c>
      <c r="K7093" s="86" t="str">
        <f>IF('Twenty-Ninth'!K96="", "",'Twenty-Ninth'!K96)</f>
        <v/>
      </c>
      <c r="M7093" s="67" t="str">
        <f t="shared" si="335"/>
        <v/>
      </c>
      <c r="N7093" s="76" t="str">
        <f t="shared" si="336"/>
        <v/>
      </c>
      <c r="O7093" s="33">
        <f t="shared" si="337"/>
        <v>0</v>
      </c>
    </row>
    <row r="7094" spans="1:15" x14ac:dyDescent="0.25">
      <c r="A7094" s="64" t="s">
        <v>226</v>
      </c>
      <c r="B7094" s="79" t="str">
        <f>IF('Twenty-Ninth'!B97="", "",'Twenty-Ninth'!B97)</f>
        <v/>
      </c>
      <c r="C7094" s="66" t="str">
        <f>IF('Twenty-Ninth'!C97="", "",'Twenty-Ninth'!C97)</f>
        <v/>
      </c>
      <c r="D7094" s="66" t="str">
        <f>IF('Twenty-Ninth'!D97="", "",'Twenty-Ninth'!D97)</f>
        <v/>
      </c>
      <c r="E7094" s="66" t="str">
        <f>IF('Twenty-Ninth'!E97="", "",'Twenty-Ninth'!E97)</f>
        <v/>
      </c>
      <c r="F7094" s="66" t="str">
        <f>IF('Twenty-Ninth'!F97="", "",'Twenty-Ninth'!F97)</f>
        <v/>
      </c>
      <c r="G7094" s="66" t="str">
        <f>IF('Twenty-Ninth'!G97="", "",'Twenty-Ninth'!G97)</f>
        <v/>
      </c>
      <c r="H7094" s="66" t="str">
        <f>IF('Twenty-Ninth'!H97="", "",'Twenty-Ninth'!H97)</f>
        <v/>
      </c>
      <c r="I7094" s="66" t="str">
        <f>IF('Twenty-Ninth'!I97="", "",'Twenty-Ninth'!I97)</f>
        <v/>
      </c>
      <c r="J7094" s="66" t="str">
        <f>IF('Twenty-Ninth'!J97="", "",'Twenty-Ninth'!J97)</f>
        <v/>
      </c>
      <c r="K7094" s="86" t="str">
        <f>IF('Twenty-Ninth'!K97="", "",'Twenty-Ninth'!K97)</f>
        <v/>
      </c>
      <c r="M7094" s="67" t="str">
        <f t="shared" si="335"/>
        <v/>
      </c>
      <c r="N7094" s="76" t="str">
        <f t="shared" si="336"/>
        <v/>
      </c>
      <c r="O7094" s="33">
        <f t="shared" si="337"/>
        <v>0</v>
      </c>
    </row>
    <row r="7095" spans="1:15" x14ac:dyDescent="0.25">
      <c r="A7095" s="64" t="s">
        <v>226</v>
      </c>
      <c r="B7095" s="79" t="str">
        <f>IF('Twenty-Ninth'!B98="", "",'Twenty-Ninth'!B98)</f>
        <v/>
      </c>
      <c r="C7095" s="66" t="str">
        <f>IF('Twenty-Ninth'!C98="", "",'Twenty-Ninth'!C98)</f>
        <v/>
      </c>
      <c r="D7095" s="66" t="str">
        <f>IF('Twenty-Ninth'!D98="", "",'Twenty-Ninth'!D98)</f>
        <v/>
      </c>
      <c r="E7095" s="66" t="str">
        <f>IF('Twenty-Ninth'!E98="", "",'Twenty-Ninth'!E98)</f>
        <v/>
      </c>
      <c r="F7095" s="66" t="str">
        <f>IF('Twenty-Ninth'!F98="", "",'Twenty-Ninth'!F98)</f>
        <v/>
      </c>
      <c r="G7095" s="66" t="str">
        <f>IF('Twenty-Ninth'!G98="", "",'Twenty-Ninth'!G98)</f>
        <v/>
      </c>
      <c r="H7095" s="66" t="str">
        <f>IF('Twenty-Ninth'!H98="", "",'Twenty-Ninth'!H98)</f>
        <v/>
      </c>
      <c r="I7095" s="66" t="str">
        <f>IF('Twenty-Ninth'!I98="", "",'Twenty-Ninth'!I98)</f>
        <v/>
      </c>
      <c r="J7095" s="66" t="str">
        <f>IF('Twenty-Ninth'!J98="", "",'Twenty-Ninth'!J98)</f>
        <v/>
      </c>
      <c r="K7095" s="86" t="str">
        <f>IF('Twenty-Ninth'!K98="", "",'Twenty-Ninth'!K98)</f>
        <v/>
      </c>
      <c r="M7095" s="67" t="str">
        <f t="shared" si="335"/>
        <v/>
      </c>
      <c r="N7095" s="76" t="str">
        <f t="shared" si="336"/>
        <v/>
      </c>
      <c r="O7095" s="33">
        <f t="shared" si="337"/>
        <v>0</v>
      </c>
    </row>
    <row r="7096" spans="1:15" x14ac:dyDescent="0.25">
      <c r="A7096" s="64" t="s">
        <v>226</v>
      </c>
      <c r="B7096" s="79" t="str">
        <f>IF('Twenty-Ninth'!B99="", "",'Twenty-Ninth'!B99)</f>
        <v/>
      </c>
      <c r="C7096" s="66" t="str">
        <f>IF('Twenty-Ninth'!C99="", "",'Twenty-Ninth'!C99)</f>
        <v/>
      </c>
      <c r="D7096" s="66" t="str">
        <f>IF('Twenty-Ninth'!D99="", "",'Twenty-Ninth'!D99)</f>
        <v/>
      </c>
      <c r="E7096" s="66" t="str">
        <f>IF('Twenty-Ninth'!E99="", "",'Twenty-Ninth'!E99)</f>
        <v/>
      </c>
      <c r="F7096" s="66" t="str">
        <f>IF('Twenty-Ninth'!F99="", "",'Twenty-Ninth'!F99)</f>
        <v/>
      </c>
      <c r="G7096" s="66" t="str">
        <f>IF('Twenty-Ninth'!G99="", "",'Twenty-Ninth'!G99)</f>
        <v/>
      </c>
      <c r="H7096" s="66" t="str">
        <f>IF('Twenty-Ninth'!H99="", "",'Twenty-Ninth'!H99)</f>
        <v/>
      </c>
      <c r="I7096" s="66" t="str">
        <f>IF('Twenty-Ninth'!I99="", "",'Twenty-Ninth'!I99)</f>
        <v/>
      </c>
      <c r="J7096" s="66" t="str">
        <f>IF('Twenty-Ninth'!J99="", "",'Twenty-Ninth'!J99)</f>
        <v/>
      </c>
      <c r="K7096" s="86" t="str">
        <f>IF('Twenty-Ninth'!K99="", "",'Twenty-Ninth'!K99)</f>
        <v/>
      </c>
      <c r="M7096" s="67" t="str">
        <f t="shared" si="335"/>
        <v/>
      </c>
      <c r="N7096" s="76" t="str">
        <f t="shared" si="336"/>
        <v/>
      </c>
      <c r="O7096" s="33">
        <f t="shared" si="337"/>
        <v>0</v>
      </c>
    </row>
    <row r="7097" spans="1:15" x14ac:dyDescent="0.25">
      <c r="A7097" s="64" t="s">
        <v>226</v>
      </c>
      <c r="B7097" s="79" t="str">
        <f>IF('Twenty-Ninth'!B100="", "",'Twenty-Ninth'!B100)</f>
        <v/>
      </c>
      <c r="C7097" s="66" t="str">
        <f>IF('Twenty-Ninth'!C100="", "",'Twenty-Ninth'!C100)</f>
        <v/>
      </c>
      <c r="D7097" s="66" t="str">
        <f>IF('Twenty-Ninth'!D100="", "",'Twenty-Ninth'!D100)</f>
        <v/>
      </c>
      <c r="E7097" s="66" t="str">
        <f>IF('Twenty-Ninth'!E100="", "",'Twenty-Ninth'!E100)</f>
        <v/>
      </c>
      <c r="F7097" s="66" t="str">
        <f>IF('Twenty-Ninth'!F100="", "",'Twenty-Ninth'!F100)</f>
        <v/>
      </c>
      <c r="G7097" s="66" t="str">
        <f>IF('Twenty-Ninth'!G100="", "",'Twenty-Ninth'!G100)</f>
        <v/>
      </c>
      <c r="H7097" s="66" t="str">
        <f>IF('Twenty-Ninth'!H100="", "",'Twenty-Ninth'!H100)</f>
        <v/>
      </c>
      <c r="I7097" s="66" t="str">
        <f>IF('Twenty-Ninth'!I100="", "",'Twenty-Ninth'!I100)</f>
        <v/>
      </c>
      <c r="J7097" s="66" t="str">
        <f>IF('Twenty-Ninth'!J100="", "",'Twenty-Ninth'!J100)</f>
        <v/>
      </c>
      <c r="K7097" s="86" t="str">
        <f>IF('Twenty-Ninth'!K100="", "",'Twenty-Ninth'!K100)</f>
        <v/>
      </c>
      <c r="M7097" s="67" t="str">
        <f t="shared" si="335"/>
        <v/>
      </c>
      <c r="N7097" s="76" t="str">
        <f t="shared" si="336"/>
        <v/>
      </c>
      <c r="O7097" s="33">
        <f t="shared" si="337"/>
        <v>0</v>
      </c>
    </row>
    <row r="7098" spans="1:15" x14ac:dyDescent="0.25">
      <c r="A7098" s="64" t="s">
        <v>226</v>
      </c>
      <c r="B7098" s="79" t="str">
        <f>IF('Twenty-Ninth'!B101="", "",'Twenty-Ninth'!B101)</f>
        <v/>
      </c>
      <c r="C7098" s="66" t="str">
        <f>IF('Twenty-Ninth'!C101="", "",'Twenty-Ninth'!C101)</f>
        <v/>
      </c>
      <c r="D7098" s="66" t="str">
        <f>IF('Twenty-Ninth'!D101="", "",'Twenty-Ninth'!D101)</f>
        <v/>
      </c>
      <c r="E7098" s="66" t="str">
        <f>IF('Twenty-Ninth'!E101="", "",'Twenty-Ninth'!E101)</f>
        <v/>
      </c>
      <c r="F7098" s="66" t="str">
        <f>IF('Twenty-Ninth'!F101="", "",'Twenty-Ninth'!F101)</f>
        <v/>
      </c>
      <c r="G7098" s="66" t="str">
        <f>IF('Twenty-Ninth'!G101="", "",'Twenty-Ninth'!G101)</f>
        <v/>
      </c>
      <c r="H7098" s="66" t="str">
        <f>IF('Twenty-Ninth'!H101="", "",'Twenty-Ninth'!H101)</f>
        <v/>
      </c>
      <c r="I7098" s="66" t="str">
        <f>IF('Twenty-Ninth'!I101="", "",'Twenty-Ninth'!I101)</f>
        <v/>
      </c>
      <c r="J7098" s="66" t="str">
        <f>IF('Twenty-Ninth'!J101="", "",'Twenty-Ninth'!J101)</f>
        <v/>
      </c>
      <c r="K7098" s="86" t="str">
        <f>IF('Twenty-Ninth'!K101="", "",'Twenty-Ninth'!K101)</f>
        <v/>
      </c>
      <c r="M7098" s="67" t="str">
        <f t="shared" si="335"/>
        <v/>
      </c>
      <c r="N7098" s="76" t="str">
        <f t="shared" si="336"/>
        <v/>
      </c>
      <c r="O7098" s="33">
        <f t="shared" si="337"/>
        <v>0</v>
      </c>
    </row>
    <row r="7099" spans="1:15" x14ac:dyDescent="0.25">
      <c r="A7099" s="64" t="s">
        <v>226</v>
      </c>
      <c r="B7099" s="79" t="str">
        <f>IF('Twenty-Ninth'!B102="", "",'Twenty-Ninth'!B102)</f>
        <v/>
      </c>
      <c r="C7099" s="66" t="str">
        <f>IF('Twenty-Ninth'!C102="", "",'Twenty-Ninth'!C102)</f>
        <v/>
      </c>
      <c r="D7099" s="66" t="str">
        <f>IF('Twenty-Ninth'!D102="", "",'Twenty-Ninth'!D102)</f>
        <v/>
      </c>
      <c r="E7099" s="66" t="str">
        <f>IF('Twenty-Ninth'!E102="", "",'Twenty-Ninth'!E102)</f>
        <v/>
      </c>
      <c r="F7099" s="66" t="str">
        <f>IF('Twenty-Ninth'!F102="", "",'Twenty-Ninth'!F102)</f>
        <v/>
      </c>
      <c r="G7099" s="66" t="str">
        <f>IF('Twenty-Ninth'!G102="", "",'Twenty-Ninth'!G102)</f>
        <v/>
      </c>
      <c r="H7099" s="66" t="str">
        <f>IF('Twenty-Ninth'!H102="", "",'Twenty-Ninth'!H102)</f>
        <v/>
      </c>
      <c r="I7099" s="66" t="str">
        <f>IF('Twenty-Ninth'!I102="", "",'Twenty-Ninth'!I102)</f>
        <v/>
      </c>
      <c r="J7099" s="66" t="str">
        <f>IF('Twenty-Ninth'!J102="", "",'Twenty-Ninth'!J102)</f>
        <v/>
      </c>
      <c r="K7099" s="86" t="str">
        <f>IF('Twenty-Ninth'!K102="", "",'Twenty-Ninth'!K102)</f>
        <v/>
      </c>
      <c r="M7099" s="67" t="str">
        <f t="shared" si="335"/>
        <v/>
      </c>
      <c r="N7099" s="76" t="str">
        <f t="shared" si="336"/>
        <v/>
      </c>
      <c r="O7099" s="33">
        <f t="shared" si="337"/>
        <v>0</v>
      </c>
    </row>
    <row r="7100" spans="1:15" x14ac:dyDescent="0.25">
      <c r="A7100" s="64" t="s">
        <v>226</v>
      </c>
      <c r="B7100" s="79" t="str">
        <f>IF('Twenty-Ninth'!B103="", "",'Twenty-Ninth'!B103)</f>
        <v/>
      </c>
      <c r="C7100" s="66" t="str">
        <f>IF('Twenty-Ninth'!C103="", "",'Twenty-Ninth'!C103)</f>
        <v/>
      </c>
      <c r="D7100" s="66" t="str">
        <f>IF('Twenty-Ninth'!D103="", "",'Twenty-Ninth'!D103)</f>
        <v/>
      </c>
      <c r="E7100" s="66" t="str">
        <f>IF('Twenty-Ninth'!E103="", "",'Twenty-Ninth'!E103)</f>
        <v/>
      </c>
      <c r="F7100" s="66" t="str">
        <f>IF('Twenty-Ninth'!F103="", "",'Twenty-Ninth'!F103)</f>
        <v/>
      </c>
      <c r="G7100" s="66" t="str">
        <f>IF('Twenty-Ninth'!G103="", "",'Twenty-Ninth'!G103)</f>
        <v/>
      </c>
      <c r="H7100" s="66" t="str">
        <f>IF('Twenty-Ninth'!H103="", "",'Twenty-Ninth'!H103)</f>
        <v/>
      </c>
      <c r="I7100" s="66" t="str">
        <f>IF('Twenty-Ninth'!I103="", "",'Twenty-Ninth'!I103)</f>
        <v/>
      </c>
      <c r="J7100" s="66" t="str">
        <f>IF('Twenty-Ninth'!J103="", "",'Twenty-Ninth'!J103)</f>
        <v/>
      </c>
      <c r="K7100" s="86" t="str">
        <f>IF('Twenty-Ninth'!K103="", "",'Twenty-Ninth'!K103)</f>
        <v/>
      </c>
      <c r="M7100" s="67" t="str">
        <f t="shared" si="335"/>
        <v/>
      </c>
      <c r="N7100" s="76" t="str">
        <f t="shared" si="336"/>
        <v/>
      </c>
      <c r="O7100" s="33">
        <f t="shared" si="337"/>
        <v>0</v>
      </c>
    </row>
    <row r="7101" spans="1:15" x14ac:dyDescent="0.25">
      <c r="A7101" s="64" t="s">
        <v>226</v>
      </c>
      <c r="B7101" s="79" t="str">
        <f>IF('Twenty-Ninth'!B104="", "",'Twenty-Ninth'!B104)</f>
        <v/>
      </c>
      <c r="C7101" s="66" t="str">
        <f>IF('Twenty-Ninth'!C104="", "",'Twenty-Ninth'!C104)</f>
        <v/>
      </c>
      <c r="D7101" s="66" t="str">
        <f>IF('Twenty-Ninth'!D104="", "",'Twenty-Ninth'!D104)</f>
        <v/>
      </c>
      <c r="E7101" s="66" t="str">
        <f>IF('Twenty-Ninth'!E104="", "",'Twenty-Ninth'!E104)</f>
        <v/>
      </c>
      <c r="F7101" s="66" t="str">
        <f>IF('Twenty-Ninth'!F104="", "",'Twenty-Ninth'!F104)</f>
        <v/>
      </c>
      <c r="G7101" s="66" t="str">
        <f>IF('Twenty-Ninth'!G104="", "",'Twenty-Ninth'!G104)</f>
        <v/>
      </c>
      <c r="H7101" s="66" t="str">
        <f>IF('Twenty-Ninth'!H104="", "",'Twenty-Ninth'!H104)</f>
        <v/>
      </c>
      <c r="I7101" s="66" t="str">
        <f>IF('Twenty-Ninth'!I104="", "",'Twenty-Ninth'!I104)</f>
        <v/>
      </c>
      <c r="J7101" s="66" t="str">
        <f>IF('Twenty-Ninth'!J104="", "",'Twenty-Ninth'!J104)</f>
        <v/>
      </c>
      <c r="K7101" s="86" t="str">
        <f>IF('Twenty-Ninth'!K104="", "",'Twenty-Ninth'!K104)</f>
        <v/>
      </c>
      <c r="M7101" s="67" t="str">
        <f t="shared" si="335"/>
        <v/>
      </c>
      <c r="N7101" s="76" t="str">
        <f t="shared" si="336"/>
        <v/>
      </c>
      <c r="O7101" s="33">
        <f t="shared" si="337"/>
        <v>0</v>
      </c>
    </row>
    <row r="7102" spans="1:15" x14ac:dyDescent="0.25">
      <c r="A7102" s="64" t="s">
        <v>226</v>
      </c>
      <c r="B7102" s="79" t="str">
        <f>IF('Twenty-Ninth'!B105="", "",'Twenty-Ninth'!B105)</f>
        <v/>
      </c>
      <c r="C7102" s="66" t="str">
        <f>IF('Twenty-Ninth'!C105="", "",'Twenty-Ninth'!C105)</f>
        <v/>
      </c>
      <c r="D7102" s="66" t="str">
        <f>IF('Twenty-Ninth'!D105="", "",'Twenty-Ninth'!D105)</f>
        <v/>
      </c>
      <c r="E7102" s="66" t="str">
        <f>IF('Twenty-Ninth'!E105="", "",'Twenty-Ninth'!E105)</f>
        <v/>
      </c>
      <c r="F7102" s="66" t="str">
        <f>IF('Twenty-Ninth'!F105="", "",'Twenty-Ninth'!F105)</f>
        <v/>
      </c>
      <c r="G7102" s="66" t="str">
        <f>IF('Twenty-Ninth'!G105="", "",'Twenty-Ninth'!G105)</f>
        <v/>
      </c>
      <c r="H7102" s="66" t="str">
        <f>IF('Twenty-Ninth'!H105="", "",'Twenty-Ninth'!H105)</f>
        <v/>
      </c>
      <c r="I7102" s="66" t="str">
        <f>IF('Twenty-Ninth'!I105="", "",'Twenty-Ninth'!I105)</f>
        <v/>
      </c>
      <c r="J7102" s="66" t="str">
        <f>IF('Twenty-Ninth'!J105="", "",'Twenty-Ninth'!J105)</f>
        <v/>
      </c>
      <c r="K7102" s="86" t="str">
        <f>IF('Twenty-Ninth'!K105="", "",'Twenty-Ninth'!K105)</f>
        <v/>
      </c>
      <c r="M7102" s="67" t="str">
        <f t="shared" si="335"/>
        <v/>
      </c>
      <c r="N7102" s="76" t="str">
        <f t="shared" si="336"/>
        <v/>
      </c>
      <c r="O7102" s="33">
        <f t="shared" si="337"/>
        <v>0</v>
      </c>
    </row>
    <row r="7103" spans="1:15" x14ac:dyDescent="0.25">
      <c r="A7103" s="64" t="s">
        <v>226</v>
      </c>
      <c r="B7103" s="79" t="str">
        <f>IF('Twenty-Ninth'!B106="", "",'Twenty-Ninth'!B106)</f>
        <v/>
      </c>
      <c r="C7103" s="66" t="str">
        <f>IF('Twenty-Ninth'!C106="", "",'Twenty-Ninth'!C106)</f>
        <v/>
      </c>
      <c r="D7103" s="66" t="str">
        <f>IF('Twenty-Ninth'!D106="", "",'Twenty-Ninth'!D106)</f>
        <v/>
      </c>
      <c r="E7103" s="66" t="str">
        <f>IF('Twenty-Ninth'!E106="", "",'Twenty-Ninth'!E106)</f>
        <v/>
      </c>
      <c r="F7103" s="66" t="str">
        <f>IF('Twenty-Ninth'!F106="", "",'Twenty-Ninth'!F106)</f>
        <v/>
      </c>
      <c r="G7103" s="66" t="str">
        <f>IF('Twenty-Ninth'!G106="", "",'Twenty-Ninth'!G106)</f>
        <v/>
      </c>
      <c r="H7103" s="66" t="str">
        <f>IF('Twenty-Ninth'!H106="", "",'Twenty-Ninth'!H106)</f>
        <v/>
      </c>
      <c r="I7103" s="66" t="str">
        <f>IF('Twenty-Ninth'!I106="", "",'Twenty-Ninth'!I106)</f>
        <v/>
      </c>
      <c r="J7103" s="66" t="str">
        <f>IF('Twenty-Ninth'!J106="", "",'Twenty-Ninth'!J106)</f>
        <v/>
      </c>
      <c r="K7103" s="86" t="str">
        <f>IF('Twenty-Ninth'!K106="", "",'Twenty-Ninth'!K106)</f>
        <v/>
      </c>
      <c r="M7103" s="67" t="str">
        <f t="shared" ref="M7103:M7166" si="338">IF(C7103="PwC",(7-COUNTIF(B7103:H7103,"")),"")</f>
        <v/>
      </c>
      <c r="N7103" s="76" t="str">
        <f t="shared" ref="N7103:N7166" si="339">IF(C7103="Carer",(7-COUNTIF(B7103:H7103,"")),"")</f>
        <v/>
      </c>
      <c r="O7103" s="33">
        <f t="shared" si="337"/>
        <v>0</v>
      </c>
    </row>
    <row r="7104" spans="1:15" x14ac:dyDescent="0.25">
      <c r="A7104" s="64" t="s">
        <v>226</v>
      </c>
      <c r="B7104" s="79" t="str">
        <f>IF('Twenty-Ninth'!B107="", "",'Twenty-Ninth'!B107)</f>
        <v/>
      </c>
      <c r="C7104" s="66" t="str">
        <f>IF('Twenty-Ninth'!C107="", "",'Twenty-Ninth'!C107)</f>
        <v/>
      </c>
      <c r="D7104" s="66" t="str">
        <f>IF('Twenty-Ninth'!D107="", "",'Twenty-Ninth'!D107)</f>
        <v/>
      </c>
      <c r="E7104" s="66" t="str">
        <f>IF('Twenty-Ninth'!E107="", "",'Twenty-Ninth'!E107)</f>
        <v/>
      </c>
      <c r="F7104" s="66" t="str">
        <f>IF('Twenty-Ninth'!F107="", "",'Twenty-Ninth'!F107)</f>
        <v/>
      </c>
      <c r="G7104" s="66" t="str">
        <f>IF('Twenty-Ninth'!G107="", "",'Twenty-Ninth'!G107)</f>
        <v/>
      </c>
      <c r="H7104" s="66" t="str">
        <f>IF('Twenty-Ninth'!H107="", "",'Twenty-Ninth'!H107)</f>
        <v/>
      </c>
      <c r="I7104" s="66" t="str">
        <f>IF('Twenty-Ninth'!I107="", "",'Twenty-Ninth'!I107)</f>
        <v/>
      </c>
      <c r="J7104" s="66" t="str">
        <f>IF('Twenty-Ninth'!J107="", "",'Twenty-Ninth'!J107)</f>
        <v/>
      </c>
      <c r="K7104" s="86" t="str">
        <f>IF('Twenty-Ninth'!K107="", "",'Twenty-Ninth'!K107)</f>
        <v/>
      </c>
      <c r="M7104" s="67" t="str">
        <f t="shared" si="338"/>
        <v/>
      </c>
      <c r="N7104" s="76" t="str">
        <f t="shared" si="339"/>
        <v/>
      </c>
      <c r="O7104" s="33">
        <f t="shared" si="337"/>
        <v>0</v>
      </c>
    </row>
    <row r="7105" spans="1:15" x14ac:dyDescent="0.25">
      <c r="A7105" s="64" t="s">
        <v>226</v>
      </c>
      <c r="B7105" s="79" t="str">
        <f>IF('Twenty-Ninth'!B108="", "",'Twenty-Ninth'!B108)</f>
        <v/>
      </c>
      <c r="C7105" s="66" t="str">
        <f>IF('Twenty-Ninth'!C108="", "",'Twenty-Ninth'!C108)</f>
        <v/>
      </c>
      <c r="D7105" s="66" t="str">
        <f>IF('Twenty-Ninth'!D108="", "",'Twenty-Ninth'!D108)</f>
        <v/>
      </c>
      <c r="E7105" s="66" t="str">
        <f>IF('Twenty-Ninth'!E108="", "",'Twenty-Ninth'!E108)</f>
        <v/>
      </c>
      <c r="F7105" s="66" t="str">
        <f>IF('Twenty-Ninth'!F108="", "",'Twenty-Ninth'!F108)</f>
        <v/>
      </c>
      <c r="G7105" s="66" t="str">
        <f>IF('Twenty-Ninth'!G108="", "",'Twenty-Ninth'!G108)</f>
        <v/>
      </c>
      <c r="H7105" s="66" t="str">
        <f>IF('Twenty-Ninth'!H108="", "",'Twenty-Ninth'!H108)</f>
        <v/>
      </c>
      <c r="I7105" s="66" t="str">
        <f>IF('Twenty-Ninth'!I108="", "",'Twenty-Ninth'!I108)</f>
        <v/>
      </c>
      <c r="J7105" s="66" t="str">
        <f>IF('Twenty-Ninth'!J108="", "",'Twenty-Ninth'!J108)</f>
        <v/>
      </c>
      <c r="K7105" s="86" t="str">
        <f>IF('Twenty-Ninth'!K108="", "",'Twenty-Ninth'!K108)</f>
        <v/>
      </c>
      <c r="M7105" s="67" t="str">
        <f t="shared" si="338"/>
        <v/>
      </c>
      <c r="N7105" s="76" t="str">
        <f t="shared" si="339"/>
        <v/>
      </c>
      <c r="O7105" s="33">
        <f t="shared" si="337"/>
        <v>0</v>
      </c>
    </row>
    <row r="7106" spans="1:15" x14ac:dyDescent="0.25">
      <c r="A7106" s="64" t="s">
        <v>226</v>
      </c>
      <c r="B7106" s="79" t="str">
        <f>IF('Twenty-Ninth'!B109="", "",'Twenty-Ninth'!B109)</f>
        <v/>
      </c>
      <c r="C7106" s="66" t="str">
        <f>IF('Twenty-Ninth'!C109="", "",'Twenty-Ninth'!C109)</f>
        <v/>
      </c>
      <c r="D7106" s="66" t="str">
        <f>IF('Twenty-Ninth'!D109="", "",'Twenty-Ninth'!D109)</f>
        <v/>
      </c>
      <c r="E7106" s="66" t="str">
        <f>IF('Twenty-Ninth'!E109="", "",'Twenty-Ninth'!E109)</f>
        <v/>
      </c>
      <c r="F7106" s="66" t="str">
        <f>IF('Twenty-Ninth'!F109="", "",'Twenty-Ninth'!F109)</f>
        <v/>
      </c>
      <c r="G7106" s="66" t="str">
        <f>IF('Twenty-Ninth'!G109="", "",'Twenty-Ninth'!G109)</f>
        <v/>
      </c>
      <c r="H7106" s="66" t="str">
        <f>IF('Twenty-Ninth'!H109="", "",'Twenty-Ninth'!H109)</f>
        <v/>
      </c>
      <c r="I7106" s="66" t="str">
        <f>IF('Twenty-Ninth'!I109="", "",'Twenty-Ninth'!I109)</f>
        <v/>
      </c>
      <c r="J7106" s="66" t="str">
        <f>IF('Twenty-Ninth'!J109="", "",'Twenty-Ninth'!J109)</f>
        <v/>
      </c>
      <c r="K7106" s="86" t="str">
        <f>IF('Twenty-Ninth'!K109="", "",'Twenty-Ninth'!K109)</f>
        <v/>
      </c>
      <c r="M7106" s="67" t="str">
        <f t="shared" si="338"/>
        <v/>
      </c>
      <c r="N7106" s="76" t="str">
        <f t="shared" si="339"/>
        <v/>
      </c>
      <c r="O7106" s="33">
        <f t="shared" si="337"/>
        <v>0</v>
      </c>
    </row>
    <row r="7107" spans="1:15" x14ac:dyDescent="0.25">
      <c r="A7107" s="64" t="s">
        <v>226</v>
      </c>
      <c r="B7107" s="79" t="str">
        <f>IF('Twenty-Ninth'!B110="", "",'Twenty-Ninth'!B110)</f>
        <v/>
      </c>
      <c r="C7107" s="66" t="str">
        <f>IF('Twenty-Ninth'!C110="", "",'Twenty-Ninth'!C110)</f>
        <v/>
      </c>
      <c r="D7107" s="66" t="str">
        <f>IF('Twenty-Ninth'!D110="", "",'Twenty-Ninth'!D110)</f>
        <v/>
      </c>
      <c r="E7107" s="66" t="str">
        <f>IF('Twenty-Ninth'!E110="", "",'Twenty-Ninth'!E110)</f>
        <v/>
      </c>
      <c r="F7107" s="66" t="str">
        <f>IF('Twenty-Ninth'!F110="", "",'Twenty-Ninth'!F110)</f>
        <v/>
      </c>
      <c r="G7107" s="66" t="str">
        <f>IF('Twenty-Ninth'!G110="", "",'Twenty-Ninth'!G110)</f>
        <v/>
      </c>
      <c r="H7107" s="66" t="str">
        <f>IF('Twenty-Ninth'!H110="", "",'Twenty-Ninth'!H110)</f>
        <v/>
      </c>
      <c r="I7107" s="66" t="str">
        <f>IF('Twenty-Ninth'!I110="", "",'Twenty-Ninth'!I110)</f>
        <v/>
      </c>
      <c r="J7107" s="66" t="str">
        <f>IF('Twenty-Ninth'!J110="", "",'Twenty-Ninth'!J110)</f>
        <v/>
      </c>
      <c r="K7107" s="86" t="str">
        <f>IF('Twenty-Ninth'!K110="", "",'Twenty-Ninth'!K110)</f>
        <v/>
      </c>
      <c r="M7107" s="67" t="str">
        <f t="shared" si="338"/>
        <v/>
      </c>
      <c r="N7107" s="76" t="str">
        <f t="shared" si="339"/>
        <v/>
      </c>
      <c r="O7107" s="33">
        <f t="shared" si="337"/>
        <v>0</v>
      </c>
    </row>
    <row r="7108" spans="1:15" x14ac:dyDescent="0.25">
      <c r="A7108" s="64" t="s">
        <v>226</v>
      </c>
      <c r="B7108" s="79" t="str">
        <f>IF('Twenty-Ninth'!B111="", "",'Twenty-Ninth'!B111)</f>
        <v/>
      </c>
      <c r="C7108" s="66" t="str">
        <f>IF('Twenty-Ninth'!C111="", "",'Twenty-Ninth'!C111)</f>
        <v/>
      </c>
      <c r="D7108" s="66" t="str">
        <f>IF('Twenty-Ninth'!D111="", "",'Twenty-Ninth'!D111)</f>
        <v/>
      </c>
      <c r="E7108" s="66" t="str">
        <f>IF('Twenty-Ninth'!E111="", "",'Twenty-Ninth'!E111)</f>
        <v/>
      </c>
      <c r="F7108" s="66" t="str">
        <f>IF('Twenty-Ninth'!F111="", "",'Twenty-Ninth'!F111)</f>
        <v/>
      </c>
      <c r="G7108" s="66" t="str">
        <f>IF('Twenty-Ninth'!G111="", "",'Twenty-Ninth'!G111)</f>
        <v/>
      </c>
      <c r="H7108" s="66" t="str">
        <f>IF('Twenty-Ninth'!H111="", "",'Twenty-Ninth'!H111)</f>
        <v/>
      </c>
      <c r="I7108" s="66" t="str">
        <f>IF('Twenty-Ninth'!I111="", "",'Twenty-Ninth'!I111)</f>
        <v/>
      </c>
      <c r="J7108" s="66" t="str">
        <f>IF('Twenty-Ninth'!J111="", "",'Twenty-Ninth'!J111)</f>
        <v/>
      </c>
      <c r="K7108" s="86" t="str">
        <f>IF('Twenty-Ninth'!K111="", "",'Twenty-Ninth'!K111)</f>
        <v/>
      </c>
      <c r="M7108" s="67" t="str">
        <f t="shared" si="338"/>
        <v/>
      </c>
      <c r="N7108" s="76" t="str">
        <f t="shared" si="339"/>
        <v/>
      </c>
      <c r="O7108" s="33">
        <f t="shared" si="337"/>
        <v>0</v>
      </c>
    </row>
    <row r="7109" spans="1:15" x14ac:dyDescent="0.25">
      <c r="A7109" s="64" t="s">
        <v>226</v>
      </c>
      <c r="B7109" s="79" t="str">
        <f>IF('Twenty-Ninth'!B112="", "",'Twenty-Ninth'!B112)</f>
        <v/>
      </c>
      <c r="C7109" s="66" t="str">
        <f>IF('Twenty-Ninth'!C112="", "",'Twenty-Ninth'!C112)</f>
        <v/>
      </c>
      <c r="D7109" s="66" t="str">
        <f>IF('Twenty-Ninth'!D112="", "",'Twenty-Ninth'!D112)</f>
        <v/>
      </c>
      <c r="E7109" s="66" t="str">
        <f>IF('Twenty-Ninth'!E112="", "",'Twenty-Ninth'!E112)</f>
        <v/>
      </c>
      <c r="F7109" s="66" t="str">
        <f>IF('Twenty-Ninth'!F112="", "",'Twenty-Ninth'!F112)</f>
        <v/>
      </c>
      <c r="G7109" s="66" t="str">
        <f>IF('Twenty-Ninth'!G112="", "",'Twenty-Ninth'!G112)</f>
        <v/>
      </c>
      <c r="H7109" s="66" t="str">
        <f>IF('Twenty-Ninth'!H112="", "",'Twenty-Ninth'!H112)</f>
        <v/>
      </c>
      <c r="I7109" s="66" t="str">
        <f>IF('Twenty-Ninth'!I112="", "",'Twenty-Ninth'!I112)</f>
        <v/>
      </c>
      <c r="J7109" s="66" t="str">
        <f>IF('Twenty-Ninth'!J112="", "",'Twenty-Ninth'!J112)</f>
        <v/>
      </c>
      <c r="K7109" s="86" t="str">
        <f>IF('Twenty-Ninth'!K112="", "",'Twenty-Ninth'!K112)</f>
        <v/>
      </c>
      <c r="M7109" s="67" t="str">
        <f t="shared" si="338"/>
        <v/>
      </c>
      <c r="N7109" s="76" t="str">
        <f t="shared" si="339"/>
        <v/>
      </c>
      <c r="O7109" s="33">
        <f t="shared" si="337"/>
        <v>0</v>
      </c>
    </row>
    <row r="7110" spans="1:15" x14ac:dyDescent="0.25">
      <c r="A7110" s="64" t="s">
        <v>226</v>
      </c>
      <c r="B7110" s="79" t="str">
        <f>IF('Twenty-Ninth'!B113="", "",'Twenty-Ninth'!B113)</f>
        <v/>
      </c>
      <c r="C7110" s="66" t="str">
        <f>IF('Twenty-Ninth'!C113="", "",'Twenty-Ninth'!C113)</f>
        <v/>
      </c>
      <c r="D7110" s="66" t="str">
        <f>IF('Twenty-Ninth'!D113="", "",'Twenty-Ninth'!D113)</f>
        <v/>
      </c>
      <c r="E7110" s="66" t="str">
        <f>IF('Twenty-Ninth'!E113="", "",'Twenty-Ninth'!E113)</f>
        <v/>
      </c>
      <c r="F7110" s="66" t="str">
        <f>IF('Twenty-Ninth'!F113="", "",'Twenty-Ninth'!F113)</f>
        <v/>
      </c>
      <c r="G7110" s="66" t="str">
        <f>IF('Twenty-Ninth'!G113="", "",'Twenty-Ninth'!G113)</f>
        <v/>
      </c>
      <c r="H7110" s="66" t="str">
        <f>IF('Twenty-Ninth'!H113="", "",'Twenty-Ninth'!H113)</f>
        <v/>
      </c>
      <c r="I7110" s="66" t="str">
        <f>IF('Twenty-Ninth'!I113="", "",'Twenty-Ninth'!I113)</f>
        <v/>
      </c>
      <c r="J7110" s="66" t="str">
        <f>IF('Twenty-Ninth'!J113="", "",'Twenty-Ninth'!J113)</f>
        <v/>
      </c>
      <c r="K7110" s="86" t="str">
        <f>IF('Twenty-Ninth'!K113="", "",'Twenty-Ninth'!K113)</f>
        <v/>
      </c>
      <c r="M7110" s="67" t="str">
        <f t="shared" si="338"/>
        <v/>
      </c>
      <c r="N7110" s="76" t="str">
        <f t="shared" si="339"/>
        <v/>
      </c>
      <c r="O7110" s="33">
        <f t="shared" si="337"/>
        <v>0</v>
      </c>
    </row>
    <row r="7111" spans="1:15" x14ac:dyDescent="0.25">
      <c r="A7111" s="64" t="s">
        <v>226</v>
      </c>
      <c r="B7111" s="79" t="str">
        <f>IF('Twenty-Ninth'!B114="", "",'Twenty-Ninth'!B114)</f>
        <v/>
      </c>
      <c r="C7111" s="66" t="str">
        <f>IF('Twenty-Ninth'!C114="", "",'Twenty-Ninth'!C114)</f>
        <v/>
      </c>
      <c r="D7111" s="66" t="str">
        <f>IF('Twenty-Ninth'!D114="", "",'Twenty-Ninth'!D114)</f>
        <v/>
      </c>
      <c r="E7111" s="66" t="str">
        <f>IF('Twenty-Ninth'!E114="", "",'Twenty-Ninth'!E114)</f>
        <v/>
      </c>
      <c r="F7111" s="66" t="str">
        <f>IF('Twenty-Ninth'!F114="", "",'Twenty-Ninth'!F114)</f>
        <v/>
      </c>
      <c r="G7111" s="66" t="str">
        <f>IF('Twenty-Ninth'!G114="", "",'Twenty-Ninth'!G114)</f>
        <v/>
      </c>
      <c r="H7111" s="66" t="str">
        <f>IF('Twenty-Ninth'!H114="", "",'Twenty-Ninth'!H114)</f>
        <v/>
      </c>
      <c r="I7111" s="66" t="str">
        <f>IF('Twenty-Ninth'!I114="", "",'Twenty-Ninth'!I114)</f>
        <v/>
      </c>
      <c r="J7111" s="66" t="str">
        <f>IF('Twenty-Ninth'!J114="", "",'Twenty-Ninth'!J114)</f>
        <v/>
      </c>
      <c r="K7111" s="86" t="str">
        <f>IF('Twenty-Ninth'!K114="", "",'Twenty-Ninth'!K114)</f>
        <v/>
      </c>
      <c r="M7111" s="67" t="str">
        <f t="shared" si="338"/>
        <v/>
      </c>
      <c r="N7111" s="76" t="str">
        <f t="shared" si="339"/>
        <v/>
      </c>
      <c r="O7111" s="33">
        <f t="shared" si="337"/>
        <v>0</v>
      </c>
    </row>
    <row r="7112" spans="1:15" x14ac:dyDescent="0.25">
      <c r="A7112" s="64" t="s">
        <v>226</v>
      </c>
      <c r="B7112" s="79" t="str">
        <f>IF('Twenty-Ninth'!B115="", "",'Twenty-Ninth'!B115)</f>
        <v/>
      </c>
      <c r="C7112" s="66" t="str">
        <f>IF('Twenty-Ninth'!C115="", "",'Twenty-Ninth'!C115)</f>
        <v/>
      </c>
      <c r="D7112" s="66" t="str">
        <f>IF('Twenty-Ninth'!D115="", "",'Twenty-Ninth'!D115)</f>
        <v/>
      </c>
      <c r="E7112" s="66" t="str">
        <f>IF('Twenty-Ninth'!E115="", "",'Twenty-Ninth'!E115)</f>
        <v/>
      </c>
      <c r="F7112" s="66" t="str">
        <f>IF('Twenty-Ninth'!F115="", "",'Twenty-Ninth'!F115)</f>
        <v/>
      </c>
      <c r="G7112" s="66" t="str">
        <f>IF('Twenty-Ninth'!G115="", "",'Twenty-Ninth'!G115)</f>
        <v/>
      </c>
      <c r="H7112" s="66" t="str">
        <f>IF('Twenty-Ninth'!H115="", "",'Twenty-Ninth'!H115)</f>
        <v/>
      </c>
      <c r="I7112" s="66" t="str">
        <f>IF('Twenty-Ninth'!I115="", "",'Twenty-Ninth'!I115)</f>
        <v/>
      </c>
      <c r="J7112" s="66" t="str">
        <f>IF('Twenty-Ninth'!J115="", "",'Twenty-Ninth'!J115)</f>
        <v/>
      </c>
      <c r="K7112" s="86" t="str">
        <f>IF('Twenty-Ninth'!K115="", "",'Twenty-Ninth'!K115)</f>
        <v/>
      </c>
      <c r="M7112" s="67" t="str">
        <f t="shared" si="338"/>
        <v/>
      </c>
      <c r="N7112" s="76" t="str">
        <f t="shared" si="339"/>
        <v/>
      </c>
      <c r="O7112" s="33">
        <f t="shared" si="337"/>
        <v>0</v>
      </c>
    </row>
    <row r="7113" spans="1:15" x14ac:dyDescent="0.25">
      <c r="A7113" s="64" t="s">
        <v>226</v>
      </c>
      <c r="B7113" s="79" t="str">
        <f>IF('Twenty-Ninth'!B116="", "",'Twenty-Ninth'!B116)</f>
        <v/>
      </c>
      <c r="C7113" s="66" t="str">
        <f>IF('Twenty-Ninth'!C116="", "",'Twenty-Ninth'!C116)</f>
        <v/>
      </c>
      <c r="D7113" s="66" t="str">
        <f>IF('Twenty-Ninth'!D116="", "",'Twenty-Ninth'!D116)</f>
        <v/>
      </c>
      <c r="E7113" s="66" t="str">
        <f>IF('Twenty-Ninth'!E116="", "",'Twenty-Ninth'!E116)</f>
        <v/>
      </c>
      <c r="F7113" s="66" t="str">
        <f>IF('Twenty-Ninth'!F116="", "",'Twenty-Ninth'!F116)</f>
        <v/>
      </c>
      <c r="G7113" s="66" t="str">
        <f>IF('Twenty-Ninth'!G116="", "",'Twenty-Ninth'!G116)</f>
        <v/>
      </c>
      <c r="H7113" s="66" t="str">
        <f>IF('Twenty-Ninth'!H116="", "",'Twenty-Ninth'!H116)</f>
        <v/>
      </c>
      <c r="I7113" s="66" t="str">
        <f>IF('Twenty-Ninth'!I116="", "",'Twenty-Ninth'!I116)</f>
        <v/>
      </c>
      <c r="J7113" s="66" t="str">
        <f>IF('Twenty-Ninth'!J116="", "",'Twenty-Ninth'!J116)</f>
        <v/>
      </c>
      <c r="K7113" s="86" t="str">
        <f>IF('Twenty-Ninth'!K116="", "",'Twenty-Ninth'!K116)</f>
        <v/>
      </c>
      <c r="M7113" s="67" t="str">
        <f t="shared" si="338"/>
        <v/>
      </c>
      <c r="N7113" s="76" t="str">
        <f t="shared" si="339"/>
        <v/>
      </c>
      <c r="O7113" s="33">
        <f t="shared" si="337"/>
        <v>0</v>
      </c>
    </row>
    <row r="7114" spans="1:15" x14ac:dyDescent="0.25">
      <c r="A7114" s="64" t="s">
        <v>226</v>
      </c>
      <c r="B7114" s="79" t="str">
        <f>IF('Twenty-Ninth'!B117="", "",'Twenty-Ninth'!B117)</f>
        <v/>
      </c>
      <c r="C7114" s="66" t="str">
        <f>IF('Twenty-Ninth'!C117="", "",'Twenty-Ninth'!C117)</f>
        <v/>
      </c>
      <c r="D7114" s="66" t="str">
        <f>IF('Twenty-Ninth'!D117="", "",'Twenty-Ninth'!D117)</f>
        <v/>
      </c>
      <c r="E7114" s="66" t="str">
        <f>IF('Twenty-Ninth'!E117="", "",'Twenty-Ninth'!E117)</f>
        <v/>
      </c>
      <c r="F7114" s="66" t="str">
        <f>IF('Twenty-Ninth'!F117="", "",'Twenty-Ninth'!F117)</f>
        <v/>
      </c>
      <c r="G7114" s="66" t="str">
        <f>IF('Twenty-Ninth'!G117="", "",'Twenty-Ninth'!G117)</f>
        <v/>
      </c>
      <c r="H7114" s="66" t="str">
        <f>IF('Twenty-Ninth'!H117="", "",'Twenty-Ninth'!H117)</f>
        <v/>
      </c>
      <c r="I7114" s="66" t="str">
        <f>IF('Twenty-Ninth'!I117="", "",'Twenty-Ninth'!I117)</f>
        <v/>
      </c>
      <c r="J7114" s="66" t="str">
        <f>IF('Twenty-Ninth'!J117="", "",'Twenty-Ninth'!J117)</f>
        <v/>
      </c>
      <c r="K7114" s="86" t="str">
        <f>IF('Twenty-Ninth'!K117="", "",'Twenty-Ninth'!K117)</f>
        <v/>
      </c>
      <c r="M7114" s="67" t="str">
        <f t="shared" si="338"/>
        <v/>
      </c>
      <c r="N7114" s="76" t="str">
        <f t="shared" si="339"/>
        <v/>
      </c>
      <c r="O7114" s="33">
        <f t="shared" ref="O7114:O7177" si="340">SUM(M7114:N7114)</f>
        <v>0</v>
      </c>
    </row>
    <row r="7115" spans="1:15" x14ac:dyDescent="0.25">
      <c r="A7115" s="64" t="s">
        <v>226</v>
      </c>
      <c r="B7115" s="79" t="str">
        <f>IF('Twenty-Ninth'!B118="", "",'Twenty-Ninth'!B118)</f>
        <v/>
      </c>
      <c r="C7115" s="66" t="str">
        <f>IF('Twenty-Ninth'!C118="", "",'Twenty-Ninth'!C118)</f>
        <v/>
      </c>
      <c r="D7115" s="66" t="str">
        <f>IF('Twenty-Ninth'!D118="", "",'Twenty-Ninth'!D118)</f>
        <v/>
      </c>
      <c r="E7115" s="66" t="str">
        <f>IF('Twenty-Ninth'!E118="", "",'Twenty-Ninth'!E118)</f>
        <v/>
      </c>
      <c r="F7115" s="66" t="str">
        <f>IF('Twenty-Ninth'!F118="", "",'Twenty-Ninth'!F118)</f>
        <v/>
      </c>
      <c r="G7115" s="66" t="str">
        <f>IF('Twenty-Ninth'!G118="", "",'Twenty-Ninth'!G118)</f>
        <v/>
      </c>
      <c r="H7115" s="66" t="str">
        <f>IF('Twenty-Ninth'!H118="", "",'Twenty-Ninth'!H118)</f>
        <v/>
      </c>
      <c r="I7115" s="66" t="str">
        <f>IF('Twenty-Ninth'!I118="", "",'Twenty-Ninth'!I118)</f>
        <v/>
      </c>
      <c r="J7115" s="66" t="str">
        <f>IF('Twenty-Ninth'!J118="", "",'Twenty-Ninth'!J118)</f>
        <v/>
      </c>
      <c r="K7115" s="86" t="str">
        <f>IF('Twenty-Ninth'!K118="", "",'Twenty-Ninth'!K118)</f>
        <v/>
      </c>
      <c r="M7115" s="67" t="str">
        <f t="shared" si="338"/>
        <v/>
      </c>
      <c r="N7115" s="76" t="str">
        <f t="shared" si="339"/>
        <v/>
      </c>
      <c r="O7115" s="33">
        <f t="shared" si="340"/>
        <v>0</v>
      </c>
    </row>
    <row r="7116" spans="1:15" x14ac:dyDescent="0.25">
      <c r="A7116" s="64" t="s">
        <v>226</v>
      </c>
      <c r="B7116" s="79" t="str">
        <f>IF('Twenty-Ninth'!B119="", "",'Twenty-Ninth'!B119)</f>
        <v/>
      </c>
      <c r="C7116" s="66" t="str">
        <f>IF('Twenty-Ninth'!C119="", "",'Twenty-Ninth'!C119)</f>
        <v/>
      </c>
      <c r="D7116" s="66" t="str">
        <f>IF('Twenty-Ninth'!D119="", "",'Twenty-Ninth'!D119)</f>
        <v/>
      </c>
      <c r="E7116" s="66" t="str">
        <f>IF('Twenty-Ninth'!E119="", "",'Twenty-Ninth'!E119)</f>
        <v/>
      </c>
      <c r="F7116" s="66" t="str">
        <f>IF('Twenty-Ninth'!F119="", "",'Twenty-Ninth'!F119)</f>
        <v/>
      </c>
      <c r="G7116" s="66" t="str">
        <f>IF('Twenty-Ninth'!G119="", "",'Twenty-Ninth'!G119)</f>
        <v/>
      </c>
      <c r="H7116" s="66" t="str">
        <f>IF('Twenty-Ninth'!H119="", "",'Twenty-Ninth'!H119)</f>
        <v/>
      </c>
      <c r="I7116" s="66" t="str">
        <f>IF('Twenty-Ninth'!I119="", "",'Twenty-Ninth'!I119)</f>
        <v/>
      </c>
      <c r="J7116" s="66" t="str">
        <f>IF('Twenty-Ninth'!J119="", "",'Twenty-Ninth'!J119)</f>
        <v/>
      </c>
      <c r="K7116" s="86" t="str">
        <f>IF('Twenty-Ninth'!K119="", "",'Twenty-Ninth'!K119)</f>
        <v/>
      </c>
      <c r="M7116" s="67" t="str">
        <f t="shared" si="338"/>
        <v/>
      </c>
      <c r="N7116" s="76" t="str">
        <f t="shared" si="339"/>
        <v/>
      </c>
      <c r="O7116" s="33">
        <f t="shared" si="340"/>
        <v>0</v>
      </c>
    </row>
    <row r="7117" spans="1:15" x14ac:dyDescent="0.25">
      <c r="A7117" s="64" t="s">
        <v>226</v>
      </c>
      <c r="B7117" s="79" t="str">
        <f>IF('Twenty-Ninth'!B120="", "",'Twenty-Ninth'!B120)</f>
        <v/>
      </c>
      <c r="C7117" s="66" t="str">
        <f>IF('Twenty-Ninth'!C120="", "",'Twenty-Ninth'!C120)</f>
        <v/>
      </c>
      <c r="D7117" s="66" t="str">
        <f>IF('Twenty-Ninth'!D120="", "",'Twenty-Ninth'!D120)</f>
        <v/>
      </c>
      <c r="E7117" s="66" t="str">
        <f>IF('Twenty-Ninth'!E120="", "",'Twenty-Ninth'!E120)</f>
        <v/>
      </c>
      <c r="F7117" s="66" t="str">
        <f>IF('Twenty-Ninth'!F120="", "",'Twenty-Ninth'!F120)</f>
        <v/>
      </c>
      <c r="G7117" s="66" t="str">
        <f>IF('Twenty-Ninth'!G120="", "",'Twenty-Ninth'!G120)</f>
        <v/>
      </c>
      <c r="H7117" s="66" t="str">
        <f>IF('Twenty-Ninth'!H120="", "",'Twenty-Ninth'!H120)</f>
        <v/>
      </c>
      <c r="I7117" s="66" t="str">
        <f>IF('Twenty-Ninth'!I120="", "",'Twenty-Ninth'!I120)</f>
        <v/>
      </c>
      <c r="J7117" s="66" t="str">
        <f>IF('Twenty-Ninth'!J120="", "",'Twenty-Ninth'!J120)</f>
        <v/>
      </c>
      <c r="K7117" s="86" t="str">
        <f>IF('Twenty-Ninth'!K120="", "",'Twenty-Ninth'!K120)</f>
        <v/>
      </c>
      <c r="M7117" s="67" t="str">
        <f t="shared" si="338"/>
        <v/>
      </c>
      <c r="N7117" s="76" t="str">
        <f t="shared" si="339"/>
        <v/>
      </c>
      <c r="O7117" s="33">
        <f t="shared" si="340"/>
        <v>0</v>
      </c>
    </row>
    <row r="7118" spans="1:15" x14ac:dyDescent="0.25">
      <c r="A7118" s="64" t="s">
        <v>226</v>
      </c>
      <c r="B7118" s="79" t="str">
        <f>IF('Twenty-Ninth'!B121="", "",'Twenty-Ninth'!B121)</f>
        <v/>
      </c>
      <c r="C7118" s="66" t="str">
        <f>IF('Twenty-Ninth'!C121="", "",'Twenty-Ninth'!C121)</f>
        <v/>
      </c>
      <c r="D7118" s="66" t="str">
        <f>IF('Twenty-Ninth'!D121="", "",'Twenty-Ninth'!D121)</f>
        <v/>
      </c>
      <c r="E7118" s="66" t="str">
        <f>IF('Twenty-Ninth'!E121="", "",'Twenty-Ninth'!E121)</f>
        <v/>
      </c>
      <c r="F7118" s="66" t="str">
        <f>IF('Twenty-Ninth'!F121="", "",'Twenty-Ninth'!F121)</f>
        <v/>
      </c>
      <c r="G7118" s="66" t="str">
        <f>IF('Twenty-Ninth'!G121="", "",'Twenty-Ninth'!G121)</f>
        <v/>
      </c>
      <c r="H7118" s="66" t="str">
        <f>IF('Twenty-Ninth'!H121="", "",'Twenty-Ninth'!H121)</f>
        <v/>
      </c>
      <c r="I7118" s="66" t="str">
        <f>IF('Twenty-Ninth'!I121="", "",'Twenty-Ninth'!I121)</f>
        <v/>
      </c>
      <c r="J7118" s="66" t="str">
        <f>IF('Twenty-Ninth'!J121="", "",'Twenty-Ninth'!J121)</f>
        <v/>
      </c>
      <c r="K7118" s="86" t="str">
        <f>IF('Twenty-Ninth'!K121="", "",'Twenty-Ninth'!K121)</f>
        <v/>
      </c>
      <c r="M7118" s="67" t="str">
        <f t="shared" si="338"/>
        <v/>
      </c>
      <c r="N7118" s="76" t="str">
        <f t="shared" si="339"/>
        <v/>
      </c>
      <c r="O7118" s="33">
        <f t="shared" si="340"/>
        <v>0</v>
      </c>
    </row>
    <row r="7119" spans="1:15" x14ac:dyDescent="0.25">
      <c r="A7119" s="64" t="s">
        <v>226</v>
      </c>
      <c r="B7119" s="79" t="str">
        <f>IF('Twenty-Ninth'!B122="", "",'Twenty-Ninth'!B122)</f>
        <v/>
      </c>
      <c r="C7119" s="66" t="str">
        <f>IF('Twenty-Ninth'!C122="", "",'Twenty-Ninth'!C122)</f>
        <v/>
      </c>
      <c r="D7119" s="66" t="str">
        <f>IF('Twenty-Ninth'!D122="", "",'Twenty-Ninth'!D122)</f>
        <v/>
      </c>
      <c r="E7119" s="66" t="str">
        <f>IF('Twenty-Ninth'!E122="", "",'Twenty-Ninth'!E122)</f>
        <v/>
      </c>
      <c r="F7119" s="66" t="str">
        <f>IF('Twenty-Ninth'!F122="", "",'Twenty-Ninth'!F122)</f>
        <v/>
      </c>
      <c r="G7119" s="66" t="str">
        <f>IF('Twenty-Ninth'!G122="", "",'Twenty-Ninth'!G122)</f>
        <v/>
      </c>
      <c r="H7119" s="66" t="str">
        <f>IF('Twenty-Ninth'!H122="", "",'Twenty-Ninth'!H122)</f>
        <v/>
      </c>
      <c r="I7119" s="66" t="str">
        <f>IF('Twenty-Ninth'!I122="", "",'Twenty-Ninth'!I122)</f>
        <v/>
      </c>
      <c r="J7119" s="66" t="str">
        <f>IF('Twenty-Ninth'!J122="", "",'Twenty-Ninth'!J122)</f>
        <v/>
      </c>
      <c r="K7119" s="86" t="str">
        <f>IF('Twenty-Ninth'!K122="", "",'Twenty-Ninth'!K122)</f>
        <v/>
      </c>
      <c r="M7119" s="67" t="str">
        <f t="shared" si="338"/>
        <v/>
      </c>
      <c r="N7119" s="76" t="str">
        <f t="shared" si="339"/>
        <v/>
      </c>
      <c r="O7119" s="33">
        <f t="shared" si="340"/>
        <v>0</v>
      </c>
    </row>
    <row r="7120" spans="1:15" x14ac:dyDescent="0.25">
      <c r="A7120" s="64" t="s">
        <v>226</v>
      </c>
      <c r="B7120" s="79" t="str">
        <f>IF('Twenty-Ninth'!B123="", "",'Twenty-Ninth'!B123)</f>
        <v/>
      </c>
      <c r="C7120" s="66" t="str">
        <f>IF('Twenty-Ninth'!C123="", "",'Twenty-Ninth'!C123)</f>
        <v/>
      </c>
      <c r="D7120" s="66" t="str">
        <f>IF('Twenty-Ninth'!D123="", "",'Twenty-Ninth'!D123)</f>
        <v/>
      </c>
      <c r="E7120" s="66" t="str">
        <f>IF('Twenty-Ninth'!E123="", "",'Twenty-Ninth'!E123)</f>
        <v/>
      </c>
      <c r="F7120" s="66" t="str">
        <f>IF('Twenty-Ninth'!F123="", "",'Twenty-Ninth'!F123)</f>
        <v/>
      </c>
      <c r="G7120" s="66" t="str">
        <f>IF('Twenty-Ninth'!G123="", "",'Twenty-Ninth'!G123)</f>
        <v/>
      </c>
      <c r="H7120" s="66" t="str">
        <f>IF('Twenty-Ninth'!H123="", "",'Twenty-Ninth'!H123)</f>
        <v/>
      </c>
      <c r="I7120" s="66" t="str">
        <f>IF('Twenty-Ninth'!I123="", "",'Twenty-Ninth'!I123)</f>
        <v/>
      </c>
      <c r="J7120" s="66" t="str">
        <f>IF('Twenty-Ninth'!J123="", "",'Twenty-Ninth'!J123)</f>
        <v/>
      </c>
      <c r="K7120" s="86" t="str">
        <f>IF('Twenty-Ninth'!K123="", "",'Twenty-Ninth'!K123)</f>
        <v/>
      </c>
      <c r="M7120" s="67" t="str">
        <f t="shared" si="338"/>
        <v/>
      </c>
      <c r="N7120" s="76" t="str">
        <f t="shared" si="339"/>
        <v/>
      </c>
      <c r="O7120" s="33">
        <f t="shared" si="340"/>
        <v>0</v>
      </c>
    </row>
    <row r="7121" spans="1:15" x14ac:dyDescent="0.25">
      <c r="A7121" s="64" t="s">
        <v>226</v>
      </c>
      <c r="B7121" s="79" t="str">
        <f>IF('Twenty-Ninth'!B124="", "",'Twenty-Ninth'!B124)</f>
        <v/>
      </c>
      <c r="C7121" s="66" t="str">
        <f>IF('Twenty-Ninth'!C124="", "",'Twenty-Ninth'!C124)</f>
        <v/>
      </c>
      <c r="D7121" s="66" t="str">
        <f>IF('Twenty-Ninth'!D124="", "",'Twenty-Ninth'!D124)</f>
        <v/>
      </c>
      <c r="E7121" s="66" t="str">
        <f>IF('Twenty-Ninth'!E124="", "",'Twenty-Ninth'!E124)</f>
        <v/>
      </c>
      <c r="F7121" s="66" t="str">
        <f>IF('Twenty-Ninth'!F124="", "",'Twenty-Ninth'!F124)</f>
        <v/>
      </c>
      <c r="G7121" s="66" t="str">
        <f>IF('Twenty-Ninth'!G124="", "",'Twenty-Ninth'!G124)</f>
        <v/>
      </c>
      <c r="H7121" s="66" t="str">
        <f>IF('Twenty-Ninth'!H124="", "",'Twenty-Ninth'!H124)</f>
        <v/>
      </c>
      <c r="I7121" s="66" t="str">
        <f>IF('Twenty-Ninth'!I124="", "",'Twenty-Ninth'!I124)</f>
        <v/>
      </c>
      <c r="J7121" s="66" t="str">
        <f>IF('Twenty-Ninth'!J124="", "",'Twenty-Ninth'!J124)</f>
        <v/>
      </c>
      <c r="K7121" s="86" t="str">
        <f>IF('Twenty-Ninth'!K124="", "",'Twenty-Ninth'!K124)</f>
        <v/>
      </c>
      <c r="M7121" s="67" t="str">
        <f t="shared" si="338"/>
        <v/>
      </c>
      <c r="N7121" s="76" t="str">
        <f t="shared" si="339"/>
        <v/>
      </c>
      <c r="O7121" s="33">
        <f t="shared" si="340"/>
        <v>0</v>
      </c>
    </row>
    <row r="7122" spans="1:15" x14ac:dyDescent="0.25">
      <c r="A7122" s="64" t="s">
        <v>226</v>
      </c>
      <c r="B7122" s="79" t="str">
        <f>IF('Twenty-Ninth'!B125="", "",'Twenty-Ninth'!B125)</f>
        <v/>
      </c>
      <c r="C7122" s="66" t="str">
        <f>IF('Twenty-Ninth'!C125="", "",'Twenty-Ninth'!C125)</f>
        <v/>
      </c>
      <c r="D7122" s="66" t="str">
        <f>IF('Twenty-Ninth'!D125="", "",'Twenty-Ninth'!D125)</f>
        <v/>
      </c>
      <c r="E7122" s="66" t="str">
        <f>IF('Twenty-Ninth'!E125="", "",'Twenty-Ninth'!E125)</f>
        <v/>
      </c>
      <c r="F7122" s="66" t="str">
        <f>IF('Twenty-Ninth'!F125="", "",'Twenty-Ninth'!F125)</f>
        <v/>
      </c>
      <c r="G7122" s="66" t="str">
        <f>IF('Twenty-Ninth'!G125="", "",'Twenty-Ninth'!G125)</f>
        <v/>
      </c>
      <c r="H7122" s="66" t="str">
        <f>IF('Twenty-Ninth'!H125="", "",'Twenty-Ninth'!H125)</f>
        <v/>
      </c>
      <c r="I7122" s="66" t="str">
        <f>IF('Twenty-Ninth'!I125="", "",'Twenty-Ninth'!I125)</f>
        <v/>
      </c>
      <c r="J7122" s="66" t="str">
        <f>IF('Twenty-Ninth'!J125="", "",'Twenty-Ninth'!J125)</f>
        <v/>
      </c>
      <c r="K7122" s="86" t="str">
        <f>IF('Twenty-Ninth'!K125="", "",'Twenty-Ninth'!K125)</f>
        <v/>
      </c>
      <c r="M7122" s="67" t="str">
        <f t="shared" si="338"/>
        <v/>
      </c>
      <c r="N7122" s="76" t="str">
        <f t="shared" si="339"/>
        <v/>
      </c>
      <c r="O7122" s="33">
        <f t="shared" si="340"/>
        <v>0</v>
      </c>
    </row>
    <row r="7123" spans="1:15" x14ac:dyDescent="0.25">
      <c r="A7123" s="64" t="s">
        <v>226</v>
      </c>
      <c r="B7123" s="79" t="str">
        <f>IF('Twenty-Ninth'!B126="", "",'Twenty-Ninth'!B126)</f>
        <v/>
      </c>
      <c r="C7123" s="66" t="str">
        <f>IF('Twenty-Ninth'!C126="", "",'Twenty-Ninth'!C126)</f>
        <v/>
      </c>
      <c r="D7123" s="66" t="str">
        <f>IF('Twenty-Ninth'!D126="", "",'Twenty-Ninth'!D126)</f>
        <v/>
      </c>
      <c r="E7123" s="66" t="str">
        <f>IF('Twenty-Ninth'!E126="", "",'Twenty-Ninth'!E126)</f>
        <v/>
      </c>
      <c r="F7123" s="66" t="str">
        <f>IF('Twenty-Ninth'!F126="", "",'Twenty-Ninth'!F126)</f>
        <v/>
      </c>
      <c r="G7123" s="66" t="str">
        <f>IF('Twenty-Ninth'!G126="", "",'Twenty-Ninth'!G126)</f>
        <v/>
      </c>
      <c r="H7123" s="66" t="str">
        <f>IF('Twenty-Ninth'!H126="", "",'Twenty-Ninth'!H126)</f>
        <v/>
      </c>
      <c r="I7123" s="66" t="str">
        <f>IF('Twenty-Ninth'!I126="", "",'Twenty-Ninth'!I126)</f>
        <v/>
      </c>
      <c r="J7123" s="66" t="str">
        <f>IF('Twenty-Ninth'!J126="", "",'Twenty-Ninth'!J126)</f>
        <v/>
      </c>
      <c r="K7123" s="86" t="str">
        <f>IF('Twenty-Ninth'!K126="", "",'Twenty-Ninth'!K126)</f>
        <v/>
      </c>
      <c r="M7123" s="67" t="str">
        <f t="shared" si="338"/>
        <v/>
      </c>
      <c r="N7123" s="76" t="str">
        <f t="shared" si="339"/>
        <v/>
      </c>
      <c r="O7123" s="33">
        <f t="shared" si="340"/>
        <v>0</v>
      </c>
    </row>
    <row r="7124" spans="1:15" x14ac:dyDescent="0.25">
      <c r="A7124" s="64" t="s">
        <v>226</v>
      </c>
      <c r="B7124" s="79" t="str">
        <f>IF('Twenty-Ninth'!B127="", "",'Twenty-Ninth'!B127)</f>
        <v/>
      </c>
      <c r="C7124" s="66" t="str">
        <f>IF('Twenty-Ninth'!C127="", "",'Twenty-Ninth'!C127)</f>
        <v/>
      </c>
      <c r="D7124" s="66" t="str">
        <f>IF('Twenty-Ninth'!D127="", "",'Twenty-Ninth'!D127)</f>
        <v/>
      </c>
      <c r="E7124" s="66" t="str">
        <f>IF('Twenty-Ninth'!E127="", "",'Twenty-Ninth'!E127)</f>
        <v/>
      </c>
      <c r="F7124" s="66" t="str">
        <f>IF('Twenty-Ninth'!F127="", "",'Twenty-Ninth'!F127)</f>
        <v/>
      </c>
      <c r="G7124" s="66" t="str">
        <f>IF('Twenty-Ninth'!G127="", "",'Twenty-Ninth'!G127)</f>
        <v/>
      </c>
      <c r="H7124" s="66" t="str">
        <f>IF('Twenty-Ninth'!H127="", "",'Twenty-Ninth'!H127)</f>
        <v/>
      </c>
      <c r="I7124" s="66" t="str">
        <f>IF('Twenty-Ninth'!I127="", "",'Twenty-Ninth'!I127)</f>
        <v/>
      </c>
      <c r="J7124" s="66" t="str">
        <f>IF('Twenty-Ninth'!J127="", "",'Twenty-Ninth'!J127)</f>
        <v/>
      </c>
      <c r="K7124" s="86" t="str">
        <f>IF('Twenty-Ninth'!K127="", "",'Twenty-Ninth'!K127)</f>
        <v/>
      </c>
      <c r="M7124" s="67" t="str">
        <f t="shared" si="338"/>
        <v/>
      </c>
      <c r="N7124" s="76" t="str">
        <f t="shared" si="339"/>
        <v/>
      </c>
      <c r="O7124" s="33">
        <f t="shared" si="340"/>
        <v>0</v>
      </c>
    </row>
    <row r="7125" spans="1:15" x14ac:dyDescent="0.25">
      <c r="A7125" s="64" t="s">
        <v>226</v>
      </c>
      <c r="B7125" s="79" t="str">
        <f>IF('Twenty-Ninth'!B128="", "",'Twenty-Ninth'!B128)</f>
        <v/>
      </c>
      <c r="C7125" s="66" t="str">
        <f>IF('Twenty-Ninth'!C128="", "",'Twenty-Ninth'!C128)</f>
        <v/>
      </c>
      <c r="D7125" s="66" t="str">
        <f>IF('Twenty-Ninth'!D128="", "",'Twenty-Ninth'!D128)</f>
        <v/>
      </c>
      <c r="E7125" s="66" t="str">
        <f>IF('Twenty-Ninth'!E128="", "",'Twenty-Ninth'!E128)</f>
        <v/>
      </c>
      <c r="F7125" s="66" t="str">
        <f>IF('Twenty-Ninth'!F128="", "",'Twenty-Ninth'!F128)</f>
        <v/>
      </c>
      <c r="G7125" s="66" t="str">
        <f>IF('Twenty-Ninth'!G128="", "",'Twenty-Ninth'!G128)</f>
        <v/>
      </c>
      <c r="H7125" s="66" t="str">
        <f>IF('Twenty-Ninth'!H128="", "",'Twenty-Ninth'!H128)</f>
        <v/>
      </c>
      <c r="I7125" s="66" t="str">
        <f>IF('Twenty-Ninth'!I128="", "",'Twenty-Ninth'!I128)</f>
        <v/>
      </c>
      <c r="J7125" s="66" t="str">
        <f>IF('Twenty-Ninth'!J128="", "",'Twenty-Ninth'!J128)</f>
        <v/>
      </c>
      <c r="K7125" s="86" t="str">
        <f>IF('Twenty-Ninth'!K128="", "",'Twenty-Ninth'!K128)</f>
        <v/>
      </c>
      <c r="M7125" s="67" t="str">
        <f t="shared" si="338"/>
        <v/>
      </c>
      <c r="N7125" s="76" t="str">
        <f t="shared" si="339"/>
        <v/>
      </c>
      <c r="O7125" s="33">
        <f t="shared" si="340"/>
        <v>0</v>
      </c>
    </row>
    <row r="7126" spans="1:15" x14ac:dyDescent="0.25">
      <c r="A7126" s="64" t="s">
        <v>226</v>
      </c>
      <c r="B7126" s="79" t="str">
        <f>IF('Twenty-Ninth'!B129="", "",'Twenty-Ninth'!B129)</f>
        <v/>
      </c>
      <c r="C7126" s="66" t="str">
        <f>IF('Twenty-Ninth'!C129="", "",'Twenty-Ninth'!C129)</f>
        <v/>
      </c>
      <c r="D7126" s="66" t="str">
        <f>IF('Twenty-Ninth'!D129="", "",'Twenty-Ninth'!D129)</f>
        <v/>
      </c>
      <c r="E7126" s="66" t="str">
        <f>IF('Twenty-Ninth'!E129="", "",'Twenty-Ninth'!E129)</f>
        <v/>
      </c>
      <c r="F7126" s="66" t="str">
        <f>IF('Twenty-Ninth'!F129="", "",'Twenty-Ninth'!F129)</f>
        <v/>
      </c>
      <c r="G7126" s="66" t="str">
        <f>IF('Twenty-Ninth'!G129="", "",'Twenty-Ninth'!G129)</f>
        <v/>
      </c>
      <c r="H7126" s="66" t="str">
        <f>IF('Twenty-Ninth'!H129="", "",'Twenty-Ninth'!H129)</f>
        <v/>
      </c>
      <c r="I7126" s="66" t="str">
        <f>IF('Twenty-Ninth'!I129="", "",'Twenty-Ninth'!I129)</f>
        <v/>
      </c>
      <c r="J7126" s="66" t="str">
        <f>IF('Twenty-Ninth'!J129="", "",'Twenty-Ninth'!J129)</f>
        <v/>
      </c>
      <c r="K7126" s="86" t="str">
        <f>IF('Twenty-Ninth'!K129="", "",'Twenty-Ninth'!K129)</f>
        <v/>
      </c>
      <c r="M7126" s="67" t="str">
        <f t="shared" si="338"/>
        <v/>
      </c>
      <c r="N7126" s="76" t="str">
        <f t="shared" si="339"/>
        <v/>
      </c>
      <c r="O7126" s="33">
        <f t="shared" si="340"/>
        <v>0</v>
      </c>
    </row>
    <row r="7127" spans="1:15" x14ac:dyDescent="0.25">
      <c r="A7127" s="64" t="s">
        <v>226</v>
      </c>
      <c r="B7127" s="79" t="str">
        <f>IF('Twenty-Ninth'!B130="", "",'Twenty-Ninth'!B130)</f>
        <v/>
      </c>
      <c r="C7127" s="66" t="str">
        <f>IF('Twenty-Ninth'!C130="", "",'Twenty-Ninth'!C130)</f>
        <v/>
      </c>
      <c r="D7127" s="66" t="str">
        <f>IF('Twenty-Ninth'!D130="", "",'Twenty-Ninth'!D130)</f>
        <v/>
      </c>
      <c r="E7127" s="66" t="str">
        <f>IF('Twenty-Ninth'!E130="", "",'Twenty-Ninth'!E130)</f>
        <v/>
      </c>
      <c r="F7127" s="66" t="str">
        <f>IF('Twenty-Ninth'!F130="", "",'Twenty-Ninth'!F130)</f>
        <v/>
      </c>
      <c r="G7127" s="66" t="str">
        <f>IF('Twenty-Ninth'!G130="", "",'Twenty-Ninth'!G130)</f>
        <v/>
      </c>
      <c r="H7127" s="66" t="str">
        <f>IF('Twenty-Ninth'!H130="", "",'Twenty-Ninth'!H130)</f>
        <v/>
      </c>
      <c r="I7127" s="66" t="str">
        <f>IF('Twenty-Ninth'!I130="", "",'Twenty-Ninth'!I130)</f>
        <v/>
      </c>
      <c r="J7127" s="66" t="str">
        <f>IF('Twenty-Ninth'!J130="", "",'Twenty-Ninth'!J130)</f>
        <v/>
      </c>
      <c r="K7127" s="86" t="str">
        <f>IF('Twenty-Ninth'!K130="", "",'Twenty-Ninth'!K130)</f>
        <v/>
      </c>
      <c r="M7127" s="67" t="str">
        <f t="shared" si="338"/>
        <v/>
      </c>
      <c r="N7127" s="76" t="str">
        <f t="shared" si="339"/>
        <v/>
      </c>
      <c r="O7127" s="33">
        <f t="shared" si="340"/>
        <v>0</v>
      </c>
    </row>
    <row r="7128" spans="1:15" x14ac:dyDescent="0.25">
      <c r="A7128" s="64" t="s">
        <v>226</v>
      </c>
      <c r="B7128" s="79" t="str">
        <f>IF('Twenty-Ninth'!B131="", "",'Twenty-Ninth'!B131)</f>
        <v/>
      </c>
      <c r="C7128" s="66" t="str">
        <f>IF('Twenty-Ninth'!C131="", "",'Twenty-Ninth'!C131)</f>
        <v/>
      </c>
      <c r="D7128" s="66" t="str">
        <f>IF('Twenty-Ninth'!D131="", "",'Twenty-Ninth'!D131)</f>
        <v/>
      </c>
      <c r="E7128" s="66" t="str">
        <f>IF('Twenty-Ninth'!E131="", "",'Twenty-Ninth'!E131)</f>
        <v/>
      </c>
      <c r="F7128" s="66" t="str">
        <f>IF('Twenty-Ninth'!F131="", "",'Twenty-Ninth'!F131)</f>
        <v/>
      </c>
      <c r="G7128" s="66" t="str">
        <f>IF('Twenty-Ninth'!G131="", "",'Twenty-Ninth'!G131)</f>
        <v/>
      </c>
      <c r="H7128" s="66" t="str">
        <f>IF('Twenty-Ninth'!H131="", "",'Twenty-Ninth'!H131)</f>
        <v/>
      </c>
      <c r="I7128" s="66" t="str">
        <f>IF('Twenty-Ninth'!I131="", "",'Twenty-Ninth'!I131)</f>
        <v/>
      </c>
      <c r="J7128" s="66" t="str">
        <f>IF('Twenty-Ninth'!J131="", "",'Twenty-Ninth'!J131)</f>
        <v/>
      </c>
      <c r="K7128" s="86" t="str">
        <f>IF('Twenty-Ninth'!K131="", "",'Twenty-Ninth'!K131)</f>
        <v/>
      </c>
      <c r="M7128" s="67" t="str">
        <f t="shared" si="338"/>
        <v/>
      </c>
      <c r="N7128" s="76" t="str">
        <f t="shared" si="339"/>
        <v/>
      </c>
      <c r="O7128" s="33">
        <f t="shared" si="340"/>
        <v>0</v>
      </c>
    </row>
    <row r="7129" spans="1:15" x14ac:dyDescent="0.25">
      <c r="A7129" s="64" t="s">
        <v>226</v>
      </c>
      <c r="B7129" s="79" t="str">
        <f>IF('Twenty-Ninth'!B132="", "",'Twenty-Ninth'!B132)</f>
        <v/>
      </c>
      <c r="C7129" s="66" t="str">
        <f>IF('Twenty-Ninth'!C132="", "",'Twenty-Ninth'!C132)</f>
        <v/>
      </c>
      <c r="D7129" s="66" t="str">
        <f>IF('Twenty-Ninth'!D132="", "",'Twenty-Ninth'!D132)</f>
        <v/>
      </c>
      <c r="E7129" s="66" t="str">
        <f>IF('Twenty-Ninth'!E132="", "",'Twenty-Ninth'!E132)</f>
        <v/>
      </c>
      <c r="F7129" s="66" t="str">
        <f>IF('Twenty-Ninth'!F132="", "",'Twenty-Ninth'!F132)</f>
        <v/>
      </c>
      <c r="G7129" s="66" t="str">
        <f>IF('Twenty-Ninth'!G132="", "",'Twenty-Ninth'!G132)</f>
        <v/>
      </c>
      <c r="H7129" s="66" t="str">
        <f>IF('Twenty-Ninth'!H132="", "",'Twenty-Ninth'!H132)</f>
        <v/>
      </c>
      <c r="I7129" s="66" t="str">
        <f>IF('Twenty-Ninth'!I132="", "",'Twenty-Ninth'!I132)</f>
        <v/>
      </c>
      <c r="J7129" s="66" t="str">
        <f>IF('Twenty-Ninth'!J132="", "",'Twenty-Ninth'!J132)</f>
        <v/>
      </c>
      <c r="K7129" s="86" t="str">
        <f>IF('Twenty-Ninth'!K132="", "",'Twenty-Ninth'!K132)</f>
        <v/>
      </c>
      <c r="M7129" s="67" t="str">
        <f t="shared" si="338"/>
        <v/>
      </c>
      <c r="N7129" s="76" t="str">
        <f t="shared" si="339"/>
        <v/>
      </c>
      <c r="O7129" s="33">
        <f t="shared" si="340"/>
        <v>0</v>
      </c>
    </row>
    <row r="7130" spans="1:15" x14ac:dyDescent="0.25">
      <c r="A7130" s="64" t="s">
        <v>226</v>
      </c>
      <c r="B7130" s="79" t="str">
        <f>IF('Twenty-Ninth'!B133="", "",'Twenty-Ninth'!B133)</f>
        <v/>
      </c>
      <c r="C7130" s="66" t="str">
        <f>IF('Twenty-Ninth'!C133="", "",'Twenty-Ninth'!C133)</f>
        <v/>
      </c>
      <c r="D7130" s="66" t="str">
        <f>IF('Twenty-Ninth'!D133="", "",'Twenty-Ninth'!D133)</f>
        <v/>
      </c>
      <c r="E7130" s="66" t="str">
        <f>IF('Twenty-Ninth'!E133="", "",'Twenty-Ninth'!E133)</f>
        <v/>
      </c>
      <c r="F7130" s="66" t="str">
        <f>IF('Twenty-Ninth'!F133="", "",'Twenty-Ninth'!F133)</f>
        <v/>
      </c>
      <c r="G7130" s="66" t="str">
        <f>IF('Twenty-Ninth'!G133="", "",'Twenty-Ninth'!G133)</f>
        <v/>
      </c>
      <c r="H7130" s="66" t="str">
        <f>IF('Twenty-Ninth'!H133="", "",'Twenty-Ninth'!H133)</f>
        <v/>
      </c>
      <c r="I7130" s="66" t="str">
        <f>IF('Twenty-Ninth'!I133="", "",'Twenty-Ninth'!I133)</f>
        <v/>
      </c>
      <c r="J7130" s="66" t="str">
        <f>IF('Twenty-Ninth'!J133="", "",'Twenty-Ninth'!J133)</f>
        <v/>
      </c>
      <c r="K7130" s="86" t="str">
        <f>IF('Twenty-Ninth'!K133="", "",'Twenty-Ninth'!K133)</f>
        <v/>
      </c>
      <c r="M7130" s="67" t="str">
        <f t="shared" si="338"/>
        <v/>
      </c>
      <c r="N7130" s="76" t="str">
        <f t="shared" si="339"/>
        <v/>
      </c>
      <c r="O7130" s="33">
        <f t="shared" si="340"/>
        <v>0</v>
      </c>
    </row>
    <row r="7131" spans="1:15" x14ac:dyDescent="0.25">
      <c r="A7131" s="64" t="s">
        <v>226</v>
      </c>
      <c r="B7131" s="79" t="str">
        <f>IF('Twenty-Ninth'!B134="", "",'Twenty-Ninth'!B134)</f>
        <v/>
      </c>
      <c r="C7131" s="66" t="str">
        <f>IF('Twenty-Ninth'!C134="", "",'Twenty-Ninth'!C134)</f>
        <v/>
      </c>
      <c r="D7131" s="66" t="str">
        <f>IF('Twenty-Ninth'!D134="", "",'Twenty-Ninth'!D134)</f>
        <v/>
      </c>
      <c r="E7131" s="66" t="str">
        <f>IF('Twenty-Ninth'!E134="", "",'Twenty-Ninth'!E134)</f>
        <v/>
      </c>
      <c r="F7131" s="66" t="str">
        <f>IF('Twenty-Ninth'!F134="", "",'Twenty-Ninth'!F134)</f>
        <v/>
      </c>
      <c r="G7131" s="66" t="str">
        <f>IF('Twenty-Ninth'!G134="", "",'Twenty-Ninth'!G134)</f>
        <v/>
      </c>
      <c r="H7131" s="66" t="str">
        <f>IF('Twenty-Ninth'!H134="", "",'Twenty-Ninth'!H134)</f>
        <v/>
      </c>
      <c r="I7131" s="66" t="str">
        <f>IF('Twenty-Ninth'!I134="", "",'Twenty-Ninth'!I134)</f>
        <v/>
      </c>
      <c r="J7131" s="66" t="str">
        <f>IF('Twenty-Ninth'!J134="", "",'Twenty-Ninth'!J134)</f>
        <v/>
      </c>
      <c r="K7131" s="86" t="str">
        <f>IF('Twenty-Ninth'!K134="", "",'Twenty-Ninth'!K134)</f>
        <v/>
      </c>
      <c r="M7131" s="67" t="str">
        <f t="shared" si="338"/>
        <v/>
      </c>
      <c r="N7131" s="76" t="str">
        <f t="shared" si="339"/>
        <v/>
      </c>
      <c r="O7131" s="33">
        <f t="shared" si="340"/>
        <v>0</v>
      </c>
    </row>
    <row r="7132" spans="1:15" x14ac:dyDescent="0.25">
      <c r="A7132" s="64" t="s">
        <v>226</v>
      </c>
      <c r="B7132" s="79" t="str">
        <f>IF('Twenty-Ninth'!B135="", "",'Twenty-Ninth'!B135)</f>
        <v/>
      </c>
      <c r="C7132" s="66" t="str">
        <f>IF('Twenty-Ninth'!C135="", "",'Twenty-Ninth'!C135)</f>
        <v/>
      </c>
      <c r="D7132" s="66" t="str">
        <f>IF('Twenty-Ninth'!D135="", "",'Twenty-Ninth'!D135)</f>
        <v/>
      </c>
      <c r="E7132" s="66" t="str">
        <f>IF('Twenty-Ninth'!E135="", "",'Twenty-Ninth'!E135)</f>
        <v/>
      </c>
      <c r="F7132" s="66" t="str">
        <f>IF('Twenty-Ninth'!F135="", "",'Twenty-Ninth'!F135)</f>
        <v/>
      </c>
      <c r="G7132" s="66" t="str">
        <f>IF('Twenty-Ninth'!G135="", "",'Twenty-Ninth'!G135)</f>
        <v/>
      </c>
      <c r="H7132" s="66" t="str">
        <f>IF('Twenty-Ninth'!H135="", "",'Twenty-Ninth'!H135)</f>
        <v/>
      </c>
      <c r="I7132" s="66" t="str">
        <f>IF('Twenty-Ninth'!I135="", "",'Twenty-Ninth'!I135)</f>
        <v/>
      </c>
      <c r="J7132" s="66" t="str">
        <f>IF('Twenty-Ninth'!J135="", "",'Twenty-Ninth'!J135)</f>
        <v/>
      </c>
      <c r="K7132" s="86" t="str">
        <f>IF('Twenty-Ninth'!K135="", "",'Twenty-Ninth'!K135)</f>
        <v/>
      </c>
      <c r="M7132" s="67" t="str">
        <f t="shared" si="338"/>
        <v/>
      </c>
      <c r="N7132" s="76" t="str">
        <f t="shared" si="339"/>
        <v/>
      </c>
      <c r="O7132" s="33">
        <f t="shared" si="340"/>
        <v>0</v>
      </c>
    </row>
    <row r="7133" spans="1:15" x14ac:dyDescent="0.25">
      <c r="A7133" s="64" t="s">
        <v>226</v>
      </c>
      <c r="B7133" s="79" t="str">
        <f>IF('Twenty-Ninth'!B136="", "",'Twenty-Ninth'!B136)</f>
        <v/>
      </c>
      <c r="C7133" s="66" t="str">
        <f>IF('Twenty-Ninth'!C136="", "",'Twenty-Ninth'!C136)</f>
        <v/>
      </c>
      <c r="D7133" s="66" t="str">
        <f>IF('Twenty-Ninth'!D136="", "",'Twenty-Ninth'!D136)</f>
        <v/>
      </c>
      <c r="E7133" s="66" t="str">
        <f>IF('Twenty-Ninth'!E136="", "",'Twenty-Ninth'!E136)</f>
        <v/>
      </c>
      <c r="F7133" s="66" t="str">
        <f>IF('Twenty-Ninth'!F136="", "",'Twenty-Ninth'!F136)</f>
        <v/>
      </c>
      <c r="G7133" s="66" t="str">
        <f>IF('Twenty-Ninth'!G136="", "",'Twenty-Ninth'!G136)</f>
        <v/>
      </c>
      <c r="H7133" s="66" t="str">
        <f>IF('Twenty-Ninth'!H136="", "",'Twenty-Ninth'!H136)</f>
        <v/>
      </c>
      <c r="I7133" s="66" t="str">
        <f>IF('Twenty-Ninth'!I136="", "",'Twenty-Ninth'!I136)</f>
        <v/>
      </c>
      <c r="J7133" s="66" t="str">
        <f>IF('Twenty-Ninth'!J136="", "",'Twenty-Ninth'!J136)</f>
        <v/>
      </c>
      <c r="K7133" s="86" t="str">
        <f>IF('Twenty-Ninth'!K136="", "",'Twenty-Ninth'!K136)</f>
        <v/>
      </c>
      <c r="M7133" s="67" t="str">
        <f t="shared" si="338"/>
        <v/>
      </c>
      <c r="N7133" s="76" t="str">
        <f t="shared" si="339"/>
        <v/>
      </c>
      <c r="O7133" s="33">
        <f t="shared" si="340"/>
        <v>0</v>
      </c>
    </row>
    <row r="7134" spans="1:15" x14ac:dyDescent="0.25">
      <c r="A7134" s="64" t="s">
        <v>226</v>
      </c>
      <c r="B7134" s="79" t="str">
        <f>IF('Twenty-Ninth'!B137="", "",'Twenty-Ninth'!B137)</f>
        <v/>
      </c>
      <c r="C7134" s="66" t="str">
        <f>IF('Twenty-Ninth'!C137="", "",'Twenty-Ninth'!C137)</f>
        <v/>
      </c>
      <c r="D7134" s="66" t="str">
        <f>IF('Twenty-Ninth'!D137="", "",'Twenty-Ninth'!D137)</f>
        <v/>
      </c>
      <c r="E7134" s="66" t="str">
        <f>IF('Twenty-Ninth'!E137="", "",'Twenty-Ninth'!E137)</f>
        <v/>
      </c>
      <c r="F7134" s="66" t="str">
        <f>IF('Twenty-Ninth'!F137="", "",'Twenty-Ninth'!F137)</f>
        <v/>
      </c>
      <c r="G7134" s="66" t="str">
        <f>IF('Twenty-Ninth'!G137="", "",'Twenty-Ninth'!G137)</f>
        <v/>
      </c>
      <c r="H7134" s="66" t="str">
        <f>IF('Twenty-Ninth'!H137="", "",'Twenty-Ninth'!H137)</f>
        <v/>
      </c>
      <c r="I7134" s="66" t="str">
        <f>IF('Twenty-Ninth'!I137="", "",'Twenty-Ninth'!I137)</f>
        <v/>
      </c>
      <c r="J7134" s="66" t="str">
        <f>IF('Twenty-Ninth'!J137="", "",'Twenty-Ninth'!J137)</f>
        <v/>
      </c>
      <c r="K7134" s="86" t="str">
        <f>IF('Twenty-Ninth'!K137="", "",'Twenty-Ninth'!K137)</f>
        <v/>
      </c>
      <c r="M7134" s="67" t="str">
        <f t="shared" si="338"/>
        <v/>
      </c>
      <c r="N7134" s="76" t="str">
        <f t="shared" si="339"/>
        <v/>
      </c>
      <c r="O7134" s="33">
        <f t="shared" si="340"/>
        <v>0</v>
      </c>
    </row>
    <row r="7135" spans="1:15" x14ac:dyDescent="0.25">
      <c r="A7135" s="64" t="s">
        <v>226</v>
      </c>
      <c r="B7135" s="79" t="str">
        <f>IF('Twenty-Ninth'!B138="", "",'Twenty-Ninth'!B138)</f>
        <v/>
      </c>
      <c r="C7135" s="66" t="str">
        <f>IF('Twenty-Ninth'!C138="", "",'Twenty-Ninth'!C138)</f>
        <v/>
      </c>
      <c r="D7135" s="66" t="str">
        <f>IF('Twenty-Ninth'!D138="", "",'Twenty-Ninth'!D138)</f>
        <v/>
      </c>
      <c r="E7135" s="66" t="str">
        <f>IF('Twenty-Ninth'!E138="", "",'Twenty-Ninth'!E138)</f>
        <v/>
      </c>
      <c r="F7135" s="66" t="str">
        <f>IF('Twenty-Ninth'!F138="", "",'Twenty-Ninth'!F138)</f>
        <v/>
      </c>
      <c r="G7135" s="66" t="str">
        <f>IF('Twenty-Ninth'!G138="", "",'Twenty-Ninth'!G138)</f>
        <v/>
      </c>
      <c r="H7135" s="66" t="str">
        <f>IF('Twenty-Ninth'!H138="", "",'Twenty-Ninth'!H138)</f>
        <v/>
      </c>
      <c r="I7135" s="66" t="str">
        <f>IF('Twenty-Ninth'!I138="", "",'Twenty-Ninth'!I138)</f>
        <v/>
      </c>
      <c r="J7135" s="66" t="str">
        <f>IF('Twenty-Ninth'!J138="", "",'Twenty-Ninth'!J138)</f>
        <v/>
      </c>
      <c r="K7135" s="86" t="str">
        <f>IF('Twenty-Ninth'!K138="", "",'Twenty-Ninth'!K138)</f>
        <v/>
      </c>
      <c r="M7135" s="67" t="str">
        <f t="shared" si="338"/>
        <v/>
      </c>
      <c r="N7135" s="76" t="str">
        <f t="shared" si="339"/>
        <v/>
      </c>
      <c r="O7135" s="33">
        <f t="shared" si="340"/>
        <v>0</v>
      </c>
    </row>
    <row r="7136" spans="1:15" x14ac:dyDescent="0.25">
      <c r="A7136" s="64" t="s">
        <v>226</v>
      </c>
      <c r="B7136" s="79" t="str">
        <f>IF('Twenty-Ninth'!B139="", "",'Twenty-Ninth'!B139)</f>
        <v/>
      </c>
      <c r="C7136" s="66" t="str">
        <f>IF('Twenty-Ninth'!C139="", "",'Twenty-Ninth'!C139)</f>
        <v/>
      </c>
      <c r="D7136" s="66" t="str">
        <f>IF('Twenty-Ninth'!D139="", "",'Twenty-Ninth'!D139)</f>
        <v/>
      </c>
      <c r="E7136" s="66" t="str">
        <f>IF('Twenty-Ninth'!E139="", "",'Twenty-Ninth'!E139)</f>
        <v/>
      </c>
      <c r="F7136" s="66" t="str">
        <f>IF('Twenty-Ninth'!F139="", "",'Twenty-Ninth'!F139)</f>
        <v/>
      </c>
      <c r="G7136" s="66" t="str">
        <f>IF('Twenty-Ninth'!G139="", "",'Twenty-Ninth'!G139)</f>
        <v/>
      </c>
      <c r="H7136" s="66" t="str">
        <f>IF('Twenty-Ninth'!H139="", "",'Twenty-Ninth'!H139)</f>
        <v/>
      </c>
      <c r="I7136" s="66" t="str">
        <f>IF('Twenty-Ninth'!I139="", "",'Twenty-Ninth'!I139)</f>
        <v/>
      </c>
      <c r="J7136" s="66" t="str">
        <f>IF('Twenty-Ninth'!J139="", "",'Twenty-Ninth'!J139)</f>
        <v/>
      </c>
      <c r="K7136" s="86" t="str">
        <f>IF('Twenty-Ninth'!K139="", "",'Twenty-Ninth'!K139)</f>
        <v/>
      </c>
      <c r="M7136" s="67" t="str">
        <f t="shared" si="338"/>
        <v/>
      </c>
      <c r="N7136" s="76" t="str">
        <f t="shared" si="339"/>
        <v/>
      </c>
      <c r="O7136" s="33">
        <f t="shared" si="340"/>
        <v>0</v>
      </c>
    </row>
    <row r="7137" spans="1:15" x14ac:dyDescent="0.25">
      <c r="A7137" s="64" t="s">
        <v>226</v>
      </c>
      <c r="B7137" s="79" t="str">
        <f>IF('Twenty-Ninth'!B140="", "",'Twenty-Ninth'!B140)</f>
        <v/>
      </c>
      <c r="C7137" s="66" t="str">
        <f>IF('Twenty-Ninth'!C140="", "",'Twenty-Ninth'!C140)</f>
        <v/>
      </c>
      <c r="D7137" s="66" t="str">
        <f>IF('Twenty-Ninth'!D140="", "",'Twenty-Ninth'!D140)</f>
        <v/>
      </c>
      <c r="E7137" s="66" t="str">
        <f>IF('Twenty-Ninth'!E140="", "",'Twenty-Ninth'!E140)</f>
        <v/>
      </c>
      <c r="F7137" s="66" t="str">
        <f>IF('Twenty-Ninth'!F140="", "",'Twenty-Ninth'!F140)</f>
        <v/>
      </c>
      <c r="G7137" s="66" t="str">
        <f>IF('Twenty-Ninth'!G140="", "",'Twenty-Ninth'!G140)</f>
        <v/>
      </c>
      <c r="H7137" s="66" t="str">
        <f>IF('Twenty-Ninth'!H140="", "",'Twenty-Ninth'!H140)</f>
        <v/>
      </c>
      <c r="I7137" s="66" t="str">
        <f>IF('Twenty-Ninth'!I140="", "",'Twenty-Ninth'!I140)</f>
        <v/>
      </c>
      <c r="J7137" s="66" t="str">
        <f>IF('Twenty-Ninth'!J140="", "",'Twenty-Ninth'!J140)</f>
        <v/>
      </c>
      <c r="K7137" s="86" t="str">
        <f>IF('Twenty-Ninth'!K140="", "",'Twenty-Ninth'!K140)</f>
        <v/>
      </c>
      <c r="M7137" s="67" t="str">
        <f t="shared" si="338"/>
        <v/>
      </c>
      <c r="N7137" s="76" t="str">
        <f t="shared" si="339"/>
        <v/>
      </c>
      <c r="O7137" s="33">
        <f t="shared" si="340"/>
        <v>0</v>
      </c>
    </row>
    <row r="7138" spans="1:15" x14ac:dyDescent="0.25">
      <c r="A7138" s="64" t="s">
        <v>226</v>
      </c>
      <c r="B7138" s="79" t="str">
        <f>IF('Twenty-Ninth'!B141="", "",'Twenty-Ninth'!B141)</f>
        <v/>
      </c>
      <c r="C7138" s="66" t="str">
        <f>IF('Twenty-Ninth'!C141="", "",'Twenty-Ninth'!C141)</f>
        <v/>
      </c>
      <c r="D7138" s="66" t="str">
        <f>IF('Twenty-Ninth'!D141="", "",'Twenty-Ninth'!D141)</f>
        <v/>
      </c>
      <c r="E7138" s="66" t="str">
        <f>IF('Twenty-Ninth'!E141="", "",'Twenty-Ninth'!E141)</f>
        <v/>
      </c>
      <c r="F7138" s="66" t="str">
        <f>IF('Twenty-Ninth'!F141="", "",'Twenty-Ninth'!F141)</f>
        <v/>
      </c>
      <c r="G7138" s="66" t="str">
        <f>IF('Twenty-Ninth'!G141="", "",'Twenty-Ninth'!G141)</f>
        <v/>
      </c>
      <c r="H7138" s="66" t="str">
        <f>IF('Twenty-Ninth'!H141="", "",'Twenty-Ninth'!H141)</f>
        <v/>
      </c>
      <c r="I7138" s="66" t="str">
        <f>IF('Twenty-Ninth'!I141="", "",'Twenty-Ninth'!I141)</f>
        <v/>
      </c>
      <c r="J7138" s="66" t="str">
        <f>IF('Twenty-Ninth'!J141="", "",'Twenty-Ninth'!J141)</f>
        <v/>
      </c>
      <c r="K7138" s="86" t="str">
        <f>IF('Twenty-Ninth'!K141="", "",'Twenty-Ninth'!K141)</f>
        <v/>
      </c>
      <c r="M7138" s="67" t="str">
        <f t="shared" si="338"/>
        <v/>
      </c>
      <c r="N7138" s="76" t="str">
        <f t="shared" si="339"/>
        <v/>
      </c>
      <c r="O7138" s="33">
        <f t="shared" si="340"/>
        <v>0</v>
      </c>
    </row>
    <row r="7139" spans="1:15" x14ac:dyDescent="0.25">
      <c r="A7139" s="64" t="s">
        <v>226</v>
      </c>
      <c r="B7139" s="79" t="str">
        <f>IF('Twenty-Ninth'!B142="", "",'Twenty-Ninth'!B142)</f>
        <v/>
      </c>
      <c r="C7139" s="66" t="str">
        <f>IF('Twenty-Ninth'!C142="", "",'Twenty-Ninth'!C142)</f>
        <v/>
      </c>
      <c r="D7139" s="66" t="str">
        <f>IF('Twenty-Ninth'!D142="", "",'Twenty-Ninth'!D142)</f>
        <v/>
      </c>
      <c r="E7139" s="66" t="str">
        <f>IF('Twenty-Ninth'!E142="", "",'Twenty-Ninth'!E142)</f>
        <v/>
      </c>
      <c r="F7139" s="66" t="str">
        <f>IF('Twenty-Ninth'!F142="", "",'Twenty-Ninth'!F142)</f>
        <v/>
      </c>
      <c r="G7139" s="66" t="str">
        <f>IF('Twenty-Ninth'!G142="", "",'Twenty-Ninth'!G142)</f>
        <v/>
      </c>
      <c r="H7139" s="66" t="str">
        <f>IF('Twenty-Ninth'!H142="", "",'Twenty-Ninth'!H142)</f>
        <v/>
      </c>
      <c r="I7139" s="66" t="str">
        <f>IF('Twenty-Ninth'!I142="", "",'Twenty-Ninth'!I142)</f>
        <v/>
      </c>
      <c r="J7139" s="66" t="str">
        <f>IF('Twenty-Ninth'!J142="", "",'Twenty-Ninth'!J142)</f>
        <v/>
      </c>
      <c r="K7139" s="86" t="str">
        <f>IF('Twenty-Ninth'!K142="", "",'Twenty-Ninth'!K142)</f>
        <v/>
      </c>
      <c r="M7139" s="67" t="str">
        <f t="shared" si="338"/>
        <v/>
      </c>
      <c r="N7139" s="76" t="str">
        <f t="shared" si="339"/>
        <v/>
      </c>
      <c r="O7139" s="33">
        <f t="shared" si="340"/>
        <v>0</v>
      </c>
    </row>
    <row r="7140" spans="1:15" x14ac:dyDescent="0.25">
      <c r="A7140" s="64" t="s">
        <v>226</v>
      </c>
      <c r="B7140" s="79" t="str">
        <f>IF('Twenty-Ninth'!B143="", "",'Twenty-Ninth'!B143)</f>
        <v/>
      </c>
      <c r="C7140" s="66" t="str">
        <f>IF('Twenty-Ninth'!C143="", "",'Twenty-Ninth'!C143)</f>
        <v/>
      </c>
      <c r="D7140" s="66" t="str">
        <f>IF('Twenty-Ninth'!D143="", "",'Twenty-Ninth'!D143)</f>
        <v/>
      </c>
      <c r="E7140" s="66" t="str">
        <f>IF('Twenty-Ninth'!E143="", "",'Twenty-Ninth'!E143)</f>
        <v/>
      </c>
      <c r="F7140" s="66" t="str">
        <f>IF('Twenty-Ninth'!F143="", "",'Twenty-Ninth'!F143)</f>
        <v/>
      </c>
      <c r="G7140" s="66" t="str">
        <f>IF('Twenty-Ninth'!G143="", "",'Twenty-Ninth'!G143)</f>
        <v/>
      </c>
      <c r="H7140" s="66" t="str">
        <f>IF('Twenty-Ninth'!H143="", "",'Twenty-Ninth'!H143)</f>
        <v/>
      </c>
      <c r="I7140" s="66" t="str">
        <f>IF('Twenty-Ninth'!I143="", "",'Twenty-Ninth'!I143)</f>
        <v/>
      </c>
      <c r="J7140" s="66" t="str">
        <f>IF('Twenty-Ninth'!J143="", "",'Twenty-Ninth'!J143)</f>
        <v/>
      </c>
      <c r="K7140" s="86" t="str">
        <f>IF('Twenty-Ninth'!K143="", "",'Twenty-Ninth'!K143)</f>
        <v/>
      </c>
      <c r="M7140" s="67" t="str">
        <f t="shared" si="338"/>
        <v/>
      </c>
      <c r="N7140" s="76" t="str">
        <f t="shared" si="339"/>
        <v/>
      </c>
      <c r="O7140" s="33">
        <f t="shared" si="340"/>
        <v>0</v>
      </c>
    </row>
    <row r="7141" spans="1:15" x14ac:dyDescent="0.25">
      <c r="A7141" s="64" t="s">
        <v>226</v>
      </c>
      <c r="B7141" s="79" t="str">
        <f>IF('Twenty-Ninth'!B144="", "",'Twenty-Ninth'!B144)</f>
        <v/>
      </c>
      <c r="C7141" s="66" t="str">
        <f>IF('Twenty-Ninth'!C144="", "",'Twenty-Ninth'!C144)</f>
        <v/>
      </c>
      <c r="D7141" s="66" t="str">
        <f>IF('Twenty-Ninth'!D144="", "",'Twenty-Ninth'!D144)</f>
        <v/>
      </c>
      <c r="E7141" s="66" t="str">
        <f>IF('Twenty-Ninth'!E144="", "",'Twenty-Ninth'!E144)</f>
        <v/>
      </c>
      <c r="F7141" s="66" t="str">
        <f>IF('Twenty-Ninth'!F144="", "",'Twenty-Ninth'!F144)</f>
        <v/>
      </c>
      <c r="G7141" s="66" t="str">
        <f>IF('Twenty-Ninth'!G144="", "",'Twenty-Ninth'!G144)</f>
        <v/>
      </c>
      <c r="H7141" s="66" t="str">
        <f>IF('Twenty-Ninth'!H144="", "",'Twenty-Ninth'!H144)</f>
        <v/>
      </c>
      <c r="I7141" s="66" t="str">
        <f>IF('Twenty-Ninth'!I144="", "",'Twenty-Ninth'!I144)</f>
        <v/>
      </c>
      <c r="J7141" s="66" t="str">
        <f>IF('Twenty-Ninth'!J144="", "",'Twenty-Ninth'!J144)</f>
        <v/>
      </c>
      <c r="K7141" s="86" t="str">
        <f>IF('Twenty-Ninth'!K144="", "",'Twenty-Ninth'!K144)</f>
        <v/>
      </c>
      <c r="M7141" s="67" t="str">
        <f t="shared" si="338"/>
        <v/>
      </c>
      <c r="N7141" s="76" t="str">
        <f t="shared" si="339"/>
        <v/>
      </c>
      <c r="O7141" s="33">
        <f t="shared" si="340"/>
        <v>0</v>
      </c>
    </row>
    <row r="7142" spans="1:15" x14ac:dyDescent="0.25">
      <c r="A7142" s="64" t="s">
        <v>226</v>
      </c>
      <c r="B7142" s="79" t="str">
        <f>IF('Twenty-Ninth'!B145="", "",'Twenty-Ninth'!B145)</f>
        <v/>
      </c>
      <c r="C7142" s="66" t="str">
        <f>IF('Twenty-Ninth'!C145="", "",'Twenty-Ninth'!C145)</f>
        <v/>
      </c>
      <c r="D7142" s="66" t="str">
        <f>IF('Twenty-Ninth'!D145="", "",'Twenty-Ninth'!D145)</f>
        <v/>
      </c>
      <c r="E7142" s="66" t="str">
        <f>IF('Twenty-Ninth'!E145="", "",'Twenty-Ninth'!E145)</f>
        <v/>
      </c>
      <c r="F7142" s="66" t="str">
        <f>IF('Twenty-Ninth'!F145="", "",'Twenty-Ninth'!F145)</f>
        <v/>
      </c>
      <c r="G7142" s="66" t="str">
        <f>IF('Twenty-Ninth'!G145="", "",'Twenty-Ninth'!G145)</f>
        <v/>
      </c>
      <c r="H7142" s="66" t="str">
        <f>IF('Twenty-Ninth'!H145="", "",'Twenty-Ninth'!H145)</f>
        <v/>
      </c>
      <c r="I7142" s="66" t="str">
        <f>IF('Twenty-Ninth'!I145="", "",'Twenty-Ninth'!I145)</f>
        <v/>
      </c>
      <c r="J7142" s="66" t="str">
        <f>IF('Twenty-Ninth'!J145="", "",'Twenty-Ninth'!J145)</f>
        <v/>
      </c>
      <c r="K7142" s="86" t="str">
        <f>IF('Twenty-Ninth'!K145="", "",'Twenty-Ninth'!K145)</f>
        <v/>
      </c>
      <c r="M7142" s="67" t="str">
        <f t="shared" si="338"/>
        <v/>
      </c>
      <c r="N7142" s="76" t="str">
        <f t="shared" si="339"/>
        <v/>
      </c>
      <c r="O7142" s="33">
        <f t="shared" si="340"/>
        <v>0</v>
      </c>
    </row>
    <row r="7143" spans="1:15" x14ac:dyDescent="0.25">
      <c r="A7143" s="64" t="s">
        <v>226</v>
      </c>
      <c r="B7143" s="79" t="str">
        <f>IF('Twenty-Ninth'!B146="", "",'Twenty-Ninth'!B146)</f>
        <v/>
      </c>
      <c r="C7143" s="66" t="str">
        <f>IF('Twenty-Ninth'!C146="", "",'Twenty-Ninth'!C146)</f>
        <v/>
      </c>
      <c r="D7143" s="66" t="str">
        <f>IF('Twenty-Ninth'!D146="", "",'Twenty-Ninth'!D146)</f>
        <v/>
      </c>
      <c r="E7143" s="66" t="str">
        <f>IF('Twenty-Ninth'!E146="", "",'Twenty-Ninth'!E146)</f>
        <v/>
      </c>
      <c r="F7143" s="66" t="str">
        <f>IF('Twenty-Ninth'!F146="", "",'Twenty-Ninth'!F146)</f>
        <v/>
      </c>
      <c r="G7143" s="66" t="str">
        <f>IF('Twenty-Ninth'!G146="", "",'Twenty-Ninth'!G146)</f>
        <v/>
      </c>
      <c r="H7143" s="66" t="str">
        <f>IF('Twenty-Ninth'!H146="", "",'Twenty-Ninth'!H146)</f>
        <v/>
      </c>
      <c r="I7143" s="66" t="str">
        <f>IF('Twenty-Ninth'!I146="", "",'Twenty-Ninth'!I146)</f>
        <v/>
      </c>
      <c r="J7143" s="66" t="str">
        <f>IF('Twenty-Ninth'!J146="", "",'Twenty-Ninth'!J146)</f>
        <v/>
      </c>
      <c r="K7143" s="86" t="str">
        <f>IF('Twenty-Ninth'!K146="", "",'Twenty-Ninth'!K146)</f>
        <v/>
      </c>
      <c r="M7143" s="67" t="str">
        <f t="shared" si="338"/>
        <v/>
      </c>
      <c r="N7143" s="76" t="str">
        <f t="shared" si="339"/>
        <v/>
      </c>
      <c r="O7143" s="33">
        <f t="shared" si="340"/>
        <v>0</v>
      </c>
    </row>
    <row r="7144" spans="1:15" x14ac:dyDescent="0.25">
      <c r="A7144" s="64" t="s">
        <v>226</v>
      </c>
      <c r="B7144" s="79" t="str">
        <f>IF('Twenty-Ninth'!B147="", "",'Twenty-Ninth'!B147)</f>
        <v/>
      </c>
      <c r="C7144" s="66" t="str">
        <f>IF('Twenty-Ninth'!C147="", "",'Twenty-Ninth'!C147)</f>
        <v/>
      </c>
      <c r="D7144" s="66" t="str">
        <f>IF('Twenty-Ninth'!D147="", "",'Twenty-Ninth'!D147)</f>
        <v/>
      </c>
      <c r="E7144" s="66" t="str">
        <f>IF('Twenty-Ninth'!E147="", "",'Twenty-Ninth'!E147)</f>
        <v/>
      </c>
      <c r="F7144" s="66" t="str">
        <f>IF('Twenty-Ninth'!F147="", "",'Twenty-Ninth'!F147)</f>
        <v/>
      </c>
      <c r="G7144" s="66" t="str">
        <f>IF('Twenty-Ninth'!G147="", "",'Twenty-Ninth'!G147)</f>
        <v/>
      </c>
      <c r="H7144" s="66" t="str">
        <f>IF('Twenty-Ninth'!H147="", "",'Twenty-Ninth'!H147)</f>
        <v/>
      </c>
      <c r="I7144" s="66" t="str">
        <f>IF('Twenty-Ninth'!I147="", "",'Twenty-Ninth'!I147)</f>
        <v/>
      </c>
      <c r="J7144" s="66" t="str">
        <f>IF('Twenty-Ninth'!J147="", "",'Twenty-Ninth'!J147)</f>
        <v/>
      </c>
      <c r="K7144" s="86" t="str">
        <f>IF('Twenty-Ninth'!K147="", "",'Twenty-Ninth'!K147)</f>
        <v/>
      </c>
      <c r="M7144" s="67" t="str">
        <f t="shared" si="338"/>
        <v/>
      </c>
      <c r="N7144" s="76" t="str">
        <f t="shared" si="339"/>
        <v/>
      </c>
      <c r="O7144" s="33">
        <f t="shared" si="340"/>
        <v>0</v>
      </c>
    </row>
    <row r="7145" spans="1:15" x14ac:dyDescent="0.25">
      <c r="A7145" s="64" t="s">
        <v>226</v>
      </c>
      <c r="B7145" s="79" t="str">
        <f>IF('Twenty-Ninth'!B148="", "",'Twenty-Ninth'!B148)</f>
        <v/>
      </c>
      <c r="C7145" s="66" t="str">
        <f>IF('Twenty-Ninth'!C148="", "",'Twenty-Ninth'!C148)</f>
        <v/>
      </c>
      <c r="D7145" s="66" t="str">
        <f>IF('Twenty-Ninth'!D148="", "",'Twenty-Ninth'!D148)</f>
        <v/>
      </c>
      <c r="E7145" s="66" t="str">
        <f>IF('Twenty-Ninth'!E148="", "",'Twenty-Ninth'!E148)</f>
        <v/>
      </c>
      <c r="F7145" s="66" t="str">
        <f>IF('Twenty-Ninth'!F148="", "",'Twenty-Ninth'!F148)</f>
        <v/>
      </c>
      <c r="G7145" s="66" t="str">
        <f>IF('Twenty-Ninth'!G148="", "",'Twenty-Ninth'!G148)</f>
        <v/>
      </c>
      <c r="H7145" s="66" t="str">
        <f>IF('Twenty-Ninth'!H148="", "",'Twenty-Ninth'!H148)</f>
        <v/>
      </c>
      <c r="I7145" s="66" t="str">
        <f>IF('Twenty-Ninth'!I148="", "",'Twenty-Ninth'!I148)</f>
        <v/>
      </c>
      <c r="J7145" s="66" t="str">
        <f>IF('Twenty-Ninth'!J148="", "",'Twenty-Ninth'!J148)</f>
        <v/>
      </c>
      <c r="K7145" s="86" t="str">
        <f>IF('Twenty-Ninth'!K148="", "",'Twenty-Ninth'!K148)</f>
        <v/>
      </c>
      <c r="M7145" s="67" t="str">
        <f t="shared" si="338"/>
        <v/>
      </c>
      <c r="N7145" s="76" t="str">
        <f t="shared" si="339"/>
        <v/>
      </c>
      <c r="O7145" s="33">
        <f t="shared" si="340"/>
        <v>0</v>
      </c>
    </row>
    <row r="7146" spans="1:15" x14ac:dyDescent="0.25">
      <c r="A7146" s="64" t="s">
        <v>226</v>
      </c>
      <c r="B7146" s="79" t="str">
        <f>IF('Twenty-Ninth'!B149="", "",'Twenty-Ninth'!B149)</f>
        <v/>
      </c>
      <c r="C7146" s="66" t="str">
        <f>IF('Twenty-Ninth'!C149="", "",'Twenty-Ninth'!C149)</f>
        <v/>
      </c>
      <c r="D7146" s="66" t="str">
        <f>IF('Twenty-Ninth'!D149="", "",'Twenty-Ninth'!D149)</f>
        <v/>
      </c>
      <c r="E7146" s="66" t="str">
        <f>IF('Twenty-Ninth'!E149="", "",'Twenty-Ninth'!E149)</f>
        <v/>
      </c>
      <c r="F7146" s="66" t="str">
        <f>IF('Twenty-Ninth'!F149="", "",'Twenty-Ninth'!F149)</f>
        <v/>
      </c>
      <c r="G7146" s="66" t="str">
        <f>IF('Twenty-Ninth'!G149="", "",'Twenty-Ninth'!G149)</f>
        <v/>
      </c>
      <c r="H7146" s="66" t="str">
        <f>IF('Twenty-Ninth'!H149="", "",'Twenty-Ninth'!H149)</f>
        <v/>
      </c>
      <c r="I7146" s="66" t="str">
        <f>IF('Twenty-Ninth'!I149="", "",'Twenty-Ninth'!I149)</f>
        <v/>
      </c>
      <c r="J7146" s="66" t="str">
        <f>IF('Twenty-Ninth'!J149="", "",'Twenty-Ninth'!J149)</f>
        <v/>
      </c>
      <c r="K7146" s="86" t="str">
        <f>IF('Twenty-Ninth'!K149="", "",'Twenty-Ninth'!K149)</f>
        <v/>
      </c>
      <c r="M7146" s="67" t="str">
        <f t="shared" si="338"/>
        <v/>
      </c>
      <c r="N7146" s="76" t="str">
        <f t="shared" si="339"/>
        <v/>
      </c>
      <c r="O7146" s="33">
        <f t="shared" si="340"/>
        <v>0</v>
      </c>
    </row>
    <row r="7147" spans="1:15" x14ac:dyDescent="0.25">
      <c r="A7147" s="64" t="s">
        <v>226</v>
      </c>
      <c r="B7147" s="79" t="str">
        <f>IF('Twenty-Ninth'!B150="", "",'Twenty-Ninth'!B150)</f>
        <v/>
      </c>
      <c r="C7147" s="66" t="str">
        <f>IF('Twenty-Ninth'!C150="", "",'Twenty-Ninth'!C150)</f>
        <v/>
      </c>
      <c r="D7147" s="66" t="str">
        <f>IF('Twenty-Ninth'!D150="", "",'Twenty-Ninth'!D150)</f>
        <v/>
      </c>
      <c r="E7147" s="66" t="str">
        <f>IF('Twenty-Ninth'!E150="", "",'Twenty-Ninth'!E150)</f>
        <v/>
      </c>
      <c r="F7147" s="66" t="str">
        <f>IF('Twenty-Ninth'!F150="", "",'Twenty-Ninth'!F150)</f>
        <v/>
      </c>
      <c r="G7147" s="66" t="str">
        <f>IF('Twenty-Ninth'!G150="", "",'Twenty-Ninth'!G150)</f>
        <v/>
      </c>
      <c r="H7147" s="66" t="str">
        <f>IF('Twenty-Ninth'!H150="", "",'Twenty-Ninth'!H150)</f>
        <v/>
      </c>
      <c r="I7147" s="66" t="str">
        <f>IF('Twenty-Ninth'!I150="", "",'Twenty-Ninth'!I150)</f>
        <v/>
      </c>
      <c r="J7147" s="66" t="str">
        <f>IF('Twenty-Ninth'!J150="", "",'Twenty-Ninth'!J150)</f>
        <v/>
      </c>
      <c r="K7147" s="86" t="str">
        <f>IF('Twenty-Ninth'!K150="", "",'Twenty-Ninth'!K150)</f>
        <v/>
      </c>
      <c r="M7147" s="67" t="str">
        <f t="shared" si="338"/>
        <v/>
      </c>
      <c r="N7147" s="76" t="str">
        <f t="shared" si="339"/>
        <v/>
      </c>
      <c r="O7147" s="33">
        <f t="shared" si="340"/>
        <v>0</v>
      </c>
    </row>
    <row r="7148" spans="1:15" x14ac:dyDescent="0.25">
      <c r="A7148" s="64" t="s">
        <v>226</v>
      </c>
      <c r="B7148" s="79" t="str">
        <f>IF('Twenty-Ninth'!B151="", "",'Twenty-Ninth'!B151)</f>
        <v/>
      </c>
      <c r="C7148" s="66" t="str">
        <f>IF('Twenty-Ninth'!C151="", "",'Twenty-Ninth'!C151)</f>
        <v/>
      </c>
      <c r="D7148" s="66" t="str">
        <f>IF('Twenty-Ninth'!D151="", "",'Twenty-Ninth'!D151)</f>
        <v/>
      </c>
      <c r="E7148" s="66" t="str">
        <f>IF('Twenty-Ninth'!E151="", "",'Twenty-Ninth'!E151)</f>
        <v/>
      </c>
      <c r="F7148" s="66" t="str">
        <f>IF('Twenty-Ninth'!F151="", "",'Twenty-Ninth'!F151)</f>
        <v/>
      </c>
      <c r="G7148" s="66" t="str">
        <f>IF('Twenty-Ninth'!G151="", "",'Twenty-Ninth'!G151)</f>
        <v/>
      </c>
      <c r="H7148" s="66" t="str">
        <f>IF('Twenty-Ninth'!H151="", "",'Twenty-Ninth'!H151)</f>
        <v/>
      </c>
      <c r="I7148" s="66" t="str">
        <f>IF('Twenty-Ninth'!I151="", "",'Twenty-Ninth'!I151)</f>
        <v/>
      </c>
      <c r="J7148" s="66" t="str">
        <f>IF('Twenty-Ninth'!J151="", "",'Twenty-Ninth'!J151)</f>
        <v/>
      </c>
      <c r="K7148" s="86" t="str">
        <f>IF('Twenty-Ninth'!K151="", "",'Twenty-Ninth'!K151)</f>
        <v/>
      </c>
      <c r="M7148" s="67" t="str">
        <f t="shared" si="338"/>
        <v/>
      </c>
      <c r="N7148" s="76" t="str">
        <f t="shared" si="339"/>
        <v/>
      </c>
      <c r="O7148" s="33">
        <f t="shared" si="340"/>
        <v>0</v>
      </c>
    </row>
    <row r="7149" spans="1:15" x14ac:dyDescent="0.25">
      <c r="A7149" s="64" t="s">
        <v>226</v>
      </c>
      <c r="B7149" s="79" t="str">
        <f>IF('Twenty-Ninth'!B152="", "",'Twenty-Ninth'!B152)</f>
        <v/>
      </c>
      <c r="C7149" s="66" t="str">
        <f>IF('Twenty-Ninth'!C152="", "",'Twenty-Ninth'!C152)</f>
        <v/>
      </c>
      <c r="D7149" s="66" t="str">
        <f>IF('Twenty-Ninth'!D152="", "",'Twenty-Ninth'!D152)</f>
        <v/>
      </c>
      <c r="E7149" s="66" t="str">
        <f>IF('Twenty-Ninth'!E152="", "",'Twenty-Ninth'!E152)</f>
        <v/>
      </c>
      <c r="F7149" s="66" t="str">
        <f>IF('Twenty-Ninth'!F152="", "",'Twenty-Ninth'!F152)</f>
        <v/>
      </c>
      <c r="G7149" s="66" t="str">
        <f>IF('Twenty-Ninth'!G152="", "",'Twenty-Ninth'!G152)</f>
        <v/>
      </c>
      <c r="H7149" s="66" t="str">
        <f>IF('Twenty-Ninth'!H152="", "",'Twenty-Ninth'!H152)</f>
        <v/>
      </c>
      <c r="I7149" s="66" t="str">
        <f>IF('Twenty-Ninth'!I152="", "",'Twenty-Ninth'!I152)</f>
        <v/>
      </c>
      <c r="J7149" s="66" t="str">
        <f>IF('Twenty-Ninth'!J152="", "",'Twenty-Ninth'!J152)</f>
        <v/>
      </c>
      <c r="K7149" s="86" t="str">
        <f>IF('Twenty-Ninth'!K152="", "",'Twenty-Ninth'!K152)</f>
        <v/>
      </c>
      <c r="M7149" s="67" t="str">
        <f t="shared" si="338"/>
        <v/>
      </c>
      <c r="N7149" s="76" t="str">
        <f t="shared" si="339"/>
        <v/>
      </c>
      <c r="O7149" s="33">
        <f t="shared" si="340"/>
        <v>0</v>
      </c>
    </row>
    <row r="7150" spans="1:15" x14ac:dyDescent="0.25">
      <c r="A7150" s="64" t="s">
        <v>226</v>
      </c>
      <c r="B7150" s="79" t="str">
        <f>IF('Twenty-Ninth'!B153="", "",'Twenty-Ninth'!B153)</f>
        <v/>
      </c>
      <c r="C7150" s="66" t="str">
        <f>IF('Twenty-Ninth'!C153="", "",'Twenty-Ninth'!C153)</f>
        <v/>
      </c>
      <c r="D7150" s="66" t="str">
        <f>IF('Twenty-Ninth'!D153="", "",'Twenty-Ninth'!D153)</f>
        <v/>
      </c>
      <c r="E7150" s="66" t="str">
        <f>IF('Twenty-Ninth'!E153="", "",'Twenty-Ninth'!E153)</f>
        <v/>
      </c>
      <c r="F7150" s="66" t="str">
        <f>IF('Twenty-Ninth'!F153="", "",'Twenty-Ninth'!F153)</f>
        <v/>
      </c>
      <c r="G7150" s="66" t="str">
        <f>IF('Twenty-Ninth'!G153="", "",'Twenty-Ninth'!G153)</f>
        <v/>
      </c>
      <c r="H7150" s="66" t="str">
        <f>IF('Twenty-Ninth'!H153="", "",'Twenty-Ninth'!H153)</f>
        <v/>
      </c>
      <c r="I7150" s="66" t="str">
        <f>IF('Twenty-Ninth'!I153="", "",'Twenty-Ninth'!I153)</f>
        <v/>
      </c>
      <c r="J7150" s="66" t="str">
        <f>IF('Twenty-Ninth'!J153="", "",'Twenty-Ninth'!J153)</f>
        <v/>
      </c>
      <c r="K7150" s="86" t="str">
        <f>IF('Twenty-Ninth'!K153="", "",'Twenty-Ninth'!K153)</f>
        <v/>
      </c>
      <c r="M7150" s="67" t="str">
        <f t="shared" si="338"/>
        <v/>
      </c>
      <c r="N7150" s="76" t="str">
        <f t="shared" si="339"/>
        <v/>
      </c>
      <c r="O7150" s="33">
        <f t="shared" si="340"/>
        <v>0</v>
      </c>
    </row>
    <row r="7151" spans="1:15" x14ac:dyDescent="0.25">
      <c r="A7151" s="64" t="s">
        <v>226</v>
      </c>
      <c r="B7151" s="79" t="str">
        <f>IF('Twenty-Ninth'!B154="", "",'Twenty-Ninth'!B154)</f>
        <v/>
      </c>
      <c r="C7151" s="66" t="str">
        <f>IF('Twenty-Ninth'!C154="", "",'Twenty-Ninth'!C154)</f>
        <v/>
      </c>
      <c r="D7151" s="66" t="str">
        <f>IF('Twenty-Ninth'!D154="", "",'Twenty-Ninth'!D154)</f>
        <v/>
      </c>
      <c r="E7151" s="66" t="str">
        <f>IF('Twenty-Ninth'!E154="", "",'Twenty-Ninth'!E154)</f>
        <v/>
      </c>
      <c r="F7151" s="66" t="str">
        <f>IF('Twenty-Ninth'!F154="", "",'Twenty-Ninth'!F154)</f>
        <v/>
      </c>
      <c r="G7151" s="66" t="str">
        <f>IF('Twenty-Ninth'!G154="", "",'Twenty-Ninth'!G154)</f>
        <v/>
      </c>
      <c r="H7151" s="66" t="str">
        <f>IF('Twenty-Ninth'!H154="", "",'Twenty-Ninth'!H154)</f>
        <v/>
      </c>
      <c r="I7151" s="66" t="str">
        <f>IF('Twenty-Ninth'!I154="", "",'Twenty-Ninth'!I154)</f>
        <v/>
      </c>
      <c r="J7151" s="66" t="str">
        <f>IF('Twenty-Ninth'!J154="", "",'Twenty-Ninth'!J154)</f>
        <v/>
      </c>
      <c r="K7151" s="86" t="str">
        <f>IF('Twenty-Ninth'!K154="", "",'Twenty-Ninth'!K154)</f>
        <v/>
      </c>
      <c r="M7151" s="67" t="str">
        <f t="shared" si="338"/>
        <v/>
      </c>
      <c r="N7151" s="76" t="str">
        <f t="shared" si="339"/>
        <v/>
      </c>
      <c r="O7151" s="33">
        <f t="shared" si="340"/>
        <v>0</v>
      </c>
    </row>
    <row r="7152" spans="1:15" x14ac:dyDescent="0.25">
      <c r="A7152" s="64" t="s">
        <v>226</v>
      </c>
      <c r="B7152" s="79" t="str">
        <f>IF('Twenty-Ninth'!B155="", "",'Twenty-Ninth'!B155)</f>
        <v/>
      </c>
      <c r="C7152" s="66" t="str">
        <f>IF('Twenty-Ninth'!C155="", "",'Twenty-Ninth'!C155)</f>
        <v/>
      </c>
      <c r="D7152" s="66" t="str">
        <f>IF('Twenty-Ninth'!D155="", "",'Twenty-Ninth'!D155)</f>
        <v/>
      </c>
      <c r="E7152" s="66" t="str">
        <f>IF('Twenty-Ninth'!E155="", "",'Twenty-Ninth'!E155)</f>
        <v/>
      </c>
      <c r="F7152" s="66" t="str">
        <f>IF('Twenty-Ninth'!F155="", "",'Twenty-Ninth'!F155)</f>
        <v/>
      </c>
      <c r="G7152" s="66" t="str">
        <f>IF('Twenty-Ninth'!G155="", "",'Twenty-Ninth'!G155)</f>
        <v/>
      </c>
      <c r="H7152" s="66" t="str">
        <f>IF('Twenty-Ninth'!H155="", "",'Twenty-Ninth'!H155)</f>
        <v/>
      </c>
      <c r="I7152" s="66" t="str">
        <f>IF('Twenty-Ninth'!I155="", "",'Twenty-Ninth'!I155)</f>
        <v/>
      </c>
      <c r="J7152" s="66" t="str">
        <f>IF('Twenty-Ninth'!J155="", "",'Twenty-Ninth'!J155)</f>
        <v/>
      </c>
      <c r="K7152" s="86" t="str">
        <f>IF('Twenty-Ninth'!K155="", "",'Twenty-Ninth'!K155)</f>
        <v/>
      </c>
      <c r="M7152" s="67" t="str">
        <f t="shared" si="338"/>
        <v/>
      </c>
      <c r="N7152" s="76" t="str">
        <f t="shared" si="339"/>
        <v/>
      </c>
      <c r="O7152" s="33">
        <f t="shared" si="340"/>
        <v>0</v>
      </c>
    </row>
    <row r="7153" spans="1:15" x14ac:dyDescent="0.25">
      <c r="A7153" s="64" t="s">
        <v>226</v>
      </c>
      <c r="B7153" s="79" t="str">
        <f>IF('Twenty-Ninth'!B156="", "",'Twenty-Ninth'!B156)</f>
        <v/>
      </c>
      <c r="C7153" s="66" t="str">
        <f>IF('Twenty-Ninth'!C156="", "",'Twenty-Ninth'!C156)</f>
        <v/>
      </c>
      <c r="D7153" s="66" t="str">
        <f>IF('Twenty-Ninth'!D156="", "",'Twenty-Ninth'!D156)</f>
        <v/>
      </c>
      <c r="E7153" s="66" t="str">
        <f>IF('Twenty-Ninth'!E156="", "",'Twenty-Ninth'!E156)</f>
        <v/>
      </c>
      <c r="F7153" s="66" t="str">
        <f>IF('Twenty-Ninth'!F156="", "",'Twenty-Ninth'!F156)</f>
        <v/>
      </c>
      <c r="G7153" s="66" t="str">
        <f>IF('Twenty-Ninth'!G156="", "",'Twenty-Ninth'!G156)</f>
        <v/>
      </c>
      <c r="H7153" s="66" t="str">
        <f>IF('Twenty-Ninth'!H156="", "",'Twenty-Ninth'!H156)</f>
        <v/>
      </c>
      <c r="I7153" s="66" t="str">
        <f>IF('Twenty-Ninth'!I156="", "",'Twenty-Ninth'!I156)</f>
        <v/>
      </c>
      <c r="J7153" s="66" t="str">
        <f>IF('Twenty-Ninth'!J156="", "",'Twenty-Ninth'!J156)</f>
        <v/>
      </c>
      <c r="K7153" s="86" t="str">
        <f>IF('Twenty-Ninth'!K156="", "",'Twenty-Ninth'!K156)</f>
        <v/>
      </c>
      <c r="M7153" s="67" t="str">
        <f t="shared" si="338"/>
        <v/>
      </c>
      <c r="N7153" s="76" t="str">
        <f t="shared" si="339"/>
        <v/>
      </c>
      <c r="O7153" s="33">
        <f t="shared" si="340"/>
        <v>0</v>
      </c>
    </row>
    <row r="7154" spans="1:15" x14ac:dyDescent="0.25">
      <c r="A7154" s="64" t="s">
        <v>226</v>
      </c>
      <c r="B7154" s="79" t="str">
        <f>IF('Twenty-Ninth'!B157="", "",'Twenty-Ninth'!B157)</f>
        <v/>
      </c>
      <c r="C7154" s="66" t="str">
        <f>IF('Twenty-Ninth'!C157="", "",'Twenty-Ninth'!C157)</f>
        <v/>
      </c>
      <c r="D7154" s="66" t="str">
        <f>IF('Twenty-Ninth'!D157="", "",'Twenty-Ninth'!D157)</f>
        <v/>
      </c>
      <c r="E7154" s="66" t="str">
        <f>IF('Twenty-Ninth'!E157="", "",'Twenty-Ninth'!E157)</f>
        <v/>
      </c>
      <c r="F7154" s="66" t="str">
        <f>IF('Twenty-Ninth'!F157="", "",'Twenty-Ninth'!F157)</f>
        <v/>
      </c>
      <c r="G7154" s="66" t="str">
        <f>IF('Twenty-Ninth'!G157="", "",'Twenty-Ninth'!G157)</f>
        <v/>
      </c>
      <c r="H7154" s="66" t="str">
        <f>IF('Twenty-Ninth'!H157="", "",'Twenty-Ninth'!H157)</f>
        <v/>
      </c>
      <c r="I7154" s="66" t="str">
        <f>IF('Twenty-Ninth'!I157="", "",'Twenty-Ninth'!I157)</f>
        <v/>
      </c>
      <c r="J7154" s="66" t="str">
        <f>IF('Twenty-Ninth'!J157="", "",'Twenty-Ninth'!J157)</f>
        <v/>
      </c>
      <c r="K7154" s="86" t="str">
        <f>IF('Twenty-Ninth'!K157="", "",'Twenty-Ninth'!K157)</f>
        <v/>
      </c>
      <c r="M7154" s="67" t="str">
        <f t="shared" si="338"/>
        <v/>
      </c>
      <c r="N7154" s="76" t="str">
        <f t="shared" si="339"/>
        <v/>
      </c>
      <c r="O7154" s="33">
        <f t="shared" si="340"/>
        <v>0</v>
      </c>
    </row>
    <row r="7155" spans="1:15" x14ac:dyDescent="0.25">
      <c r="A7155" s="64" t="s">
        <v>226</v>
      </c>
      <c r="B7155" s="79" t="str">
        <f>IF('Twenty-Ninth'!B158="", "",'Twenty-Ninth'!B158)</f>
        <v/>
      </c>
      <c r="C7155" s="66" t="str">
        <f>IF('Twenty-Ninth'!C158="", "",'Twenty-Ninth'!C158)</f>
        <v/>
      </c>
      <c r="D7155" s="66" t="str">
        <f>IF('Twenty-Ninth'!D158="", "",'Twenty-Ninth'!D158)</f>
        <v/>
      </c>
      <c r="E7155" s="66" t="str">
        <f>IF('Twenty-Ninth'!E158="", "",'Twenty-Ninth'!E158)</f>
        <v/>
      </c>
      <c r="F7155" s="66" t="str">
        <f>IF('Twenty-Ninth'!F158="", "",'Twenty-Ninth'!F158)</f>
        <v/>
      </c>
      <c r="G7155" s="66" t="str">
        <f>IF('Twenty-Ninth'!G158="", "",'Twenty-Ninth'!G158)</f>
        <v/>
      </c>
      <c r="H7155" s="66" t="str">
        <f>IF('Twenty-Ninth'!H158="", "",'Twenty-Ninth'!H158)</f>
        <v/>
      </c>
      <c r="I7155" s="66" t="str">
        <f>IF('Twenty-Ninth'!I158="", "",'Twenty-Ninth'!I158)</f>
        <v/>
      </c>
      <c r="J7155" s="66" t="str">
        <f>IF('Twenty-Ninth'!J158="", "",'Twenty-Ninth'!J158)</f>
        <v/>
      </c>
      <c r="K7155" s="86" t="str">
        <f>IF('Twenty-Ninth'!K158="", "",'Twenty-Ninth'!K158)</f>
        <v/>
      </c>
      <c r="M7155" s="67" t="str">
        <f t="shared" si="338"/>
        <v/>
      </c>
      <c r="N7155" s="76" t="str">
        <f t="shared" si="339"/>
        <v/>
      </c>
      <c r="O7155" s="33">
        <f t="shared" si="340"/>
        <v>0</v>
      </c>
    </row>
    <row r="7156" spans="1:15" x14ac:dyDescent="0.25">
      <c r="A7156" s="64" t="s">
        <v>226</v>
      </c>
      <c r="B7156" s="79" t="str">
        <f>IF('Twenty-Ninth'!B159="", "",'Twenty-Ninth'!B159)</f>
        <v/>
      </c>
      <c r="C7156" s="66" t="str">
        <f>IF('Twenty-Ninth'!C159="", "",'Twenty-Ninth'!C159)</f>
        <v/>
      </c>
      <c r="D7156" s="66" t="str">
        <f>IF('Twenty-Ninth'!D159="", "",'Twenty-Ninth'!D159)</f>
        <v/>
      </c>
      <c r="E7156" s="66" t="str">
        <f>IF('Twenty-Ninth'!E159="", "",'Twenty-Ninth'!E159)</f>
        <v/>
      </c>
      <c r="F7156" s="66" t="str">
        <f>IF('Twenty-Ninth'!F159="", "",'Twenty-Ninth'!F159)</f>
        <v/>
      </c>
      <c r="G7156" s="66" t="str">
        <f>IF('Twenty-Ninth'!G159="", "",'Twenty-Ninth'!G159)</f>
        <v/>
      </c>
      <c r="H7156" s="66" t="str">
        <f>IF('Twenty-Ninth'!H159="", "",'Twenty-Ninth'!H159)</f>
        <v/>
      </c>
      <c r="I7156" s="66" t="str">
        <f>IF('Twenty-Ninth'!I159="", "",'Twenty-Ninth'!I159)</f>
        <v/>
      </c>
      <c r="J7156" s="66" t="str">
        <f>IF('Twenty-Ninth'!J159="", "",'Twenty-Ninth'!J159)</f>
        <v/>
      </c>
      <c r="K7156" s="86" t="str">
        <f>IF('Twenty-Ninth'!K159="", "",'Twenty-Ninth'!K159)</f>
        <v/>
      </c>
      <c r="M7156" s="67" t="str">
        <f t="shared" si="338"/>
        <v/>
      </c>
      <c r="N7156" s="76" t="str">
        <f t="shared" si="339"/>
        <v/>
      </c>
      <c r="O7156" s="33">
        <f t="shared" si="340"/>
        <v>0</v>
      </c>
    </row>
    <row r="7157" spans="1:15" x14ac:dyDescent="0.25">
      <c r="A7157" s="64" t="s">
        <v>226</v>
      </c>
      <c r="B7157" s="79" t="str">
        <f>IF('Twenty-Ninth'!B160="", "",'Twenty-Ninth'!B160)</f>
        <v/>
      </c>
      <c r="C7157" s="66" t="str">
        <f>IF('Twenty-Ninth'!C160="", "",'Twenty-Ninth'!C160)</f>
        <v/>
      </c>
      <c r="D7157" s="66" t="str">
        <f>IF('Twenty-Ninth'!D160="", "",'Twenty-Ninth'!D160)</f>
        <v/>
      </c>
      <c r="E7157" s="66" t="str">
        <f>IF('Twenty-Ninth'!E160="", "",'Twenty-Ninth'!E160)</f>
        <v/>
      </c>
      <c r="F7157" s="66" t="str">
        <f>IF('Twenty-Ninth'!F160="", "",'Twenty-Ninth'!F160)</f>
        <v/>
      </c>
      <c r="G7157" s="66" t="str">
        <f>IF('Twenty-Ninth'!G160="", "",'Twenty-Ninth'!G160)</f>
        <v/>
      </c>
      <c r="H7157" s="66" t="str">
        <f>IF('Twenty-Ninth'!H160="", "",'Twenty-Ninth'!H160)</f>
        <v/>
      </c>
      <c r="I7157" s="66" t="str">
        <f>IF('Twenty-Ninth'!I160="", "",'Twenty-Ninth'!I160)</f>
        <v/>
      </c>
      <c r="J7157" s="66" t="str">
        <f>IF('Twenty-Ninth'!J160="", "",'Twenty-Ninth'!J160)</f>
        <v/>
      </c>
      <c r="K7157" s="86" t="str">
        <f>IF('Twenty-Ninth'!K160="", "",'Twenty-Ninth'!K160)</f>
        <v/>
      </c>
      <c r="M7157" s="67" t="str">
        <f t="shared" si="338"/>
        <v/>
      </c>
      <c r="N7157" s="76" t="str">
        <f t="shared" si="339"/>
        <v/>
      </c>
      <c r="O7157" s="33">
        <f t="shared" si="340"/>
        <v>0</v>
      </c>
    </row>
    <row r="7158" spans="1:15" x14ac:dyDescent="0.25">
      <c r="A7158" s="64" t="s">
        <v>226</v>
      </c>
      <c r="B7158" s="79" t="str">
        <f>IF('Twenty-Ninth'!B161="", "",'Twenty-Ninth'!B161)</f>
        <v/>
      </c>
      <c r="C7158" s="66" t="str">
        <f>IF('Twenty-Ninth'!C161="", "",'Twenty-Ninth'!C161)</f>
        <v/>
      </c>
      <c r="D7158" s="66" t="str">
        <f>IF('Twenty-Ninth'!D161="", "",'Twenty-Ninth'!D161)</f>
        <v/>
      </c>
      <c r="E7158" s="66" t="str">
        <f>IF('Twenty-Ninth'!E161="", "",'Twenty-Ninth'!E161)</f>
        <v/>
      </c>
      <c r="F7158" s="66" t="str">
        <f>IF('Twenty-Ninth'!F161="", "",'Twenty-Ninth'!F161)</f>
        <v/>
      </c>
      <c r="G7158" s="66" t="str">
        <f>IF('Twenty-Ninth'!G161="", "",'Twenty-Ninth'!G161)</f>
        <v/>
      </c>
      <c r="H7158" s="66" t="str">
        <f>IF('Twenty-Ninth'!H161="", "",'Twenty-Ninth'!H161)</f>
        <v/>
      </c>
      <c r="I7158" s="66" t="str">
        <f>IF('Twenty-Ninth'!I161="", "",'Twenty-Ninth'!I161)</f>
        <v/>
      </c>
      <c r="J7158" s="66" t="str">
        <f>IF('Twenty-Ninth'!J161="", "",'Twenty-Ninth'!J161)</f>
        <v/>
      </c>
      <c r="K7158" s="86" t="str">
        <f>IF('Twenty-Ninth'!K161="", "",'Twenty-Ninth'!K161)</f>
        <v/>
      </c>
      <c r="M7158" s="67" t="str">
        <f t="shared" si="338"/>
        <v/>
      </c>
      <c r="N7158" s="76" t="str">
        <f t="shared" si="339"/>
        <v/>
      </c>
      <c r="O7158" s="33">
        <f t="shared" si="340"/>
        <v>0</v>
      </c>
    </row>
    <row r="7159" spans="1:15" x14ac:dyDescent="0.25">
      <c r="A7159" s="64" t="s">
        <v>226</v>
      </c>
      <c r="B7159" s="79" t="str">
        <f>IF('Twenty-Ninth'!B162="", "",'Twenty-Ninth'!B162)</f>
        <v/>
      </c>
      <c r="C7159" s="66" t="str">
        <f>IF('Twenty-Ninth'!C162="", "",'Twenty-Ninth'!C162)</f>
        <v/>
      </c>
      <c r="D7159" s="66" t="str">
        <f>IF('Twenty-Ninth'!D162="", "",'Twenty-Ninth'!D162)</f>
        <v/>
      </c>
      <c r="E7159" s="66" t="str">
        <f>IF('Twenty-Ninth'!E162="", "",'Twenty-Ninth'!E162)</f>
        <v/>
      </c>
      <c r="F7159" s="66" t="str">
        <f>IF('Twenty-Ninth'!F162="", "",'Twenty-Ninth'!F162)</f>
        <v/>
      </c>
      <c r="G7159" s="66" t="str">
        <f>IF('Twenty-Ninth'!G162="", "",'Twenty-Ninth'!G162)</f>
        <v/>
      </c>
      <c r="H7159" s="66" t="str">
        <f>IF('Twenty-Ninth'!H162="", "",'Twenty-Ninth'!H162)</f>
        <v/>
      </c>
      <c r="I7159" s="66" t="str">
        <f>IF('Twenty-Ninth'!I162="", "",'Twenty-Ninth'!I162)</f>
        <v/>
      </c>
      <c r="J7159" s="66" t="str">
        <f>IF('Twenty-Ninth'!J162="", "",'Twenty-Ninth'!J162)</f>
        <v/>
      </c>
      <c r="K7159" s="86" t="str">
        <f>IF('Twenty-Ninth'!K162="", "",'Twenty-Ninth'!K162)</f>
        <v/>
      </c>
      <c r="M7159" s="67" t="str">
        <f t="shared" si="338"/>
        <v/>
      </c>
      <c r="N7159" s="76" t="str">
        <f t="shared" si="339"/>
        <v/>
      </c>
      <c r="O7159" s="33">
        <f t="shared" si="340"/>
        <v>0</v>
      </c>
    </row>
    <row r="7160" spans="1:15" x14ac:dyDescent="0.25">
      <c r="A7160" s="64" t="s">
        <v>226</v>
      </c>
      <c r="B7160" s="79" t="str">
        <f>IF('Twenty-Ninth'!B163="", "",'Twenty-Ninth'!B163)</f>
        <v/>
      </c>
      <c r="C7160" s="66" t="str">
        <f>IF('Twenty-Ninth'!C163="", "",'Twenty-Ninth'!C163)</f>
        <v/>
      </c>
      <c r="D7160" s="66" t="str">
        <f>IF('Twenty-Ninth'!D163="", "",'Twenty-Ninth'!D163)</f>
        <v/>
      </c>
      <c r="E7160" s="66" t="str">
        <f>IF('Twenty-Ninth'!E163="", "",'Twenty-Ninth'!E163)</f>
        <v/>
      </c>
      <c r="F7160" s="66" t="str">
        <f>IF('Twenty-Ninth'!F163="", "",'Twenty-Ninth'!F163)</f>
        <v/>
      </c>
      <c r="G7160" s="66" t="str">
        <f>IF('Twenty-Ninth'!G163="", "",'Twenty-Ninth'!G163)</f>
        <v/>
      </c>
      <c r="H7160" s="66" t="str">
        <f>IF('Twenty-Ninth'!H163="", "",'Twenty-Ninth'!H163)</f>
        <v/>
      </c>
      <c r="I7160" s="66" t="str">
        <f>IF('Twenty-Ninth'!I163="", "",'Twenty-Ninth'!I163)</f>
        <v/>
      </c>
      <c r="J7160" s="66" t="str">
        <f>IF('Twenty-Ninth'!J163="", "",'Twenty-Ninth'!J163)</f>
        <v/>
      </c>
      <c r="K7160" s="86" t="str">
        <f>IF('Twenty-Ninth'!K163="", "",'Twenty-Ninth'!K163)</f>
        <v/>
      </c>
      <c r="M7160" s="67" t="str">
        <f t="shared" si="338"/>
        <v/>
      </c>
      <c r="N7160" s="76" t="str">
        <f t="shared" si="339"/>
        <v/>
      </c>
      <c r="O7160" s="33">
        <f t="shared" si="340"/>
        <v>0</v>
      </c>
    </row>
    <row r="7161" spans="1:15" x14ac:dyDescent="0.25">
      <c r="A7161" s="64" t="s">
        <v>226</v>
      </c>
      <c r="B7161" s="79" t="str">
        <f>IF('Twenty-Ninth'!B164="", "",'Twenty-Ninth'!B164)</f>
        <v/>
      </c>
      <c r="C7161" s="66" t="str">
        <f>IF('Twenty-Ninth'!C164="", "",'Twenty-Ninth'!C164)</f>
        <v/>
      </c>
      <c r="D7161" s="66" t="str">
        <f>IF('Twenty-Ninth'!D164="", "",'Twenty-Ninth'!D164)</f>
        <v/>
      </c>
      <c r="E7161" s="66" t="str">
        <f>IF('Twenty-Ninth'!E164="", "",'Twenty-Ninth'!E164)</f>
        <v/>
      </c>
      <c r="F7161" s="66" t="str">
        <f>IF('Twenty-Ninth'!F164="", "",'Twenty-Ninth'!F164)</f>
        <v/>
      </c>
      <c r="G7161" s="66" t="str">
        <f>IF('Twenty-Ninth'!G164="", "",'Twenty-Ninth'!G164)</f>
        <v/>
      </c>
      <c r="H7161" s="66" t="str">
        <f>IF('Twenty-Ninth'!H164="", "",'Twenty-Ninth'!H164)</f>
        <v/>
      </c>
      <c r="I7161" s="66" t="str">
        <f>IF('Twenty-Ninth'!I164="", "",'Twenty-Ninth'!I164)</f>
        <v/>
      </c>
      <c r="J7161" s="66" t="str">
        <f>IF('Twenty-Ninth'!J164="", "",'Twenty-Ninth'!J164)</f>
        <v/>
      </c>
      <c r="K7161" s="86" t="str">
        <f>IF('Twenty-Ninth'!K164="", "",'Twenty-Ninth'!K164)</f>
        <v/>
      </c>
      <c r="M7161" s="67" t="str">
        <f t="shared" si="338"/>
        <v/>
      </c>
      <c r="N7161" s="76" t="str">
        <f t="shared" si="339"/>
        <v/>
      </c>
      <c r="O7161" s="33">
        <f t="shared" si="340"/>
        <v>0</v>
      </c>
    </row>
    <row r="7162" spans="1:15" x14ac:dyDescent="0.25">
      <c r="A7162" s="64" t="s">
        <v>226</v>
      </c>
      <c r="B7162" s="79" t="str">
        <f>IF('Twenty-Ninth'!B165="", "",'Twenty-Ninth'!B165)</f>
        <v/>
      </c>
      <c r="C7162" s="66" t="str">
        <f>IF('Twenty-Ninth'!C165="", "",'Twenty-Ninth'!C165)</f>
        <v/>
      </c>
      <c r="D7162" s="66" t="str">
        <f>IF('Twenty-Ninth'!D165="", "",'Twenty-Ninth'!D165)</f>
        <v/>
      </c>
      <c r="E7162" s="66" t="str">
        <f>IF('Twenty-Ninth'!E165="", "",'Twenty-Ninth'!E165)</f>
        <v/>
      </c>
      <c r="F7162" s="66" t="str">
        <f>IF('Twenty-Ninth'!F165="", "",'Twenty-Ninth'!F165)</f>
        <v/>
      </c>
      <c r="G7162" s="66" t="str">
        <f>IF('Twenty-Ninth'!G165="", "",'Twenty-Ninth'!G165)</f>
        <v/>
      </c>
      <c r="H7162" s="66" t="str">
        <f>IF('Twenty-Ninth'!H165="", "",'Twenty-Ninth'!H165)</f>
        <v/>
      </c>
      <c r="I7162" s="66" t="str">
        <f>IF('Twenty-Ninth'!I165="", "",'Twenty-Ninth'!I165)</f>
        <v/>
      </c>
      <c r="J7162" s="66" t="str">
        <f>IF('Twenty-Ninth'!J165="", "",'Twenty-Ninth'!J165)</f>
        <v/>
      </c>
      <c r="K7162" s="86" t="str">
        <f>IF('Twenty-Ninth'!K165="", "",'Twenty-Ninth'!K165)</f>
        <v/>
      </c>
      <c r="M7162" s="67" t="str">
        <f t="shared" si="338"/>
        <v/>
      </c>
      <c r="N7162" s="76" t="str">
        <f t="shared" si="339"/>
        <v/>
      </c>
      <c r="O7162" s="33">
        <f t="shared" si="340"/>
        <v>0</v>
      </c>
    </row>
    <row r="7163" spans="1:15" x14ac:dyDescent="0.25">
      <c r="A7163" s="64" t="s">
        <v>226</v>
      </c>
      <c r="B7163" s="79" t="str">
        <f>IF('Twenty-Ninth'!B166="", "",'Twenty-Ninth'!B166)</f>
        <v/>
      </c>
      <c r="C7163" s="66" t="str">
        <f>IF('Twenty-Ninth'!C166="", "",'Twenty-Ninth'!C166)</f>
        <v/>
      </c>
      <c r="D7163" s="66" t="str">
        <f>IF('Twenty-Ninth'!D166="", "",'Twenty-Ninth'!D166)</f>
        <v/>
      </c>
      <c r="E7163" s="66" t="str">
        <f>IF('Twenty-Ninth'!E166="", "",'Twenty-Ninth'!E166)</f>
        <v/>
      </c>
      <c r="F7163" s="66" t="str">
        <f>IF('Twenty-Ninth'!F166="", "",'Twenty-Ninth'!F166)</f>
        <v/>
      </c>
      <c r="G7163" s="66" t="str">
        <f>IF('Twenty-Ninth'!G166="", "",'Twenty-Ninth'!G166)</f>
        <v/>
      </c>
      <c r="H7163" s="66" t="str">
        <f>IF('Twenty-Ninth'!H166="", "",'Twenty-Ninth'!H166)</f>
        <v/>
      </c>
      <c r="I7163" s="66" t="str">
        <f>IF('Twenty-Ninth'!I166="", "",'Twenty-Ninth'!I166)</f>
        <v/>
      </c>
      <c r="J7163" s="66" t="str">
        <f>IF('Twenty-Ninth'!J166="", "",'Twenty-Ninth'!J166)</f>
        <v/>
      </c>
      <c r="K7163" s="86" t="str">
        <f>IF('Twenty-Ninth'!K166="", "",'Twenty-Ninth'!K166)</f>
        <v/>
      </c>
      <c r="M7163" s="67" t="str">
        <f t="shared" si="338"/>
        <v/>
      </c>
      <c r="N7163" s="76" t="str">
        <f t="shared" si="339"/>
        <v/>
      </c>
      <c r="O7163" s="33">
        <f t="shared" si="340"/>
        <v>0</v>
      </c>
    </row>
    <row r="7164" spans="1:15" x14ac:dyDescent="0.25">
      <c r="A7164" s="64" t="s">
        <v>226</v>
      </c>
      <c r="B7164" s="79" t="str">
        <f>IF('Twenty-Ninth'!B167="", "",'Twenty-Ninth'!B167)</f>
        <v/>
      </c>
      <c r="C7164" s="66" t="str">
        <f>IF('Twenty-Ninth'!C167="", "",'Twenty-Ninth'!C167)</f>
        <v/>
      </c>
      <c r="D7164" s="66" t="str">
        <f>IF('Twenty-Ninth'!D167="", "",'Twenty-Ninth'!D167)</f>
        <v/>
      </c>
      <c r="E7164" s="66" t="str">
        <f>IF('Twenty-Ninth'!E167="", "",'Twenty-Ninth'!E167)</f>
        <v/>
      </c>
      <c r="F7164" s="66" t="str">
        <f>IF('Twenty-Ninth'!F167="", "",'Twenty-Ninth'!F167)</f>
        <v/>
      </c>
      <c r="G7164" s="66" t="str">
        <f>IF('Twenty-Ninth'!G167="", "",'Twenty-Ninth'!G167)</f>
        <v/>
      </c>
      <c r="H7164" s="66" t="str">
        <f>IF('Twenty-Ninth'!H167="", "",'Twenty-Ninth'!H167)</f>
        <v/>
      </c>
      <c r="I7164" s="66" t="str">
        <f>IF('Twenty-Ninth'!I167="", "",'Twenty-Ninth'!I167)</f>
        <v/>
      </c>
      <c r="J7164" s="66" t="str">
        <f>IF('Twenty-Ninth'!J167="", "",'Twenty-Ninth'!J167)</f>
        <v/>
      </c>
      <c r="K7164" s="86" t="str">
        <f>IF('Twenty-Ninth'!K167="", "",'Twenty-Ninth'!K167)</f>
        <v/>
      </c>
      <c r="M7164" s="67" t="str">
        <f t="shared" si="338"/>
        <v/>
      </c>
      <c r="N7164" s="76" t="str">
        <f t="shared" si="339"/>
        <v/>
      </c>
      <c r="O7164" s="33">
        <f t="shared" si="340"/>
        <v>0</v>
      </c>
    </row>
    <row r="7165" spans="1:15" x14ac:dyDescent="0.25">
      <c r="A7165" s="64" t="s">
        <v>226</v>
      </c>
      <c r="B7165" s="79" t="str">
        <f>IF('Twenty-Ninth'!B168="", "",'Twenty-Ninth'!B168)</f>
        <v/>
      </c>
      <c r="C7165" s="66" t="str">
        <f>IF('Twenty-Ninth'!C168="", "",'Twenty-Ninth'!C168)</f>
        <v/>
      </c>
      <c r="D7165" s="66" t="str">
        <f>IF('Twenty-Ninth'!D168="", "",'Twenty-Ninth'!D168)</f>
        <v/>
      </c>
      <c r="E7165" s="66" t="str">
        <f>IF('Twenty-Ninth'!E168="", "",'Twenty-Ninth'!E168)</f>
        <v/>
      </c>
      <c r="F7165" s="66" t="str">
        <f>IF('Twenty-Ninth'!F168="", "",'Twenty-Ninth'!F168)</f>
        <v/>
      </c>
      <c r="G7165" s="66" t="str">
        <f>IF('Twenty-Ninth'!G168="", "",'Twenty-Ninth'!G168)</f>
        <v/>
      </c>
      <c r="H7165" s="66" t="str">
        <f>IF('Twenty-Ninth'!H168="", "",'Twenty-Ninth'!H168)</f>
        <v/>
      </c>
      <c r="I7165" s="66" t="str">
        <f>IF('Twenty-Ninth'!I168="", "",'Twenty-Ninth'!I168)</f>
        <v/>
      </c>
      <c r="J7165" s="66" t="str">
        <f>IF('Twenty-Ninth'!J168="", "",'Twenty-Ninth'!J168)</f>
        <v/>
      </c>
      <c r="K7165" s="86" t="str">
        <f>IF('Twenty-Ninth'!K168="", "",'Twenty-Ninth'!K168)</f>
        <v/>
      </c>
      <c r="M7165" s="67" t="str">
        <f t="shared" si="338"/>
        <v/>
      </c>
      <c r="N7165" s="76" t="str">
        <f t="shared" si="339"/>
        <v/>
      </c>
      <c r="O7165" s="33">
        <f t="shared" si="340"/>
        <v>0</v>
      </c>
    </row>
    <row r="7166" spans="1:15" x14ac:dyDescent="0.25">
      <c r="A7166" s="64" t="s">
        <v>226</v>
      </c>
      <c r="B7166" s="79" t="str">
        <f>IF('Twenty-Ninth'!B169="", "",'Twenty-Ninth'!B169)</f>
        <v/>
      </c>
      <c r="C7166" s="66" t="str">
        <f>IF('Twenty-Ninth'!C169="", "",'Twenty-Ninth'!C169)</f>
        <v/>
      </c>
      <c r="D7166" s="66" t="str">
        <f>IF('Twenty-Ninth'!D169="", "",'Twenty-Ninth'!D169)</f>
        <v/>
      </c>
      <c r="E7166" s="66" t="str">
        <f>IF('Twenty-Ninth'!E169="", "",'Twenty-Ninth'!E169)</f>
        <v/>
      </c>
      <c r="F7166" s="66" t="str">
        <f>IF('Twenty-Ninth'!F169="", "",'Twenty-Ninth'!F169)</f>
        <v/>
      </c>
      <c r="G7166" s="66" t="str">
        <f>IF('Twenty-Ninth'!G169="", "",'Twenty-Ninth'!G169)</f>
        <v/>
      </c>
      <c r="H7166" s="66" t="str">
        <f>IF('Twenty-Ninth'!H169="", "",'Twenty-Ninth'!H169)</f>
        <v/>
      </c>
      <c r="I7166" s="66" t="str">
        <f>IF('Twenty-Ninth'!I169="", "",'Twenty-Ninth'!I169)</f>
        <v/>
      </c>
      <c r="J7166" s="66" t="str">
        <f>IF('Twenty-Ninth'!J169="", "",'Twenty-Ninth'!J169)</f>
        <v/>
      </c>
      <c r="K7166" s="86" t="str">
        <f>IF('Twenty-Ninth'!K169="", "",'Twenty-Ninth'!K169)</f>
        <v/>
      </c>
      <c r="M7166" s="67" t="str">
        <f t="shared" si="338"/>
        <v/>
      </c>
      <c r="N7166" s="76" t="str">
        <f t="shared" si="339"/>
        <v/>
      </c>
      <c r="O7166" s="33">
        <f t="shared" si="340"/>
        <v>0</v>
      </c>
    </row>
    <row r="7167" spans="1:15" x14ac:dyDescent="0.25">
      <c r="A7167" s="64" t="s">
        <v>226</v>
      </c>
      <c r="B7167" s="79" t="str">
        <f>IF('Twenty-Ninth'!B170="", "",'Twenty-Ninth'!B170)</f>
        <v/>
      </c>
      <c r="C7167" s="66" t="str">
        <f>IF('Twenty-Ninth'!C170="", "",'Twenty-Ninth'!C170)</f>
        <v/>
      </c>
      <c r="D7167" s="66" t="str">
        <f>IF('Twenty-Ninth'!D170="", "",'Twenty-Ninth'!D170)</f>
        <v/>
      </c>
      <c r="E7167" s="66" t="str">
        <f>IF('Twenty-Ninth'!E170="", "",'Twenty-Ninth'!E170)</f>
        <v/>
      </c>
      <c r="F7167" s="66" t="str">
        <f>IF('Twenty-Ninth'!F170="", "",'Twenty-Ninth'!F170)</f>
        <v/>
      </c>
      <c r="G7167" s="66" t="str">
        <f>IF('Twenty-Ninth'!G170="", "",'Twenty-Ninth'!G170)</f>
        <v/>
      </c>
      <c r="H7167" s="66" t="str">
        <f>IF('Twenty-Ninth'!H170="", "",'Twenty-Ninth'!H170)</f>
        <v/>
      </c>
      <c r="I7167" s="66" t="str">
        <f>IF('Twenty-Ninth'!I170="", "",'Twenty-Ninth'!I170)</f>
        <v/>
      </c>
      <c r="J7167" s="66" t="str">
        <f>IF('Twenty-Ninth'!J170="", "",'Twenty-Ninth'!J170)</f>
        <v/>
      </c>
      <c r="K7167" s="86" t="str">
        <f>IF('Twenty-Ninth'!K170="", "",'Twenty-Ninth'!K170)</f>
        <v/>
      </c>
      <c r="M7167" s="67" t="str">
        <f t="shared" ref="M7167:M7230" si="341">IF(C7167="PwC",(7-COUNTIF(B7167:H7167,"")),"")</f>
        <v/>
      </c>
      <c r="N7167" s="76" t="str">
        <f t="shared" ref="N7167:N7230" si="342">IF(C7167="Carer",(7-COUNTIF(B7167:H7167,"")),"")</f>
        <v/>
      </c>
      <c r="O7167" s="33">
        <f t="shared" si="340"/>
        <v>0</v>
      </c>
    </row>
    <row r="7168" spans="1:15" x14ac:dyDescent="0.25">
      <c r="A7168" s="64" t="s">
        <v>226</v>
      </c>
      <c r="B7168" s="79" t="str">
        <f>IF('Twenty-Ninth'!B171="", "",'Twenty-Ninth'!B171)</f>
        <v/>
      </c>
      <c r="C7168" s="66" t="str">
        <f>IF('Twenty-Ninth'!C171="", "",'Twenty-Ninth'!C171)</f>
        <v/>
      </c>
      <c r="D7168" s="66" t="str">
        <f>IF('Twenty-Ninth'!D171="", "",'Twenty-Ninth'!D171)</f>
        <v/>
      </c>
      <c r="E7168" s="66" t="str">
        <f>IF('Twenty-Ninth'!E171="", "",'Twenty-Ninth'!E171)</f>
        <v/>
      </c>
      <c r="F7168" s="66" t="str">
        <f>IF('Twenty-Ninth'!F171="", "",'Twenty-Ninth'!F171)</f>
        <v/>
      </c>
      <c r="G7168" s="66" t="str">
        <f>IF('Twenty-Ninth'!G171="", "",'Twenty-Ninth'!G171)</f>
        <v/>
      </c>
      <c r="H7168" s="66" t="str">
        <f>IF('Twenty-Ninth'!H171="", "",'Twenty-Ninth'!H171)</f>
        <v/>
      </c>
      <c r="I7168" s="66" t="str">
        <f>IF('Twenty-Ninth'!I171="", "",'Twenty-Ninth'!I171)</f>
        <v/>
      </c>
      <c r="J7168" s="66" t="str">
        <f>IF('Twenty-Ninth'!J171="", "",'Twenty-Ninth'!J171)</f>
        <v/>
      </c>
      <c r="K7168" s="86" t="str">
        <f>IF('Twenty-Ninth'!K171="", "",'Twenty-Ninth'!K171)</f>
        <v/>
      </c>
      <c r="M7168" s="67" t="str">
        <f t="shared" si="341"/>
        <v/>
      </c>
      <c r="N7168" s="76" t="str">
        <f t="shared" si="342"/>
        <v/>
      </c>
      <c r="O7168" s="33">
        <f t="shared" si="340"/>
        <v>0</v>
      </c>
    </row>
    <row r="7169" spans="1:15" x14ac:dyDescent="0.25">
      <c r="A7169" s="64" t="s">
        <v>226</v>
      </c>
      <c r="B7169" s="79" t="str">
        <f>IF('Twenty-Ninth'!B172="", "",'Twenty-Ninth'!B172)</f>
        <v/>
      </c>
      <c r="C7169" s="66" t="str">
        <f>IF('Twenty-Ninth'!C172="", "",'Twenty-Ninth'!C172)</f>
        <v/>
      </c>
      <c r="D7169" s="66" t="str">
        <f>IF('Twenty-Ninth'!D172="", "",'Twenty-Ninth'!D172)</f>
        <v/>
      </c>
      <c r="E7169" s="66" t="str">
        <f>IF('Twenty-Ninth'!E172="", "",'Twenty-Ninth'!E172)</f>
        <v/>
      </c>
      <c r="F7169" s="66" t="str">
        <f>IF('Twenty-Ninth'!F172="", "",'Twenty-Ninth'!F172)</f>
        <v/>
      </c>
      <c r="G7169" s="66" t="str">
        <f>IF('Twenty-Ninth'!G172="", "",'Twenty-Ninth'!G172)</f>
        <v/>
      </c>
      <c r="H7169" s="66" t="str">
        <f>IF('Twenty-Ninth'!H172="", "",'Twenty-Ninth'!H172)</f>
        <v/>
      </c>
      <c r="I7169" s="66" t="str">
        <f>IF('Twenty-Ninth'!I172="", "",'Twenty-Ninth'!I172)</f>
        <v/>
      </c>
      <c r="J7169" s="66" t="str">
        <f>IF('Twenty-Ninth'!J172="", "",'Twenty-Ninth'!J172)</f>
        <v/>
      </c>
      <c r="K7169" s="86" t="str">
        <f>IF('Twenty-Ninth'!K172="", "",'Twenty-Ninth'!K172)</f>
        <v/>
      </c>
      <c r="M7169" s="67" t="str">
        <f t="shared" si="341"/>
        <v/>
      </c>
      <c r="N7169" s="76" t="str">
        <f t="shared" si="342"/>
        <v/>
      </c>
      <c r="O7169" s="33">
        <f t="shared" si="340"/>
        <v>0</v>
      </c>
    </row>
    <row r="7170" spans="1:15" x14ac:dyDescent="0.25">
      <c r="A7170" s="64" t="s">
        <v>226</v>
      </c>
      <c r="B7170" s="79" t="str">
        <f>IF('Twenty-Ninth'!B173="", "",'Twenty-Ninth'!B173)</f>
        <v/>
      </c>
      <c r="C7170" s="66" t="str">
        <f>IF('Twenty-Ninth'!C173="", "",'Twenty-Ninth'!C173)</f>
        <v/>
      </c>
      <c r="D7170" s="66" t="str">
        <f>IF('Twenty-Ninth'!D173="", "",'Twenty-Ninth'!D173)</f>
        <v/>
      </c>
      <c r="E7170" s="66" t="str">
        <f>IF('Twenty-Ninth'!E173="", "",'Twenty-Ninth'!E173)</f>
        <v/>
      </c>
      <c r="F7170" s="66" t="str">
        <f>IF('Twenty-Ninth'!F173="", "",'Twenty-Ninth'!F173)</f>
        <v/>
      </c>
      <c r="G7170" s="66" t="str">
        <f>IF('Twenty-Ninth'!G173="", "",'Twenty-Ninth'!G173)</f>
        <v/>
      </c>
      <c r="H7170" s="66" t="str">
        <f>IF('Twenty-Ninth'!H173="", "",'Twenty-Ninth'!H173)</f>
        <v/>
      </c>
      <c r="I7170" s="66" t="str">
        <f>IF('Twenty-Ninth'!I173="", "",'Twenty-Ninth'!I173)</f>
        <v/>
      </c>
      <c r="J7170" s="66" t="str">
        <f>IF('Twenty-Ninth'!J173="", "",'Twenty-Ninth'!J173)</f>
        <v/>
      </c>
      <c r="K7170" s="86" t="str">
        <f>IF('Twenty-Ninth'!K173="", "",'Twenty-Ninth'!K173)</f>
        <v/>
      </c>
      <c r="M7170" s="67" t="str">
        <f t="shared" si="341"/>
        <v/>
      </c>
      <c r="N7170" s="76" t="str">
        <f t="shared" si="342"/>
        <v/>
      </c>
      <c r="O7170" s="33">
        <f t="shared" si="340"/>
        <v>0</v>
      </c>
    </row>
    <row r="7171" spans="1:15" x14ac:dyDescent="0.25">
      <c r="A7171" s="64" t="s">
        <v>226</v>
      </c>
      <c r="B7171" s="79" t="str">
        <f>IF('Twenty-Ninth'!B174="", "",'Twenty-Ninth'!B174)</f>
        <v/>
      </c>
      <c r="C7171" s="66" t="str">
        <f>IF('Twenty-Ninth'!C174="", "",'Twenty-Ninth'!C174)</f>
        <v/>
      </c>
      <c r="D7171" s="66" t="str">
        <f>IF('Twenty-Ninth'!D174="", "",'Twenty-Ninth'!D174)</f>
        <v/>
      </c>
      <c r="E7171" s="66" t="str">
        <f>IF('Twenty-Ninth'!E174="", "",'Twenty-Ninth'!E174)</f>
        <v/>
      </c>
      <c r="F7171" s="66" t="str">
        <f>IF('Twenty-Ninth'!F174="", "",'Twenty-Ninth'!F174)</f>
        <v/>
      </c>
      <c r="G7171" s="66" t="str">
        <f>IF('Twenty-Ninth'!G174="", "",'Twenty-Ninth'!G174)</f>
        <v/>
      </c>
      <c r="H7171" s="66" t="str">
        <f>IF('Twenty-Ninth'!H174="", "",'Twenty-Ninth'!H174)</f>
        <v/>
      </c>
      <c r="I7171" s="66" t="str">
        <f>IF('Twenty-Ninth'!I174="", "",'Twenty-Ninth'!I174)</f>
        <v/>
      </c>
      <c r="J7171" s="66" t="str">
        <f>IF('Twenty-Ninth'!J174="", "",'Twenty-Ninth'!J174)</f>
        <v/>
      </c>
      <c r="K7171" s="86" t="str">
        <f>IF('Twenty-Ninth'!K174="", "",'Twenty-Ninth'!K174)</f>
        <v/>
      </c>
      <c r="M7171" s="67" t="str">
        <f t="shared" si="341"/>
        <v/>
      </c>
      <c r="N7171" s="76" t="str">
        <f t="shared" si="342"/>
        <v/>
      </c>
      <c r="O7171" s="33">
        <f t="shared" si="340"/>
        <v>0</v>
      </c>
    </row>
    <row r="7172" spans="1:15" x14ac:dyDescent="0.25">
      <c r="A7172" s="64" t="s">
        <v>226</v>
      </c>
      <c r="B7172" s="79" t="str">
        <f>IF('Twenty-Ninth'!B175="", "",'Twenty-Ninth'!B175)</f>
        <v/>
      </c>
      <c r="C7172" s="66" t="str">
        <f>IF('Twenty-Ninth'!C175="", "",'Twenty-Ninth'!C175)</f>
        <v/>
      </c>
      <c r="D7172" s="66" t="str">
        <f>IF('Twenty-Ninth'!D175="", "",'Twenty-Ninth'!D175)</f>
        <v/>
      </c>
      <c r="E7172" s="66" t="str">
        <f>IF('Twenty-Ninth'!E175="", "",'Twenty-Ninth'!E175)</f>
        <v/>
      </c>
      <c r="F7172" s="66" t="str">
        <f>IF('Twenty-Ninth'!F175="", "",'Twenty-Ninth'!F175)</f>
        <v/>
      </c>
      <c r="G7172" s="66" t="str">
        <f>IF('Twenty-Ninth'!G175="", "",'Twenty-Ninth'!G175)</f>
        <v/>
      </c>
      <c r="H7172" s="66" t="str">
        <f>IF('Twenty-Ninth'!H175="", "",'Twenty-Ninth'!H175)</f>
        <v/>
      </c>
      <c r="I7172" s="66" t="str">
        <f>IF('Twenty-Ninth'!I175="", "",'Twenty-Ninth'!I175)</f>
        <v/>
      </c>
      <c r="J7172" s="66" t="str">
        <f>IF('Twenty-Ninth'!J175="", "",'Twenty-Ninth'!J175)</f>
        <v/>
      </c>
      <c r="K7172" s="86" t="str">
        <f>IF('Twenty-Ninth'!K175="", "",'Twenty-Ninth'!K175)</f>
        <v/>
      </c>
      <c r="M7172" s="67" t="str">
        <f t="shared" si="341"/>
        <v/>
      </c>
      <c r="N7172" s="76" t="str">
        <f t="shared" si="342"/>
        <v/>
      </c>
      <c r="O7172" s="33">
        <f t="shared" si="340"/>
        <v>0</v>
      </c>
    </row>
    <row r="7173" spans="1:15" x14ac:dyDescent="0.25">
      <c r="A7173" s="64" t="s">
        <v>226</v>
      </c>
      <c r="B7173" s="79" t="str">
        <f>IF('Twenty-Ninth'!B176="", "",'Twenty-Ninth'!B176)</f>
        <v/>
      </c>
      <c r="C7173" s="66" t="str">
        <f>IF('Twenty-Ninth'!C176="", "",'Twenty-Ninth'!C176)</f>
        <v/>
      </c>
      <c r="D7173" s="66" t="str">
        <f>IF('Twenty-Ninth'!D176="", "",'Twenty-Ninth'!D176)</f>
        <v/>
      </c>
      <c r="E7173" s="66" t="str">
        <f>IF('Twenty-Ninth'!E176="", "",'Twenty-Ninth'!E176)</f>
        <v/>
      </c>
      <c r="F7173" s="66" t="str">
        <f>IF('Twenty-Ninth'!F176="", "",'Twenty-Ninth'!F176)</f>
        <v/>
      </c>
      <c r="G7173" s="66" t="str">
        <f>IF('Twenty-Ninth'!G176="", "",'Twenty-Ninth'!G176)</f>
        <v/>
      </c>
      <c r="H7173" s="66" t="str">
        <f>IF('Twenty-Ninth'!H176="", "",'Twenty-Ninth'!H176)</f>
        <v/>
      </c>
      <c r="I7173" s="66" t="str">
        <f>IF('Twenty-Ninth'!I176="", "",'Twenty-Ninth'!I176)</f>
        <v/>
      </c>
      <c r="J7173" s="66" t="str">
        <f>IF('Twenty-Ninth'!J176="", "",'Twenty-Ninth'!J176)</f>
        <v/>
      </c>
      <c r="K7173" s="86" t="str">
        <f>IF('Twenty-Ninth'!K176="", "",'Twenty-Ninth'!K176)</f>
        <v/>
      </c>
      <c r="M7173" s="67" t="str">
        <f t="shared" si="341"/>
        <v/>
      </c>
      <c r="N7173" s="76" t="str">
        <f t="shared" si="342"/>
        <v/>
      </c>
      <c r="O7173" s="33">
        <f t="shared" si="340"/>
        <v>0</v>
      </c>
    </row>
    <row r="7174" spans="1:15" x14ac:dyDescent="0.25">
      <c r="A7174" s="64" t="s">
        <v>226</v>
      </c>
      <c r="B7174" s="79" t="str">
        <f>IF('Twenty-Ninth'!B177="", "",'Twenty-Ninth'!B177)</f>
        <v/>
      </c>
      <c r="C7174" s="66" t="str">
        <f>IF('Twenty-Ninth'!C177="", "",'Twenty-Ninth'!C177)</f>
        <v/>
      </c>
      <c r="D7174" s="66" t="str">
        <f>IF('Twenty-Ninth'!D177="", "",'Twenty-Ninth'!D177)</f>
        <v/>
      </c>
      <c r="E7174" s="66" t="str">
        <f>IF('Twenty-Ninth'!E177="", "",'Twenty-Ninth'!E177)</f>
        <v/>
      </c>
      <c r="F7174" s="66" t="str">
        <f>IF('Twenty-Ninth'!F177="", "",'Twenty-Ninth'!F177)</f>
        <v/>
      </c>
      <c r="G7174" s="66" t="str">
        <f>IF('Twenty-Ninth'!G177="", "",'Twenty-Ninth'!G177)</f>
        <v/>
      </c>
      <c r="H7174" s="66" t="str">
        <f>IF('Twenty-Ninth'!H177="", "",'Twenty-Ninth'!H177)</f>
        <v/>
      </c>
      <c r="I7174" s="66" t="str">
        <f>IF('Twenty-Ninth'!I177="", "",'Twenty-Ninth'!I177)</f>
        <v/>
      </c>
      <c r="J7174" s="66" t="str">
        <f>IF('Twenty-Ninth'!J177="", "",'Twenty-Ninth'!J177)</f>
        <v/>
      </c>
      <c r="K7174" s="86" t="str">
        <f>IF('Twenty-Ninth'!K177="", "",'Twenty-Ninth'!K177)</f>
        <v/>
      </c>
      <c r="M7174" s="67" t="str">
        <f t="shared" si="341"/>
        <v/>
      </c>
      <c r="N7174" s="76" t="str">
        <f t="shared" si="342"/>
        <v/>
      </c>
      <c r="O7174" s="33">
        <f t="shared" si="340"/>
        <v>0</v>
      </c>
    </row>
    <row r="7175" spans="1:15" x14ac:dyDescent="0.25">
      <c r="A7175" s="64" t="s">
        <v>226</v>
      </c>
      <c r="B7175" s="79" t="str">
        <f>IF('Twenty-Ninth'!B178="", "",'Twenty-Ninth'!B178)</f>
        <v/>
      </c>
      <c r="C7175" s="66" t="str">
        <f>IF('Twenty-Ninth'!C178="", "",'Twenty-Ninth'!C178)</f>
        <v/>
      </c>
      <c r="D7175" s="66" t="str">
        <f>IF('Twenty-Ninth'!D178="", "",'Twenty-Ninth'!D178)</f>
        <v/>
      </c>
      <c r="E7175" s="66" t="str">
        <f>IF('Twenty-Ninth'!E178="", "",'Twenty-Ninth'!E178)</f>
        <v/>
      </c>
      <c r="F7175" s="66" t="str">
        <f>IF('Twenty-Ninth'!F178="", "",'Twenty-Ninth'!F178)</f>
        <v/>
      </c>
      <c r="G7175" s="66" t="str">
        <f>IF('Twenty-Ninth'!G178="", "",'Twenty-Ninth'!G178)</f>
        <v/>
      </c>
      <c r="H7175" s="66" t="str">
        <f>IF('Twenty-Ninth'!H178="", "",'Twenty-Ninth'!H178)</f>
        <v/>
      </c>
      <c r="I7175" s="66" t="str">
        <f>IF('Twenty-Ninth'!I178="", "",'Twenty-Ninth'!I178)</f>
        <v/>
      </c>
      <c r="J7175" s="66" t="str">
        <f>IF('Twenty-Ninth'!J178="", "",'Twenty-Ninth'!J178)</f>
        <v/>
      </c>
      <c r="K7175" s="86" t="str">
        <f>IF('Twenty-Ninth'!K178="", "",'Twenty-Ninth'!K178)</f>
        <v/>
      </c>
      <c r="M7175" s="67" t="str">
        <f t="shared" si="341"/>
        <v/>
      </c>
      <c r="N7175" s="76" t="str">
        <f t="shared" si="342"/>
        <v/>
      </c>
      <c r="O7175" s="33">
        <f t="shared" si="340"/>
        <v>0</v>
      </c>
    </row>
    <row r="7176" spans="1:15" x14ac:dyDescent="0.25">
      <c r="A7176" s="64" t="s">
        <v>226</v>
      </c>
      <c r="B7176" s="79" t="str">
        <f>IF('Twenty-Ninth'!B179="", "",'Twenty-Ninth'!B179)</f>
        <v/>
      </c>
      <c r="C7176" s="66" t="str">
        <f>IF('Twenty-Ninth'!C179="", "",'Twenty-Ninth'!C179)</f>
        <v/>
      </c>
      <c r="D7176" s="66" t="str">
        <f>IF('Twenty-Ninth'!D179="", "",'Twenty-Ninth'!D179)</f>
        <v/>
      </c>
      <c r="E7176" s="66" t="str">
        <f>IF('Twenty-Ninth'!E179="", "",'Twenty-Ninth'!E179)</f>
        <v/>
      </c>
      <c r="F7176" s="66" t="str">
        <f>IF('Twenty-Ninth'!F179="", "",'Twenty-Ninth'!F179)</f>
        <v/>
      </c>
      <c r="G7176" s="66" t="str">
        <f>IF('Twenty-Ninth'!G179="", "",'Twenty-Ninth'!G179)</f>
        <v/>
      </c>
      <c r="H7176" s="66" t="str">
        <f>IF('Twenty-Ninth'!H179="", "",'Twenty-Ninth'!H179)</f>
        <v/>
      </c>
      <c r="I7176" s="66" t="str">
        <f>IF('Twenty-Ninth'!I179="", "",'Twenty-Ninth'!I179)</f>
        <v/>
      </c>
      <c r="J7176" s="66" t="str">
        <f>IF('Twenty-Ninth'!J179="", "",'Twenty-Ninth'!J179)</f>
        <v/>
      </c>
      <c r="K7176" s="86" t="str">
        <f>IF('Twenty-Ninth'!K179="", "",'Twenty-Ninth'!K179)</f>
        <v/>
      </c>
      <c r="M7176" s="67" t="str">
        <f t="shared" si="341"/>
        <v/>
      </c>
      <c r="N7176" s="76" t="str">
        <f t="shared" si="342"/>
        <v/>
      </c>
      <c r="O7176" s="33">
        <f t="shared" si="340"/>
        <v>0</v>
      </c>
    </row>
    <row r="7177" spans="1:15" x14ac:dyDescent="0.25">
      <c r="A7177" s="64" t="s">
        <v>226</v>
      </c>
      <c r="B7177" s="79" t="str">
        <f>IF('Twenty-Ninth'!B180="", "",'Twenty-Ninth'!B180)</f>
        <v/>
      </c>
      <c r="C7177" s="66" t="str">
        <f>IF('Twenty-Ninth'!C180="", "",'Twenty-Ninth'!C180)</f>
        <v/>
      </c>
      <c r="D7177" s="66" t="str">
        <f>IF('Twenty-Ninth'!D180="", "",'Twenty-Ninth'!D180)</f>
        <v/>
      </c>
      <c r="E7177" s="66" t="str">
        <f>IF('Twenty-Ninth'!E180="", "",'Twenty-Ninth'!E180)</f>
        <v/>
      </c>
      <c r="F7177" s="66" t="str">
        <f>IF('Twenty-Ninth'!F180="", "",'Twenty-Ninth'!F180)</f>
        <v/>
      </c>
      <c r="G7177" s="66" t="str">
        <f>IF('Twenty-Ninth'!G180="", "",'Twenty-Ninth'!G180)</f>
        <v/>
      </c>
      <c r="H7177" s="66" t="str">
        <f>IF('Twenty-Ninth'!H180="", "",'Twenty-Ninth'!H180)</f>
        <v/>
      </c>
      <c r="I7177" s="66" t="str">
        <f>IF('Twenty-Ninth'!I180="", "",'Twenty-Ninth'!I180)</f>
        <v/>
      </c>
      <c r="J7177" s="66" t="str">
        <f>IF('Twenty-Ninth'!J180="", "",'Twenty-Ninth'!J180)</f>
        <v/>
      </c>
      <c r="K7177" s="86" t="str">
        <f>IF('Twenty-Ninth'!K180="", "",'Twenty-Ninth'!K180)</f>
        <v/>
      </c>
      <c r="M7177" s="67" t="str">
        <f t="shared" si="341"/>
        <v/>
      </c>
      <c r="N7177" s="76" t="str">
        <f t="shared" si="342"/>
        <v/>
      </c>
      <c r="O7177" s="33">
        <f t="shared" si="340"/>
        <v>0</v>
      </c>
    </row>
    <row r="7178" spans="1:15" x14ac:dyDescent="0.25">
      <c r="A7178" s="64" t="s">
        <v>226</v>
      </c>
      <c r="B7178" s="79" t="str">
        <f>IF('Twenty-Ninth'!B181="", "",'Twenty-Ninth'!B181)</f>
        <v/>
      </c>
      <c r="C7178" s="66" t="str">
        <f>IF('Twenty-Ninth'!C181="", "",'Twenty-Ninth'!C181)</f>
        <v/>
      </c>
      <c r="D7178" s="66" t="str">
        <f>IF('Twenty-Ninth'!D181="", "",'Twenty-Ninth'!D181)</f>
        <v/>
      </c>
      <c r="E7178" s="66" t="str">
        <f>IF('Twenty-Ninth'!E181="", "",'Twenty-Ninth'!E181)</f>
        <v/>
      </c>
      <c r="F7178" s="66" t="str">
        <f>IF('Twenty-Ninth'!F181="", "",'Twenty-Ninth'!F181)</f>
        <v/>
      </c>
      <c r="G7178" s="66" t="str">
        <f>IF('Twenty-Ninth'!G181="", "",'Twenty-Ninth'!G181)</f>
        <v/>
      </c>
      <c r="H7178" s="66" t="str">
        <f>IF('Twenty-Ninth'!H181="", "",'Twenty-Ninth'!H181)</f>
        <v/>
      </c>
      <c r="I7178" s="66" t="str">
        <f>IF('Twenty-Ninth'!I181="", "",'Twenty-Ninth'!I181)</f>
        <v/>
      </c>
      <c r="J7178" s="66" t="str">
        <f>IF('Twenty-Ninth'!J181="", "",'Twenty-Ninth'!J181)</f>
        <v/>
      </c>
      <c r="K7178" s="86" t="str">
        <f>IF('Twenty-Ninth'!K181="", "",'Twenty-Ninth'!K181)</f>
        <v/>
      </c>
      <c r="M7178" s="67" t="str">
        <f t="shared" si="341"/>
        <v/>
      </c>
      <c r="N7178" s="76" t="str">
        <f t="shared" si="342"/>
        <v/>
      </c>
      <c r="O7178" s="33">
        <f t="shared" ref="O7178:O7241" si="343">SUM(M7178:N7178)</f>
        <v>0</v>
      </c>
    </row>
    <row r="7179" spans="1:15" x14ac:dyDescent="0.25">
      <c r="A7179" s="64" t="s">
        <v>226</v>
      </c>
      <c r="B7179" s="79" t="str">
        <f>IF('Twenty-Ninth'!B182="", "",'Twenty-Ninth'!B182)</f>
        <v/>
      </c>
      <c r="C7179" s="66" t="str">
        <f>IF('Twenty-Ninth'!C182="", "",'Twenty-Ninth'!C182)</f>
        <v/>
      </c>
      <c r="D7179" s="66" t="str">
        <f>IF('Twenty-Ninth'!D182="", "",'Twenty-Ninth'!D182)</f>
        <v/>
      </c>
      <c r="E7179" s="66" t="str">
        <f>IF('Twenty-Ninth'!E182="", "",'Twenty-Ninth'!E182)</f>
        <v/>
      </c>
      <c r="F7179" s="66" t="str">
        <f>IF('Twenty-Ninth'!F182="", "",'Twenty-Ninth'!F182)</f>
        <v/>
      </c>
      <c r="G7179" s="66" t="str">
        <f>IF('Twenty-Ninth'!G182="", "",'Twenty-Ninth'!G182)</f>
        <v/>
      </c>
      <c r="H7179" s="66" t="str">
        <f>IF('Twenty-Ninth'!H182="", "",'Twenty-Ninth'!H182)</f>
        <v/>
      </c>
      <c r="I7179" s="66" t="str">
        <f>IF('Twenty-Ninth'!I182="", "",'Twenty-Ninth'!I182)</f>
        <v/>
      </c>
      <c r="J7179" s="66" t="str">
        <f>IF('Twenty-Ninth'!J182="", "",'Twenty-Ninth'!J182)</f>
        <v/>
      </c>
      <c r="K7179" s="86" t="str">
        <f>IF('Twenty-Ninth'!K182="", "",'Twenty-Ninth'!K182)</f>
        <v/>
      </c>
      <c r="M7179" s="67" t="str">
        <f t="shared" si="341"/>
        <v/>
      </c>
      <c r="N7179" s="76" t="str">
        <f t="shared" si="342"/>
        <v/>
      </c>
      <c r="O7179" s="33">
        <f t="shared" si="343"/>
        <v>0</v>
      </c>
    </row>
    <row r="7180" spans="1:15" x14ac:dyDescent="0.25">
      <c r="A7180" s="64" t="s">
        <v>226</v>
      </c>
      <c r="B7180" s="79" t="str">
        <f>IF('Twenty-Ninth'!B183="", "",'Twenty-Ninth'!B183)</f>
        <v/>
      </c>
      <c r="C7180" s="66" t="str">
        <f>IF('Twenty-Ninth'!C183="", "",'Twenty-Ninth'!C183)</f>
        <v/>
      </c>
      <c r="D7180" s="66" t="str">
        <f>IF('Twenty-Ninth'!D183="", "",'Twenty-Ninth'!D183)</f>
        <v/>
      </c>
      <c r="E7180" s="66" t="str">
        <f>IF('Twenty-Ninth'!E183="", "",'Twenty-Ninth'!E183)</f>
        <v/>
      </c>
      <c r="F7180" s="66" t="str">
        <f>IF('Twenty-Ninth'!F183="", "",'Twenty-Ninth'!F183)</f>
        <v/>
      </c>
      <c r="G7180" s="66" t="str">
        <f>IF('Twenty-Ninth'!G183="", "",'Twenty-Ninth'!G183)</f>
        <v/>
      </c>
      <c r="H7180" s="66" t="str">
        <f>IF('Twenty-Ninth'!H183="", "",'Twenty-Ninth'!H183)</f>
        <v/>
      </c>
      <c r="I7180" s="66" t="str">
        <f>IF('Twenty-Ninth'!I183="", "",'Twenty-Ninth'!I183)</f>
        <v/>
      </c>
      <c r="J7180" s="66" t="str">
        <f>IF('Twenty-Ninth'!J183="", "",'Twenty-Ninth'!J183)</f>
        <v/>
      </c>
      <c r="K7180" s="86" t="str">
        <f>IF('Twenty-Ninth'!K183="", "",'Twenty-Ninth'!K183)</f>
        <v/>
      </c>
      <c r="M7180" s="67" t="str">
        <f t="shared" si="341"/>
        <v/>
      </c>
      <c r="N7180" s="76" t="str">
        <f t="shared" si="342"/>
        <v/>
      </c>
      <c r="O7180" s="33">
        <f t="shared" si="343"/>
        <v>0</v>
      </c>
    </row>
    <row r="7181" spans="1:15" x14ac:dyDescent="0.25">
      <c r="A7181" s="64" t="s">
        <v>226</v>
      </c>
      <c r="B7181" s="79" t="str">
        <f>IF('Twenty-Ninth'!B184="", "",'Twenty-Ninth'!B184)</f>
        <v/>
      </c>
      <c r="C7181" s="66" t="str">
        <f>IF('Twenty-Ninth'!C184="", "",'Twenty-Ninth'!C184)</f>
        <v/>
      </c>
      <c r="D7181" s="66" t="str">
        <f>IF('Twenty-Ninth'!D184="", "",'Twenty-Ninth'!D184)</f>
        <v/>
      </c>
      <c r="E7181" s="66" t="str">
        <f>IF('Twenty-Ninth'!E184="", "",'Twenty-Ninth'!E184)</f>
        <v/>
      </c>
      <c r="F7181" s="66" t="str">
        <f>IF('Twenty-Ninth'!F184="", "",'Twenty-Ninth'!F184)</f>
        <v/>
      </c>
      <c r="G7181" s="66" t="str">
        <f>IF('Twenty-Ninth'!G184="", "",'Twenty-Ninth'!G184)</f>
        <v/>
      </c>
      <c r="H7181" s="66" t="str">
        <f>IF('Twenty-Ninth'!H184="", "",'Twenty-Ninth'!H184)</f>
        <v/>
      </c>
      <c r="I7181" s="66" t="str">
        <f>IF('Twenty-Ninth'!I184="", "",'Twenty-Ninth'!I184)</f>
        <v/>
      </c>
      <c r="J7181" s="66" t="str">
        <f>IF('Twenty-Ninth'!J184="", "",'Twenty-Ninth'!J184)</f>
        <v/>
      </c>
      <c r="K7181" s="86" t="str">
        <f>IF('Twenty-Ninth'!K184="", "",'Twenty-Ninth'!K184)</f>
        <v/>
      </c>
      <c r="M7181" s="67" t="str">
        <f t="shared" si="341"/>
        <v/>
      </c>
      <c r="N7181" s="76" t="str">
        <f t="shared" si="342"/>
        <v/>
      </c>
      <c r="O7181" s="33">
        <f t="shared" si="343"/>
        <v>0</v>
      </c>
    </row>
    <row r="7182" spans="1:15" x14ac:dyDescent="0.25">
      <c r="A7182" s="64" t="s">
        <v>226</v>
      </c>
      <c r="B7182" s="79" t="str">
        <f>IF('Twenty-Ninth'!B185="", "",'Twenty-Ninth'!B185)</f>
        <v/>
      </c>
      <c r="C7182" s="66" t="str">
        <f>IF('Twenty-Ninth'!C185="", "",'Twenty-Ninth'!C185)</f>
        <v/>
      </c>
      <c r="D7182" s="66" t="str">
        <f>IF('Twenty-Ninth'!D185="", "",'Twenty-Ninth'!D185)</f>
        <v/>
      </c>
      <c r="E7182" s="66" t="str">
        <f>IF('Twenty-Ninth'!E185="", "",'Twenty-Ninth'!E185)</f>
        <v/>
      </c>
      <c r="F7182" s="66" t="str">
        <f>IF('Twenty-Ninth'!F185="", "",'Twenty-Ninth'!F185)</f>
        <v/>
      </c>
      <c r="G7182" s="66" t="str">
        <f>IF('Twenty-Ninth'!G185="", "",'Twenty-Ninth'!G185)</f>
        <v/>
      </c>
      <c r="H7182" s="66" t="str">
        <f>IF('Twenty-Ninth'!H185="", "",'Twenty-Ninth'!H185)</f>
        <v/>
      </c>
      <c r="I7182" s="66" t="str">
        <f>IF('Twenty-Ninth'!I185="", "",'Twenty-Ninth'!I185)</f>
        <v/>
      </c>
      <c r="J7182" s="66" t="str">
        <f>IF('Twenty-Ninth'!J185="", "",'Twenty-Ninth'!J185)</f>
        <v/>
      </c>
      <c r="K7182" s="86" t="str">
        <f>IF('Twenty-Ninth'!K185="", "",'Twenty-Ninth'!K185)</f>
        <v/>
      </c>
      <c r="M7182" s="67" t="str">
        <f t="shared" si="341"/>
        <v/>
      </c>
      <c r="N7182" s="76" t="str">
        <f t="shared" si="342"/>
        <v/>
      </c>
      <c r="O7182" s="33">
        <f t="shared" si="343"/>
        <v>0</v>
      </c>
    </row>
    <row r="7183" spans="1:15" x14ac:dyDescent="0.25">
      <c r="A7183" s="64" t="s">
        <v>226</v>
      </c>
      <c r="B7183" s="79" t="str">
        <f>IF('Twenty-Ninth'!B186="", "",'Twenty-Ninth'!B186)</f>
        <v/>
      </c>
      <c r="C7183" s="66" t="str">
        <f>IF('Twenty-Ninth'!C186="", "",'Twenty-Ninth'!C186)</f>
        <v/>
      </c>
      <c r="D7183" s="66" t="str">
        <f>IF('Twenty-Ninth'!D186="", "",'Twenty-Ninth'!D186)</f>
        <v/>
      </c>
      <c r="E7183" s="66" t="str">
        <f>IF('Twenty-Ninth'!E186="", "",'Twenty-Ninth'!E186)</f>
        <v/>
      </c>
      <c r="F7183" s="66" t="str">
        <f>IF('Twenty-Ninth'!F186="", "",'Twenty-Ninth'!F186)</f>
        <v/>
      </c>
      <c r="G7183" s="66" t="str">
        <f>IF('Twenty-Ninth'!G186="", "",'Twenty-Ninth'!G186)</f>
        <v/>
      </c>
      <c r="H7183" s="66" t="str">
        <f>IF('Twenty-Ninth'!H186="", "",'Twenty-Ninth'!H186)</f>
        <v/>
      </c>
      <c r="I7183" s="66" t="str">
        <f>IF('Twenty-Ninth'!I186="", "",'Twenty-Ninth'!I186)</f>
        <v/>
      </c>
      <c r="J7183" s="66" t="str">
        <f>IF('Twenty-Ninth'!J186="", "",'Twenty-Ninth'!J186)</f>
        <v/>
      </c>
      <c r="K7183" s="86" t="str">
        <f>IF('Twenty-Ninth'!K186="", "",'Twenty-Ninth'!K186)</f>
        <v/>
      </c>
      <c r="M7183" s="67" t="str">
        <f t="shared" si="341"/>
        <v/>
      </c>
      <c r="N7183" s="76" t="str">
        <f t="shared" si="342"/>
        <v/>
      </c>
      <c r="O7183" s="33">
        <f t="shared" si="343"/>
        <v>0</v>
      </c>
    </row>
    <row r="7184" spans="1:15" x14ac:dyDescent="0.25">
      <c r="A7184" s="64" t="s">
        <v>226</v>
      </c>
      <c r="B7184" s="79" t="str">
        <f>IF('Twenty-Ninth'!B187="", "",'Twenty-Ninth'!B187)</f>
        <v/>
      </c>
      <c r="C7184" s="66" t="str">
        <f>IF('Twenty-Ninth'!C187="", "",'Twenty-Ninth'!C187)</f>
        <v/>
      </c>
      <c r="D7184" s="66" t="str">
        <f>IF('Twenty-Ninth'!D187="", "",'Twenty-Ninth'!D187)</f>
        <v/>
      </c>
      <c r="E7184" s="66" t="str">
        <f>IF('Twenty-Ninth'!E187="", "",'Twenty-Ninth'!E187)</f>
        <v/>
      </c>
      <c r="F7184" s="66" t="str">
        <f>IF('Twenty-Ninth'!F187="", "",'Twenty-Ninth'!F187)</f>
        <v/>
      </c>
      <c r="G7184" s="66" t="str">
        <f>IF('Twenty-Ninth'!G187="", "",'Twenty-Ninth'!G187)</f>
        <v/>
      </c>
      <c r="H7184" s="66" t="str">
        <f>IF('Twenty-Ninth'!H187="", "",'Twenty-Ninth'!H187)</f>
        <v/>
      </c>
      <c r="I7184" s="66" t="str">
        <f>IF('Twenty-Ninth'!I187="", "",'Twenty-Ninth'!I187)</f>
        <v/>
      </c>
      <c r="J7184" s="66" t="str">
        <f>IF('Twenty-Ninth'!J187="", "",'Twenty-Ninth'!J187)</f>
        <v/>
      </c>
      <c r="K7184" s="86" t="str">
        <f>IF('Twenty-Ninth'!K187="", "",'Twenty-Ninth'!K187)</f>
        <v/>
      </c>
      <c r="M7184" s="67" t="str">
        <f t="shared" si="341"/>
        <v/>
      </c>
      <c r="N7184" s="76" t="str">
        <f t="shared" si="342"/>
        <v/>
      </c>
      <c r="O7184" s="33">
        <f t="shared" si="343"/>
        <v>0</v>
      </c>
    </row>
    <row r="7185" spans="1:15" x14ac:dyDescent="0.25">
      <c r="A7185" s="64" t="s">
        <v>226</v>
      </c>
      <c r="B7185" s="79" t="str">
        <f>IF('Twenty-Ninth'!B188="", "",'Twenty-Ninth'!B188)</f>
        <v/>
      </c>
      <c r="C7185" s="66" t="str">
        <f>IF('Twenty-Ninth'!C188="", "",'Twenty-Ninth'!C188)</f>
        <v/>
      </c>
      <c r="D7185" s="66" t="str">
        <f>IF('Twenty-Ninth'!D188="", "",'Twenty-Ninth'!D188)</f>
        <v/>
      </c>
      <c r="E7185" s="66" t="str">
        <f>IF('Twenty-Ninth'!E188="", "",'Twenty-Ninth'!E188)</f>
        <v/>
      </c>
      <c r="F7185" s="66" t="str">
        <f>IF('Twenty-Ninth'!F188="", "",'Twenty-Ninth'!F188)</f>
        <v/>
      </c>
      <c r="G7185" s="66" t="str">
        <f>IF('Twenty-Ninth'!G188="", "",'Twenty-Ninth'!G188)</f>
        <v/>
      </c>
      <c r="H7185" s="66" t="str">
        <f>IF('Twenty-Ninth'!H188="", "",'Twenty-Ninth'!H188)</f>
        <v/>
      </c>
      <c r="I7185" s="66" t="str">
        <f>IF('Twenty-Ninth'!I188="", "",'Twenty-Ninth'!I188)</f>
        <v/>
      </c>
      <c r="J7185" s="66" t="str">
        <f>IF('Twenty-Ninth'!J188="", "",'Twenty-Ninth'!J188)</f>
        <v/>
      </c>
      <c r="K7185" s="86" t="str">
        <f>IF('Twenty-Ninth'!K188="", "",'Twenty-Ninth'!K188)</f>
        <v/>
      </c>
      <c r="M7185" s="67" t="str">
        <f t="shared" si="341"/>
        <v/>
      </c>
      <c r="N7185" s="76" t="str">
        <f t="shared" si="342"/>
        <v/>
      </c>
      <c r="O7185" s="33">
        <f t="shared" si="343"/>
        <v>0</v>
      </c>
    </row>
    <row r="7186" spans="1:15" x14ac:dyDescent="0.25">
      <c r="A7186" s="64" t="s">
        <v>226</v>
      </c>
      <c r="B7186" s="79" t="str">
        <f>IF('Twenty-Ninth'!B189="", "",'Twenty-Ninth'!B189)</f>
        <v/>
      </c>
      <c r="C7186" s="66" t="str">
        <f>IF('Twenty-Ninth'!C189="", "",'Twenty-Ninth'!C189)</f>
        <v/>
      </c>
      <c r="D7186" s="66" t="str">
        <f>IF('Twenty-Ninth'!D189="", "",'Twenty-Ninth'!D189)</f>
        <v/>
      </c>
      <c r="E7186" s="66" t="str">
        <f>IF('Twenty-Ninth'!E189="", "",'Twenty-Ninth'!E189)</f>
        <v/>
      </c>
      <c r="F7186" s="66" t="str">
        <f>IF('Twenty-Ninth'!F189="", "",'Twenty-Ninth'!F189)</f>
        <v/>
      </c>
      <c r="G7186" s="66" t="str">
        <f>IF('Twenty-Ninth'!G189="", "",'Twenty-Ninth'!G189)</f>
        <v/>
      </c>
      <c r="H7186" s="66" t="str">
        <f>IF('Twenty-Ninth'!H189="", "",'Twenty-Ninth'!H189)</f>
        <v/>
      </c>
      <c r="I7186" s="66" t="str">
        <f>IF('Twenty-Ninth'!I189="", "",'Twenty-Ninth'!I189)</f>
        <v/>
      </c>
      <c r="J7186" s="66" t="str">
        <f>IF('Twenty-Ninth'!J189="", "",'Twenty-Ninth'!J189)</f>
        <v/>
      </c>
      <c r="K7186" s="86" t="str">
        <f>IF('Twenty-Ninth'!K189="", "",'Twenty-Ninth'!K189)</f>
        <v/>
      </c>
      <c r="M7186" s="67" t="str">
        <f t="shared" si="341"/>
        <v/>
      </c>
      <c r="N7186" s="76" t="str">
        <f t="shared" si="342"/>
        <v/>
      </c>
      <c r="O7186" s="33">
        <f t="shared" si="343"/>
        <v>0</v>
      </c>
    </row>
    <row r="7187" spans="1:15" x14ac:dyDescent="0.25">
      <c r="A7187" s="64" t="s">
        <v>226</v>
      </c>
      <c r="B7187" s="79" t="str">
        <f>IF('Twenty-Ninth'!B190="", "",'Twenty-Ninth'!B190)</f>
        <v/>
      </c>
      <c r="C7187" s="66" t="str">
        <f>IF('Twenty-Ninth'!C190="", "",'Twenty-Ninth'!C190)</f>
        <v/>
      </c>
      <c r="D7187" s="66" t="str">
        <f>IF('Twenty-Ninth'!D190="", "",'Twenty-Ninth'!D190)</f>
        <v/>
      </c>
      <c r="E7187" s="66" t="str">
        <f>IF('Twenty-Ninth'!E190="", "",'Twenty-Ninth'!E190)</f>
        <v/>
      </c>
      <c r="F7187" s="66" t="str">
        <f>IF('Twenty-Ninth'!F190="", "",'Twenty-Ninth'!F190)</f>
        <v/>
      </c>
      <c r="G7187" s="66" t="str">
        <f>IF('Twenty-Ninth'!G190="", "",'Twenty-Ninth'!G190)</f>
        <v/>
      </c>
      <c r="H7187" s="66" t="str">
        <f>IF('Twenty-Ninth'!H190="", "",'Twenty-Ninth'!H190)</f>
        <v/>
      </c>
      <c r="I7187" s="66" t="str">
        <f>IF('Twenty-Ninth'!I190="", "",'Twenty-Ninth'!I190)</f>
        <v/>
      </c>
      <c r="J7187" s="66" t="str">
        <f>IF('Twenty-Ninth'!J190="", "",'Twenty-Ninth'!J190)</f>
        <v/>
      </c>
      <c r="K7187" s="86" t="str">
        <f>IF('Twenty-Ninth'!K190="", "",'Twenty-Ninth'!K190)</f>
        <v/>
      </c>
      <c r="M7187" s="67" t="str">
        <f t="shared" si="341"/>
        <v/>
      </c>
      <c r="N7187" s="76" t="str">
        <f t="shared" si="342"/>
        <v/>
      </c>
      <c r="O7187" s="33">
        <f t="shared" si="343"/>
        <v>0</v>
      </c>
    </row>
    <row r="7188" spans="1:15" x14ac:dyDescent="0.25">
      <c r="A7188" s="64" t="s">
        <v>226</v>
      </c>
      <c r="B7188" s="79" t="str">
        <f>IF('Twenty-Ninth'!B191="", "",'Twenty-Ninth'!B191)</f>
        <v/>
      </c>
      <c r="C7188" s="66" t="str">
        <f>IF('Twenty-Ninth'!C191="", "",'Twenty-Ninth'!C191)</f>
        <v/>
      </c>
      <c r="D7188" s="66" t="str">
        <f>IF('Twenty-Ninth'!D191="", "",'Twenty-Ninth'!D191)</f>
        <v/>
      </c>
      <c r="E7188" s="66" t="str">
        <f>IF('Twenty-Ninth'!E191="", "",'Twenty-Ninth'!E191)</f>
        <v/>
      </c>
      <c r="F7188" s="66" t="str">
        <f>IF('Twenty-Ninth'!F191="", "",'Twenty-Ninth'!F191)</f>
        <v/>
      </c>
      <c r="G7188" s="66" t="str">
        <f>IF('Twenty-Ninth'!G191="", "",'Twenty-Ninth'!G191)</f>
        <v/>
      </c>
      <c r="H7188" s="66" t="str">
        <f>IF('Twenty-Ninth'!H191="", "",'Twenty-Ninth'!H191)</f>
        <v/>
      </c>
      <c r="I7188" s="66" t="str">
        <f>IF('Twenty-Ninth'!I191="", "",'Twenty-Ninth'!I191)</f>
        <v/>
      </c>
      <c r="J7188" s="66" t="str">
        <f>IF('Twenty-Ninth'!J191="", "",'Twenty-Ninth'!J191)</f>
        <v/>
      </c>
      <c r="K7188" s="86" t="str">
        <f>IF('Twenty-Ninth'!K191="", "",'Twenty-Ninth'!K191)</f>
        <v/>
      </c>
      <c r="M7188" s="67" t="str">
        <f t="shared" si="341"/>
        <v/>
      </c>
      <c r="N7188" s="76" t="str">
        <f t="shared" si="342"/>
        <v/>
      </c>
      <c r="O7188" s="33">
        <f t="shared" si="343"/>
        <v>0</v>
      </c>
    </row>
    <row r="7189" spans="1:15" x14ac:dyDescent="0.25">
      <c r="A7189" s="64" t="s">
        <v>226</v>
      </c>
      <c r="B7189" s="79" t="str">
        <f>IF('Twenty-Ninth'!B192="", "",'Twenty-Ninth'!B192)</f>
        <v/>
      </c>
      <c r="C7189" s="66" t="str">
        <f>IF('Twenty-Ninth'!C192="", "",'Twenty-Ninth'!C192)</f>
        <v/>
      </c>
      <c r="D7189" s="66" t="str">
        <f>IF('Twenty-Ninth'!D192="", "",'Twenty-Ninth'!D192)</f>
        <v/>
      </c>
      <c r="E7189" s="66" t="str">
        <f>IF('Twenty-Ninth'!E192="", "",'Twenty-Ninth'!E192)</f>
        <v/>
      </c>
      <c r="F7189" s="66" t="str">
        <f>IF('Twenty-Ninth'!F192="", "",'Twenty-Ninth'!F192)</f>
        <v/>
      </c>
      <c r="G7189" s="66" t="str">
        <f>IF('Twenty-Ninth'!G192="", "",'Twenty-Ninth'!G192)</f>
        <v/>
      </c>
      <c r="H7189" s="66" t="str">
        <f>IF('Twenty-Ninth'!H192="", "",'Twenty-Ninth'!H192)</f>
        <v/>
      </c>
      <c r="I7189" s="66" t="str">
        <f>IF('Twenty-Ninth'!I192="", "",'Twenty-Ninth'!I192)</f>
        <v/>
      </c>
      <c r="J7189" s="66" t="str">
        <f>IF('Twenty-Ninth'!J192="", "",'Twenty-Ninth'!J192)</f>
        <v/>
      </c>
      <c r="K7189" s="86" t="str">
        <f>IF('Twenty-Ninth'!K192="", "",'Twenty-Ninth'!K192)</f>
        <v/>
      </c>
      <c r="M7189" s="67" t="str">
        <f t="shared" si="341"/>
        <v/>
      </c>
      <c r="N7189" s="76" t="str">
        <f t="shared" si="342"/>
        <v/>
      </c>
      <c r="O7189" s="33">
        <f t="shared" si="343"/>
        <v>0</v>
      </c>
    </row>
    <row r="7190" spans="1:15" x14ac:dyDescent="0.25">
      <c r="A7190" s="64" t="s">
        <v>226</v>
      </c>
      <c r="B7190" s="79" t="str">
        <f>IF('Twenty-Ninth'!B193="", "",'Twenty-Ninth'!B193)</f>
        <v/>
      </c>
      <c r="C7190" s="66" t="str">
        <f>IF('Twenty-Ninth'!C193="", "",'Twenty-Ninth'!C193)</f>
        <v/>
      </c>
      <c r="D7190" s="66" t="str">
        <f>IF('Twenty-Ninth'!D193="", "",'Twenty-Ninth'!D193)</f>
        <v/>
      </c>
      <c r="E7190" s="66" t="str">
        <f>IF('Twenty-Ninth'!E193="", "",'Twenty-Ninth'!E193)</f>
        <v/>
      </c>
      <c r="F7190" s="66" t="str">
        <f>IF('Twenty-Ninth'!F193="", "",'Twenty-Ninth'!F193)</f>
        <v/>
      </c>
      <c r="G7190" s="66" t="str">
        <f>IF('Twenty-Ninth'!G193="", "",'Twenty-Ninth'!G193)</f>
        <v/>
      </c>
      <c r="H7190" s="66" t="str">
        <f>IF('Twenty-Ninth'!H193="", "",'Twenty-Ninth'!H193)</f>
        <v/>
      </c>
      <c r="I7190" s="66" t="str">
        <f>IF('Twenty-Ninth'!I193="", "",'Twenty-Ninth'!I193)</f>
        <v/>
      </c>
      <c r="J7190" s="66" t="str">
        <f>IF('Twenty-Ninth'!J193="", "",'Twenty-Ninth'!J193)</f>
        <v/>
      </c>
      <c r="K7190" s="86" t="str">
        <f>IF('Twenty-Ninth'!K193="", "",'Twenty-Ninth'!K193)</f>
        <v/>
      </c>
      <c r="M7190" s="67" t="str">
        <f t="shared" si="341"/>
        <v/>
      </c>
      <c r="N7190" s="76" t="str">
        <f t="shared" si="342"/>
        <v/>
      </c>
      <c r="O7190" s="33">
        <f t="shared" si="343"/>
        <v>0</v>
      </c>
    </row>
    <row r="7191" spans="1:15" x14ac:dyDescent="0.25">
      <c r="A7191" s="64" t="s">
        <v>226</v>
      </c>
      <c r="B7191" s="79" t="str">
        <f>IF('Twenty-Ninth'!B194="", "",'Twenty-Ninth'!B194)</f>
        <v/>
      </c>
      <c r="C7191" s="66" t="str">
        <f>IF('Twenty-Ninth'!C194="", "",'Twenty-Ninth'!C194)</f>
        <v/>
      </c>
      <c r="D7191" s="66" t="str">
        <f>IF('Twenty-Ninth'!D194="", "",'Twenty-Ninth'!D194)</f>
        <v/>
      </c>
      <c r="E7191" s="66" t="str">
        <f>IF('Twenty-Ninth'!E194="", "",'Twenty-Ninth'!E194)</f>
        <v/>
      </c>
      <c r="F7191" s="66" t="str">
        <f>IF('Twenty-Ninth'!F194="", "",'Twenty-Ninth'!F194)</f>
        <v/>
      </c>
      <c r="G7191" s="66" t="str">
        <f>IF('Twenty-Ninth'!G194="", "",'Twenty-Ninth'!G194)</f>
        <v/>
      </c>
      <c r="H7191" s="66" t="str">
        <f>IF('Twenty-Ninth'!H194="", "",'Twenty-Ninth'!H194)</f>
        <v/>
      </c>
      <c r="I7191" s="66" t="str">
        <f>IF('Twenty-Ninth'!I194="", "",'Twenty-Ninth'!I194)</f>
        <v/>
      </c>
      <c r="J7191" s="66" t="str">
        <f>IF('Twenty-Ninth'!J194="", "",'Twenty-Ninth'!J194)</f>
        <v/>
      </c>
      <c r="K7191" s="86" t="str">
        <f>IF('Twenty-Ninth'!K194="", "",'Twenty-Ninth'!K194)</f>
        <v/>
      </c>
      <c r="M7191" s="67" t="str">
        <f t="shared" si="341"/>
        <v/>
      </c>
      <c r="N7191" s="76" t="str">
        <f t="shared" si="342"/>
        <v/>
      </c>
      <c r="O7191" s="33">
        <f t="shared" si="343"/>
        <v>0</v>
      </c>
    </row>
    <row r="7192" spans="1:15" x14ac:dyDescent="0.25">
      <c r="A7192" s="64" t="s">
        <v>226</v>
      </c>
      <c r="B7192" s="79" t="str">
        <f>IF('Twenty-Ninth'!B195="", "",'Twenty-Ninth'!B195)</f>
        <v/>
      </c>
      <c r="C7192" s="66" t="str">
        <f>IF('Twenty-Ninth'!C195="", "",'Twenty-Ninth'!C195)</f>
        <v/>
      </c>
      <c r="D7192" s="66" t="str">
        <f>IF('Twenty-Ninth'!D195="", "",'Twenty-Ninth'!D195)</f>
        <v/>
      </c>
      <c r="E7192" s="66" t="str">
        <f>IF('Twenty-Ninth'!E195="", "",'Twenty-Ninth'!E195)</f>
        <v/>
      </c>
      <c r="F7192" s="66" t="str">
        <f>IF('Twenty-Ninth'!F195="", "",'Twenty-Ninth'!F195)</f>
        <v/>
      </c>
      <c r="G7192" s="66" t="str">
        <f>IF('Twenty-Ninth'!G195="", "",'Twenty-Ninth'!G195)</f>
        <v/>
      </c>
      <c r="H7192" s="66" t="str">
        <f>IF('Twenty-Ninth'!H195="", "",'Twenty-Ninth'!H195)</f>
        <v/>
      </c>
      <c r="I7192" s="66" t="str">
        <f>IF('Twenty-Ninth'!I195="", "",'Twenty-Ninth'!I195)</f>
        <v/>
      </c>
      <c r="J7192" s="66" t="str">
        <f>IF('Twenty-Ninth'!J195="", "",'Twenty-Ninth'!J195)</f>
        <v/>
      </c>
      <c r="K7192" s="86" t="str">
        <f>IF('Twenty-Ninth'!K195="", "",'Twenty-Ninth'!K195)</f>
        <v/>
      </c>
      <c r="M7192" s="67" t="str">
        <f t="shared" si="341"/>
        <v/>
      </c>
      <c r="N7192" s="76" t="str">
        <f t="shared" si="342"/>
        <v/>
      </c>
      <c r="O7192" s="33">
        <f t="shared" si="343"/>
        <v>0</v>
      </c>
    </row>
    <row r="7193" spans="1:15" x14ac:dyDescent="0.25">
      <c r="A7193" s="64" t="s">
        <v>226</v>
      </c>
      <c r="B7193" s="79" t="str">
        <f>IF('Twenty-Ninth'!B196="", "",'Twenty-Ninth'!B196)</f>
        <v/>
      </c>
      <c r="C7193" s="66" t="str">
        <f>IF('Twenty-Ninth'!C196="", "",'Twenty-Ninth'!C196)</f>
        <v/>
      </c>
      <c r="D7193" s="66" t="str">
        <f>IF('Twenty-Ninth'!D196="", "",'Twenty-Ninth'!D196)</f>
        <v/>
      </c>
      <c r="E7193" s="66" t="str">
        <f>IF('Twenty-Ninth'!E196="", "",'Twenty-Ninth'!E196)</f>
        <v/>
      </c>
      <c r="F7193" s="66" t="str">
        <f>IF('Twenty-Ninth'!F196="", "",'Twenty-Ninth'!F196)</f>
        <v/>
      </c>
      <c r="G7193" s="66" t="str">
        <f>IF('Twenty-Ninth'!G196="", "",'Twenty-Ninth'!G196)</f>
        <v/>
      </c>
      <c r="H7193" s="66" t="str">
        <f>IF('Twenty-Ninth'!H196="", "",'Twenty-Ninth'!H196)</f>
        <v/>
      </c>
      <c r="I7193" s="66" t="str">
        <f>IF('Twenty-Ninth'!I196="", "",'Twenty-Ninth'!I196)</f>
        <v/>
      </c>
      <c r="J7193" s="66" t="str">
        <f>IF('Twenty-Ninth'!J196="", "",'Twenty-Ninth'!J196)</f>
        <v/>
      </c>
      <c r="K7193" s="86" t="str">
        <f>IF('Twenty-Ninth'!K196="", "",'Twenty-Ninth'!K196)</f>
        <v/>
      </c>
      <c r="M7193" s="67" t="str">
        <f t="shared" si="341"/>
        <v/>
      </c>
      <c r="N7193" s="76" t="str">
        <f t="shared" si="342"/>
        <v/>
      </c>
      <c r="O7193" s="33">
        <f t="shared" si="343"/>
        <v>0</v>
      </c>
    </row>
    <row r="7194" spans="1:15" x14ac:dyDescent="0.25">
      <c r="A7194" s="64" t="s">
        <v>226</v>
      </c>
      <c r="B7194" s="79" t="str">
        <f>IF('Twenty-Ninth'!B197="", "",'Twenty-Ninth'!B197)</f>
        <v/>
      </c>
      <c r="C7194" s="66" t="str">
        <f>IF('Twenty-Ninth'!C197="", "",'Twenty-Ninth'!C197)</f>
        <v/>
      </c>
      <c r="D7194" s="66" t="str">
        <f>IF('Twenty-Ninth'!D197="", "",'Twenty-Ninth'!D197)</f>
        <v/>
      </c>
      <c r="E7194" s="66" t="str">
        <f>IF('Twenty-Ninth'!E197="", "",'Twenty-Ninth'!E197)</f>
        <v/>
      </c>
      <c r="F7194" s="66" t="str">
        <f>IF('Twenty-Ninth'!F197="", "",'Twenty-Ninth'!F197)</f>
        <v/>
      </c>
      <c r="G7194" s="66" t="str">
        <f>IF('Twenty-Ninth'!G197="", "",'Twenty-Ninth'!G197)</f>
        <v/>
      </c>
      <c r="H7194" s="66" t="str">
        <f>IF('Twenty-Ninth'!H197="", "",'Twenty-Ninth'!H197)</f>
        <v/>
      </c>
      <c r="I7194" s="66" t="str">
        <f>IF('Twenty-Ninth'!I197="", "",'Twenty-Ninth'!I197)</f>
        <v/>
      </c>
      <c r="J7194" s="66" t="str">
        <f>IF('Twenty-Ninth'!J197="", "",'Twenty-Ninth'!J197)</f>
        <v/>
      </c>
      <c r="K7194" s="86" t="str">
        <f>IF('Twenty-Ninth'!K197="", "",'Twenty-Ninth'!K197)</f>
        <v/>
      </c>
      <c r="M7194" s="67" t="str">
        <f t="shared" si="341"/>
        <v/>
      </c>
      <c r="N7194" s="76" t="str">
        <f t="shared" si="342"/>
        <v/>
      </c>
      <c r="O7194" s="33">
        <f t="shared" si="343"/>
        <v>0</v>
      </c>
    </row>
    <row r="7195" spans="1:15" x14ac:dyDescent="0.25">
      <c r="A7195" s="64" t="s">
        <v>226</v>
      </c>
      <c r="B7195" s="79" t="str">
        <f>IF('Twenty-Ninth'!B198="", "",'Twenty-Ninth'!B198)</f>
        <v/>
      </c>
      <c r="C7195" s="66" t="str">
        <f>IF('Twenty-Ninth'!C198="", "",'Twenty-Ninth'!C198)</f>
        <v/>
      </c>
      <c r="D7195" s="66" t="str">
        <f>IF('Twenty-Ninth'!D198="", "",'Twenty-Ninth'!D198)</f>
        <v/>
      </c>
      <c r="E7195" s="66" t="str">
        <f>IF('Twenty-Ninth'!E198="", "",'Twenty-Ninth'!E198)</f>
        <v/>
      </c>
      <c r="F7195" s="66" t="str">
        <f>IF('Twenty-Ninth'!F198="", "",'Twenty-Ninth'!F198)</f>
        <v/>
      </c>
      <c r="G7195" s="66" t="str">
        <f>IF('Twenty-Ninth'!G198="", "",'Twenty-Ninth'!G198)</f>
        <v/>
      </c>
      <c r="H7195" s="66" t="str">
        <f>IF('Twenty-Ninth'!H198="", "",'Twenty-Ninth'!H198)</f>
        <v/>
      </c>
      <c r="I7195" s="66" t="str">
        <f>IF('Twenty-Ninth'!I198="", "",'Twenty-Ninth'!I198)</f>
        <v/>
      </c>
      <c r="J7195" s="66" t="str">
        <f>IF('Twenty-Ninth'!J198="", "",'Twenty-Ninth'!J198)</f>
        <v/>
      </c>
      <c r="K7195" s="86" t="str">
        <f>IF('Twenty-Ninth'!K198="", "",'Twenty-Ninth'!K198)</f>
        <v/>
      </c>
      <c r="M7195" s="67" t="str">
        <f t="shared" si="341"/>
        <v/>
      </c>
      <c r="N7195" s="76" t="str">
        <f t="shared" si="342"/>
        <v/>
      </c>
      <c r="O7195" s="33">
        <f t="shared" si="343"/>
        <v>0</v>
      </c>
    </row>
    <row r="7196" spans="1:15" x14ac:dyDescent="0.25">
      <c r="A7196" s="64" t="s">
        <v>226</v>
      </c>
      <c r="B7196" s="79" t="str">
        <f>IF('Twenty-Ninth'!B199="", "",'Twenty-Ninth'!B199)</f>
        <v/>
      </c>
      <c r="C7196" s="66" t="str">
        <f>IF('Twenty-Ninth'!C199="", "",'Twenty-Ninth'!C199)</f>
        <v/>
      </c>
      <c r="D7196" s="66" t="str">
        <f>IF('Twenty-Ninth'!D199="", "",'Twenty-Ninth'!D199)</f>
        <v/>
      </c>
      <c r="E7196" s="66" t="str">
        <f>IF('Twenty-Ninth'!E199="", "",'Twenty-Ninth'!E199)</f>
        <v/>
      </c>
      <c r="F7196" s="66" t="str">
        <f>IF('Twenty-Ninth'!F199="", "",'Twenty-Ninth'!F199)</f>
        <v/>
      </c>
      <c r="G7196" s="66" t="str">
        <f>IF('Twenty-Ninth'!G199="", "",'Twenty-Ninth'!G199)</f>
        <v/>
      </c>
      <c r="H7196" s="66" t="str">
        <f>IF('Twenty-Ninth'!H199="", "",'Twenty-Ninth'!H199)</f>
        <v/>
      </c>
      <c r="I7196" s="66" t="str">
        <f>IF('Twenty-Ninth'!I199="", "",'Twenty-Ninth'!I199)</f>
        <v/>
      </c>
      <c r="J7196" s="66" t="str">
        <f>IF('Twenty-Ninth'!J199="", "",'Twenty-Ninth'!J199)</f>
        <v/>
      </c>
      <c r="K7196" s="86" t="str">
        <f>IF('Twenty-Ninth'!K199="", "",'Twenty-Ninth'!K199)</f>
        <v/>
      </c>
      <c r="M7196" s="67" t="str">
        <f t="shared" si="341"/>
        <v/>
      </c>
      <c r="N7196" s="76" t="str">
        <f t="shared" si="342"/>
        <v/>
      </c>
      <c r="O7196" s="33">
        <f t="shared" si="343"/>
        <v>0</v>
      </c>
    </row>
    <row r="7197" spans="1:15" x14ac:dyDescent="0.25">
      <c r="A7197" s="64" t="s">
        <v>226</v>
      </c>
      <c r="B7197" s="79" t="str">
        <f>IF('Twenty-Ninth'!B200="", "",'Twenty-Ninth'!B200)</f>
        <v/>
      </c>
      <c r="C7197" s="66" t="str">
        <f>IF('Twenty-Ninth'!C200="", "",'Twenty-Ninth'!C200)</f>
        <v/>
      </c>
      <c r="D7197" s="66" t="str">
        <f>IF('Twenty-Ninth'!D200="", "",'Twenty-Ninth'!D200)</f>
        <v/>
      </c>
      <c r="E7197" s="66" t="str">
        <f>IF('Twenty-Ninth'!E200="", "",'Twenty-Ninth'!E200)</f>
        <v/>
      </c>
      <c r="F7197" s="66" t="str">
        <f>IF('Twenty-Ninth'!F200="", "",'Twenty-Ninth'!F200)</f>
        <v/>
      </c>
      <c r="G7197" s="66" t="str">
        <f>IF('Twenty-Ninth'!G200="", "",'Twenty-Ninth'!G200)</f>
        <v/>
      </c>
      <c r="H7197" s="66" t="str">
        <f>IF('Twenty-Ninth'!H200="", "",'Twenty-Ninth'!H200)</f>
        <v/>
      </c>
      <c r="I7197" s="66" t="str">
        <f>IF('Twenty-Ninth'!I200="", "",'Twenty-Ninth'!I200)</f>
        <v/>
      </c>
      <c r="J7197" s="66" t="str">
        <f>IF('Twenty-Ninth'!J200="", "",'Twenty-Ninth'!J200)</f>
        <v/>
      </c>
      <c r="K7197" s="86" t="str">
        <f>IF('Twenty-Ninth'!K200="", "",'Twenty-Ninth'!K200)</f>
        <v/>
      </c>
      <c r="M7197" s="67" t="str">
        <f t="shared" si="341"/>
        <v/>
      </c>
      <c r="N7197" s="76" t="str">
        <f t="shared" si="342"/>
        <v/>
      </c>
      <c r="O7197" s="33">
        <f t="shared" si="343"/>
        <v>0</v>
      </c>
    </row>
    <row r="7198" spans="1:15" x14ac:dyDescent="0.25">
      <c r="A7198" s="64" t="s">
        <v>226</v>
      </c>
      <c r="B7198" s="79" t="str">
        <f>IF('Twenty-Ninth'!B201="", "",'Twenty-Ninth'!B201)</f>
        <v/>
      </c>
      <c r="C7198" s="66" t="str">
        <f>IF('Twenty-Ninth'!C201="", "",'Twenty-Ninth'!C201)</f>
        <v/>
      </c>
      <c r="D7198" s="66" t="str">
        <f>IF('Twenty-Ninth'!D201="", "",'Twenty-Ninth'!D201)</f>
        <v/>
      </c>
      <c r="E7198" s="66" t="str">
        <f>IF('Twenty-Ninth'!E201="", "",'Twenty-Ninth'!E201)</f>
        <v/>
      </c>
      <c r="F7198" s="66" t="str">
        <f>IF('Twenty-Ninth'!F201="", "",'Twenty-Ninth'!F201)</f>
        <v/>
      </c>
      <c r="G7198" s="66" t="str">
        <f>IF('Twenty-Ninth'!G201="", "",'Twenty-Ninth'!G201)</f>
        <v/>
      </c>
      <c r="H7198" s="66" t="str">
        <f>IF('Twenty-Ninth'!H201="", "",'Twenty-Ninth'!H201)</f>
        <v/>
      </c>
      <c r="I7198" s="66" t="str">
        <f>IF('Twenty-Ninth'!I201="", "",'Twenty-Ninth'!I201)</f>
        <v/>
      </c>
      <c r="J7198" s="66" t="str">
        <f>IF('Twenty-Ninth'!J201="", "",'Twenty-Ninth'!J201)</f>
        <v/>
      </c>
      <c r="K7198" s="86" t="str">
        <f>IF('Twenty-Ninth'!K201="", "",'Twenty-Ninth'!K201)</f>
        <v/>
      </c>
      <c r="M7198" s="67" t="str">
        <f t="shared" si="341"/>
        <v/>
      </c>
      <c r="N7198" s="76" t="str">
        <f t="shared" si="342"/>
        <v/>
      </c>
      <c r="O7198" s="33">
        <f t="shared" si="343"/>
        <v>0</v>
      </c>
    </row>
    <row r="7199" spans="1:15" x14ac:dyDescent="0.25">
      <c r="A7199" s="64" t="s">
        <v>226</v>
      </c>
      <c r="B7199" s="79" t="str">
        <f>IF('Twenty-Ninth'!B202="", "",'Twenty-Ninth'!B202)</f>
        <v/>
      </c>
      <c r="C7199" s="66" t="str">
        <f>IF('Twenty-Ninth'!C202="", "",'Twenty-Ninth'!C202)</f>
        <v/>
      </c>
      <c r="D7199" s="66" t="str">
        <f>IF('Twenty-Ninth'!D202="", "",'Twenty-Ninth'!D202)</f>
        <v/>
      </c>
      <c r="E7199" s="66" t="str">
        <f>IF('Twenty-Ninth'!E202="", "",'Twenty-Ninth'!E202)</f>
        <v/>
      </c>
      <c r="F7199" s="66" t="str">
        <f>IF('Twenty-Ninth'!F202="", "",'Twenty-Ninth'!F202)</f>
        <v/>
      </c>
      <c r="G7199" s="66" t="str">
        <f>IF('Twenty-Ninth'!G202="", "",'Twenty-Ninth'!G202)</f>
        <v/>
      </c>
      <c r="H7199" s="66" t="str">
        <f>IF('Twenty-Ninth'!H202="", "",'Twenty-Ninth'!H202)</f>
        <v/>
      </c>
      <c r="I7199" s="66" t="str">
        <f>IF('Twenty-Ninth'!I202="", "",'Twenty-Ninth'!I202)</f>
        <v/>
      </c>
      <c r="J7199" s="66" t="str">
        <f>IF('Twenty-Ninth'!J202="", "",'Twenty-Ninth'!J202)</f>
        <v/>
      </c>
      <c r="K7199" s="86" t="str">
        <f>IF('Twenty-Ninth'!K202="", "",'Twenty-Ninth'!K202)</f>
        <v/>
      </c>
      <c r="M7199" s="67" t="str">
        <f t="shared" si="341"/>
        <v/>
      </c>
      <c r="N7199" s="76" t="str">
        <f t="shared" si="342"/>
        <v/>
      </c>
      <c r="O7199" s="33">
        <f t="shared" si="343"/>
        <v>0</v>
      </c>
    </row>
    <row r="7200" spans="1:15" x14ac:dyDescent="0.25">
      <c r="A7200" s="64" t="s">
        <v>226</v>
      </c>
      <c r="B7200" s="79" t="str">
        <f>IF('Twenty-Ninth'!B203="", "",'Twenty-Ninth'!B203)</f>
        <v/>
      </c>
      <c r="C7200" s="66" t="str">
        <f>IF('Twenty-Ninth'!C203="", "",'Twenty-Ninth'!C203)</f>
        <v/>
      </c>
      <c r="D7200" s="66" t="str">
        <f>IF('Twenty-Ninth'!D203="", "",'Twenty-Ninth'!D203)</f>
        <v/>
      </c>
      <c r="E7200" s="66" t="str">
        <f>IF('Twenty-Ninth'!E203="", "",'Twenty-Ninth'!E203)</f>
        <v/>
      </c>
      <c r="F7200" s="66" t="str">
        <f>IF('Twenty-Ninth'!F203="", "",'Twenty-Ninth'!F203)</f>
        <v/>
      </c>
      <c r="G7200" s="66" t="str">
        <f>IF('Twenty-Ninth'!G203="", "",'Twenty-Ninth'!G203)</f>
        <v/>
      </c>
      <c r="H7200" s="66" t="str">
        <f>IF('Twenty-Ninth'!H203="", "",'Twenty-Ninth'!H203)</f>
        <v/>
      </c>
      <c r="I7200" s="66" t="str">
        <f>IF('Twenty-Ninth'!I203="", "",'Twenty-Ninth'!I203)</f>
        <v/>
      </c>
      <c r="J7200" s="66" t="str">
        <f>IF('Twenty-Ninth'!J203="", "",'Twenty-Ninth'!J203)</f>
        <v/>
      </c>
      <c r="K7200" s="86" t="str">
        <f>IF('Twenty-Ninth'!K203="", "",'Twenty-Ninth'!K203)</f>
        <v/>
      </c>
      <c r="M7200" s="67" t="str">
        <f t="shared" si="341"/>
        <v/>
      </c>
      <c r="N7200" s="76" t="str">
        <f t="shared" si="342"/>
        <v/>
      </c>
      <c r="O7200" s="33">
        <f t="shared" si="343"/>
        <v>0</v>
      </c>
    </row>
    <row r="7201" spans="1:15" x14ac:dyDescent="0.25">
      <c r="A7201" s="64" t="s">
        <v>226</v>
      </c>
      <c r="B7201" s="79" t="str">
        <f>IF('Twenty-Ninth'!B204="", "",'Twenty-Ninth'!B204)</f>
        <v/>
      </c>
      <c r="C7201" s="66" t="str">
        <f>IF('Twenty-Ninth'!C204="", "",'Twenty-Ninth'!C204)</f>
        <v/>
      </c>
      <c r="D7201" s="66" t="str">
        <f>IF('Twenty-Ninth'!D204="", "",'Twenty-Ninth'!D204)</f>
        <v/>
      </c>
      <c r="E7201" s="66" t="str">
        <f>IF('Twenty-Ninth'!E204="", "",'Twenty-Ninth'!E204)</f>
        <v/>
      </c>
      <c r="F7201" s="66" t="str">
        <f>IF('Twenty-Ninth'!F204="", "",'Twenty-Ninth'!F204)</f>
        <v/>
      </c>
      <c r="G7201" s="66" t="str">
        <f>IF('Twenty-Ninth'!G204="", "",'Twenty-Ninth'!G204)</f>
        <v/>
      </c>
      <c r="H7201" s="66" t="str">
        <f>IF('Twenty-Ninth'!H204="", "",'Twenty-Ninth'!H204)</f>
        <v/>
      </c>
      <c r="I7201" s="66" t="str">
        <f>IF('Twenty-Ninth'!I204="", "",'Twenty-Ninth'!I204)</f>
        <v/>
      </c>
      <c r="J7201" s="66" t="str">
        <f>IF('Twenty-Ninth'!J204="", "",'Twenty-Ninth'!J204)</f>
        <v/>
      </c>
      <c r="K7201" s="86" t="str">
        <f>IF('Twenty-Ninth'!K204="", "",'Twenty-Ninth'!K204)</f>
        <v/>
      </c>
      <c r="M7201" s="67" t="str">
        <f t="shared" si="341"/>
        <v/>
      </c>
      <c r="N7201" s="76" t="str">
        <f t="shared" si="342"/>
        <v/>
      </c>
      <c r="O7201" s="33">
        <f t="shared" si="343"/>
        <v>0</v>
      </c>
    </row>
    <row r="7202" spans="1:15" x14ac:dyDescent="0.25">
      <c r="A7202" s="64" t="s">
        <v>226</v>
      </c>
      <c r="B7202" s="79" t="str">
        <f>IF('Twenty-Ninth'!B205="", "",'Twenty-Ninth'!B205)</f>
        <v/>
      </c>
      <c r="C7202" s="66" t="str">
        <f>IF('Twenty-Ninth'!C205="", "",'Twenty-Ninth'!C205)</f>
        <v/>
      </c>
      <c r="D7202" s="66" t="str">
        <f>IF('Twenty-Ninth'!D205="", "",'Twenty-Ninth'!D205)</f>
        <v/>
      </c>
      <c r="E7202" s="66" t="str">
        <f>IF('Twenty-Ninth'!E205="", "",'Twenty-Ninth'!E205)</f>
        <v/>
      </c>
      <c r="F7202" s="66" t="str">
        <f>IF('Twenty-Ninth'!F205="", "",'Twenty-Ninth'!F205)</f>
        <v/>
      </c>
      <c r="G7202" s="66" t="str">
        <f>IF('Twenty-Ninth'!G205="", "",'Twenty-Ninth'!G205)</f>
        <v/>
      </c>
      <c r="H7202" s="66" t="str">
        <f>IF('Twenty-Ninth'!H205="", "",'Twenty-Ninth'!H205)</f>
        <v/>
      </c>
      <c r="I7202" s="66" t="str">
        <f>IF('Twenty-Ninth'!I205="", "",'Twenty-Ninth'!I205)</f>
        <v/>
      </c>
      <c r="J7202" s="66" t="str">
        <f>IF('Twenty-Ninth'!J205="", "",'Twenty-Ninth'!J205)</f>
        <v/>
      </c>
      <c r="K7202" s="86" t="str">
        <f>IF('Twenty-Ninth'!K205="", "",'Twenty-Ninth'!K205)</f>
        <v/>
      </c>
      <c r="M7202" s="67" t="str">
        <f t="shared" si="341"/>
        <v/>
      </c>
      <c r="N7202" s="76" t="str">
        <f t="shared" si="342"/>
        <v/>
      </c>
      <c r="O7202" s="33">
        <f t="shared" si="343"/>
        <v>0</v>
      </c>
    </row>
    <row r="7203" spans="1:15" x14ac:dyDescent="0.25">
      <c r="A7203" s="64" t="s">
        <v>226</v>
      </c>
      <c r="B7203" s="79" t="str">
        <f>IF('Twenty-Ninth'!B206="", "",'Twenty-Ninth'!B206)</f>
        <v/>
      </c>
      <c r="C7203" s="66" t="str">
        <f>IF('Twenty-Ninth'!C206="", "",'Twenty-Ninth'!C206)</f>
        <v/>
      </c>
      <c r="D7203" s="66" t="str">
        <f>IF('Twenty-Ninth'!D206="", "",'Twenty-Ninth'!D206)</f>
        <v/>
      </c>
      <c r="E7203" s="66" t="str">
        <f>IF('Twenty-Ninth'!E206="", "",'Twenty-Ninth'!E206)</f>
        <v/>
      </c>
      <c r="F7203" s="66" t="str">
        <f>IF('Twenty-Ninth'!F206="", "",'Twenty-Ninth'!F206)</f>
        <v/>
      </c>
      <c r="G7203" s="66" t="str">
        <f>IF('Twenty-Ninth'!G206="", "",'Twenty-Ninth'!G206)</f>
        <v/>
      </c>
      <c r="H7203" s="66" t="str">
        <f>IF('Twenty-Ninth'!H206="", "",'Twenty-Ninth'!H206)</f>
        <v/>
      </c>
      <c r="I7203" s="66" t="str">
        <f>IF('Twenty-Ninth'!I206="", "",'Twenty-Ninth'!I206)</f>
        <v/>
      </c>
      <c r="J7203" s="66" t="str">
        <f>IF('Twenty-Ninth'!J206="", "",'Twenty-Ninth'!J206)</f>
        <v/>
      </c>
      <c r="K7203" s="86" t="str">
        <f>IF('Twenty-Ninth'!K206="", "",'Twenty-Ninth'!K206)</f>
        <v/>
      </c>
      <c r="M7203" s="67" t="str">
        <f t="shared" si="341"/>
        <v/>
      </c>
      <c r="N7203" s="76" t="str">
        <f t="shared" si="342"/>
        <v/>
      </c>
      <c r="O7203" s="33">
        <f t="shared" si="343"/>
        <v>0</v>
      </c>
    </row>
    <row r="7204" spans="1:15" x14ac:dyDescent="0.25">
      <c r="A7204" s="64" t="s">
        <v>226</v>
      </c>
      <c r="B7204" s="79" t="str">
        <f>IF('Twenty-Ninth'!B207="", "",'Twenty-Ninth'!B207)</f>
        <v/>
      </c>
      <c r="C7204" s="66" t="str">
        <f>IF('Twenty-Ninth'!C207="", "",'Twenty-Ninth'!C207)</f>
        <v/>
      </c>
      <c r="D7204" s="66" t="str">
        <f>IF('Twenty-Ninth'!D207="", "",'Twenty-Ninth'!D207)</f>
        <v/>
      </c>
      <c r="E7204" s="66" t="str">
        <f>IF('Twenty-Ninth'!E207="", "",'Twenty-Ninth'!E207)</f>
        <v/>
      </c>
      <c r="F7204" s="66" t="str">
        <f>IF('Twenty-Ninth'!F207="", "",'Twenty-Ninth'!F207)</f>
        <v/>
      </c>
      <c r="G7204" s="66" t="str">
        <f>IF('Twenty-Ninth'!G207="", "",'Twenty-Ninth'!G207)</f>
        <v/>
      </c>
      <c r="H7204" s="66" t="str">
        <f>IF('Twenty-Ninth'!H207="", "",'Twenty-Ninth'!H207)</f>
        <v/>
      </c>
      <c r="I7204" s="66" t="str">
        <f>IF('Twenty-Ninth'!I207="", "",'Twenty-Ninth'!I207)</f>
        <v/>
      </c>
      <c r="J7204" s="66" t="str">
        <f>IF('Twenty-Ninth'!J207="", "",'Twenty-Ninth'!J207)</f>
        <v/>
      </c>
      <c r="K7204" s="86" t="str">
        <f>IF('Twenty-Ninth'!K207="", "",'Twenty-Ninth'!K207)</f>
        <v/>
      </c>
      <c r="M7204" s="67" t="str">
        <f t="shared" si="341"/>
        <v/>
      </c>
      <c r="N7204" s="76" t="str">
        <f t="shared" si="342"/>
        <v/>
      </c>
      <c r="O7204" s="33">
        <f t="shared" si="343"/>
        <v>0</v>
      </c>
    </row>
    <row r="7205" spans="1:15" x14ac:dyDescent="0.25">
      <c r="A7205" s="64" t="s">
        <v>226</v>
      </c>
      <c r="B7205" s="79" t="str">
        <f>IF('Twenty-Ninth'!B208="", "",'Twenty-Ninth'!B208)</f>
        <v/>
      </c>
      <c r="C7205" s="66" t="str">
        <f>IF('Twenty-Ninth'!C208="", "",'Twenty-Ninth'!C208)</f>
        <v/>
      </c>
      <c r="D7205" s="66" t="str">
        <f>IF('Twenty-Ninth'!D208="", "",'Twenty-Ninth'!D208)</f>
        <v/>
      </c>
      <c r="E7205" s="66" t="str">
        <f>IF('Twenty-Ninth'!E208="", "",'Twenty-Ninth'!E208)</f>
        <v/>
      </c>
      <c r="F7205" s="66" t="str">
        <f>IF('Twenty-Ninth'!F208="", "",'Twenty-Ninth'!F208)</f>
        <v/>
      </c>
      <c r="G7205" s="66" t="str">
        <f>IF('Twenty-Ninth'!G208="", "",'Twenty-Ninth'!G208)</f>
        <v/>
      </c>
      <c r="H7205" s="66" t="str">
        <f>IF('Twenty-Ninth'!H208="", "",'Twenty-Ninth'!H208)</f>
        <v/>
      </c>
      <c r="I7205" s="66" t="str">
        <f>IF('Twenty-Ninth'!I208="", "",'Twenty-Ninth'!I208)</f>
        <v/>
      </c>
      <c r="J7205" s="66" t="str">
        <f>IF('Twenty-Ninth'!J208="", "",'Twenty-Ninth'!J208)</f>
        <v/>
      </c>
      <c r="K7205" s="86" t="str">
        <f>IF('Twenty-Ninth'!K208="", "",'Twenty-Ninth'!K208)</f>
        <v/>
      </c>
      <c r="M7205" s="67" t="str">
        <f t="shared" si="341"/>
        <v/>
      </c>
      <c r="N7205" s="76" t="str">
        <f t="shared" si="342"/>
        <v/>
      </c>
      <c r="O7205" s="33">
        <f t="shared" si="343"/>
        <v>0</v>
      </c>
    </row>
    <row r="7206" spans="1:15" x14ac:dyDescent="0.25">
      <c r="A7206" s="64" t="s">
        <v>226</v>
      </c>
      <c r="B7206" s="79" t="str">
        <f>IF('Twenty-Ninth'!B209="", "",'Twenty-Ninth'!B209)</f>
        <v/>
      </c>
      <c r="C7206" s="66" t="str">
        <f>IF('Twenty-Ninth'!C209="", "",'Twenty-Ninth'!C209)</f>
        <v/>
      </c>
      <c r="D7206" s="66" t="str">
        <f>IF('Twenty-Ninth'!D209="", "",'Twenty-Ninth'!D209)</f>
        <v/>
      </c>
      <c r="E7206" s="66" t="str">
        <f>IF('Twenty-Ninth'!E209="", "",'Twenty-Ninth'!E209)</f>
        <v/>
      </c>
      <c r="F7206" s="66" t="str">
        <f>IF('Twenty-Ninth'!F209="", "",'Twenty-Ninth'!F209)</f>
        <v/>
      </c>
      <c r="G7206" s="66" t="str">
        <f>IF('Twenty-Ninth'!G209="", "",'Twenty-Ninth'!G209)</f>
        <v/>
      </c>
      <c r="H7206" s="66" t="str">
        <f>IF('Twenty-Ninth'!H209="", "",'Twenty-Ninth'!H209)</f>
        <v/>
      </c>
      <c r="I7206" s="66" t="str">
        <f>IF('Twenty-Ninth'!I209="", "",'Twenty-Ninth'!I209)</f>
        <v/>
      </c>
      <c r="J7206" s="66" t="str">
        <f>IF('Twenty-Ninth'!J209="", "",'Twenty-Ninth'!J209)</f>
        <v/>
      </c>
      <c r="K7206" s="86" t="str">
        <f>IF('Twenty-Ninth'!K209="", "",'Twenty-Ninth'!K209)</f>
        <v/>
      </c>
      <c r="M7206" s="67" t="str">
        <f t="shared" si="341"/>
        <v/>
      </c>
      <c r="N7206" s="76" t="str">
        <f t="shared" si="342"/>
        <v/>
      </c>
      <c r="O7206" s="33">
        <f t="shared" si="343"/>
        <v>0</v>
      </c>
    </row>
    <row r="7207" spans="1:15" x14ac:dyDescent="0.25">
      <c r="A7207" s="64" t="s">
        <v>226</v>
      </c>
      <c r="B7207" s="79" t="str">
        <f>IF('Twenty-Ninth'!B210="", "",'Twenty-Ninth'!B210)</f>
        <v/>
      </c>
      <c r="C7207" s="66" t="str">
        <f>IF('Twenty-Ninth'!C210="", "",'Twenty-Ninth'!C210)</f>
        <v/>
      </c>
      <c r="D7207" s="66" t="str">
        <f>IF('Twenty-Ninth'!D210="", "",'Twenty-Ninth'!D210)</f>
        <v/>
      </c>
      <c r="E7207" s="66" t="str">
        <f>IF('Twenty-Ninth'!E210="", "",'Twenty-Ninth'!E210)</f>
        <v/>
      </c>
      <c r="F7207" s="66" t="str">
        <f>IF('Twenty-Ninth'!F210="", "",'Twenty-Ninth'!F210)</f>
        <v/>
      </c>
      <c r="G7207" s="66" t="str">
        <f>IF('Twenty-Ninth'!G210="", "",'Twenty-Ninth'!G210)</f>
        <v/>
      </c>
      <c r="H7207" s="66" t="str">
        <f>IF('Twenty-Ninth'!H210="", "",'Twenty-Ninth'!H210)</f>
        <v/>
      </c>
      <c r="I7207" s="66" t="str">
        <f>IF('Twenty-Ninth'!I210="", "",'Twenty-Ninth'!I210)</f>
        <v/>
      </c>
      <c r="J7207" s="66" t="str">
        <f>IF('Twenty-Ninth'!J210="", "",'Twenty-Ninth'!J210)</f>
        <v/>
      </c>
      <c r="K7207" s="86" t="str">
        <f>IF('Twenty-Ninth'!K210="", "",'Twenty-Ninth'!K210)</f>
        <v/>
      </c>
      <c r="M7207" s="67" t="str">
        <f t="shared" si="341"/>
        <v/>
      </c>
      <c r="N7207" s="76" t="str">
        <f t="shared" si="342"/>
        <v/>
      </c>
      <c r="O7207" s="33">
        <f t="shared" si="343"/>
        <v>0</v>
      </c>
    </row>
    <row r="7208" spans="1:15" x14ac:dyDescent="0.25">
      <c r="A7208" s="64" t="s">
        <v>226</v>
      </c>
      <c r="B7208" s="79" t="str">
        <f>IF('Twenty-Ninth'!B211="", "",'Twenty-Ninth'!B211)</f>
        <v/>
      </c>
      <c r="C7208" s="66" t="str">
        <f>IF('Twenty-Ninth'!C211="", "",'Twenty-Ninth'!C211)</f>
        <v/>
      </c>
      <c r="D7208" s="66" t="str">
        <f>IF('Twenty-Ninth'!D211="", "",'Twenty-Ninth'!D211)</f>
        <v/>
      </c>
      <c r="E7208" s="66" t="str">
        <f>IF('Twenty-Ninth'!E211="", "",'Twenty-Ninth'!E211)</f>
        <v/>
      </c>
      <c r="F7208" s="66" t="str">
        <f>IF('Twenty-Ninth'!F211="", "",'Twenty-Ninth'!F211)</f>
        <v/>
      </c>
      <c r="G7208" s="66" t="str">
        <f>IF('Twenty-Ninth'!G211="", "",'Twenty-Ninth'!G211)</f>
        <v/>
      </c>
      <c r="H7208" s="66" t="str">
        <f>IF('Twenty-Ninth'!H211="", "",'Twenty-Ninth'!H211)</f>
        <v/>
      </c>
      <c r="I7208" s="66" t="str">
        <f>IF('Twenty-Ninth'!I211="", "",'Twenty-Ninth'!I211)</f>
        <v/>
      </c>
      <c r="J7208" s="66" t="str">
        <f>IF('Twenty-Ninth'!J211="", "",'Twenty-Ninth'!J211)</f>
        <v/>
      </c>
      <c r="K7208" s="86" t="str">
        <f>IF('Twenty-Ninth'!K211="", "",'Twenty-Ninth'!K211)</f>
        <v/>
      </c>
      <c r="M7208" s="67" t="str">
        <f t="shared" si="341"/>
        <v/>
      </c>
      <c r="N7208" s="76" t="str">
        <f t="shared" si="342"/>
        <v/>
      </c>
      <c r="O7208" s="33">
        <f t="shared" si="343"/>
        <v>0</v>
      </c>
    </row>
    <row r="7209" spans="1:15" x14ac:dyDescent="0.25">
      <c r="A7209" s="64" t="s">
        <v>226</v>
      </c>
      <c r="B7209" s="79" t="str">
        <f>IF('Twenty-Ninth'!B212="", "",'Twenty-Ninth'!B212)</f>
        <v/>
      </c>
      <c r="C7209" s="66" t="str">
        <f>IF('Twenty-Ninth'!C212="", "",'Twenty-Ninth'!C212)</f>
        <v/>
      </c>
      <c r="D7209" s="66" t="str">
        <f>IF('Twenty-Ninth'!D212="", "",'Twenty-Ninth'!D212)</f>
        <v/>
      </c>
      <c r="E7209" s="66" t="str">
        <f>IF('Twenty-Ninth'!E212="", "",'Twenty-Ninth'!E212)</f>
        <v/>
      </c>
      <c r="F7209" s="66" t="str">
        <f>IF('Twenty-Ninth'!F212="", "",'Twenty-Ninth'!F212)</f>
        <v/>
      </c>
      <c r="G7209" s="66" t="str">
        <f>IF('Twenty-Ninth'!G212="", "",'Twenty-Ninth'!G212)</f>
        <v/>
      </c>
      <c r="H7209" s="66" t="str">
        <f>IF('Twenty-Ninth'!H212="", "",'Twenty-Ninth'!H212)</f>
        <v/>
      </c>
      <c r="I7209" s="66" t="str">
        <f>IF('Twenty-Ninth'!I212="", "",'Twenty-Ninth'!I212)</f>
        <v/>
      </c>
      <c r="J7209" s="66" t="str">
        <f>IF('Twenty-Ninth'!J212="", "",'Twenty-Ninth'!J212)</f>
        <v/>
      </c>
      <c r="K7209" s="86" t="str">
        <f>IF('Twenty-Ninth'!K212="", "",'Twenty-Ninth'!K212)</f>
        <v/>
      </c>
      <c r="M7209" s="67" t="str">
        <f t="shared" si="341"/>
        <v/>
      </c>
      <c r="N7209" s="76" t="str">
        <f t="shared" si="342"/>
        <v/>
      </c>
      <c r="O7209" s="33">
        <f t="shared" si="343"/>
        <v>0</v>
      </c>
    </row>
    <row r="7210" spans="1:15" x14ac:dyDescent="0.25">
      <c r="A7210" s="64" t="s">
        <v>226</v>
      </c>
      <c r="B7210" s="79" t="str">
        <f>IF('Twenty-Ninth'!B213="", "",'Twenty-Ninth'!B213)</f>
        <v/>
      </c>
      <c r="C7210" s="66" t="str">
        <f>IF('Twenty-Ninth'!C213="", "",'Twenty-Ninth'!C213)</f>
        <v/>
      </c>
      <c r="D7210" s="66" t="str">
        <f>IF('Twenty-Ninth'!D213="", "",'Twenty-Ninth'!D213)</f>
        <v/>
      </c>
      <c r="E7210" s="66" t="str">
        <f>IF('Twenty-Ninth'!E213="", "",'Twenty-Ninth'!E213)</f>
        <v/>
      </c>
      <c r="F7210" s="66" t="str">
        <f>IF('Twenty-Ninth'!F213="", "",'Twenty-Ninth'!F213)</f>
        <v/>
      </c>
      <c r="G7210" s="66" t="str">
        <f>IF('Twenty-Ninth'!G213="", "",'Twenty-Ninth'!G213)</f>
        <v/>
      </c>
      <c r="H7210" s="66" t="str">
        <f>IF('Twenty-Ninth'!H213="", "",'Twenty-Ninth'!H213)</f>
        <v/>
      </c>
      <c r="I7210" s="66" t="str">
        <f>IF('Twenty-Ninth'!I213="", "",'Twenty-Ninth'!I213)</f>
        <v/>
      </c>
      <c r="J7210" s="66" t="str">
        <f>IF('Twenty-Ninth'!J213="", "",'Twenty-Ninth'!J213)</f>
        <v/>
      </c>
      <c r="K7210" s="86" t="str">
        <f>IF('Twenty-Ninth'!K213="", "",'Twenty-Ninth'!K213)</f>
        <v/>
      </c>
      <c r="M7210" s="67" t="str">
        <f t="shared" si="341"/>
        <v/>
      </c>
      <c r="N7210" s="76" t="str">
        <f t="shared" si="342"/>
        <v/>
      </c>
      <c r="O7210" s="33">
        <f t="shared" si="343"/>
        <v>0</v>
      </c>
    </row>
    <row r="7211" spans="1:15" x14ac:dyDescent="0.25">
      <c r="A7211" s="64" t="s">
        <v>226</v>
      </c>
      <c r="B7211" s="79" t="str">
        <f>IF('Twenty-Ninth'!B214="", "",'Twenty-Ninth'!B214)</f>
        <v/>
      </c>
      <c r="C7211" s="66" t="str">
        <f>IF('Twenty-Ninth'!C214="", "",'Twenty-Ninth'!C214)</f>
        <v/>
      </c>
      <c r="D7211" s="66" t="str">
        <f>IF('Twenty-Ninth'!D214="", "",'Twenty-Ninth'!D214)</f>
        <v/>
      </c>
      <c r="E7211" s="66" t="str">
        <f>IF('Twenty-Ninth'!E214="", "",'Twenty-Ninth'!E214)</f>
        <v/>
      </c>
      <c r="F7211" s="66" t="str">
        <f>IF('Twenty-Ninth'!F214="", "",'Twenty-Ninth'!F214)</f>
        <v/>
      </c>
      <c r="G7211" s="66" t="str">
        <f>IF('Twenty-Ninth'!G214="", "",'Twenty-Ninth'!G214)</f>
        <v/>
      </c>
      <c r="H7211" s="66" t="str">
        <f>IF('Twenty-Ninth'!H214="", "",'Twenty-Ninth'!H214)</f>
        <v/>
      </c>
      <c r="I7211" s="66" t="str">
        <f>IF('Twenty-Ninth'!I214="", "",'Twenty-Ninth'!I214)</f>
        <v/>
      </c>
      <c r="J7211" s="66" t="str">
        <f>IF('Twenty-Ninth'!J214="", "",'Twenty-Ninth'!J214)</f>
        <v/>
      </c>
      <c r="K7211" s="86" t="str">
        <f>IF('Twenty-Ninth'!K214="", "",'Twenty-Ninth'!K214)</f>
        <v/>
      </c>
      <c r="M7211" s="67" t="str">
        <f t="shared" si="341"/>
        <v/>
      </c>
      <c r="N7211" s="76" t="str">
        <f t="shared" si="342"/>
        <v/>
      </c>
      <c r="O7211" s="33">
        <f t="shared" si="343"/>
        <v>0</v>
      </c>
    </row>
    <row r="7212" spans="1:15" x14ac:dyDescent="0.25">
      <c r="A7212" s="64" t="s">
        <v>226</v>
      </c>
      <c r="B7212" s="79" t="str">
        <f>IF('Twenty-Ninth'!B215="", "",'Twenty-Ninth'!B215)</f>
        <v/>
      </c>
      <c r="C7212" s="66" t="str">
        <f>IF('Twenty-Ninth'!C215="", "",'Twenty-Ninth'!C215)</f>
        <v/>
      </c>
      <c r="D7212" s="66" t="str">
        <f>IF('Twenty-Ninth'!D215="", "",'Twenty-Ninth'!D215)</f>
        <v/>
      </c>
      <c r="E7212" s="66" t="str">
        <f>IF('Twenty-Ninth'!E215="", "",'Twenty-Ninth'!E215)</f>
        <v/>
      </c>
      <c r="F7212" s="66" t="str">
        <f>IF('Twenty-Ninth'!F215="", "",'Twenty-Ninth'!F215)</f>
        <v/>
      </c>
      <c r="G7212" s="66" t="str">
        <f>IF('Twenty-Ninth'!G215="", "",'Twenty-Ninth'!G215)</f>
        <v/>
      </c>
      <c r="H7212" s="66" t="str">
        <f>IF('Twenty-Ninth'!H215="", "",'Twenty-Ninth'!H215)</f>
        <v/>
      </c>
      <c r="I7212" s="66" t="str">
        <f>IF('Twenty-Ninth'!I215="", "",'Twenty-Ninth'!I215)</f>
        <v/>
      </c>
      <c r="J7212" s="66" t="str">
        <f>IF('Twenty-Ninth'!J215="", "",'Twenty-Ninth'!J215)</f>
        <v/>
      </c>
      <c r="K7212" s="86" t="str">
        <f>IF('Twenty-Ninth'!K215="", "",'Twenty-Ninth'!K215)</f>
        <v/>
      </c>
      <c r="M7212" s="67" t="str">
        <f t="shared" si="341"/>
        <v/>
      </c>
      <c r="N7212" s="76" t="str">
        <f t="shared" si="342"/>
        <v/>
      </c>
      <c r="O7212" s="33">
        <f t="shared" si="343"/>
        <v>0</v>
      </c>
    </row>
    <row r="7213" spans="1:15" x14ac:dyDescent="0.25">
      <c r="A7213" s="64" t="s">
        <v>226</v>
      </c>
      <c r="B7213" s="79" t="str">
        <f>IF('Twenty-Ninth'!B216="", "",'Twenty-Ninth'!B216)</f>
        <v/>
      </c>
      <c r="C7213" s="66" t="str">
        <f>IF('Twenty-Ninth'!C216="", "",'Twenty-Ninth'!C216)</f>
        <v/>
      </c>
      <c r="D7213" s="66" t="str">
        <f>IF('Twenty-Ninth'!D216="", "",'Twenty-Ninth'!D216)</f>
        <v/>
      </c>
      <c r="E7213" s="66" t="str">
        <f>IF('Twenty-Ninth'!E216="", "",'Twenty-Ninth'!E216)</f>
        <v/>
      </c>
      <c r="F7213" s="66" t="str">
        <f>IF('Twenty-Ninth'!F216="", "",'Twenty-Ninth'!F216)</f>
        <v/>
      </c>
      <c r="G7213" s="66" t="str">
        <f>IF('Twenty-Ninth'!G216="", "",'Twenty-Ninth'!G216)</f>
        <v/>
      </c>
      <c r="H7213" s="66" t="str">
        <f>IF('Twenty-Ninth'!H216="", "",'Twenty-Ninth'!H216)</f>
        <v/>
      </c>
      <c r="I7213" s="66" t="str">
        <f>IF('Twenty-Ninth'!I216="", "",'Twenty-Ninth'!I216)</f>
        <v/>
      </c>
      <c r="J7213" s="66" t="str">
        <f>IF('Twenty-Ninth'!J216="", "",'Twenty-Ninth'!J216)</f>
        <v/>
      </c>
      <c r="K7213" s="86" t="str">
        <f>IF('Twenty-Ninth'!K216="", "",'Twenty-Ninth'!K216)</f>
        <v/>
      </c>
      <c r="M7213" s="67" t="str">
        <f t="shared" si="341"/>
        <v/>
      </c>
      <c r="N7213" s="76" t="str">
        <f t="shared" si="342"/>
        <v/>
      </c>
      <c r="O7213" s="33">
        <f t="shared" si="343"/>
        <v>0</v>
      </c>
    </row>
    <row r="7214" spans="1:15" x14ac:dyDescent="0.25">
      <c r="A7214" s="64" t="s">
        <v>226</v>
      </c>
      <c r="B7214" s="79" t="str">
        <f>IF('Twenty-Ninth'!B217="", "",'Twenty-Ninth'!B217)</f>
        <v/>
      </c>
      <c r="C7214" s="66" t="str">
        <f>IF('Twenty-Ninth'!C217="", "",'Twenty-Ninth'!C217)</f>
        <v/>
      </c>
      <c r="D7214" s="66" t="str">
        <f>IF('Twenty-Ninth'!D217="", "",'Twenty-Ninth'!D217)</f>
        <v/>
      </c>
      <c r="E7214" s="66" t="str">
        <f>IF('Twenty-Ninth'!E217="", "",'Twenty-Ninth'!E217)</f>
        <v/>
      </c>
      <c r="F7214" s="66" t="str">
        <f>IF('Twenty-Ninth'!F217="", "",'Twenty-Ninth'!F217)</f>
        <v/>
      </c>
      <c r="G7214" s="66" t="str">
        <f>IF('Twenty-Ninth'!G217="", "",'Twenty-Ninth'!G217)</f>
        <v/>
      </c>
      <c r="H7214" s="66" t="str">
        <f>IF('Twenty-Ninth'!H217="", "",'Twenty-Ninth'!H217)</f>
        <v/>
      </c>
      <c r="I7214" s="66" t="str">
        <f>IF('Twenty-Ninth'!I217="", "",'Twenty-Ninth'!I217)</f>
        <v/>
      </c>
      <c r="J7214" s="66" t="str">
        <f>IF('Twenty-Ninth'!J217="", "",'Twenty-Ninth'!J217)</f>
        <v/>
      </c>
      <c r="K7214" s="86" t="str">
        <f>IF('Twenty-Ninth'!K217="", "",'Twenty-Ninth'!K217)</f>
        <v/>
      </c>
      <c r="M7214" s="67" t="str">
        <f t="shared" si="341"/>
        <v/>
      </c>
      <c r="N7214" s="76" t="str">
        <f t="shared" si="342"/>
        <v/>
      </c>
      <c r="O7214" s="33">
        <f t="shared" si="343"/>
        <v>0</v>
      </c>
    </row>
    <row r="7215" spans="1:15" x14ac:dyDescent="0.25">
      <c r="A7215" s="64" t="s">
        <v>226</v>
      </c>
      <c r="B7215" s="79" t="str">
        <f>IF('Twenty-Ninth'!B218="", "",'Twenty-Ninth'!B218)</f>
        <v/>
      </c>
      <c r="C7215" s="66" t="str">
        <f>IF('Twenty-Ninth'!C218="", "",'Twenty-Ninth'!C218)</f>
        <v/>
      </c>
      <c r="D7215" s="66" t="str">
        <f>IF('Twenty-Ninth'!D218="", "",'Twenty-Ninth'!D218)</f>
        <v/>
      </c>
      <c r="E7215" s="66" t="str">
        <f>IF('Twenty-Ninth'!E218="", "",'Twenty-Ninth'!E218)</f>
        <v/>
      </c>
      <c r="F7215" s="66" t="str">
        <f>IF('Twenty-Ninth'!F218="", "",'Twenty-Ninth'!F218)</f>
        <v/>
      </c>
      <c r="G7215" s="66" t="str">
        <f>IF('Twenty-Ninth'!G218="", "",'Twenty-Ninth'!G218)</f>
        <v/>
      </c>
      <c r="H7215" s="66" t="str">
        <f>IF('Twenty-Ninth'!H218="", "",'Twenty-Ninth'!H218)</f>
        <v/>
      </c>
      <c r="I7215" s="66" t="str">
        <f>IF('Twenty-Ninth'!I218="", "",'Twenty-Ninth'!I218)</f>
        <v/>
      </c>
      <c r="J7215" s="66" t="str">
        <f>IF('Twenty-Ninth'!J218="", "",'Twenty-Ninth'!J218)</f>
        <v/>
      </c>
      <c r="K7215" s="86" t="str">
        <f>IF('Twenty-Ninth'!K218="", "",'Twenty-Ninth'!K218)</f>
        <v/>
      </c>
      <c r="M7215" s="67" t="str">
        <f t="shared" si="341"/>
        <v/>
      </c>
      <c r="N7215" s="76" t="str">
        <f t="shared" si="342"/>
        <v/>
      </c>
      <c r="O7215" s="33">
        <f t="shared" si="343"/>
        <v>0</v>
      </c>
    </row>
    <row r="7216" spans="1:15" x14ac:dyDescent="0.25">
      <c r="A7216" s="64" t="s">
        <v>226</v>
      </c>
      <c r="B7216" s="79" t="str">
        <f>IF('Twenty-Ninth'!B219="", "",'Twenty-Ninth'!B219)</f>
        <v/>
      </c>
      <c r="C7216" s="66" t="str">
        <f>IF('Twenty-Ninth'!C219="", "",'Twenty-Ninth'!C219)</f>
        <v/>
      </c>
      <c r="D7216" s="66" t="str">
        <f>IF('Twenty-Ninth'!D219="", "",'Twenty-Ninth'!D219)</f>
        <v/>
      </c>
      <c r="E7216" s="66" t="str">
        <f>IF('Twenty-Ninth'!E219="", "",'Twenty-Ninth'!E219)</f>
        <v/>
      </c>
      <c r="F7216" s="66" t="str">
        <f>IF('Twenty-Ninth'!F219="", "",'Twenty-Ninth'!F219)</f>
        <v/>
      </c>
      <c r="G7216" s="66" t="str">
        <f>IF('Twenty-Ninth'!G219="", "",'Twenty-Ninth'!G219)</f>
        <v/>
      </c>
      <c r="H7216" s="66" t="str">
        <f>IF('Twenty-Ninth'!H219="", "",'Twenty-Ninth'!H219)</f>
        <v/>
      </c>
      <c r="I7216" s="66" t="str">
        <f>IF('Twenty-Ninth'!I219="", "",'Twenty-Ninth'!I219)</f>
        <v/>
      </c>
      <c r="J7216" s="66" t="str">
        <f>IF('Twenty-Ninth'!J219="", "",'Twenty-Ninth'!J219)</f>
        <v/>
      </c>
      <c r="K7216" s="86" t="str">
        <f>IF('Twenty-Ninth'!K219="", "",'Twenty-Ninth'!K219)</f>
        <v/>
      </c>
      <c r="M7216" s="67" t="str">
        <f t="shared" si="341"/>
        <v/>
      </c>
      <c r="N7216" s="76" t="str">
        <f t="shared" si="342"/>
        <v/>
      </c>
      <c r="O7216" s="33">
        <f t="shared" si="343"/>
        <v>0</v>
      </c>
    </row>
    <row r="7217" spans="1:15" x14ac:dyDescent="0.25">
      <c r="A7217" s="64" t="s">
        <v>226</v>
      </c>
      <c r="B7217" s="79" t="str">
        <f>IF('Twenty-Ninth'!B220="", "",'Twenty-Ninth'!B220)</f>
        <v/>
      </c>
      <c r="C7217" s="66" t="str">
        <f>IF('Twenty-Ninth'!C220="", "",'Twenty-Ninth'!C220)</f>
        <v/>
      </c>
      <c r="D7217" s="66" t="str">
        <f>IF('Twenty-Ninth'!D220="", "",'Twenty-Ninth'!D220)</f>
        <v/>
      </c>
      <c r="E7217" s="66" t="str">
        <f>IF('Twenty-Ninth'!E220="", "",'Twenty-Ninth'!E220)</f>
        <v/>
      </c>
      <c r="F7217" s="66" t="str">
        <f>IF('Twenty-Ninth'!F220="", "",'Twenty-Ninth'!F220)</f>
        <v/>
      </c>
      <c r="G7217" s="66" t="str">
        <f>IF('Twenty-Ninth'!G220="", "",'Twenty-Ninth'!G220)</f>
        <v/>
      </c>
      <c r="H7217" s="66" t="str">
        <f>IF('Twenty-Ninth'!H220="", "",'Twenty-Ninth'!H220)</f>
        <v/>
      </c>
      <c r="I7217" s="66" t="str">
        <f>IF('Twenty-Ninth'!I220="", "",'Twenty-Ninth'!I220)</f>
        <v/>
      </c>
      <c r="J7217" s="66" t="str">
        <f>IF('Twenty-Ninth'!J220="", "",'Twenty-Ninth'!J220)</f>
        <v/>
      </c>
      <c r="K7217" s="86" t="str">
        <f>IF('Twenty-Ninth'!K220="", "",'Twenty-Ninth'!K220)</f>
        <v/>
      </c>
      <c r="M7217" s="67" t="str">
        <f t="shared" si="341"/>
        <v/>
      </c>
      <c r="N7217" s="76" t="str">
        <f t="shared" si="342"/>
        <v/>
      </c>
      <c r="O7217" s="33">
        <f t="shared" si="343"/>
        <v>0</v>
      </c>
    </row>
    <row r="7218" spans="1:15" x14ac:dyDescent="0.25">
      <c r="A7218" s="64" t="s">
        <v>226</v>
      </c>
      <c r="B7218" s="79" t="str">
        <f>IF('Twenty-Ninth'!B221="", "",'Twenty-Ninth'!B221)</f>
        <v/>
      </c>
      <c r="C7218" s="66" t="str">
        <f>IF('Twenty-Ninth'!C221="", "",'Twenty-Ninth'!C221)</f>
        <v/>
      </c>
      <c r="D7218" s="66" t="str">
        <f>IF('Twenty-Ninth'!D221="", "",'Twenty-Ninth'!D221)</f>
        <v/>
      </c>
      <c r="E7218" s="66" t="str">
        <f>IF('Twenty-Ninth'!E221="", "",'Twenty-Ninth'!E221)</f>
        <v/>
      </c>
      <c r="F7218" s="66" t="str">
        <f>IF('Twenty-Ninth'!F221="", "",'Twenty-Ninth'!F221)</f>
        <v/>
      </c>
      <c r="G7218" s="66" t="str">
        <f>IF('Twenty-Ninth'!G221="", "",'Twenty-Ninth'!G221)</f>
        <v/>
      </c>
      <c r="H7218" s="66" t="str">
        <f>IF('Twenty-Ninth'!H221="", "",'Twenty-Ninth'!H221)</f>
        <v/>
      </c>
      <c r="I7218" s="66" t="str">
        <f>IF('Twenty-Ninth'!I221="", "",'Twenty-Ninth'!I221)</f>
        <v/>
      </c>
      <c r="J7218" s="66" t="str">
        <f>IF('Twenty-Ninth'!J221="", "",'Twenty-Ninth'!J221)</f>
        <v/>
      </c>
      <c r="K7218" s="86" t="str">
        <f>IF('Twenty-Ninth'!K221="", "",'Twenty-Ninth'!K221)</f>
        <v/>
      </c>
      <c r="M7218" s="67" t="str">
        <f t="shared" si="341"/>
        <v/>
      </c>
      <c r="N7218" s="76" t="str">
        <f t="shared" si="342"/>
        <v/>
      </c>
      <c r="O7218" s="33">
        <f t="shared" si="343"/>
        <v>0</v>
      </c>
    </row>
    <row r="7219" spans="1:15" x14ac:dyDescent="0.25">
      <c r="A7219" s="64" t="s">
        <v>226</v>
      </c>
      <c r="B7219" s="79" t="str">
        <f>IF('Twenty-Ninth'!B222="", "",'Twenty-Ninth'!B222)</f>
        <v/>
      </c>
      <c r="C7219" s="66" t="str">
        <f>IF('Twenty-Ninth'!C222="", "",'Twenty-Ninth'!C222)</f>
        <v/>
      </c>
      <c r="D7219" s="66" t="str">
        <f>IF('Twenty-Ninth'!D222="", "",'Twenty-Ninth'!D222)</f>
        <v/>
      </c>
      <c r="E7219" s="66" t="str">
        <f>IF('Twenty-Ninth'!E222="", "",'Twenty-Ninth'!E222)</f>
        <v/>
      </c>
      <c r="F7219" s="66" t="str">
        <f>IF('Twenty-Ninth'!F222="", "",'Twenty-Ninth'!F222)</f>
        <v/>
      </c>
      <c r="G7219" s="66" t="str">
        <f>IF('Twenty-Ninth'!G222="", "",'Twenty-Ninth'!G222)</f>
        <v/>
      </c>
      <c r="H7219" s="66" t="str">
        <f>IF('Twenty-Ninth'!H222="", "",'Twenty-Ninth'!H222)</f>
        <v/>
      </c>
      <c r="I7219" s="66" t="str">
        <f>IF('Twenty-Ninth'!I222="", "",'Twenty-Ninth'!I222)</f>
        <v/>
      </c>
      <c r="J7219" s="66" t="str">
        <f>IF('Twenty-Ninth'!J222="", "",'Twenty-Ninth'!J222)</f>
        <v/>
      </c>
      <c r="K7219" s="86" t="str">
        <f>IF('Twenty-Ninth'!K222="", "",'Twenty-Ninth'!K222)</f>
        <v/>
      </c>
      <c r="M7219" s="67" t="str">
        <f t="shared" si="341"/>
        <v/>
      </c>
      <c r="N7219" s="76" t="str">
        <f t="shared" si="342"/>
        <v/>
      </c>
      <c r="O7219" s="33">
        <f t="shared" si="343"/>
        <v>0</v>
      </c>
    </row>
    <row r="7220" spans="1:15" x14ac:dyDescent="0.25">
      <c r="A7220" s="64" t="s">
        <v>226</v>
      </c>
      <c r="B7220" s="79" t="str">
        <f>IF('Twenty-Ninth'!B223="", "",'Twenty-Ninth'!B223)</f>
        <v/>
      </c>
      <c r="C7220" s="66" t="str">
        <f>IF('Twenty-Ninth'!C223="", "",'Twenty-Ninth'!C223)</f>
        <v/>
      </c>
      <c r="D7220" s="66" t="str">
        <f>IF('Twenty-Ninth'!D223="", "",'Twenty-Ninth'!D223)</f>
        <v/>
      </c>
      <c r="E7220" s="66" t="str">
        <f>IF('Twenty-Ninth'!E223="", "",'Twenty-Ninth'!E223)</f>
        <v/>
      </c>
      <c r="F7220" s="66" t="str">
        <f>IF('Twenty-Ninth'!F223="", "",'Twenty-Ninth'!F223)</f>
        <v/>
      </c>
      <c r="G7220" s="66" t="str">
        <f>IF('Twenty-Ninth'!G223="", "",'Twenty-Ninth'!G223)</f>
        <v/>
      </c>
      <c r="H7220" s="66" t="str">
        <f>IF('Twenty-Ninth'!H223="", "",'Twenty-Ninth'!H223)</f>
        <v/>
      </c>
      <c r="I7220" s="66" t="str">
        <f>IF('Twenty-Ninth'!I223="", "",'Twenty-Ninth'!I223)</f>
        <v/>
      </c>
      <c r="J7220" s="66" t="str">
        <f>IF('Twenty-Ninth'!J223="", "",'Twenty-Ninth'!J223)</f>
        <v/>
      </c>
      <c r="K7220" s="86" t="str">
        <f>IF('Twenty-Ninth'!K223="", "",'Twenty-Ninth'!K223)</f>
        <v/>
      </c>
      <c r="M7220" s="67" t="str">
        <f t="shared" si="341"/>
        <v/>
      </c>
      <c r="N7220" s="76" t="str">
        <f t="shared" si="342"/>
        <v/>
      </c>
      <c r="O7220" s="33">
        <f t="shared" si="343"/>
        <v>0</v>
      </c>
    </row>
    <row r="7221" spans="1:15" x14ac:dyDescent="0.25">
      <c r="A7221" s="64" t="s">
        <v>226</v>
      </c>
      <c r="B7221" s="79" t="str">
        <f>IF('Twenty-Ninth'!B224="", "",'Twenty-Ninth'!B224)</f>
        <v/>
      </c>
      <c r="C7221" s="66" t="str">
        <f>IF('Twenty-Ninth'!C224="", "",'Twenty-Ninth'!C224)</f>
        <v/>
      </c>
      <c r="D7221" s="66" t="str">
        <f>IF('Twenty-Ninth'!D224="", "",'Twenty-Ninth'!D224)</f>
        <v/>
      </c>
      <c r="E7221" s="66" t="str">
        <f>IF('Twenty-Ninth'!E224="", "",'Twenty-Ninth'!E224)</f>
        <v/>
      </c>
      <c r="F7221" s="66" t="str">
        <f>IF('Twenty-Ninth'!F224="", "",'Twenty-Ninth'!F224)</f>
        <v/>
      </c>
      <c r="G7221" s="66" t="str">
        <f>IF('Twenty-Ninth'!G224="", "",'Twenty-Ninth'!G224)</f>
        <v/>
      </c>
      <c r="H7221" s="66" t="str">
        <f>IF('Twenty-Ninth'!H224="", "",'Twenty-Ninth'!H224)</f>
        <v/>
      </c>
      <c r="I7221" s="66" t="str">
        <f>IF('Twenty-Ninth'!I224="", "",'Twenty-Ninth'!I224)</f>
        <v/>
      </c>
      <c r="J7221" s="66" t="str">
        <f>IF('Twenty-Ninth'!J224="", "",'Twenty-Ninth'!J224)</f>
        <v/>
      </c>
      <c r="K7221" s="86" t="str">
        <f>IF('Twenty-Ninth'!K224="", "",'Twenty-Ninth'!K224)</f>
        <v/>
      </c>
      <c r="M7221" s="67" t="str">
        <f t="shared" si="341"/>
        <v/>
      </c>
      <c r="N7221" s="76" t="str">
        <f t="shared" si="342"/>
        <v/>
      </c>
      <c r="O7221" s="33">
        <f t="shared" si="343"/>
        <v>0</v>
      </c>
    </row>
    <row r="7222" spans="1:15" x14ac:dyDescent="0.25">
      <c r="A7222" s="64" t="s">
        <v>226</v>
      </c>
      <c r="B7222" s="79" t="str">
        <f>IF('Twenty-Ninth'!B225="", "",'Twenty-Ninth'!B225)</f>
        <v/>
      </c>
      <c r="C7222" s="66" t="str">
        <f>IF('Twenty-Ninth'!C225="", "",'Twenty-Ninth'!C225)</f>
        <v/>
      </c>
      <c r="D7222" s="66" t="str">
        <f>IF('Twenty-Ninth'!D225="", "",'Twenty-Ninth'!D225)</f>
        <v/>
      </c>
      <c r="E7222" s="66" t="str">
        <f>IF('Twenty-Ninth'!E225="", "",'Twenty-Ninth'!E225)</f>
        <v/>
      </c>
      <c r="F7222" s="66" t="str">
        <f>IF('Twenty-Ninth'!F225="", "",'Twenty-Ninth'!F225)</f>
        <v/>
      </c>
      <c r="G7222" s="66" t="str">
        <f>IF('Twenty-Ninth'!G225="", "",'Twenty-Ninth'!G225)</f>
        <v/>
      </c>
      <c r="H7222" s="66" t="str">
        <f>IF('Twenty-Ninth'!H225="", "",'Twenty-Ninth'!H225)</f>
        <v/>
      </c>
      <c r="I7222" s="66" t="str">
        <f>IF('Twenty-Ninth'!I225="", "",'Twenty-Ninth'!I225)</f>
        <v/>
      </c>
      <c r="J7222" s="66" t="str">
        <f>IF('Twenty-Ninth'!J225="", "",'Twenty-Ninth'!J225)</f>
        <v/>
      </c>
      <c r="K7222" s="86" t="str">
        <f>IF('Twenty-Ninth'!K225="", "",'Twenty-Ninth'!K225)</f>
        <v/>
      </c>
      <c r="M7222" s="67" t="str">
        <f t="shared" si="341"/>
        <v/>
      </c>
      <c r="N7222" s="76" t="str">
        <f t="shared" si="342"/>
        <v/>
      </c>
      <c r="O7222" s="33">
        <f t="shared" si="343"/>
        <v>0</v>
      </c>
    </row>
    <row r="7223" spans="1:15" x14ac:dyDescent="0.25">
      <c r="A7223" s="64" t="s">
        <v>226</v>
      </c>
      <c r="B7223" s="79" t="str">
        <f>IF('Twenty-Ninth'!B226="", "",'Twenty-Ninth'!B226)</f>
        <v/>
      </c>
      <c r="C7223" s="66" t="str">
        <f>IF('Twenty-Ninth'!C226="", "",'Twenty-Ninth'!C226)</f>
        <v/>
      </c>
      <c r="D7223" s="66" t="str">
        <f>IF('Twenty-Ninth'!D226="", "",'Twenty-Ninth'!D226)</f>
        <v/>
      </c>
      <c r="E7223" s="66" t="str">
        <f>IF('Twenty-Ninth'!E226="", "",'Twenty-Ninth'!E226)</f>
        <v/>
      </c>
      <c r="F7223" s="66" t="str">
        <f>IF('Twenty-Ninth'!F226="", "",'Twenty-Ninth'!F226)</f>
        <v/>
      </c>
      <c r="G7223" s="66" t="str">
        <f>IF('Twenty-Ninth'!G226="", "",'Twenty-Ninth'!G226)</f>
        <v/>
      </c>
      <c r="H7223" s="66" t="str">
        <f>IF('Twenty-Ninth'!H226="", "",'Twenty-Ninth'!H226)</f>
        <v/>
      </c>
      <c r="I7223" s="66" t="str">
        <f>IF('Twenty-Ninth'!I226="", "",'Twenty-Ninth'!I226)</f>
        <v/>
      </c>
      <c r="J7223" s="66" t="str">
        <f>IF('Twenty-Ninth'!J226="", "",'Twenty-Ninth'!J226)</f>
        <v/>
      </c>
      <c r="K7223" s="86" t="str">
        <f>IF('Twenty-Ninth'!K226="", "",'Twenty-Ninth'!K226)</f>
        <v/>
      </c>
      <c r="M7223" s="67" t="str">
        <f t="shared" si="341"/>
        <v/>
      </c>
      <c r="N7223" s="76" t="str">
        <f t="shared" si="342"/>
        <v/>
      </c>
      <c r="O7223" s="33">
        <f t="shared" si="343"/>
        <v>0</v>
      </c>
    </row>
    <row r="7224" spans="1:15" x14ac:dyDescent="0.25">
      <c r="A7224" s="64" t="s">
        <v>226</v>
      </c>
      <c r="B7224" s="79" t="str">
        <f>IF('Twenty-Ninth'!B227="", "",'Twenty-Ninth'!B227)</f>
        <v/>
      </c>
      <c r="C7224" s="66" t="str">
        <f>IF('Twenty-Ninth'!C227="", "",'Twenty-Ninth'!C227)</f>
        <v/>
      </c>
      <c r="D7224" s="66" t="str">
        <f>IF('Twenty-Ninth'!D227="", "",'Twenty-Ninth'!D227)</f>
        <v/>
      </c>
      <c r="E7224" s="66" t="str">
        <f>IF('Twenty-Ninth'!E227="", "",'Twenty-Ninth'!E227)</f>
        <v/>
      </c>
      <c r="F7224" s="66" t="str">
        <f>IF('Twenty-Ninth'!F227="", "",'Twenty-Ninth'!F227)</f>
        <v/>
      </c>
      <c r="G7224" s="66" t="str">
        <f>IF('Twenty-Ninth'!G227="", "",'Twenty-Ninth'!G227)</f>
        <v/>
      </c>
      <c r="H7224" s="66" t="str">
        <f>IF('Twenty-Ninth'!H227="", "",'Twenty-Ninth'!H227)</f>
        <v/>
      </c>
      <c r="I7224" s="66" t="str">
        <f>IF('Twenty-Ninth'!I227="", "",'Twenty-Ninth'!I227)</f>
        <v/>
      </c>
      <c r="J7224" s="66" t="str">
        <f>IF('Twenty-Ninth'!J227="", "",'Twenty-Ninth'!J227)</f>
        <v/>
      </c>
      <c r="K7224" s="86" t="str">
        <f>IF('Twenty-Ninth'!K227="", "",'Twenty-Ninth'!K227)</f>
        <v/>
      </c>
      <c r="M7224" s="67" t="str">
        <f t="shared" si="341"/>
        <v/>
      </c>
      <c r="N7224" s="76" t="str">
        <f t="shared" si="342"/>
        <v/>
      </c>
      <c r="O7224" s="33">
        <f t="shared" si="343"/>
        <v>0</v>
      </c>
    </row>
    <row r="7225" spans="1:15" x14ac:dyDescent="0.25">
      <c r="A7225" s="64" t="s">
        <v>226</v>
      </c>
      <c r="B7225" s="79" t="str">
        <f>IF('Twenty-Ninth'!B228="", "",'Twenty-Ninth'!B228)</f>
        <v/>
      </c>
      <c r="C7225" s="66" t="str">
        <f>IF('Twenty-Ninth'!C228="", "",'Twenty-Ninth'!C228)</f>
        <v/>
      </c>
      <c r="D7225" s="66" t="str">
        <f>IF('Twenty-Ninth'!D228="", "",'Twenty-Ninth'!D228)</f>
        <v/>
      </c>
      <c r="E7225" s="66" t="str">
        <f>IF('Twenty-Ninth'!E228="", "",'Twenty-Ninth'!E228)</f>
        <v/>
      </c>
      <c r="F7225" s="66" t="str">
        <f>IF('Twenty-Ninth'!F228="", "",'Twenty-Ninth'!F228)</f>
        <v/>
      </c>
      <c r="G7225" s="66" t="str">
        <f>IF('Twenty-Ninth'!G228="", "",'Twenty-Ninth'!G228)</f>
        <v/>
      </c>
      <c r="H7225" s="66" t="str">
        <f>IF('Twenty-Ninth'!H228="", "",'Twenty-Ninth'!H228)</f>
        <v/>
      </c>
      <c r="I7225" s="66" t="str">
        <f>IF('Twenty-Ninth'!I228="", "",'Twenty-Ninth'!I228)</f>
        <v/>
      </c>
      <c r="J7225" s="66" t="str">
        <f>IF('Twenty-Ninth'!J228="", "",'Twenty-Ninth'!J228)</f>
        <v/>
      </c>
      <c r="K7225" s="86" t="str">
        <f>IF('Twenty-Ninth'!K228="", "",'Twenty-Ninth'!K228)</f>
        <v/>
      </c>
      <c r="M7225" s="67" t="str">
        <f t="shared" si="341"/>
        <v/>
      </c>
      <c r="N7225" s="76" t="str">
        <f t="shared" si="342"/>
        <v/>
      </c>
      <c r="O7225" s="33">
        <f t="shared" si="343"/>
        <v>0</v>
      </c>
    </row>
    <row r="7226" spans="1:15" x14ac:dyDescent="0.25">
      <c r="A7226" s="64" t="s">
        <v>226</v>
      </c>
      <c r="B7226" s="79" t="str">
        <f>IF('Twenty-Ninth'!B229="", "",'Twenty-Ninth'!B229)</f>
        <v/>
      </c>
      <c r="C7226" s="66" t="str">
        <f>IF('Twenty-Ninth'!C229="", "",'Twenty-Ninth'!C229)</f>
        <v/>
      </c>
      <c r="D7226" s="66" t="str">
        <f>IF('Twenty-Ninth'!D229="", "",'Twenty-Ninth'!D229)</f>
        <v/>
      </c>
      <c r="E7226" s="66" t="str">
        <f>IF('Twenty-Ninth'!E229="", "",'Twenty-Ninth'!E229)</f>
        <v/>
      </c>
      <c r="F7226" s="66" t="str">
        <f>IF('Twenty-Ninth'!F229="", "",'Twenty-Ninth'!F229)</f>
        <v/>
      </c>
      <c r="G7226" s="66" t="str">
        <f>IF('Twenty-Ninth'!G229="", "",'Twenty-Ninth'!G229)</f>
        <v/>
      </c>
      <c r="H7226" s="66" t="str">
        <f>IF('Twenty-Ninth'!H229="", "",'Twenty-Ninth'!H229)</f>
        <v/>
      </c>
      <c r="I7226" s="66" t="str">
        <f>IF('Twenty-Ninth'!I229="", "",'Twenty-Ninth'!I229)</f>
        <v/>
      </c>
      <c r="J7226" s="66" t="str">
        <f>IF('Twenty-Ninth'!J229="", "",'Twenty-Ninth'!J229)</f>
        <v/>
      </c>
      <c r="K7226" s="86" t="str">
        <f>IF('Twenty-Ninth'!K229="", "",'Twenty-Ninth'!K229)</f>
        <v/>
      </c>
      <c r="M7226" s="67" t="str">
        <f t="shared" si="341"/>
        <v/>
      </c>
      <c r="N7226" s="76" t="str">
        <f t="shared" si="342"/>
        <v/>
      </c>
      <c r="O7226" s="33">
        <f t="shared" si="343"/>
        <v>0</v>
      </c>
    </row>
    <row r="7227" spans="1:15" x14ac:dyDescent="0.25">
      <c r="A7227" s="64" t="s">
        <v>226</v>
      </c>
      <c r="B7227" s="79" t="str">
        <f>IF('Twenty-Ninth'!B230="", "",'Twenty-Ninth'!B230)</f>
        <v/>
      </c>
      <c r="C7227" s="66" t="str">
        <f>IF('Twenty-Ninth'!C230="", "",'Twenty-Ninth'!C230)</f>
        <v/>
      </c>
      <c r="D7227" s="66" t="str">
        <f>IF('Twenty-Ninth'!D230="", "",'Twenty-Ninth'!D230)</f>
        <v/>
      </c>
      <c r="E7227" s="66" t="str">
        <f>IF('Twenty-Ninth'!E230="", "",'Twenty-Ninth'!E230)</f>
        <v/>
      </c>
      <c r="F7227" s="66" t="str">
        <f>IF('Twenty-Ninth'!F230="", "",'Twenty-Ninth'!F230)</f>
        <v/>
      </c>
      <c r="G7227" s="66" t="str">
        <f>IF('Twenty-Ninth'!G230="", "",'Twenty-Ninth'!G230)</f>
        <v/>
      </c>
      <c r="H7227" s="66" t="str">
        <f>IF('Twenty-Ninth'!H230="", "",'Twenty-Ninth'!H230)</f>
        <v/>
      </c>
      <c r="I7227" s="66" t="str">
        <f>IF('Twenty-Ninth'!I230="", "",'Twenty-Ninth'!I230)</f>
        <v/>
      </c>
      <c r="J7227" s="66" t="str">
        <f>IF('Twenty-Ninth'!J230="", "",'Twenty-Ninth'!J230)</f>
        <v/>
      </c>
      <c r="K7227" s="86" t="str">
        <f>IF('Twenty-Ninth'!K230="", "",'Twenty-Ninth'!K230)</f>
        <v/>
      </c>
      <c r="M7227" s="67" t="str">
        <f t="shared" si="341"/>
        <v/>
      </c>
      <c r="N7227" s="76" t="str">
        <f t="shared" si="342"/>
        <v/>
      </c>
      <c r="O7227" s="33">
        <f t="shared" si="343"/>
        <v>0</v>
      </c>
    </row>
    <row r="7228" spans="1:15" x14ac:dyDescent="0.25">
      <c r="A7228" s="64" t="s">
        <v>226</v>
      </c>
      <c r="B7228" s="79" t="str">
        <f>IF('Twenty-Ninth'!B231="", "",'Twenty-Ninth'!B231)</f>
        <v/>
      </c>
      <c r="C7228" s="66" t="str">
        <f>IF('Twenty-Ninth'!C231="", "",'Twenty-Ninth'!C231)</f>
        <v/>
      </c>
      <c r="D7228" s="66" t="str">
        <f>IF('Twenty-Ninth'!D231="", "",'Twenty-Ninth'!D231)</f>
        <v/>
      </c>
      <c r="E7228" s="66" t="str">
        <f>IF('Twenty-Ninth'!E231="", "",'Twenty-Ninth'!E231)</f>
        <v/>
      </c>
      <c r="F7228" s="66" t="str">
        <f>IF('Twenty-Ninth'!F231="", "",'Twenty-Ninth'!F231)</f>
        <v/>
      </c>
      <c r="G7228" s="66" t="str">
        <f>IF('Twenty-Ninth'!G231="", "",'Twenty-Ninth'!G231)</f>
        <v/>
      </c>
      <c r="H7228" s="66" t="str">
        <f>IF('Twenty-Ninth'!H231="", "",'Twenty-Ninth'!H231)</f>
        <v/>
      </c>
      <c r="I7228" s="66" t="str">
        <f>IF('Twenty-Ninth'!I231="", "",'Twenty-Ninth'!I231)</f>
        <v/>
      </c>
      <c r="J7228" s="66" t="str">
        <f>IF('Twenty-Ninth'!J231="", "",'Twenty-Ninth'!J231)</f>
        <v/>
      </c>
      <c r="K7228" s="86" t="str">
        <f>IF('Twenty-Ninth'!K231="", "",'Twenty-Ninth'!K231)</f>
        <v/>
      </c>
      <c r="M7228" s="67" t="str">
        <f t="shared" si="341"/>
        <v/>
      </c>
      <c r="N7228" s="76" t="str">
        <f t="shared" si="342"/>
        <v/>
      </c>
      <c r="O7228" s="33">
        <f t="shared" si="343"/>
        <v>0</v>
      </c>
    </row>
    <row r="7229" spans="1:15" x14ac:dyDescent="0.25">
      <c r="A7229" s="64" t="s">
        <v>226</v>
      </c>
      <c r="B7229" s="79" t="str">
        <f>IF('Twenty-Ninth'!B232="", "",'Twenty-Ninth'!B232)</f>
        <v/>
      </c>
      <c r="C7229" s="66" t="str">
        <f>IF('Twenty-Ninth'!C232="", "",'Twenty-Ninth'!C232)</f>
        <v/>
      </c>
      <c r="D7229" s="66" t="str">
        <f>IF('Twenty-Ninth'!D232="", "",'Twenty-Ninth'!D232)</f>
        <v/>
      </c>
      <c r="E7229" s="66" t="str">
        <f>IF('Twenty-Ninth'!E232="", "",'Twenty-Ninth'!E232)</f>
        <v/>
      </c>
      <c r="F7229" s="66" t="str">
        <f>IF('Twenty-Ninth'!F232="", "",'Twenty-Ninth'!F232)</f>
        <v/>
      </c>
      <c r="G7229" s="66" t="str">
        <f>IF('Twenty-Ninth'!G232="", "",'Twenty-Ninth'!G232)</f>
        <v/>
      </c>
      <c r="H7229" s="66" t="str">
        <f>IF('Twenty-Ninth'!H232="", "",'Twenty-Ninth'!H232)</f>
        <v/>
      </c>
      <c r="I7229" s="66" t="str">
        <f>IF('Twenty-Ninth'!I232="", "",'Twenty-Ninth'!I232)</f>
        <v/>
      </c>
      <c r="J7229" s="66" t="str">
        <f>IF('Twenty-Ninth'!J232="", "",'Twenty-Ninth'!J232)</f>
        <v/>
      </c>
      <c r="K7229" s="86" t="str">
        <f>IF('Twenty-Ninth'!K232="", "",'Twenty-Ninth'!K232)</f>
        <v/>
      </c>
      <c r="M7229" s="67" t="str">
        <f t="shared" si="341"/>
        <v/>
      </c>
      <c r="N7229" s="76" t="str">
        <f t="shared" si="342"/>
        <v/>
      </c>
      <c r="O7229" s="33">
        <f t="shared" si="343"/>
        <v>0</v>
      </c>
    </row>
    <row r="7230" spans="1:15" x14ac:dyDescent="0.25">
      <c r="A7230" s="64" t="s">
        <v>226</v>
      </c>
      <c r="B7230" s="79" t="str">
        <f>IF('Twenty-Ninth'!B233="", "",'Twenty-Ninth'!B233)</f>
        <v/>
      </c>
      <c r="C7230" s="66" t="str">
        <f>IF('Twenty-Ninth'!C233="", "",'Twenty-Ninth'!C233)</f>
        <v/>
      </c>
      <c r="D7230" s="66" t="str">
        <f>IF('Twenty-Ninth'!D233="", "",'Twenty-Ninth'!D233)</f>
        <v/>
      </c>
      <c r="E7230" s="66" t="str">
        <f>IF('Twenty-Ninth'!E233="", "",'Twenty-Ninth'!E233)</f>
        <v/>
      </c>
      <c r="F7230" s="66" t="str">
        <f>IF('Twenty-Ninth'!F233="", "",'Twenty-Ninth'!F233)</f>
        <v/>
      </c>
      <c r="G7230" s="66" t="str">
        <f>IF('Twenty-Ninth'!G233="", "",'Twenty-Ninth'!G233)</f>
        <v/>
      </c>
      <c r="H7230" s="66" t="str">
        <f>IF('Twenty-Ninth'!H233="", "",'Twenty-Ninth'!H233)</f>
        <v/>
      </c>
      <c r="I7230" s="66" t="str">
        <f>IF('Twenty-Ninth'!I233="", "",'Twenty-Ninth'!I233)</f>
        <v/>
      </c>
      <c r="J7230" s="66" t="str">
        <f>IF('Twenty-Ninth'!J233="", "",'Twenty-Ninth'!J233)</f>
        <v/>
      </c>
      <c r="K7230" s="86" t="str">
        <f>IF('Twenty-Ninth'!K233="", "",'Twenty-Ninth'!K233)</f>
        <v/>
      </c>
      <c r="M7230" s="67" t="str">
        <f t="shared" si="341"/>
        <v/>
      </c>
      <c r="N7230" s="76" t="str">
        <f t="shared" si="342"/>
        <v/>
      </c>
      <c r="O7230" s="33">
        <f t="shared" si="343"/>
        <v>0</v>
      </c>
    </row>
    <row r="7231" spans="1:15" x14ac:dyDescent="0.25">
      <c r="A7231" s="64" t="s">
        <v>226</v>
      </c>
      <c r="B7231" s="79" t="str">
        <f>IF('Twenty-Ninth'!B234="", "",'Twenty-Ninth'!B234)</f>
        <v/>
      </c>
      <c r="C7231" s="66" t="str">
        <f>IF('Twenty-Ninth'!C234="", "",'Twenty-Ninth'!C234)</f>
        <v/>
      </c>
      <c r="D7231" s="66" t="str">
        <f>IF('Twenty-Ninth'!D234="", "",'Twenty-Ninth'!D234)</f>
        <v/>
      </c>
      <c r="E7231" s="66" t="str">
        <f>IF('Twenty-Ninth'!E234="", "",'Twenty-Ninth'!E234)</f>
        <v/>
      </c>
      <c r="F7231" s="66" t="str">
        <f>IF('Twenty-Ninth'!F234="", "",'Twenty-Ninth'!F234)</f>
        <v/>
      </c>
      <c r="G7231" s="66" t="str">
        <f>IF('Twenty-Ninth'!G234="", "",'Twenty-Ninth'!G234)</f>
        <v/>
      </c>
      <c r="H7231" s="66" t="str">
        <f>IF('Twenty-Ninth'!H234="", "",'Twenty-Ninth'!H234)</f>
        <v/>
      </c>
      <c r="I7231" s="66" t="str">
        <f>IF('Twenty-Ninth'!I234="", "",'Twenty-Ninth'!I234)</f>
        <v/>
      </c>
      <c r="J7231" s="66" t="str">
        <f>IF('Twenty-Ninth'!J234="", "",'Twenty-Ninth'!J234)</f>
        <v/>
      </c>
      <c r="K7231" s="86" t="str">
        <f>IF('Twenty-Ninth'!K234="", "",'Twenty-Ninth'!K234)</f>
        <v/>
      </c>
      <c r="M7231" s="67" t="str">
        <f t="shared" ref="M7231:M7294" si="344">IF(C7231="PwC",(7-COUNTIF(B7231:H7231,"")),"")</f>
        <v/>
      </c>
      <c r="N7231" s="76" t="str">
        <f t="shared" ref="N7231:N7294" si="345">IF(C7231="Carer",(7-COUNTIF(B7231:H7231,"")),"")</f>
        <v/>
      </c>
      <c r="O7231" s="33">
        <f t="shared" si="343"/>
        <v>0</v>
      </c>
    </row>
    <row r="7232" spans="1:15" x14ac:dyDescent="0.25">
      <c r="A7232" s="64" t="s">
        <v>226</v>
      </c>
      <c r="B7232" s="79" t="str">
        <f>IF('Twenty-Ninth'!B235="", "",'Twenty-Ninth'!B235)</f>
        <v/>
      </c>
      <c r="C7232" s="66" t="str">
        <f>IF('Twenty-Ninth'!C235="", "",'Twenty-Ninth'!C235)</f>
        <v/>
      </c>
      <c r="D7232" s="66" t="str">
        <f>IF('Twenty-Ninth'!D235="", "",'Twenty-Ninth'!D235)</f>
        <v/>
      </c>
      <c r="E7232" s="66" t="str">
        <f>IF('Twenty-Ninth'!E235="", "",'Twenty-Ninth'!E235)</f>
        <v/>
      </c>
      <c r="F7232" s="66" t="str">
        <f>IF('Twenty-Ninth'!F235="", "",'Twenty-Ninth'!F235)</f>
        <v/>
      </c>
      <c r="G7232" s="66" t="str">
        <f>IF('Twenty-Ninth'!G235="", "",'Twenty-Ninth'!G235)</f>
        <v/>
      </c>
      <c r="H7232" s="66" t="str">
        <f>IF('Twenty-Ninth'!H235="", "",'Twenty-Ninth'!H235)</f>
        <v/>
      </c>
      <c r="I7232" s="66" t="str">
        <f>IF('Twenty-Ninth'!I235="", "",'Twenty-Ninth'!I235)</f>
        <v/>
      </c>
      <c r="J7232" s="66" t="str">
        <f>IF('Twenty-Ninth'!J235="", "",'Twenty-Ninth'!J235)</f>
        <v/>
      </c>
      <c r="K7232" s="86" t="str">
        <f>IF('Twenty-Ninth'!K235="", "",'Twenty-Ninth'!K235)</f>
        <v/>
      </c>
      <c r="M7232" s="67" t="str">
        <f t="shared" si="344"/>
        <v/>
      </c>
      <c r="N7232" s="76" t="str">
        <f t="shared" si="345"/>
        <v/>
      </c>
      <c r="O7232" s="33">
        <f t="shared" si="343"/>
        <v>0</v>
      </c>
    </row>
    <row r="7233" spans="1:15" x14ac:dyDescent="0.25">
      <c r="A7233" s="64" t="s">
        <v>226</v>
      </c>
      <c r="B7233" s="79" t="str">
        <f>IF('Twenty-Ninth'!B236="", "",'Twenty-Ninth'!B236)</f>
        <v/>
      </c>
      <c r="C7233" s="66" t="str">
        <f>IF('Twenty-Ninth'!C236="", "",'Twenty-Ninth'!C236)</f>
        <v/>
      </c>
      <c r="D7233" s="66" t="str">
        <f>IF('Twenty-Ninth'!D236="", "",'Twenty-Ninth'!D236)</f>
        <v/>
      </c>
      <c r="E7233" s="66" t="str">
        <f>IF('Twenty-Ninth'!E236="", "",'Twenty-Ninth'!E236)</f>
        <v/>
      </c>
      <c r="F7233" s="66" t="str">
        <f>IF('Twenty-Ninth'!F236="", "",'Twenty-Ninth'!F236)</f>
        <v/>
      </c>
      <c r="G7233" s="66" t="str">
        <f>IF('Twenty-Ninth'!G236="", "",'Twenty-Ninth'!G236)</f>
        <v/>
      </c>
      <c r="H7233" s="66" t="str">
        <f>IF('Twenty-Ninth'!H236="", "",'Twenty-Ninth'!H236)</f>
        <v/>
      </c>
      <c r="I7233" s="66" t="str">
        <f>IF('Twenty-Ninth'!I236="", "",'Twenty-Ninth'!I236)</f>
        <v/>
      </c>
      <c r="J7233" s="66" t="str">
        <f>IF('Twenty-Ninth'!J236="", "",'Twenty-Ninth'!J236)</f>
        <v/>
      </c>
      <c r="K7233" s="86" t="str">
        <f>IF('Twenty-Ninth'!K236="", "",'Twenty-Ninth'!K236)</f>
        <v/>
      </c>
      <c r="M7233" s="67" t="str">
        <f t="shared" si="344"/>
        <v/>
      </c>
      <c r="N7233" s="76" t="str">
        <f t="shared" si="345"/>
        <v/>
      </c>
      <c r="O7233" s="33">
        <f t="shared" si="343"/>
        <v>0</v>
      </c>
    </row>
    <row r="7234" spans="1:15" x14ac:dyDescent="0.25">
      <c r="A7234" s="64" t="s">
        <v>226</v>
      </c>
      <c r="B7234" s="79" t="str">
        <f>IF('Twenty-Ninth'!B237="", "",'Twenty-Ninth'!B237)</f>
        <v/>
      </c>
      <c r="C7234" s="66" t="str">
        <f>IF('Twenty-Ninth'!C237="", "",'Twenty-Ninth'!C237)</f>
        <v/>
      </c>
      <c r="D7234" s="66" t="str">
        <f>IF('Twenty-Ninth'!D237="", "",'Twenty-Ninth'!D237)</f>
        <v/>
      </c>
      <c r="E7234" s="66" t="str">
        <f>IF('Twenty-Ninth'!E237="", "",'Twenty-Ninth'!E237)</f>
        <v/>
      </c>
      <c r="F7234" s="66" t="str">
        <f>IF('Twenty-Ninth'!F237="", "",'Twenty-Ninth'!F237)</f>
        <v/>
      </c>
      <c r="G7234" s="66" t="str">
        <f>IF('Twenty-Ninth'!G237="", "",'Twenty-Ninth'!G237)</f>
        <v/>
      </c>
      <c r="H7234" s="66" t="str">
        <f>IF('Twenty-Ninth'!H237="", "",'Twenty-Ninth'!H237)</f>
        <v/>
      </c>
      <c r="I7234" s="66" t="str">
        <f>IF('Twenty-Ninth'!I237="", "",'Twenty-Ninth'!I237)</f>
        <v/>
      </c>
      <c r="J7234" s="66" t="str">
        <f>IF('Twenty-Ninth'!J237="", "",'Twenty-Ninth'!J237)</f>
        <v/>
      </c>
      <c r="K7234" s="86" t="str">
        <f>IF('Twenty-Ninth'!K237="", "",'Twenty-Ninth'!K237)</f>
        <v/>
      </c>
      <c r="M7234" s="67" t="str">
        <f t="shared" si="344"/>
        <v/>
      </c>
      <c r="N7234" s="76" t="str">
        <f t="shared" si="345"/>
        <v/>
      </c>
      <c r="O7234" s="33">
        <f t="shared" si="343"/>
        <v>0</v>
      </c>
    </row>
    <row r="7235" spans="1:15" x14ac:dyDescent="0.25">
      <c r="A7235" s="64" t="s">
        <v>226</v>
      </c>
      <c r="B7235" s="79" t="str">
        <f>IF('Twenty-Ninth'!B238="", "",'Twenty-Ninth'!B238)</f>
        <v/>
      </c>
      <c r="C7235" s="66" t="str">
        <f>IF('Twenty-Ninth'!C238="", "",'Twenty-Ninth'!C238)</f>
        <v/>
      </c>
      <c r="D7235" s="66" t="str">
        <f>IF('Twenty-Ninth'!D238="", "",'Twenty-Ninth'!D238)</f>
        <v/>
      </c>
      <c r="E7235" s="66" t="str">
        <f>IF('Twenty-Ninth'!E238="", "",'Twenty-Ninth'!E238)</f>
        <v/>
      </c>
      <c r="F7235" s="66" t="str">
        <f>IF('Twenty-Ninth'!F238="", "",'Twenty-Ninth'!F238)</f>
        <v/>
      </c>
      <c r="G7235" s="66" t="str">
        <f>IF('Twenty-Ninth'!G238="", "",'Twenty-Ninth'!G238)</f>
        <v/>
      </c>
      <c r="H7235" s="66" t="str">
        <f>IF('Twenty-Ninth'!H238="", "",'Twenty-Ninth'!H238)</f>
        <v/>
      </c>
      <c r="I7235" s="66" t="str">
        <f>IF('Twenty-Ninth'!I238="", "",'Twenty-Ninth'!I238)</f>
        <v/>
      </c>
      <c r="J7235" s="66" t="str">
        <f>IF('Twenty-Ninth'!J238="", "",'Twenty-Ninth'!J238)</f>
        <v/>
      </c>
      <c r="K7235" s="86" t="str">
        <f>IF('Twenty-Ninth'!K238="", "",'Twenty-Ninth'!K238)</f>
        <v/>
      </c>
      <c r="M7235" s="67" t="str">
        <f t="shared" si="344"/>
        <v/>
      </c>
      <c r="N7235" s="76" t="str">
        <f t="shared" si="345"/>
        <v/>
      </c>
      <c r="O7235" s="33">
        <f t="shared" si="343"/>
        <v>0</v>
      </c>
    </row>
    <row r="7236" spans="1:15" x14ac:dyDescent="0.25">
      <c r="A7236" s="64" t="s">
        <v>226</v>
      </c>
      <c r="B7236" s="79" t="str">
        <f>IF('Twenty-Ninth'!B239="", "",'Twenty-Ninth'!B239)</f>
        <v/>
      </c>
      <c r="C7236" s="66" t="str">
        <f>IF('Twenty-Ninth'!C239="", "",'Twenty-Ninth'!C239)</f>
        <v/>
      </c>
      <c r="D7236" s="66" t="str">
        <f>IF('Twenty-Ninth'!D239="", "",'Twenty-Ninth'!D239)</f>
        <v/>
      </c>
      <c r="E7236" s="66" t="str">
        <f>IF('Twenty-Ninth'!E239="", "",'Twenty-Ninth'!E239)</f>
        <v/>
      </c>
      <c r="F7236" s="66" t="str">
        <f>IF('Twenty-Ninth'!F239="", "",'Twenty-Ninth'!F239)</f>
        <v/>
      </c>
      <c r="G7236" s="66" t="str">
        <f>IF('Twenty-Ninth'!G239="", "",'Twenty-Ninth'!G239)</f>
        <v/>
      </c>
      <c r="H7236" s="66" t="str">
        <f>IF('Twenty-Ninth'!H239="", "",'Twenty-Ninth'!H239)</f>
        <v/>
      </c>
      <c r="I7236" s="66" t="str">
        <f>IF('Twenty-Ninth'!I239="", "",'Twenty-Ninth'!I239)</f>
        <v/>
      </c>
      <c r="J7236" s="66" t="str">
        <f>IF('Twenty-Ninth'!J239="", "",'Twenty-Ninth'!J239)</f>
        <v/>
      </c>
      <c r="K7236" s="86" t="str">
        <f>IF('Twenty-Ninth'!K239="", "",'Twenty-Ninth'!K239)</f>
        <v/>
      </c>
      <c r="M7236" s="67" t="str">
        <f t="shared" si="344"/>
        <v/>
      </c>
      <c r="N7236" s="76" t="str">
        <f t="shared" si="345"/>
        <v/>
      </c>
      <c r="O7236" s="33">
        <f t="shared" si="343"/>
        <v>0</v>
      </c>
    </row>
    <row r="7237" spans="1:15" x14ac:dyDescent="0.25">
      <c r="A7237" s="64" t="s">
        <v>226</v>
      </c>
      <c r="B7237" s="79" t="str">
        <f>IF('Twenty-Ninth'!B240="", "",'Twenty-Ninth'!B240)</f>
        <v/>
      </c>
      <c r="C7237" s="66" t="str">
        <f>IF('Twenty-Ninth'!C240="", "",'Twenty-Ninth'!C240)</f>
        <v/>
      </c>
      <c r="D7237" s="66" t="str">
        <f>IF('Twenty-Ninth'!D240="", "",'Twenty-Ninth'!D240)</f>
        <v/>
      </c>
      <c r="E7237" s="66" t="str">
        <f>IF('Twenty-Ninth'!E240="", "",'Twenty-Ninth'!E240)</f>
        <v/>
      </c>
      <c r="F7237" s="66" t="str">
        <f>IF('Twenty-Ninth'!F240="", "",'Twenty-Ninth'!F240)</f>
        <v/>
      </c>
      <c r="G7237" s="66" t="str">
        <f>IF('Twenty-Ninth'!G240="", "",'Twenty-Ninth'!G240)</f>
        <v/>
      </c>
      <c r="H7237" s="66" t="str">
        <f>IF('Twenty-Ninth'!H240="", "",'Twenty-Ninth'!H240)</f>
        <v/>
      </c>
      <c r="I7237" s="66" t="str">
        <f>IF('Twenty-Ninth'!I240="", "",'Twenty-Ninth'!I240)</f>
        <v/>
      </c>
      <c r="J7237" s="66" t="str">
        <f>IF('Twenty-Ninth'!J240="", "",'Twenty-Ninth'!J240)</f>
        <v/>
      </c>
      <c r="K7237" s="86" t="str">
        <f>IF('Twenty-Ninth'!K240="", "",'Twenty-Ninth'!K240)</f>
        <v/>
      </c>
      <c r="M7237" s="67" t="str">
        <f t="shared" si="344"/>
        <v/>
      </c>
      <c r="N7237" s="76" t="str">
        <f t="shared" si="345"/>
        <v/>
      </c>
      <c r="O7237" s="33">
        <f t="shared" si="343"/>
        <v>0</v>
      </c>
    </row>
    <row r="7238" spans="1:15" x14ac:dyDescent="0.25">
      <c r="A7238" s="64" t="s">
        <v>226</v>
      </c>
      <c r="B7238" s="79" t="str">
        <f>IF('Twenty-Ninth'!B241="", "",'Twenty-Ninth'!B241)</f>
        <v/>
      </c>
      <c r="C7238" s="66" t="str">
        <f>IF('Twenty-Ninth'!C241="", "",'Twenty-Ninth'!C241)</f>
        <v/>
      </c>
      <c r="D7238" s="66" t="str">
        <f>IF('Twenty-Ninth'!D241="", "",'Twenty-Ninth'!D241)</f>
        <v/>
      </c>
      <c r="E7238" s="66" t="str">
        <f>IF('Twenty-Ninth'!E241="", "",'Twenty-Ninth'!E241)</f>
        <v/>
      </c>
      <c r="F7238" s="66" t="str">
        <f>IF('Twenty-Ninth'!F241="", "",'Twenty-Ninth'!F241)</f>
        <v/>
      </c>
      <c r="G7238" s="66" t="str">
        <f>IF('Twenty-Ninth'!G241="", "",'Twenty-Ninth'!G241)</f>
        <v/>
      </c>
      <c r="H7238" s="66" t="str">
        <f>IF('Twenty-Ninth'!H241="", "",'Twenty-Ninth'!H241)</f>
        <v/>
      </c>
      <c r="I7238" s="66" t="str">
        <f>IF('Twenty-Ninth'!I241="", "",'Twenty-Ninth'!I241)</f>
        <v/>
      </c>
      <c r="J7238" s="66" t="str">
        <f>IF('Twenty-Ninth'!J241="", "",'Twenty-Ninth'!J241)</f>
        <v/>
      </c>
      <c r="K7238" s="86" t="str">
        <f>IF('Twenty-Ninth'!K241="", "",'Twenty-Ninth'!K241)</f>
        <v/>
      </c>
      <c r="M7238" s="67" t="str">
        <f t="shared" si="344"/>
        <v/>
      </c>
      <c r="N7238" s="76" t="str">
        <f t="shared" si="345"/>
        <v/>
      </c>
      <c r="O7238" s="33">
        <f t="shared" si="343"/>
        <v>0</v>
      </c>
    </row>
    <row r="7239" spans="1:15" x14ac:dyDescent="0.25">
      <c r="A7239" s="64" t="s">
        <v>226</v>
      </c>
      <c r="B7239" s="79" t="str">
        <f>IF('Twenty-Ninth'!B242="", "",'Twenty-Ninth'!B242)</f>
        <v/>
      </c>
      <c r="C7239" s="66" t="str">
        <f>IF('Twenty-Ninth'!C242="", "",'Twenty-Ninth'!C242)</f>
        <v/>
      </c>
      <c r="D7239" s="66" t="str">
        <f>IF('Twenty-Ninth'!D242="", "",'Twenty-Ninth'!D242)</f>
        <v/>
      </c>
      <c r="E7239" s="66" t="str">
        <f>IF('Twenty-Ninth'!E242="", "",'Twenty-Ninth'!E242)</f>
        <v/>
      </c>
      <c r="F7239" s="66" t="str">
        <f>IF('Twenty-Ninth'!F242="", "",'Twenty-Ninth'!F242)</f>
        <v/>
      </c>
      <c r="G7239" s="66" t="str">
        <f>IF('Twenty-Ninth'!G242="", "",'Twenty-Ninth'!G242)</f>
        <v/>
      </c>
      <c r="H7239" s="66" t="str">
        <f>IF('Twenty-Ninth'!H242="", "",'Twenty-Ninth'!H242)</f>
        <v/>
      </c>
      <c r="I7239" s="66" t="str">
        <f>IF('Twenty-Ninth'!I242="", "",'Twenty-Ninth'!I242)</f>
        <v/>
      </c>
      <c r="J7239" s="66" t="str">
        <f>IF('Twenty-Ninth'!J242="", "",'Twenty-Ninth'!J242)</f>
        <v/>
      </c>
      <c r="K7239" s="86" t="str">
        <f>IF('Twenty-Ninth'!K242="", "",'Twenty-Ninth'!K242)</f>
        <v/>
      </c>
      <c r="M7239" s="67" t="str">
        <f t="shared" si="344"/>
        <v/>
      </c>
      <c r="N7239" s="76" t="str">
        <f t="shared" si="345"/>
        <v/>
      </c>
      <c r="O7239" s="33">
        <f t="shared" si="343"/>
        <v>0</v>
      </c>
    </row>
    <row r="7240" spans="1:15" x14ac:dyDescent="0.25">
      <c r="A7240" s="64" t="s">
        <v>226</v>
      </c>
      <c r="B7240" s="79" t="str">
        <f>IF('Twenty-Ninth'!B243="", "",'Twenty-Ninth'!B243)</f>
        <v/>
      </c>
      <c r="C7240" s="66" t="str">
        <f>IF('Twenty-Ninth'!C243="", "",'Twenty-Ninth'!C243)</f>
        <v/>
      </c>
      <c r="D7240" s="66" t="str">
        <f>IF('Twenty-Ninth'!D243="", "",'Twenty-Ninth'!D243)</f>
        <v/>
      </c>
      <c r="E7240" s="66" t="str">
        <f>IF('Twenty-Ninth'!E243="", "",'Twenty-Ninth'!E243)</f>
        <v/>
      </c>
      <c r="F7240" s="66" t="str">
        <f>IF('Twenty-Ninth'!F243="", "",'Twenty-Ninth'!F243)</f>
        <v/>
      </c>
      <c r="G7240" s="66" t="str">
        <f>IF('Twenty-Ninth'!G243="", "",'Twenty-Ninth'!G243)</f>
        <v/>
      </c>
      <c r="H7240" s="66" t="str">
        <f>IF('Twenty-Ninth'!H243="", "",'Twenty-Ninth'!H243)</f>
        <v/>
      </c>
      <c r="I7240" s="66" t="str">
        <f>IF('Twenty-Ninth'!I243="", "",'Twenty-Ninth'!I243)</f>
        <v/>
      </c>
      <c r="J7240" s="66" t="str">
        <f>IF('Twenty-Ninth'!J243="", "",'Twenty-Ninth'!J243)</f>
        <v/>
      </c>
      <c r="K7240" s="86" t="str">
        <f>IF('Twenty-Ninth'!K243="", "",'Twenty-Ninth'!K243)</f>
        <v/>
      </c>
      <c r="M7240" s="67" t="str">
        <f t="shared" si="344"/>
        <v/>
      </c>
      <c r="N7240" s="76" t="str">
        <f t="shared" si="345"/>
        <v/>
      </c>
      <c r="O7240" s="33">
        <f t="shared" si="343"/>
        <v>0</v>
      </c>
    </row>
    <row r="7241" spans="1:15" x14ac:dyDescent="0.25">
      <c r="A7241" s="64" t="s">
        <v>226</v>
      </c>
      <c r="B7241" s="79" t="str">
        <f>IF('Twenty-Ninth'!B244="", "",'Twenty-Ninth'!B244)</f>
        <v/>
      </c>
      <c r="C7241" s="66" t="str">
        <f>IF('Twenty-Ninth'!C244="", "",'Twenty-Ninth'!C244)</f>
        <v/>
      </c>
      <c r="D7241" s="66" t="str">
        <f>IF('Twenty-Ninth'!D244="", "",'Twenty-Ninth'!D244)</f>
        <v/>
      </c>
      <c r="E7241" s="66" t="str">
        <f>IF('Twenty-Ninth'!E244="", "",'Twenty-Ninth'!E244)</f>
        <v/>
      </c>
      <c r="F7241" s="66" t="str">
        <f>IF('Twenty-Ninth'!F244="", "",'Twenty-Ninth'!F244)</f>
        <v/>
      </c>
      <c r="G7241" s="66" t="str">
        <f>IF('Twenty-Ninth'!G244="", "",'Twenty-Ninth'!G244)</f>
        <v/>
      </c>
      <c r="H7241" s="66" t="str">
        <f>IF('Twenty-Ninth'!H244="", "",'Twenty-Ninth'!H244)</f>
        <v/>
      </c>
      <c r="I7241" s="66" t="str">
        <f>IF('Twenty-Ninth'!I244="", "",'Twenty-Ninth'!I244)</f>
        <v/>
      </c>
      <c r="J7241" s="66" t="str">
        <f>IF('Twenty-Ninth'!J244="", "",'Twenty-Ninth'!J244)</f>
        <v/>
      </c>
      <c r="K7241" s="86" t="str">
        <f>IF('Twenty-Ninth'!K244="", "",'Twenty-Ninth'!K244)</f>
        <v/>
      </c>
      <c r="M7241" s="67" t="str">
        <f t="shared" si="344"/>
        <v/>
      </c>
      <c r="N7241" s="76" t="str">
        <f t="shared" si="345"/>
        <v/>
      </c>
      <c r="O7241" s="33">
        <f t="shared" si="343"/>
        <v>0</v>
      </c>
    </row>
    <row r="7242" spans="1:15" x14ac:dyDescent="0.25">
      <c r="A7242" s="64" t="s">
        <v>226</v>
      </c>
      <c r="B7242" s="79" t="str">
        <f>IF('Twenty-Ninth'!B245="", "",'Twenty-Ninth'!B245)</f>
        <v/>
      </c>
      <c r="C7242" s="66" t="str">
        <f>IF('Twenty-Ninth'!C245="", "",'Twenty-Ninth'!C245)</f>
        <v/>
      </c>
      <c r="D7242" s="66" t="str">
        <f>IF('Twenty-Ninth'!D245="", "",'Twenty-Ninth'!D245)</f>
        <v/>
      </c>
      <c r="E7242" s="66" t="str">
        <f>IF('Twenty-Ninth'!E245="", "",'Twenty-Ninth'!E245)</f>
        <v/>
      </c>
      <c r="F7242" s="66" t="str">
        <f>IF('Twenty-Ninth'!F245="", "",'Twenty-Ninth'!F245)</f>
        <v/>
      </c>
      <c r="G7242" s="66" t="str">
        <f>IF('Twenty-Ninth'!G245="", "",'Twenty-Ninth'!G245)</f>
        <v/>
      </c>
      <c r="H7242" s="66" t="str">
        <f>IF('Twenty-Ninth'!H245="", "",'Twenty-Ninth'!H245)</f>
        <v/>
      </c>
      <c r="I7242" s="66" t="str">
        <f>IF('Twenty-Ninth'!I245="", "",'Twenty-Ninth'!I245)</f>
        <v/>
      </c>
      <c r="J7242" s="66" t="str">
        <f>IF('Twenty-Ninth'!J245="", "",'Twenty-Ninth'!J245)</f>
        <v/>
      </c>
      <c r="K7242" s="86" t="str">
        <f>IF('Twenty-Ninth'!K245="", "",'Twenty-Ninth'!K245)</f>
        <v/>
      </c>
      <c r="M7242" s="67" t="str">
        <f t="shared" si="344"/>
        <v/>
      </c>
      <c r="N7242" s="76" t="str">
        <f t="shared" si="345"/>
        <v/>
      </c>
      <c r="O7242" s="33">
        <f t="shared" ref="O7242:O7305" si="346">SUM(M7242:N7242)</f>
        <v>0</v>
      </c>
    </row>
    <row r="7243" spans="1:15" x14ac:dyDescent="0.25">
      <c r="A7243" s="64" t="s">
        <v>226</v>
      </c>
      <c r="B7243" s="79" t="str">
        <f>IF('Twenty-Ninth'!B246="", "",'Twenty-Ninth'!B246)</f>
        <v/>
      </c>
      <c r="C7243" s="66" t="str">
        <f>IF('Twenty-Ninth'!C246="", "",'Twenty-Ninth'!C246)</f>
        <v/>
      </c>
      <c r="D7243" s="66" t="str">
        <f>IF('Twenty-Ninth'!D246="", "",'Twenty-Ninth'!D246)</f>
        <v/>
      </c>
      <c r="E7243" s="66" t="str">
        <f>IF('Twenty-Ninth'!E246="", "",'Twenty-Ninth'!E246)</f>
        <v/>
      </c>
      <c r="F7243" s="66" t="str">
        <f>IF('Twenty-Ninth'!F246="", "",'Twenty-Ninth'!F246)</f>
        <v/>
      </c>
      <c r="G7243" s="66" t="str">
        <f>IF('Twenty-Ninth'!G246="", "",'Twenty-Ninth'!G246)</f>
        <v/>
      </c>
      <c r="H7243" s="66" t="str">
        <f>IF('Twenty-Ninth'!H246="", "",'Twenty-Ninth'!H246)</f>
        <v/>
      </c>
      <c r="I7243" s="66" t="str">
        <f>IF('Twenty-Ninth'!I246="", "",'Twenty-Ninth'!I246)</f>
        <v/>
      </c>
      <c r="J7243" s="66" t="str">
        <f>IF('Twenty-Ninth'!J246="", "",'Twenty-Ninth'!J246)</f>
        <v/>
      </c>
      <c r="K7243" s="86" t="str">
        <f>IF('Twenty-Ninth'!K246="", "",'Twenty-Ninth'!K246)</f>
        <v/>
      </c>
      <c r="M7243" s="67" t="str">
        <f t="shared" si="344"/>
        <v/>
      </c>
      <c r="N7243" s="76" t="str">
        <f t="shared" si="345"/>
        <v/>
      </c>
      <c r="O7243" s="33">
        <f t="shared" si="346"/>
        <v>0</v>
      </c>
    </row>
    <row r="7244" spans="1:15" x14ac:dyDescent="0.25">
      <c r="A7244" s="64" t="s">
        <v>226</v>
      </c>
      <c r="B7244" s="79" t="str">
        <f>IF('Twenty-Ninth'!B247="", "",'Twenty-Ninth'!B247)</f>
        <v/>
      </c>
      <c r="C7244" s="66" t="str">
        <f>IF('Twenty-Ninth'!C247="", "",'Twenty-Ninth'!C247)</f>
        <v/>
      </c>
      <c r="D7244" s="66" t="str">
        <f>IF('Twenty-Ninth'!D247="", "",'Twenty-Ninth'!D247)</f>
        <v/>
      </c>
      <c r="E7244" s="66" t="str">
        <f>IF('Twenty-Ninth'!E247="", "",'Twenty-Ninth'!E247)</f>
        <v/>
      </c>
      <c r="F7244" s="66" t="str">
        <f>IF('Twenty-Ninth'!F247="", "",'Twenty-Ninth'!F247)</f>
        <v/>
      </c>
      <c r="G7244" s="66" t="str">
        <f>IF('Twenty-Ninth'!G247="", "",'Twenty-Ninth'!G247)</f>
        <v/>
      </c>
      <c r="H7244" s="66" t="str">
        <f>IF('Twenty-Ninth'!H247="", "",'Twenty-Ninth'!H247)</f>
        <v/>
      </c>
      <c r="I7244" s="66" t="str">
        <f>IF('Twenty-Ninth'!I247="", "",'Twenty-Ninth'!I247)</f>
        <v/>
      </c>
      <c r="J7244" s="66" t="str">
        <f>IF('Twenty-Ninth'!J247="", "",'Twenty-Ninth'!J247)</f>
        <v/>
      </c>
      <c r="K7244" s="86" t="str">
        <f>IF('Twenty-Ninth'!K247="", "",'Twenty-Ninth'!K247)</f>
        <v/>
      </c>
      <c r="M7244" s="67" t="str">
        <f t="shared" si="344"/>
        <v/>
      </c>
      <c r="N7244" s="76" t="str">
        <f t="shared" si="345"/>
        <v/>
      </c>
      <c r="O7244" s="33">
        <f t="shared" si="346"/>
        <v>0</v>
      </c>
    </row>
    <row r="7245" spans="1:15" x14ac:dyDescent="0.25">
      <c r="A7245" s="64" t="s">
        <v>226</v>
      </c>
      <c r="B7245" s="79" t="str">
        <f>IF('Twenty-Ninth'!B248="", "",'Twenty-Ninth'!B248)</f>
        <v/>
      </c>
      <c r="C7245" s="66" t="str">
        <f>IF('Twenty-Ninth'!C248="", "",'Twenty-Ninth'!C248)</f>
        <v/>
      </c>
      <c r="D7245" s="66" t="str">
        <f>IF('Twenty-Ninth'!D248="", "",'Twenty-Ninth'!D248)</f>
        <v/>
      </c>
      <c r="E7245" s="66" t="str">
        <f>IF('Twenty-Ninth'!E248="", "",'Twenty-Ninth'!E248)</f>
        <v/>
      </c>
      <c r="F7245" s="66" t="str">
        <f>IF('Twenty-Ninth'!F248="", "",'Twenty-Ninth'!F248)</f>
        <v/>
      </c>
      <c r="G7245" s="66" t="str">
        <f>IF('Twenty-Ninth'!G248="", "",'Twenty-Ninth'!G248)</f>
        <v/>
      </c>
      <c r="H7245" s="66" t="str">
        <f>IF('Twenty-Ninth'!H248="", "",'Twenty-Ninth'!H248)</f>
        <v/>
      </c>
      <c r="I7245" s="66" t="str">
        <f>IF('Twenty-Ninth'!I248="", "",'Twenty-Ninth'!I248)</f>
        <v/>
      </c>
      <c r="J7245" s="66" t="str">
        <f>IF('Twenty-Ninth'!J248="", "",'Twenty-Ninth'!J248)</f>
        <v/>
      </c>
      <c r="K7245" s="86" t="str">
        <f>IF('Twenty-Ninth'!K248="", "",'Twenty-Ninth'!K248)</f>
        <v/>
      </c>
      <c r="M7245" s="67" t="str">
        <f t="shared" si="344"/>
        <v/>
      </c>
      <c r="N7245" s="76" t="str">
        <f t="shared" si="345"/>
        <v/>
      </c>
      <c r="O7245" s="33">
        <f t="shared" si="346"/>
        <v>0</v>
      </c>
    </row>
    <row r="7246" spans="1:15" x14ac:dyDescent="0.25">
      <c r="A7246" s="64" t="s">
        <v>226</v>
      </c>
      <c r="B7246" s="79" t="str">
        <f>IF('Twenty-Ninth'!B249="", "",'Twenty-Ninth'!B249)</f>
        <v/>
      </c>
      <c r="C7246" s="66" t="str">
        <f>IF('Twenty-Ninth'!C249="", "",'Twenty-Ninth'!C249)</f>
        <v/>
      </c>
      <c r="D7246" s="66" t="str">
        <f>IF('Twenty-Ninth'!D249="", "",'Twenty-Ninth'!D249)</f>
        <v/>
      </c>
      <c r="E7246" s="66" t="str">
        <f>IF('Twenty-Ninth'!E249="", "",'Twenty-Ninth'!E249)</f>
        <v/>
      </c>
      <c r="F7246" s="66" t="str">
        <f>IF('Twenty-Ninth'!F249="", "",'Twenty-Ninth'!F249)</f>
        <v/>
      </c>
      <c r="G7246" s="66" t="str">
        <f>IF('Twenty-Ninth'!G249="", "",'Twenty-Ninth'!G249)</f>
        <v/>
      </c>
      <c r="H7246" s="66" t="str">
        <f>IF('Twenty-Ninth'!H249="", "",'Twenty-Ninth'!H249)</f>
        <v/>
      </c>
      <c r="I7246" s="66" t="str">
        <f>IF('Twenty-Ninth'!I249="", "",'Twenty-Ninth'!I249)</f>
        <v/>
      </c>
      <c r="J7246" s="66" t="str">
        <f>IF('Twenty-Ninth'!J249="", "",'Twenty-Ninth'!J249)</f>
        <v/>
      </c>
      <c r="K7246" s="86" t="str">
        <f>IF('Twenty-Ninth'!K249="", "",'Twenty-Ninth'!K249)</f>
        <v/>
      </c>
      <c r="M7246" s="67" t="str">
        <f t="shared" si="344"/>
        <v/>
      </c>
      <c r="N7246" s="76" t="str">
        <f t="shared" si="345"/>
        <v/>
      </c>
      <c r="O7246" s="33">
        <f t="shared" si="346"/>
        <v>0</v>
      </c>
    </row>
    <row r="7247" spans="1:15" x14ac:dyDescent="0.25">
      <c r="A7247" s="64" t="s">
        <v>226</v>
      </c>
      <c r="B7247" s="79" t="str">
        <f>IF('Twenty-Ninth'!B250="", "",'Twenty-Ninth'!B250)</f>
        <v/>
      </c>
      <c r="C7247" s="66" t="str">
        <f>IF('Twenty-Ninth'!C250="", "",'Twenty-Ninth'!C250)</f>
        <v/>
      </c>
      <c r="D7247" s="66" t="str">
        <f>IF('Twenty-Ninth'!D250="", "",'Twenty-Ninth'!D250)</f>
        <v/>
      </c>
      <c r="E7247" s="66" t="str">
        <f>IF('Twenty-Ninth'!E250="", "",'Twenty-Ninth'!E250)</f>
        <v/>
      </c>
      <c r="F7247" s="66" t="str">
        <f>IF('Twenty-Ninth'!F250="", "",'Twenty-Ninth'!F250)</f>
        <v/>
      </c>
      <c r="G7247" s="66" t="str">
        <f>IF('Twenty-Ninth'!G250="", "",'Twenty-Ninth'!G250)</f>
        <v/>
      </c>
      <c r="H7247" s="66" t="str">
        <f>IF('Twenty-Ninth'!H250="", "",'Twenty-Ninth'!H250)</f>
        <v/>
      </c>
      <c r="I7247" s="66" t="str">
        <f>IF('Twenty-Ninth'!I250="", "",'Twenty-Ninth'!I250)</f>
        <v/>
      </c>
      <c r="J7247" s="66" t="str">
        <f>IF('Twenty-Ninth'!J250="", "",'Twenty-Ninth'!J250)</f>
        <v/>
      </c>
      <c r="K7247" s="86" t="str">
        <f>IF('Twenty-Ninth'!K250="", "",'Twenty-Ninth'!K250)</f>
        <v/>
      </c>
      <c r="M7247" s="67" t="str">
        <f t="shared" si="344"/>
        <v/>
      </c>
      <c r="N7247" s="76" t="str">
        <f t="shared" si="345"/>
        <v/>
      </c>
      <c r="O7247" s="33">
        <f t="shared" si="346"/>
        <v>0</v>
      </c>
    </row>
    <row r="7248" spans="1:15" x14ac:dyDescent="0.25">
      <c r="A7248" s="64" t="s">
        <v>226</v>
      </c>
      <c r="B7248" s="79" t="str">
        <f>IF('Twenty-Ninth'!B251="", "",'Twenty-Ninth'!B251)</f>
        <v/>
      </c>
      <c r="C7248" s="66" t="str">
        <f>IF('Twenty-Ninth'!C251="", "",'Twenty-Ninth'!C251)</f>
        <v/>
      </c>
      <c r="D7248" s="66" t="str">
        <f>IF('Twenty-Ninth'!D251="", "",'Twenty-Ninth'!D251)</f>
        <v/>
      </c>
      <c r="E7248" s="66" t="str">
        <f>IF('Twenty-Ninth'!E251="", "",'Twenty-Ninth'!E251)</f>
        <v/>
      </c>
      <c r="F7248" s="66" t="str">
        <f>IF('Twenty-Ninth'!F251="", "",'Twenty-Ninth'!F251)</f>
        <v/>
      </c>
      <c r="G7248" s="66" t="str">
        <f>IF('Twenty-Ninth'!G251="", "",'Twenty-Ninth'!G251)</f>
        <v/>
      </c>
      <c r="H7248" s="66" t="str">
        <f>IF('Twenty-Ninth'!H251="", "",'Twenty-Ninth'!H251)</f>
        <v/>
      </c>
      <c r="I7248" s="66" t="str">
        <f>IF('Twenty-Ninth'!I251="", "",'Twenty-Ninth'!I251)</f>
        <v/>
      </c>
      <c r="J7248" s="66" t="str">
        <f>IF('Twenty-Ninth'!J251="", "",'Twenty-Ninth'!J251)</f>
        <v/>
      </c>
      <c r="K7248" s="86" t="str">
        <f>IF('Twenty-Ninth'!K251="", "",'Twenty-Ninth'!K251)</f>
        <v/>
      </c>
      <c r="M7248" s="67" t="str">
        <f t="shared" si="344"/>
        <v/>
      </c>
      <c r="N7248" s="76" t="str">
        <f t="shared" si="345"/>
        <v/>
      </c>
      <c r="O7248" s="33">
        <f t="shared" si="346"/>
        <v>0</v>
      </c>
    </row>
    <row r="7249" spans="1:15" x14ac:dyDescent="0.25">
      <c r="A7249" s="64" t="s">
        <v>226</v>
      </c>
      <c r="B7249" s="79" t="str">
        <f>IF('Twenty-Ninth'!B252="", "",'Twenty-Ninth'!B252)</f>
        <v/>
      </c>
      <c r="C7249" s="66" t="str">
        <f>IF('Twenty-Ninth'!C252="", "",'Twenty-Ninth'!C252)</f>
        <v/>
      </c>
      <c r="D7249" s="66" t="str">
        <f>IF('Twenty-Ninth'!D252="", "",'Twenty-Ninth'!D252)</f>
        <v/>
      </c>
      <c r="E7249" s="66" t="str">
        <f>IF('Twenty-Ninth'!E252="", "",'Twenty-Ninth'!E252)</f>
        <v/>
      </c>
      <c r="F7249" s="66" t="str">
        <f>IF('Twenty-Ninth'!F252="", "",'Twenty-Ninth'!F252)</f>
        <v/>
      </c>
      <c r="G7249" s="66" t="str">
        <f>IF('Twenty-Ninth'!G252="", "",'Twenty-Ninth'!G252)</f>
        <v/>
      </c>
      <c r="H7249" s="66" t="str">
        <f>IF('Twenty-Ninth'!H252="", "",'Twenty-Ninth'!H252)</f>
        <v/>
      </c>
      <c r="I7249" s="66" t="str">
        <f>IF('Twenty-Ninth'!I252="", "",'Twenty-Ninth'!I252)</f>
        <v/>
      </c>
      <c r="J7249" s="66" t="str">
        <f>IF('Twenty-Ninth'!J252="", "",'Twenty-Ninth'!J252)</f>
        <v/>
      </c>
      <c r="K7249" s="86" t="str">
        <f>IF('Twenty-Ninth'!K252="", "",'Twenty-Ninth'!K252)</f>
        <v/>
      </c>
      <c r="M7249" s="67" t="str">
        <f t="shared" si="344"/>
        <v/>
      </c>
      <c r="N7249" s="76" t="str">
        <f t="shared" si="345"/>
        <v/>
      </c>
      <c r="O7249" s="33">
        <f t="shared" si="346"/>
        <v>0</v>
      </c>
    </row>
    <row r="7250" spans="1:15" x14ac:dyDescent="0.25">
      <c r="A7250" s="64" t="s">
        <v>226</v>
      </c>
      <c r="B7250" s="79" t="str">
        <f>IF('Twenty-Ninth'!B253="", "",'Twenty-Ninth'!B253)</f>
        <v/>
      </c>
      <c r="C7250" s="66" t="str">
        <f>IF('Twenty-Ninth'!C253="", "",'Twenty-Ninth'!C253)</f>
        <v/>
      </c>
      <c r="D7250" s="66" t="str">
        <f>IF('Twenty-Ninth'!D253="", "",'Twenty-Ninth'!D253)</f>
        <v/>
      </c>
      <c r="E7250" s="66" t="str">
        <f>IF('Twenty-Ninth'!E253="", "",'Twenty-Ninth'!E253)</f>
        <v/>
      </c>
      <c r="F7250" s="66" t="str">
        <f>IF('Twenty-Ninth'!F253="", "",'Twenty-Ninth'!F253)</f>
        <v/>
      </c>
      <c r="G7250" s="66" t="str">
        <f>IF('Twenty-Ninth'!G253="", "",'Twenty-Ninth'!G253)</f>
        <v/>
      </c>
      <c r="H7250" s="66" t="str">
        <f>IF('Twenty-Ninth'!H253="", "",'Twenty-Ninth'!H253)</f>
        <v/>
      </c>
      <c r="I7250" s="66" t="str">
        <f>IF('Twenty-Ninth'!I253="", "",'Twenty-Ninth'!I253)</f>
        <v/>
      </c>
      <c r="J7250" s="66" t="str">
        <f>IF('Twenty-Ninth'!J253="", "",'Twenty-Ninth'!J253)</f>
        <v/>
      </c>
      <c r="K7250" s="86" t="str">
        <f>IF('Twenty-Ninth'!K253="", "",'Twenty-Ninth'!K253)</f>
        <v/>
      </c>
      <c r="M7250" s="67" t="str">
        <f t="shared" si="344"/>
        <v/>
      </c>
      <c r="N7250" s="76" t="str">
        <f t="shared" si="345"/>
        <v/>
      </c>
      <c r="O7250" s="33">
        <f t="shared" si="346"/>
        <v>0</v>
      </c>
    </row>
    <row r="7251" spans="1:15" ht="15.75" thickBot="1" x14ac:dyDescent="0.3">
      <c r="A7251" s="68" t="s">
        <v>226</v>
      </c>
      <c r="B7251" s="80" t="str">
        <f>IF('Twenty-Ninth'!B254="", "",'Twenty-Ninth'!B254)</f>
        <v/>
      </c>
      <c r="C7251" s="70" t="str">
        <f>IF('Twenty-Ninth'!C254="", "",'Twenty-Ninth'!C254)</f>
        <v/>
      </c>
      <c r="D7251" s="70" t="str">
        <f>IF('Twenty-Ninth'!D254="", "",'Twenty-Ninth'!D254)</f>
        <v/>
      </c>
      <c r="E7251" s="70" t="str">
        <f>IF('Twenty-Ninth'!E254="", "",'Twenty-Ninth'!E254)</f>
        <v/>
      </c>
      <c r="F7251" s="70" t="str">
        <f>IF('Twenty-Ninth'!F254="", "",'Twenty-Ninth'!F254)</f>
        <v/>
      </c>
      <c r="G7251" s="70" t="str">
        <f>IF('Twenty-Ninth'!G254="", "",'Twenty-Ninth'!G254)</f>
        <v/>
      </c>
      <c r="H7251" s="70" t="str">
        <f>IF('Twenty-Ninth'!H254="", "",'Twenty-Ninth'!H254)</f>
        <v/>
      </c>
      <c r="I7251" s="70" t="str">
        <f>IF('Twenty-Ninth'!I254="", "",'Twenty-Ninth'!I254)</f>
        <v/>
      </c>
      <c r="J7251" s="70" t="str">
        <f>IF('Twenty-Ninth'!J254="", "",'Twenty-Ninth'!J254)</f>
        <v/>
      </c>
      <c r="K7251" s="90" t="str">
        <f>IF('Twenty-Ninth'!K254="", "",'Twenty-Ninth'!K254)</f>
        <v/>
      </c>
      <c r="L7251" s="91"/>
      <c r="M7251" s="71" t="str">
        <f t="shared" si="344"/>
        <v/>
      </c>
      <c r="N7251" s="77" t="str">
        <f t="shared" si="345"/>
        <v/>
      </c>
      <c r="O7251" s="33">
        <f t="shared" si="346"/>
        <v>0</v>
      </c>
    </row>
    <row r="7252" spans="1:15" x14ac:dyDescent="0.25">
      <c r="A7252" s="64" t="s">
        <v>196</v>
      </c>
      <c r="B7252" s="79" t="str">
        <f>IF(Thirtieth!B5="", "",Thirtieth!B5)</f>
        <v/>
      </c>
      <c r="C7252" s="66" t="str">
        <f>IF(Thirtieth!C5="", "",Thirtieth!C5)</f>
        <v/>
      </c>
      <c r="D7252" s="66" t="str">
        <f>IF(Thirtieth!D5="", "",Thirtieth!D5)</f>
        <v/>
      </c>
      <c r="E7252" s="66" t="str">
        <f>IF(Thirtieth!E5="", "",Thirtieth!E5)</f>
        <v/>
      </c>
      <c r="F7252" s="66" t="str">
        <f>IF(Thirtieth!F5="", "",Thirtieth!F5)</f>
        <v/>
      </c>
      <c r="G7252" s="66" t="str">
        <f>IF(Thirtieth!G5="", "",Thirtieth!G5)</f>
        <v/>
      </c>
      <c r="H7252" s="66" t="str">
        <f>IF(Thirtieth!H5="", "",Thirtieth!H5)</f>
        <v/>
      </c>
      <c r="I7252" s="66" t="str">
        <f>IF(Thirtieth!I5="", "",Thirtieth!I5)</f>
        <v/>
      </c>
      <c r="J7252" s="66" t="str">
        <f>IF(Thirtieth!J5="", "",Thirtieth!J5)</f>
        <v/>
      </c>
      <c r="K7252" s="86" t="str">
        <f>IF(Thirtieth!K5="", "",Thirtieth!K5)</f>
        <v/>
      </c>
      <c r="M7252" s="67" t="str">
        <f t="shared" si="344"/>
        <v/>
      </c>
      <c r="N7252" s="76" t="str">
        <f t="shared" si="345"/>
        <v/>
      </c>
      <c r="O7252" s="33">
        <f t="shared" si="346"/>
        <v>0</v>
      </c>
    </row>
    <row r="7253" spans="1:15" x14ac:dyDescent="0.25">
      <c r="A7253" s="64" t="s">
        <v>196</v>
      </c>
      <c r="B7253" s="79" t="str">
        <f>IF(Thirtieth!B6="", "",Thirtieth!B6)</f>
        <v/>
      </c>
      <c r="C7253" s="66" t="str">
        <f>IF(Thirtieth!C6="", "",Thirtieth!C6)</f>
        <v/>
      </c>
      <c r="D7253" s="66" t="str">
        <f>IF(Thirtieth!D6="", "",Thirtieth!D6)</f>
        <v/>
      </c>
      <c r="E7253" s="66" t="str">
        <f>IF(Thirtieth!E6="", "",Thirtieth!E6)</f>
        <v/>
      </c>
      <c r="F7253" s="66" t="str">
        <f>IF(Thirtieth!F6="", "",Thirtieth!F6)</f>
        <v/>
      </c>
      <c r="G7253" s="66" t="str">
        <f>IF(Thirtieth!G6="", "",Thirtieth!G6)</f>
        <v/>
      </c>
      <c r="H7253" s="66" t="str">
        <f>IF(Thirtieth!H6="", "",Thirtieth!H6)</f>
        <v/>
      </c>
      <c r="I7253" s="66" t="str">
        <f>IF(Thirtieth!I6="", "",Thirtieth!I6)</f>
        <v/>
      </c>
      <c r="J7253" s="66" t="str">
        <f>IF(Thirtieth!J6="", "",Thirtieth!J6)</f>
        <v/>
      </c>
      <c r="K7253" s="86" t="str">
        <f>IF(Thirtieth!K6="", "",Thirtieth!K6)</f>
        <v/>
      </c>
      <c r="M7253" s="67" t="str">
        <f t="shared" si="344"/>
        <v/>
      </c>
      <c r="N7253" s="76" t="str">
        <f t="shared" si="345"/>
        <v/>
      </c>
      <c r="O7253" s="33">
        <f t="shared" si="346"/>
        <v>0</v>
      </c>
    </row>
    <row r="7254" spans="1:15" x14ac:dyDescent="0.25">
      <c r="A7254" s="64" t="s">
        <v>196</v>
      </c>
      <c r="B7254" s="79" t="str">
        <f>IF(Thirtieth!B7="", "",Thirtieth!B7)</f>
        <v/>
      </c>
      <c r="C7254" s="66" t="str">
        <f>IF(Thirtieth!C7="", "",Thirtieth!C7)</f>
        <v/>
      </c>
      <c r="D7254" s="66" t="str">
        <f>IF(Thirtieth!D7="", "",Thirtieth!D7)</f>
        <v/>
      </c>
      <c r="E7254" s="66" t="str">
        <f>IF(Thirtieth!E7="", "",Thirtieth!E7)</f>
        <v/>
      </c>
      <c r="F7254" s="66" t="str">
        <f>IF(Thirtieth!F7="", "",Thirtieth!F7)</f>
        <v/>
      </c>
      <c r="G7254" s="66" t="str">
        <f>IF(Thirtieth!G7="", "",Thirtieth!G7)</f>
        <v/>
      </c>
      <c r="H7254" s="66" t="str">
        <f>IF(Thirtieth!H7="", "",Thirtieth!H7)</f>
        <v/>
      </c>
      <c r="I7254" s="66" t="str">
        <f>IF(Thirtieth!I7="", "",Thirtieth!I7)</f>
        <v/>
      </c>
      <c r="J7254" s="66" t="str">
        <f>IF(Thirtieth!J7="", "",Thirtieth!J7)</f>
        <v/>
      </c>
      <c r="K7254" s="86" t="str">
        <f>IF(Thirtieth!K7="", "",Thirtieth!K7)</f>
        <v/>
      </c>
      <c r="M7254" s="67" t="str">
        <f t="shared" si="344"/>
        <v/>
      </c>
      <c r="N7254" s="76" t="str">
        <f t="shared" si="345"/>
        <v/>
      </c>
      <c r="O7254" s="33">
        <f t="shared" si="346"/>
        <v>0</v>
      </c>
    </row>
    <row r="7255" spans="1:15" x14ac:dyDescent="0.25">
      <c r="A7255" s="64" t="s">
        <v>196</v>
      </c>
      <c r="B7255" s="79" t="str">
        <f>IF(Thirtieth!B8="", "",Thirtieth!B8)</f>
        <v/>
      </c>
      <c r="C7255" s="66" t="str">
        <f>IF(Thirtieth!C8="", "",Thirtieth!C8)</f>
        <v/>
      </c>
      <c r="D7255" s="66" t="str">
        <f>IF(Thirtieth!D8="", "",Thirtieth!D8)</f>
        <v/>
      </c>
      <c r="E7255" s="66" t="str">
        <f>IF(Thirtieth!E8="", "",Thirtieth!E8)</f>
        <v/>
      </c>
      <c r="F7255" s="66" t="str">
        <f>IF(Thirtieth!F8="", "",Thirtieth!F8)</f>
        <v/>
      </c>
      <c r="G7255" s="66" t="str">
        <f>IF(Thirtieth!G8="", "",Thirtieth!G8)</f>
        <v/>
      </c>
      <c r="H7255" s="66" t="str">
        <f>IF(Thirtieth!H8="", "",Thirtieth!H8)</f>
        <v/>
      </c>
      <c r="I7255" s="66" t="str">
        <f>IF(Thirtieth!I8="", "",Thirtieth!I8)</f>
        <v/>
      </c>
      <c r="J7255" s="66" t="str">
        <f>IF(Thirtieth!J8="", "",Thirtieth!J8)</f>
        <v/>
      </c>
      <c r="K7255" s="86" t="str">
        <f>IF(Thirtieth!K8="", "",Thirtieth!K8)</f>
        <v/>
      </c>
      <c r="M7255" s="67" t="str">
        <f t="shared" si="344"/>
        <v/>
      </c>
      <c r="N7255" s="76" t="str">
        <f t="shared" si="345"/>
        <v/>
      </c>
      <c r="O7255" s="33">
        <f t="shared" si="346"/>
        <v>0</v>
      </c>
    </row>
    <row r="7256" spans="1:15" x14ac:dyDescent="0.25">
      <c r="A7256" s="64" t="s">
        <v>196</v>
      </c>
      <c r="B7256" s="79" t="str">
        <f>IF(Thirtieth!B9="", "",Thirtieth!B9)</f>
        <v/>
      </c>
      <c r="C7256" s="66" t="str">
        <f>IF(Thirtieth!C9="", "",Thirtieth!C9)</f>
        <v/>
      </c>
      <c r="D7256" s="66" t="str">
        <f>IF(Thirtieth!D9="", "",Thirtieth!D9)</f>
        <v/>
      </c>
      <c r="E7256" s="66" t="str">
        <f>IF(Thirtieth!E9="", "",Thirtieth!E9)</f>
        <v/>
      </c>
      <c r="F7256" s="66" t="str">
        <f>IF(Thirtieth!F9="", "",Thirtieth!F9)</f>
        <v/>
      </c>
      <c r="G7256" s="66" t="str">
        <f>IF(Thirtieth!G9="", "",Thirtieth!G9)</f>
        <v/>
      </c>
      <c r="H7256" s="66" t="str">
        <f>IF(Thirtieth!H9="", "",Thirtieth!H9)</f>
        <v/>
      </c>
      <c r="I7256" s="66" t="str">
        <f>IF(Thirtieth!I9="", "",Thirtieth!I9)</f>
        <v/>
      </c>
      <c r="J7256" s="66" t="str">
        <f>IF(Thirtieth!J9="", "",Thirtieth!J9)</f>
        <v/>
      </c>
      <c r="K7256" s="86" t="str">
        <f>IF(Thirtieth!K9="", "",Thirtieth!K9)</f>
        <v/>
      </c>
      <c r="M7256" s="67" t="str">
        <f t="shared" si="344"/>
        <v/>
      </c>
      <c r="N7256" s="76" t="str">
        <f t="shared" si="345"/>
        <v/>
      </c>
      <c r="O7256" s="33">
        <f t="shared" si="346"/>
        <v>0</v>
      </c>
    </row>
    <row r="7257" spans="1:15" x14ac:dyDescent="0.25">
      <c r="A7257" s="64" t="s">
        <v>196</v>
      </c>
      <c r="B7257" s="79" t="str">
        <f>IF(Thirtieth!B10="", "",Thirtieth!B10)</f>
        <v/>
      </c>
      <c r="C7257" s="66" t="str">
        <f>IF(Thirtieth!C10="", "",Thirtieth!C10)</f>
        <v/>
      </c>
      <c r="D7257" s="66" t="str">
        <f>IF(Thirtieth!D10="", "",Thirtieth!D10)</f>
        <v/>
      </c>
      <c r="E7257" s="66" t="str">
        <f>IF(Thirtieth!E10="", "",Thirtieth!E10)</f>
        <v/>
      </c>
      <c r="F7257" s="66" t="str">
        <f>IF(Thirtieth!F10="", "",Thirtieth!F10)</f>
        <v/>
      </c>
      <c r="G7257" s="66" t="str">
        <f>IF(Thirtieth!G10="", "",Thirtieth!G10)</f>
        <v/>
      </c>
      <c r="H7257" s="66" t="str">
        <f>IF(Thirtieth!H10="", "",Thirtieth!H10)</f>
        <v/>
      </c>
      <c r="I7257" s="66" t="str">
        <f>IF(Thirtieth!I10="", "",Thirtieth!I10)</f>
        <v/>
      </c>
      <c r="J7257" s="66" t="str">
        <f>IF(Thirtieth!J10="", "",Thirtieth!J10)</f>
        <v/>
      </c>
      <c r="K7257" s="86" t="str">
        <f>IF(Thirtieth!K10="", "",Thirtieth!K10)</f>
        <v/>
      </c>
      <c r="M7257" s="67" t="str">
        <f t="shared" si="344"/>
        <v/>
      </c>
      <c r="N7257" s="76" t="str">
        <f t="shared" si="345"/>
        <v/>
      </c>
      <c r="O7257" s="33">
        <f t="shared" si="346"/>
        <v>0</v>
      </c>
    </row>
    <row r="7258" spans="1:15" x14ac:dyDescent="0.25">
      <c r="A7258" s="64" t="s">
        <v>196</v>
      </c>
      <c r="B7258" s="79" t="str">
        <f>IF(Thirtieth!B11="", "",Thirtieth!B11)</f>
        <v/>
      </c>
      <c r="C7258" s="66" t="str">
        <f>IF(Thirtieth!C11="", "",Thirtieth!C11)</f>
        <v/>
      </c>
      <c r="D7258" s="66" t="str">
        <f>IF(Thirtieth!D11="", "",Thirtieth!D11)</f>
        <v/>
      </c>
      <c r="E7258" s="66" t="str">
        <f>IF(Thirtieth!E11="", "",Thirtieth!E11)</f>
        <v/>
      </c>
      <c r="F7258" s="66" t="str">
        <f>IF(Thirtieth!F11="", "",Thirtieth!F11)</f>
        <v/>
      </c>
      <c r="G7258" s="66" t="str">
        <f>IF(Thirtieth!G11="", "",Thirtieth!G11)</f>
        <v/>
      </c>
      <c r="H7258" s="66" t="str">
        <f>IF(Thirtieth!H11="", "",Thirtieth!H11)</f>
        <v/>
      </c>
      <c r="I7258" s="66" t="str">
        <f>IF(Thirtieth!I11="", "",Thirtieth!I11)</f>
        <v/>
      </c>
      <c r="J7258" s="66" t="str">
        <f>IF(Thirtieth!J11="", "",Thirtieth!J11)</f>
        <v/>
      </c>
      <c r="K7258" s="86" t="str">
        <f>IF(Thirtieth!K11="", "",Thirtieth!K11)</f>
        <v/>
      </c>
      <c r="M7258" s="67" t="str">
        <f t="shared" si="344"/>
        <v/>
      </c>
      <c r="N7258" s="76" t="str">
        <f t="shared" si="345"/>
        <v/>
      </c>
      <c r="O7258" s="33">
        <f t="shared" si="346"/>
        <v>0</v>
      </c>
    </row>
    <row r="7259" spans="1:15" x14ac:dyDescent="0.25">
      <c r="A7259" s="64" t="s">
        <v>196</v>
      </c>
      <c r="B7259" s="79" t="str">
        <f>IF(Thirtieth!B12="", "",Thirtieth!B12)</f>
        <v/>
      </c>
      <c r="C7259" s="66" t="str">
        <f>IF(Thirtieth!C12="", "",Thirtieth!C12)</f>
        <v/>
      </c>
      <c r="D7259" s="66" t="str">
        <f>IF(Thirtieth!D12="", "",Thirtieth!D12)</f>
        <v/>
      </c>
      <c r="E7259" s="66" t="str">
        <f>IF(Thirtieth!E12="", "",Thirtieth!E12)</f>
        <v/>
      </c>
      <c r="F7259" s="66" t="str">
        <f>IF(Thirtieth!F12="", "",Thirtieth!F12)</f>
        <v/>
      </c>
      <c r="G7259" s="66" t="str">
        <f>IF(Thirtieth!G12="", "",Thirtieth!G12)</f>
        <v/>
      </c>
      <c r="H7259" s="66" t="str">
        <f>IF(Thirtieth!H12="", "",Thirtieth!H12)</f>
        <v/>
      </c>
      <c r="I7259" s="66" t="str">
        <f>IF(Thirtieth!I12="", "",Thirtieth!I12)</f>
        <v/>
      </c>
      <c r="J7259" s="66" t="str">
        <f>IF(Thirtieth!J12="", "",Thirtieth!J12)</f>
        <v/>
      </c>
      <c r="K7259" s="86" t="str">
        <f>IF(Thirtieth!K12="", "",Thirtieth!K12)</f>
        <v/>
      </c>
      <c r="M7259" s="67" t="str">
        <f t="shared" si="344"/>
        <v/>
      </c>
      <c r="N7259" s="76" t="str">
        <f t="shared" si="345"/>
        <v/>
      </c>
      <c r="O7259" s="33">
        <f t="shared" si="346"/>
        <v>0</v>
      </c>
    </row>
    <row r="7260" spans="1:15" x14ac:dyDescent="0.25">
      <c r="A7260" s="64" t="s">
        <v>196</v>
      </c>
      <c r="B7260" s="79" t="str">
        <f>IF(Thirtieth!B13="", "",Thirtieth!B13)</f>
        <v/>
      </c>
      <c r="C7260" s="66" t="str">
        <f>IF(Thirtieth!C13="", "",Thirtieth!C13)</f>
        <v/>
      </c>
      <c r="D7260" s="66" t="str">
        <f>IF(Thirtieth!D13="", "",Thirtieth!D13)</f>
        <v/>
      </c>
      <c r="E7260" s="66" t="str">
        <f>IF(Thirtieth!E13="", "",Thirtieth!E13)</f>
        <v/>
      </c>
      <c r="F7260" s="66" t="str">
        <f>IF(Thirtieth!F13="", "",Thirtieth!F13)</f>
        <v/>
      </c>
      <c r="G7260" s="66" t="str">
        <f>IF(Thirtieth!G13="", "",Thirtieth!G13)</f>
        <v/>
      </c>
      <c r="H7260" s="66" t="str">
        <f>IF(Thirtieth!H13="", "",Thirtieth!H13)</f>
        <v/>
      </c>
      <c r="I7260" s="66" t="str">
        <f>IF(Thirtieth!I13="", "",Thirtieth!I13)</f>
        <v/>
      </c>
      <c r="J7260" s="66" t="str">
        <f>IF(Thirtieth!J13="", "",Thirtieth!J13)</f>
        <v/>
      </c>
      <c r="K7260" s="86" t="str">
        <f>IF(Thirtieth!K13="", "",Thirtieth!K13)</f>
        <v/>
      </c>
      <c r="M7260" s="67" t="str">
        <f t="shared" si="344"/>
        <v/>
      </c>
      <c r="N7260" s="76" t="str">
        <f t="shared" si="345"/>
        <v/>
      </c>
      <c r="O7260" s="33">
        <f t="shared" si="346"/>
        <v>0</v>
      </c>
    </row>
    <row r="7261" spans="1:15" x14ac:dyDescent="0.25">
      <c r="A7261" s="64" t="s">
        <v>196</v>
      </c>
      <c r="B7261" s="79" t="str">
        <f>IF(Thirtieth!B14="", "",Thirtieth!B14)</f>
        <v/>
      </c>
      <c r="C7261" s="66" t="str">
        <f>IF(Thirtieth!C14="", "",Thirtieth!C14)</f>
        <v/>
      </c>
      <c r="D7261" s="66" t="str">
        <f>IF(Thirtieth!D14="", "",Thirtieth!D14)</f>
        <v/>
      </c>
      <c r="E7261" s="66" t="str">
        <f>IF(Thirtieth!E14="", "",Thirtieth!E14)</f>
        <v/>
      </c>
      <c r="F7261" s="66" t="str">
        <f>IF(Thirtieth!F14="", "",Thirtieth!F14)</f>
        <v/>
      </c>
      <c r="G7261" s="66" t="str">
        <f>IF(Thirtieth!G14="", "",Thirtieth!G14)</f>
        <v/>
      </c>
      <c r="H7261" s="66" t="str">
        <f>IF(Thirtieth!H14="", "",Thirtieth!H14)</f>
        <v/>
      </c>
      <c r="I7261" s="66" t="str">
        <f>IF(Thirtieth!I14="", "",Thirtieth!I14)</f>
        <v/>
      </c>
      <c r="J7261" s="66" t="str">
        <f>IF(Thirtieth!J14="", "",Thirtieth!J14)</f>
        <v/>
      </c>
      <c r="K7261" s="86" t="str">
        <f>IF(Thirtieth!K14="", "",Thirtieth!K14)</f>
        <v/>
      </c>
      <c r="M7261" s="67" t="str">
        <f t="shared" si="344"/>
        <v/>
      </c>
      <c r="N7261" s="76" t="str">
        <f t="shared" si="345"/>
        <v/>
      </c>
      <c r="O7261" s="33">
        <f t="shared" si="346"/>
        <v>0</v>
      </c>
    </row>
    <row r="7262" spans="1:15" x14ac:dyDescent="0.25">
      <c r="A7262" s="64" t="s">
        <v>196</v>
      </c>
      <c r="B7262" s="79" t="str">
        <f>IF(Thirtieth!B15="", "",Thirtieth!B15)</f>
        <v/>
      </c>
      <c r="C7262" s="66" t="str">
        <f>IF(Thirtieth!C15="", "",Thirtieth!C15)</f>
        <v/>
      </c>
      <c r="D7262" s="66" t="str">
        <f>IF(Thirtieth!D15="", "",Thirtieth!D15)</f>
        <v/>
      </c>
      <c r="E7262" s="66" t="str">
        <f>IF(Thirtieth!E15="", "",Thirtieth!E15)</f>
        <v/>
      </c>
      <c r="F7262" s="66" t="str">
        <f>IF(Thirtieth!F15="", "",Thirtieth!F15)</f>
        <v/>
      </c>
      <c r="G7262" s="66" t="str">
        <f>IF(Thirtieth!G15="", "",Thirtieth!G15)</f>
        <v/>
      </c>
      <c r="H7262" s="66" t="str">
        <f>IF(Thirtieth!H15="", "",Thirtieth!H15)</f>
        <v/>
      </c>
      <c r="I7262" s="66" t="str">
        <f>IF(Thirtieth!I15="", "",Thirtieth!I15)</f>
        <v/>
      </c>
      <c r="J7262" s="66" t="str">
        <f>IF(Thirtieth!J15="", "",Thirtieth!J15)</f>
        <v/>
      </c>
      <c r="K7262" s="86" t="str">
        <f>IF(Thirtieth!K15="", "",Thirtieth!K15)</f>
        <v/>
      </c>
      <c r="M7262" s="67" t="str">
        <f t="shared" si="344"/>
        <v/>
      </c>
      <c r="N7262" s="76" t="str">
        <f t="shared" si="345"/>
        <v/>
      </c>
      <c r="O7262" s="33">
        <f t="shared" si="346"/>
        <v>0</v>
      </c>
    </row>
    <row r="7263" spans="1:15" x14ac:dyDescent="0.25">
      <c r="A7263" s="64" t="s">
        <v>196</v>
      </c>
      <c r="B7263" s="79" t="str">
        <f>IF(Thirtieth!B16="", "",Thirtieth!B16)</f>
        <v/>
      </c>
      <c r="C7263" s="66" t="str">
        <f>IF(Thirtieth!C16="", "",Thirtieth!C16)</f>
        <v/>
      </c>
      <c r="D7263" s="66" t="str">
        <f>IF(Thirtieth!D16="", "",Thirtieth!D16)</f>
        <v/>
      </c>
      <c r="E7263" s="66" t="str">
        <f>IF(Thirtieth!E16="", "",Thirtieth!E16)</f>
        <v/>
      </c>
      <c r="F7263" s="66" t="str">
        <f>IF(Thirtieth!F16="", "",Thirtieth!F16)</f>
        <v/>
      </c>
      <c r="G7263" s="66" t="str">
        <f>IF(Thirtieth!G16="", "",Thirtieth!G16)</f>
        <v/>
      </c>
      <c r="H7263" s="66" t="str">
        <f>IF(Thirtieth!H16="", "",Thirtieth!H16)</f>
        <v/>
      </c>
      <c r="I7263" s="66" t="str">
        <f>IF(Thirtieth!I16="", "",Thirtieth!I16)</f>
        <v/>
      </c>
      <c r="J7263" s="66" t="str">
        <f>IF(Thirtieth!J16="", "",Thirtieth!J16)</f>
        <v/>
      </c>
      <c r="K7263" s="86" t="str">
        <f>IF(Thirtieth!K16="", "",Thirtieth!K16)</f>
        <v/>
      </c>
      <c r="M7263" s="67" t="str">
        <f t="shared" si="344"/>
        <v/>
      </c>
      <c r="N7263" s="76" t="str">
        <f t="shared" si="345"/>
        <v/>
      </c>
      <c r="O7263" s="33">
        <f t="shared" si="346"/>
        <v>0</v>
      </c>
    </row>
    <row r="7264" spans="1:15" x14ac:dyDescent="0.25">
      <c r="A7264" s="64" t="s">
        <v>196</v>
      </c>
      <c r="B7264" s="79" t="str">
        <f>IF(Thirtieth!B17="", "",Thirtieth!B17)</f>
        <v/>
      </c>
      <c r="C7264" s="66" t="str">
        <f>IF(Thirtieth!C17="", "",Thirtieth!C17)</f>
        <v/>
      </c>
      <c r="D7264" s="66" t="str">
        <f>IF(Thirtieth!D17="", "",Thirtieth!D17)</f>
        <v/>
      </c>
      <c r="E7264" s="66" t="str">
        <f>IF(Thirtieth!E17="", "",Thirtieth!E17)</f>
        <v/>
      </c>
      <c r="F7264" s="66" t="str">
        <f>IF(Thirtieth!F17="", "",Thirtieth!F17)</f>
        <v/>
      </c>
      <c r="G7264" s="66" t="str">
        <f>IF(Thirtieth!G17="", "",Thirtieth!G17)</f>
        <v/>
      </c>
      <c r="H7264" s="66" t="str">
        <f>IF(Thirtieth!H17="", "",Thirtieth!H17)</f>
        <v/>
      </c>
      <c r="I7264" s="66" t="str">
        <f>IF(Thirtieth!I17="", "",Thirtieth!I17)</f>
        <v/>
      </c>
      <c r="J7264" s="66" t="str">
        <f>IF(Thirtieth!J17="", "",Thirtieth!J17)</f>
        <v/>
      </c>
      <c r="K7264" s="86" t="str">
        <f>IF(Thirtieth!K17="", "",Thirtieth!K17)</f>
        <v/>
      </c>
      <c r="M7264" s="67" t="str">
        <f t="shared" si="344"/>
        <v/>
      </c>
      <c r="N7264" s="76" t="str">
        <f t="shared" si="345"/>
        <v/>
      </c>
      <c r="O7264" s="33">
        <f t="shared" si="346"/>
        <v>0</v>
      </c>
    </row>
    <row r="7265" spans="1:15" x14ac:dyDescent="0.25">
      <c r="A7265" s="64" t="s">
        <v>196</v>
      </c>
      <c r="B7265" s="79" t="str">
        <f>IF(Thirtieth!B18="", "",Thirtieth!B18)</f>
        <v/>
      </c>
      <c r="C7265" s="66" t="str">
        <f>IF(Thirtieth!C18="", "",Thirtieth!C18)</f>
        <v/>
      </c>
      <c r="D7265" s="66" t="str">
        <f>IF(Thirtieth!D18="", "",Thirtieth!D18)</f>
        <v/>
      </c>
      <c r="E7265" s="66" t="str">
        <f>IF(Thirtieth!E18="", "",Thirtieth!E18)</f>
        <v/>
      </c>
      <c r="F7265" s="66" t="str">
        <f>IF(Thirtieth!F18="", "",Thirtieth!F18)</f>
        <v/>
      </c>
      <c r="G7265" s="66" t="str">
        <f>IF(Thirtieth!G18="", "",Thirtieth!G18)</f>
        <v/>
      </c>
      <c r="H7265" s="66" t="str">
        <f>IF(Thirtieth!H18="", "",Thirtieth!H18)</f>
        <v/>
      </c>
      <c r="I7265" s="66" t="str">
        <f>IF(Thirtieth!I18="", "",Thirtieth!I18)</f>
        <v/>
      </c>
      <c r="J7265" s="66" t="str">
        <f>IF(Thirtieth!J18="", "",Thirtieth!J18)</f>
        <v/>
      </c>
      <c r="K7265" s="86" t="str">
        <f>IF(Thirtieth!K18="", "",Thirtieth!K18)</f>
        <v/>
      </c>
      <c r="M7265" s="67" t="str">
        <f t="shared" si="344"/>
        <v/>
      </c>
      <c r="N7265" s="76" t="str">
        <f t="shared" si="345"/>
        <v/>
      </c>
      <c r="O7265" s="33">
        <f t="shared" si="346"/>
        <v>0</v>
      </c>
    </row>
    <row r="7266" spans="1:15" x14ac:dyDescent="0.25">
      <c r="A7266" s="64" t="s">
        <v>196</v>
      </c>
      <c r="B7266" s="79" t="str">
        <f>IF(Thirtieth!B19="", "",Thirtieth!B19)</f>
        <v/>
      </c>
      <c r="C7266" s="66" t="str">
        <f>IF(Thirtieth!C19="", "",Thirtieth!C19)</f>
        <v/>
      </c>
      <c r="D7266" s="66" t="str">
        <f>IF(Thirtieth!D19="", "",Thirtieth!D19)</f>
        <v/>
      </c>
      <c r="E7266" s="66" t="str">
        <f>IF(Thirtieth!E19="", "",Thirtieth!E19)</f>
        <v/>
      </c>
      <c r="F7266" s="66" t="str">
        <f>IF(Thirtieth!F19="", "",Thirtieth!F19)</f>
        <v/>
      </c>
      <c r="G7266" s="66" t="str">
        <f>IF(Thirtieth!G19="", "",Thirtieth!G19)</f>
        <v/>
      </c>
      <c r="H7266" s="66" t="str">
        <f>IF(Thirtieth!H19="", "",Thirtieth!H19)</f>
        <v/>
      </c>
      <c r="I7266" s="66" t="str">
        <f>IF(Thirtieth!I19="", "",Thirtieth!I19)</f>
        <v/>
      </c>
      <c r="J7266" s="66" t="str">
        <f>IF(Thirtieth!J19="", "",Thirtieth!J19)</f>
        <v/>
      </c>
      <c r="K7266" s="86" t="str">
        <f>IF(Thirtieth!K19="", "",Thirtieth!K19)</f>
        <v/>
      </c>
      <c r="M7266" s="67" t="str">
        <f t="shared" si="344"/>
        <v/>
      </c>
      <c r="N7266" s="76" t="str">
        <f t="shared" si="345"/>
        <v/>
      </c>
      <c r="O7266" s="33">
        <f t="shared" si="346"/>
        <v>0</v>
      </c>
    </row>
    <row r="7267" spans="1:15" x14ac:dyDescent="0.25">
      <c r="A7267" s="64" t="s">
        <v>196</v>
      </c>
      <c r="B7267" s="79" t="str">
        <f>IF(Thirtieth!B20="", "",Thirtieth!B20)</f>
        <v/>
      </c>
      <c r="C7267" s="66" t="str">
        <f>IF(Thirtieth!C20="", "",Thirtieth!C20)</f>
        <v/>
      </c>
      <c r="D7267" s="66" t="str">
        <f>IF(Thirtieth!D20="", "",Thirtieth!D20)</f>
        <v/>
      </c>
      <c r="E7267" s="66" t="str">
        <f>IF(Thirtieth!E20="", "",Thirtieth!E20)</f>
        <v/>
      </c>
      <c r="F7267" s="66" t="str">
        <f>IF(Thirtieth!F20="", "",Thirtieth!F20)</f>
        <v/>
      </c>
      <c r="G7267" s="66" t="str">
        <f>IF(Thirtieth!G20="", "",Thirtieth!G20)</f>
        <v/>
      </c>
      <c r="H7267" s="66" t="str">
        <f>IF(Thirtieth!H20="", "",Thirtieth!H20)</f>
        <v/>
      </c>
      <c r="I7267" s="66" t="str">
        <f>IF(Thirtieth!I20="", "",Thirtieth!I20)</f>
        <v/>
      </c>
      <c r="J7267" s="66" t="str">
        <f>IF(Thirtieth!J20="", "",Thirtieth!J20)</f>
        <v/>
      </c>
      <c r="K7267" s="86" t="str">
        <f>IF(Thirtieth!K20="", "",Thirtieth!K20)</f>
        <v/>
      </c>
      <c r="M7267" s="67" t="str">
        <f t="shared" si="344"/>
        <v/>
      </c>
      <c r="N7267" s="76" t="str">
        <f t="shared" si="345"/>
        <v/>
      </c>
      <c r="O7267" s="33">
        <f t="shared" si="346"/>
        <v>0</v>
      </c>
    </row>
    <row r="7268" spans="1:15" x14ac:dyDescent="0.25">
      <c r="A7268" s="64" t="s">
        <v>196</v>
      </c>
      <c r="B7268" s="79" t="str">
        <f>IF(Thirtieth!B21="", "",Thirtieth!B21)</f>
        <v/>
      </c>
      <c r="C7268" s="66" t="str">
        <f>IF(Thirtieth!C21="", "",Thirtieth!C21)</f>
        <v/>
      </c>
      <c r="D7268" s="66" t="str">
        <f>IF(Thirtieth!D21="", "",Thirtieth!D21)</f>
        <v/>
      </c>
      <c r="E7268" s="66" t="str">
        <f>IF(Thirtieth!E21="", "",Thirtieth!E21)</f>
        <v/>
      </c>
      <c r="F7268" s="66" t="str">
        <f>IF(Thirtieth!F21="", "",Thirtieth!F21)</f>
        <v/>
      </c>
      <c r="G7268" s="66" t="str">
        <f>IF(Thirtieth!G21="", "",Thirtieth!G21)</f>
        <v/>
      </c>
      <c r="H7268" s="66" t="str">
        <f>IF(Thirtieth!H21="", "",Thirtieth!H21)</f>
        <v/>
      </c>
      <c r="I7268" s="66" t="str">
        <f>IF(Thirtieth!I21="", "",Thirtieth!I21)</f>
        <v/>
      </c>
      <c r="J7268" s="66" t="str">
        <f>IF(Thirtieth!J21="", "",Thirtieth!J21)</f>
        <v/>
      </c>
      <c r="K7268" s="86" t="str">
        <f>IF(Thirtieth!K21="", "",Thirtieth!K21)</f>
        <v/>
      </c>
      <c r="M7268" s="67" t="str">
        <f t="shared" si="344"/>
        <v/>
      </c>
      <c r="N7268" s="76" t="str">
        <f t="shared" si="345"/>
        <v/>
      </c>
      <c r="O7268" s="33">
        <f t="shared" si="346"/>
        <v>0</v>
      </c>
    </row>
    <row r="7269" spans="1:15" x14ac:dyDescent="0.25">
      <c r="A7269" s="64" t="s">
        <v>196</v>
      </c>
      <c r="B7269" s="79" t="str">
        <f>IF(Thirtieth!B22="", "",Thirtieth!B22)</f>
        <v/>
      </c>
      <c r="C7269" s="66" t="str">
        <f>IF(Thirtieth!C22="", "",Thirtieth!C22)</f>
        <v/>
      </c>
      <c r="D7269" s="66" t="str">
        <f>IF(Thirtieth!D22="", "",Thirtieth!D22)</f>
        <v/>
      </c>
      <c r="E7269" s="66" t="str">
        <f>IF(Thirtieth!E22="", "",Thirtieth!E22)</f>
        <v/>
      </c>
      <c r="F7269" s="66" t="str">
        <f>IF(Thirtieth!F22="", "",Thirtieth!F22)</f>
        <v/>
      </c>
      <c r="G7269" s="66" t="str">
        <f>IF(Thirtieth!G22="", "",Thirtieth!G22)</f>
        <v/>
      </c>
      <c r="H7269" s="66" t="str">
        <f>IF(Thirtieth!H22="", "",Thirtieth!H22)</f>
        <v/>
      </c>
      <c r="I7269" s="66" t="str">
        <f>IF(Thirtieth!I22="", "",Thirtieth!I22)</f>
        <v/>
      </c>
      <c r="J7269" s="66" t="str">
        <f>IF(Thirtieth!J22="", "",Thirtieth!J22)</f>
        <v/>
      </c>
      <c r="K7269" s="86" t="str">
        <f>IF(Thirtieth!K22="", "",Thirtieth!K22)</f>
        <v/>
      </c>
      <c r="M7269" s="67" t="str">
        <f t="shared" si="344"/>
        <v/>
      </c>
      <c r="N7269" s="76" t="str">
        <f t="shared" si="345"/>
        <v/>
      </c>
      <c r="O7269" s="33">
        <f t="shared" si="346"/>
        <v>0</v>
      </c>
    </row>
    <row r="7270" spans="1:15" x14ac:dyDescent="0.25">
      <c r="A7270" s="64" t="s">
        <v>196</v>
      </c>
      <c r="B7270" s="79" t="str">
        <f>IF(Thirtieth!B23="", "",Thirtieth!B23)</f>
        <v/>
      </c>
      <c r="C7270" s="66" t="str">
        <f>IF(Thirtieth!C23="", "",Thirtieth!C23)</f>
        <v/>
      </c>
      <c r="D7270" s="66" t="str">
        <f>IF(Thirtieth!D23="", "",Thirtieth!D23)</f>
        <v/>
      </c>
      <c r="E7270" s="66" t="str">
        <f>IF(Thirtieth!E23="", "",Thirtieth!E23)</f>
        <v/>
      </c>
      <c r="F7270" s="66" t="str">
        <f>IF(Thirtieth!F23="", "",Thirtieth!F23)</f>
        <v/>
      </c>
      <c r="G7270" s="66" t="str">
        <f>IF(Thirtieth!G23="", "",Thirtieth!G23)</f>
        <v/>
      </c>
      <c r="H7270" s="66" t="str">
        <f>IF(Thirtieth!H23="", "",Thirtieth!H23)</f>
        <v/>
      </c>
      <c r="I7270" s="66" t="str">
        <f>IF(Thirtieth!I23="", "",Thirtieth!I23)</f>
        <v/>
      </c>
      <c r="J7270" s="66" t="str">
        <f>IF(Thirtieth!J23="", "",Thirtieth!J23)</f>
        <v/>
      </c>
      <c r="K7270" s="86" t="str">
        <f>IF(Thirtieth!K23="", "",Thirtieth!K23)</f>
        <v/>
      </c>
      <c r="M7270" s="67" t="str">
        <f t="shared" si="344"/>
        <v/>
      </c>
      <c r="N7270" s="76" t="str">
        <f t="shared" si="345"/>
        <v/>
      </c>
      <c r="O7270" s="33">
        <f t="shared" si="346"/>
        <v>0</v>
      </c>
    </row>
    <row r="7271" spans="1:15" x14ac:dyDescent="0.25">
      <c r="A7271" s="64" t="s">
        <v>196</v>
      </c>
      <c r="B7271" s="79" t="str">
        <f>IF(Thirtieth!B24="", "",Thirtieth!B24)</f>
        <v/>
      </c>
      <c r="C7271" s="66" t="str">
        <f>IF(Thirtieth!C24="", "",Thirtieth!C24)</f>
        <v/>
      </c>
      <c r="D7271" s="66" t="str">
        <f>IF(Thirtieth!D24="", "",Thirtieth!D24)</f>
        <v/>
      </c>
      <c r="E7271" s="66" t="str">
        <f>IF(Thirtieth!E24="", "",Thirtieth!E24)</f>
        <v/>
      </c>
      <c r="F7271" s="66" t="str">
        <f>IF(Thirtieth!F24="", "",Thirtieth!F24)</f>
        <v/>
      </c>
      <c r="G7271" s="66" t="str">
        <f>IF(Thirtieth!G24="", "",Thirtieth!G24)</f>
        <v/>
      </c>
      <c r="H7271" s="66" t="str">
        <f>IF(Thirtieth!H24="", "",Thirtieth!H24)</f>
        <v/>
      </c>
      <c r="I7271" s="66" t="str">
        <f>IF(Thirtieth!I24="", "",Thirtieth!I24)</f>
        <v/>
      </c>
      <c r="J7271" s="66" t="str">
        <f>IF(Thirtieth!J24="", "",Thirtieth!J24)</f>
        <v/>
      </c>
      <c r="K7271" s="86" t="str">
        <f>IF(Thirtieth!K24="", "",Thirtieth!K24)</f>
        <v/>
      </c>
      <c r="M7271" s="67" t="str">
        <f t="shared" si="344"/>
        <v/>
      </c>
      <c r="N7271" s="76" t="str">
        <f t="shared" si="345"/>
        <v/>
      </c>
      <c r="O7271" s="33">
        <f t="shared" si="346"/>
        <v>0</v>
      </c>
    </row>
    <row r="7272" spans="1:15" x14ac:dyDescent="0.25">
      <c r="A7272" s="64" t="s">
        <v>196</v>
      </c>
      <c r="B7272" s="79" t="str">
        <f>IF(Thirtieth!B25="", "",Thirtieth!B25)</f>
        <v/>
      </c>
      <c r="C7272" s="66" t="str">
        <f>IF(Thirtieth!C25="", "",Thirtieth!C25)</f>
        <v/>
      </c>
      <c r="D7272" s="66" t="str">
        <f>IF(Thirtieth!D25="", "",Thirtieth!D25)</f>
        <v/>
      </c>
      <c r="E7272" s="66" t="str">
        <f>IF(Thirtieth!E25="", "",Thirtieth!E25)</f>
        <v/>
      </c>
      <c r="F7272" s="66" t="str">
        <f>IF(Thirtieth!F25="", "",Thirtieth!F25)</f>
        <v/>
      </c>
      <c r="G7272" s="66" t="str">
        <f>IF(Thirtieth!G25="", "",Thirtieth!G25)</f>
        <v/>
      </c>
      <c r="H7272" s="66" t="str">
        <f>IF(Thirtieth!H25="", "",Thirtieth!H25)</f>
        <v/>
      </c>
      <c r="I7272" s="66" t="str">
        <f>IF(Thirtieth!I25="", "",Thirtieth!I25)</f>
        <v/>
      </c>
      <c r="J7272" s="66" t="str">
        <f>IF(Thirtieth!J25="", "",Thirtieth!J25)</f>
        <v/>
      </c>
      <c r="K7272" s="86" t="str">
        <f>IF(Thirtieth!K25="", "",Thirtieth!K25)</f>
        <v/>
      </c>
      <c r="M7272" s="67" t="str">
        <f t="shared" si="344"/>
        <v/>
      </c>
      <c r="N7272" s="76" t="str">
        <f t="shared" si="345"/>
        <v/>
      </c>
      <c r="O7272" s="33">
        <f t="shared" si="346"/>
        <v>0</v>
      </c>
    </row>
    <row r="7273" spans="1:15" x14ac:dyDescent="0.25">
      <c r="A7273" s="64" t="s">
        <v>196</v>
      </c>
      <c r="B7273" s="79" t="str">
        <f>IF(Thirtieth!B26="", "",Thirtieth!B26)</f>
        <v/>
      </c>
      <c r="C7273" s="66" t="str">
        <f>IF(Thirtieth!C26="", "",Thirtieth!C26)</f>
        <v/>
      </c>
      <c r="D7273" s="66" t="str">
        <f>IF(Thirtieth!D26="", "",Thirtieth!D26)</f>
        <v/>
      </c>
      <c r="E7273" s="66" t="str">
        <f>IF(Thirtieth!E26="", "",Thirtieth!E26)</f>
        <v/>
      </c>
      <c r="F7273" s="66" t="str">
        <f>IF(Thirtieth!F26="", "",Thirtieth!F26)</f>
        <v/>
      </c>
      <c r="G7273" s="66" t="str">
        <f>IF(Thirtieth!G26="", "",Thirtieth!G26)</f>
        <v/>
      </c>
      <c r="H7273" s="66" t="str">
        <f>IF(Thirtieth!H26="", "",Thirtieth!H26)</f>
        <v/>
      </c>
      <c r="I7273" s="66" t="str">
        <f>IF(Thirtieth!I26="", "",Thirtieth!I26)</f>
        <v/>
      </c>
      <c r="J7273" s="66" t="str">
        <f>IF(Thirtieth!J26="", "",Thirtieth!J26)</f>
        <v/>
      </c>
      <c r="K7273" s="86" t="str">
        <f>IF(Thirtieth!K26="", "",Thirtieth!K26)</f>
        <v/>
      </c>
      <c r="M7273" s="67" t="str">
        <f t="shared" si="344"/>
        <v/>
      </c>
      <c r="N7273" s="76" t="str">
        <f t="shared" si="345"/>
        <v/>
      </c>
      <c r="O7273" s="33">
        <f t="shared" si="346"/>
        <v>0</v>
      </c>
    </row>
    <row r="7274" spans="1:15" x14ac:dyDescent="0.25">
      <c r="A7274" s="64" t="s">
        <v>196</v>
      </c>
      <c r="B7274" s="79" t="str">
        <f>IF(Thirtieth!B27="", "",Thirtieth!B27)</f>
        <v/>
      </c>
      <c r="C7274" s="66" t="str">
        <f>IF(Thirtieth!C27="", "",Thirtieth!C27)</f>
        <v/>
      </c>
      <c r="D7274" s="66" t="str">
        <f>IF(Thirtieth!D27="", "",Thirtieth!D27)</f>
        <v/>
      </c>
      <c r="E7274" s="66" t="str">
        <f>IF(Thirtieth!E27="", "",Thirtieth!E27)</f>
        <v/>
      </c>
      <c r="F7274" s="66" t="str">
        <f>IF(Thirtieth!F27="", "",Thirtieth!F27)</f>
        <v/>
      </c>
      <c r="G7274" s="66" t="str">
        <f>IF(Thirtieth!G27="", "",Thirtieth!G27)</f>
        <v/>
      </c>
      <c r="H7274" s="66" t="str">
        <f>IF(Thirtieth!H27="", "",Thirtieth!H27)</f>
        <v/>
      </c>
      <c r="I7274" s="66" t="str">
        <f>IF(Thirtieth!I27="", "",Thirtieth!I27)</f>
        <v/>
      </c>
      <c r="J7274" s="66" t="str">
        <f>IF(Thirtieth!J27="", "",Thirtieth!J27)</f>
        <v/>
      </c>
      <c r="K7274" s="86" t="str">
        <f>IF(Thirtieth!K27="", "",Thirtieth!K27)</f>
        <v/>
      </c>
      <c r="M7274" s="67" t="str">
        <f t="shared" si="344"/>
        <v/>
      </c>
      <c r="N7274" s="76" t="str">
        <f t="shared" si="345"/>
        <v/>
      </c>
      <c r="O7274" s="33">
        <f t="shared" si="346"/>
        <v>0</v>
      </c>
    </row>
    <row r="7275" spans="1:15" x14ac:dyDescent="0.25">
      <c r="A7275" s="64" t="s">
        <v>196</v>
      </c>
      <c r="B7275" s="79" t="str">
        <f>IF(Thirtieth!B28="", "",Thirtieth!B28)</f>
        <v/>
      </c>
      <c r="C7275" s="66" t="str">
        <f>IF(Thirtieth!C28="", "",Thirtieth!C28)</f>
        <v/>
      </c>
      <c r="D7275" s="66" t="str">
        <f>IF(Thirtieth!D28="", "",Thirtieth!D28)</f>
        <v/>
      </c>
      <c r="E7275" s="66" t="str">
        <f>IF(Thirtieth!E28="", "",Thirtieth!E28)</f>
        <v/>
      </c>
      <c r="F7275" s="66" t="str">
        <f>IF(Thirtieth!F28="", "",Thirtieth!F28)</f>
        <v/>
      </c>
      <c r="G7275" s="66" t="str">
        <f>IF(Thirtieth!G28="", "",Thirtieth!G28)</f>
        <v/>
      </c>
      <c r="H7275" s="66" t="str">
        <f>IF(Thirtieth!H28="", "",Thirtieth!H28)</f>
        <v/>
      </c>
      <c r="I7275" s="66" t="str">
        <f>IF(Thirtieth!I28="", "",Thirtieth!I28)</f>
        <v/>
      </c>
      <c r="J7275" s="66" t="str">
        <f>IF(Thirtieth!J28="", "",Thirtieth!J28)</f>
        <v/>
      </c>
      <c r="K7275" s="86" t="str">
        <f>IF(Thirtieth!K28="", "",Thirtieth!K28)</f>
        <v/>
      </c>
      <c r="M7275" s="67" t="str">
        <f t="shared" si="344"/>
        <v/>
      </c>
      <c r="N7275" s="76" t="str">
        <f t="shared" si="345"/>
        <v/>
      </c>
      <c r="O7275" s="33">
        <f t="shared" si="346"/>
        <v>0</v>
      </c>
    </row>
    <row r="7276" spans="1:15" x14ac:dyDescent="0.25">
      <c r="A7276" s="64" t="s">
        <v>196</v>
      </c>
      <c r="B7276" s="79" t="str">
        <f>IF(Thirtieth!B29="", "",Thirtieth!B29)</f>
        <v/>
      </c>
      <c r="C7276" s="66" t="str">
        <f>IF(Thirtieth!C29="", "",Thirtieth!C29)</f>
        <v/>
      </c>
      <c r="D7276" s="66" t="str">
        <f>IF(Thirtieth!D29="", "",Thirtieth!D29)</f>
        <v/>
      </c>
      <c r="E7276" s="66" t="str">
        <f>IF(Thirtieth!E29="", "",Thirtieth!E29)</f>
        <v/>
      </c>
      <c r="F7276" s="66" t="str">
        <f>IF(Thirtieth!F29="", "",Thirtieth!F29)</f>
        <v/>
      </c>
      <c r="G7276" s="66" t="str">
        <f>IF(Thirtieth!G29="", "",Thirtieth!G29)</f>
        <v/>
      </c>
      <c r="H7276" s="66" t="str">
        <f>IF(Thirtieth!H29="", "",Thirtieth!H29)</f>
        <v/>
      </c>
      <c r="I7276" s="66" t="str">
        <f>IF(Thirtieth!I29="", "",Thirtieth!I29)</f>
        <v/>
      </c>
      <c r="J7276" s="66" t="str">
        <f>IF(Thirtieth!J29="", "",Thirtieth!J29)</f>
        <v/>
      </c>
      <c r="K7276" s="86" t="str">
        <f>IF(Thirtieth!K29="", "",Thirtieth!K29)</f>
        <v/>
      </c>
      <c r="M7276" s="67" t="str">
        <f t="shared" si="344"/>
        <v/>
      </c>
      <c r="N7276" s="76" t="str">
        <f t="shared" si="345"/>
        <v/>
      </c>
      <c r="O7276" s="33">
        <f t="shared" si="346"/>
        <v>0</v>
      </c>
    </row>
    <row r="7277" spans="1:15" x14ac:dyDescent="0.25">
      <c r="A7277" s="64" t="s">
        <v>196</v>
      </c>
      <c r="B7277" s="79" t="str">
        <f>IF(Thirtieth!B30="", "",Thirtieth!B30)</f>
        <v/>
      </c>
      <c r="C7277" s="66" t="str">
        <f>IF(Thirtieth!C30="", "",Thirtieth!C30)</f>
        <v/>
      </c>
      <c r="D7277" s="66" t="str">
        <f>IF(Thirtieth!D30="", "",Thirtieth!D30)</f>
        <v/>
      </c>
      <c r="E7277" s="66" t="str">
        <f>IF(Thirtieth!E30="", "",Thirtieth!E30)</f>
        <v/>
      </c>
      <c r="F7277" s="66" t="str">
        <f>IF(Thirtieth!F30="", "",Thirtieth!F30)</f>
        <v/>
      </c>
      <c r="G7277" s="66" t="str">
        <f>IF(Thirtieth!G30="", "",Thirtieth!G30)</f>
        <v/>
      </c>
      <c r="H7277" s="66" t="str">
        <f>IF(Thirtieth!H30="", "",Thirtieth!H30)</f>
        <v/>
      </c>
      <c r="I7277" s="66" t="str">
        <f>IF(Thirtieth!I30="", "",Thirtieth!I30)</f>
        <v/>
      </c>
      <c r="J7277" s="66" t="str">
        <f>IF(Thirtieth!J30="", "",Thirtieth!J30)</f>
        <v/>
      </c>
      <c r="K7277" s="86" t="str">
        <f>IF(Thirtieth!K30="", "",Thirtieth!K30)</f>
        <v/>
      </c>
      <c r="M7277" s="67" t="str">
        <f t="shared" si="344"/>
        <v/>
      </c>
      <c r="N7277" s="76" t="str">
        <f t="shared" si="345"/>
        <v/>
      </c>
      <c r="O7277" s="33">
        <f t="shared" si="346"/>
        <v>0</v>
      </c>
    </row>
    <row r="7278" spans="1:15" x14ac:dyDescent="0.25">
      <c r="A7278" s="64" t="s">
        <v>196</v>
      </c>
      <c r="B7278" s="79" t="str">
        <f>IF(Thirtieth!B31="", "",Thirtieth!B31)</f>
        <v/>
      </c>
      <c r="C7278" s="66" t="str">
        <f>IF(Thirtieth!C31="", "",Thirtieth!C31)</f>
        <v/>
      </c>
      <c r="D7278" s="66" t="str">
        <f>IF(Thirtieth!D31="", "",Thirtieth!D31)</f>
        <v/>
      </c>
      <c r="E7278" s="66" t="str">
        <f>IF(Thirtieth!E31="", "",Thirtieth!E31)</f>
        <v/>
      </c>
      <c r="F7278" s="66" t="str">
        <f>IF(Thirtieth!F31="", "",Thirtieth!F31)</f>
        <v/>
      </c>
      <c r="G7278" s="66" t="str">
        <f>IF(Thirtieth!G31="", "",Thirtieth!G31)</f>
        <v/>
      </c>
      <c r="H7278" s="66" t="str">
        <f>IF(Thirtieth!H31="", "",Thirtieth!H31)</f>
        <v/>
      </c>
      <c r="I7278" s="66" t="str">
        <f>IF(Thirtieth!I31="", "",Thirtieth!I31)</f>
        <v/>
      </c>
      <c r="J7278" s="66" t="str">
        <f>IF(Thirtieth!J31="", "",Thirtieth!J31)</f>
        <v/>
      </c>
      <c r="K7278" s="86" t="str">
        <f>IF(Thirtieth!K31="", "",Thirtieth!K31)</f>
        <v/>
      </c>
      <c r="M7278" s="67" t="str">
        <f t="shared" si="344"/>
        <v/>
      </c>
      <c r="N7278" s="76" t="str">
        <f t="shared" si="345"/>
        <v/>
      </c>
      <c r="O7278" s="33">
        <f t="shared" si="346"/>
        <v>0</v>
      </c>
    </row>
    <row r="7279" spans="1:15" x14ac:dyDescent="0.25">
      <c r="A7279" s="64" t="s">
        <v>196</v>
      </c>
      <c r="B7279" s="79" t="str">
        <f>IF(Thirtieth!B32="", "",Thirtieth!B32)</f>
        <v/>
      </c>
      <c r="C7279" s="66" t="str">
        <f>IF(Thirtieth!C32="", "",Thirtieth!C32)</f>
        <v/>
      </c>
      <c r="D7279" s="66" t="str">
        <f>IF(Thirtieth!D32="", "",Thirtieth!D32)</f>
        <v/>
      </c>
      <c r="E7279" s="66" t="str">
        <f>IF(Thirtieth!E32="", "",Thirtieth!E32)</f>
        <v/>
      </c>
      <c r="F7279" s="66" t="str">
        <f>IF(Thirtieth!F32="", "",Thirtieth!F32)</f>
        <v/>
      </c>
      <c r="G7279" s="66" t="str">
        <f>IF(Thirtieth!G32="", "",Thirtieth!G32)</f>
        <v/>
      </c>
      <c r="H7279" s="66" t="str">
        <f>IF(Thirtieth!H32="", "",Thirtieth!H32)</f>
        <v/>
      </c>
      <c r="I7279" s="66" t="str">
        <f>IF(Thirtieth!I32="", "",Thirtieth!I32)</f>
        <v/>
      </c>
      <c r="J7279" s="66" t="str">
        <f>IF(Thirtieth!J32="", "",Thirtieth!J32)</f>
        <v/>
      </c>
      <c r="K7279" s="86" t="str">
        <f>IF(Thirtieth!K32="", "",Thirtieth!K32)</f>
        <v/>
      </c>
      <c r="M7279" s="67" t="str">
        <f t="shared" si="344"/>
        <v/>
      </c>
      <c r="N7279" s="76" t="str">
        <f t="shared" si="345"/>
        <v/>
      </c>
      <c r="O7279" s="33">
        <f t="shared" si="346"/>
        <v>0</v>
      </c>
    </row>
    <row r="7280" spans="1:15" x14ac:dyDescent="0.25">
      <c r="A7280" s="64" t="s">
        <v>196</v>
      </c>
      <c r="B7280" s="79" t="str">
        <f>IF(Thirtieth!B33="", "",Thirtieth!B33)</f>
        <v/>
      </c>
      <c r="C7280" s="66" t="str">
        <f>IF(Thirtieth!C33="", "",Thirtieth!C33)</f>
        <v/>
      </c>
      <c r="D7280" s="66" t="str">
        <f>IF(Thirtieth!D33="", "",Thirtieth!D33)</f>
        <v/>
      </c>
      <c r="E7280" s="66" t="str">
        <f>IF(Thirtieth!E33="", "",Thirtieth!E33)</f>
        <v/>
      </c>
      <c r="F7280" s="66" t="str">
        <f>IF(Thirtieth!F33="", "",Thirtieth!F33)</f>
        <v/>
      </c>
      <c r="G7280" s="66" t="str">
        <f>IF(Thirtieth!G33="", "",Thirtieth!G33)</f>
        <v/>
      </c>
      <c r="H7280" s="66" t="str">
        <f>IF(Thirtieth!H33="", "",Thirtieth!H33)</f>
        <v/>
      </c>
      <c r="I7280" s="66" t="str">
        <f>IF(Thirtieth!I33="", "",Thirtieth!I33)</f>
        <v/>
      </c>
      <c r="J7280" s="66" t="str">
        <f>IF(Thirtieth!J33="", "",Thirtieth!J33)</f>
        <v/>
      </c>
      <c r="K7280" s="86" t="str">
        <f>IF(Thirtieth!K33="", "",Thirtieth!K33)</f>
        <v/>
      </c>
      <c r="M7280" s="67" t="str">
        <f t="shared" si="344"/>
        <v/>
      </c>
      <c r="N7280" s="76" t="str">
        <f t="shared" si="345"/>
        <v/>
      </c>
      <c r="O7280" s="33">
        <f t="shared" si="346"/>
        <v>0</v>
      </c>
    </row>
    <row r="7281" spans="1:15" x14ac:dyDescent="0.25">
      <c r="A7281" s="64" t="s">
        <v>196</v>
      </c>
      <c r="B7281" s="79" t="str">
        <f>IF(Thirtieth!B34="", "",Thirtieth!B34)</f>
        <v/>
      </c>
      <c r="C7281" s="66" t="str">
        <f>IF(Thirtieth!C34="", "",Thirtieth!C34)</f>
        <v/>
      </c>
      <c r="D7281" s="66" t="str">
        <f>IF(Thirtieth!D34="", "",Thirtieth!D34)</f>
        <v/>
      </c>
      <c r="E7281" s="66" t="str">
        <f>IF(Thirtieth!E34="", "",Thirtieth!E34)</f>
        <v/>
      </c>
      <c r="F7281" s="66" t="str">
        <f>IF(Thirtieth!F34="", "",Thirtieth!F34)</f>
        <v/>
      </c>
      <c r="G7281" s="66" t="str">
        <f>IF(Thirtieth!G34="", "",Thirtieth!G34)</f>
        <v/>
      </c>
      <c r="H7281" s="66" t="str">
        <f>IF(Thirtieth!H34="", "",Thirtieth!H34)</f>
        <v/>
      </c>
      <c r="I7281" s="66" t="str">
        <f>IF(Thirtieth!I34="", "",Thirtieth!I34)</f>
        <v/>
      </c>
      <c r="J7281" s="66" t="str">
        <f>IF(Thirtieth!J34="", "",Thirtieth!J34)</f>
        <v/>
      </c>
      <c r="K7281" s="86" t="str">
        <f>IF(Thirtieth!K34="", "",Thirtieth!K34)</f>
        <v/>
      </c>
      <c r="M7281" s="67" t="str">
        <f t="shared" si="344"/>
        <v/>
      </c>
      <c r="N7281" s="76" t="str">
        <f t="shared" si="345"/>
        <v/>
      </c>
      <c r="O7281" s="33">
        <f t="shared" si="346"/>
        <v>0</v>
      </c>
    </row>
    <row r="7282" spans="1:15" x14ac:dyDescent="0.25">
      <c r="A7282" s="64" t="s">
        <v>196</v>
      </c>
      <c r="B7282" s="79" t="str">
        <f>IF(Thirtieth!B35="", "",Thirtieth!B35)</f>
        <v/>
      </c>
      <c r="C7282" s="66" t="str">
        <f>IF(Thirtieth!C35="", "",Thirtieth!C35)</f>
        <v/>
      </c>
      <c r="D7282" s="66" t="str">
        <f>IF(Thirtieth!D35="", "",Thirtieth!D35)</f>
        <v/>
      </c>
      <c r="E7282" s="66" t="str">
        <f>IF(Thirtieth!E35="", "",Thirtieth!E35)</f>
        <v/>
      </c>
      <c r="F7282" s="66" t="str">
        <f>IF(Thirtieth!F35="", "",Thirtieth!F35)</f>
        <v/>
      </c>
      <c r="G7282" s="66" t="str">
        <f>IF(Thirtieth!G35="", "",Thirtieth!G35)</f>
        <v/>
      </c>
      <c r="H7282" s="66" t="str">
        <f>IF(Thirtieth!H35="", "",Thirtieth!H35)</f>
        <v/>
      </c>
      <c r="I7282" s="66" t="str">
        <f>IF(Thirtieth!I35="", "",Thirtieth!I35)</f>
        <v/>
      </c>
      <c r="J7282" s="66" t="str">
        <f>IF(Thirtieth!J35="", "",Thirtieth!J35)</f>
        <v/>
      </c>
      <c r="K7282" s="86" t="str">
        <f>IF(Thirtieth!K35="", "",Thirtieth!K35)</f>
        <v/>
      </c>
      <c r="M7282" s="67" t="str">
        <f t="shared" si="344"/>
        <v/>
      </c>
      <c r="N7282" s="76" t="str">
        <f t="shared" si="345"/>
        <v/>
      </c>
      <c r="O7282" s="33">
        <f t="shared" si="346"/>
        <v>0</v>
      </c>
    </row>
    <row r="7283" spans="1:15" x14ac:dyDescent="0.25">
      <c r="A7283" s="64" t="s">
        <v>196</v>
      </c>
      <c r="B7283" s="79" t="str">
        <f>IF(Thirtieth!B36="", "",Thirtieth!B36)</f>
        <v/>
      </c>
      <c r="C7283" s="66" t="str">
        <f>IF(Thirtieth!C36="", "",Thirtieth!C36)</f>
        <v/>
      </c>
      <c r="D7283" s="66" t="str">
        <f>IF(Thirtieth!D36="", "",Thirtieth!D36)</f>
        <v/>
      </c>
      <c r="E7283" s="66" t="str">
        <f>IF(Thirtieth!E36="", "",Thirtieth!E36)</f>
        <v/>
      </c>
      <c r="F7283" s="66" t="str">
        <f>IF(Thirtieth!F36="", "",Thirtieth!F36)</f>
        <v/>
      </c>
      <c r="G7283" s="66" t="str">
        <f>IF(Thirtieth!G36="", "",Thirtieth!G36)</f>
        <v/>
      </c>
      <c r="H7283" s="66" t="str">
        <f>IF(Thirtieth!H36="", "",Thirtieth!H36)</f>
        <v/>
      </c>
      <c r="I7283" s="66" t="str">
        <f>IF(Thirtieth!I36="", "",Thirtieth!I36)</f>
        <v/>
      </c>
      <c r="J7283" s="66" t="str">
        <f>IF(Thirtieth!J36="", "",Thirtieth!J36)</f>
        <v/>
      </c>
      <c r="K7283" s="86" t="str">
        <f>IF(Thirtieth!K36="", "",Thirtieth!K36)</f>
        <v/>
      </c>
      <c r="M7283" s="67" t="str">
        <f t="shared" si="344"/>
        <v/>
      </c>
      <c r="N7283" s="76" t="str">
        <f t="shared" si="345"/>
        <v/>
      </c>
      <c r="O7283" s="33">
        <f t="shared" si="346"/>
        <v>0</v>
      </c>
    </row>
    <row r="7284" spans="1:15" x14ac:dyDescent="0.25">
      <c r="A7284" s="64" t="s">
        <v>196</v>
      </c>
      <c r="B7284" s="79" t="str">
        <f>IF(Thirtieth!B37="", "",Thirtieth!B37)</f>
        <v/>
      </c>
      <c r="C7284" s="66" t="str">
        <f>IF(Thirtieth!C37="", "",Thirtieth!C37)</f>
        <v/>
      </c>
      <c r="D7284" s="66" t="str">
        <f>IF(Thirtieth!D37="", "",Thirtieth!D37)</f>
        <v/>
      </c>
      <c r="E7284" s="66" t="str">
        <f>IF(Thirtieth!E37="", "",Thirtieth!E37)</f>
        <v/>
      </c>
      <c r="F7284" s="66" t="str">
        <f>IF(Thirtieth!F37="", "",Thirtieth!F37)</f>
        <v/>
      </c>
      <c r="G7284" s="66" t="str">
        <f>IF(Thirtieth!G37="", "",Thirtieth!G37)</f>
        <v/>
      </c>
      <c r="H7284" s="66" t="str">
        <f>IF(Thirtieth!H37="", "",Thirtieth!H37)</f>
        <v/>
      </c>
      <c r="I7284" s="66" t="str">
        <f>IF(Thirtieth!I37="", "",Thirtieth!I37)</f>
        <v/>
      </c>
      <c r="J7284" s="66" t="str">
        <f>IF(Thirtieth!J37="", "",Thirtieth!J37)</f>
        <v/>
      </c>
      <c r="K7284" s="86" t="str">
        <f>IF(Thirtieth!K37="", "",Thirtieth!K37)</f>
        <v/>
      </c>
      <c r="M7284" s="67" t="str">
        <f t="shared" si="344"/>
        <v/>
      </c>
      <c r="N7284" s="76" t="str">
        <f t="shared" si="345"/>
        <v/>
      </c>
      <c r="O7284" s="33">
        <f t="shared" si="346"/>
        <v>0</v>
      </c>
    </row>
    <row r="7285" spans="1:15" x14ac:dyDescent="0.25">
      <c r="A7285" s="64" t="s">
        <v>196</v>
      </c>
      <c r="B7285" s="79" t="str">
        <f>IF(Thirtieth!B38="", "",Thirtieth!B38)</f>
        <v/>
      </c>
      <c r="C7285" s="66" t="str">
        <f>IF(Thirtieth!C38="", "",Thirtieth!C38)</f>
        <v/>
      </c>
      <c r="D7285" s="66" t="str">
        <f>IF(Thirtieth!D38="", "",Thirtieth!D38)</f>
        <v/>
      </c>
      <c r="E7285" s="66" t="str">
        <f>IF(Thirtieth!E38="", "",Thirtieth!E38)</f>
        <v/>
      </c>
      <c r="F7285" s="66" t="str">
        <f>IF(Thirtieth!F38="", "",Thirtieth!F38)</f>
        <v/>
      </c>
      <c r="G7285" s="66" t="str">
        <f>IF(Thirtieth!G38="", "",Thirtieth!G38)</f>
        <v/>
      </c>
      <c r="H7285" s="66" t="str">
        <f>IF(Thirtieth!H38="", "",Thirtieth!H38)</f>
        <v/>
      </c>
      <c r="I7285" s="66" t="str">
        <f>IF(Thirtieth!I38="", "",Thirtieth!I38)</f>
        <v/>
      </c>
      <c r="J7285" s="66" t="str">
        <f>IF(Thirtieth!J38="", "",Thirtieth!J38)</f>
        <v/>
      </c>
      <c r="K7285" s="86" t="str">
        <f>IF(Thirtieth!K38="", "",Thirtieth!K38)</f>
        <v/>
      </c>
      <c r="M7285" s="67" t="str">
        <f t="shared" si="344"/>
        <v/>
      </c>
      <c r="N7285" s="76" t="str">
        <f t="shared" si="345"/>
        <v/>
      </c>
      <c r="O7285" s="33">
        <f t="shared" si="346"/>
        <v>0</v>
      </c>
    </row>
    <row r="7286" spans="1:15" x14ac:dyDescent="0.25">
      <c r="A7286" s="64" t="s">
        <v>196</v>
      </c>
      <c r="B7286" s="79" t="str">
        <f>IF(Thirtieth!B39="", "",Thirtieth!B39)</f>
        <v/>
      </c>
      <c r="C7286" s="66" t="str">
        <f>IF(Thirtieth!C39="", "",Thirtieth!C39)</f>
        <v/>
      </c>
      <c r="D7286" s="66" t="str">
        <f>IF(Thirtieth!D39="", "",Thirtieth!D39)</f>
        <v/>
      </c>
      <c r="E7286" s="66" t="str">
        <f>IF(Thirtieth!E39="", "",Thirtieth!E39)</f>
        <v/>
      </c>
      <c r="F7286" s="66" t="str">
        <f>IF(Thirtieth!F39="", "",Thirtieth!F39)</f>
        <v/>
      </c>
      <c r="G7286" s="66" t="str">
        <f>IF(Thirtieth!G39="", "",Thirtieth!G39)</f>
        <v/>
      </c>
      <c r="H7286" s="66" t="str">
        <f>IF(Thirtieth!H39="", "",Thirtieth!H39)</f>
        <v/>
      </c>
      <c r="I7286" s="66" t="str">
        <f>IF(Thirtieth!I39="", "",Thirtieth!I39)</f>
        <v/>
      </c>
      <c r="J7286" s="66" t="str">
        <f>IF(Thirtieth!J39="", "",Thirtieth!J39)</f>
        <v/>
      </c>
      <c r="K7286" s="86" t="str">
        <f>IF(Thirtieth!K39="", "",Thirtieth!K39)</f>
        <v/>
      </c>
      <c r="M7286" s="67" t="str">
        <f t="shared" si="344"/>
        <v/>
      </c>
      <c r="N7286" s="76" t="str">
        <f t="shared" si="345"/>
        <v/>
      </c>
      <c r="O7286" s="33">
        <f t="shared" si="346"/>
        <v>0</v>
      </c>
    </row>
    <row r="7287" spans="1:15" x14ac:dyDescent="0.25">
      <c r="A7287" s="64" t="s">
        <v>196</v>
      </c>
      <c r="B7287" s="79" t="str">
        <f>IF(Thirtieth!B40="", "",Thirtieth!B40)</f>
        <v/>
      </c>
      <c r="C7287" s="66" t="str">
        <f>IF(Thirtieth!C40="", "",Thirtieth!C40)</f>
        <v/>
      </c>
      <c r="D7287" s="66" t="str">
        <f>IF(Thirtieth!D40="", "",Thirtieth!D40)</f>
        <v/>
      </c>
      <c r="E7287" s="66" t="str">
        <f>IF(Thirtieth!E40="", "",Thirtieth!E40)</f>
        <v/>
      </c>
      <c r="F7287" s="66" t="str">
        <f>IF(Thirtieth!F40="", "",Thirtieth!F40)</f>
        <v/>
      </c>
      <c r="G7287" s="66" t="str">
        <f>IF(Thirtieth!G40="", "",Thirtieth!G40)</f>
        <v/>
      </c>
      <c r="H7287" s="66" t="str">
        <f>IF(Thirtieth!H40="", "",Thirtieth!H40)</f>
        <v/>
      </c>
      <c r="I7287" s="66" t="str">
        <f>IF(Thirtieth!I40="", "",Thirtieth!I40)</f>
        <v/>
      </c>
      <c r="J7287" s="66" t="str">
        <f>IF(Thirtieth!J40="", "",Thirtieth!J40)</f>
        <v/>
      </c>
      <c r="K7287" s="86" t="str">
        <f>IF(Thirtieth!K40="", "",Thirtieth!K40)</f>
        <v/>
      </c>
      <c r="M7287" s="67" t="str">
        <f t="shared" si="344"/>
        <v/>
      </c>
      <c r="N7287" s="76" t="str">
        <f t="shared" si="345"/>
        <v/>
      </c>
      <c r="O7287" s="33">
        <f t="shared" si="346"/>
        <v>0</v>
      </c>
    </row>
    <row r="7288" spans="1:15" x14ac:dyDescent="0.25">
      <c r="A7288" s="64" t="s">
        <v>196</v>
      </c>
      <c r="B7288" s="79" t="str">
        <f>IF(Thirtieth!B41="", "",Thirtieth!B41)</f>
        <v/>
      </c>
      <c r="C7288" s="66" t="str">
        <f>IF(Thirtieth!C41="", "",Thirtieth!C41)</f>
        <v/>
      </c>
      <c r="D7288" s="66" t="str">
        <f>IF(Thirtieth!D41="", "",Thirtieth!D41)</f>
        <v/>
      </c>
      <c r="E7288" s="66" t="str">
        <f>IF(Thirtieth!E41="", "",Thirtieth!E41)</f>
        <v/>
      </c>
      <c r="F7288" s="66" t="str">
        <f>IF(Thirtieth!F41="", "",Thirtieth!F41)</f>
        <v/>
      </c>
      <c r="G7288" s="66" t="str">
        <f>IF(Thirtieth!G41="", "",Thirtieth!G41)</f>
        <v/>
      </c>
      <c r="H7288" s="66" t="str">
        <f>IF(Thirtieth!H41="", "",Thirtieth!H41)</f>
        <v/>
      </c>
      <c r="I7288" s="66" t="str">
        <f>IF(Thirtieth!I41="", "",Thirtieth!I41)</f>
        <v/>
      </c>
      <c r="J7288" s="66" t="str">
        <f>IF(Thirtieth!J41="", "",Thirtieth!J41)</f>
        <v/>
      </c>
      <c r="K7288" s="86" t="str">
        <f>IF(Thirtieth!K41="", "",Thirtieth!K41)</f>
        <v/>
      </c>
      <c r="M7288" s="67" t="str">
        <f t="shared" si="344"/>
        <v/>
      </c>
      <c r="N7288" s="76" t="str">
        <f t="shared" si="345"/>
        <v/>
      </c>
      <c r="O7288" s="33">
        <f t="shared" si="346"/>
        <v>0</v>
      </c>
    </row>
    <row r="7289" spans="1:15" x14ac:dyDescent="0.25">
      <c r="A7289" s="64" t="s">
        <v>196</v>
      </c>
      <c r="B7289" s="79" t="str">
        <f>IF(Thirtieth!B42="", "",Thirtieth!B42)</f>
        <v/>
      </c>
      <c r="C7289" s="66" t="str">
        <f>IF(Thirtieth!C42="", "",Thirtieth!C42)</f>
        <v/>
      </c>
      <c r="D7289" s="66" t="str">
        <f>IF(Thirtieth!D42="", "",Thirtieth!D42)</f>
        <v/>
      </c>
      <c r="E7289" s="66" t="str">
        <f>IF(Thirtieth!E42="", "",Thirtieth!E42)</f>
        <v/>
      </c>
      <c r="F7289" s="66" t="str">
        <f>IF(Thirtieth!F42="", "",Thirtieth!F42)</f>
        <v/>
      </c>
      <c r="G7289" s="66" t="str">
        <f>IF(Thirtieth!G42="", "",Thirtieth!G42)</f>
        <v/>
      </c>
      <c r="H7289" s="66" t="str">
        <f>IF(Thirtieth!H42="", "",Thirtieth!H42)</f>
        <v/>
      </c>
      <c r="I7289" s="66" t="str">
        <f>IF(Thirtieth!I42="", "",Thirtieth!I42)</f>
        <v/>
      </c>
      <c r="J7289" s="66" t="str">
        <f>IF(Thirtieth!J42="", "",Thirtieth!J42)</f>
        <v/>
      </c>
      <c r="K7289" s="86" t="str">
        <f>IF(Thirtieth!K42="", "",Thirtieth!K42)</f>
        <v/>
      </c>
      <c r="M7289" s="67" t="str">
        <f t="shared" si="344"/>
        <v/>
      </c>
      <c r="N7289" s="76" t="str">
        <f t="shared" si="345"/>
        <v/>
      </c>
      <c r="O7289" s="33">
        <f t="shared" si="346"/>
        <v>0</v>
      </c>
    </row>
    <row r="7290" spans="1:15" x14ac:dyDescent="0.25">
      <c r="A7290" s="64" t="s">
        <v>196</v>
      </c>
      <c r="B7290" s="79" t="str">
        <f>IF(Thirtieth!B43="", "",Thirtieth!B43)</f>
        <v/>
      </c>
      <c r="C7290" s="66" t="str">
        <f>IF(Thirtieth!C43="", "",Thirtieth!C43)</f>
        <v/>
      </c>
      <c r="D7290" s="66" t="str">
        <f>IF(Thirtieth!D43="", "",Thirtieth!D43)</f>
        <v/>
      </c>
      <c r="E7290" s="66" t="str">
        <f>IF(Thirtieth!E43="", "",Thirtieth!E43)</f>
        <v/>
      </c>
      <c r="F7290" s="66" t="str">
        <f>IF(Thirtieth!F43="", "",Thirtieth!F43)</f>
        <v/>
      </c>
      <c r="G7290" s="66" t="str">
        <f>IF(Thirtieth!G43="", "",Thirtieth!G43)</f>
        <v/>
      </c>
      <c r="H7290" s="66" t="str">
        <f>IF(Thirtieth!H43="", "",Thirtieth!H43)</f>
        <v/>
      </c>
      <c r="I7290" s="66" t="str">
        <f>IF(Thirtieth!I43="", "",Thirtieth!I43)</f>
        <v/>
      </c>
      <c r="J7290" s="66" t="str">
        <f>IF(Thirtieth!J43="", "",Thirtieth!J43)</f>
        <v/>
      </c>
      <c r="K7290" s="86" t="str">
        <f>IF(Thirtieth!K43="", "",Thirtieth!K43)</f>
        <v/>
      </c>
      <c r="M7290" s="67" t="str">
        <f t="shared" si="344"/>
        <v/>
      </c>
      <c r="N7290" s="76" t="str">
        <f t="shared" si="345"/>
        <v/>
      </c>
      <c r="O7290" s="33">
        <f t="shared" si="346"/>
        <v>0</v>
      </c>
    </row>
    <row r="7291" spans="1:15" x14ac:dyDescent="0.25">
      <c r="A7291" s="64" t="s">
        <v>196</v>
      </c>
      <c r="B7291" s="79" t="str">
        <f>IF(Thirtieth!B44="", "",Thirtieth!B44)</f>
        <v/>
      </c>
      <c r="C7291" s="66" t="str">
        <f>IF(Thirtieth!C44="", "",Thirtieth!C44)</f>
        <v/>
      </c>
      <c r="D7291" s="66" t="str">
        <f>IF(Thirtieth!D44="", "",Thirtieth!D44)</f>
        <v/>
      </c>
      <c r="E7291" s="66" t="str">
        <f>IF(Thirtieth!E44="", "",Thirtieth!E44)</f>
        <v/>
      </c>
      <c r="F7291" s="66" t="str">
        <f>IF(Thirtieth!F44="", "",Thirtieth!F44)</f>
        <v/>
      </c>
      <c r="G7291" s="66" t="str">
        <f>IF(Thirtieth!G44="", "",Thirtieth!G44)</f>
        <v/>
      </c>
      <c r="H7291" s="66" t="str">
        <f>IF(Thirtieth!H44="", "",Thirtieth!H44)</f>
        <v/>
      </c>
      <c r="I7291" s="66" t="str">
        <f>IF(Thirtieth!I44="", "",Thirtieth!I44)</f>
        <v/>
      </c>
      <c r="J7291" s="66" t="str">
        <f>IF(Thirtieth!J44="", "",Thirtieth!J44)</f>
        <v/>
      </c>
      <c r="K7291" s="86" t="str">
        <f>IF(Thirtieth!K44="", "",Thirtieth!K44)</f>
        <v/>
      </c>
      <c r="M7291" s="67" t="str">
        <f t="shared" si="344"/>
        <v/>
      </c>
      <c r="N7291" s="76" t="str">
        <f t="shared" si="345"/>
        <v/>
      </c>
      <c r="O7291" s="33">
        <f t="shared" si="346"/>
        <v>0</v>
      </c>
    </row>
    <row r="7292" spans="1:15" x14ac:dyDescent="0.25">
      <c r="A7292" s="64" t="s">
        <v>196</v>
      </c>
      <c r="B7292" s="79" t="str">
        <f>IF(Thirtieth!B45="", "",Thirtieth!B45)</f>
        <v/>
      </c>
      <c r="C7292" s="66" t="str">
        <f>IF(Thirtieth!C45="", "",Thirtieth!C45)</f>
        <v/>
      </c>
      <c r="D7292" s="66" t="str">
        <f>IF(Thirtieth!D45="", "",Thirtieth!D45)</f>
        <v/>
      </c>
      <c r="E7292" s="66" t="str">
        <f>IF(Thirtieth!E45="", "",Thirtieth!E45)</f>
        <v/>
      </c>
      <c r="F7292" s="66" t="str">
        <f>IF(Thirtieth!F45="", "",Thirtieth!F45)</f>
        <v/>
      </c>
      <c r="G7292" s="66" t="str">
        <f>IF(Thirtieth!G45="", "",Thirtieth!G45)</f>
        <v/>
      </c>
      <c r="H7292" s="66" t="str">
        <f>IF(Thirtieth!H45="", "",Thirtieth!H45)</f>
        <v/>
      </c>
      <c r="I7292" s="66" t="str">
        <f>IF(Thirtieth!I45="", "",Thirtieth!I45)</f>
        <v/>
      </c>
      <c r="J7292" s="66" t="str">
        <f>IF(Thirtieth!J45="", "",Thirtieth!J45)</f>
        <v/>
      </c>
      <c r="K7292" s="86" t="str">
        <f>IF(Thirtieth!K45="", "",Thirtieth!K45)</f>
        <v/>
      </c>
      <c r="M7292" s="67" t="str">
        <f t="shared" si="344"/>
        <v/>
      </c>
      <c r="N7292" s="76" t="str">
        <f t="shared" si="345"/>
        <v/>
      </c>
      <c r="O7292" s="33">
        <f t="shared" si="346"/>
        <v>0</v>
      </c>
    </row>
    <row r="7293" spans="1:15" x14ac:dyDescent="0.25">
      <c r="A7293" s="64" t="s">
        <v>196</v>
      </c>
      <c r="B7293" s="79" t="str">
        <f>IF(Thirtieth!B46="", "",Thirtieth!B46)</f>
        <v/>
      </c>
      <c r="C7293" s="66" t="str">
        <f>IF(Thirtieth!C46="", "",Thirtieth!C46)</f>
        <v/>
      </c>
      <c r="D7293" s="66" t="str">
        <f>IF(Thirtieth!D46="", "",Thirtieth!D46)</f>
        <v/>
      </c>
      <c r="E7293" s="66" t="str">
        <f>IF(Thirtieth!E46="", "",Thirtieth!E46)</f>
        <v/>
      </c>
      <c r="F7293" s="66" t="str">
        <f>IF(Thirtieth!F46="", "",Thirtieth!F46)</f>
        <v/>
      </c>
      <c r="G7293" s="66" t="str">
        <f>IF(Thirtieth!G46="", "",Thirtieth!G46)</f>
        <v/>
      </c>
      <c r="H7293" s="66" t="str">
        <f>IF(Thirtieth!H46="", "",Thirtieth!H46)</f>
        <v/>
      </c>
      <c r="I7293" s="66" t="str">
        <f>IF(Thirtieth!I46="", "",Thirtieth!I46)</f>
        <v/>
      </c>
      <c r="J7293" s="66" t="str">
        <f>IF(Thirtieth!J46="", "",Thirtieth!J46)</f>
        <v/>
      </c>
      <c r="K7293" s="86" t="str">
        <f>IF(Thirtieth!K46="", "",Thirtieth!K46)</f>
        <v/>
      </c>
      <c r="M7293" s="67" t="str">
        <f t="shared" si="344"/>
        <v/>
      </c>
      <c r="N7293" s="76" t="str">
        <f t="shared" si="345"/>
        <v/>
      </c>
      <c r="O7293" s="33">
        <f t="shared" si="346"/>
        <v>0</v>
      </c>
    </row>
    <row r="7294" spans="1:15" x14ac:dyDescent="0.25">
      <c r="A7294" s="64" t="s">
        <v>196</v>
      </c>
      <c r="B7294" s="79" t="str">
        <f>IF(Thirtieth!B47="", "",Thirtieth!B47)</f>
        <v/>
      </c>
      <c r="C7294" s="66" t="str">
        <f>IF(Thirtieth!C47="", "",Thirtieth!C47)</f>
        <v/>
      </c>
      <c r="D7294" s="66" t="str">
        <f>IF(Thirtieth!D47="", "",Thirtieth!D47)</f>
        <v/>
      </c>
      <c r="E7294" s="66" t="str">
        <f>IF(Thirtieth!E47="", "",Thirtieth!E47)</f>
        <v/>
      </c>
      <c r="F7294" s="66" t="str">
        <f>IF(Thirtieth!F47="", "",Thirtieth!F47)</f>
        <v/>
      </c>
      <c r="G7294" s="66" t="str">
        <f>IF(Thirtieth!G47="", "",Thirtieth!G47)</f>
        <v/>
      </c>
      <c r="H7294" s="66" t="str">
        <f>IF(Thirtieth!H47="", "",Thirtieth!H47)</f>
        <v/>
      </c>
      <c r="I7294" s="66" t="str">
        <f>IF(Thirtieth!I47="", "",Thirtieth!I47)</f>
        <v/>
      </c>
      <c r="J7294" s="66" t="str">
        <f>IF(Thirtieth!J47="", "",Thirtieth!J47)</f>
        <v/>
      </c>
      <c r="K7294" s="86" t="str">
        <f>IF(Thirtieth!K47="", "",Thirtieth!K47)</f>
        <v/>
      </c>
      <c r="M7294" s="67" t="str">
        <f t="shared" si="344"/>
        <v/>
      </c>
      <c r="N7294" s="76" t="str">
        <f t="shared" si="345"/>
        <v/>
      </c>
      <c r="O7294" s="33">
        <f t="shared" si="346"/>
        <v>0</v>
      </c>
    </row>
    <row r="7295" spans="1:15" x14ac:dyDescent="0.25">
      <c r="A7295" s="64" t="s">
        <v>196</v>
      </c>
      <c r="B7295" s="79" t="str">
        <f>IF(Thirtieth!B48="", "",Thirtieth!B48)</f>
        <v/>
      </c>
      <c r="C7295" s="66" t="str">
        <f>IF(Thirtieth!C48="", "",Thirtieth!C48)</f>
        <v/>
      </c>
      <c r="D7295" s="66" t="str">
        <f>IF(Thirtieth!D48="", "",Thirtieth!D48)</f>
        <v/>
      </c>
      <c r="E7295" s="66" t="str">
        <f>IF(Thirtieth!E48="", "",Thirtieth!E48)</f>
        <v/>
      </c>
      <c r="F7295" s="66" t="str">
        <f>IF(Thirtieth!F48="", "",Thirtieth!F48)</f>
        <v/>
      </c>
      <c r="G7295" s="66" t="str">
        <f>IF(Thirtieth!G48="", "",Thirtieth!G48)</f>
        <v/>
      </c>
      <c r="H7295" s="66" t="str">
        <f>IF(Thirtieth!H48="", "",Thirtieth!H48)</f>
        <v/>
      </c>
      <c r="I7295" s="66" t="str">
        <f>IF(Thirtieth!I48="", "",Thirtieth!I48)</f>
        <v/>
      </c>
      <c r="J7295" s="66" t="str">
        <f>IF(Thirtieth!J48="", "",Thirtieth!J48)</f>
        <v/>
      </c>
      <c r="K7295" s="86" t="str">
        <f>IF(Thirtieth!K48="", "",Thirtieth!K48)</f>
        <v/>
      </c>
      <c r="M7295" s="67" t="str">
        <f t="shared" ref="M7295:M7358" si="347">IF(C7295="PwC",(7-COUNTIF(B7295:H7295,"")),"")</f>
        <v/>
      </c>
      <c r="N7295" s="76" t="str">
        <f t="shared" ref="N7295:N7358" si="348">IF(C7295="Carer",(7-COUNTIF(B7295:H7295,"")),"")</f>
        <v/>
      </c>
      <c r="O7295" s="33">
        <f t="shared" si="346"/>
        <v>0</v>
      </c>
    </row>
    <row r="7296" spans="1:15" x14ac:dyDescent="0.25">
      <c r="A7296" s="64" t="s">
        <v>196</v>
      </c>
      <c r="B7296" s="79" t="str">
        <f>IF(Thirtieth!B49="", "",Thirtieth!B49)</f>
        <v/>
      </c>
      <c r="C7296" s="66" t="str">
        <f>IF(Thirtieth!C49="", "",Thirtieth!C49)</f>
        <v/>
      </c>
      <c r="D7296" s="66" t="str">
        <f>IF(Thirtieth!D49="", "",Thirtieth!D49)</f>
        <v/>
      </c>
      <c r="E7296" s="66" t="str">
        <f>IF(Thirtieth!E49="", "",Thirtieth!E49)</f>
        <v/>
      </c>
      <c r="F7296" s="66" t="str">
        <f>IF(Thirtieth!F49="", "",Thirtieth!F49)</f>
        <v/>
      </c>
      <c r="G7296" s="66" t="str">
        <f>IF(Thirtieth!G49="", "",Thirtieth!G49)</f>
        <v/>
      </c>
      <c r="H7296" s="66" t="str">
        <f>IF(Thirtieth!H49="", "",Thirtieth!H49)</f>
        <v/>
      </c>
      <c r="I7296" s="66" t="str">
        <f>IF(Thirtieth!I49="", "",Thirtieth!I49)</f>
        <v/>
      </c>
      <c r="J7296" s="66" t="str">
        <f>IF(Thirtieth!J49="", "",Thirtieth!J49)</f>
        <v/>
      </c>
      <c r="K7296" s="86" t="str">
        <f>IF(Thirtieth!K49="", "",Thirtieth!K49)</f>
        <v/>
      </c>
      <c r="M7296" s="67" t="str">
        <f t="shared" si="347"/>
        <v/>
      </c>
      <c r="N7296" s="76" t="str">
        <f t="shared" si="348"/>
        <v/>
      </c>
      <c r="O7296" s="33">
        <f t="shared" si="346"/>
        <v>0</v>
      </c>
    </row>
    <row r="7297" spans="1:15" x14ac:dyDescent="0.25">
      <c r="A7297" s="64" t="s">
        <v>196</v>
      </c>
      <c r="B7297" s="79" t="str">
        <f>IF(Thirtieth!B50="", "",Thirtieth!B50)</f>
        <v/>
      </c>
      <c r="C7297" s="66" t="str">
        <f>IF(Thirtieth!C50="", "",Thirtieth!C50)</f>
        <v/>
      </c>
      <c r="D7297" s="66" t="str">
        <f>IF(Thirtieth!D50="", "",Thirtieth!D50)</f>
        <v/>
      </c>
      <c r="E7297" s="66" t="str">
        <f>IF(Thirtieth!E50="", "",Thirtieth!E50)</f>
        <v/>
      </c>
      <c r="F7297" s="66" t="str">
        <f>IF(Thirtieth!F50="", "",Thirtieth!F50)</f>
        <v/>
      </c>
      <c r="G7297" s="66" t="str">
        <f>IF(Thirtieth!G50="", "",Thirtieth!G50)</f>
        <v/>
      </c>
      <c r="H7297" s="66" t="str">
        <f>IF(Thirtieth!H50="", "",Thirtieth!H50)</f>
        <v/>
      </c>
      <c r="I7297" s="66" t="str">
        <f>IF(Thirtieth!I50="", "",Thirtieth!I50)</f>
        <v/>
      </c>
      <c r="J7297" s="66" t="str">
        <f>IF(Thirtieth!J50="", "",Thirtieth!J50)</f>
        <v/>
      </c>
      <c r="K7297" s="86" t="str">
        <f>IF(Thirtieth!K50="", "",Thirtieth!K50)</f>
        <v/>
      </c>
      <c r="M7297" s="67" t="str">
        <f t="shared" si="347"/>
        <v/>
      </c>
      <c r="N7297" s="76" t="str">
        <f t="shared" si="348"/>
        <v/>
      </c>
      <c r="O7297" s="33">
        <f t="shared" si="346"/>
        <v>0</v>
      </c>
    </row>
    <row r="7298" spans="1:15" x14ac:dyDescent="0.25">
      <c r="A7298" s="64" t="s">
        <v>196</v>
      </c>
      <c r="B7298" s="79" t="str">
        <f>IF(Thirtieth!B51="", "",Thirtieth!B51)</f>
        <v/>
      </c>
      <c r="C7298" s="66" t="str">
        <f>IF(Thirtieth!C51="", "",Thirtieth!C51)</f>
        <v/>
      </c>
      <c r="D7298" s="66" t="str">
        <f>IF(Thirtieth!D51="", "",Thirtieth!D51)</f>
        <v/>
      </c>
      <c r="E7298" s="66" t="str">
        <f>IF(Thirtieth!E51="", "",Thirtieth!E51)</f>
        <v/>
      </c>
      <c r="F7298" s="66" t="str">
        <f>IF(Thirtieth!F51="", "",Thirtieth!F51)</f>
        <v/>
      </c>
      <c r="G7298" s="66" t="str">
        <f>IF(Thirtieth!G51="", "",Thirtieth!G51)</f>
        <v/>
      </c>
      <c r="H7298" s="66" t="str">
        <f>IF(Thirtieth!H51="", "",Thirtieth!H51)</f>
        <v/>
      </c>
      <c r="I7298" s="66" t="str">
        <f>IF(Thirtieth!I51="", "",Thirtieth!I51)</f>
        <v/>
      </c>
      <c r="J7298" s="66" t="str">
        <f>IF(Thirtieth!J51="", "",Thirtieth!J51)</f>
        <v/>
      </c>
      <c r="K7298" s="86" t="str">
        <f>IF(Thirtieth!K51="", "",Thirtieth!K51)</f>
        <v/>
      </c>
      <c r="M7298" s="67" t="str">
        <f t="shared" si="347"/>
        <v/>
      </c>
      <c r="N7298" s="76" t="str">
        <f t="shared" si="348"/>
        <v/>
      </c>
      <c r="O7298" s="33">
        <f t="shared" si="346"/>
        <v>0</v>
      </c>
    </row>
    <row r="7299" spans="1:15" x14ac:dyDescent="0.25">
      <c r="A7299" s="64" t="s">
        <v>196</v>
      </c>
      <c r="B7299" s="79" t="str">
        <f>IF(Thirtieth!B52="", "",Thirtieth!B52)</f>
        <v/>
      </c>
      <c r="C7299" s="66" t="str">
        <f>IF(Thirtieth!C52="", "",Thirtieth!C52)</f>
        <v/>
      </c>
      <c r="D7299" s="66" t="str">
        <f>IF(Thirtieth!D52="", "",Thirtieth!D52)</f>
        <v/>
      </c>
      <c r="E7299" s="66" t="str">
        <f>IF(Thirtieth!E52="", "",Thirtieth!E52)</f>
        <v/>
      </c>
      <c r="F7299" s="66" t="str">
        <f>IF(Thirtieth!F52="", "",Thirtieth!F52)</f>
        <v/>
      </c>
      <c r="G7299" s="66" t="str">
        <f>IF(Thirtieth!G52="", "",Thirtieth!G52)</f>
        <v/>
      </c>
      <c r="H7299" s="66" t="str">
        <f>IF(Thirtieth!H52="", "",Thirtieth!H52)</f>
        <v/>
      </c>
      <c r="I7299" s="66" t="str">
        <f>IF(Thirtieth!I52="", "",Thirtieth!I52)</f>
        <v/>
      </c>
      <c r="J7299" s="66" t="str">
        <f>IF(Thirtieth!J52="", "",Thirtieth!J52)</f>
        <v/>
      </c>
      <c r="K7299" s="86" t="str">
        <f>IF(Thirtieth!K52="", "",Thirtieth!K52)</f>
        <v/>
      </c>
      <c r="M7299" s="67" t="str">
        <f t="shared" si="347"/>
        <v/>
      </c>
      <c r="N7299" s="76" t="str">
        <f t="shared" si="348"/>
        <v/>
      </c>
      <c r="O7299" s="33">
        <f t="shared" si="346"/>
        <v>0</v>
      </c>
    </row>
    <row r="7300" spans="1:15" x14ac:dyDescent="0.25">
      <c r="A7300" s="64" t="s">
        <v>196</v>
      </c>
      <c r="B7300" s="79" t="str">
        <f>IF(Thirtieth!B53="", "",Thirtieth!B53)</f>
        <v/>
      </c>
      <c r="C7300" s="66" t="str">
        <f>IF(Thirtieth!C53="", "",Thirtieth!C53)</f>
        <v/>
      </c>
      <c r="D7300" s="66" t="str">
        <f>IF(Thirtieth!D53="", "",Thirtieth!D53)</f>
        <v/>
      </c>
      <c r="E7300" s="66" t="str">
        <f>IF(Thirtieth!E53="", "",Thirtieth!E53)</f>
        <v/>
      </c>
      <c r="F7300" s="66" t="str">
        <f>IF(Thirtieth!F53="", "",Thirtieth!F53)</f>
        <v/>
      </c>
      <c r="G7300" s="66" t="str">
        <f>IF(Thirtieth!G53="", "",Thirtieth!G53)</f>
        <v/>
      </c>
      <c r="H7300" s="66" t="str">
        <f>IF(Thirtieth!H53="", "",Thirtieth!H53)</f>
        <v/>
      </c>
      <c r="I7300" s="66" t="str">
        <f>IF(Thirtieth!I53="", "",Thirtieth!I53)</f>
        <v/>
      </c>
      <c r="J7300" s="66" t="str">
        <f>IF(Thirtieth!J53="", "",Thirtieth!J53)</f>
        <v/>
      </c>
      <c r="K7300" s="86" t="str">
        <f>IF(Thirtieth!K53="", "",Thirtieth!K53)</f>
        <v/>
      </c>
      <c r="M7300" s="67" t="str">
        <f t="shared" si="347"/>
        <v/>
      </c>
      <c r="N7300" s="76" t="str">
        <f t="shared" si="348"/>
        <v/>
      </c>
      <c r="O7300" s="33">
        <f t="shared" si="346"/>
        <v>0</v>
      </c>
    </row>
    <row r="7301" spans="1:15" x14ac:dyDescent="0.25">
      <c r="A7301" s="64" t="s">
        <v>196</v>
      </c>
      <c r="B7301" s="79" t="str">
        <f>IF(Thirtieth!B54="", "",Thirtieth!B54)</f>
        <v/>
      </c>
      <c r="C7301" s="66" t="str">
        <f>IF(Thirtieth!C54="", "",Thirtieth!C54)</f>
        <v/>
      </c>
      <c r="D7301" s="66" t="str">
        <f>IF(Thirtieth!D54="", "",Thirtieth!D54)</f>
        <v/>
      </c>
      <c r="E7301" s="66" t="str">
        <f>IF(Thirtieth!E54="", "",Thirtieth!E54)</f>
        <v/>
      </c>
      <c r="F7301" s="66" t="str">
        <f>IF(Thirtieth!F54="", "",Thirtieth!F54)</f>
        <v/>
      </c>
      <c r="G7301" s="66" t="str">
        <f>IF(Thirtieth!G54="", "",Thirtieth!G54)</f>
        <v/>
      </c>
      <c r="H7301" s="66" t="str">
        <f>IF(Thirtieth!H54="", "",Thirtieth!H54)</f>
        <v/>
      </c>
      <c r="I7301" s="66" t="str">
        <f>IF(Thirtieth!I54="", "",Thirtieth!I54)</f>
        <v/>
      </c>
      <c r="J7301" s="66" t="str">
        <f>IF(Thirtieth!J54="", "",Thirtieth!J54)</f>
        <v/>
      </c>
      <c r="K7301" s="86" t="str">
        <f>IF(Thirtieth!K54="", "",Thirtieth!K54)</f>
        <v/>
      </c>
      <c r="M7301" s="67" t="str">
        <f t="shared" si="347"/>
        <v/>
      </c>
      <c r="N7301" s="76" t="str">
        <f t="shared" si="348"/>
        <v/>
      </c>
      <c r="O7301" s="33">
        <f t="shared" si="346"/>
        <v>0</v>
      </c>
    </row>
    <row r="7302" spans="1:15" x14ac:dyDescent="0.25">
      <c r="A7302" s="64" t="s">
        <v>196</v>
      </c>
      <c r="B7302" s="79" t="str">
        <f>IF(Thirtieth!B55="", "",Thirtieth!B55)</f>
        <v/>
      </c>
      <c r="C7302" s="66" t="str">
        <f>IF(Thirtieth!C55="", "",Thirtieth!C55)</f>
        <v/>
      </c>
      <c r="D7302" s="66" t="str">
        <f>IF(Thirtieth!D55="", "",Thirtieth!D55)</f>
        <v/>
      </c>
      <c r="E7302" s="66" t="str">
        <f>IF(Thirtieth!E55="", "",Thirtieth!E55)</f>
        <v/>
      </c>
      <c r="F7302" s="66" t="str">
        <f>IF(Thirtieth!F55="", "",Thirtieth!F55)</f>
        <v/>
      </c>
      <c r="G7302" s="66" t="str">
        <f>IF(Thirtieth!G55="", "",Thirtieth!G55)</f>
        <v/>
      </c>
      <c r="H7302" s="66" t="str">
        <f>IF(Thirtieth!H55="", "",Thirtieth!H55)</f>
        <v/>
      </c>
      <c r="I7302" s="66" t="str">
        <f>IF(Thirtieth!I55="", "",Thirtieth!I55)</f>
        <v/>
      </c>
      <c r="J7302" s="66" t="str">
        <f>IF(Thirtieth!J55="", "",Thirtieth!J55)</f>
        <v/>
      </c>
      <c r="K7302" s="86" t="str">
        <f>IF(Thirtieth!K55="", "",Thirtieth!K55)</f>
        <v/>
      </c>
      <c r="M7302" s="67" t="str">
        <f t="shared" si="347"/>
        <v/>
      </c>
      <c r="N7302" s="76" t="str">
        <f t="shared" si="348"/>
        <v/>
      </c>
      <c r="O7302" s="33">
        <f t="shared" si="346"/>
        <v>0</v>
      </c>
    </row>
    <row r="7303" spans="1:15" x14ac:dyDescent="0.25">
      <c r="A7303" s="64" t="s">
        <v>196</v>
      </c>
      <c r="B7303" s="79" t="str">
        <f>IF(Thirtieth!B56="", "",Thirtieth!B56)</f>
        <v/>
      </c>
      <c r="C7303" s="66" t="str">
        <f>IF(Thirtieth!C56="", "",Thirtieth!C56)</f>
        <v/>
      </c>
      <c r="D7303" s="66" t="str">
        <f>IF(Thirtieth!D56="", "",Thirtieth!D56)</f>
        <v/>
      </c>
      <c r="E7303" s="66" t="str">
        <f>IF(Thirtieth!E56="", "",Thirtieth!E56)</f>
        <v/>
      </c>
      <c r="F7303" s="66" t="str">
        <f>IF(Thirtieth!F56="", "",Thirtieth!F56)</f>
        <v/>
      </c>
      <c r="G7303" s="66" t="str">
        <f>IF(Thirtieth!G56="", "",Thirtieth!G56)</f>
        <v/>
      </c>
      <c r="H7303" s="66" t="str">
        <f>IF(Thirtieth!H56="", "",Thirtieth!H56)</f>
        <v/>
      </c>
      <c r="I7303" s="66" t="str">
        <f>IF(Thirtieth!I56="", "",Thirtieth!I56)</f>
        <v/>
      </c>
      <c r="J7303" s="66" t="str">
        <f>IF(Thirtieth!J56="", "",Thirtieth!J56)</f>
        <v/>
      </c>
      <c r="K7303" s="86" t="str">
        <f>IF(Thirtieth!K56="", "",Thirtieth!K56)</f>
        <v/>
      </c>
      <c r="M7303" s="67" t="str">
        <f t="shared" si="347"/>
        <v/>
      </c>
      <c r="N7303" s="76" t="str">
        <f t="shared" si="348"/>
        <v/>
      </c>
      <c r="O7303" s="33">
        <f t="shared" si="346"/>
        <v>0</v>
      </c>
    </row>
    <row r="7304" spans="1:15" x14ac:dyDescent="0.25">
      <c r="A7304" s="64" t="s">
        <v>196</v>
      </c>
      <c r="B7304" s="79" t="str">
        <f>IF(Thirtieth!B57="", "",Thirtieth!B57)</f>
        <v/>
      </c>
      <c r="C7304" s="66" t="str">
        <f>IF(Thirtieth!C57="", "",Thirtieth!C57)</f>
        <v/>
      </c>
      <c r="D7304" s="66" t="str">
        <f>IF(Thirtieth!D57="", "",Thirtieth!D57)</f>
        <v/>
      </c>
      <c r="E7304" s="66" t="str">
        <f>IF(Thirtieth!E57="", "",Thirtieth!E57)</f>
        <v/>
      </c>
      <c r="F7304" s="66" t="str">
        <f>IF(Thirtieth!F57="", "",Thirtieth!F57)</f>
        <v/>
      </c>
      <c r="G7304" s="66" t="str">
        <f>IF(Thirtieth!G57="", "",Thirtieth!G57)</f>
        <v/>
      </c>
      <c r="H7304" s="66" t="str">
        <f>IF(Thirtieth!H57="", "",Thirtieth!H57)</f>
        <v/>
      </c>
      <c r="I7304" s="66" t="str">
        <f>IF(Thirtieth!I57="", "",Thirtieth!I57)</f>
        <v/>
      </c>
      <c r="J7304" s="66" t="str">
        <f>IF(Thirtieth!J57="", "",Thirtieth!J57)</f>
        <v/>
      </c>
      <c r="K7304" s="86" t="str">
        <f>IF(Thirtieth!K57="", "",Thirtieth!K57)</f>
        <v/>
      </c>
      <c r="M7304" s="67" t="str">
        <f t="shared" si="347"/>
        <v/>
      </c>
      <c r="N7304" s="76" t="str">
        <f t="shared" si="348"/>
        <v/>
      </c>
      <c r="O7304" s="33">
        <f t="shared" si="346"/>
        <v>0</v>
      </c>
    </row>
    <row r="7305" spans="1:15" x14ac:dyDescent="0.25">
      <c r="A7305" s="64" t="s">
        <v>196</v>
      </c>
      <c r="B7305" s="79" t="str">
        <f>IF(Thirtieth!B58="", "",Thirtieth!B58)</f>
        <v/>
      </c>
      <c r="C7305" s="66" t="str">
        <f>IF(Thirtieth!C58="", "",Thirtieth!C58)</f>
        <v/>
      </c>
      <c r="D7305" s="66" t="str">
        <f>IF(Thirtieth!D58="", "",Thirtieth!D58)</f>
        <v/>
      </c>
      <c r="E7305" s="66" t="str">
        <f>IF(Thirtieth!E58="", "",Thirtieth!E58)</f>
        <v/>
      </c>
      <c r="F7305" s="66" t="str">
        <f>IF(Thirtieth!F58="", "",Thirtieth!F58)</f>
        <v/>
      </c>
      <c r="G7305" s="66" t="str">
        <f>IF(Thirtieth!G58="", "",Thirtieth!G58)</f>
        <v/>
      </c>
      <c r="H7305" s="66" t="str">
        <f>IF(Thirtieth!H58="", "",Thirtieth!H58)</f>
        <v/>
      </c>
      <c r="I7305" s="66" t="str">
        <f>IF(Thirtieth!I58="", "",Thirtieth!I58)</f>
        <v/>
      </c>
      <c r="J7305" s="66" t="str">
        <f>IF(Thirtieth!J58="", "",Thirtieth!J58)</f>
        <v/>
      </c>
      <c r="K7305" s="86" t="str">
        <f>IF(Thirtieth!K58="", "",Thirtieth!K58)</f>
        <v/>
      </c>
      <c r="M7305" s="67" t="str">
        <f t="shared" si="347"/>
        <v/>
      </c>
      <c r="N7305" s="76" t="str">
        <f t="shared" si="348"/>
        <v/>
      </c>
      <c r="O7305" s="33">
        <f t="shared" si="346"/>
        <v>0</v>
      </c>
    </row>
    <row r="7306" spans="1:15" x14ac:dyDescent="0.25">
      <c r="A7306" s="64" t="s">
        <v>196</v>
      </c>
      <c r="B7306" s="79" t="str">
        <f>IF(Thirtieth!B59="", "",Thirtieth!B59)</f>
        <v/>
      </c>
      <c r="C7306" s="66" t="str">
        <f>IF(Thirtieth!C59="", "",Thirtieth!C59)</f>
        <v/>
      </c>
      <c r="D7306" s="66" t="str">
        <f>IF(Thirtieth!D59="", "",Thirtieth!D59)</f>
        <v/>
      </c>
      <c r="E7306" s="66" t="str">
        <f>IF(Thirtieth!E59="", "",Thirtieth!E59)</f>
        <v/>
      </c>
      <c r="F7306" s="66" t="str">
        <f>IF(Thirtieth!F59="", "",Thirtieth!F59)</f>
        <v/>
      </c>
      <c r="G7306" s="66" t="str">
        <f>IF(Thirtieth!G59="", "",Thirtieth!G59)</f>
        <v/>
      </c>
      <c r="H7306" s="66" t="str">
        <f>IF(Thirtieth!H59="", "",Thirtieth!H59)</f>
        <v/>
      </c>
      <c r="I7306" s="66" t="str">
        <f>IF(Thirtieth!I59="", "",Thirtieth!I59)</f>
        <v/>
      </c>
      <c r="J7306" s="66" t="str">
        <f>IF(Thirtieth!J59="", "",Thirtieth!J59)</f>
        <v/>
      </c>
      <c r="K7306" s="86" t="str">
        <f>IF(Thirtieth!K59="", "",Thirtieth!K59)</f>
        <v/>
      </c>
      <c r="M7306" s="67" t="str">
        <f t="shared" si="347"/>
        <v/>
      </c>
      <c r="N7306" s="76" t="str">
        <f t="shared" si="348"/>
        <v/>
      </c>
      <c r="O7306" s="33">
        <f t="shared" ref="O7306:O7369" si="349">SUM(M7306:N7306)</f>
        <v>0</v>
      </c>
    </row>
    <row r="7307" spans="1:15" x14ac:dyDescent="0.25">
      <c r="A7307" s="64" t="s">
        <v>196</v>
      </c>
      <c r="B7307" s="79" t="str">
        <f>IF(Thirtieth!B60="", "",Thirtieth!B60)</f>
        <v/>
      </c>
      <c r="C7307" s="66" t="str">
        <f>IF(Thirtieth!C60="", "",Thirtieth!C60)</f>
        <v/>
      </c>
      <c r="D7307" s="66" t="str">
        <f>IF(Thirtieth!D60="", "",Thirtieth!D60)</f>
        <v/>
      </c>
      <c r="E7307" s="66" t="str">
        <f>IF(Thirtieth!E60="", "",Thirtieth!E60)</f>
        <v/>
      </c>
      <c r="F7307" s="66" t="str">
        <f>IF(Thirtieth!F60="", "",Thirtieth!F60)</f>
        <v/>
      </c>
      <c r="G7307" s="66" t="str">
        <f>IF(Thirtieth!G60="", "",Thirtieth!G60)</f>
        <v/>
      </c>
      <c r="H7307" s="66" t="str">
        <f>IF(Thirtieth!H60="", "",Thirtieth!H60)</f>
        <v/>
      </c>
      <c r="I7307" s="66" t="str">
        <f>IF(Thirtieth!I60="", "",Thirtieth!I60)</f>
        <v/>
      </c>
      <c r="J7307" s="66" t="str">
        <f>IF(Thirtieth!J60="", "",Thirtieth!J60)</f>
        <v/>
      </c>
      <c r="K7307" s="86" t="str">
        <f>IF(Thirtieth!K60="", "",Thirtieth!K60)</f>
        <v/>
      </c>
      <c r="M7307" s="67" t="str">
        <f t="shared" si="347"/>
        <v/>
      </c>
      <c r="N7307" s="76" t="str">
        <f t="shared" si="348"/>
        <v/>
      </c>
      <c r="O7307" s="33">
        <f t="shared" si="349"/>
        <v>0</v>
      </c>
    </row>
    <row r="7308" spans="1:15" x14ac:dyDescent="0.25">
      <c r="A7308" s="64" t="s">
        <v>196</v>
      </c>
      <c r="B7308" s="79" t="str">
        <f>IF(Thirtieth!B61="", "",Thirtieth!B61)</f>
        <v/>
      </c>
      <c r="C7308" s="66" t="str">
        <f>IF(Thirtieth!C61="", "",Thirtieth!C61)</f>
        <v/>
      </c>
      <c r="D7308" s="66" t="str">
        <f>IF(Thirtieth!D61="", "",Thirtieth!D61)</f>
        <v/>
      </c>
      <c r="E7308" s="66" t="str">
        <f>IF(Thirtieth!E61="", "",Thirtieth!E61)</f>
        <v/>
      </c>
      <c r="F7308" s="66" t="str">
        <f>IF(Thirtieth!F61="", "",Thirtieth!F61)</f>
        <v/>
      </c>
      <c r="G7308" s="66" t="str">
        <f>IF(Thirtieth!G61="", "",Thirtieth!G61)</f>
        <v/>
      </c>
      <c r="H7308" s="66" t="str">
        <f>IF(Thirtieth!H61="", "",Thirtieth!H61)</f>
        <v/>
      </c>
      <c r="I7308" s="66" t="str">
        <f>IF(Thirtieth!I61="", "",Thirtieth!I61)</f>
        <v/>
      </c>
      <c r="J7308" s="66" t="str">
        <f>IF(Thirtieth!J61="", "",Thirtieth!J61)</f>
        <v/>
      </c>
      <c r="K7308" s="86" t="str">
        <f>IF(Thirtieth!K61="", "",Thirtieth!K61)</f>
        <v/>
      </c>
      <c r="M7308" s="67" t="str">
        <f t="shared" si="347"/>
        <v/>
      </c>
      <c r="N7308" s="76" t="str">
        <f t="shared" si="348"/>
        <v/>
      </c>
      <c r="O7308" s="33">
        <f t="shared" si="349"/>
        <v>0</v>
      </c>
    </row>
    <row r="7309" spans="1:15" x14ac:dyDescent="0.25">
      <c r="A7309" s="64" t="s">
        <v>196</v>
      </c>
      <c r="B7309" s="79" t="str">
        <f>IF(Thirtieth!B62="", "",Thirtieth!B62)</f>
        <v/>
      </c>
      <c r="C7309" s="66" t="str">
        <f>IF(Thirtieth!C62="", "",Thirtieth!C62)</f>
        <v/>
      </c>
      <c r="D7309" s="66" t="str">
        <f>IF(Thirtieth!D62="", "",Thirtieth!D62)</f>
        <v/>
      </c>
      <c r="E7309" s="66" t="str">
        <f>IF(Thirtieth!E62="", "",Thirtieth!E62)</f>
        <v/>
      </c>
      <c r="F7309" s="66" t="str">
        <f>IF(Thirtieth!F62="", "",Thirtieth!F62)</f>
        <v/>
      </c>
      <c r="G7309" s="66" t="str">
        <f>IF(Thirtieth!G62="", "",Thirtieth!G62)</f>
        <v/>
      </c>
      <c r="H7309" s="66" t="str">
        <f>IF(Thirtieth!H62="", "",Thirtieth!H62)</f>
        <v/>
      </c>
      <c r="I7309" s="66" t="str">
        <f>IF(Thirtieth!I62="", "",Thirtieth!I62)</f>
        <v/>
      </c>
      <c r="J7309" s="66" t="str">
        <f>IF(Thirtieth!J62="", "",Thirtieth!J62)</f>
        <v/>
      </c>
      <c r="K7309" s="86" t="str">
        <f>IF(Thirtieth!K62="", "",Thirtieth!K62)</f>
        <v/>
      </c>
      <c r="M7309" s="67" t="str">
        <f t="shared" si="347"/>
        <v/>
      </c>
      <c r="N7309" s="76" t="str">
        <f t="shared" si="348"/>
        <v/>
      </c>
      <c r="O7309" s="33">
        <f t="shared" si="349"/>
        <v>0</v>
      </c>
    </row>
    <row r="7310" spans="1:15" x14ac:dyDescent="0.25">
      <c r="A7310" s="64" t="s">
        <v>196</v>
      </c>
      <c r="B7310" s="79" t="str">
        <f>IF(Thirtieth!B63="", "",Thirtieth!B63)</f>
        <v/>
      </c>
      <c r="C7310" s="66" t="str">
        <f>IF(Thirtieth!C63="", "",Thirtieth!C63)</f>
        <v/>
      </c>
      <c r="D7310" s="66" t="str">
        <f>IF(Thirtieth!D63="", "",Thirtieth!D63)</f>
        <v/>
      </c>
      <c r="E7310" s="66" t="str">
        <f>IF(Thirtieth!E63="", "",Thirtieth!E63)</f>
        <v/>
      </c>
      <c r="F7310" s="66" t="str">
        <f>IF(Thirtieth!F63="", "",Thirtieth!F63)</f>
        <v/>
      </c>
      <c r="G7310" s="66" t="str">
        <f>IF(Thirtieth!G63="", "",Thirtieth!G63)</f>
        <v/>
      </c>
      <c r="H7310" s="66" t="str">
        <f>IF(Thirtieth!H63="", "",Thirtieth!H63)</f>
        <v/>
      </c>
      <c r="I7310" s="66" t="str">
        <f>IF(Thirtieth!I63="", "",Thirtieth!I63)</f>
        <v/>
      </c>
      <c r="J7310" s="66" t="str">
        <f>IF(Thirtieth!J63="", "",Thirtieth!J63)</f>
        <v/>
      </c>
      <c r="K7310" s="86" t="str">
        <f>IF(Thirtieth!K63="", "",Thirtieth!K63)</f>
        <v/>
      </c>
      <c r="M7310" s="67" t="str">
        <f t="shared" si="347"/>
        <v/>
      </c>
      <c r="N7310" s="76" t="str">
        <f t="shared" si="348"/>
        <v/>
      </c>
      <c r="O7310" s="33">
        <f t="shared" si="349"/>
        <v>0</v>
      </c>
    </row>
    <row r="7311" spans="1:15" x14ac:dyDescent="0.25">
      <c r="A7311" s="64" t="s">
        <v>196</v>
      </c>
      <c r="B7311" s="79" t="str">
        <f>IF(Thirtieth!B64="", "",Thirtieth!B64)</f>
        <v/>
      </c>
      <c r="C7311" s="66" t="str">
        <f>IF(Thirtieth!C64="", "",Thirtieth!C64)</f>
        <v/>
      </c>
      <c r="D7311" s="66" t="str">
        <f>IF(Thirtieth!D64="", "",Thirtieth!D64)</f>
        <v/>
      </c>
      <c r="E7311" s="66" t="str">
        <f>IF(Thirtieth!E64="", "",Thirtieth!E64)</f>
        <v/>
      </c>
      <c r="F7311" s="66" t="str">
        <f>IF(Thirtieth!F64="", "",Thirtieth!F64)</f>
        <v/>
      </c>
      <c r="G7311" s="66" t="str">
        <f>IF(Thirtieth!G64="", "",Thirtieth!G64)</f>
        <v/>
      </c>
      <c r="H7311" s="66" t="str">
        <f>IF(Thirtieth!H64="", "",Thirtieth!H64)</f>
        <v/>
      </c>
      <c r="I7311" s="66" t="str">
        <f>IF(Thirtieth!I64="", "",Thirtieth!I64)</f>
        <v/>
      </c>
      <c r="J7311" s="66" t="str">
        <f>IF(Thirtieth!J64="", "",Thirtieth!J64)</f>
        <v/>
      </c>
      <c r="K7311" s="86" t="str">
        <f>IF(Thirtieth!K64="", "",Thirtieth!K64)</f>
        <v/>
      </c>
      <c r="M7311" s="67" t="str">
        <f t="shared" si="347"/>
        <v/>
      </c>
      <c r="N7311" s="76" t="str">
        <f t="shared" si="348"/>
        <v/>
      </c>
      <c r="O7311" s="33">
        <f t="shared" si="349"/>
        <v>0</v>
      </c>
    </row>
    <row r="7312" spans="1:15" x14ac:dyDescent="0.25">
      <c r="A7312" s="64" t="s">
        <v>196</v>
      </c>
      <c r="B7312" s="79" t="str">
        <f>IF(Thirtieth!B65="", "",Thirtieth!B65)</f>
        <v/>
      </c>
      <c r="C7312" s="66" t="str">
        <f>IF(Thirtieth!C65="", "",Thirtieth!C65)</f>
        <v/>
      </c>
      <c r="D7312" s="66" t="str">
        <f>IF(Thirtieth!D65="", "",Thirtieth!D65)</f>
        <v/>
      </c>
      <c r="E7312" s="66" t="str">
        <f>IF(Thirtieth!E65="", "",Thirtieth!E65)</f>
        <v/>
      </c>
      <c r="F7312" s="66" t="str">
        <f>IF(Thirtieth!F65="", "",Thirtieth!F65)</f>
        <v/>
      </c>
      <c r="G7312" s="66" t="str">
        <f>IF(Thirtieth!G65="", "",Thirtieth!G65)</f>
        <v/>
      </c>
      <c r="H7312" s="66" t="str">
        <f>IF(Thirtieth!H65="", "",Thirtieth!H65)</f>
        <v/>
      </c>
      <c r="I7312" s="66" t="str">
        <f>IF(Thirtieth!I65="", "",Thirtieth!I65)</f>
        <v/>
      </c>
      <c r="J7312" s="66" t="str">
        <f>IF(Thirtieth!J65="", "",Thirtieth!J65)</f>
        <v/>
      </c>
      <c r="K7312" s="86" t="str">
        <f>IF(Thirtieth!K65="", "",Thirtieth!K65)</f>
        <v/>
      </c>
      <c r="M7312" s="67" t="str">
        <f t="shared" si="347"/>
        <v/>
      </c>
      <c r="N7312" s="76" t="str">
        <f t="shared" si="348"/>
        <v/>
      </c>
      <c r="O7312" s="33">
        <f t="shared" si="349"/>
        <v>0</v>
      </c>
    </row>
    <row r="7313" spans="1:15" x14ac:dyDescent="0.25">
      <c r="A7313" s="64" t="s">
        <v>196</v>
      </c>
      <c r="B7313" s="79" t="str">
        <f>IF(Thirtieth!B66="", "",Thirtieth!B66)</f>
        <v/>
      </c>
      <c r="C7313" s="66" t="str">
        <f>IF(Thirtieth!C66="", "",Thirtieth!C66)</f>
        <v/>
      </c>
      <c r="D7313" s="66" t="str">
        <f>IF(Thirtieth!D66="", "",Thirtieth!D66)</f>
        <v/>
      </c>
      <c r="E7313" s="66" t="str">
        <f>IF(Thirtieth!E66="", "",Thirtieth!E66)</f>
        <v/>
      </c>
      <c r="F7313" s="66" t="str">
        <f>IF(Thirtieth!F66="", "",Thirtieth!F66)</f>
        <v/>
      </c>
      <c r="G7313" s="66" t="str">
        <f>IF(Thirtieth!G66="", "",Thirtieth!G66)</f>
        <v/>
      </c>
      <c r="H7313" s="66" t="str">
        <f>IF(Thirtieth!H66="", "",Thirtieth!H66)</f>
        <v/>
      </c>
      <c r="I7313" s="66" t="str">
        <f>IF(Thirtieth!I66="", "",Thirtieth!I66)</f>
        <v/>
      </c>
      <c r="J7313" s="66" t="str">
        <f>IF(Thirtieth!J66="", "",Thirtieth!J66)</f>
        <v/>
      </c>
      <c r="K7313" s="86" t="str">
        <f>IF(Thirtieth!K66="", "",Thirtieth!K66)</f>
        <v/>
      </c>
      <c r="M7313" s="67" t="str">
        <f t="shared" si="347"/>
        <v/>
      </c>
      <c r="N7313" s="76" t="str">
        <f t="shared" si="348"/>
        <v/>
      </c>
      <c r="O7313" s="33">
        <f t="shared" si="349"/>
        <v>0</v>
      </c>
    </row>
    <row r="7314" spans="1:15" x14ac:dyDescent="0.25">
      <c r="A7314" s="64" t="s">
        <v>196</v>
      </c>
      <c r="B7314" s="79" t="str">
        <f>IF(Thirtieth!B67="", "",Thirtieth!B67)</f>
        <v/>
      </c>
      <c r="C7314" s="66" t="str">
        <f>IF(Thirtieth!C67="", "",Thirtieth!C67)</f>
        <v/>
      </c>
      <c r="D7314" s="66" t="str">
        <f>IF(Thirtieth!D67="", "",Thirtieth!D67)</f>
        <v/>
      </c>
      <c r="E7314" s="66" t="str">
        <f>IF(Thirtieth!E67="", "",Thirtieth!E67)</f>
        <v/>
      </c>
      <c r="F7314" s="66" t="str">
        <f>IF(Thirtieth!F67="", "",Thirtieth!F67)</f>
        <v/>
      </c>
      <c r="G7314" s="66" t="str">
        <f>IF(Thirtieth!G67="", "",Thirtieth!G67)</f>
        <v/>
      </c>
      <c r="H7314" s="66" t="str">
        <f>IF(Thirtieth!H67="", "",Thirtieth!H67)</f>
        <v/>
      </c>
      <c r="I7314" s="66" t="str">
        <f>IF(Thirtieth!I67="", "",Thirtieth!I67)</f>
        <v/>
      </c>
      <c r="J7314" s="66" t="str">
        <f>IF(Thirtieth!J67="", "",Thirtieth!J67)</f>
        <v/>
      </c>
      <c r="K7314" s="86" t="str">
        <f>IF(Thirtieth!K67="", "",Thirtieth!K67)</f>
        <v/>
      </c>
      <c r="M7314" s="67" t="str">
        <f t="shared" si="347"/>
        <v/>
      </c>
      <c r="N7314" s="76" t="str">
        <f t="shared" si="348"/>
        <v/>
      </c>
      <c r="O7314" s="33">
        <f t="shared" si="349"/>
        <v>0</v>
      </c>
    </row>
    <row r="7315" spans="1:15" x14ac:dyDescent="0.25">
      <c r="A7315" s="64" t="s">
        <v>196</v>
      </c>
      <c r="B7315" s="79" t="str">
        <f>IF(Thirtieth!B68="", "",Thirtieth!B68)</f>
        <v/>
      </c>
      <c r="C7315" s="66" t="str">
        <f>IF(Thirtieth!C68="", "",Thirtieth!C68)</f>
        <v/>
      </c>
      <c r="D7315" s="66" t="str">
        <f>IF(Thirtieth!D68="", "",Thirtieth!D68)</f>
        <v/>
      </c>
      <c r="E7315" s="66" t="str">
        <f>IF(Thirtieth!E68="", "",Thirtieth!E68)</f>
        <v/>
      </c>
      <c r="F7315" s="66" t="str">
        <f>IF(Thirtieth!F68="", "",Thirtieth!F68)</f>
        <v/>
      </c>
      <c r="G7315" s="66" t="str">
        <f>IF(Thirtieth!G68="", "",Thirtieth!G68)</f>
        <v/>
      </c>
      <c r="H7315" s="66" t="str">
        <f>IF(Thirtieth!H68="", "",Thirtieth!H68)</f>
        <v/>
      </c>
      <c r="I7315" s="66" t="str">
        <f>IF(Thirtieth!I68="", "",Thirtieth!I68)</f>
        <v/>
      </c>
      <c r="J7315" s="66" t="str">
        <f>IF(Thirtieth!J68="", "",Thirtieth!J68)</f>
        <v/>
      </c>
      <c r="K7315" s="86" t="str">
        <f>IF(Thirtieth!K68="", "",Thirtieth!K68)</f>
        <v/>
      </c>
      <c r="M7315" s="67" t="str">
        <f t="shared" si="347"/>
        <v/>
      </c>
      <c r="N7315" s="76" t="str">
        <f t="shared" si="348"/>
        <v/>
      </c>
      <c r="O7315" s="33">
        <f t="shared" si="349"/>
        <v>0</v>
      </c>
    </row>
    <row r="7316" spans="1:15" x14ac:dyDescent="0.25">
      <c r="A7316" s="64" t="s">
        <v>196</v>
      </c>
      <c r="B7316" s="79" t="str">
        <f>IF(Thirtieth!B69="", "",Thirtieth!B69)</f>
        <v/>
      </c>
      <c r="C7316" s="66" t="str">
        <f>IF(Thirtieth!C69="", "",Thirtieth!C69)</f>
        <v/>
      </c>
      <c r="D7316" s="66" t="str">
        <f>IF(Thirtieth!D69="", "",Thirtieth!D69)</f>
        <v/>
      </c>
      <c r="E7316" s="66" t="str">
        <f>IF(Thirtieth!E69="", "",Thirtieth!E69)</f>
        <v/>
      </c>
      <c r="F7316" s="66" t="str">
        <f>IF(Thirtieth!F69="", "",Thirtieth!F69)</f>
        <v/>
      </c>
      <c r="G7316" s="66" t="str">
        <f>IF(Thirtieth!G69="", "",Thirtieth!G69)</f>
        <v/>
      </c>
      <c r="H7316" s="66" t="str">
        <f>IF(Thirtieth!H69="", "",Thirtieth!H69)</f>
        <v/>
      </c>
      <c r="I7316" s="66" t="str">
        <f>IF(Thirtieth!I69="", "",Thirtieth!I69)</f>
        <v/>
      </c>
      <c r="J7316" s="66" t="str">
        <f>IF(Thirtieth!J69="", "",Thirtieth!J69)</f>
        <v/>
      </c>
      <c r="K7316" s="86" t="str">
        <f>IF(Thirtieth!K69="", "",Thirtieth!K69)</f>
        <v/>
      </c>
      <c r="M7316" s="67" t="str">
        <f t="shared" si="347"/>
        <v/>
      </c>
      <c r="N7316" s="76" t="str">
        <f t="shared" si="348"/>
        <v/>
      </c>
      <c r="O7316" s="33">
        <f t="shared" si="349"/>
        <v>0</v>
      </c>
    </row>
    <row r="7317" spans="1:15" x14ac:dyDescent="0.25">
      <c r="A7317" s="64" t="s">
        <v>196</v>
      </c>
      <c r="B7317" s="79" t="str">
        <f>IF(Thirtieth!B70="", "",Thirtieth!B70)</f>
        <v/>
      </c>
      <c r="C7317" s="66" t="str">
        <f>IF(Thirtieth!C70="", "",Thirtieth!C70)</f>
        <v/>
      </c>
      <c r="D7317" s="66" t="str">
        <f>IF(Thirtieth!D70="", "",Thirtieth!D70)</f>
        <v/>
      </c>
      <c r="E7317" s="66" t="str">
        <f>IF(Thirtieth!E70="", "",Thirtieth!E70)</f>
        <v/>
      </c>
      <c r="F7317" s="66" t="str">
        <f>IF(Thirtieth!F70="", "",Thirtieth!F70)</f>
        <v/>
      </c>
      <c r="G7317" s="66" t="str">
        <f>IF(Thirtieth!G70="", "",Thirtieth!G70)</f>
        <v/>
      </c>
      <c r="H7317" s="66" t="str">
        <f>IF(Thirtieth!H70="", "",Thirtieth!H70)</f>
        <v/>
      </c>
      <c r="I7317" s="66" t="str">
        <f>IF(Thirtieth!I70="", "",Thirtieth!I70)</f>
        <v/>
      </c>
      <c r="J7317" s="66" t="str">
        <f>IF(Thirtieth!J70="", "",Thirtieth!J70)</f>
        <v/>
      </c>
      <c r="K7317" s="86" t="str">
        <f>IF(Thirtieth!K70="", "",Thirtieth!K70)</f>
        <v/>
      </c>
      <c r="M7317" s="67" t="str">
        <f t="shared" si="347"/>
        <v/>
      </c>
      <c r="N7317" s="76" t="str">
        <f t="shared" si="348"/>
        <v/>
      </c>
      <c r="O7317" s="33">
        <f t="shared" si="349"/>
        <v>0</v>
      </c>
    </row>
    <row r="7318" spans="1:15" x14ac:dyDescent="0.25">
      <c r="A7318" s="64" t="s">
        <v>196</v>
      </c>
      <c r="B7318" s="79" t="str">
        <f>IF(Thirtieth!B71="", "",Thirtieth!B71)</f>
        <v/>
      </c>
      <c r="C7318" s="66" t="str">
        <f>IF(Thirtieth!C71="", "",Thirtieth!C71)</f>
        <v/>
      </c>
      <c r="D7318" s="66" t="str">
        <f>IF(Thirtieth!D71="", "",Thirtieth!D71)</f>
        <v/>
      </c>
      <c r="E7318" s="66" t="str">
        <f>IF(Thirtieth!E71="", "",Thirtieth!E71)</f>
        <v/>
      </c>
      <c r="F7318" s="66" t="str">
        <f>IF(Thirtieth!F71="", "",Thirtieth!F71)</f>
        <v/>
      </c>
      <c r="G7318" s="66" t="str">
        <f>IF(Thirtieth!G71="", "",Thirtieth!G71)</f>
        <v/>
      </c>
      <c r="H7318" s="66" t="str">
        <f>IF(Thirtieth!H71="", "",Thirtieth!H71)</f>
        <v/>
      </c>
      <c r="I7318" s="66" t="str">
        <f>IF(Thirtieth!I71="", "",Thirtieth!I71)</f>
        <v/>
      </c>
      <c r="J7318" s="66" t="str">
        <f>IF(Thirtieth!J71="", "",Thirtieth!J71)</f>
        <v/>
      </c>
      <c r="K7318" s="86" t="str">
        <f>IF(Thirtieth!K71="", "",Thirtieth!K71)</f>
        <v/>
      </c>
      <c r="M7318" s="67" t="str">
        <f t="shared" si="347"/>
        <v/>
      </c>
      <c r="N7318" s="76" t="str">
        <f t="shared" si="348"/>
        <v/>
      </c>
      <c r="O7318" s="33">
        <f t="shared" si="349"/>
        <v>0</v>
      </c>
    </row>
    <row r="7319" spans="1:15" x14ac:dyDescent="0.25">
      <c r="A7319" s="64" t="s">
        <v>196</v>
      </c>
      <c r="B7319" s="79" t="str">
        <f>IF(Thirtieth!B72="", "",Thirtieth!B72)</f>
        <v/>
      </c>
      <c r="C7319" s="66" t="str">
        <f>IF(Thirtieth!C72="", "",Thirtieth!C72)</f>
        <v/>
      </c>
      <c r="D7319" s="66" t="str">
        <f>IF(Thirtieth!D72="", "",Thirtieth!D72)</f>
        <v/>
      </c>
      <c r="E7319" s="66" t="str">
        <f>IF(Thirtieth!E72="", "",Thirtieth!E72)</f>
        <v/>
      </c>
      <c r="F7319" s="66" t="str">
        <f>IF(Thirtieth!F72="", "",Thirtieth!F72)</f>
        <v/>
      </c>
      <c r="G7319" s="66" t="str">
        <f>IF(Thirtieth!G72="", "",Thirtieth!G72)</f>
        <v/>
      </c>
      <c r="H7319" s="66" t="str">
        <f>IF(Thirtieth!H72="", "",Thirtieth!H72)</f>
        <v/>
      </c>
      <c r="I7319" s="66" t="str">
        <f>IF(Thirtieth!I72="", "",Thirtieth!I72)</f>
        <v/>
      </c>
      <c r="J7319" s="66" t="str">
        <f>IF(Thirtieth!J72="", "",Thirtieth!J72)</f>
        <v/>
      </c>
      <c r="K7319" s="86" t="str">
        <f>IF(Thirtieth!K72="", "",Thirtieth!K72)</f>
        <v/>
      </c>
      <c r="M7319" s="67" t="str">
        <f t="shared" si="347"/>
        <v/>
      </c>
      <c r="N7319" s="76" t="str">
        <f t="shared" si="348"/>
        <v/>
      </c>
      <c r="O7319" s="33">
        <f t="shared" si="349"/>
        <v>0</v>
      </c>
    </row>
    <row r="7320" spans="1:15" x14ac:dyDescent="0.25">
      <c r="A7320" s="64" t="s">
        <v>196</v>
      </c>
      <c r="B7320" s="79" t="str">
        <f>IF(Thirtieth!B73="", "",Thirtieth!B73)</f>
        <v/>
      </c>
      <c r="C7320" s="66" t="str">
        <f>IF(Thirtieth!C73="", "",Thirtieth!C73)</f>
        <v/>
      </c>
      <c r="D7320" s="66" t="str">
        <f>IF(Thirtieth!D73="", "",Thirtieth!D73)</f>
        <v/>
      </c>
      <c r="E7320" s="66" t="str">
        <f>IF(Thirtieth!E73="", "",Thirtieth!E73)</f>
        <v/>
      </c>
      <c r="F7320" s="66" t="str">
        <f>IF(Thirtieth!F73="", "",Thirtieth!F73)</f>
        <v/>
      </c>
      <c r="G7320" s="66" t="str">
        <f>IF(Thirtieth!G73="", "",Thirtieth!G73)</f>
        <v/>
      </c>
      <c r="H7320" s="66" t="str">
        <f>IF(Thirtieth!H73="", "",Thirtieth!H73)</f>
        <v/>
      </c>
      <c r="I7320" s="66" t="str">
        <f>IF(Thirtieth!I73="", "",Thirtieth!I73)</f>
        <v/>
      </c>
      <c r="J7320" s="66" t="str">
        <f>IF(Thirtieth!J73="", "",Thirtieth!J73)</f>
        <v/>
      </c>
      <c r="K7320" s="86" t="str">
        <f>IF(Thirtieth!K73="", "",Thirtieth!K73)</f>
        <v/>
      </c>
      <c r="M7320" s="67" t="str">
        <f t="shared" si="347"/>
        <v/>
      </c>
      <c r="N7320" s="76" t="str">
        <f t="shared" si="348"/>
        <v/>
      </c>
      <c r="O7320" s="33">
        <f t="shared" si="349"/>
        <v>0</v>
      </c>
    </row>
    <row r="7321" spans="1:15" x14ac:dyDescent="0.25">
      <c r="A7321" s="64" t="s">
        <v>196</v>
      </c>
      <c r="B7321" s="79" t="str">
        <f>IF(Thirtieth!B74="", "",Thirtieth!B74)</f>
        <v/>
      </c>
      <c r="C7321" s="66" t="str">
        <f>IF(Thirtieth!C74="", "",Thirtieth!C74)</f>
        <v/>
      </c>
      <c r="D7321" s="66" t="str">
        <f>IF(Thirtieth!D74="", "",Thirtieth!D74)</f>
        <v/>
      </c>
      <c r="E7321" s="66" t="str">
        <f>IF(Thirtieth!E74="", "",Thirtieth!E74)</f>
        <v/>
      </c>
      <c r="F7321" s="66" t="str">
        <f>IF(Thirtieth!F74="", "",Thirtieth!F74)</f>
        <v/>
      </c>
      <c r="G7321" s="66" t="str">
        <f>IF(Thirtieth!G74="", "",Thirtieth!G74)</f>
        <v/>
      </c>
      <c r="H7321" s="66" t="str">
        <f>IF(Thirtieth!H74="", "",Thirtieth!H74)</f>
        <v/>
      </c>
      <c r="I7321" s="66" t="str">
        <f>IF(Thirtieth!I74="", "",Thirtieth!I74)</f>
        <v/>
      </c>
      <c r="J7321" s="66" t="str">
        <f>IF(Thirtieth!J74="", "",Thirtieth!J74)</f>
        <v/>
      </c>
      <c r="K7321" s="86" t="str">
        <f>IF(Thirtieth!K74="", "",Thirtieth!K74)</f>
        <v/>
      </c>
      <c r="M7321" s="67" t="str">
        <f t="shared" si="347"/>
        <v/>
      </c>
      <c r="N7321" s="76" t="str">
        <f t="shared" si="348"/>
        <v/>
      </c>
      <c r="O7321" s="33">
        <f t="shared" si="349"/>
        <v>0</v>
      </c>
    </row>
    <row r="7322" spans="1:15" x14ac:dyDescent="0.25">
      <c r="A7322" s="64" t="s">
        <v>196</v>
      </c>
      <c r="B7322" s="79" t="str">
        <f>IF(Thirtieth!B75="", "",Thirtieth!B75)</f>
        <v/>
      </c>
      <c r="C7322" s="66" t="str">
        <f>IF(Thirtieth!C75="", "",Thirtieth!C75)</f>
        <v/>
      </c>
      <c r="D7322" s="66" t="str">
        <f>IF(Thirtieth!D75="", "",Thirtieth!D75)</f>
        <v/>
      </c>
      <c r="E7322" s="66" t="str">
        <f>IF(Thirtieth!E75="", "",Thirtieth!E75)</f>
        <v/>
      </c>
      <c r="F7322" s="66" t="str">
        <f>IF(Thirtieth!F75="", "",Thirtieth!F75)</f>
        <v/>
      </c>
      <c r="G7322" s="66" t="str">
        <f>IF(Thirtieth!G75="", "",Thirtieth!G75)</f>
        <v/>
      </c>
      <c r="H7322" s="66" t="str">
        <f>IF(Thirtieth!H75="", "",Thirtieth!H75)</f>
        <v/>
      </c>
      <c r="I7322" s="66" t="str">
        <f>IF(Thirtieth!I75="", "",Thirtieth!I75)</f>
        <v/>
      </c>
      <c r="J7322" s="66" t="str">
        <f>IF(Thirtieth!J75="", "",Thirtieth!J75)</f>
        <v/>
      </c>
      <c r="K7322" s="86" t="str">
        <f>IF(Thirtieth!K75="", "",Thirtieth!K75)</f>
        <v/>
      </c>
      <c r="M7322" s="67" t="str">
        <f t="shared" si="347"/>
        <v/>
      </c>
      <c r="N7322" s="76" t="str">
        <f t="shared" si="348"/>
        <v/>
      </c>
      <c r="O7322" s="33">
        <f t="shared" si="349"/>
        <v>0</v>
      </c>
    </row>
    <row r="7323" spans="1:15" x14ac:dyDescent="0.25">
      <c r="A7323" s="64" t="s">
        <v>196</v>
      </c>
      <c r="B7323" s="79" t="str">
        <f>IF(Thirtieth!B76="", "",Thirtieth!B76)</f>
        <v/>
      </c>
      <c r="C7323" s="66" t="str">
        <f>IF(Thirtieth!C76="", "",Thirtieth!C76)</f>
        <v/>
      </c>
      <c r="D7323" s="66" t="str">
        <f>IF(Thirtieth!D76="", "",Thirtieth!D76)</f>
        <v/>
      </c>
      <c r="E7323" s="66" t="str">
        <f>IF(Thirtieth!E76="", "",Thirtieth!E76)</f>
        <v/>
      </c>
      <c r="F7323" s="66" t="str">
        <f>IF(Thirtieth!F76="", "",Thirtieth!F76)</f>
        <v/>
      </c>
      <c r="G7323" s="66" t="str">
        <f>IF(Thirtieth!G76="", "",Thirtieth!G76)</f>
        <v/>
      </c>
      <c r="H7323" s="66" t="str">
        <f>IF(Thirtieth!H76="", "",Thirtieth!H76)</f>
        <v/>
      </c>
      <c r="I7323" s="66" t="str">
        <f>IF(Thirtieth!I76="", "",Thirtieth!I76)</f>
        <v/>
      </c>
      <c r="J7323" s="66" t="str">
        <f>IF(Thirtieth!J76="", "",Thirtieth!J76)</f>
        <v/>
      </c>
      <c r="K7323" s="86" t="str">
        <f>IF(Thirtieth!K76="", "",Thirtieth!K76)</f>
        <v/>
      </c>
      <c r="M7323" s="67" t="str">
        <f t="shared" si="347"/>
        <v/>
      </c>
      <c r="N7323" s="76" t="str">
        <f t="shared" si="348"/>
        <v/>
      </c>
      <c r="O7323" s="33">
        <f t="shared" si="349"/>
        <v>0</v>
      </c>
    </row>
    <row r="7324" spans="1:15" x14ac:dyDescent="0.25">
      <c r="A7324" s="64" t="s">
        <v>196</v>
      </c>
      <c r="B7324" s="79" t="str">
        <f>IF(Thirtieth!B77="", "",Thirtieth!B77)</f>
        <v/>
      </c>
      <c r="C7324" s="66" t="str">
        <f>IF(Thirtieth!C77="", "",Thirtieth!C77)</f>
        <v/>
      </c>
      <c r="D7324" s="66" t="str">
        <f>IF(Thirtieth!D77="", "",Thirtieth!D77)</f>
        <v/>
      </c>
      <c r="E7324" s="66" t="str">
        <f>IF(Thirtieth!E77="", "",Thirtieth!E77)</f>
        <v/>
      </c>
      <c r="F7324" s="66" t="str">
        <f>IF(Thirtieth!F77="", "",Thirtieth!F77)</f>
        <v/>
      </c>
      <c r="G7324" s="66" t="str">
        <f>IF(Thirtieth!G77="", "",Thirtieth!G77)</f>
        <v/>
      </c>
      <c r="H7324" s="66" t="str">
        <f>IF(Thirtieth!H77="", "",Thirtieth!H77)</f>
        <v/>
      </c>
      <c r="I7324" s="66" t="str">
        <f>IF(Thirtieth!I77="", "",Thirtieth!I77)</f>
        <v/>
      </c>
      <c r="J7324" s="66" t="str">
        <f>IF(Thirtieth!J77="", "",Thirtieth!J77)</f>
        <v/>
      </c>
      <c r="K7324" s="86" t="str">
        <f>IF(Thirtieth!K77="", "",Thirtieth!K77)</f>
        <v/>
      </c>
      <c r="M7324" s="67" t="str">
        <f t="shared" si="347"/>
        <v/>
      </c>
      <c r="N7324" s="76" t="str">
        <f t="shared" si="348"/>
        <v/>
      </c>
      <c r="O7324" s="33">
        <f t="shared" si="349"/>
        <v>0</v>
      </c>
    </row>
    <row r="7325" spans="1:15" x14ac:dyDescent="0.25">
      <c r="A7325" s="64" t="s">
        <v>196</v>
      </c>
      <c r="B7325" s="79" t="str">
        <f>IF(Thirtieth!B78="", "",Thirtieth!B78)</f>
        <v/>
      </c>
      <c r="C7325" s="66" t="str">
        <f>IF(Thirtieth!C78="", "",Thirtieth!C78)</f>
        <v/>
      </c>
      <c r="D7325" s="66" t="str">
        <f>IF(Thirtieth!D78="", "",Thirtieth!D78)</f>
        <v/>
      </c>
      <c r="E7325" s="66" t="str">
        <f>IF(Thirtieth!E78="", "",Thirtieth!E78)</f>
        <v/>
      </c>
      <c r="F7325" s="66" t="str">
        <f>IF(Thirtieth!F78="", "",Thirtieth!F78)</f>
        <v/>
      </c>
      <c r="G7325" s="66" t="str">
        <f>IF(Thirtieth!G78="", "",Thirtieth!G78)</f>
        <v/>
      </c>
      <c r="H7325" s="66" t="str">
        <f>IF(Thirtieth!H78="", "",Thirtieth!H78)</f>
        <v/>
      </c>
      <c r="I7325" s="66" t="str">
        <f>IF(Thirtieth!I78="", "",Thirtieth!I78)</f>
        <v/>
      </c>
      <c r="J7325" s="66" t="str">
        <f>IF(Thirtieth!J78="", "",Thirtieth!J78)</f>
        <v/>
      </c>
      <c r="K7325" s="86" t="str">
        <f>IF(Thirtieth!K78="", "",Thirtieth!K78)</f>
        <v/>
      </c>
      <c r="M7325" s="67" t="str">
        <f t="shared" si="347"/>
        <v/>
      </c>
      <c r="N7325" s="76" t="str">
        <f t="shared" si="348"/>
        <v/>
      </c>
      <c r="O7325" s="33">
        <f t="shared" si="349"/>
        <v>0</v>
      </c>
    </row>
    <row r="7326" spans="1:15" x14ac:dyDescent="0.25">
      <c r="A7326" s="64" t="s">
        <v>196</v>
      </c>
      <c r="B7326" s="79" t="str">
        <f>IF(Thirtieth!B79="", "",Thirtieth!B79)</f>
        <v/>
      </c>
      <c r="C7326" s="66" t="str">
        <f>IF(Thirtieth!C79="", "",Thirtieth!C79)</f>
        <v/>
      </c>
      <c r="D7326" s="66" t="str">
        <f>IF(Thirtieth!D79="", "",Thirtieth!D79)</f>
        <v/>
      </c>
      <c r="E7326" s="66" t="str">
        <f>IF(Thirtieth!E79="", "",Thirtieth!E79)</f>
        <v/>
      </c>
      <c r="F7326" s="66" t="str">
        <f>IF(Thirtieth!F79="", "",Thirtieth!F79)</f>
        <v/>
      </c>
      <c r="G7326" s="66" t="str">
        <f>IF(Thirtieth!G79="", "",Thirtieth!G79)</f>
        <v/>
      </c>
      <c r="H7326" s="66" t="str">
        <f>IF(Thirtieth!H79="", "",Thirtieth!H79)</f>
        <v/>
      </c>
      <c r="I7326" s="66" t="str">
        <f>IF(Thirtieth!I79="", "",Thirtieth!I79)</f>
        <v/>
      </c>
      <c r="J7326" s="66" t="str">
        <f>IF(Thirtieth!J79="", "",Thirtieth!J79)</f>
        <v/>
      </c>
      <c r="K7326" s="86" t="str">
        <f>IF(Thirtieth!K79="", "",Thirtieth!K79)</f>
        <v/>
      </c>
      <c r="M7326" s="67" t="str">
        <f t="shared" si="347"/>
        <v/>
      </c>
      <c r="N7326" s="76" t="str">
        <f t="shared" si="348"/>
        <v/>
      </c>
      <c r="O7326" s="33">
        <f t="shared" si="349"/>
        <v>0</v>
      </c>
    </row>
    <row r="7327" spans="1:15" x14ac:dyDescent="0.25">
      <c r="A7327" s="64" t="s">
        <v>196</v>
      </c>
      <c r="B7327" s="79" t="str">
        <f>IF(Thirtieth!B80="", "",Thirtieth!B80)</f>
        <v/>
      </c>
      <c r="C7327" s="66" t="str">
        <f>IF(Thirtieth!C80="", "",Thirtieth!C80)</f>
        <v/>
      </c>
      <c r="D7327" s="66" t="str">
        <f>IF(Thirtieth!D80="", "",Thirtieth!D80)</f>
        <v/>
      </c>
      <c r="E7327" s="66" t="str">
        <f>IF(Thirtieth!E80="", "",Thirtieth!E80)</f>
        <v/>
      </c>
      <c r="F7327" s="66" t="str">
        <f>IF(Thirtieth!F80="", "",Thirtieth!F80)</f>
        <v/>
      </c>
      <c r="G7327" s="66" t="str">
        <f>IF(Thirtieth!G80="", "",Thirtieth!G80)</f>
        <v/>
      </c>
      <c r="H7327" s="66" t="str">
        <f>IF(Thirtieth!H80="", "",Thirtieth!H80)</f>
        <v/>
      </c>
      <c r="I7327" s="66" t="str">
        <f>IF(Thirtieth!I80="", "",Thirtieth!I80)</f>
        <v/>
      </c>
      <c r="J7327" s="66" t="str">
        <f>IF(Thirtieth!J80="", "",Thirtieth!J80)</f>
        <v/>
      </c>
      <c r="K7327" s="86" t="str">
        <f>IF(Thirtieth!K80="", "",Thirtieth!K80)</f>
        <v/>
      </c>
      <c r="M7327" s="67" t="str">
        <f t="shared" si="347"/>
        <v/>
      </c>
      <c r="N7327" s="76" t="str">
        <f t="shared" si="348"/>
        <v/>
      </c>
      <c r="O7327" s="33">
        <f t="shared" si="349"/>
        <v>0</v>
      </c>
    </row>
    <row r="7328" spans="1:15" x14ac:dyDescent="0.25">
      <c r="A7328" s="64" t="s">
        <v>196</v>
      </c>
      <c r="B7328" s="79" t="str">
        <f>IF(Thirtieth!B81="", "",Thirtieth!B81)</f>
        <v/>
      </c>
      <c r="C7328" s="66" t="str">
        <f>IF(Thirtieth!C81="", "",Thirtieth!C81)</f>
        <v/>
      </c>
      <c r="D7328" s="66" t="str">
        <f>IF(Thirtieth!D81="", "",Thirtieth!D81)</f>
        <v/>
      </c>
      <c r="E7328" s="66" t="str">
        <f>IF(Thirtieth!E81="", "",Thirtieth!E81)</f>
        <v/>
      </c>
      <c r="F7328" s="66" t="str">
        <f>IF(Thirtieth!F81="", "",Thirtieth!F81)</f>
        <v/>
      </c>
      <c r="G7328" s="66" t="str">
        <f>IF(Thirtieth!G81="", "",Thirtieth!G81)</f>
        <v/>
      </c>
      <c r="H7328" s="66" t="str">
        <f>IF(Thirtieth!H81="", "",Thirtieth!H81)</f>
        <v/>
      </c>
      <c r="I7328" s="66" t="str">
        <f>IF(Thirtieth!I81="", "",Thirtieth!I81)</f>
        <v/>
      </c>
      <c r="J7328" s="66" t="str">
        <f>IF(Thirtieth!J81="", "",Thirtieth!J81)</f>
        <v/>
      </c>
      <c r="K7328" s="86" t="str">
        <f>IF(Thirtieth!K81="", "",Thirtieth!K81)</f>
        <v/>
      </c>
      <c r="M7328" s="67" t="str">
        <f t="shared" si="347"/>
        <v/>
      </c>
      <c r="N7328" s="76" t="str">
        <f t="shared" si="348"/>
        <v/>
      </c>
      <c r="O7328" s="33">
        <f t="shared" si="349"/>
        <v>0</v>
      </c>
    </row>
    <row r="7329" spans="1:15" x14ac:dyDescent="0.25">
      <c r="A7329" s="64" t="s">
        <v>196</v>
      </c>
      <c r="B7329" s="79" t="str">
        <f>IF(Thirtieth!B82="", "",Thirtieth!B82)</f>
        <v/>
      </c>
      <c r="C7329" s="66" t="str">
        <f>IF(Thirtieth!C82="", "",Thirtieth!C82)</f>
        <v/>
      </c>
      <c r="D7329" s="66" t="str">
        <f>IF(Thirtieth!D82="", "",Thirtieth!D82)</f>
        <v/>
      </c>
      <c r="E7329" s="66" t="str">
        <f>IF(Thirtieth!E82="", "",Thirtieth!E82)</f>
        <v/>
      </c>
      <c r="F7329" s="66" t="str">
        <f>IF(Thirtieth!F82="", "",Thirtieth!F82)</f>
        <v/>
      </c>
      <c r="G7329" s="66" t="str">
        <f>IF(Thirtieth!G82="", "",Thirtieth!G82)</f>
        <v/>
      </c>
      <c r="H7329" s="66" t="str">
        <f>IF(Thirtieth!H82="", "",Thirtieth!H82)</f>
        <v/>
      </c>
      <c r="I7329" s="66" t="str">
        <f>IF(Thirtieth!I82="", "",Thirtieth!I82)</f>
        <v/>
      </c>
      <c r="J7329" s="66" t="str">
        <f>IF(Thirtieth!J82="", "",Thirtieth!J82)</f>
        <v/>
      </c>
      <c r="K7329" s="86" t="str">
        <f>IF(Thirtieth!K82="", "",Thirtieth!K82)</f>
        <v/>
      </c>
      <c r="M7329" s="67" t="str">
        <f t="shared" si="347"/>
        <v/>
      </c>
      <c r="N7329" s="76" t="str">
        <f t="shared" si="348"/>
        <v/>
      </c>
      <c r="O7329" s="33">
        <f t="shared" si="349"/>
        <v>0</v>
      </c>
    </row>
    <row r="7330" spans="1:15" x14ac:dyDescent="0.25">
      <c r="A7330" s="64" t="s">
        <v>196</v>
      </c>
      <c r="B7330" s="79" t="str">
        <f>IF(Thirtieth!B83="", "",Thirtieth!B83)</f>
        <v/>
      </c>
      <c r="C7330" s="66" t="str">
        <f>IF(Thirtieth!C83="", "",Thirtieth!C83)</f>
        <v/>
      </c>
      <c r="D7330" s="66" t="str">
        <f>IF(Thirtieth!D83="", "",Thirtieth!D83)</f>
        <v/>
      </c>
      <c r="E7330" s="66" t="str">
        <f>IF(Thirtieth!E83="", "",Thirtieth!E83)</f>
        <v/>
      </c>
      <c r="F7330" s="66" t="str">
        <f>IF(Thirtieth!F83="", "",Thirtieth!F83)</f>
        <v/>
      </c>
      <c r="G7330" s="66" t="str">
        <f>IF(Thirtieth!G83="", "",Thirtieth!G83)</f>
        <v/>
      </c>
      <c r="H7330" s="66" t="str">
        <f>IF(Thirtieth!H83="", "",Thirtieth!H83)</f>
        <v/>
      </c>
      <c r="I7330" s="66" t="str">
        <f>IF(Thirtieth!I83="", "",Thirtieth!I83)</f>
        <v/>
      </c>
      <c r="J7330" s="66" t="str">
        <f>IF(Thirtieth!J83="", "",Thirtieth!J83)</f>
        <v/>
      </c>
      <c r="K7330" s="86" t="str">
        <f>IF(Thirtieth!K83="", "",Thirtieth!K83)</f>
        <v/>
      </c>
      <c r="M7330" s="67" t="str">
        <f t="shared" si="347"/>
        <v/>
      </c>
      <c r="N7330" s="76" t="str">
        <f t="shared" si="348"/>
        <v/>
      </c>
      <c r="O7330" s="33">
        <f t="shared" si="349"/>
        <v>0</v>
      </c>
    </row>
    <row r="7331" spans="1:15" x14ac:dyDescent="0.25">
      <c r="A7331" s="64" t="s">
        <v>196</v>
      </c>
      <c r="B7331" s="79" t="str">
        <f>IF(Thirtieth!B84="", "",Thirtieth!B84)</f>
        <v/>
      </c>
      <c r="C7331" s="66" t="str">
        <f>IF(Thirtieth!C84="", "",Thirtieth!C84)</f>
        <v/>
      </c>
      <c r="D7331" s="66" t="str">
        <f>IF(Thirtieth!D84="", "",Thirtieth!D84)</f>
        <v/>
      </c>
      <c r="E7331" s="66" t="str">
        <f>IF(Thirtieth!E84="", "",Thirtieth!E84)</f>
        <v/>
      </c>
      <c r="F7331" s="66" t="str">
        <f>IF(Thirtieth!F84="", "",Thirtieth!F84)</f>
        <v/>
      </c>
      <c r="G7331" s="66" t="str">
        <f>IF(Thirtieth!G84="", "",Thirtieth!G84)</f>
        <v/>
      </c>
      <c r="H7331" s="66" t="str">
        <f>IF(Thirtieth!H84="", "",Thirtieth!H84)</f>
        <v/>
      </c>
      <c r="I7331" s="66" t="str">
        <f>IF(Thirtieth!I84="", "",Thirtieth!I84)</f>
        <v/>
      </c>
      <c r="J7331" s="66" t="str">
        <f>IF(Thirtieth!J84="", "",Thirtieth!J84)</f>
        <v/>
      </c>
      <c r="K7331" s="86" t="str">
        <f>IF(Thirtieth!K84="", "",Thirtieth!K84)</f>
        <v/>
      </c>
      <c r="M7331" s="67" t="str">
        <f t="shared" si="347"/>
        <v/>
      </c>
      <c r="N7331" s="76" t="str">
        <f t="shared" si="348"/>
        <v/>
      </c>
      <c r="O7331" s="33">
        <f t="shared" si="349"/>
        <v>0</v>
      </c>
    </row>
    <row r="7332" spans="1:15" x14ac:dyDescent="0.25">
      <c r="A7332" s="64" t="s">
        <v>196</v>
      </c>
      <c r="B7332" s="79" t="str">
        <f>IF(Thirtieth!B85="", "",Thirtieth!B85)</f>
        <v/>
      </c>
      <c r="C7332" s="66" t="str">
        <f>IF(Thirtieth!C85="", "",Thirtieth!C85)</f>
        <v/>
      </c>
      <c r="D7332" s="66" t="str">
        <f>IF(Thirtieth!D85="", "",Thirtieth!D85)</f>
        <v/>
      </c>
      <c r="E7332" s="66" t="str">
        <f>IF(Thirtieth!E85="", "",Thirtieth!E85)</f>
        <v/>
      </c>
      <c r="F7332" s="66" t="str">
        <f>IF(Thirtieth!F85="", "",Thirtieth!F85)</f>
        <v/>
      </c>
      <c r="G7332" s="66" t="str">
        <f>IF(Thirtieth!G85="", "",Thirtieth!G85)</f>
        <v/>
      </c>
      <c r="H7332" s="66" t="str">
        <f>IF(Thirtieth!H85="", "",Thirtieth!H85)</f>
        <v/>
      </c>
      <c r="I7332" s="66" t="str">
        <f>IF(Thirtieth!I85="", "",Thirtieth!I85)</f>
        <v/>
      </c>
      <c r="J7332" s="66" t="str">
        <f>IF(Thirtieth!J85="", "",Thirtieth!J85)</f>
        <v/>
      </c>
      <c r="K7332" s="86" t="str">
        <f>IF(Thirtieth!K85="", "",Thirtieth!K85)</f>
        <v/>
      </c>
      <c r="M7332" s="67" t="str">
        <f t="shared" si="347"/>
        <v/>
      </c>
      <c r="N7332" s="76" t="str">
        <f t="shared" si="348"/>
        <v/>
      </c>
      <c r="O7332" s="33">
        <f t="shared" si="349"/>
        <v>0</v>
      </c>
    </row>
    <row r="7333" spans="1:15" x14ac:dyDescent="0.25">
      <c r="A7333" s="64" t="s">
        <v>196</v>
      </c>
      <c r="B7333" s="79" t="str">
        <f>IF(Thirtieth!B86="", "",Thirtieth!B86)</f>
        <v/>
      </c>
      <c r="C7333" s="66" t="str">
        <f>IF(Thirtieth!C86="", "",Thirtieth!C86)</f>
        <v/>
      </c>
      <c r="D7333" s="66" t="str">
        <f>IF(Thirtieth!D86="", "",Thirtieth!D86)</f>
        <v/>
      </c>
      <c r="E7333" s="66" t="str">
        <f>IF(Thirtieth!E86="", "",Thirtieth!E86)</f>
        <v/>
      </c>
      <c r="F7333" s="66" t="str">
        <f>IF(Thirtieth!F86="", "",Thirtieth!F86)</f>
        <v/>
      </c>
      <c r="G7333" s="66" t="str">
        <f>IF(Thirtieth!G86="", "",Thirtieth!G86)</f>
        <v/>
      </c>
      <c r="H7333" s="66" t="str">
        <f>IF(Thirtieth!H86="", "",Thirtieth!H86)</f>
        <v/>
      </c>
      <c r="I7333" s="66" t="str">
        <f>IF(Thirtieth!I86="", "",Thirtieth!I86)</f>
        <v/>
      </c>
      <c r="J7333" s="66" t="str">
        <f>IF(Thirtieth!J86="", "",Thirtieth!J86)</f>
        <v/>
      </c>
      <c r="K7333" s="86" t="str">
        <f>IF(Thirtieth!K86="", "",Thirtieth!K86)</f>
        <v/>
      </c>
      <c r="M7333" s="67" t="str">
        <f t="shared" si="347"/>
        <v/>
      </c>
      <c r="N7333" s="76" t="str">
        <f t="shared" si="348"/>
        <v/>
      </c>
      <c r="O7333" s="33">
        <f t="shared" si="349"/>
        <v>0</v>
      </c>
    </row>
    <row r="7334" spans="1:15" x14ac:dyDescent="0.25">
      <c r="A7334" s="64" t="s">
        <v>196</v>
      </c>
      <c r="B7334" s="79" t="str">
        <f>IF(Thirtieth!B87="", "",Thirtieth!B87)</f>
        <v/>
      </c>
      <c r="C7334" s="66" t="str">
        <f>IF(Thirtieth!C87="", "",Thirtieth!C87)</f>
        <v/>
      </c>
      <c r="D7334" s="66" t="str">
        <f>IF(Thirtieth!D87="", "",Thirtieth!D87)</f>
        <v/>
      </c>
      <c r="E7334" s="66" t="str">
        <f>IF(Thirtieth!E87="", "",Thirtieth!E87)</f>
        <v/>
      </c>
      <c r="F7334" s="66" t="str">
        <f>IF(Thirtieth!F87="", "",Thirtieth!F87)</f>
        <v/>
      </c>
      <c r="G7334" s="66" t="str">
        <f>IF(Thirtieth!G87="", "",Thirtieth!G87)</f>
        <v/>
      </c>
      <c r="H7334" s="66" t="str">
        <f>IF(Thirtieth!H87="", "",Thirtieth!H87)</f>
        <v/>
      </c>
      <c r="I7334" s="66" t="str">
        <f>IF(Thirtieth!I87="", "",Thirtieth!I87)</f>
        <v/>
      </c>
      <c r="J7334" s="66" t="str">
        <f>IF(Thirtieth!J87="", "",Thirtieth!J87)</f>
        <v/>
      </c>
      <c r="K7334" s="86" t="str">
        <f>IF(Thirtieth!K87="", "",Thirtieth!K87)</f>
        <v/>
      </c>
      <c r="M7334" s="67" t="str">
        <f t="shared" si="347"/>
        <v/>
      </c>
      <c r="N7334" s="76" t="str">
        <f t="shared" si="348"/>
        <v/>
      </c>
      <c r="O7334" s="33">
        <f t="shared" si="349"/>
        <v>0</v>
      </c>
    </row>
    <row r="7335" spans="1:15" x14ac:dyDescent="0.25">
      <c r="A7335" s="64" t="s">
        <v>196</v>
      </c>
      <c r="B7335" s="79" t="str">
        <f>IF(Thirtieth!B88="", "",Thirtieth!B88)</f>
        <v/>
      </c>
      <c r="C7335" s="66" t="str">
        <f>IF(Thirtieth!C88="", "",Thirtieth!C88)</f>
        <v/>
      </c>
      <c r="D7335" s="66" t="str">
        <f>IF(Thirtieth!D88="", "",Thirtieth!D88)</f>
        <v/>
      </c>
      <c r="E7335" s="66" t="str">
        <f>IF(Thirtieth!E88="", "",Thirtieth!E88)</f>
        <v/>
      </c>
      <c r="F7335" s="66" t="str">
        <f>IF(Thirtieth!F88="", "",Thirtieth!F88)</f>
        <v/>
      </c>
      <c r="G7335" s="66" t="str">
        <f>IF(Thirtieth!G88="", "",Thirtieth!G88)</f>
        <v/>
      </c>
      <c r="H7335" s="66" t="str">
        <f>IF(Thirtieth!H88="", "",Thirtieth!H88)</f>
        <v/>
      </c>
      <c r="I7335" s="66" t="str">
        <f>IF(Thirtieth!I88="", "",Thirtieth!I88)</f>
        <v/>
      </c>
      <c r="J7335" s="66" t="str">
        <f>IF(Thirtieth!J88="", "",Thirtieth!J88)</f>
        <v/>
      </c>
      <c r="K7335" s="86" t="str">
        <f>IF(Thirtieth!K88="", "",Thirtieth!K88)</f>
        <v/>
      </c>
      <c r="M7335" s="67" t="str">
        <f t="shared" si="347"/>
        <v/>
      </c>
      <c r="N7335" s="76" t="str">
        <f t="shared" si="348"/>
        <v/>
      </c>
      <c r="O7335" s="33">
        <f t="shared" si="349"/>
        <v>0</v>
      </c>
    </row>
    <row r="7336" spans="1:15" x14ac:dyDescent="0.25">
      <c r="A7336" s="64" t="s">
        <v>196</v>
      </c>
      <c r="B7336" s="79" t="str">
        <f>IF(Thirtieth!B89="", "",Thirtieth!B89)</f>
        <v/>
      </c>
      <c r="C7336" s="66" t="str">
        <f>IF(Thirtieth!C89="", "",Thirtieth!C89)</f>
        <v/>
      </c>
      <c r="D7336" s="66" t="str">
        <f>IF(Thirtieth!D89="", "",Thirtieth!D89)</f>
        <v/>
      </c>
      <c r="E7336" s="66" t="str">
        <f>IF(Thirtieth!E89="", "",Thirtieth!E89)</f>
        <v/>
      </c>
      <c r="F7336" s="66" t="str">
        <f>IF(Thirtieth!F89="", "",Thirtieth!F89)</f>
        <v/>
      </c>
      <c r="G7336" s="66" t="str">
        <f>IF(Thirtieth!G89="", "",Thirtieth!G89)</f>
        <v/>
      </c>
      <c r="H7336" s="66" t="str">
        <f>IF(Thirtieth!H89="", "",Thirtieth!H89)</f>
        <v/>
      </c>
      <c r="I7336" s="66" t="str">
        <f>IF(Thirtieth!I89="", "",Thirtieth!I89)</f>
        <v/>
      </c>
      <c r="J7336" s="66" t="str">
        <f>IF(Thirtieth!J89="", "",Thirtieth!J89)</f>
        <v/>
      </c>
      <c r="K7336" s="86" t="str">
        <f>IF(Thirtieth!K89="", "",Thirtieth!K89)</f>
        <v/>
      </c>
      <c r="M7336" s="67" t="str">
        <f t="shared" si="347"/>
        <v/>
      </c>
      <c r="N7336" s="76" t="str">
        <f t="shared" si="348"/>
        <v/>
      </c>
      <c r="O7336" s="33">
        <f t="shared" si="349"/>
        <v>0</v>
      </c>
    </row>
    <row r="7337" spans="1:15" x14ac:dyDescent="0.25">
      <c r="A7337" s="64" t="s">
        <v>196</v>
      </c>
      <c r="B7337" s="79" t="str">
        <f>IF(Thirtieth!B90="", "",Thirtieth!B90)</f>
        <v/>
      </c>
      <c r="C7337" s="66" t="str">
        <f>IF(Thirtieth!C90="", "",Thirtieth!C90)</f>
        <v/>
      </c>
      <c r="D7337" s="66" t="str">
        <f>IF(Thirtieth!D90="", "",Thirtieth!D90)</f>
        <v/>
      </c>
      <c r="E7337" s="66" t="str">
        <f>IF(Thirtieth!E90="", "",Thirtieth!E90)</f>
        <v/>
      </c>
      <c r="F7337" s="66" t="str">
        <f>IF(Thirtieth!F90="", "",Thirtieth!F90)</f>
        <v/>
      </c>
      <c r="G7337" s="66" t="str">
        <f>IF(Thirtieth!G90="", "",Thirtieth!G90)</f>
        <v/>
      </c>
      <c r="H7337" s="66" t="str">
        <f>IF(Thirtieth!H90="", "",Thirtieth!H90)</f>
        <v/>
      </c>
      <c r="I7337" s="66" t="str">
        <f>IF(Thirtieth!I90="", "",Thirtieth!I90)</f>
        <v/>
      </c>
      <c r="J7337" s="66" t="str">
        <f>IF(Thirtieth!J90="", "",Thirtieth!J90)</f>
        <v/>
      </c>
      <c r="K7337" s="86" t="str">
        <f>IF(Thirtieth!K90="", "",Thirtieth!K90)</f>
        <v/>
      </c>
      <c r="M7337" s="67" t="str">
        <f t="shared" si="347"/>
        <v/>
      </c>
      <c r="N7337" s="76" t="str">
        <f t="shared" si="348"/>
        <v/>
      </c>
      <c r="O7337" s="33">
        <f t="shared" si="349"/>
        <v>0</v>
      </c>
    </row>
    <row r="7338" spans="1:15" x14ac:dyDescent="0.25">
      <c r="A7338" s="64" t="s">
        <v>196</v>
      </c>
      <c r="B7338" s="79" t="str">
        <f>IF(Thirtieth!B91="", "",Thirtieth!B91)</f>
        <v/>
      </c>
      <c r="C7338" s="66" t="str">
        <f>IF(Thirtieth!C91="", "",Thirtieth!C91)</f>
        <v/>
      </c>
      <c r="D7338" s="66" t="str">
        <f>IF(Thirtieth!D91="", "",Thirtieth!D91)</f>
        <v/>
      </c>
      <c r="E7338" s="66" t="str">
        <f>IF(Thirtieth!E91="", "",Thirtieth!E91)</f>
        <v/>
      </c>
      <c r="F7338" s="66" t="str">
        <f>IF(Thirtieth!F91="", "",Thirtieth!F91)</f>
        <v/>
      </c>
      <c r="G7338" s="66" t="str">
        <f>IF(Thirtieth!G91="", "",Thirtieth!G91)</f>
        <v/>
      </c>
      <c r="H7338" s="66" t="str">
        <f>IF(Thirtieth!H91="", "",Thirtieth!H91)</f>
        <v/>
      </c>
      <c r="I7338" s="66" t="str">
        <f>IF(Thirtieth!I91="", "",Thirtieth!I91)</f>
        <v/>
      </c>
      <c r="J7338" s="66" t="str">
        <f>IF(Thirtieth!J91="", "",Thirtieth!J91)</f>
        <v/>
      </c>
      <c r="K7338" s="86" t="str">
        <f>IF(Thirtieth!K91="", "",Thirtieth!K91)</f>
        <v/>
      </c>
      <c r="M7338" s="67" t="str">
        <f t="shared" si="347"/>
        <v/>
      </c>
      <c r="N7338" s="76" t="str">
        <f t="shared" si="348"/>
        <v/>
      </c>
      <c r="O7338" s="33">
        <f t="shared" si="349"/>
        <v>0</v>
      </c>
    </row>
    <row r="7339" spans="1:15" x14ac:dyDescent="0.25">
      <c r="A7339" s="64" t="s">
        <v>196</v>
      </c>
      <c r="B7339" s="79" t="str">
        <f>IF(Thirtieth!B92="", "",Thirtieth!B92)</f>
        <v/>
      </c>
      <c r="C7339" s="66" t="str">
        <f>IF(Thirtieth!C92="", "",Thirtieth!C92)</f>
        <v/>
      </c>
      <c r="D7339" s="66" t="str">
        <f>IF(Thirtieth!D92="", "",Thirtieth!D92)</f>
        <v/>
      </c>
      <c r="E7339" s="66" t="str">
        <f>IF(Thirtieth!E92="", "",Thirtieth!E92)</f>
        <v/>
      </c>
      <c r="F7339" s="66" t="str">
        <f>IF(Thirtieth!F92="", "",Thirtieth!F92)</f>
        <v/>
      </c>
      <c r="G7339" s="66" t="str">
        <f>IF(Thirtieth!G92="", "",Thirtieth!G92)</f>
        <v/>
      </c>
      <c r="H7339" s="66" t="str">
        <f>IF(Thirtieth!H92="", "",Thirtieth!H92)</f>
        <v/>
      </c>
      <c r="I7339" s="66" t="str">
        <f>IF(Thirtieth!I92="", "",Thirtieth!I92)</f>
        <v/>
      </c>
      <c r="J7339" s="66" t="str">
        <f>IF(Thirtieth!J92="", "",Thirtieth!J92)</f>
        <v/>
      </c>
      <c r="K7339" s="86" t="str">
        <f>IF(Thirtieth!K92="", "",Thirtieth!K92)</f>
        <v/>
      </c>
      <c r="M7339" s="67" t="str">
        <f t="shared" si="347"/>
        <v/>
      </c>
      <c r="N7339" s="76" t="str">
        <f t="shared" si="348"/>
        <v/>
      </c>
      <c r="O7339" s="33">
        <f t="shared" si="349"/>
        <v>0</v>
      </c>
    </row>
    <row r="7340" spans="1:15" x14ac:dyDescent="0.25">
      <c r="A7340" s="64" t="s">
        <v>196</v>
      </c>
      <c r="B7340" s="79" t="str">
        <f>IF(Thirtieth!B93="", "",Thirtieth!B93)</f>
        <v/>
      </c>
      <c r="C7340" s="66" t="str">
        <f>IF(Thirtieth!C93="", "",Thirtieth!C93)</f>
        <v/>
      </c>
      <c r="D7340" s="66" t="str">
        <f>IF(Thirtieth!D93="", "",Thirtieth!D93)</f>
        <v/>
      </c>
      <c r="E7340" s="66" t="str">
        <f>IF(Thirtieth!E93="", "",Thirtieth!E93)</f>
        <v/>
      </c>
      <c r="F7340" s="66" t="str">
        <f>IF(Thirtieth!F93="", "",Thirtieth!F93)</f>
        <v/>
      </c>
      <c r="G7340" s="66" t="str">
        <f>IF(Thirtieth!G93="", "",Thirtieth!G93)</f>
        <v/>
      </c>
      <c r="H7340" s="66" t="str">
        <f>IF(Thirtieth!H93="", "",Thirtieth!H93)</f>
        <v/>
      </c>
      <c r="I7340" s="66" t="str">
        <f>IF(Thirtieth!I93="", "",Thirtieth!I93)</f>
        <v/>
      </c>
      <c r="J7340" s="66" t="str">
        <f>IF(Thirtieth!J93="", "",Thirtieth!J93)</f>
        <v/>
      </c>
      <c r="K7340" s="86" t="str">
        <f>IF(Thirtieth!K93="", "",Thirtieth!K93)</f>
        <v/>
      </c>
      <c r="M7340" s="67" t="str">
        <f t="shared" si="347"/>
        <v/>
      </c>
      <c r="N7340" s="76" t="str">
        <f t="shared" si="348"/>
        <v/>
      </c>
      <c r="O7340" s="33">
        <f t="shared" si="349"/>
        <v>0</v>
      </c>
    </row>
    <row r="7341" spans="1:15" x14ac:dyDescent="0.25">
      <c r="A7341" s="64" t="s">
        <v>196</v>
      </c>
      <c r="B7341" s="79" t="str">
        <f>IF(Thirtieth!B94="", "",Thirtieth!B94)</f>
        <v/>
      </c>
      <c r="C7341" s="66" t="str">
        <f>IF(Thirtieth!C94="", "",Thirtieth!C94)</f>
        <v/>
      </c>
      <c r="D7341" s="66" t="str">
        <f>IF(Thirtieth!D94="", "",Thirtieth!D94)</f>
        <v/>
      </c>
      <c r="E7341" s="66" t="str">
        <f>IF(Thirtieth!E94="", "",Thirtieth!E94)</f>
        <v/>
      </c>
      <c r="F7341" s="66" t="str">
        <f>IF(Thirtieth!F94="", "",Thirtieth!F94)</f>
        <v/>
      </c>
      <c r="G7341" s="66" t="str">
        <f>IF(Thirtieth!G94="", "",Thirtieth!G94)</f>
        <v/>
      </c>
      <c r="H7341" s="66" t="str">
        <f>IF(Thirtieth!H94="", "",Thirtieth!H94)</f>
        <v/>
      </c>
      <c r="I7341" s="66" t="str">
        <f>IF(Thirtieth!I94="", "",Thirtieth!I94)</f>
        <v/>
      </c>
      <c r="J7341" s="66" t="str">
        <f>IF(Thirtieth!J94="", "",Thirtieth!J94)</f>
        <v/>
      </c>
      <c r="K7341" s="86" t="str">
        <f>IF(Thirtieth!K94="", "",Thirtieth!K94)</f>
        <v/>
      </c>
      <c r="M7341" s="67" t="str">
        <f t="shared" si="347"/>
        <v/>
      </c>
      <c r="N7341" s="76" t="str">
        <f t="shared" si="348"/>
        <v/>
      </c>
      <c r="O7341" s="33">
        <f t="shared" si="349"/>
        <v>0</v>
      </c>
    </row>
    <row r="7342" spans="1:15" x14ac:dyDescent="0.25">
      <c r="A7342" s="64" t="s">
        <v>196</v>
      </c>
      <c r="B7342" s="79" t="str">
        <f>IF(Thirtieth!B95="", "",Thirtieth!B95)</f>
        <v/>
      </c>
      <c r="C7342" s="66" t="str">
        <f>IF(Thirtieth!C95="", "",Thirtieth!C95)</f>
        <v/>
      </c>
      <c r="D7342" s="66" t="str">
        <f>IF(Thirtieth!D95="", "",Thirtieth!D95)</f>
        <v/>
      </c>
      <c r="E7342" s="66" t="str">
        <f>IF(Thirtieth!E95="", "",Thirtieth!E95)</f>
        <v/>
      </c>
      <c r="F7342" s="66" t="str">
        <f>IF(Thirtieth!F95="", "",Thirtieth!F95)</f>
        <v/>
      </c>
      <c r="G7342" s="66" t="str">
        <f>IF(Thirtieth!G95="", "",Thirtieth!G95)</f>
        <v/>
      </c>
      <c r="H7342" s="66" t="str">
        <f>IF(Thirtieth!H95="", "",Thirtieth!H95)</f>
        <v/>
      </c>
      <c r="I7342" s="66" t="str">
        <f>IF(Thirtieth!I95="", "",Thirtieth!I95)</f>
        <v/>
      </c>
      <c r="J7342" s="66" t="str">
        <f>IF(Thirtieth!J95="", "",Thirtieth!J95)</f>
        <v/>
      </c>
      <c r="K7342" s="86" t="str">
        <f>IF(Thirtieth!K95="", "",Thirtieth!K95)</f>
        <v/>
      </c>
      <c r="M7342" s="67" t="str">
        <f t="shared" si="347"/>
        <v/>
      </c>
      <c r="N7342" s="76" t="str">
        <f t="shared" si="348"/>
        <v/>
      </c>
      <c r="O7342" s="33">
        <f t="shared" si="349"/>
        <v>0</v>
      </c>
    </row>
    <row r="7343" spans="1:15" x14ac:dyDescent="0.25">
      <c r="A7343" s="64" t="s">
        <v>196</v>
      </c>
      <c r="B7343" s="79" t="str">
        <f>IF(Thirtieth!B96="", "",Thirtieth!B96)</f>
        <v/>
      </c>
      <c r="C7343" s="66" t="str">
        <f>IF(Thirtieth!C96="", "",Thirtieth!C96)</f>
        <v/>
      </c>
      <c r="D7343" s="66" t="str">
        <f>IF(Thirtieth!D96="", "",Thirtieth!D96)</f>
        <v/>
      </c>
      <c r="E7343" s="66" t="str">
        <f>IF(Thirtieth!E96="", "",Thirtieth!E96)</f>
        <v/>
      </c>
      <c r="F7343" s="66" t="str">
        <f>IF(Thirtieth!F96="", "",Thirtieth!F96)</f>
        <v/>
      </c>
      <c r="G7343" s="66" t="str">
        <f>IF(Thirtieth!G96="", "",Thirtieth!G96)</f>
        <v/>
      </c>
      <c r="H7343" s="66" t="str">
        <f>IF(Thirtieth!H96="", "",Thirtieth!H96)</f>
        <v/>
      </c>
      <c r="I7343" s="66" t="str">
        <f>IF(Thirtieth!I96="", "",Thirtieth!I96)</f>
        <v/>
      </c>
      <c r="J7343" s="66" t="str">
        <f>IF(Thirtieth!J96="", "",Thirtieth!J96)</f>
        <v/>
      </c>
      <c r="K7343" s="86" t="str">
        <f>IF(Thirtieth!K96="", "",Thirtieth!K96)</f>
        <v/>
      </c>
      <c r="M7343" s="67" t="str">
        <f t="shared" si="347"/>
        <v/>
      </c>
      <c r="N7343" s="76" t="str">
        <f t="shared" si="348"/>
        <v/>
      </c>
      <c r="O7343" s="33">
        <f t="shared" si="349"/>
        <v>0</v>
      </c>
    </row>
    <row r="7344" spans="1:15" x14ac:dyDescent="0.25">
      <c r="A7344" s="64" t="s">
        <v>196</v>
      </c>
      <c r="B7344" s="79" t="str">
        <f>IF(Thirtieth!B97="", "",Thirtieth!B97)</f>
        <v/>
      </c>
      <c r="C7344" s="66" t="str">
        <f>IF(Thirtieth!C97="", "",Thirtieth!C97)</f>
        <v/>
      </c>
      <c r="D7344" s="66" t="str">
        <f>IF(Thirtieth!D97="", "",Thirtieth!D97)</f>
        <v/>
      </c>
      <c r="E7344" s="66" t="str">
        <f>IF(Thirtieth!E97="", "",Thirtieth!E97)</f>
        <v/>
      </c>
      <c r="F7344" s="66" t="str">
        <f>IF(Thirtieth!F97="", "",Thirtieth!F97)</f>
        <v/>
      </c>
      <c r="G7344" s="66" t="str">
        <f>IF(Thirtieth!G97="", "",Thirtieth!G97)</f>
        <v/>
      </c>
      <c r="H7344" s="66" t="str">
        <f>IF(Thirtieth!H97="", "",Thirtieth!H97)</f>
        <v/>
      </c>
      <c r="I7344" s="66" t="str">
        <f>IF(Thirtieth!I97="", "",Thirtieth!I97)</f>
        <v/>
      </c>
      <c r="J7344" s="66" t="str">
        <f>IF(Thirtieth!J97="", "",Thirtieth!J97)</f>
        <v/>
      </c>
      <c r="K7344" s="86" t="str">
        <f>IF(Thirtieth!K97="", "",Thirtieth!K97)</f>
        <v/>
      </c>
      <c r="M7344" s="67" t="str">
        <f t="shared" si="347"/>
        <v/>
      </c>
      <c r="N7344" s="76" t="str">
        <f t="shared" si="348"/>
        <v/>
      </c>
      <c r="O7344" s="33">
        <f t="shared" si="349"/>
        <v>0</v>
      </c>
    </row>
    <row r="7345" spans="1:15" x14ac:dyDescent="0.25">
      <c r="A7345" s="64" t="s">
        <v>196</v>
      </c>
      <c r="B7345" s="79" t="str">
        <f>IF(Thirtieth!B98="", "",Thirtieth!B98)</f>
        <v/>
      </c>
      <c r="C7345" s="66" t="str">
        <f>IF(Thirtieth!C98="", "",Thirtieth!C98)</f>
        <v/>
      </c>
      <c r="D7345" s="66" t="str">
        <f>IF(Thirtieth!D98="", "",Thirtieth!D98)</f>
        <v/>
      </c>
      <c r="E7345" s="66" t="str">
        <f>IF(Thirtieth!E98="", "",Thirtieth!E98)</f>
        <v/>
      </c>
      <c r="F7345" s="66" t="str">
        <f>IF(Thirtieth!F98="", "",Thirtieth!F98)</f>
        <v/>
      </c>
      <c r="G7345" s="66" t="str">
        <f>IF(Thirtieth!G98="", "",Thirtieth!G98)</f>
        <v/>
      </c>
      <c r="H7345" s="66" t="str">
        <f>IF(Thirtieth!H98="", "",Thirtieth!H98)</f>
        <v/>
      </c>
      <c r="I7345" s="66" t="str">
        <f>IF(Thirtieth!I98="", "",Thirtieth!I98)</f>
        <v/>
      </c>
      <c r="J7345" s="66" t="str">
        <f>IF(Thirtieth!J98="", "",Thirtieth!J98)</f>
        <v/>
      </c>
      <c r="K7345" s="86" t="str">
        <f>IF(Thirtieth!K98="", "",Thirtieth!K98)</f>
        <v/>
      </c>
      <c r="M7345" s="67" t="str">
        <f t="shared" si="347"/>
        <v/>
      </c>
      <c r="N7345" s="76" t="str">
        <f t="shared" si="348"/>
        <v/>
      </c>
      <c r="O7345" s="33">
        <f t="shared" si="349"/>
        <v>0</v>
      </c>
    </row>
    <row r="7346" spans="1:15" x14ac:dyDescent="0.25">
      <c r="A7346" s="64" t="s">
        <v>196</v>
      </c>
      <c r="B7346" s="79" t="str">
        <f>IF(Thirtieth!B99="", "",Thirtieth!B99)</f>
        <v/>
      </c>
      <c r="C7346" s="66" t="str">
        <f>IF(Thirtieth!C99="", "",Thirtieth!C99)</f>
        <v/>
      </c>
      <c r="D7346" s="66" t="str">
        <f>IF(Thirtieth!D99="", "",Thirtieth!D99)</f>
        <v/>
      </c>
      <c r="E7346" s="66" t="str">
        <f>IF(Thirtieth!E99="", "",Thirtieth!E99)</f>
        <v/>
      </c>
      <c r="F7346" s="66" t="str">
        <f>IF(Thirtieth!F99="", "",Thirtieth!F99)</f>
        <v/>
      </c>
      <c r="G7346" s="66" t="str">
        <f>IF(Thirtieth!G99="", "",Thirtieth!G99)</f>
        <v/>
      </c>
      <c r="H7346" s="66" t="str">
        <f>IF(Thirtieth!H99="", "",Thirtieth!H99)</f>
        <v/>
      </c>
      <c r="I7346" s="66" t="str">
        <f>IF(Thirtieth!I99="", "",Thirtieth!I99)</f>
        <v/>
      </c>
      <c r="J7346" s="66" t="str">
        <f>IF(Thirtieth!J99="", "",Thirtieth!J99)</f>
        <v/>
      </c>
      <c r="K7346" s="86" t="str">
        <f>IF(Thirtieth!K99="", "",Thirtieth!K99)</f>
        <v/>
      </c>
      <c r="M7346" s="67" t="str">
        <f t="shared" si="347"/>
        <v/>
      </c>
      <c r="N7346" s="76" t="str">
        <f t="shared" si="348"/>
        <v/>
      </c>
      <c r="O7346" s="33">
        <f t="shared" si="349"/>
        <v>0</v>
      </c>
    </row>
    <row r="7347" spans="1:15" x14ac:dyDescent="0.25">
      <c r="A7347" s="64" t="s">
        <v>196</v>
      </c>
      <c r="B7347" s="79" t="str">
        <f>IF(Thirtieth!B100="", "",Thirtieth!B100)</f>
        <v/>
      </c>
      <c r="C7347" s="66" t="str">
        <f>IF(Thirtieth!C100="", "",Thirtieth!C100)</f>
        <v/>
      </c>
      <c r="D7347" s="66" t="str">
        <f>IF(Thirtieth!D100="", "",Thirtieth!D100)</f>
        <v/>
      </c>
      <c r="E7347" s="66" t="str">
        <f>IF(Thirtieth!E100="", "",Thirtieth!E100)</f>
        <v/>
      </c>
      <c r="F7347" s="66" t="str">
        <f>IF(Thirtieth!F100="", "",Thirtieth!F100)</f>
        <v/>
      </c>
      <c r="G7347" s="66" t="str">
        <f>IF(Thirtieth!G100="", "",Thirtieth!G100)</f>
        <v/>
      </c>
      <c r="H7347" s="66" t="str">
        <f>IF(Thirtieth!H100="", "",Thirtieth!H100)</f>
        <v/>
      </c>
      <c r="I7347" s="66" t="str">
        <f>IF(Thirtieth!I100="", "",Thirtieth!I100)</f>
        <v/>
      </c>
      <c r="J7347" s="66" t="str">
        <f>IF(Thirtieth!J100="", "",Thirtieth!J100)</f>
        <v/>
      </c>
      <c r="K7347" s="86" t="str">
        <f>IF(Thirtieth!K100="", "",Thirtieth!K100)</f>
        <v/>
      </c>
      <c r="M7347" s="67" t="str">
        <f t="shared" si="347"/>
        <v/>
      </c>
      <c r="N7347" s="76" t="str">
        <f t="shared" si="348"/>
        <v/>
      </c>
      <c r="O7347" s="33">
        <f t="shared" si="349"/>
        <v>0</v>
      </c>
    </row>
    <row r="7348" spans="1:15" x14ac:dyDescent="0.25">
      <c r="A7348" s="64" t="s">
        <v>196</v>
      </c>
      <c r="B7348" s="79" t="str">
        <f>IF(Thirtieth!B101="", "",Thirtieth!B101)</f>
        <v/>
      </c>
      <c r="C7348" s="66" t="str">
        <f>IF(Thirtieth!C101="", "",Thirtieth!C101)</f>
        <v/>
      </c>
      <c r="D7348" s="66" t="str">
        <f>IF(Thirtieth!D101="", "",Thirtieth!D101)</f>
        <v/>
      </c>
      <c r="E7348" s="66" t="str">
        <f>IF(Thirtieth!E101="", "",Thirtieth!E101)</f>
        <v/>
      </c>
      <c r="F7348" s="66" t="str">
        <f>IF(Thirtieth!F101="", "",Thirtieth!F101)</f>
        <v/>
      </c>
      <c r="G7348" s="66" t="str">
        <f>IF(Thirtieth!G101="", "",Thirtieth!G101)</f>
        <v/>
      </c>
      <c r="H7348" s="66" t="str">
        <f>IF(Thirtieth!H101="", "",Thirtieth!H101)</f>
        <v/>
      </c>
      <c r="I7348" s="66" t="str">
        <f>IF(Thirtieth!I101="", "",Thirtieth!I101)</f>
        <v/>
      </c>
      <c r="J7348" s="66" t="str">
        <f>IF(Thirtieth!J101="", "",Thirtieth!J101)</f>
        <v/>
      </c>
      <c r="K7348" s="86" t="str">
        <f>IF(Thirtieth!K101="", "",Thirtieth!K101)</f>
        <v/>
      </c>
      <c r="M7348" s="67" t="str">
        <f t="shared" si="347"/>
        <v/>
      </c>
      <c r="N7348" s="76" t="str">
        <f t="shared" si="348"/>
        <v/>
      </c>
      <c r="O7348" s="33">
        <f t="shared" si="349"/>
        <v>0</v>
      </c>
    </row>
    <row r="7349" spans="1:15" x14ac:dyDescent="0.25">
      <c r="A7349" s="64" t="s">
        <v>196</v>
      </c>
      <c r="B7349" s="79" t="str">
        <f>IF(Thirtieth!B102="", "",Thirtieth!B102)</f>
        <v/>
      </c>
      <c r="C7349" s="66" t="str">
        <f>IF(Thirtieth!C102="", "",Thirtieth!C102)</f>
        <v/>
      </c>
      <c r="D7349" s="66" t="str">
        <f>IF(Thirtieth!D102="", "",Thirtieth!D102)</f>
        <v/>
      </c>
      <c r="E7349" s="66" t="str">
        <f>IF(Thirtieth!E102="", "",Thirtieth!E102)</f>
        <v/>
      </c>
      <c r="F7349" s="66" t="str">
        <f>IF(Thirtieth!F102="", "",Thirtieth!F102)</f>
        <v/>
      </c>
      <c r="G7349" s="66" t="str">
        <f>IF(Thirtieth!G102="", "",Thirtieth!G102)</f>
        <v/>
      </c>
      <c r="H7349" s="66" t="str">
        <f>IF(Thirtieth!H102="", "",Thirtieth!H102)</f>
        <v/>
      </c>
      <c r="I7349" s="66" t="str">
        <f>IF(Thirtieth!I102="", "",Thirtieth!I102)</f>
        <v/>
      </c>
      <c r="J7349" s="66" t="str">
        <f>IF(Thirtieth!J102="", "",Thirtieth!J102)</f>
        <v/>
      </c>
      <c r="K7349" s="86" t="str">
        <f>IF(Thirtieth!K102="", "",Thirtieth!K102)</f>
        <v/>
      </c>
      <c r="M7349" s="67" t="str">
        <f t="shared" si="347"/>
        <v/>
      </c>
      <c r="N7349" s="76" t="str">
        <f t="shared" si="348"/>
        <v/>
      </c>
      <c r="O7349" s="33">
        <f t="shared" si="349"/>
        <v>0</v>
      </c>
    </row>
    <row r="7350" spans="1:15" x14ac:dyDescent="0.25">
      <c r="A7350" s="64" t="s">
        <v>196</v>
      </c>
      <c r="B7350" s="79" t="str">
        <f>IF(Thirtieth!B103="", "",Thirtieth!B103)</f>
        <v/>
      </c>
      <c r="C7350" s="66" t="str">
        <f>IF(Thirtieth!C103="", "",Thirtieth!C103)</f>
        <v/>
      </c>
      <c r="D7350" s="66" t="str">
        <f>IF(Thirtieth!D103="", "",Thirtieth!D103)</f>
        <v/>
      </c>
      <c r="E7350" s="66" t="str">
        <f>IF(Thirtieth!E103="", "",Thirtieth!E103)</f>
        <v/>
      </c>
      <c r="F7350" s="66" t="str">
        <f>IF(Thirtieth!F103="", "",Thirtieth!F103)</f>
        <v/>
      </c>
      <c r="G7350" s="66" t="str">
        <f>IF(Thirtieth!G103="", "",Thirtieth!G103)</f>
        <v/>
      </c>
      <c r="H7350" s="66" t="str">
        <f>IF(Thirtieth!H103="", "",Thirtieth!H103)</f>
        <v/>
      </c>
      <c r="I7350" s="66" t="str">
        <f>IF(Thirtieth!I103="", "",Thirtieth!I103)</f>
        <v/>
      </c>
      <c r="J7350" s="66" t="str">
        <f>IF(Thirtieth!J103="", "",Thirtieth!J103)</f>
        <v/>
      </c>
      <c r="K7350" s="86" t="str">
        <f>IF(Thirtieth!K103="", "",Thirtieth!K103)</f>
        <v/>
      </c>
      <c r="M7350" s="67" t="str">
        <f t="shared" si="347"/>
        <v/>
      </c>
      <c r="N7350" s="76" t="str">
        <f t="shared" si="348"/>
        <v/>
      </c>
      <c r="O7350" s="33">
        <f t="shared" si="349"/>
        <v>0</v>
      </c>
    </row>
    <row r="7351" spans="1:15" x14ac:dyDescent="0.25">
      <c r="A7351" s="64" t="s">
        <v>196</v>
      </c>
      <c r="B7351" s="79" t="str">
        <f>IF(Thirtieth!B104="", "",Thirtieth!B104)</f>
        <v/>
      </c>
      <c r="C7351" s="66" t="str">
        <f>IF(Thirtieth!C104="", "",Thirtieth!C104)</f>
        <v/>
      </c>
      <c r="D7351" s="66" t="str">
        <f>IF(Thirtieth!D104="", "",Thirtieth!D104)</f>
        <v/>
      </c>
      <c r="E7351" s="66" t="str">
        <f>IF(Thirtieth!E104="", "",Thirtieth!E104)</f>
        <v/>
      </c>
      <c r="F7351" s="66" t="str">
        <f>IF(Thirtieth!F104="", "",Thirtieth!F104)</f>
        <v/>
      </c>
      <c r="G7351" s="66" t="str">
        <f>IF(Thirtieth!G104="", "",Thirtieth!G104)</f>
        <v/>
      </c>
      <c r="H7351" s="66" t="str">
        <f>IF(Thirtieth!H104="", "",Thirtieth!H104)</f>
        <v/>
      </c>
      <c r="I7351" s="66" t="str">
        <f>IF(Thirtieth!I104="", "",Thirtieth!I104)</f>
        <v/>
      </c>
      <c r="J7351" s="66" t="str">
        <f>IF(Thirtieth!J104="", "",Thirtieth!J104)</f>
        <v/>
      </c>
      <c r="K7351" s="86" t="str">
        <f>IF(Thirtieth!K104="", "",Thirtieth!K104)</f>
        <v/>
      </c>
      <c r="M7351" s="67" t="str">
        <f t="shared" si="347"/>
        <v/>
      </c>
      <c r="N7351" s="76" t="str">
        <f t="shared" si="348"/>
        <v/>
      </c>
      <c r="O7351" s="33">
        <f t="shared" si="349"/>
        <v>0</v>
      </c>
    </row>
    <row r="7352" spans="1:15" x14ac:dyDescent="0.25">
      <c r="A7352" s="64" t="s">
        <v>196</v>
      </c>
      <c r="B7352" s="79" t="str">
        <f>IF(Thirtieth!B105="", "",Thirtieth!B105)</f>
        <v/>
      </c>
      <c r="C7352" s="66" t="str">
        <f>IF(Thirtieth!C105="", "",Thirtieth!C105)</f>
        <v/>
      </c>
      <c r="D7352" s="66" t="str">
        <f>IF(Thirtieth!D105="", "",Thirtieth!D105)</f>
        <v/>
      </c>
      <c r="E7352" s="66" t="str">
        <f>IF(Thirtieth!E105="", "",Thirtieth!E105)</f>
        <v/>
      </c>
      <c r="F7352" s="66" t="str">
        <f>IF(Thirtieth!F105="", "",Thirtieth!F105)</f>
        <v/>
      </c>
      <c r="G7352" s="66" t="str">
        <f>IF(Thirtieth!G105="", "",Thirtieth!G105)</f>
        <v/>
      </c>
      <c r="H7352" s="66" t="str">
        <f>IF(Thirtieth!H105="", "",Thirtieth!H105)</f>
        <v/>
      </c>
      <c r="I7352" s="66" t="str">
        <f>IF(Thirtieth!I105="", "",Thirtieth!I105)</f>
        <v/>
      </c>
      <c r="J7352" s="66" t="str">
        <f>IF(Thirtieth!J105="", "",Thirtieth!J105)</f>
        <v/>
      </c>
      <c r="K7352" s="86" t="str">
        <f>IF(Thirtieth!K105="", "",Thirtieth!K105)</f>
        <v/>
      </c>
      <c r="M7352" s="67" t="str">
        <f t="shared" si="347"/>
        <v/>
      </c>
      <c r="N7352" s="76" t="str">
        <f t="shared" si="348"/>
        <v/>
      </c>
      <c r="O7352" s="33">
        <f t="shared" si="349"/>
        <v>0</v>
      </c>
    </row>
    <row r="7353" spans="1:15" x14ac:dyDescent="0.25">
      <c r="A7353" s="64" t="s">
        <v>196</v>
      </c>
      <c r="B7353" s="79" t="str">
        <f>IF(Thirtieth!B106="", "",Thirtieth!B106)</f>
        <v/>
      </c>
      <c r="C7353" s="66" t="str">
        <f>IF(Thirtieth!C106="", "",Thirtieth!C106)</f>
        <v/>
      </c>
      <c r="D7353" s="66" t="str">
        <f>IF(Thirtieth!D106="", "",Thirtieth!D106)</f>
        <v/>
      </c>
      <c r="E7353" s="66" t="str">
        <f>IF(Thirtieth!E106="", "",Thirtieth!E106)</f>
        <v/>
      </c>
      <c r="F7353" s="66" t="str">
        <f>IF(Thirtieth!F106="", "",Thirtieth!F106)</f>
        <v/>
      </c>
      <c r="G7353" s="66" t="str">
        <f>IF(Thirtieth!G106="", "",Thirtieth!G106)</f>
        <v/>
      </c>
      <c r="H7353" s="66" t="str">
        <f>IF(Thirtieth!H106="", "",Thirtieth!H106)</f>
        <v/>
      </c>
      <c r="I7353" s="66" t="str">
        <f>IF(Thirtieth!I106="", "",Thirtieth!I106)</f>
        <v/>
      </c>
      <c r="J7353" s="66" t="str">
        <f>IF(Thirtieth!J106="", "",Thirtieth!J106)</f>
        <v/>
      </c>
      <c r="K7353" s="86" t="str">
        <f>IF(Thirtieth!K106="", "",Thirtieth!K106)</f>
        <v/>
      </c>
      <c r="M7353" s="67" t="str">
        <f t="shared" si="347"/>
        <v/>
      </c>
      <c r="N7353" s="76" t="str">
        <f t="shared" si="348"/>
        <v/>
      </c>
      <c r="O7353" s="33">
        <f t="shared" si="349"/>
        <v>0</v>
      </c>
    </row>
    <row r="7354" spans="1:15" x14ac:dyDescent="0.25">
      <c r="A7354" s="64" t="s">
        <v>196</v>
      </c>
      <c r="B7354" s="79" t="str">
        <f>IF(Thirtieth!B107="", "",Thirtieth!B107)</f>
        <v/>
      </c>
      <c r="C7354" s="66" t="str">
        <f>IF(Thirtieth!C107="", "",Thirtieth!C107)</f>
        <v/>
      </c>
      <c r="D7354" s="66" t="str">
        <f>IF(Thirtieth!D107="", "",Thirtieth!D107)</f>
        <v/>
      </c>
      <c r="E7354" s="66" t="str">
        <f>IF(Thirtieth!E107="", "",Thirtieth!E107)</f>
        <v/>
      </c>
      <c r="F7354" s="66" t="str">
        <f>IF(Thirtieth!F107="", "",Thirtieth!F107)</f>
        <v/>
      </c>
      <c r="G7354" s="66" t="str">
        <f>IF(Thirtieth!G107="", "",Thirtieth!G107)</f>
        <v/>
      </c>
      <c r="H7354" s="66" t="str">
        <f>IF(Thirtieth!H107="", "",Thirtieth!H107)</f>
        <v/>
      </c>
      <c r="I7354" s="66" t="str">
        <f>IF(Thirtieth!I107="", "",Thirtieth!I107)</f>
        <v/>
      </c>
      <c r="J7354" s="66" t="str">
        <f>IF(Thirtieth!J107="", "",Thirtieth!J107)</f>
        <v/>
      </c>
      <c r="K7354" s="86" t="str">
        <f>IF(Thirtieth!K107="", "",Thirtieth!K107)</f>
        <v/>
      </c>
      <c r="M7354" s="67" t="str">
        <f t="shared" si="347"/>
        <v/>
      </c>
      <c r="N7354" s="76" t="str">
        <f t="shared" si="348"/>
        <v/>
      </c>
      <c r="O7354" s="33">
        <f t="shared" si="349"/>
        <v>0</v>
      </c>
    </row>
    <row r="7355" spans="1:15" x14ac:dyDescent="0.25">
      <c r="A7355" s="64" t="s">
        <v>196</v>
      </c>
      <c r="B7355" s="79" t="str">
        <f>IF(Thirtieth!B108="", "",Thirtieth!B108)</f>
        <v/>
      </c>
      <c r="C7355" s="66" t="str">
        <f>IF(Thirtieth!C108="", "",Thirtieth!C108)</f>
        <v/>
      </c>
      <c r="D7355" s="66" t="str">
        <f>IF(Thirtieth!D108="", "",Thirtieth!D108)</f>
        <v/>
      </c>
      <c r="E7355" s="66" t="str">
        <f>IF(Thirtieth!E108="", "",Thirtieth!E108)</f>
        <v/>
      </c>
      <c r="F7355" s="66" t="str">
        <f>IF(Thirtieth!F108="", "",Thirtieth!F108)</f>
        <v/>
      </c>
      <c r="G7355" s="66" t="str">
        <f>IF(Thirtieth!G108="", "",Thirtieth!G108)</f>
        <v/>
      </c>
      <c r="H7355" s="66" t="str">
        <f>IF(Thirtieth!H108="", "",Thirtieth!H108)</f>
        <v/>
      </c>
      <c r="I7355" s="66" t="str">
        <f>IF(Thirtieth!I108="", "",Thirtieth!I108)</f>
        <v/>
      </c>
      <c r="J7355" s="66" t="str">
        <f>IF(Thirtieth!J108="", "",Thirtieth!J108)</f>
        <v/>
      </c>
      <c r="K7355" s="86" t="str">
        <f>IF(Thirtieth!K108="", "",Thirtieth!K108)</f>
        <v/>
      </c>
      <c r="M7355" s="67" t="str">
        <f t="shared" si="347"/>
        <v/>
      </c>
      <c r="N7355" s="76" t="str">
        <f t="shared" si="348"/>
        <v/>
      </c>
      <c r="O7355" s="33">
        <f t="shared" si="349"/>
        <v>0</v>
      </c>
    </row>
    <row r="7356" spans="1:15" x14ac:dyDescent="0.25">
      <c r="A7356" s="64" t="s">
        <v>196</v>
      </c>
      <c r="B7356" s="79" t="str">
        <f>IF(Thirtieth!B109="", "",Thirtieth!B109)</f>
        <v/>
      </c>
      <c r="C7356" s="66" t="str">
        <f>IF(Thirtieth!C109="", "",Thirtieth!C109)</f>
        <v/>
      </c>
      <c r="D7356" s="66" t="str">
        <f>IF(Thirtieth!D109="", "",Thirtieth!D109)</f>
        <v/>
      </c>
      <c r="E7356" s="66" t="str">
        <f>IF(Thirtieth!E109="", "",Thirtieth!E109)</f>
        <v/>
      </c>
      <c r="F7356" s="66" t="str">
        <f>IF(Thirtieth!F109="", "",Thirtieth!F109)</f>
        <v/>
      </c>
      <c r="G7356" s="66" t="str">
        <f>IF(Thirtieth!G109="", "",Thirtieth!G109)</f>
        <v/>
      </c>
      <c r="H7356" s="66" t="str">
        <f>IF(Thirtieth!H109="", "",Thirtieth!H109)</f>
        <v/>
      </c>
      <c r="I7356" s="66" t="str">
        <f>IF(Thirtieth!I109="", "",Thirtieth!I109)</f>
        <v/>
      </c>
      <c r="J7356" s="66" t="str">
        <f>IF(Thirtieth!J109="", "",Thirtieth!J109)</f>
        <v/>
      </c>
      <c r="K7356" s="86" t="str">
        <f>IF(Thirtieth!K109="", "",Thirtieth!K109)</f>
        <v/>
      </c>
      <c r="M7356" s="67" t="str">
        <f t="shared" si="347"/>
        <v/>
      </c>
      <c r="N7356" s="76" t="str">
        <f t="shared" si="348"/>
        <v/>
      </c>
      <c r="O7356" s="33">
        <f t="shared" si="349"/>
        <v>0</v>
      </c>
    </row>
    <row r="7357" spans="1:15" x14ac:dyDescent="0.25">
      <c r="A7357" s="64" t="s">
        <v>196</v>
      </c>
      <c r="B7357" s="79" t="str">
        <f>IF(Thirtieth!B110="", "",Thirtieth!B110)</f>
        <v/>
      </c>
      <c r="C7357" s="66" t="str">
        <f>IF(Thirtieth!C110="", "",Thirtieth!C110)</f>
        <v/>
      </c>
      <c r="D7357" s="66" t="str">
        <f>IF(Thirtieth!D110="", "",Thirtieth!D110)</f>
        <v/>
      </c>
      <c r="E7357" s="66" t="str">
        <f>IF(Thirtieth!E110="", "",Thirtieth!E110)</f>
        <v/>
      </c>
      <c r="F7357" s="66" t="str">
        <f>IF(Thirtieth!F110="", "",Thirtieth!F110)</f>
        <v/>
      </c>
      <c r="G7357" s="66" t="str">
        <f>IF(Thirtieth!G110="", "",Thirtieth!G110)</f>
        <v/>
      </c>
      <c r="H7357" s="66" t="str">
        <f>IF(Thirtieth!H110="", "",Thirtieth!H110)</f>
        <v/>
      </c>
      <c r="I7357" s="66" t="str">
        <f>IF(Thirtieth!I110="", "",Thirtieth!I110)</f>
        <v/>
      </c>
      <c r="J7357" s="66" t="str">
        <f>IF(Thirtieth!J110="", "",Thirtieth!J110)</f>
        <v/>
      </c>
      <c r="K7357" s="86" t="str">
        <f>IF(Thirtieth!K110="", "",Thirtieth!K110)</f>
        <v/>
      </c>
      <c r="M7357" s="67" t="str">
        <f t="shared" si="347"/>
        <v/>
      </c>
      <c r="N7357" s="76" t="str">
        <f t="shared" si="348"/>
        <v/>
      </c>
      <c r="O7357" s="33">
        <f t="shared" si="349"/>
        <v>0</v>
      </c>
    </row>
    <row r="7358" spans="1:15" x14ac:dyDescent="0.25">
      <c r="A7358" s="64" t="s">
        <v>196</v>
      </c>
      <c r="B7358" s="79" t="str">
        <f>IF(Thirtieth!B111="", "",Thirtieth!B111)</f>
        <v/>
      </c>
      <c r="C7358" s="66" t="str">
        <f>IF(Thirtieth!C111="", "",Thirtieth!C111)</f>
        <v/>
      </c>
      <c r="D7358" s="66" t="str">
        <f>IF(Thirtieth!D111="", "",Thirtieth!D111)</f>
        <v/>
      </c>
      <c r="E7358" s="66" t="str">
        <f>IF(Thirtieth!E111="", "",Thirtieth!E111)</f>
        <v/>
      </c>
      <c r="F7358" s="66" t="str">
        <f>IF(Thirtieth!F111="", "",Thirtieth!F111)</f>
        <v/>
      </c>
      <c r="G7358" s="66" t="str">
        <f>IF(Thirtieth!G111="", "",Thirtieth!G111)</f>
        <v/>
      </c>
      <c r="H7358" s="66" t="str">
        <f>IF(Thirtieth!H111="", "",Thirtieth!H111)</f>
        <v/>
      </c>
      <c r="I7358" s="66" t="str">
        <f>IF(Thirtieth!I111="", "",Thirtieth!I111)</f>
        <v/>
      </c>
      <c r="J7358" s="66" t="str">
        <f>IF(Thirtieth!J111="", "",Thirtieth!J111)</f>
        <v/>
      </c>
      <c r="K7358" s="86" t="str">
        <f>IF(Thirtieth!K111="", "",Thirtieth!K111)</f>
        <v/>
      </c>
      <c r="M7358" s="67" t="str">
        <f t="shared" si="347"/>
        <v/>
      </c>
      <c r="N7358" s="76" t="str">
        <f t="shared" si="348"/>
        <v/>
      </c>
      <c r="O7358" s="33">
        <f t="shared" si="349"/>
        <v>0</v>
      </c>
    </row>
    <row r="7359" spans="1:15" x14ac:dyDescent="0.25">
      <c r="A7359" s="64" t="s">
        <v>196</v>
      </c>
      <c r="B7359" s="79" t="str">
        <f>IF(Thirtieth!B112="", "",Thirtieth!B112)</f>
        <v/>
      </c>
      <c r="C7359" s="66" t="str">
        <f>IF(Thirtieth!C112="", "",Thirtieth!C112)</f>
        <v/>
      </c>
      <c r="D7359" s="66" t="str">
        <f>IF(Thirtieth!D112="", "",Thirtieth!D112)</f>
        <v/>
      </c>
      <c r="E7359" s="66" t="str">
        <f>IF(Thirtieth!E112="", "",Thirtieth!E112)</f>
        <v/>
      </c>
      <c r="F7359" s="66" t="str">
        <f>IF(Thirtieth!F112="", "",Thirtieth!F112)</f>
        <v/>
      </c>
      <c r="G7359" s="66" t="str">
        <f>IF(Thirtieth!G112="", "",Thirtieth!G112)</f>
        <v/>
      </c>
      <c r="H7359" s="66" t="str">
        <f>IF(Thirtieth!H112="", "",Thirtieth!H112)</f>
        <v/>
      </c>
      <c r="I7359" s="66" t="str">
        <f>IF(Thirtieth!I112="", "",Thirtieth!I112)</f>
        <v/>
      </c>
      <c r="J7359" s="66" t="str">
        <f>IF(Thirtieth!J112="", "",Thirtieth!J112)</f>
        <v/>
      </c>
      <c r="K7359" s="86" t="str">
        <f>IF(Thirtieth!K112="", "",Thirtieth!K112)</f>
        <v/>
      </c>
      <c r="M7359" s="67" t="str">
        <f t="shared" ref="M7359:M7422" si="350">IF(C7359="PwC",(7-COUNTIF(B7359:H7359,"")),"")</f>
        <v/>
      </c>
      <c r="N7359" s="76" t="str">
        <f t="shared" ref="N7359:N7422" si="351">IF(C7359="Carer",(7-COUNTIF(B7359:H7359,"")),"")</f>
        <v/>
      </c>
      <c r="O7359" s="33">
        <f t="shared" si="349"/>
        <v>0</v>
      </c>
    </row>
    <row r="7360" spans="1:15" x14ac:dyDescent="0.25">
      <c r="A7360" s="64" t="s">
        <v>196</v>
      </c>
      <c r="B7360" s="79" t="str">
        <f>IF(Thirtieth!B113="", "",Thirtieth!B113)</f>
        <v/>
      </c>
      <c r="C7360" s="66" t="str">
        <f>IF(Thirtieth!C113="", "",Thirtieth!C113)</f>
        <v/>
      </c>
      <c r="D7360" s="66" t="str">
        <f>IF(Thirtieth!D113="", "",Thirtieth!D113)</f>
        <v/>
      </c>
      <c r="E7360" s="66" t="str">
        <f>IF(Thirtieth!E113="", "",Thirtieth!E113)</f>
        <v/>
      </c>
      <c r="F7360" s="66" t="str">
        <f>IF(Thirtieth!F113="", "",Thirtieth!F113)</f>
        <v/>
      </c>
      <c r="G7360" s="66" t="str">
        <f>IF(Thirtieth!G113="", "",Thirtieth!G113)</f>
        <v/>
      </c>
      <c r="H7360" s="66" t="str">
        <f>IF(Thirtieth!H113="", "",Thirtieth!H113)</f>
        <v/>
      </c>
      <c r="I7360" s="66" t="str">
        <f>IF(Thirtieth!I113="", "",Thirtieth!I113)</f>
        <v/>
      </c>
      <c r="J7360" s="66" t="str">
        <f>IF(Thirtieth!J113="", "",Thirtieth!J113)</f>
        <v/>
      </c>
      <c r="K7360" s="86" t="str">
        <f>IF(Thirtieth!K113="", "",Thirtieth!K113)</f>
        <v/>
      </c>
      <c r="M7360" s="67" t="str">
        <f t="shared" si="350"/>
        <v/>
      </c>
      <c r="N7360" s="76" t="str">
        <f t="shared" si="351"/>
        <v/>
      </c>
      <c r="O7360" s="33">
        <f t="shared" si="349"/>
        <v>0</v>
      </c>
    </row>
    <row r="7361" spans="1:15" x14ac:dyDescent="0.25">
      <c r="A7361" s="64" t="s">
        <v>196</v>
      </c>
      <c r="B7361" s="79" t="str">
        <f>IF(Thirtieth!B114="", "",Thirtieth!B114)</f>
        <v/>
      </c>
      <c r="C7361" s="66" t="str">
        <f>IF(Thirtieth!C114="", "",Thirtieth!C114)</f>
        <v/>
      </c>
      <c r="D7361" s="66" t="str">
        <f>IF(Thirtieth!D114="", "",Thirtieth!D114)</f>
        <v/>
      </c>
      <c r="E7361" s="66" t="str">
        <f>IF(Thirtieth!E114="", "",Thirtieth!E114)</f>
        <v/>
      </c>
      <c r="F7361" s="66" t="str">
        <f>IF(Thirtieth!F114="", "",Thirtieth!F114)</f>
        <v/>
      </c>
      <c r="G7361" s="66" t="str">
        <f>IF(Thirtieth!G114="", "",Thirtieth!G114)</f>
        <v/>
      </c>
      <c r="H7361" s="66" t="str">
        <f>IF(Thirtieth!H114="", "",Thirtieth!H114)</f>
        <v/>
      </c>
      <c r="I7361" s="66" t="str">
        <f>IF(Thirtieth!I114="", "",Thirtieth!I114)</f>
        <v/>
      </c>
      <c r="J7361" s="66" t="str">
        <f>IF(Thirtieth!J114="", "",Thirtieth!J114)</f>
        <v/>
      </c>
      <c r="K7361" s="86" t="str">
        <f>IF(Thirtieth!K114="", "",Thirtieth!K114)</f>
        <v/>
      </c>
      <c r="M7361" s="67" t="str">
        <f t="shared" si="350"/>
        <v/>
      </c>
      <c r="N7361" s="76" t="str">
        <f t="shared" si="351"/>
        <v/>
      </c>
      <c r="O7361" s="33">
        <f t="shared" si="349"/>
        <v>0</v>
      </c>
    </row>
    <row r="7362" spans="1:15" x14ac:dyDescent="0.25">
      <c r="A7362" s="64" t="s">
        <v>196</v>
      </c>
      <c r="B7362" s="79" t="str">
        <f>IF(Thirtieth!B115="", "",Thirtieth!B115)</f>
        <v/>
      </c>
      <c r="C7362" s="66" t="str">
        <f>IF(Thirtieth!C115="", "",Thirtieth!C115)</f>
        <v/>
      </c>
      <c r="D7362" s="66" t="str">
        <f>IF(Thirtieth!D115="", "",Thirtieth!D115)</f>
        <v/>
      </c>
      <c r="E7362" s="66" t="str">
        <f>IF(Thirtieth!E115="", "",Thirtieth!E115)</f>
        <v/>
      </c>
      <c r="F7362" s="66" t="str">
        <f>IF(Thirtieth!F115="", "",Thirtieth!F115)</f>
        <v/>
      </c>
      <c r="G7362" s="66" t="str">
        <f>IF(Thirtieth!G115="", "",Thirtieth!G115)</f>
        <v/>
      </c>
      <c r="H7362" s="66" t="str">
        <f>IF(Thirtieth!H115="", "",Thirtieth!H115)</f>
        <v/>
      </c>
      <c r="I7362" s="66" t="str">
        <f>IF(Thirtieth!I115="", "",Thirtieth!I115)</f>
        <v/>
      </c>
      <c r="J7362" s="66" t="str">
        <f>IF(Thirtieth!J115="", "",Thirtieth!J115)</f>
        <v/>
      </c>
      <c r="K7362" s="86" t="str">
        <f>IF(Thirtieth!K115="", "",Thirtieth!K115)</f>
        <v/>
      </c>
      <c r="M7362" s="67" t="str">
        <f t="shared" si="350"/>
        <v/>
      </c>
      <c r="N7362" s="76" t="str">
        <f t="shared" si="351"/>
        <v/>
      </c>
      <c r="O7362" s="33">
        <f t="shared" si="349"/>
        <v>0</v>
      </c>
    </row>
    <row r="7363" spans="1:15" x14ac:dyDescent="0.25">
      <c r="A7363" s="64" t="s">
        <v>196</v>
      </c>
      <c r="B7363" s="79" t="str">
        <f>IF(Thirtieth!B116="", "",Thirtieth!B116)</f>
        <v/>
      </c>
      <c r="C7363" s="66" t="str">
        <f>IF(Thirtieth!C116="", "",Thirtieth!C116)</f>
        <v/>
      </c>
      <c r="D7363" s="66" t="str">
        <f>IF(Thirtieth!D116="", "",Thirtieth!D116)</f>
        <v/>
      </c>
      <c r="E7363" s="66" t="str">
        <f>IF(Thirtieth!E116="", "",Thirtieth!E116)</f>
        <v/>
      </c>
      <c r="F7363" s="66" t="str">
        <f>IF(Thirtieth!F116="", "",Thirtieth!F116)</f>
        <v/>
      </c>
      <c r="G7363" s="66" t="str">
        <f>IF(Thirtieth!G116="", "",Thirtieth!G116)</f>
        <v/>
      </c>
      <c r="H7363" s="66" t="str">
        <f>IF(Thirtieth!H116="", "",Thirtieth!H116)</f>
        <v/>
      </c>
      <c r="I7363" s="66" t="str">
        <f>IF(Thirtieth!I116="", "",Thirtieth!I116)</f>
        <v/>
      </c>
      <c r="J7363" s="66" t="str">
        <f>IF(Thirtieth!J116="", "",Thirtieth!J116)</f>
        <v/>
      </c>
      <c r="K7363" s="86" t="str">
        <f>IF(Thirtieth!K116="", "",Thirtieth!K116)</f>
        <v/>
      </c>
      <c r="M7363" s="67" t="str">
        <f t="shared" si="350"/>
        <v/>
      </c>
      <c r="N7363" s="76" t="str">
        <f t="shared" si="351"/>
        <v/>
      </c>
      <c r="O7363" s="33">
        <f t="shared" si="349"/>
        <v>0</v>
      </c>
    </row>
    <row r="7364" spans="1:15" x14ac:dyDescent="0.25">
      <c r="A7364" s="64" t="s">
        <v>196</v>
      </c>
      <c r="B7364" s="79" t="str">
        <f>IF(Thirtieth!B117="", "",Thirtieth!B117)</f>
        <v/>
      </c>
      <c r="C7364" s="66" t="str">
        <f>IF(Thirtieth!C117="", "",Thirtieth!C117)</f>
        <v/>
      </c>
      <c r="D7364" s="66" t="str">
        <f>IF(Thirtieth!D117="", "",Thirtieth!D117)</f>
        <v/>
      </c>
      <c r="E7364" s="66" t="str">
        <f>IF(Thirtieth!E117="", "",Thirtieth!E117)</f>
        <v/>
      </c>
      <c r="F7364" s="66" t="str">
        <f>IF(Thirtieth!F117="", "",Thirtieth!F117)</f>
        <v/>
      </c>
      <c r="G7364" s="66" t="str">
        <f>IF(Thirtieth!G117="", "",Thirtieth!G117)</f>
        <v/>
      </c>
      <c r="H7364" s="66" t="str">
        <f>IF(Thirtieth!H117="", "",Thirtieth!H117)</f>
        <v/>
      </c>
      <c r="I7364" s="66" t="str">
        <f>IF(Thirtieth!I117="", "",Thirtieth!I117)</f>
        <v/>
      </c>
      <c r="J7364" s="66" t="str">
        <f>IF(Thirtieth!J117="", "",Thirtieth!J117)</f>
        <v/>
      </c>
      <c r="K7364" s="86" t="str">
        <f>IF(Thirtieth!K117="", "",Thirtieth!K117)</f>
        <v/>
      </c>
      <c r="M7364" s="67" t="str">
        <f t="shared" si="350"/>
        <v/>
      </c>
      <c r="N7364" s="76" t="str">
        <f t="shared" si="351"/>
        <v/>
      </c>
      <c r="O7364" s="33">
        <f t="shared" si="349"/>
        <v>0</v>
      </c>
    </row>
    <row r="7365" spans="1:15" x14ac:dyDescent="0.25">
      <c r="A7365" s="64" t="s">
        <v>196</v>
      </c>
      <c r="B7365" s="79" t="str">
        <f>IF(Thirtieth!B118="", "",Thirtieth!B118)</f>
        <v/>
      </c>
      <c r="C7365" s="66" t="str">
        <f>IF(Thirtieth!C118="", "",Thirtieth!C118)</f>
        <v/>
      </c>
      <c r="D7365" s="66" t="str">
        <f>IF(Thirtieth!D118="", "",Thirtieth!D118)</f>
        <v/>
      </c>
      <c r="E7365" s="66" t="str">
        <f>IF(Thirtieth!E118="", "",Thirtieth!E118)</f>
        <v/>
      </c>
      <c r="F7365" s="66" t="str">
        <f>IF(Thirtieth!F118="", "",Thirtieth!F118)</f>
        <v/>
      </c>
      <c r="G7365" s="66" t="str">
        <f>IF(Thirtieth!G118="", "",Thirtieth!G118)</f>
        <v/>
      </c>
      <c r="H7365" s="66" t="str">
        <f>IF(Thirtieth!H118="", "",Thirtieth!H118)</f>
        <v/>
      </c>
      <c r="I7365" s="66" t="str">
        <f>IF(Thirtieth!I118="", "",Thirtieth!I118)</f>
        <v/>
      </c>
      <c r="J7365" s="66" t="str">
        <f>IF(Thirtieth!J118="", "",Thirtieth!J118)</f>
        <v/>
      </c>
      <c r="K7365" s="86" t="str">
        <f>IF(Thirtieth!K118="", "",Thirtieth!K118)</f>
        <v/>
      </c>
      <c r="M7365" s="67" t="str">
        <f t="shared" si="350"/>
        <v/>
      </c>
      <c r="N7365" s="76" t="str">
        <f t="shared" si="351"/>
        <v/>
      </c>
      <c r="O7365" s="33">
        <f t="shared" si="349"/>
        <v>0</v>
      </c>
    </row>
    <row r="7366" spans="1:15" x14ac:dyDescent="0.25">
      <c r="A7366" s="64" t="s">
        <v>196</v>
      </c>
      <c r="B7366" s="79" t="str">
        <f>IF(Thirtieth!B119="", "",Thirtieth!B119)</f>
        <v/>
      </c>
      <c r="C7366" s="66" t="str">
        <f>IF(Thirtieth!C119="", "",Thirtieth!C119)</f>
        <v/>
      </c>
      <c r="D7366" s="66" t="str">
        <f>IF(Thirtieth!D119="", "",Thirtieth!D119)</f>
        <v/>
      </c>
      <c r="E7366" s="66" t="str">
        <f>IF(Thirtieth!E119="", "",Thirtieth!E119)</f>
        <v/>
      </c>
      <c r="F7366" s="66" t="str">
        <f>IF(Thirtieth!F119="", "",Thirtieth!F119)</f>
        <v/>
      </c>
      <c r="G7366" s="66" t="str">
        <f>IF(Thirtieth!G119="", "",Thirtieth!G119)</f>
        <v/>
      </c>
      <c r="H7366" s="66" t="str">
        <f>IF(Thirtieth!H119="", "",Thirtieth!H119)</f>
        <v/>
      </c>
      <c r="I7366" s="66" t="str">
        <f>IF(Thirtieth!I119="", "",Thirtieth!I119)</f>
        <v/>
      </c>
      <c r="J7366" s="66" t="str">
        <f>IF(Thirtieth!J119="", "",Thirtieth!J119)</f>
        <v/>
      </c>
      <c r="K7366" s="86" t="str">
        <f>IF(Thirtieth!K119="", "",Thirtieth!K119)</f>
        <v/>
      </c>
      <c r="M7366" s="67" t="str">
        <f t="shared" si="350"/>
        <v/>
      </c>
      <c r="N7366" s="76" t="str">
        <f t="shared" si="351"/>
        <v/>
      </c>
      <c r="O7366" s="33">
        <f t="shared" si="349"/>
        <v>0</v>
      </c>
    </row>
    <row r="7367" spans="1:15" x14ac:dyDescent="0.25">
      <c r="A7367" s="64" t="s">
        <v>196</v>
      </c>
      <c r="B7367" s="79" t="str">
        <f>IF(Thirtieth!B120="", "",Thirtieth!B120)</f>
        <v/>
      </c>
      <c r="C7367" s="66" t="str">
        <f>IF(Thirtieth!C120="", "",Thirtieth!C120)</f>
        <v/>
      </c>
      <c r="D7367" s="66" t="str">
        <f>IF(Thirtieth!D120="", "",Thirtieth!D120)</f>
        <v/>
      </c>
      <c r="E7367" s="66" t="str">
        <f>IF(Thirtieth!E120="", "",Thirtieth!E120)</f>
        <v/>
      </c>
      <c r="F7367" s="66" t="str">
        <f>IF(Thirtieth!F120="", "",Thirtieth!F120)</f>
        <v/>
      </c>
      <c r="G7367" s="66" t="str">
        <f>IF(Thirtieth!G120="", "",Thirtieth!G120)</f>
        <v/>
      </c>
      <c r="H7367" s="66" t="str">
        <f>IF(Thirtieth!H120="", "",Thirtieth!H120)</f>
        <v/>
      </c>
      <c r="I7367" s="66" t="str">
        <f>IF(Thirtieth!I120="", "",Thirtieth!I120)</f>
        <v/>
      </c>
      <c r="J7367" s="66" t="str">
        <f>IF(Thirtieth!J120="", "",Thirtieth!J120)</f>
        <v/>
      </c>
      <c r="K7367" s="86" t="str">
        <f>IF(Thirtieth!K120="", "",Thirtieth!K120)</f>
        <v/>
      </c>
      <c r="M7367" s="67" t="str">
        <f t="shared" si="350"/>
        <v/>
      </c>
      <c r="N7367" s="76" t="str">
        <f t="shared" si="351"/>
        <v/>
      </c>
      <c r="O7367" s="33">
        <f t="shared" si="349"/>
        <v>0</v>
      </c>
    </row>
    <row r="7368" spans="1:15" x14ac:dyDescent="0.25">
      <c r="A7368" s="64" t="s">
        <v>196</v>
      </c>
      <c r="B7368" s="79" t="str">
        <f>IF(Thirtieth!B121="", "",Thirtieth!B121)</f>
        <v/>
      </c>
      <c r="C7368" s="66" t="str">
        <f>IF(Thirtieth!C121="", "",Thirtieth!C121)</f>
        <v/>
      </c>
      <c r="D7368" s="66" t="str">
        <f>IF(Thirtieth!D121="", "",Thirtieth!D121)</f>
        <v/>
      </c>
      <c r="E7368" s="66" t="str">
        <f>IF(Thirtieth!E121="", "",Thirtieth!E121)</f>
        <v/>
      </c>
      <c r="F7368" s="66" t="str">
        <f>IF(Thirtieth!F121="", "",Thirtieth!F121)</f>
        <v/>
      </c>
      <c r="G7368" s="66" t="str">
        <f>IF(Thirtieth!G121="", "",Thirtieth!G121)</f>
        <v/>
      </c>
      <c r="H7368" s="66" t="str">
        <f>IF(Thirtieth!H121="", "",Thirtieth!H121)</f>
        <v/>
      </c>
      <c r="I7368" s="66" t="str">
        <f>IF(Thirtieth!I121="", "",Thirtieth!I121)</f>
        <v/>
      </c>
      <c r="J7368" s="66" t="str">
        <f>IF(Thirtieth!J121="", "",Thirtieth!J121)</f>
        <v/>
      </c>
      <c r="K7368" s="86" t="str">
        <f>IF(Thirtieth!K121="", "",Thirtieth!K121)</f>
        <v/>
      </c>
      <c r="M7368" s="67" t="str">
        <f t="shared" si="350"/>
        <v/>
      </c>
      <c r="N7368" s="76" t="str">
        <f t="shared" si="351"/>
        <v/>
      </c>
      <c r="O7368" s="33">
        <f t="shared" si="349"/>
        <v>0</v>
      </c>
    </row>
    <row r="7369" spans="1:15" x14ac:dyDescent="0.25">
      <c r="A7369" s="64" t="s">
        <v>196</v>
      </c>
      <c r="B7369" s="79" t="str">
        <f>IF(Thirtieth!B122="", "",Thirtieth!B122)</f>
        <v/>
      </c>
      <c r="C7369" s="66" t="str">
        <f>IF(Thirtieth!C122="", "",Thirtieth!C122)</f>
        <v/>
      </c>
      <c r="D7369" s="66" t="str">
        <f>IF(Thirtieth!D122="", "",Thirtieth!D122)</f>
        <v/>
      </c>
      <c r="E7369" s="66" t="str">
        <f>IF(Thirtieth!E122="", "",Thirtieth!E122)</f>
        <v/>
      </c>
      <c r="F7369" s="66" t="str">
        <f>IF(Thirtieth!F122="", "",Thirtieth!F122)</f>
        <v/>
      </c>
      <c r="G7369" s="66" t="str">
        <f>IF(Thirtieth!G122="", "",Thirtieth!G122)</f>
        <v/>
      </c>
      <c r="H7369" s="66" t="str">
        <f>IF(Thirtieth!H122="", "",Thirtieth!H122)</f>
        <v/>
      </c>
      <c r="I7369" s="66" t="str">
        <f>IF(Thirtieth!I122="", "",Thirtieth!I122)</f>
        <v/>
      </c>
      <c r="J7369" s="66" t="str">
        <f>IF(Thirtieth!J122="", "",Thirtieth!J122)</f>
        <v/>
      </c>
      <c r="K7369" s="86" t="str">
        <f>IF(Thirtieth!K122="", "",Thirtieth!K122)</f>
        <v/>
      </c>
      <c r="M7369" s="67" t="str">
        <f t="shared" si="350"/>
        <v/>
      </c>
      <c r="N7369" s="76" t="str">
        <f t="shared" si="351"/>
        <v/>
      </c>
      <c r="O7369" s="33">
        <f t="shared" si="349"/>
        <v>0</v>
      </c>
    </row>
    <row r="7370" spans="1:15" x14ac:dyDescent="0.25">
      <c r="A7370" s="64" t="s">
        <v>196</v>
      </c>
      <c r="B7370" s="79" t="str">
        <f>IF(Thirtieth!B123="", "",Thirtieth!B123)</f>
        <v/>
      </c>
      <c r="C7370" s="66" t="str">
        <f>IF(Thirtieth!C123="", "",Thirtieth!C123)</f>
        <v/>
      </c>
      <c r="D7370" s="66" t="str">
        <f>IF(Thirtieth!D123="", "",Thirtieth!D123)</f>
        <v/>
      </c>
      <c r="E7370" s="66" t="str">
        <f>IF(Thirtieth!E123="", "",Thirtieth!E123)</f>
        <v/>
      </c>
      <c r="F7370" s="66" t="str">
        <f>IF(Thirtieth!F123="", "",Thirtieth!F123)</f>
        <v/>
      </c>
      <c r="G7370" s="66" t="str">
        <f>IF(Thirtieth!G123="", "",Thirtieth!G123)</f>
        <v/>
      </c>
      <c r="H7370" s="66" t="str">
        <f>IF(Thirtieth!H123="", "",Thirtieth!H123)</f>
        <v/>
      </c>
      <c r="I7370" s="66" t="str">
        <f>IF(Thirtieth!I123="", "",Thirtieth!I123)</f>
        <v/>
      </c>
      <c r="J7370" s="66" t="str">
        <f>IF(Thirtieth!J123="", "",Thirtieth!J123)</f>
        <v/>
      </c>
      <c r="K7370" s="86" t="str">
        <f>IF(Thirtieth!K123="", "",Thirtieth!K123)</f>
        <v/>
      </c>
      <c r="M7370" s="67" t="str">
        <f t="shared" si="350"/>
        <v/>
      </c>
      <c r="N7370" s="76" t="str">
        <f t="shared" si="351"/>
        <v/>
      </c>
      <c r="O7370" s="33">
        <f t="shared" ref="O7370:O7433" si="352">SUM(M7370:N7370)</f>
        <v>0</v>
      </c>
    </row>
    <row r="7371" spans="1:15" x14ac:dyDescent="0.25">
      <c r="A7371" s="64" t="s">
        <v>196</v>
      </c>
      <c r="B7371" s="79" t="str">
        <f>IF(Thirtieth!B124="", "",Thirtieth!B124)</f>
        <v/>
      </c>
      <c r="C7371" s="66" t="str">
        <f>IF(Thirtieth!C124="", "",Thirtieth!C124)</f>
        <v/>
      </c>
      <c r="D7371" s="66" t="str">
        <f>IF(Thirtieth!D124="", "",Thirtieth!D124)</f>
        <v/>
      </c>
      <c r="E7371" s="66" t="str">
        <f>IF(Thirtieth!E124="", "",Thirtieth!E124)</f>
        <v/>
      </c>
      <c r="F7371" s="66" t="str">
        <f>IF(Thirtieth!F124="", "",Thirtieth!F124)</f>
        <v/>
      </c>
      <c r="G7371" s="66" t="str">
        <f>IF(Thirtieth!G124="", "",Thirtieth!G124)</f>
        <v/>
      </c>
      <c r="H7371" s="66" t="str">
        <f>IF(Thirtieth!H124="", "",Thirtieth!H124)</f>
        <v/>
      </c>
      <c r="I7371" s="66" t="str">
        <f>IF(Thirtieth!I124="", "",Thirtieth!I124)</f>
        <v/>
      </c>
      <c r="J7371" s="66" t="str">
        <f>IF(Thirtieth!J124="", "",Thirtieth!J124)</f>
        <v/>
      </c>
      <c r="K7371" s="86" t="str">
        <f>IF(Thirtieth!K124="", "",Thirtieth!K124)</f>
        <v/>
      </c>
      <c r="M7371" s="67" t="str">
        <f t="shared" si="350"/>
        <v/>
      </c>
      <c r="N7371" s="76" t="str">
        <f t="shared" si="351"/>
        <v/>
      </c>
      <c r="O7371" s="33">
        <f t="shared" si="352"/>
        <v>0</v>
      </c>
    </row>
    <row r="7372" spans="1:15" x14ac:dyDescent="0.25">
      <c r="A7372" s="64" t="s">
        <v>196</v>
      </c>
      <c r="B7372" s="79" t="str">
        <f>IF(Thirtieth!B125="", "",Thirtieth!B125)</f>
        <v/>
      </c>
      <c r="C7372" s="66" t="str">
        <f>IF(Thirtieth!C125="", "",Thirtieth!C125)</f>
        <v/>
      </c>
      <c r="D7372" s="66" t="str">
        <f>IF(Thirtieth!D125="", "",Thirtieth!D125)</f>
        <v/>
      </c>
      <c r="E7372" s="66" t="str">
        <f>IF(Thirtieth!E125="", "",Thirtieth!E125)</f>
        <v/>
      </c>
      <c r="F7372" s="66" t="str">
        <f>IF(Thirtieth!F125="", "",Thirtieth!F125)</f>
        <v/>
      </c>
      <c r="G7372" s="66" t="str">
        <f>IF(Thirtieth!G125="", "",Thirtieth!G125)</f>
        <v/>
      </c>
      <c r="H7372" s="66" t="str">
        <f>IF(Thirtieth!H125="", "",Thirtieth!H125)</f>
        <v/>
      </c>
      <c r="I7372" s="66" t="str">
        <f>IF(Thirtieth!I125="", "",Thirtieth!I125)</f>
        <v/>
      </c>
      <c r="J7372" s="66" t="str">
        <f>IF(Thirtieth!J125="", "",Thirtieth!J125)</f>
        <v/>
      </c>
      <c r="K7372" s="86" t="str">
        <f>IF(Thirtieth!K125="", "",Thirtieth!K125)</f>
        <v/>
      </c>
      <c r="M7372" s="67" t="str">
        <f t="shared" si="350"/>
        <v/>
      </c>
      <c r="N7372" s="76" t="str">
        <f t="shared" si="351"/>
        <v/>
      </c>
      <c r="O7372" s="33">
        <f t="shared" si="352"/>
        <v>0</v>
      </c>
    </row>
    <row r="7373" spans="1:15" x14ac:dyDescent="0.25">
      <c r="A7373" s="64" t="s">
        <v>196</v>
      </c>
      <c r="B7373" s="79" t="str">
        <f>IF(Thirtieth!B126="", "",Thirtieth!B126)</f>
        <v/>
      </c>
      <c r="C7373" s="66" t="str">
        <f>IF(Thirtieth!C126="", "",Thirtieth!C126)</f>
        <v/>
      </c>
      <c r="D7373" s="66" t="str">
        <f>IF(Thirtieth!D126="", "",Thirtieth!D126)</f>
        <v/>
      </c>
      <c r="E7373" s="66" t="str">
        <f>IF(Thirtieth!E126="", "",Thirtieth!E126)</f>
        <v/>
      </c>
      <c r="F7373" s="66" t="str">
        <f>IF(Thirtieth!F126="", "",Thirtieth!F126)</f>
        <v/>
      </c>
      <c r="G7373" s="66" t="str">
        <f>IF(Thirtieth!G126="", "",Thirtieth!G126)</f>
        <v/>
      </c>
      <c r="H7373" s="66" t="str">
        <f>IF(Thirtieth!H126="", "",Thirtieth!H126)</f>
        <v/>
      </c>
      <c r="I7373" s="66" t="str">
        <f>IF(Thirtieth!I126="", "",Thirtieth!I126)</f>
        <v/>
      </c>
      <c r="J7373" s="66" t="str">
        <f>IF(Thirtieth!J126="", "",Thirtieth!J126)</f>
        <v/>
      </c>
      <c r="K7373" s="86" t="str">
        <f>IF(Thirtieth!K126="", "",Thirtieth!K126)</f>
        <v/>
      </c>
      <c r="M7373" s="67" t="str">
        <f t="shared" si="350"/>
        <v/>
      </c>
      <c r="N7373" s="76" t="str">
        <f t="shared" si="351"/>
        <v/>
      </c>
      <c r="O7373" s="33">
        <f t="shared" si="352"/>
        <v>0</v>
      </c>
    </row>
    <row r="7374" spans="1:15" x14ac:dyDescent="0.25">
      <c r="A7374" s="64" t="s">
        <v>196</v>
      </c>
      <c r="B7374" s="79" t="str">
        <f>IF(Thirtieth!B127="", "",Thirtieth!B127)</f>
        <v/>
      </c>
      <c r="C7374" s="66" t="str">
        <f>IF(Thirtieth!C127="", "",Thirtieth!C127)</f>
        <v/>
      </c>
      <c r="D7374" s="66" t="str">
        <f>IF(Thirtieth!D127="", "",Thirtieth!D127)</f>
        <v/>
      </c>
      <c r="E7374" s="66" t="str">
        <f>IF(Thirtieth!E127="", "",Thirtieth!E127)</f>
        <v/>
      </c>
      <c r="F7374" s="66" t="str">
        <f>IF(Thirtieth!F127="", "",Thirtieth!F127)</f>
        <v/>
      </c>
      <c r="G7374" s="66" t="str">
        <f>IF(Thirtieth!G127="", "",Thirtieth!G127)</f>
        <v/>
      </c>
      <c r="H7374" s="66" t="str">
        <f>IF(Thirtieth!H127="", "",Thirtieth!H127)</f>
        <v/>
      </c>
      <c r="I7374" s="66" t="str">
        <f>IF(Thirtieth!I127="", "",Thirtieth!I127)</f>
        <v/>
      </c>
      <c r="J7374" s="66" t="str">
        <f>IF(Thirtieth!J127="", "",Thirtieth!J127)</f>
        <v/>
      </c>
      <c r="K7374" s="86" t="str">
        <f>IF(Thirtieth!K127="", "",Thirtieth!K127)</f>
        <v/>
      </c>
      <c r="M7374" s="67" t="str">
        <f t="shared" si="350"/>
        <v/>
      </c>
      <c r="N7374" s="76" t="str">
        <f t="shared" si="351"/>
        <v/>
      </c>
      <c r="O7374" s="33">
        <f t="shared" si="352"/>
        <v>0</v>
      </c>
    </row>
    <row r="7375" spans="1:15" x14ac:dyDescent="0.25">
      <c r="A7375" s="64" t="s">
        <v>196</v>
      </c>
      <c r="B7375" s="79" t="str">
        <f>IF(Thirtieth!B128="", "",Thirtieth!B128)</f>
        <v/>
      </c>
      <c r="C7375" s="66" t="str">
        <f>IF(Thirtieth!C128="", "",Thirtieth!C128)</f>
        <v/>
      </c>
      <c r="D7375" s="66" t="str">
        <f>IF(Thirtieth!D128="", "",Thirtieth!D128)</f>
        <v/>
      </c>
      <c r="E7375" s="66" t="str">
        <f>IF(Thirtieth!E128="", "",Thirtieth!E128)</f>
        <v/>
      </c>
      <c r="F7375" s="66" t="str">
        <f>IF(Thirtieth!F128="", "",Thirtieth!F128)</f>
        <v/>
      </c>
      <c r="G7375" s="66" t="str">
        <f>IF(Thirtieth!G128="", "",Thirtieth!G128)</f>
        <v/>
      </c>
      <c r="H7375" s="66" t="str">
        <f>IF(Thirtieth!H128="", "",Thirtieth!H128)</f>
        <v/>
      </c>
      <c r="I7375" s="66" t="str">
        <f>IF(Thirtieth!I128="", "",Thirtieth!I128)</f>
        <v/>
      </c>
      <c r="J7375" s="66" t="str">
        <f>IF(Thirtieth!J128="", "",Thirtieth!J128)</f>
        <v/>
      </c>
      <c r="K7375" s="86" t="str">
        <f>IF(Thirtieth!K128="", "",Thirtieth!K128)</f>
        <v/>
      </c>
      <c r="M7375" s="67" t="str">
        <f t="shared" si="350"/>
        <v/>
      </c>
      <c r="N7375" s="76" t="str">
        <f t="shared" si="351"/>
        <v/>
      </c>
      <c r="O7375" s="33">
        <f t="shared" si="352"/>
        <v>0</v>
      </c>
    </row>
    <row r="7376" spans="1:15" x14ac:dyDescent="0.25">
      <c r="A7376" s="64" t="s">
        <v>196</v>
      </c>
      <c r="B7376" s="79" t="str">
        <f>IF(Thirtieth!B129="", "",Thirtieth!B129)</f>
        <v/>
      </c>
      <c r="C7376" s="66" t="str">
        <f>IF(Thirtieth!C129="", "",Thirtieth!C129)</f>
        <v/>
      </c>
      <c r="D7376" s="66" t="str">
        <f>IF(Thirtieth!D129="", "",Thirtieth!D129)</f>
        <v/>
      </c>
      <c r="E7376" s="66" t="str">
        <f>IF(Thirtieth!E129="", "",Thirtieth!E129)</f>
        <v/>
      </c>
      <c r="F7376" s="66" t="str">
        <f>IF(Thirtieth!F129="", "",Thirtieth!F129)</f>
        <v/>
      </c>
      <c r="G7376" s="66" t="str">
        <f>IF(Thirtieth!G129="", "",Thirtieth!G129)</f>
        <v/>
      </c>
      <c r="H7376" s="66" t="str">
        <f>IF(Thirtieth!H129="", "",Thirtieth!H129)</f>
        <v/>
      </c>
      <c r="I7376" s="66" t="str">
        <f>IF(Thirtieth!I129="", "",Thirtieth!I129)</f>
        <v/>
      </c>
      <c r="J7376" s="66" t="str">
        <f>IF(Thirtieth!J129="", "",Thirtieth!J129)</f>
        <v/>
      </c>
      <c r="K7376" s="86" t="str">
        <f>IF(Thirtieth!K129="", "",Thirtieth!K129)</f>
        <v/>
      </c>
      <c r="M7376" s="67" t="str">
        <f t="shared" si="350"/>
        <v/>
      </c>
      <c r="N7376" s="76" t="str">
        <f t="shared" si="351"/>
        <v/>
      </c>
      <c r="O7376" s="33">
        <f t="shared" si="352"/>
        <v>0</v>
      </c>
    </row>
    <row r="7377" spans="1:15" x14ac:dyDescent="0.25">
      <c r="A7377" s="64" t="s">
        <v>196</v>
      </c>
      <c r="B7377" s="79" t="str">
        <f>IF(Thirtieth!B130="", "",Thirtieth!B130)</f>
        <v/>
      </c>
      <c r="C7377" s="66" t="str">
        <f>IF(Thirtieth!C130="", "",Thirtieth!C130)</f>
        <v/>
      </c>
      <c r="D7377" s="66" t="str">
        <f>IF(Thirtieth!D130="", "",Thirtieth!D130)</f>
        <v/>
      </c>
      <c r="E7377" s="66" t="str">
        <f>IF(Thirtieth!E130="", "",Thirtieth!E130)</f>
        <v/>
      </c>
      <c r="F7377" s="66" t="str">
        <f>IF(Thirtieth!F130="", "",Thirtieth!F130)</f>
        <v/>
      </c>
      <c r="G7377" s="66" t="str">
        <f>IF(Thirtieth!G130="", "",Thirtieth!G130)</f>
        <v/>
      </c>
      <c r="H7377" s="66" t="str">
        <f>IF(Thirtieth!H130="", "",Thirtieth!H130)</f>
        <v/>
      </c>
      <c r="I7377" s="66" t="str">
        <f>IF(Thirtieth!I130="", "",Thirtieth!I130)</f>
        <v/>
      </c>
      <c r="J7377" s="66" t="str">
        <f>IF(Thirtieth!J130="", "",Thirtieth!J130)</f>
        <v/>
      </c>
      <c r="K7377" s="86" t="str">
        <f>IF(Thirtieth!K130="", "",Thirtieth!K130)</f>
        <v/>
      </c>
      <c r="M7377" s="67" t="str">
        <f t="shared" si="350"/>
        <v/>
      </c>
      <c r="N7377" s="76" t="str">
        <f t="shared" si="351"/>
        <v/>
      </c>
      <c r="O7377" s="33">
        <f t="shared" si="352"/>
        <v>0</v>
      </c>
    </row>
    <row r="7378" spans="1:15" x14ac:dyDescent="0.25">
      <c r="A7378" s="64" t="s">
        <v>196</v>
      </c>
      <c r="B7378" s="79" t="str">
        <f>IF(Thirtieth!B131="", "",Thirtieth!B131)</f>
        <v/>
      </c>
      <c r="C7378" s="66" t="str">
        <f>IF(Thirtieth!C131="", "",Thirtieth!C131)</f>
        <v/>
      </c>
      <c r="D7378" s="66" t="str">
        <f>IF(Thirtieth!D131="", "",Thirtieth!D131)</f>
        <v/>
      </c>
      <c r="E7378" s="66" t="str">
        <f>IF(Thirtieth!E131="", "",Thirtieth!E131)</f>
        <v/>
      </c>
      <c r="F7378" s="66" t="str">
        <f>IF(Thirtieth!F131="", "",Thirtieth!F131)</f>
        <v/>
      </c>
      <c r="G7378" s="66" t="str">
        <f>IF(Thirtieth!G131="", "",Thirtieth!G131)</f>
        <v/>
      </c>
      <c r="H7378" s="66" t="str">
        <f>IF(Thirtieth!H131="", "",Thirtieth!H131)</f>
        <v/>
      </c>
      <c r="I7378" s="66" t="str">
        <f>IF(Thirtieth!I131="", "",Thirtieth!I131)</f>
        <v/>
      </c>
      <c r="J7378" s="66" t="str">
        <f>IF(Thirtieth!J131="", "",Thirtieth!J131)</f>
        <v/>
      </c>
      <c r="K7378" s="86" t="str">
        <f>IF(Thirtieth!K131="", "",Thirtieth!K131)</f>
        <v/>
      </c>
      <c r="M7378" s="67" t="str">
        <f t="shared" si="350"/>
        <v/>
      </c>
      <c r="N7378" s="76" t="str">
        <f t="shared" si="351"/>
        <v/>
      </c>
      <c r="O7378" s="33">
        <f t="shared" si="352"/>
        <v>0</v>
      </c>
    </row>
    <row r="7379" spans="1:15" x14ac:dyDescent="0.25">
      <c r="A7379" s="64" t="s">
        <v>196</v>
      </c>
      <c r="B7379" s="79" t="str">
        <f>IF(Thirtieth!B132="", "",Thirtieth!B132)</f>
        <v/>
      </c>
      <c r="C7379" s="66" t="str">
        <f>IF(Thirtieth!C132="", "",Thirtieth!C132)</f>
        <v/>
      </c>
      <c r="D7379" s="66" t="str">
        <f>IF(Thirtieth!D132="", "",Thirtieth!D132)</f>
        <v/>
      </c>
      <c r="E7379" s="66" t="str">
        <f>IF(Thirtieth!E132="", "",Thirtieth!E132)</f>
        <v/>
      </c>
      <c r="F7379" s="66" t="str">
        <f>IF(Thirtieth!F132="", "",Thirtieth!F132)</f>
        <v/>
      </c>
      <c r="G7379" s="66" t="str">
        <f>IF(Thirtieth!G132="", "",Thirtieth!G132)</f>
        <v/>
      </c>
      <c r="H7379" s="66" t="str">
        <f>IF(Thirtieth!H132="", "",Thirtieth!H132)</f>
        <v/>
      </c>
      <c r="I7379" s="66" t="str">
        <f>IF(Thirtieth!I132="", "",Thirtieth!I132)</f>
        <v/>
      </c>
      <c r="J7379" s="66" t="str">
        <f>IF(Thirtieth!J132="", "",Thirtieth!J132)</f>
        <v/>
      </c>
      <c r="K7379" s="86" t="str">
        <f>IF(Thirtieth!K132="", "",Thirtieth!K132)</f>
        <v/>
      </c>
      <c r="M7379" s="67" t="str">
        <f t="shared" si="350"/>
        <v/>
      </c>
      <c r="N7379" s="76" t="str">
        <f t="shared" si="351"/>
        <v/>
      </c>
      <c r="O7379" s="33">
        <f t="shared" si="352"/>
        <v>0</v>
      </c>
    </row>
    <row r="7380" spans="1:15" x14ac:dyDescent="0.25">
      <c r="A7380" s="64" t="s">
        <v>196</v>
      </c>
      <c r="B7380" s="79" t="str">
        <f>IF(Thirtieth!B133="", "",Thirtieth!B133)</f>
        <v/>
      </c>
      <c r="C7380" s="66" t="str">
        <f>IF(Thirtieth!C133="", "",Thirtieth!C133)</f>
        <v/>
      </c>
      <c r="D7380" s="66" t="str">
        <f>IF(Thirtieth!D133="", "",Thirtieth!D133)</f>
        <v/>
      </c>
      <c r="E7380" s="66" t="str">
        <f>IF(Thirtieth!E133="", "",Thirtieth!E133)</f>
        <v/>
      </c>
      <c r="F7380" s="66" t="str">
        <f>IF(Thirtieth!F133="", "",Thirtieth!F133)</f>
        <v/>
      </c>
      <c r="G7380" s="66" t="str">
        <f>IF(Thirtieth!G133="", "",Thirtieth!G133)</f>
        <v/>
      </c>
      <c r="H7380" s="66" t="str">
        <f>IF(Thirtieth!H133="", "",Thirtieth!H133)</f>
        <v/>
      </c>
      <c r="I7380" s="66" t="str">
        <f>IF(Thirtieth!I133="", "",Thirtieth!I133)</f>
        <v/>
      </c>
      <c r="J7380" s="66" t="str">
        <f>IF(Thirtieth!J133="", "",Thirtieth!J133)</f>
        <v/>
      </c>
      <c r="K7380" s="86" t="str">
        <f>IF(Thirtieth!K133="", "",Thirtieth!K133)</f>
        <v/>
      </c>
      <c r="M7380" s="67" t="str">
        <f t="shared" si="350"/>
        <v/>
      </c>
      <c r="N7380" s="76" t="str">
        <f t="shared" si="351"/>
        <v/>
      </c>
      <c r="O7380" s="33">
        <f t="shared" si="352"/>
        <v>0</v>
      </c>
    </row>
    <row r="7381" spans="1:15" x14ac:dyDescent="0.25">
      <c r="A7381" s="64" t="s">
        <v>196</v>
      </c>
      <c r="B7381" s="79" t="str">
        <f>IF(Thirtieth!B134="", "",Thirtieth!B134)</f>
        <v/>
      </c>
      <c r="C7381" s="66" t="str">
        <f>IF(Thirtieth!C134="", "",Thirtieth!C134)</f>
        <v/>
      </c>
      <c r="D7381" s="66" t="str">
        <f>IF(Thirtieth!D134="", "",Thirtieth!D134)</f>
        <v/>
      </c>
      <c r="E7381" s="66" t="str">
        <f>IF(Thirtieth!E134="", "",Thirtieth!E134)</f>
        <v/>
      </c>
      <c r="F7381" s="66" t="str">
        <f>IF(Thirtieth!F134="", "",Thirtieth!F134)</f>
        <v/>
      </c>
      <c r="G7381" s="66" t="str">
        <f>IF(Thirtieth!G134="", "",Thirtieth!G134)</f>
        <v/>
      </c>
      <c r="H7381" s="66" t="str">
        <f>IF(Thirtieth!H134="", "",Thirtieth!H134)</f>
        <v/>
      </c>
      <c r="I7381" s="66" t="str">
        <f>IF(Thirtieth!I134="", "",Thirtieth!I134)</f>
        <v/>
      </c>
      <c r="J7381" s="66" t="str">
        <f>IF(Thirtieth!J134="", "",Thirtieth!J134)</f>
        <v/>
      </c>
      <c r="K7381" s="86" t="str">
        <f>IF(Thirtieth!K134="", "",Thirtieth!K134)</f>
        <v/>
      </c>
      <c r="M7381" s="67" t="str">
        <f t="shared" si="350"/>
        <v/>
      </c>
      <c r="N7381" s="76" t="str">
        <f t="shared" si="351"/>
        <v/>
      </c>
      <c r="O7381" s="33">
        <f t="shared" si="352"/>
        <v>0</v>
      </c>
    </row>
    <row r="7382" spans="1:15" x14ac:dyDescent="0.25">
      <c r="A7382" s="64" t="s">
        <v>196</v>
      </c>
      <c r="B7382" s="79" t="str">
        <f>IF(Thirtieth!B135="", "",Thirtieth!B135)</f>
        <v/>
      </c>
      <c r="C7382" s="66" t="str">
        <f>IF(Thirtieth!C135="", "",Thirtieth!C135)</f>
        <v/>
      </c>
      <c r="D7382" s="66" t="str">
        <f>IF(Thirtieth!D135="", "",Thirtieth!D135)</f>
        <v/>
      </c>
      <c r="E7382" s="66" t="str">
        <f>IF(Thirtieth!E135="", "",Thirtieth!E135)</f>
        <v/>
      </c>
      <c r="F7382" s="66" t="str">
        <f>IF(Thirtieth!F135="", "",Thirtieth!F135)</f>
        <v/>
      </c>
      <c r="G7382" s="66" t="str">
        <f>IF(Thirtieth!G135="", "",Thirtieth!G135)</f>
        <v/>
      </c>
      <c r="H7382" s="66" t="str">
        <f>IF(Thirtieth!H135="", "",Thirtieth!H135)</f>
        <v/>
      </c>
      <c r="I7382" s="66" t="str">
        <f>IF(Thirtieth!I135="", "",Thirtieth!I135)</f>
        <v/>
      </c>
      <c r="J7382" s="66" t="str">
        <f>IF(Thirtieth!J135="", "",Thirtieth!J135)</f>
        <v/>
      </c>
      <c r="K7382" s="86" t="str">
        <f>IF(Thirtieth!K135="", "",Thirtieth!K135)</f>
        <v/>
      </c>
      <c r="M7382" s="67" t="str">
        <f t="shared" si="350"/>
        <v/>
      </c>
      <c r="N7382" s="76" t="str">
        <f t="shared" si="351"/>
        <v/>
      </c>
      <c r="O7382" s="33">
        <f t="shared" si="352"/>
        <v>0</v>
      </c>
    </row>
    <row r="7383" spans="1:15" x14ac:dyDescent="0.25">
      <c r="A7383" s="64" t="s">
        <v>196</v>
      </c>
      <c r="B7383" s="79" t="str">
        <f>IF(Thirtieth!B136="", "",Thirtieth!B136)</f>
        <v/>
      </c>
      <c r="C7383" s="66" t="str">
        <f>IF(Thirtieth!C136="", "",Thirtieth!C136)</f>
        <v/>
      </c>
      <c r="D7383" s="66" t="str">
        <f>IF(Thirtieth!D136="", "",Thirtieth!D136)</f>
        <v/>
      </c>
      <c r="E7383" s="66" t="str">
        <f>IF(Thirtieth!E136="", "",Thirtieth!E136)</f>
        <v/>
      </c>
      <c r="F7383" s="66" t="str">
        <f>IF(Thirtieth!F136="", "",Thirtieth!F136)</f>
        <v/>
      </c>
      <c r="G7383" s="66" t="str">
        <f>IF(Thirtieth!G136="", "",Thirtieth!G136)</f>
        <v/>
      </c>
      <c r="H7383" s="66" t="str">
        <f>IF(Thirtieth!H136="", "",Thirtieth!H136)</f>
        <v/>
      </c>
      <c r="I7383" s="66" t="str">
        <f>IF(Thirtieth!I136="", "",Thirtieth!I136)</f>
        <v/>
      </c>
      <c r="J7383" s="66" t="str">
        <f>IF(Thirtieth!J136="", "",Thirtieth!J136)</f>
        <v/>
      </c>
      <c r="K7383" s="86" t="str">
        <f>IF(Thirtieth!K136="", "",Thirtieth!K136)</f>
        <v/>
      </c>
      <c r="M7383" s="67" t="str">
        <f t="shared" si="350"/>
        <v/>
      </c>
      <c r="N7383" s="76" t="str">
        <f t="shared" si="351"/>
        <v/>
      </c>
      <c r="O7383" s="33">
        <f t="shared" si="352"/>
        <v>0</v>
      </c>
    </row>
    <row r="7384" spans="1:15" x14ac:dyDescent="0.25">
      <c r="A7384" s="64" t="s">
        <v>196</v>
      </c>
      <c r="B7384" s="79" t="str">
        <f>IF(Thirtieth!B137="", "",Thirtieth!B137)</f>
        <v/>
      </c>
      <c r="C7384" s="66" t="str">
        <f>IF(Thirtieth!C137="", "",Thirtieth!C137)</f>
        <v/>
      </c>
      <c r="D7384" s="66" t="str">
        <f>IF(Thirtieth!D137="", "",Thirtieth!D137)</f>
        <v/>
      </c>
      <c r="E7384" s="66" t="str">
        <f>IF(Thirtieth!E137="", "",Thirtieth!E137)</f>
        <v/>
      </c>
      <c r="F7384" s="66" t="str">
        <f>IF(Thirtieth!F137="", "",Thirtieth!F137)</f>
        <v/>
      </c>
      <c r="G7384" s="66" t="str">
        <f>IF(Thirtieth!G137="", "",Thirtieth!G137)</f>
        <v/>
      </c>
      <c r="H7384" s="66" t="str">
        <f>IF(Thirtieth!H137="", "",Thirtieth!H137)</f>
        <v/>
      </c>
      <c r="I7384" s="66" t="str">
        <f>IF(Thirtieth!I137="", "",Thirtieth!I137)</f>
        <v/>
      </c>
      <c r="J7384" s="66" t="str">
        <f>IF(Thirtieth!J137="", "",Thirtieth!J137)</f>
        <v/>
      </c>
      <c r="K7384" s="86" t="str">
        <f>IF(Thirtieth!K137="", "",Thirtieth!K137)</f>
        <v/>
      </c>
      <c r="M7384" s="67" t="str">
        <f t="shared" si="350"/>
        <v/>
      </c>
      <c r="N7384" s="76" t="str">
        <f t="shared" si="351"/>
        <v/>
      </c>
      <c r="O7384" s="33">
        <f t="shared" si="352"/>
        <v>0</v>
      </c>
    </row>
    <row r="7385" spans="1:15" x14ac:dyDescent="0.25">
      <c r="A7385" s="64" t="s">
        <v>196</v>
      </c>
      <c r="B7385" s="79" t="str">
        <f>IF(Thirtieth!B138="", "",Thirtieth!B138)</f>
        <v/>
      </c>
      <c r="C7385" s="66" t="str">
        <f>IF(Thirtieth!C138="", "",Thirtieth!C138)</f>
        <v/>
      </c>
      <c r="D7385" s="66" t="str">
        <f>IF(Thirtieth!D138="", "",Thirtieth!D138)</f>
        <v/>
      </c>
      <c r="E7385" s="66" t="str">
        <f>IF(Thirtieth!E138="", "",Thirtieth!E138)</f>
        <v/>
      </c>
      <c r="F7385" s="66" t="str">
        <f>IF(Thirtieth!F138="", "",Thirtieth!F138)</f>
        <v/>
      </c>
      <c r="G7385" s="66" t="str">
        <f>IF(Thirtieth!G138="", "",Thirtieth!G138)</f>
        <v/>
      </c>
      <c r="H7385" s="66" t="str">
        <f>IF(Thirtieth!H138="", "",Thirtieth!H138)</f>
        <v/>
      </c>
      <c r="I7385" s="66" t="str">
        <f>IF(Thirtieth!I138="", "",Thirtieth!I138)</f>
        <v/>
      </c>
      <c r="J7385" s="66" t="str">
        <f>IF(Thirtieth!J138="", "",Thirtieth!J138)</f>
        <v/>
      </c>
      <c r="K7385" s="86" t="str">
        <f>IF(Thirtieth!K138="", "",Thirtieth!K138)</f>
        <v/>
      </c>
      <c r="M7385" s="67" t="str">
        <f t="shared" si="350"/>
        <v/>
      </c>
      <c r="N7385" s="76" t="str">
        <f t="shared" si="351"/>
        <v/>
      </c>
      <c r="O7385" s="33">
        <f t="shared" si="352"/>
        <v>0</v>
      </c>
    </row>
    <row r="7386" spans="1:15" x14ac:dyDescent="0.25">
      <c r="A7386" s="64" t="s">
        <v>196</v>
      </c>
      <c r="B7386" s="79" t="str">
        <f>IF(Thirtieth!B139="", "",Thirtieth!B139)</f>
        <v/>
      </c>
      <c r="C7386" s="66" t="str">
        <f>IF(Thirtieth!C139="", "",Thirtieth!C139)</f>
        <v/>
      </c>
      <c r="D7386" s="66" t="str">
        <f>IF(Thirtieth!D139="", "",Thirtieth!D139)</f>
        <v/>
      </c>
      <c r="E7386" s="66" t="str">
        <f>IF(Thirtieth!E139="", "",Thirtieth!E139)</f>
        <v/>
      </c>
      <c r="F7386" s="66" t="str">
        <f>IF(Thirtieth!F139="", "",Thirtieth!F139)</f>
        <v/>
      </c>
      <c r="G7386" s="66" t="str">
        <f>IF(Thirtieth!G139="", "",Thirtieth!G139)</f>
        <v/>
      </c>
      <c r="H7386" s="66" t="str">
        <f>IF(Thirtieth!H139="", "",Thirtieth!H139)</f>
        <v/>
      </c>
      <c r="I7386" s="66" t="str">
        <f>IF(Thirtieth!I139="", "",Thirtieth!I139)</f>
        <v/>
      </c>
      <c r="J7386" s="66" t="str">
        <f>IF(Thirtieth!J139="", "",Thirtieth!J139)</f>
        <v/>
      </c>
      <c r="K7386" s="86" t="str">
        <f>IF(Thirtieth!K139="", "",Thirtieth!K139)</f>
        <v/>
      </c>
      <c r="M7386" s="67" t="str">
        <f t="shared" si="350"/>
        <v/>
      </c>
      <c r="N7386" s="76" t="str">
        <f t="shared" si="351"/>
        <v/>
      </c>
      <c r="O7386" s="33">
        <f t="shared" si="352"/>
        <v>0</v>
      </c>
    </row>
    <row r="7387" spans="1:15" x14ac:dyDescent="0.25">
      <c r="A7387" s="64" t="s">
        <v>196</v>
      </c>
      <c r="B7387" s="79" t="str">
        <f>IF(Thirtieth!B140="", "",Thirtieth!B140)</f>
        <v/>
      </c>
      <c r="C7387" s="66" t="str">
        <f>IF(Thirtieth!C140="", "",Thirtieth!C140)</f>
        <v/>
      </c>
      <c r="D7387" s="66" t="str">
        <f>IF(Thirtieth!D140="", "",Thirtieth!D140)</f>
        <v/>
      </c>
      <c r="E7387" s="66" t="str">
        <f>IF(Thirtieth!E140="", "",Thirtieth!E140)</f>
        <v/>
      </c>
      <c r="F7387" s="66" t="str">
        <f>IF(Thirtieth!F140="", "",Thirtieth!F140)</f>
        <v/>
      </c>
      <c r="G7387" s="66" t="str">
        <f>IF(Thirtieth!G140="", "",Thirtieth!G140)</f>
        <v/>
      </c>
      <c r="H7387" s="66" t="str">
        <f>IF(Thirtieth!H140="", "",Thirtieth!H140)</f>
        <v/>
      </c>
      <c r="I7387" s="66" t="str">
        <f>IF(Thirtieth!I140="", "",Thirtieth!I140)</f>
        <v/>
      </c>
      <c r="J7387" s="66" t="str">
        <f>IF(Thirtieth!J140="", "",Thirtieth!J140)</f>
        <v/>
      </c>
      <c r="K7387" s="86" t="str">
        <f>IF(Thirtieth!K140="", "",Thirtieth!K140)</f>
        <v/>
      </c>
      <c r="M7387" s="67" t="str">
        <f t="shared" si="350"/>
        <v/>
      </c>
      <c r="N7387" s="76" t="str">
        <f t="shared" si="351"/>
        <v/>
      </c>
      <c r="O7387" s="33">
        <f t="shared" si="352"/>
        <v>0</v>
      </c>
    </row>
    <row r="7388" spans="1:15" x14ac:dyDescent="0.25">
      <c r="A7388" s="64" t="s">
        <v>196</v>
      </c>
      <c r="B7388" s="79" t="str">
        <f>IF(Thirtieth!B141="", "",Thirtieth!B141)</f>
        <v/>
      </c>
      <c r="C7388" s="66" t="str">
        <f>IF(Thirtieth!C141="", "",Thirtieth!C141)</f>
        <v/>
      </c>
      <c r="D7388" s="66" t="str">
        <f>IF(Thirtieth!D141="", "",Thirtieth!D141)</f>
        <v/>
      </c>
      <c r="E7388" s="66" t="str">
        <f>IF(Thirtieth!E141="", "",Thirtieth!E141)</f>
        <v/>
      </c>
      <c r="F7388" s="66" t="str">
        <f>IF(Thirtieth!F141="", "",Thirtieth!F141)</f>
        <v/>
      </c>
      <c r="G7388" s="66" t="str">
        <f>IF(Thirtieth!G141="", "",Thirtieth!G141)</f>
        <v/>
      </c>
      <c r="H7388" s="66" t="str">
        <f>IF(Thirtieth!H141="", "",Thirtieth!H141)</f>
        <v/>
      </c>
      <c r="I7388" s="66" t="str">
        <f>IF(Thirtieth!I141="", "",Thirtieth!I141)</f>
        <v/>
      </c>
      <c r="J7388" s="66" t="str">
        <f>IF(Thirtieth!J141="", "",Thirtieth!J141)</f>
        <v/>
      </c>
      <c r="K7388" s="86" t="str">
        <f>IF(Thirtieth!K141="", "",Thirtieth!K141)</f>
        <v/>
      </c>
      <c r="M7388" s="67" t="str">
        <f t="shared" si="350"/>
        <v/>
      </c>
      <c r="N7388" s="76" t="str">
        <f t="shared" si="351"/>
        <v/>
      </c>
      <c r="O7388" s="33">
        <f t="shared" si="352"/>
        <v>0</v>
      </c>
    </row>
    <row r="7389" spans="1:15" x14ac:dyDescent="0.25">
      <c r="A7389" s="64" t="s">
        <v>196</v>
      </c>
      <c r="B7389" s="79" t="str">
        <f>IF(Thirtieth!B142="", "",Thirtieth!B142)</f>
        <v/>
      </c>
      <c r="C7389" s="66" t="str">
        <f>IF(Thirtieth!C142="", "",Thirtieth!C142)</f>
        <v/>
      </c>
      <c r="D7389" s="66" t="str">
        <f>IF(Thirtieth!D142="", "",Thirtieth!D142)</f>
        <v/>
      </c>
      <c r="E7389" s="66" t="str">
        <f>IF(Thirtieth!E142="", "",Thirtieth!E142)</f>
        <v/>
      </c>
      <c r="F7389" s="66" t="str">
        <f>IF(Thirtieth!F142="", "",Thirtieth!F142)</f>
        <v/>
      </c>
      <c r="G7389" s="66" t="str">
        <f>IF(Thirtieth!G142="", "",Thirtieth!G142)</f>
        <v/>
      </c>
      <c r="H7389" s="66" t="str">
        <f>IF(Thirtieth!H142="", "",Thirtieth!H142)</f>
        <v/>
      </c>
      <c r="I7389" s="66" t="str">
        <f>IF(Thirtieth!I142="", "",Thirtieth!I142)</f>
        <v/>
      </c>
      <c r="J7389" s="66" t="str">
        <f>IF(Thirtieth!J142="", "",Thirtieth!J142)</f>
        <v/>
      </c>
      <c r="K7389" s="86" t="str">
        <f>IF(Thirtieth!K142="", "",Thirtieth!K142)</f>
        <v/>
      </c>
      <c r="M7389" s="67" t="str">
        <f t="shared" si="350"/>
        <v/>
      </c>
      <c r="N7389" s="76" t="str">
        <f t="shared" si="351"/>
        <v/>
      </c>
      <c r="O7389" s="33">
        <f t="shared" si="352"/>
        <v>0</v>
      </c>
    </row>
    <row r="7390" spans="1:15" x14ac:dyDescent="0.25">
      <c r="A7390" s="64" t="s">
        <v>196</v>
      </c>
      <c r="B7390" s="79" t="str">
        <f>IF(Thirtieth!B143="", "",Thirtieth!B143)</f>
        <v/>
      </c>
      <c r="C7390" s="66" t="str">
        <f>IF(Thirtieth!C143="", "",Thirtieth!C143)</f>
        <v/>
      </c>
      <c r="D7390" s="66" t="str">
        <f>IF(Thirtieth!D143="", "",Thirtieth!D143)</f>
        <v/>
      </c>
      <c r="E7390" s="66" t="str">
        <f>IF(Thirtieth!E143="", "",Thirtieth!E143)</f>
        <v/>
      </c>
      <c r="F7390" s="66" t="str">
        <f>IF(Thirtieth!F143="", "",Thirtieth!F143)</f>
        <v/>
      </c>
      <c r="G7390" s="66" t="str">
        <f>IF(Thirtieth!G143="", "",Thirtieth!G143)</f>
        <v/>
      </c>
      <c r="H7390" s="66" t="str">
        <f>IF(Thirtieth!H143="", "",Thirtieth!H143)</f>
        <v/>
      </c>
      <c r="I7390" s="66" t="str">
        <f>IF(Thirtieth!I143="", "",Thirtieth!I143)</f>
        <v/>
      </c>
      <c r="J7390" s="66" t="str">
        <f>IF(Thirtieth!J143="", "",Thirtieth!J143)</f>
        <v/>
      </c>
      <c r="K7390" s="86" t="str">
        <f>IF(Thirtieth!K143="", "",Thirtieth!K143)</f>
        <v/>
      </c>
      <c r="M7390" s="67" t="str">
        <f t="shared" si="350"/>
        <v/>
      </c>
      <c r="N7390" s="76" t="str">
        <f t="shared" si="351"/>
        <v/>
      </c>
      <c r="O7390" s="33">
        <f t="shared" si="352"/>
        <v>0</v>
      </c>
    </row>
    <row r="7391" spans="1:15" x14ac:dyDescent="0.25">
      <c r="A7391" s="64" t="s">
        <v>196</v>
      </c>
      <c r="B7391" s="79" t="str">
        <f>IF(Thirtieth!B144="", "",Thirtieth!B144)</f>
        <v/>
      </c>
      <c r="C7391" s="66" t="str">
        <f>IF(Thirtieth!C144="", "",Thirtieth!C144)</f>
        <v/>
      </c>
      <c r="D7391" s="66" t="str">
        <f>IF(Thirtieth!D144="", "",Thirtieth!D144)</f>
        <v/>
      </c>
      <c r="E7391" s="66" t="str">
        <f>IF(Thirtieth!E144="", "",Thirtieth!E144)</f>
        <v/>
      </c>
      <c r="F7391" s="66" t="str">
        <f>IF(Thirtieth!F144="", "",Thirtieth!F144)</f>
        <v/>
      </c>
      <c r="G7391" s="66" t="str">
        <f>IF(Thirtieth!G144="", "",Thirtieth!G144)</f>
        <v/>
      </c>
      <c r="H7391" s="66" t="str">
        <f>IF(Thirtieth!H144="", "",Thirtieth!H144)</f>
        <v/>
      </c>
      <c r="I7391" s="66" t="str">
        <f>IF(Thirtieth!I144="", "",Thirtieth!I144)</f>
        <v/>
      </c>
      <c r="J7391" s="66" t="str">
        <f>IF(Thirtieth!J144="", "",Thirtieth!J144)</f>
        <v/>
      </c>
      <c r="K7391" s="86" t="str">
        <f>IF(Thirtieth!K144="", "",Thirtieth!K144)</f>
        <v/>
      </c>
      <c r="M7391" s="67" t="str">
        <f t="shared" si="350"/>
        <v/>
      </c>
      <c r="N7391" s="76" t="str">
        <f t="shared" si="351"/>
        <v/>
      </c>
      <c r="O7391" s="33">
        <f t="shared" si="352"/>
        <v>0</v>
      </c>
    </row>
    <row r="7392" spans="1:15" x14ac:dyDescent="0.25">
      <c r="A7392" s="64" t="s">
        <v>196</v>
      </c>
      <c r="B7392" s="79" t="str">
        <f>IF(Thirtieth!B145="", "",Thirtieth!B145)</f>
        <v/>
      </c>
      <c r="C7392" s="66" t="str">
        <f>IF(Thirtieth!C145="", "",Thirtieth!C145)</f>
        <v/>
      </c>
      <c r="D7392" s="66" t="str">
        <f>IF(Thirtieth!D145="", "",Thirtieth!D145)</f>
        <v/>
      </c>
      <c r="E7392" s="66" t="str">
        <f>IF(Thirtieth!E145="", "",Thirtieth!E145)</f>
        <v/>
      </c>
      <c r="F7392" s="66" t="str">
        <f>IF(Thirtieth!F145="", "",Thirtieth!F145)</f>
        <v/>
      </c>
      <c r="G7392" s="66" t="str">
        <f>IF(Thirtieth!G145="", "",Thirtieth!G145)</f>
        <v/>
      </c>
      <c r="H7392" s="66" t="str">
        <f>IF(Thirtieth!H145="", "",Thirtieth!H145)</f>
        <v/>
      </c>
      <c r="I7392" s="66" t="str">
        <f>IF(Thirtieth!I145="", "",Thirtieth!I145)</f>
        <v/>
      </c>
      <c r="J7392" s="66" t="str">
        <f>IF(Thirtieth!J145="", "",Thirtieth!J145)</f>
        <v/>
      </c>
      <c r="K7392" s="86" t="str">
        <f>IF(Thirtieth!K145="", "",Thirtieth!K145)</f>
        <v/>
      </c>
      <c r="M7392" s="67" t="str">
        <f t="shared" si="350"/>
        <v/>
      </c>
      <c r="N7392" s="76" t="str">
        <f t="shared" si="351"/>
        <v/>
      </c>
      <c r="O7392" s="33">
        <f t="shared" si="352"/>
        <v>0</v>
      </c>
    </row>
    <row r="7393" spans="1:15" x14ac:dyDescent="0.25">
      <c r="A7393" s="64" t="s">
        <v>196</v>
      </c>
      <c r="B7393" s="79" t="str">
        <f>IF(Thirtieth!B146="", "",Thirtieth!B146)</f>
        <v/>
      </c>
      <c r="C7393" s="66" t="str">
        <f>IF(Thirtieth!C146="", "",Thirtieth!C146)</f>
        <v/>
      </c>
      <c r="D7393" s="66" t="str">
        <f>IF(Thirtieth!D146="", "",Thirtieth!D146)</f>
        <v/>
      </c>
      <c r="E7393" s="66" t="str">
        <f>IF(Thirtieth!E146="", "",Thirtieth!E146)</f>
        <v/>
      </c>
      <c r="F7393" s="66" t="str">
        <f>IF(Thirtieth!F146="", "",Thirtieth!F146)</f>
        <v/>
      </c>
      <c r="G7393" s="66" t="str">
        <f>IF(Thirtieth!G146="", "",Thirtieth!G146)</f>
        <v/>
      </c>
      <c r="H7393" s="66" t="str">
        <f>IF(Thirtieth!H146="", "",Thirtieth!H146)</f>
        <v/>
      </c>
      <c r="I7393" s="66" t="str">
        <f>IF(Thirtieth!I146="", "",Thirtieth!I146)</f>
        <v/>
      </c>
      <c r="J7393" s="66" t="str">
        <f>IF(Thirtieth!J146="", "",Thirtieth!J146)</f>
        <v/>
      </c>
      <c r="K7393" s="86" t="str">
        <f>IF(Thirtieth!K146="", "",Thirtieth!K146)</f>
        <v/>
      </c>
      <c r="M7393" s="67" t="str">
        <f t="shared" si="350"/>
        <v/>
      </c>
      <c r="N7393" s="76" t="str">
        <f t="shared" si="351"/>
        <v/>
      </c>
      <c r="O7393" s="33">
        <f t="shared" si="352"/>
        <v>0</v>
      </c>
    </row>
    <row r="7394" spans="1:15" x14ac:dyDescent="0.25">
      <c r="A7394" s="64" t="s">
        <v>196</v>
      </c>
      <c r="B7394" s="79" t="str">
        <f>IF(Thirtieth!B147="", "",Thirtieth!B147)</f>
        <v/>
      </c>
      <c r="C7394" s="66" t="str">
        <f>IF(Thirtieth!C147="", "",Thirtieth!C147)</f>
        <v/>
      </c>
      <c r="D7394" s="66" t="str">
        <f>IF(Thirtieth!D147="", "",Thirtieth!D147)</f>
        <v/>
      </c>
      <c r="E7394" s="66" t="str">
        <f>IF(Thirtieth!E147="", "",Thirtieth!E147)</f>
        <v/>
      </c>
      <c r="F7394" s="66" t="str">
        <f>IF(Thirtieth!F147="", "",Thirtieth!F147)</f>
        <v/>
      </c>
      <c r="G7394" s="66" t="str">
        <f>IF(Thirtieth!G147="", "",Thirtieth!G147)</f>
        <v/>
      </c>
      <c r="H7394" s="66" t="str">
        <f>IF(Thirtieth!H147="", "",Thirtieth!H147)</f>
        <v/>
      </c>
      <c r="I7394" s="66" t="str">
        <f>IF(Thirtieth!I147="", "",Thirtieth!I147)</f>
        <v/>
      </c>
      <c r="J7394" s="66" t="str">
        <f>IF(Thirtieth!J147="", "",Thirtieth!J147)</f>
        <v/>
      </c>
      <c r="K7394" s="86" t="str">
        <f>IF(Thirtieth!K147="", "",Thirtieth!K147)</f>
        <v/>
      </c>
      <c r="M7394" s="67" t="str">
        <f t="shared" si="350"/>
        <v/>
      </c>
      <c r="N7394" s="76" t="str">
        <f t="shared" si="351"/>
        <v/>
      </c>
      <c r="O7394" s="33">
        <f t="shared" si="352"/>
        <v>0</v>
      </c>
    </row>
    <row r="7395" spans="1:15" x14ac:dyDescent="0.25">
      <c r="A7395" s="64" t="s">
        <v>196</v>
      </c>
      <c r="B7395" s="79" t="str">
        <f>IF(Thirtieth!B148="", "",Thirtieth!B148)</f>
        <v/>
      </c>
      <c r="C7395" s="66" t="str">
        <f>IF(Thirtieth!C148="", "",Thirtieth!C148)</f>
        <v/>
      </c>
      <c r="D7395" s="66" t="str">
        <f>IF(Thirtieth!D148="", "",Thirtieth!D148)</f>
        <v/>
      </c>
      <c r="E7395" s="66" t="str">
        <f>IF(Thirtieth!E148="", "",Thirtieth!E148)</f>
        <v/>
      </c>
      <c r="F7395" s="66" t="str">
        <f>IF(Thirtieth!F148="", "",Thirtieth!F148)</f>
        <v/>
      </c>
      <c r="G7395" s="66" t="str">
        <f>IF(Thirtieth!G148="", "",Thirtieth!G148)</f>
        <v/>
      </c>
      <c r="H7395" s="66" t="str">
        <f>IF(Thirtieth!H148="", "",Thirtieth!H148)</f>
        <v/>
      </c>
      <c r="I7395" s="66" t="str">
        <f>IF(Thirtieth!I148="", "",Thirtieth!I148)</f>
        <v/>
      </c>
      <c r="J7395" s="66" t="str">
        <f>IF(Thirtieth!J148="", "",Thirtieth!J148)</f>
        <v/>
      </c>
      <c r="K7395" s="86" t="str">
        <f>IF(Thirtieth!K148="", "",Thirtieth!K148)</f>
        <v/>
      </c>
      <c r="M7395" s="67" t="str">
        <f t="shared" si="350"/>
        <v/>
      </c>
      <c r="N7395" s="76" t="str">
        <f t="shared" si="351"/>
        <v/>
      </c>
      <c r="O7395" s="33">
        <f t="shared" si="352"/>
        <v>0</v>
      </c>
    </row>
    <row r="7396" spans="1:15" x14ac:dyDescent="0.25">
      <c r="A7396" s="64" t="s">
        <v>196</v>
      </c>
      <c r="B7396" s="79" t="str">
        <f>IF(Thirtieth!B149="", "",Thirtieth!B149)</f>
        <v/>
      </c>
      <c r="C7396" s="66" t="str">
        <f>IF(Thirtieth!C149="", "",Thirtieth!C149)</f>
        <v/>
      </c>
      <c r="D7396" s="66" t="str">
        <f>IF(Thirtieth!D149="", "",Thirtieth!D149)</f>
        <v/>
      </c>
      <c r="E7396" s="66" t="str">
        <f>IF(Thirtieth!E149="", "",Thirtieth!E149)</f>
        <v/>
      </c>
      <c r="F7396" s="66" t="str">
        <f>IF(Thirtieth!F149="", "",Thirtieth!F149)</f>
        <v/>
      </c>
      <c r="G7396" s="66" t="str">
        <f>IF(Thirtieth!G149="", "",Thirtieth!G149)</f>
        <v/>
      </c>
      <c r="H7396" s="66" t="str">
        <f>IF(Thirtieth!H149="", "",Thirtieth!H149)</f>
        <v/>
      </c>
      <c r="I7396" s="66" t="str">
        <f>IF(Thirtieth!I149="", "",Thirtieth!I149)</f>
        <v/>
      </c>
      <c r="J7396" s="66" t="str">
        <f>IF(Thirtieth!J149="", "",Thirtieth!J149)</f>
        <v/>
      </c>
      <c r="K7396" s="86" t="str">
        <f>IF(Thirtieth!K149="", "",Thirtieth!K149)</f>
        <v/>
      </c>
      <c r="M7396" s="67" t="str">
        <f t="shared" si="350"/>
        <v/>
      </c>
      <c r="N7396" s="76" t="str">
        <f t="shared" si="351"/>
        <v/>
      </c>
      <c r="O7396" s="33">
        <f t="shared" si="352"/>
        <v>0</v>
      </c>
    </row>
    <row r="7397" spans="1:15" x14ac:dyDescent="0.25">
      <c r="A7397" s="64" t="s">
        <v>196</v>
      </c>
      <c r="B7397" s="79" t="str">
        <f>IF(Thirtieth!B150="", "",Thirtieth!B150)</f>
        <v/>
      </c>
      <c r="C7397" s="66" t="str">
        <f>IF(Thirtieth!C150="", "",Thirtieth!C150)</f>
        <v/>
      </c>
      <c r="D7397" s="66" t="str">
        <f>IF(Thirtieth!D150="", "",Thirtieth!D150)</f>
        <v/>
      </c>
      <c r="E7397" s="66" t="str">
        <f>IF(Thirtieth!E150="", "",Thirtieth!E150)</f>
        <v/>
      </c>
      <c r="F7397" s="66" t="str">
        <f>IF(Thirtieth!F150="", "",Thirtieth!F150)</f>
        <v/>
      </c>
      <c r="G7397" s="66" t="str">
        <f>IF(Thirtieth!G150="", "",Thirtieth!G150)</f>
        <v/>
      </c>
      <c r="H7397" s="66" t="str">
        <f>IF(Thirtieth!H150="", "",Thirtieth!H150)</f>
        <v/>
      </c>
      <c r="I7397" s="66" t="str">
        <f>IF(Thirtieth!I150="", "",Thirtieth!I150)</f>
        <v/>
      </c>
      <c r="J7397" s="66" t="str">
        <f>IF(Thirtieth!J150="", "",Thirtieth!J150)</f>
        <v/>
      </c>
      <c r="K7397" s="86" t="str">
        <f>IF(Thirtieth!K150="", "",Thirtieth!K150)</f>
        <v/>
      </c>
      <c r="M7397" s="67" t="str">
        <f t="shared" si="350"/>
        <v/>
      </c>
      <c r="N7397" s="76" t="str">
        <f t="shared" si="351"/>
        <v/>
      </c>
      <c r="O7397" s="33">
        <f t="shared" si="352"/>
        <v>0</v>
      </c>
    </row>
    <row r="7398" spans="1:15" x14ac:dyDescent="0.25">
      <c r="A7398" s="64" t="s">
        <v>196</v>
      </c>
      <c r="B7398" s="79" t="str">
        <f>IF(Thirtieth!B151="", "",Thirtieth!B151)</f>
        <v/>
      </c>
      <c r="C7398" s="66" t="str">
        <f>IF(Thirtieth!C151="", "",Thirtieth!C151)</f>
        <v/>
      </c>
      <c r="D7398" s="66" t="str">
        <f>IF(Thirtieth!D151="", "",Thirtieth!D151)</f>
        <v/>
      </c>
      <c r="E7398" s="66" t="str">
        <f>IF(Thirtieth!E151="", "",Thirtieth!E151)</f>
        <v/>
      </c>
      <c r="F7398" s="66" t="str">
        <f>IF(Thirtieth!F151="", "",Thirtieth!F151)</f>
        <v/>
      </c>
      <c r="G7398" s="66" t="str">
        <f>IF(Thirtieth!G151="", "",Thirtieth!G151)</f>
        <v/>
      </c>
      <c r="H7398" s="66" t="str">
        <f>IF(Thirtieth!H151="", "",Thirtieth!H151)</f>
        <v/>
      </c>
      <c r="I7398" s="66" t="str">
        <f>IF(Thirtieth!I151="", "",Thirtieth!I151)</f>
        <v/>
      </c>
      <c r="J7398" s="66" t="str">
        <f>IF(Thirtieth!J151="", "",Thirtieth!J151)</f>
        <v/>
      </c>
      <c r="K7398" s="86" t="str">
        <f>IF(Thirtieth!K151="", "",Thirtieth!K151)</f>
        <v/>
      </c>
      <c r="M7398" s="67" t="str">
        <f t="shared" si="350"/>
        <v/>
      </c>
      <c r="N7398" s="76" t="str">
        <f t="shared" si="351"/>
        <v/>
      </c>
      <c r="O7398" s="33">
        <f t="shared" si="352"/>
        <v>0</v>
      </c>
    </row>
    <row r="7399" spans="1:15" x14ac:dyDescent="0.25">
      <c r="A7399" s="64" t="s">
        <v>196</v>
      </c>
      <c r="B7399" s="79" t="str">
        <f>IF(Thirtieth!B152="", "",Thirtieth!B152)</f>
        <v/>
      </c>
      <c r="C7399" s="66" t="str">
        <f>IF(Thirtieth!C152="", "",Thirtieth!C152)</f>
        <v/>
      </c>
      <c r="D7399" s="66" t="str">
        <f>IF(Thirtieth!D152="", "",Thirtieth!D152)</f>
        <v/>
      </c>
      <c r="E7399" s="66" t="str">
        <f>IF(Thirtieth!E152="", "",Thirtieth!E152)</f>
        <v/>
      </c>
      <c r="F7399" s="66" t="str">
        <f>IF(Thirtieth!F152="", "",Thirtieth!F152)</f>
        <v/>
      </c>
      <c r="G7399" s="66" t="str">
        <f>IF(Thirtieth!G152="", "",Thirtieth!G152)</f>
        <v/>
      </c>
      <c r="H7399" s="66" t="str">
        <f>IF(Thirtieth!H152="", "",Thirtieth!H152)</f>
        <v/>
      </c>
      <c r="I7399" s="66" t="str">
        <f>IF(Thirtieth!I152="", "",Thirtieth!I152)</f>
        <v/>
      </c>
      <c r="J7399" s="66" t="str">
        <f>IF(Thirtieth!J152="", "",Thirtieth!J152)</f>
        <v/>
      </c>
      <c r="K7399" s="86" t="str">
        <f>IF(Thirtieth!K152="", "",Thirtieth!K152)</f>
        <v/>
      </c>
      <c r="M7399" s="67" t="str">
        <f t="shared" si="350"/>
        <v/>
      </c>
      <c r="N7399" s="76" t="str">
        <f t="shared" si="351"/>
        <v/>
      </c>
      <c r="O7399" s="33">
        <f t="shared" si="352"/>
        <v>0</v>
      </c>
    </row>
    <row r="7400" spans="1:15" x14ac:dyDescent="0.25">
      <c r="A7400" s="64" t="s">
        <v>196</v>
      </c>
      <c r="B7400" s="79" t="str">
        <f>IF(Thirtieth!B153="", "",Thirtieth!B153)</f>
        <v/>
      </c>
      <c r="C7400" s="66" t="str">
        <f>IF(Thirtieth!C153="", "",Thirtieth!C153)</f>
        <v/>
      </c>
      <c r="D7400" s="66" t="str">
        <f>IF(Thirtieth!D153="", "",Thirtieth!D153)</f>
        <v/>
      </c>
      <c r="E7400" s="66" t="str">
        <f>IF(Thirtieth!E153="", "",Thirtieth!E153)</f>
        <v/>
      </c>
      <c r="F7400" s="66" t="str">
        <f>IF(Thirtieth!F153="", "",Thirtieth!F153)</f>
        <v/>
      </c>
      <c r="G7400" s="66" t="str">
        <f>IF(Thirtieth!G153="", "",Thirtieth!G153)</f>
        <v/>
      </c>
      <c r="H7400" s="66" t="str">
        <f>IF(Thirtieth!H153="", "",Thirtieth!H153)</f>
        <v/>
      </c>
      <c r="I7400" s="66" t="str">
        <f>IF(Thirtieth!I153="", "",Thirtieth!I153)</f>
        <v/>
      </c>
      <c r="J7400" s="66" t="str">
        <f>IF(Thirtieth!J153="", "",Thirtieth!J153)</f>
        <v/>
      </c>
      <c r="K7400" s="86" t="str">
        <f>IF(Thirtieth!K153="", "",Thirtieth!K153)</f>
        <v/>
      </c>
      <c r="M7400" s="67" t="str">
        <f t="shared" si="350"/>
        <v/>
      </c>
      <c r="N7400" s="76" t="str">
        <f t="shared" si="351"/>
        <v/>
      </c>
      <c r="O7400" s="33">
        <f t="shared" si="352"/>
        <v>0</v>
      </c>
    </row>
    <row r="7401" spans="1:15" x14ac:dyDescent="0.25">
      <c r="A7401" s="64" t="s">
        <v>196</v>
      </c>
      <c r="B7401" s="79" t="str">
        <f>IF(Thirtieth!B154="", "",Thirtieth!B154)</f>
        <v/>
      </c>
      <c r="C7401" s="66" t="str">
        <f>IF(Thirtieth!C154="", "",Thirtieth!C154)</f>
        <v/>
      </c>
      <c r="D7401" s="66" t="str">
        <f>IF(Thirtieth!D154="", "",Thirtieth!D154)</f>
        <v/>
      </c>
      <c r="E7401" s="66" t="str">
        <f>IF(Thirtieth!E154="", "",Thirtieth!E154)</f>
        <v/>
      </c>
      <c r="F7401" s="66" t="str">
        <f>IF(Thirtieth!F154="", "",Thirtieth!F154)</f>
        <v/>
      </c>
      <c r="G7401" s="66" t="str">
        <f>IF(Thirtieth!G154="", "",Thirtieth!G154)</f>
        <v/>
      </c>
      <c r="H7401" s="66" t="str">
        <f>IF(Thirtieth!H154="", "",Thirtieth!H154)</f>
        <v/>
      </c>
      <c r="I7401" s="66" t="str">
        <f>IF(Thirtieth!I154="", "",Thirtieth!I154)</f>
        <v/>
      </c>
      <c r="J7401" s="66" t="str">
        <f>IF(Thirtieth!J154="", "",Thirtieth!J154)</f>
        <v/>
      </c>
      <c r="K7401" s="86" t="str">
        <f>IF(Thirtieth!K154="", "",Thirtieth!K154)</f>
        <v/>
      </c>
      <c r="M7401" s="67" t="str">
        <f t="shared" si="350"/>
        <v/>
      </c>
      <c r="N7401" s="76" t="str">
        <f t="shared" si="351"/>
        <v/>
      </c>
      <c r="O7401" s="33">
        <f t="shared" si="352"/>
        <v>0</v>
      </c>
    </row>
    <row r="7402" spans="1:15" x14ac:dyDescent="0.25">
      <c r="A7402" s="64" t="s">
        <v>196</v>
      </c>
      <c r="B7402" s="79" t="str">
        <f>IF(Thirtieth!B155="", "",Thirtieth!B155)</f>
        <v/>
      </c>
      <c r="C7402" s="66" t="str">
        <f>IF(Thirtieth!C155="", "",Thirtieth!C155)</f>
        <v/>
      </c>
      <c r="D7402" s="66" t="str">
        <f>IF(Thirtieth!D155="", "",Thirtieth!D155)</f>
        <v/>
      </c>
      <c r="E7402" s="66" t="str">
        <f>IF(Thirtieth!E155="", "",Thirtieth!E155)</f>
        <v/>
      </c>
      <c r="F7402" s="66" t="str">
        <f>IF(Thirtieth!F155="", "",Thirtieth!F155)</f>
        <v/>
      </c>
      <c r="G7402" s="66" t="str">
        <f>IF(Thirtieth!G155="", "",Thirtieth!G155)</f>
        <v/>
      </c>
      <c r="H7402" s="66" t="str">
        <f>IF(Thirtieth!H155="", "",Thirtieth!H155)</f>
        <v/>
      </c>
      <c r="I7402" s="66" t="str">
        <f>IF(Thirtieth!I155="", "",Thirtieth!I155)</f>
        <v/>
      </c>
      <c r="J7402" s="66" t="str">
        <f>IF(Thirtieth!J155="", "",Thirtieth!J155)</f>
        <v/>
      </c>
      <c r="K7402" s="86" t="str">
        <f>IF(Thirtieth!K155="", "",Thirtieth!K155)</f>
        <v/>
      </c>
      <c r="M7402" s="67" t="str">
        <f t="shared" si="350"/>
        <v/>
      </c>
      <c r="N7402" s="76" t="str">
        <f t="shared" si="351"/>
        <v/>
      </c>
      <c r="O7402" s="33">
        <f t="shared" si="352"/>
        <v>0</v>
      </c>
    </row>
    <row r="7403" spans="1:15" x14ac:dyDescent="0.25">
      <c r="A7403" s="64" t="s">
        <v>196</v>
      </c>
      <c r="B7403" s="79" t="str">
        <f>IF(Thirtieth!B156="", "",Thirtieth!B156)</f>
        <v/>
      </c>
      <c r="C7403" s="66" t="str">
        <f>IF(Thirtieth!C156="", "",Thirtieth!C156)</f>
        <v/>
      </c>
      <c r="D7403" s="66" t="str">
        <f>IF(Thirtieth!D156="", "",Thirtieth!D156)</f>
        <v/>
      </c>
      <c r="E7403" s="66" t="str">
        <f>IF(Thirtieth!E156="", "",Thirtieth!E156)</f>
        <v/>
      </c>
      <c r="F7403" s="66" t="str">
        <f>IF(Thirtieth!F156="", "",Thirtieth!F156)</f>
        <v/>
      </c>
      <c r="G7403" s="66" t="str">
        <f>IF(Thirtieth!G156="", "",Thirtieth!G156)</f>
        <v/>
      </c>
      <c r="H7403" s="66" t="str">
        <f>IF(Thirtieth!H156="", "",Thirtieth!H156)</f>
        <v/>
      </c>
      <c r="I7403" s="66" t="str">
        <f>IF(Thirtieth!I156="", "",Thirtieth!I156)</f>
        <v/>
      </c>
      <c r="J7403" s="66" t="str">
        <f>IF(Thirtieth!J156="", "",Thirtieth!J156)</f>
        <v/>
      </c>
      <c r="K7403" s="86" t="str">
        <f>IF(Thirtieth!K156="", "",Thirtieth!K156)</f>
        <v/>
      </c>
      <c r="M7403" s="67" t="str">
        <f t="shared" si="350"/>
        <v/>
      </c>
      <c r="N7403" s="76" t="str">
        <f t="shared" si="351"/>
        <v/>
      </c>
      <c r="O7403" s="33">
        <f t="shared" si="352"/>
        <v>0</v>
      </c>
    </row>
    <row r="7404" spans="1:15" x14ac:dyDescent="0.25">
      <c r="A7404" s="64" t="s">
        <v>196</v>
      </c>
      <c r="B7404" s="79" t="str">
        <f>IF(Thirtieth!B157="", "",Thirtieth!B157)</f>
        <v/>
      </c>
      <c r="C7404" s="66" t="str">
        <f>IF(Thirtieth!C157="", "",Thirtieth!C157)</f>
        <v/>
      </c>
      <c r="D7404" s="66" t="str">
        <f>IF(Thirtieth!D157="", "",Thirtieth!D157)</f>
        <v/>
      </c>
      <c r="E7404" s="66" t="str">
        <f>IF(Thirtieth!E157="", "",Thirtieth!E157)</f>
        <v/>
      </c>
      <c r="F7404" s="66" t="str">
        <f>IF(Thirtieth!F157="", "",Thirtieth!F157)</f>
        <v/>
      </c>
      <c r="G7404" s="66" t="str">
        <f>IF(Thirtieth!G157="", "",Thirtieth!G157)</f>
        <v/>
      </c>
      <c r="H7404" s="66" t="str">
        <f>IF(Thirtieth!H157="", "",Thirtieth!H157)</f>
        <v/>
      </c>
      <c r="I7404" s="66" t="str">
        <f>IF(Thirtieth!I157="", "",Thirtieth!I157)</f>
        <v/>
      </c>
      <c r="J7404" s="66" t="str">
        <f>IF(Thirtieth!J157="", "",Thirtieth!J157)</f>
        <v/>
      </c>
      <c r="K7404" s="86" t="str">
        <f>IF(Thirtieth!K157="", "",Thirtieth!K157)</f>
        <v/>
      </c>
      <c r="M7404" s="67" t="str">
        <f t="shared" si="350"/>
        <v/>
      </c>
      <c r="N7404" s="76" t="str">
        <f t="shared" si="351"/>
        <v/>
      </c>
      <c r="O7404" s="33">
        <f t="shared" si="352"/>
        <v>0</v>
      </c>
    </row>
    <row r="7405" spans="1:15" x14ac:dyDescent="0.25">
      <c r="A7405" s="64" t="s">
        <v>196</v>
      </c>
      <c r="B7405" s="79" t="str">
        <f>IF(Thirtieth!B158="", "",Thirtieth!B158)</f>
        <v/>
      </c>
      <c r="C7405" s="66" t="str">
        <f>IF(Thirtieth!C158="", "",Thirtieth!C158)</f>
        <v/>
      </c>
      <c r="D7405" s="66" t="str">
        <f>IF(Thirtieth!D158="", "",Thirtieth!D158)</f>
        <v/>
      </c>
      <c r="E7405" s="66" t="str">
        <f>IF(Thirtieth!E158="", "",Thirtieth!E158)</f>
        <v/>
      </c>
      <c r="F7405" s="66" t="str">
        <f>IF(Thirtieth!F158="", "",Thirtieth!F158)</f>
        <v/>
      </c>
      <c r="G7405" s="66" t="str">
        <f>IF(Thirtieth!G158="", "",Thirtieth!G158)</f>
        <v/>
      </c>
      <c r="H7405" s="66" t="str">
        <f>IF(Thirtieth!H158="", "",Thirtieth!H158)</f>
        <v/>
      </c>
      <c r="I7405" s="66" t="str">
        <f>IF(Thirtieth!I158="", "",Thirtieth!I158)</f>
        <v/>
      </c>
      <c r="J7405" s="66" t="str">
        <f>IF(Thirtieth!J158="", "",Thirtieth!J158)</f>
        <v/>
      </c>
      <c r="K7405" s="86" t="str">
        <f>IF(Thirtieth!K158="", "",Thirtieth!K158)</f>
        <v/>
      </c>
      <c r="M7405" s="67" t="str">
        <f t="shared" si="350"/>
        <v/>
      </c>
      <c r="N7405" s="76" t="str">
        <f t="shared" si="351"/>
        <v/>
      </c>
      <c r="O7405" s="33">
        <f t="shared" si="352"/>
        <v>0</v>
      </c>
    </row>
    <row r="7406" spans="1:15" x14ac:dyDescent="0.25">
      <c r="A7406" s="64" t="s">
        <v>196</v>
      </c>
      <c r="B7406" s="79" t="str">
        <f>IF(Thirtieth!B159="", "",Thirtieth!B159)</f>
        <v/>
      </c>
      <c r="C7406" s="66" t="str">
        <f>IF(Thirtieth!C159="", "",Thirtieth!C159)</f>
        <v/>
      </c>
      <c r="D7406" s="66" t="str">
        <f>IF(Thirtieth!D159="", "",Thirtieth!D159)</f>
        <v/>
      </c>
      <c r="E7406" s="66" t="str">
        <f>IF(Thirtieth!E159="", "",Thirtieth!E159)</f>
        <v/>
      </c>
      <c r="F7406" s="66" t="str">
        <f>IF(Thirtieth!F159="", "",Thirtieth!F159)</f>
        <v/>
      </c>
      <c r="G7406" s="66" t="str">
        <f>IF(Thirtieth!G159="", "",Thirtieth!G159)</f>
        <v/>
      </c>
      <c r="H7406" s="66" t="str">
        <f>IF(Thirtieth!H159="", "",Thirtieth!H159)</f>
        <v/>
      </c>
      <c r="I7406" s="66" t="str">
        <f>IF(Thirtieth!I159="", "",Thirtieth!I159)</f>
        <v/>
      </c>
      <c r="J7406" s="66" t="str">
        <f>IF(Thirtieth!J159="", "",Thirtieth!J159)</f>
        <v/>
      </c>
      <c r="K7406" s="86" t="str">
        <f>IF(Thirtieth!K159="", "",Thirtieth!K159)</f>
        <v/>
      </c>
      <c r="M7406" s="67" t="str">
        <f t="shared" si="350"/>
        <v/>
      </c>
      <c r="N7406" s="76" t="str">
        <f t="shared" si="351"/>
        <v/>
      </c>
      <c r="O7406" s="33">
        <f t="shared" si="352"/>
        <v>0</v>
      </c>
    </row>
    <row r="7407" spans="1:15" x14ac:dyDescent="0.25">
      <c r="A7407" s="64" t="s">
        <v>196</v>
      </c>
      <c r="B7407" s="79" t="str">
        <f>IF(Thirtieth!B160="", "",Thirtieth!B160)</f>
        <v/>
      </c>
      <c r="C7407" s="66" t="str">
        <f>IF(Thirtieth!C160="", "",Thirtieth!C160)</f>
        <v/>
      </c>
      <c r="D7407" s="66" t="str">
        <f>IF(Thirtieth!D160="", "",Thirtieth!D160)</f>
        <v/>
      </c>
      <c r="E7407" s="66" t="str">
        <f>IF(Thirtieth!E160="", "",Thirtieth!E160)</f>
        <v/>
      </c>
      <c r="F7407" s="66" t="str">
        <f>IF(Thirtieth!F160="", "",Thirtieth!F160)</f>
        <v/>
      </c>
      <c r="G7407" s="66" t="str">
        <f>IF(Thirtieth!G160="", "",Thirtieth!G160)</f>
        <v/>
      </c>
      <c r="H7407" s="66" t="str">
        <f>IF(Thirtieth!H160="", "",Thirtieth!H160)</f>
        <v/>
      </c>
      <c r="I7407" s="66" t="str">
        <f>IF(Thirtieth!I160="", "",Thirtieth!I160)</f>
        <v/>
      </c>
      <c r="J7407" s="66" t="str">
        <f>IF(Thirtieth!J160="", "",Thirtieth!J160)</f>
        <v/>
      </c>
      <c r="K7407" s="86" t="str">
        <f>IF(Thirtieth!K160="", "",Thirtieth!K160)</f>
        <v/>
      </c>
      <c r="M7407" s="67" t="str">
        <f t="shared" si="350"/>
        <v/>
      </c>
      <c r="N7407" s="76" t="str">
        <f t="shared" si="351"/>
        <v/>
      </c>
      <c r="O7407" s="33">
        <f t="shared" si="352"/>
        <v>0</v>
      </c>
    </row>
    <row r="7408" spans="1:15" x14ac:dyDescent="0.25">
      <c r="A7408" s="64" t="s">
        <v>196</v>
      </c>
      <c r="B7408" s="79" t="str">
        <f>IF(Thirtieth!B161="", "",Thirtieth!B161)</f>
        <v/>
      </c>
      <c r="C7408" s="66" t="str">
        <f>IF(Thirtieth!C161="", "",Thirtieth!C161)</f>
        <v/>
      </c>
      <c r="D7408" s="66" t="str">
        <f>IF(Thirtieth!D161="", "",Thirtieth!D161)</f>
        <v/>
      </c>
      <c r="E7408" s="66" t="str">
        <f>IF(Thirtieth!E161="", "",Thirtieth!E161)</f>
        <v/>
      </c>
      <c r="F7408" s="66" t="str">
        <f>IF(Thirtieth!F161="", "",Thirtieth!F161)</f>
        <v/>
      </c>
      <c r="G7408" s="66" t="str">
        <f>IF(Thirtieth!G161="", "",Thirtieth!G161)</f>
        <v/>
      </c>
      <c r="H7408" s="66" t="str">
        <f>IF(Thirtieth!H161="", "",Thirtieth!H161)</f>
        <v/>
      </c>
      <c r="I7408" s="66" t="str">
        <f>IF(Thirtieth!I161="", "",Thirtieth!I161)</f>
        <v/>
      </c>
      <c r="J7408" s="66" t="str">
        <f>IF(Thirtieth!J161="", "",Thirtieth!J161)</f>
        <v/>
      </c>
      <c r="K7408" s="86" t="str">
        <f>IF(Thirtieth!K161="", "",Thirtieth!K161)</f>
        <v/>
      </c>
      <c r="M7408" s="67" t="str">
        <f t="shared" si="350"/>
        <v/>
      </c>
      <c r="N7408" s="76" t="str">
        <f t="shared" si="351"/>
        <v/>
      </c>
      <c r="O7408" s="33">
        <f t="shared" si="352"/>
        <v>0</v>
      </c>
    </row>
    <row r="7409" spans="1:15" x14ac:dyDescent="0.25">
      <c r="A7409" s="64" t="s">
        <v>196</v>
      </c>
      <c r="B7409" s="79" t="str">
        <f>IF(Thirtieth!B162="", "",Thirtieth!B162)</f>
        <v/>
      </c>
      <c r="C7409" s="66" t="str">
        <f>IF(Thirtieth!C162="", "",Thirtieth!C162)</f>
        <v/>
      </c>
      <c r="D7409" s="66" t="str">
        <f>IF(Thirtieth!D162="", "",Thirtieth!D162)</f>
        <v/>
      </c>
      <c r="E7409" s="66" t="str">
        <f>IF(Thirtieth!E162="", "",Thirtieth!E162)</f>
        <v/>
      </c>
      <c r="F7409" s="66" t="str">
        <f>IF(Thirtieth!F162="", "",Thirtieth!F162)</f>
        <v/>
      </c>
      <c r="G7409" s="66" t="str">
        <f>IF(Thirtieth!G162="", "",Thirtieth!G162)</f>
        <v/>
      </c>
      <c r="H7409" s="66" t="str">
        <f>IF(Thirtieth!H162="", "",Thirtieth!H162)</f>
        <v/>
      </c>
      <c r="I7409" s="66" t="str">
        <f>IF(Thirtieth!I162="", "",Thirtieth!I162)</f>
        <v/>
      </c>
      <c r="J7409" s="66" t="str">
        <f>IF(Thirtieth!J162="", "",Thirtieth!J162)</f>
        <v/>
      </c>
      <c r="K7409" s="86" t="str">
        <f>IF(Thirtieth!K162="", "",Thirtieth!K162)</f>
        <v/>
      </c>
      <c r="M7409" s="67" t="str">
        <f t="shared" si="350"/>
        <v/>
      </c>
      <c r="N7409" s="76" t="str">
        <f t="shared" si="351"/>
        <v/>
      </c>
      <c r="O7409" s="33">
        <f t="shared" si="352"/>
        <v>0</v>
      </c>
    </row>
    <row r="7410" spans="1:15" x14ac:dyDescent="0.25">
      <c r="A7410" s="64" t="s">
        <v>196</v>
      </c>
      <c r="B7410" s="79" t="str">
        <f>IF(Thirtieth!B163="", "",Thirtieth!B163)</f>
        <v/>
      </c>
      <c r="C7410" s="66" t="str">
        <f>IF(Thirtieth!C163="", "",Thirtieth!C163)</f>
        <v/>
      </c>
      <c r="D7410" s="66" t="str">
        <f>IF(Thirtieth!D163="", "",Thirtieth!D163)</f>
        <v/>
      </c>
      <c r="E7410" s="66" t="str">
        <f>IF(Thirtieth!E163="", "",Thirtieth!E163)</f>
        <v/>
      </c>
      <c r="F7410" s="66" t="str">
        <f>IF(Thirtieth!F163="", "",Thirtieth!F163)</f>
        <v/>
      </c>
      <c r="G7410" s="66" t="str">
        <f>IF(Thirtieth!G163="", "",Thirtieth!G163)</f>
        <v/>
      </c>
      <c r="H7410" s="66" t="str">
        <f>IF(Thirtieth!H163="", "",Thirtieth!H163)</f>
        <v/>
      </c>
      <c r="I7410" s="66" t="str">
        <f>IF(Thirtieth!I163="", "",Thirtieth!I163)</f>
        <v/>
      </c>
      <c r="J7410" s="66" t="str">
        <f>IF(Thirtieth!J163="", "",Thirtieth!J163)</f>
        <v/>
      </c>
      <c r="K7410" s="86" t="str">
        <f>IF(Thirtieth!K163="", "",Thirtieth!K163)</f>
        <v/>
      </c>
      <c r="M7410" s="67" t="str">
        <f t="shared" si="350"/>
        <v/>
      </c>
      <c r="N7410" s="76" t="str">
        <f t="shared" si="351"/>
        <v/>
      </c>
      <c r="O7410" s="33">
        <f t="shared" si="352"/>
        <v>0</v>
      </c>
    </row>
    <row r="7411" spans="1:15" x14ac:dyDescent="0.25">
      <c r="A7411" s="64" t="s">
        <v>196</v>
      </c>
      <c r="B7411" s="79" t="str">
        <f>IF(Thirtieth!B164="", "",Thirtieth!B164)</f>
        <v/>
      </c>
      <c r="C7411" s="66" t="str">
        <f>IF(Thirtieth!C164="", "",Thirtieth!C164)</f>
        <v/>
      </c>
      <c r="D7411" s="66" t="str">
        <f>IF(Thirtieth!D164="", "",Thirtieth!D164)</f>
        <v/>
      </c>
      <c r="E7411" s="66" t="str">
        <f>IF(Thirtieth!E164="", "",Thirtieth!E164)</f>
        <v/>
      </c>
      <c r="F7411" s="66" t="str">
        <f>IF(Thirtieth!F164="", "",Thirtieth!F164)</f>
        <v/>
      </c>
      <c r="G7411" s="66" t="str">
        <f>IF(Thirtieth!G164="", "",Thirtieth!G164)</f>
        <v/>
      </c>
      <c r="H7411" s="66" t="str">
        <f>IF(Thirtieth!H164="", "",Thirtieth!H164)</f>
        <v/>
      </c>
      <c r="I7411" s="66" t="str">
        <f>IF(Thirtieth!I164="", "",Thirtieth!I164)</f>
        <v/>
      </c>
      <c r="J7411" s="66" t="str">
        <f>IF(Thirtieth!J164="", "",Thirtieth!J164)</f>
        <v/>
      </c>
      <c r="K7411" s="86" t="str">
        <f>IF(Thirtieth!K164="", "",Thirtieth!K164)</f>
        <v/>
      </c>
      <c r="M7411" s="67" t="str">
        <f t="shared" si="350"/>
        <v/>
      </c>
      <c r="N7411" s="76" t="str">
        <f t="shared" si="351"/>
        <v/>
      </c>
      <c r="O7411" s="33">
        <f t="shared" si="352"/>
        <v>0</v>
      </c>
    </row>
    <row r="7412" spans="1:15" x14ac:dyDescent="0.25">
      <c r="A7412" s="64" t="s">
        <v>196</v>
      </c>
      <c r="B7412" s="79" t="str">
        <f>IF(Thirtieth!B165="", "",Thirtieth!B165)</f>
        <v/>
      </c>
      <c r="C7412" s="66" t="str">
        <f>IF(Thirtieth!C165="", "",Thirtieth!C165)</f>
        <v/>
      </c>
      <c r="D7412" s="66" t="str">
        <f>IF(Thirtieth!D165="", "",Thirtieth!D165)</f>
        <v/>
      </c>
      <c r="E7412" s="66" t="str">
        <f>IF(Thirtieth!E165="", "",Thirtieth!E165)</f>
        <v/>
      </c>
      <c r="F7412" s="66" t="str">
        <f>IF(Thirtieth!F165="", "",Thirtieth!F165)</f>
        <v/>
      </c>
      <c r="G7412" s="66" t="str">
        <f>IF(Thirtieth!G165="", "",Thirtieth!G165)</f>
        <v/>
      </c>
      <c r="H7412" s="66" t="str">
        <f>IF(Thirtieth!H165="", "",Thirtieth!H165)</f>
        <v/>
      </c>
      <c r="I7412" s="66" t="str">
        <f>IF(Thirtieth!I165="", "",Thirtieth!I165)</f>
        <v/>
      </c>
      <c r="J7412" s="66" t="str">
        <f>IF(Thirtieth!J165="", "",Thirtieth!J165)</f>
        <v/>
      </c>
      <c r="K7412" s="86" t="str">
        <f>IF(Thirtieth!K165="", "",Thirtieth!K165)</f>
        <v/>
      </c>
      <c r="M7412" s="67" t="str">
        <f t="shared" si="350"/>
        <v/>
      </c>
      <c r="N7412" s="76" t="str">
        <f t="shared" si="351"/>
        <v/>
      </c>
      <c r="O7412" s="33">
        <f t="shared" si="352"/>
        <v>0</v>
      </c>
    </row>
    <row r="7413" spans="1:15" x14ac:dyDescent="0.25">
      <c r="A7413" s="64" t="s">
        <v>196</v>
      </c>
      <c r="B7413" s="79" t="str">
        <f>IF(Thirtieth!B166="", "",Thirtieth!B166)</f>
        <v/>
      </c>
      <c r="C7413" s="66" t="str">
        <f>IF(Thirtieth!C166="", "",Thirtieth!C166)</f>
        <v/>
      </c>
      <c r="D7413" s="66" t="str">
        <f>IF(Thirtieth!D166="", "",Thirtieth!D166)</f>
        <v/>
      </c>
      <c r="E7413" s="66" t="str">
        <f>IF(Thirtieth!E166="", "",Thirtieth!E166)</f>
        <v/>
      </c>
      <c r="F7413" s="66" t="str">
        <f>IF(Thirtieth!F166="", "",Thirtieth!F166)</f>
        <v/>
      </c>
      <c r="G7413" s="66" t="str">
        <f>IF(Thirtieth!G166="", "",Thirtieth!G166)</f>
        <v/>
      </c>
      <c r="H7413" s="66" t="str">
        <f>IF(Thirtieth!H166="", "",Thirtieth!H166)</f>
        <v/>
      </c>
      <c r="I7413" s="66" t="str">
        <f>IF(Thirtieth!I166="", "",Thirtieth!I166)</f>
        <v/>
      </c>
      <c r="J7413" s="66" t="str">
        <f>IF(Thirtieth!J166="", "",Thirtieth!J166)</f>
        <v/>
      </c>
      <c r="K7413" s="86" t="str">
        <f>IF(Thirtieth!K166="", "",Thirtieth!K166)</f>
        <v/>
      </c>
      <c r="M7413" s="67" t="str">
        <f t="shared" si="350"/>
        <v/>
      </c>
      <c r="N7413" s="76" t="str">
        <f t="shared" si="351"/>
        <v/>
      </c>
      <c r="O7413" s="33">
        <f t="shared" si="352"/>
        <v>0</v>
      </c>
    </row>
    <row r="7414" spans="1:15" x14ac:dyDescent="0.25">
      <c r="A7414" s="64" t="s">
        <v>196</v>
      </c>
      <c r="B7414" s="79" t="str">
        <f>IF(Thirtieth!B167="", "",Thirtieth!B167)</f>
        <v/>
      </c>
      <c r="C7414" s="66" t="str">
        <f>IF(Thirtieth!C167="", "",Thirtieth!C167)</f>
        <v/>
      </c>
      <c r="D7414" s="66" t="str">
        <f>IF(Thirtieth!D167="", "",Thirtieth!D167)</f>
        <v/>
      </c>
      <c r="E7414" s="66" t="str">
        <f>IF(Thirtieth!E167="", "",Thirtieth!E167)</f>
        <v/>
      </c>
      <c r="F7414" s="66" t="str">
        <f>IF(Thirtieth!F167="", "",Thirtieth!F167)</f>
        <v/>
      </c>
      <c r="G7414" s="66" t="str">
        <f>IF(Thirtieth!G167="", "",Thirtieth!G167)</f>
        <v/>
      </c>
      <c r="H7414" s="66" t="str">
        <f>IF(Thirtieth!H167="", "",Thirtieth!H167)</f>
        <v/>
      </c>
      <c r="I7414" s="66" t="str">
        <f>IF(Thirtieth!I167="", "",Thirtieth!I167)</f>
        <v/>
      </c>
      <c r="J7414" s="66" t="str">
        <f>IF(Thirtieth!J167="", "",Thirtieth!J167)</f>
        <v/>
      </c>
      <c r="K7414" s="86" t="str">
        <f>IF(Thirtieth!K167="", "",Thirtieth!K167)</f>
        <v/>
      </c>
      <c r="M7414" s="67" t="str">
        <f t="shared" si="350"/>
        <v/>
      </c>
      <c r="N7414" s="76" t="str">
        <f t="shared" si="351"/>
        <v/>
      </c>
      <c r="O7414" s="33">
        <f t="shared" si="352"/>
        <v>0</v>
      </c>
    </row>
    <row r="7415" spans="1:15" x14ac:dyDescent="0.25">
      <c r="A7415" s="64" t="s">
        <v>196</v>
      </c>
      <c r="B7415" s="79" t="str">
        <f>IF(Thirtieth!B168="", "",Thirtieth!B168)</f>
        <v/>
      </c>
      <c r="C7415" s="66" t="str">
        <f>IF(Thirtieth!C168="", "",Thirtieth!C168)</f>
        <v/>
      </c>
      <c r="D7415" s="66" t="str">
        <f>IF(Thirtieth!D168="", "",Thirtieth!D168)</f>
        <v/>
      </c>
      <c r="E7415" s="66" t="str">
        <f>IF(Thirtieth!E168="", "",Thirtieth!E168)</f>
        <v/>
      </c>
      <c r="F7415" s="66" t="str">
        <f>IF(Thirtieth!F168="", "",Thirtieth!F168)</f>
        <v/>
      </c>
      <c r="G7415" s="66" t="str">
        <f>IF(Thirtieth!G168="", "",Thirtieth!G168)</f>
        <v/>
      </c>
      <c r="H7415" s="66" t="str">
        <f>IF(Thirtieth!H168="", "",Thirtieth!H168)</f>
        <v/>
      </c>
      <c r="I7415" s="66" t="str">
        <f>IF(Thirtieth!I168="", "",Thirtieth!I168)</f>
        <v/>
      </c>
      <c r="J7415" s="66" t="str">
        <f>IF(Thirtieth!J168="", "",Thirtieth!J168)</f>
        <v/>
      </c>
      <c r="K7415" s="86" t="str">
        <f>IF(Thirtieth!K168="", "",Thirtieth!K168)</f>
        <v/>
      </c>
      <c r="M7415" s="67" t="str">
        <f t="shared" si="350"/>
        <v/>
      </c>
      <c r="N7415" s="76" t="str">
        <f t="shared" si="351"/>
        <v/>
      </c>
      <c r="O7415" s="33">
        <f t="shared" si="352"/>
        <v>0</v>
      </c>
    </row>
    <row r="7416" spans="1:15" x14ac:dyDescent="0.25">
      <c r="A7416" s="64" t="s">
        <v>196</v>
      </c>
      <c r="B7416" s="79" t="str">
        <f>IF(Thirtieth!B169="", "",Thirtieth!B169)</f>
        <v/>
      </c>
      <c r="C7416" s="66" t="str">
        <f>IF(Thirtieth!C169="", "",Thirtieth!C169)</f>
        <v/>
      </c>
      <c r="D7416" s="66" t="str">
        <f>IF(Thirtieth!D169="", "",Thirtieth!D169)</f>
        <v/>
      </c>
      <c r="E7416" s="66" t="str">
        <f>IF(Thirtieth!E169="", "",Thirtieth!E169)</f>
        <v/>
      </c>
      <c r="F7416" s="66" t="str">
        <f>IF(Thirtieth!F169="", "",Thirtieth!F169)</f>
        <v/>
      </c>
      <c r="G7416" s="66" t="str">
        <f>IF(Thirtieth!G169="", "",Thirtieth!G169)</f>
        <v/>
      </c>
      <c r="H7416" s="66" t="str">
        <f>IF(Thirtieth!H169="", "",Thirtieth!H169)</f>
        <v/>
      </c>
      <c r="I7416" s="66" t="str">
        <f>IF(Thirtieth!I169="", "",Thirtieth!I169)</f>
        <v/>
      </c>
      <c r="J7416" s="66" t="str">
        <f>IF(Thirtieth!J169="", "",Thirtieth!J169)</f>
        <v/>
      </c>
      <c r="K7416" s="86" t="str">
        <f>IF(Thirtieth!K169="", "",Thirtieth!K169)</f>
        <v/>
      </c>
      <c r="M7416" s="67" t="str">
        <f t="shared" si="350"/>
        <v/>
      </c>
      <c r="N7416" s="76" t="str">
        <f t="shared" si="351"/>
        <v/>
      </c>
      <c r="O7416" s="33">
        <f t="shared" si="352"/>
        <v>0</v>
      </c>
    </row>
    <row r="7417" spans="1:15" x14ac:dyDescent="0.25">
      <c r="A7417" s="64" t="s">
        <v>196</v>
      </c>
      <c r="B7417" s="79" t="str">
        <f>IF(Thirtieth!B170="", "",Thirtieth!B170)</f>
        <v/>
      </c>
      <c r="C7417" s="66" t="str">
        <f>IF(Thirtieth!C170="", "",Thirtieth!C170)</f>
        <v/>
      </c>
      <c r="D7417" s="66" t="str">
        <f>IF(Thirtieth!D170="", "",Thirtieth!D170)</f>
        <v/>
      </c>
      <c r="E7417" s="66" t="str">
        <f>IF(Thirtieth!E170="", "",Thirtieth!E170)</f>
        <v/>
      </c>
      <c r="F7417" s="66" t="str">
        <f>IF(Thirtieth!F170="", "",Thirtieth!F170)</f>
        <v/>
      </c>
      <c r="G7417" s="66" t="str">
        <f>IF(Thirtieth!G170="", "",Thirtieth!G170)</f>
        <v/>
      </c>
      <c r="H7417" s="66" t="str">
        <f>IF(Thirtieth!H170="", "",Thirtieth!H170)</f>
        <v/>
      </c>
      <c r="I7417" s="66" t="str">
        <f>IF(Thirtieth!I170="", "",Thirtieth!I170)</f>
        <v/>
      </c>
      <c r="J7417" s="66" t="str">
        <f>IF(Thirtieth!J170="", "",Thirtieth!J170)</f>
        <v/>
      </c>
      <c r="K7417" s="86" t="str">
        <f>IF(Thirtieth!K170="", "",Thirtieth!K170)</f>
        <v/>
      </c>
      <c r="M7417" s="67" t="str">
        <f t="shared" si="350"/>
        <v/>
      </c>
      <c r="N7417" s="76" t="str">
        <f t="shared" si="351"/>
        <v/>
      </c>
      <c r="O7417" s="33">
        <f t="shared" si="352"/>
        <v>0</v>
      </c>
    </row>
    <row r="7418" spans="1:15" x14ac:dyDescent="0.25">
      <c r="A7418" s="64" t="s">
        <v>196</v>
      </c>
      <c r="B7418" s="79" t="str">
        <f>IF(Thirtieth!B171="", "",Thirtieth!B171)</f>
        <v/>
      </c>
      <c r="C7418" s="66" t="str">
        <f>IF(Thirtieth!C171="", "",Thirtieth!C171)</f>
        <v/>
      </c>
      <c r="D7418" s="66" t="str">
        <f>IF(Thirtieth!D171="", "",Thirtieth!D171)</f>
        <v/>
      </c>
      <c r="E7418" s="66" t="str">
        <f>IF(Thirtieth!E171="", "",Thirtieth!E171)</f>
        <v/>
      </c>
      <c r="F7418" s="66" t="str">
        <f>IF(Thirtieth!F171="", "",Thirtieth!F171)</f>
        <v/>
      </c>
      <c r="G7418" s="66" t="str">
        <f>IF(Thirtieth!G171="", "",Thirtieth!G171)</f>
        <v/>
      </c>
      <c r="H7418" s="66" t="str">
        <f>IF(Thirtieth!H171="", "",Thirtieth!H171)</f>
        <v/>
      </c>
      <c r="I7418" s="66" t="str">
        <f>IF(Thirtieth!I171="", "",Thirtieth!I171)</f>
        <v/>
      </c>
      <c r="J7418" s="66" t="str">
        <f>IF(Thirtieth!J171="", "",Thirtieth!J171)</f>
        <v/>
      </c>
      <c r="K7418" s="86" t="str">
        <f>IF(Thirtieth!K171="", "",Thirtieth!K171)</f>
        <v/>
      </c>
      <c r="M7418" s="67" t="str">
        <f t="shared" si="350"/>
        <v/>
      </c>
      <c r="N7418" s="76" t="str">
        <f t="shared" si="351"/>
        <v/>
      </c>
      <c r="O7418" s="33">
        <f t="shared" si="352"/>
        <v>0</v>
      </c>
    </row>
    <row r="7419" spans="1:15" x14ac:dyDescent="0.25">
      <c r="A7419" s="64" t="s">
        <v>196</v>
      </c>
      <c r="B7419" s="79" t="str">
        <f>IF(Thirtieth!B172="", "",Thirtieth!B172)</f>
        <v/>
      </c>
      <c r="C7419" s="66" t="str">
        <f>IF(Thirtieth!C172="", "",Thirtieth!C172)</f>
        <v/>
      </c>
      <c r="D7419" s="66" t="str">
        <f>IF(Thirtieth!D172="", "",Thirtieth!D172)</f>
        <v/>
      </c>
      <c r="E7419" s="66" t="str">
        <f>IF(Thirtieth!E172="", "",Thirtieth!E172)</f>
        <v/>
      </c>
      <c r="F7419" s="66" t="str">
        <f>IF(Thirtieth!F172="", "",Thirtieth!F172)</f>
        <v/>
      </c>
      <c r="G7419" s="66" t="str">
        <f>IF(Thirtieth!G172="", "",Thirtieth!G172)</f>
        <v/>
      </c>
      <c r="H7419" s="66" t="str">
        <f>IF(Thirtieth!H172="", "",Thirtieth!H172)</f>
        <v/>
      </c>
      <c r="I7419" s="66" t="str">
        <f>IF(Thirtieth!I172="", "",Thirtieth!I172)</f>
        <v/>
      </c>
      <c r="J7419" s="66" t="str">
        <f>IF(Thirtieth!J172="", "",Thirtieth!J172)</f>
        <v/>
      </c>
      <c r="K7419" s="86" t="str">
        <f>IF(Thirtieth!K172="", "",Thirtieth!K172)</f>
        <v/>
      </c>
      <c r="M7419" s="67" t="str">
        <f t="shared" si="350"/>
        <v/>
      </c>
      <c r="N7419" s="76" t="str">
        <f t="shared" si="351"/>
        <v/>
      </c>
      <c r="O7419" s="33">
        <f t="shared" si="352"/>
        <v>0</v>
      </c>
    </row>
    <row r="7420" spans="1:15" x14ac:dyDescent="0.25">
      <c r="A7420" s="64" t="s">
        <v>196</v>
      </c>
      <c r="B7420" s="79" t="str">
        <f>IF(Thirtieth!B173="", "",Thirtieth!B173)</f>
        <v/>
      </c>
      <c r="C7420" s="66" t="str">
        <f>IF(Thirtieth!C173="", "",Thirtieth!C173)</f>
        <v/>
      </c>
      <c r="D7420" s="66" t="str">
        <f>IF(Thirtieth!D173="", "",Thirtieth!D173)</f>
        <v/>
      </c>
      <c r="E7420" s="66" t="str">
        <f>IF(Thirtieth!E173="", "",Thirtieth!E173)</f>
        <v/>
      </c>
      <c r="F7420" s="66" t="str">
        <f>IF(Thirtieth!F173="", "",Thirtieth!F173)</f>
        <v/>
      </c>
      <c r="G7420" s="66" t="str">
        <f>IF(Thirtieth!G173="", "",Thirtieth!G173)</f>
        <v/>
      </c>
      <c r="H7420" s="66" t="str">
        <f>IF(Thirtieth!H173="", "",Thirtieth!H173)</f>
        <v/>
      </c>
      <c r="I7420" s="66" t="str">
        <f>IF(Thirtieth!I173="", "",Thirtieth!I173)</f>
        <v/>
      </c>
      <c r="J7420" s="66" t="str">
        <f>IF(Thirtieth!J173="", "",Thirtieth!J173)</f>
        <v/>
      </c>
      <c r="K7420" s="86" t="str">
        <f>IF(Thirtieth!K173="", "",Thirtieth!K173)</f>
        <v/>
      </c>
      <c r="M7420" s="67" t="str">
        <f t="shared" si="350"/>
        <v/>
      </c>
      <c r="N7420" s="76" t="str">
        <f t="shared" si="351"/>
        <v/>
      </c>
      <c r="O7420" s="33">
        <f t="shared" si="352"/>
        <v>0</v>
      </c>
    </row>
    <row r="7421" spans="1:15" x14ac:dyDescent="0.25">
      <c r="A7421" s="64" t="s">
        <v>196</v>
      </c>
      <c r="B7421" s="79" t="str">
        <f>IF(Thirtieth!B174="", "",Thirtieth!B174)</f>
        <v/>
      </c>
      <c r="C7421" s="66" t="str">
        <f>IF(Thirtieth!C174="", "",Thirtieth!C174)</f>
        <v/>
      </c>
      <c r="D7421" s="66" t="str">
        <f>IF(Thirtieth!D174="", "",Thirtieth!D174)</f>
        <v/>
      </c>
      <c r="E7421" s="66" t="str">
        <f>IF(Thirtieth!E174="", "",Thirtieth!E174)</f>
        <v/>
      </c>
      <c r="F7421" s="66" t="str">
        <f>IF(Thirtieth!F174="", "",Thirtieth!F174)</f>
        <v/>
      </c>
      <c r="G7421" s="66" t="str">
        <f>IF(Thirtieth!G174="", "",Thirtieth!G174)</f>
        <v/>
      </c>
      <c r="H7421" s="66" t="str">
        <f>IF(Thirtieth!H174="", "",Thirtieth!H174)</f>
        <v/>
      </c>
      <c r="I7421" s="66" t="str">
        <f>IF(Thirtieth!I174="", "",Thirtieth!I174)</f>
        <v/>
      </c>
      <c r="J7421" s="66" t="str">
        <f>IF(Thirtieth!J174="", "",Thirtieth!J174)</f>
        <v/>
      </c>
      <c r="K7421" s="86" t="str">
        <f>IF(Thirtieth!K174="", "",Thirtieth!K174)</f>
        <v/>
      </c>
      <c r="M7421" s="67" t="str">
        <f t="shared" si="350"/>
        <v/>
      </c>
      <c r="N7421" s="76" t="str">
        <f t="shared" si="351"/>
        <v/>
      </c>
      <c r="O7421" s="33">
        <f t="shared" si="352"/>
        <v>0</v>
      </c>
    </row>
    <row r="7422" spans="1:15" x14ac:dyDescent="0.25">
      <c r="A7422" s="64" t="s">
        <v>196</v>
      </c>
      <c r="B7422" s="79" t="str">
        <f>IF(Thirtieth!B175="", "",Thirtieth!B175)</f>
        <v/>
      </c>
      <c r="C7422" s="66" t="str">
        <f>IF(Thirtieth!C175="", "",Thirtieth!C175)</f>
        <v/>
      </c>
      <c r="D7422" s="66" t="str">
        <f>IF(Thirtieth!D175="", "",Thirtieth!D175)</f>
        <v/>
      </c>
      <c r="E7422" s="66" t="str">
        <f>IF(Thirtieth!E175="", "",Thirtieth!E175)</f>
        <v/>
      </c>
      <c r="F7422" s="66" t="str">
        <f>IF(Thirtieth!F175="", "",Thirtieth!F175)</f>
        <v/>
      </c>
      <c r="G7422" s="66" t="str">
        <f>IF(Thirtieth!G175="", "",Thirtieth!G175)</f>
        <v/>
      </c>
      <c r="H7422" s="66" t="str">
        <f>IF(Thirtieth!H175="", "",Thirtieth!H175)</f>
        <v/>
      </c>
      <c r="I7422" s="66" t="str">
        <f>IF(Thirtieth!I175="", "",Thirtieth!I175)</f>
        <v/>
      </c>
      <c r="J7422" s="66" t="str">
        <f>IF(Thirtieth!J175="", "",Thirtieth!J175)</f>
        <v/>
      </c>
      <c r="K7422" s="86" t="str">
        <f>IF(Thirtieth!K175="", "",Thirtieth!K175)</f>
        <v/>
      </c>
      <c r="M7422" s="67" t="str">
        <f t="shared" si="350"/>
        <v/>
      </c>
      <c r="N7422" s="76" t="str">
        <f t="shared" si="351"/>
        <v/>
      </c>
      <c r="O7422" s="33">
        <f t="shared" si="352"/>
        <v>0</v>
      </c>
    </row>
    <row r="7423" spans="1:15" x14ac:dyDescent="0.25">
      <c r="A7423" s="64" t="s">
        <v>196</v>
      </c>
      <c r="B7423" s="79" t="str">
        <f>IF(Thirtieth!B176="", "",Thirtieth!B176)</f>
        <v/>
      </c>
      <c r="C7423" s="66" t="str">
        <f>IF(Thirtieth!C176="", "",Thirtieth!C176)</f>
        <v/>
      </c>
      <c r="D7423" s="66" t="str">
        <f>IF(Thirtieth!D176="", "",Thirtieth!D176)</f>
        <v/>
      </c>
      <c r="E7423" s="66" t="str">
        <f>IF(Thirtieth!E176="", "",Thirtieth!E176)</f>
        <v/>
      </c>
      <c r="F7423" s="66" t="str">
        <f>IF(Thirtieth!F176="", "",Thirtieth!F176)</f>
        <v/>
      </c>
      <c r="G7423" s="66" t="str">
        <f>IF(Thirtieth!G176="", "",Thirtieth!G176)</f>
        <v/>
      </c>
      <c r="H7423" s="66" t="str">
        <f>IF(Thirtieth!H176="", "",Thirtieth!H176)</f>
        <v/>
      </c>
      <c r="I7423" s="66" t="str">
        <f>IF(Thirtieth!I176="", "",Thirtieth!I176)</f>
        <v/>
      </c>
      <c r="J7423" s="66" t="str">
        <f>IF(Thirtieth!J176="", "",Thirtieth!J176)</f>
        <v/>
      </c>
      <c r="K7423" s="86" t="str">
        <f>IF(Thirtieth!K176="", "",Thirtieth!K176)</f>
        <v/>
      </c>
      <c r="M7423" s="67" t="str">
        <f t="shared" ref="M7423:M7486" si="353">IF(C7423="PwC",(7-COUNTIF(B7423:H7423,"")),"")</f>
        <v/>
      </c>
      <c r="N7423" s="76" t="str">
        <f t="shared" ref="N7423:N7486" si="354">IF(C7423="Carer",(7-COUNTIF(B7423:H7423,"")),"")</f>
        <v/>
      </c>
      <c r="O7423" s="33">
        <f t="shared" si="352"/>
        <v>0</v>
      </c>
    </row>
    <row r="7424" spans="1:15" x14ac:dyDescent="0.25">
      <c r="A7424" s="64" t="s">
        <v>196</v>
      </c>
      <c r="B7424" s="79" t="str">
        <f>IF(Thirtieth!B177="", "",Thirtieth!B177)</f>
        <v/>
      </c>
      <c r="C7424" s="66" t="str">
        <f>IF(Thirtieth!C177="", "",Thirtieth!C177)</f>
        <v/>
      </c>
      <c r="D7424" s="66" t="str">
        <f>IF(Thirtieth!D177="", "",Thirtieth!D177)</f>
        <v/>
      </c>
      <c r="E7424" s="66" t="str">
        <f>IF(Thirtieth!E177="", "",Thirtieth!E177)</f>
        <v/>
      </c>
      <c r="F7424" s="66" t="str">
        <f>IF(Thirtieth!F177="", "",Thirtieth!F177)</f>
        <v/>
      </c>
      <c r="G7424" s="66" t="str">
        <f>IF(Thirtieth!G177="", "",Thirtieth!G177)</f>
        <v/>
      </c>
      <c r="H7424" s="66" t="str">
        <f>IF(Thirtieth!H177="", "",Thirtieth!H177)</f>
        <v/>
      </c>
      <c r="I7424" s="66" t="str">
        <f>IF(Thirtieth!I177="", "",Thirtieth!I177)</f>
        <v/>
      </c>
      <c r="J7424" s="66" t="str">
        <f>IF(Thirtieth!J177="", "",Thirtieth!J177)</f>
        <v/>
      </c>
      <c r="K7424" s="86" t="str">
        <f>IF(Thirtieth!K177="", "",Thirtieth!K177)</f>
        <v/>
      </c>
      <c r="M7424" s="67" t="str">
        <f t="shared" si="353"/>
        <v/>
      </c>
      <c r="N7424" s="76" t="str">
        <f t="shared" si="354"/>
        <v/>
      </c>
      <c r="O7424" s="33">
        <f t="shared" si="352"/>
        <v>0</v>
      </c>
    </row>
    <row r="7425" spans="1:15" x14ac:dyDescent="0.25">
      <c r="A7425" s="64" t="s">
        <v>196</v>
      </c>
      <c r="B7425" s="79" t="str">
        <f>IF(Thirtieth!B178="", "",Thirtieth!B178)</f>
        <v/>
      </c>
      <c r="C7425" s="66" t="str">
        <f>IF(Thirtieth!C178="", "",Thirtieth!C178)</f>
        <v/>
      </c>
      <c r="D7425" s="66" t="str">
        <f>IF(Thirtieth!D178="", "",Thirtieth!D178)</f>
        <v/>
      </c>
      <c r="E7425" s="66" t="str">
        <f>IF(Thirtieth!E178="", "",Thirtieth!E178)</f>
        <v/>
      </c>
      <c r="F7425" s="66" t="str">
        <f>IF(Thirtieth!F178="", "",Thirtieth!F178)</f>
        <v/>
      </c>
      <c r="G7425" s="66" t="str">
        <f>IF(Thirtieth!G178="", "",Thirtieth!G178)</f>
        <v/>
      </c>
      <c r="H7425" s="66" t="str">
        <f>IF(Thirtieth!H178="", "",Thirtieth!H178)</f>
        <v/>
      </c>
      <c r="I7425" s="66" t="str">
        <f>IF(Thirtieth!I178="", "",Thirtieth!I178)</f>
        <v/>
      </c>
      <c r="J7425" s="66" t="str">
        <f>IF(Thirtieth!J178="", "",Thirtieth!J178)</f>
        <v/>
      </c>
      <c r="K7425" s="86" t="str">
        <f>IF(Thirtieth!K178="", "",Thirtieth!K178)</f>
        <v/>
      </c>
      <c r="M7425" s="67" t="str">
        <f t="shared" si="353"/>
        <v/>
      </c>
      <c r="N7425" s="76" t="str">
        <f t="shared" si="354"/>
        <v/>
      </c>
      <c r="O7425" s="33">
        <f t="shared" si="352"/>
        <v>0</v>
      </c>
    </row>
    <row r="7426" spans="1:15" x14ac:dyDescent="0.25">
      <c r="A7426" s="64" t="s">
        <v>196</v>
      </c>
      <c r="B7426" s="79" t="str">
        <f>IF(Thirtieth!B179="", "",Thirtieth!B179)</f>
        <v/>
      </c>
      <c r="C7426" s="66" t="str">
        <f>IF(Thirtieth!C179="", "",Thirtieth!C179)</f>
        <v/>
      </c>
      <c r="D7426" s="66" t="str">
        <f>IF(Thirtieth!D179="", "",Thirtieth!D179)</f>
        <v/>
      </c>
      <c r="E7426" s="66" t="str">
        <f>IF(Thirtieth!E179="", "",Thirtieth!E179)</f>
        <v/>
      </c>
      <c r="F7426" s="66" t="str">
        <f>IF(Thirtieth!F179="", "",Thirtieth!F179)</f>
        <v/>
      </c>
      <c r="G7426" s="66" t="str">
        <f>IF(Thirtieth!G179="", "",Thirtieth!G179)</f>
        <v/>
      </c>
      <c r="H7426" s="66" t="str">
        <f>IF(Thirtieth!H179="", "",Thirtieth!H179)</f>
        <v/>
      </c>
      <c r="I7426" s="66" t="str">
        <f>IF(Thirtieth!I179="", "",Thirtieth!I179)</f>
        <v/>
      </c>
      <c r="J7426" s="66" t="str">
        <f>IF(Thirtieth!J179="", "",Thirtieth!J179)</f>
        <v/>
      </c>
      <c r="K7426" s="86" t="str">
        <f>IF(Thirtieth!K179="", "",Thirtieth!K179)</f>
        <v/>
      </c>
      <c r="M7426" s="67" t="str">
        <f t="shared" si="353"/>
        <v/>
      </c>
      <c r="N7426" s="76" t="str">
        <f t="shared" si="354"/>
        <v/>
      </c>
      <c r="O7426" s="33">
        <f t="shared" si="352"/>
        <v>0</v>
      </c>
    </row>
    <row r="7427" spans="1:15" x14ac:dyDescent="0.25">
      <c r="A7427" s="64" t="s">
        <v>196</v>
      </c>
      <c r="B7427" s="79" t="str">
        <f>IF(Thirtieth!B180="", "",Thirtieth!B180)</f>
        <v/>
      </c>
      <c r="C7427" s="66" t="str">
        <f>IF(Thirtieth!C180="", "",Thirtieth!C180)</f>
        <v/>
      </c>
      <c r="D7427" s="66" t="str">
        <f>IF(Thirtieth!D180="", "",Thirtieth!D180)</f>
        <v/>
      </c>
      <c r="E7427" s="66" t="str">
        <f>IF(Thirtieth!E180="", "",Thirtieth!E180)</f>
        <v/>
      </c>
      <c r="F7427" s="66" t="str">
        <f>IF(Thirtieth!F180="", "",Thirtieth!F180)</f>
        <v/>
      </c>
      <c r="G7427" s="66" t="str">
        <f>IF(Thirtieth!G180="", "",Thirtieth!G180)</f>
        <v/>
      </c>
      <c r="H7427" s="66" t="str">
        <f>IF(Thirtieth!H180="", "",Thirtieth!H180)</f>
        <v/>
      </c>
      <c r="I7427" s="66" t="str">
        <f>IF(Thirtieth!I180="", "",Thirtieth!I180)</f>
        <v/>
      </c>
      <c r="J7427" s="66" t="str">
        <f>IF(Thirtieth!J180="", "",Thirtieth!J180)</f>
        <v/>
      </c>
      <c r="K7427" s="86" t="str">
        <f>IF(Thirtieth!K180="", "",Thirtieth!K180)</f>
        <v/>
      </c>
      <c r="M7427" s="67" t="str">
        <f t="shared" si="353"/>
        <v/>
      </c>
      <c r="N7427" s="76" t="str">
        <f t="shared" si="354"/>
        <v/>
      </c>
      <c r="O7427" s="33">
        <f t="shared" si="352"/>
        <v>0</v>
      </c>
    </row>
    <row r="7428" spans="1:15" x14ac:dyDescent="0.25">
      <c r="A7428" s="64" t="s">
        <v>196</v>
      </c>
      <c r="B7428" s="79" t="str">
        <f>IF(Thirtieth!B181="", "",Thirtieth!B181)</f>
        <v/>
      </c>
      <c r="C7428" s="66" t="str">
        <f>IF(Thirtieth!C181="", "",Thirtieth!C181)</f>
        <v/>
      </c>
      <c r="D7428" s="66" t="str">
        <f>IF(Thirtieth!D181="", "",Thirtieth!D181)</f>
        <v/>
      </c>
      <c r="E7428" s="66" t="str">
        <f>IF(Thirtieth!E181="", "",Thirtieth!E181)</f>
        <v/>
      </c>
      <c r="F7428" s="66" t="str">
        <f>IF(Thirtieth!F181="", "",Thirtieth!F181)</f>
        <v/>
      </c>
      <c r="G7428" s="66" t="str">
        <f>IF(Thirtieth!G181="", "",Thirtieth!G181)</f>
        <v/>
      </c>
      <c r="H7428" s="66" t="str">
        <f>IF(Thirtieth!H181="", "",Thirtieth!H181)</f>
        <v/>
      </c>
      <c r="I7428" s="66" t="str">
        <f>IF(Thirtieth!I181="", "",Thirtieth!I181)</f>
        <v/>
      </c>
      <c r="J7428" s="66" t="str">
        <f>IF(Thirtieth!J181="", "",Thirtieth!J181)</f>
        <v/>
      </c>
      <c r="K7428" s="86" t="str">
        <f>IF(Thirtieth!K181="", "",Thirtieth!K181)</f>
        <v/>
      </c>
      <c r="M7428" s="67" t="str">
        <f t="shared" si="353"/>
        <v/>
      </c>
      <c r="N7428" s="76" t="str">
        <f t="shared" si="354"/>
        <v/>
      </c>
      <c r="O7428" s="33">
        <f t="shared" si="352"/>
        <v>0</v>
      </c>
    </row>
    <row r="7429" spans="1:15" x14ac:dyDescent="0.25">
      <c r="A7429" s="64" t="s">
        <v>196</v>
      </c>
      <c r="B7429" s="79" t="str">
        <f>IF(Thirtieth!B182="", "",Thirtieth!B182)</f>
        <v/>
      </c>
      <c r="C7429" s="66" t="str">
        <f>IF(Thirtieth!C182="", "",Thirtieth!C182)</f>
        <v/>
      </c>
      <c r="D7429" s="66" t="str">
        <f>IF(Thirtieth!D182="", "",Thirtieth!D182)</f>
        <v/>
      </c>
      <c r="E7429" s="66" t="str">
        <f>IF(Thirtieth!E182="", "",Thirtieth!E182)</f>
        <v/>
      </c>
      <c r="F7429" s="66" t="str">
        <f>IF(Thirtieth!F182="", "",Thirtieth!F182)</f>
        <v/>
      </c>
      <c r="G7429" s="66" t="str">
        <f>IF(Thirtieth!G182="", "",Thirtieth!G182)</f>
        <v/>
      </c>
      <c r="H7429" s="66" t="str">
        <f>IF(Thirtieth!H182="", "",Thirtieth!H182)</f>
        <v/>
      </c>
      <c r="I7429" s="66" t="str">
        <f>IF(Thirtieth!I182="", "",Thirtieth!I182)</f>
        <v/>
      </c>
      <c r="J7429" s="66" t="str">
        <f>IF(Thirtieth!J182="", "",Thirtieth!J182)</f>
        <v/>
      </c>
      <c r="K7429" s="86" t="str">
        <f>IF(Thirtieth!K182="", "",Thirtieth!K182)</f>
        <v/>
      </c>
      <c r="M7429" s="67" t="str">
        <f t="shared" si="353"/>
        <v/>
      </c>
      <c r="N7429" s="76" t="str">
        <f t="shared" si="354"/>
        <v/>
      </c>
      <c r="O7429" s="33">
        <f t="shared" si="352"/>
        <v>0</v>
      </c>
    </row>
    <row r="7430" spans="1:15" x14ac:dyDescent="0.25">
      <c r="A7430" s="64" t="s">
        <v>196</v>
      </c>
      <c r="B7430" s="79" t="str">
        <f>IF(Thirtieth!B183="", "",Thirtieth!B183)</f>
        <v/>
      </c>
      <c r="C7430" s="66" t="str">
        <f>IF(Thirtieth!C183="", "",Thirtieth!C183)</f>
        <v/>
      </c>
      <c r="D7430" s="66" t="str">
        <f>IF(Thirtieth!D183="", "",Thirtieth!D183)</f>
        <v/>
      </c>
      <c r="E7430" s="66" t="str">
        <f>IF(Thirtieth!E183="", "",Thirtieth!E183)</f>
        <v/>
      </c>
      <c r="F7430" s="66" t="str">
        <f>IF(Thirtieth!F183="", "",Thirtieth!F183)</f>
        <v/>
      </c>
      <c r="G7430" s="66" t="str">
        <f>IF(Thirtieth!G183="", "",Thirtieth!G183)</f>
        <v/>
      </c>
      <c r="H7430" s="66" t="str">
        <f>IF(Thirtieth!H183="", "",Thirtieth!H183)</f>
        <v/>
      </c>
      <c r="I7430" s="66" t="str">
        <f>IF(Thirtieth!I183="", "",Thirtieth!I183)</f>
        <v/>
      </c>
      <c r="J7430" s="66" t="str">
        <f>IF(Thirtieth!J183="", "",Thirtieth!J183)</f>
        <v/>
      </c>
      <c r="K7430" s="86" t="str">
        <f>IF(Thirtieth!K183="", "",Thirtieth!K183)</f>
        <v/>
      </c>
      <c r="M7430" s="67" t="str">
        <f t="shared" si="353"/>
        <v/>
      </c>
      <c r="N7430" s="76" t="str">
        <f t="shared" si="354"/>
        <v/>
      </c>
      <c r="O7430" s="33">
        <f t="shared" si="352"/>
        <v>0</v>
      </c>
    </row>
    <row r="7431" spans="1:15" x14ac:dyDescent="0.25">
      <c r="A7431" s="64" t="s">
        <v>196</v>
      </c>
      <c r="B7431" s="79" t="str">
        <f>IF(Thirtieth!B184="", "",Thirtieth!B184)</f>
        <v/>
      </c>
      <c r="C7431" s="66" t="str">
        <f>IF(Thirtieth!C184="", "",Thirtieth!C184)</f>
        <v/>
      </c>
      <c r="D7431" s="66" t="str">
        <f>IF(Thirtieth!D184="", "",Thirtieth!D184)</f>
        <v/>
      </c>
      <c r="E7431" s="66" t="str">
        <f>IF(Thirtieth!E184="", "",Thirtieth!E184)</f>
        <v/>
      </c>
      <c r="F7431" s="66" t="str">
        <f>IF(Thirtieth!F184="", "",Thirtieth!F184)</f>
        <v/>
      </c>
      <c r="G7431" s="66" t="str">
        <f>IF(Thirtieth!G184="", "",Thirtieth!G184)</f>
        <v/>
      </c>
      <c r="H7431" s="66" t="str">
        <f>IF(Thirtieth!H184="", "",Thirtieth!H184)</f>
        <v/>
      </c>
      <c r="I7431" s="66" t="str">
        <f>IF(Thirtieth!I184="", "",Thirtieth!I184)</f>
        <v/>
      </c>
      <c r="J7431" s="66" t="str">
        <f>IF(Thirtieth!J184="", "",Thirtieth!J184)</f>
        <v/>
      </c>
      <c r="K7431" s="86" t="str">
        <f>IF(Thirtieth!K184="", "",Thirtieth!K184)</f>
        <v/>
      </c>
      <c r="M7431" s="67" t="str">
        <f t="shared" si="353"/>
        <v/>
      </c>
      <c r="N7431" s="76" t="str">
        <f t="shared" si="354"/>
        <v/>
      </c>
      <c r="O7431" s="33">
        <f t="shared" si="352"/>
        <v>0</v>
      </c>
    </row>
    <row r="7432" spans="1:15" x14ac:dyDescent="0.25">
      <c r="A7432" s="64" t="s">
        <v>196</v>
      </c>
      <c r="B7432" s="79" t="str">
        <f>IF(Thirtieth!B185="", "",Thirtieth!B185)</f>
        <v/>
      </c>
      <c r="C7432" s="66" t="str">
        <f>IF(Thirtieth!C185="", "",Thirtieth!C185)</f>
        <v/>
      </c>
      <c r="D7432" s="66" t="str">
        <f>IF(Thirtieth!D185="", "",Thirtieth!D185)</f>
        <v/>
      </c>
      <c r="E7432" s="66" t="str">
        <f>IF(Thirtieth!E185="", "",Thirtieth!E185)</f>
        <v/>
      </c>
      <c r="F7432" s="66" t="str">
        <f>IF(Thirtieth!F185="", "",Thirtieth!F185)</f>
        <v/>
      </c>
      <c r="G7432" s="66" t="str">
        <f>IF(Thirtieth!G185="", "",Thirtieth!G185)</f>
        <v/>
      </c>
      <c r="H7432" s="66" t="str">
        <f>IF(Thirtieth!H185="", "",Thirtieth!H185)</f>
        <v/>
      </c>
      <c r="I7432" s="66" t="str">
        <f>IF(Thirtieth!I185="", "",Thirtieth!I185)</f>
        <v/>
      </c>
      <c r="J7432" s="66" t="str">
        <f>IF(Thirtieth!J185="", "",Thirtieth!J185)</f>
        <v/>
      </c>
      <c r="K7432" s="86" t="str">
        <f>IF(Thirtieth!K185="", "",Thirtieth!K185)</f>
        <v/>
      </c>
      <c r="M7432" s="67" t="str">
        <f t="shared" si="353"/>
        <v/>
      </c>
      <c r="N7432" s="76" t="str">
        <f t="shared" si="354"/>
        <v/>
      </c>
      <c r="O7432" s="33">
        <f t="shared" si="352"/>
        <v>0</v>
      </c>
    </row>
    <row r="7433" spans="1:15" x14ac:dyDescent="0.25">
      <c r="A7433" s="64" t="s">
        <v>196</v>
      </c>
      <c r="B7433" s="79" t="str">
        <f>IF(Thirtieth!B186="", "",Thirtieth!B186)</f>
        <v/>
      </c>
      <c r="C7433" s="66" t="str">
        <f>IF(Thirtieth!C186="", "",Thirtieth!C186)</f>
        <v/>
      </c>
      <c r="D7433" s="66" t="str">
        <f>IF(Thirtieth!D186="", "",Thirtieth!D186)</f>
        <v/>
      </c>
      <c r="E7433" s="66" t="str">
        <f>IF(Thirtieth!E186="", "",Thirtieth!E186)</f>
        <v/>
      </c>
      <c r="F7433" s="66" t="str">
        <f>IF(Thirtieth!F186="", "",Thirtieth!F186)</f>
        <v/>
      </c>
      <c r="G7433" s="66" t="str">
        <f>IF(Thirtieth!G186="", "",Thirtieth!G186)</f>
        <v/>
      </c>
      <c r="H7433" s="66" t="str">
        <f>IF(Thirtieth!H186="", "",Thirtieth!H186)</f>
        <v/>
      </c>
      <c r="I7433" s="66" t="str">
        <f>IF(Thirtieth!I186="", "",Thirtieth!I186)</f>
        <v/>
      </c>
      <c r="J7433" s="66" t="str">
        <f>IF(Thirtieth!J186="", "",Thirtieth!J186)</f>
        <v/>
      </c>
      <c r="K7433" s="86" t="str">
        <f>IF(Thirtieth!K186="", "",Thirtieth!K186)</f>
        <v/>
      </c>
      <c r="M7433" s="67" t="str">
        <f t="shared" si="353"/>
        <v/>
      </c>
      <c r="N7433" s="76" t="str">
        <f t="shared" si="354"/>
        <v/>
      </c>
      <c r="O7433" s="33">
        <f t="shared" si="352"/>
        <v>0</v>
      </c>
    </row>
    <row r="7434" spans="1:15" x14ac:dyDescent="0.25">
      <c r="A7434" s="64" t="s">
        <v>196</v>
      </c>
      <c r="B7434" s="79" t="str">
        <f>IF(Thirtieth!B187="", "",Thirtieth!B187)</f>
        <v/>
      </c>
      <c r="C7434" s="66" t="str">
        <f>IF(Thirtieth!C187="", "",Thirtieth!C187)</f>
        <v/>
      </c>
      <c r="D7434" s="66" t="str">
        <f>IF(Thirtieth!D187="", "",Thirtieth!D187)</f>
        <v/>
      </c>
      <c r="E7434" s="66" t="str">
        <f>IF(Thirtieth!E187="", "",Thirtieth!E187)</f>
        <v/>
      </c>
      <c r="F7434" s="66" t="str">
        <f>IF(Thirtieth!F187="", "",Thirtieth!F187)</f>
        <v/>
      </c>
      <c r="G7434" s="66" t="str">
        <f>IF(Thirtieth!G187="", "",Thirtieth!G187)</f>
        <v/>
      </c>
      <c r="H7434" s="66" t="str">
        <f>IF(Thirtieth!H187="", "",Thirtieth!H187)</f>
        <v/>
      </c>
      <c r="I7434" s="66" t="str">
        <f>IF(Thirtieth!I187="", "",Thirtieth!I187)</f>
        <v/>
      </c>
      <c r="J7434" s="66" t="str">
        <f>IF(Thirtieth!J187="", "",Thirtieth!J187)</f>
        <v/>
      </c>
      <c r="K7434" s="86" t="str">
        <f>IF(Thirtieth!K187="", "",Thirtieth!K187)</f>
        <v/>
      </c>
      <c r="M7434" s="67" t="str">
        <f t="shared" si="353"/>
        <v/>
      </c>
      <c r="N7434" s="76" t="str">
        <f t="shared" si="354"/>
        <v/>
      </c>
      <c r="O7434" s="33">
        <f t="shared" ref="O7434:O7497" si="355">SUM(M7434:N7434)</f>
        <v>0</v>
      </c>
    </row>
    <row r="7435" spans="1:15" x14ac:dyDescent="0.25">
      <c r="A7435" s="64" t="s">
        <v>196</v>
      </c>
      <c r="B7435" s="79" t="str">
        <f>IF(Thirtieth!B188="", "",Thirtieth!B188)</f>
        <v/>
      </c>
      <c r="C7435" s="66" t="str">
        <f>IF(Thirtieth!C188="", "",Thirtieth!C188)</f>
        <v/>
      </c>
      <c r="D7435" s="66" t="str">
        <f>IF(Thirtieth!D188="", "",Thirtieth!D188)</f>
        <v/>
      </c>
      <c r="E7435" s="66" t="str">
        <f>IF(Thirtieth!E188="", "",Thirtieth!E188)</f>
        <v/>
      </c>
      <c r="F7435" s="66" t="str">
        <f>IF(Thirtieth!F188="", "",Thirtieth!F188)</f>
        <v/>
      </c>
      <c r="G7435" s="66" t="str">
        <f>IF(Thirtieth!G188="", "",Thirtieth!G188)</f>
        <v/>
      </c>
      <c r="H7435" s="66" t="str">
        <f>IF(Thirtieth!H188="", "",Thirtieth!H188)</f>
        <v/>
      </c>
      <c r="I7435" s="66" t="str">
        <f>IF(Thirtieth!I188="", "",Thirtieth!I188)</f>
        <v/>
      </c>
      <c r="J7435" s="66" t="str">
        <f>IF(Thirtieth!J188="", "",Thirtieth!J188)</f>
        <v/>
      </c>
      <c r="K7435" s="86" t="str">
        <f>IF(Thirtieth!K188="", "",Thirtieth!K188)</f>
        <v/>
      </c>
      <c r="M7435" s="67" t="str">
        <f t="shared" si="353"/>
        <v/>
      </c>
      <c r="N7435" s="76" t="str">
        <f t="shared" si="354"/>
        <v/>
      </c>
      <c r="O7435" s="33">
        <f t="shared" si="355"/>
        <v>0</v>
      </c>
    </row>
    <row r="7436" spans="1:15" x14ac:dyDescent="0.25">
      <c r="A7436" s="64" t="s">
        <v>196</v>
      </c>
      <c r="B7436" s="79" t="str">
        <f>IF(Thirtieth!B189="", "",Thirtieth!B189)</f>
        <v/>
      </c>
      <c r="C7436" s="66" t="str">
        <f>IF(Thirtieth!C189="", "",Thirtieth!C189)</f>
        <v/>
      </c>
      <c r="D7436" s="66" t="str">
        <f>IF(Thirtieth!D189="", "",Thirtieth!D189)</f>
        <v/>
      </c>
      <c r="E7436" s="66" t="str">
        <f>IF(Thirtieth!E189="", "",Thirtieth!E189)</f>
        <v/>
      </c>
      <c r="F7436" s="66" t="str">
        <f>IF(Thirtieth!F189="", "",Thirtieth!F189)</f>
        <v/>
      </c>
      <c r="G7436" s="66" t="str">
        <f>IF(Thirtieth!G189="", "",Thirtieth!G189)</f>
        <v/>
      </c>
      <c r="H7436" s="66" t="str">
        <f>IF(Thirtieth!H189="", "",Thirtieth!H189)</f>
        <v/>
      </c>
      <c r="I7436" s="66" t="str">
        <f>IF(Thirtieth!I189="", "",Thirtieth!I189)</f>
        <v/>
      </c>
      <c r="J7436" s="66" t="str">
        <f>IF(Thirtieth!J189="", "",Thirtieth!J189)</f>
        <v/>
      </c>
      <c r="K7436" s="86" t="str">
        <f>IF(Thirtieth!K189="", "",Thirtieth!K189)</f>
        <v/>
      </c>
      <c r="M7436" s="67" t="str">
        <f t="shared" si="353"/>
        <v/>
      </c>
      <c r="N7436" s="76" t="str">
        <f t="shared" si="354"/>
        <v/>
      </c>
      <c r="O7436" s="33">
        <f t="shared" si="355"/>
        <v>0</v>
      </c>
    </row>
    <row r="7437" spans="1:15" x14ac:dyDescent="0.25">
      <c r="A7437" s="64" t="s">
        <v>196</v>
      </c>
      <c r="B7437" s="79" t="str">
        <f>IF(Thirtieth!B190="", "",Thirtieth!B190)</f>
        <v/>
      </c>
      <c r="C7437" s="66" t="str">
        <f>IF(Thirtieth!C190="", "",Thirtieth!C190)</f>
        <v/>
      </c>
      <c r="D7437" s="66" t="str">
        <f>IF(Thirtieth!D190="", "",Thirtieth!D190)</f>
        <v/>
      </c>
      <c r="E7437" s="66" t="str">
        <f>IF(Thirtieth!E190="", "",Thirtieth!E190)</f>
        <v/>
      </c>
      <c r="F7437" s="66" t="str">
        <f>IF(Thirtieth!F190="", "",Thirtieth!F190)</f>
        <v/>
      </c>
      <c r="G7437" s="66" t="str">
        <f>IF(Thirtieth!G190="", "",Thirtieth!G190)</f>
        <v/>
      </c>
      <c r="H7437" s="66" t="str">
        <f>IF(Thirtieth!H190="", "",Thirtieth!H190)</f>
        <v/>
      </c>
      <c r="I7437" s="66" t="str">
        <f>IF(Thirtieth!I190="", "",Thirtieth!I190)</f>
        <v/>
      </c>
      <c r="J7437" s="66" t="str">
        <f>IF(Thirtieth!J190="", "",Thirtieth!J190)</f>
        <v/>
      </c>
      <c r="K7437" s="86" t="str">
        <f>IF(Thirtieth!K190="", "",Thirtieth!K190)</f>
        <v/>
      </c>
      <c r="M7437" s="67" t="str">
        <f t="shared" si="353"/>
        <v/>
      </c>
      <c r="N7437" s="76" t="str">
        <f t="shared" si="354"/>
        <v/>
      </c>
      <c r="O7437" s="33">
        <f t="shared" si="355"/>
        <v>0</v>
      </c>
    </row>
    <row r="7438" spans="1:15" x14ac:dyDescent="0.25">
      <c r="A7438" s="64" t="s">
        <v>196</v>
      </c>
      <c r="B7438" s="79" t="str">
        <f>IF(Thirtieth!B191="", "",Thirtieth!B191)</f>
        <v/>
      </c>
      <c r="C7438" s="66" t="str">
        <f>IF(Thirtieth!C191="", "",Thirtieth!C191)</f>
        <v/>
      </c>
      <c r="D7438" s="66" t="str">
        <f>IF(Thirtieth!D191="", "",Thirtieth!D191)</f>
        <v/>
      </c>
      <c r="E7438" s="66" t="str">
        <f>IF(Thirtieth!E191="", "",Thirtieth!E191)</f>
        <v/>
      </c>
      <c r="F7438" s="66" t="str">
        <f>IF(Thirtieth!F191="", "",Thirtieth!F191)</f>
        <v/>
      </c>
      <c r="G7438" s="66" t="str">
        <f>IF(Thirtieth!G191="", "",Thirtieth!G191)</f>
        <v/>
      </c>
      <c r="H7438" s="66" t="str">
        <f>IF(Thirtieth!H191="", "",Thirtieth!H191)</f>
        <v/>
      </c>
      <c r="I7438" s="66" t="str">
        <f>IF(Thirtieth!I191="", "",Thirtieth!I191)</f>
        <v/>
      </c>
      <c r="J7438" s="66" t="str">
        <f>IF(Thirtieth!J191="", "",Thirtieth!J191)</f>
        <v/>
      </c>
      <c r="K7438" s="86" t="str">
        <f>IF(Thirtieth!K191="", "",Thirtieth!K191)</f>
        <v/>
      </c>
      <c r="M7438" s="67" t="str">
        <f t="shared" si="353"/>
        <v/>
      </c>
      <c r="N7438" s="76" t="str">
        <f t="shared" si="354"/>
        <v/>
      </c>
      <c r="O7438" s="33">
        <f t="shared" si="355"/>
        <v>0</v>
      </c>
    </row>
    <row r="7439" spans="1:15" x14ac:dyDescent="0.25">
      <c r="A7439" s="64" t="s">
        <v>196</v>
      </c>
      <c r="B7439" s="79" t="str">
        <f>IF(Thirtieth!B192="", "",Thirtieth!B192)</f>
        <v/>
      </c>
      <c r="C7439" s="66" t="str">
        <f>IF(Thirtieth!C192="", "",Thirtieth!C192)</f>
        <v/>
      </c>
      <c r="D7439" s="66" t="str">
        <f>IF(Thirtieth!D192="", "",Thirtieth!D192)</f>
        <v/>
      </c>
      <c r="E7439" s="66" t="str">
        <f>IF(Thirtieth!E192="", "",Thirtieth!E192)</f>
        <v/>
      </c>
      <c r="F7439" s="66" t="str">
        <f>IF(Thirtieth!F192="", "",Thirtieth!F192)</f>
        <v/>
      </c>
      <c r="G7439" s="66" t="str">
        <f>IF(Thirtieth!G192="", "",Thirtieth!G192)</f>
        <v/>
      </c>
      <c r="H7439" s="66" t="str">
        <f>IF(Thirtieth!H192="", "",Thirtieth!H192)</f>
        <v/>
      </c>
      <c r="I7439" s="66" t="str">
        <f>IF(Thirtieth!I192="", "",Thirtieth!I192)</f>
        <v/>
      </c>
      <c r="J7439" s="66" t="str">
        <f>IF(Thirtieth!J192="", "",Thirtieth!J192)</f>
        <v/>
      </c>
      <c r="K7439" s="86" t="str">
        <f>IF(Thirtieth!K192="", "",Thirtieth!K192)</f>
        <v/>
      </c>
      <c r="M7439" s="67" t="str">
        <f t="shared" si="353"/>
        <v/>
      </c>
      <c r="N7439" s="76" t="str">
        <f t="shared" si="354"/>
        <v/>
      </c>
      <c r="O7439" s="33">
        <f t="shared" si="355"/>
        <v>0</v>
      </c>
    </row>
    <row r="7440" spans="1:15" x14ac:dyDescent="0.25">
      <c r="A7440" s="64" t="s">
        <v>196</v>
      </c>
      <c r="B7440" s="79" t="str">
        <f>IF(Thirtieth!B193="", "",Thirtieth!B193)</f>
        <v/>
      </c>
      <c r="C7440" s="66" t="str">
        <f>IF(Thirtieth!C193="", "",Thirtieth!C193)</f>
        <v/>
      </c>
      <c r="D7440" s="66" t="str">
        <f>IF(Thirtieth!D193="", "",Thirtieth!D193)</f>
        <v/>
      </c>
      <c r="E7440" s="66" t="str">
        <f>IF(Thirtieth!E193="", "",Thirtieth!E193)</f>
        <v/>
      </c>
      <c r="F7440" s="66" t="str">
        <f>IF(Thirtieth!F193="", "",Thirtieth!F193)</f>
        <v/>
      </c>
      <c r="G7440" s="66" t="str">
        <f>IF(Thirtieth!G193="", "",Thirtieth!G193)</f>
        <v/>
      </c>
      <c r="H7440" s="66" t="str">
        <f>IF(Thirtieth!H193="", "",Thirtieth!H193)</f>
        <v/>
      </c>
      <c r="I7440" s="66" t="str">
        <f>IF(Thirtieth!I193="", "",Thirtieth!I193)</f>
        <v/>
      </c>
      <c r="J7440" s="66" t="str">
        <f>IF(Thirtieth!J193="", "",Thirtieth!J193)</f>
        <v/>
      </c>
      <c r="K7440" s="86" t="str">
        <f>IF(Thirtieth!K193="", "",Thirtieth!K193)</f>
        <v/>
      </c>
      <c r="M7440" s="67" t="str">
        <f t="shared" si="353"/>
        <v/>
      </c>
      <c r="N7440" s="76" t="str">
        <f t="shared" si="354"/>
        <v/>
      </c>
      <c r="O7440" s="33">
        <f t="shared" si="355"/>
        <v>0</v>
      </c>
    </row>
    <row r="7441" spans="1:15" x14ac:dyDescent="0.25">
      <c r="A7441" s="64" t="s">
        <v>196</v>
      </c>
      <c r="B7441" s="79" t="str">
        <f>IF(Thirtieth!B194="", "",Thirtieth!B194)</f>
        <v/>
      </c>
      <c r="C7441" s="66" t="str">
        <f>IF(Thirtieth!C194="", "",Thirtieth!C194)</f>
        <v/>
      </c>
      <c r="D7441" s="66" t="str">
        <f>IF(Thirtieth!D194="", "",Thirtieth!D194)</f>
        <v/>
      </c>
      <c r="E7441" s="66" t="str">
        <f>IF(Thirtieth!E194="", "",Thirtieth!E194)</f>
        <v/>
      </c>
      <c r="F7441" s="66" t="str">
        <f>IF(Thirtieth!F194="", "",Thirtieth!F194)</f>
        <v/>
      </c>
      <c r="G7441" s="66" t="str">
        <f>IF(Thirtieth!G194="", "",Thirtieth!G194)</f>
        <v/>
      </c>
      <c r="H7441" s="66" t="str">
        <f>IF(Thirtieth!H194="", "",Thirtieth!H194)</f>
        <v/>
      </c>
      <c r="I7441" s="66" t="str">
        <f>IF(Thirtieth!I194="", "",Thirtieth!I194)</f>
        <v/>
      </c>
      <c r="J7441" s="66" t="str">
        <f>IF(Thirtieth!J194="", "",Thirtieth!J194)</f>
        <v/>
      </c>
      <c r="K7441" s="86" t="str">
        <f>IF(Thirtieth!K194="", "",Thirtieth!K194)</f>
        <v/>
      </c>
      <c r="M7441" s="67" t="str">
        <f t="shared" si="353"/>
        <v/>
      </c>
      <c r="N7441" s="76" t="str">
        <f t="shared" si="354"/>
        <v/>
      </c>
      <c r="O7441" s="33">
        <f t="shared" si="355"/>
        <v>0</v>
      </c>
    </row>
    <row r="7442" spans="1:15" x14ac:dyDescent="0.25">
      <c r="A7442" s="64" t="s">
        <v>196</v>
      </c>
      <c r="B7442" s="79" t="str">
        <f>IF(Thirtieth!B195="", "",Thirtieth!B195)</f>
        <v/>
      </c>
      <c r="C7442" s="66" t="str">
        <f>IF(Thirtieth!C195="", "",Thirtieth!C195)</f>
        <v/>
      </c>
      <c r="D7442" s="66" t="str">
        <f>IF(Thirtieth!D195="", "",Thirtieth!D195)</f>
        <v/>
      </c>
      <c r="E7442" s="66" t="str">
        <f>IF(Thirtieth!E195="", "",Thirtieth!E195)</f>
        <v/>
      </c>
      <c r="F7442" s="66" t="str">
        <f>IF(Thirtieth!F195="", "",Thirtieth!F195)</f>
        <v/>
      </c>
      <c r="G7442" s="66" t="str">
        <f>IF(Thirtieth!G195="", "",Thirtieth!G195)</f>
        <v/>
      </c>
      <c r="H7442" s="66" t="str">
        <f>IF(Thirtieth!H195="", "",Thirtieth!H195)</f>
        <v/>
      </c>
      <c r="I7442" s="66" t="str">
        <f>IF(Thirtieth!I195="", "",Thirtieth!I195)</f>
        <v/>
      </c>
      <c r="J7442" s="66" t="str">
        <f>IF(Thirtieth!J195="", "",Thirtieth!J195)</f>
        <v/>
      </c>
      <c r="K7442" s="86" t="str">
        <f>IF(Thirtieth!K195="", "",Thirtieth!K195)</f>
        <v/>
      </c>
      <c r="M7442" s="67" t="str">
        <f t="shared" si="353"/>
        <v/>
      </c>
      <c r="N7442" s="76" t="str">
        <f t="shared" si="354"/>
        <v/>
      </c>
      <c r="O7442" s="33">
        <f t="shared" si="355"/>
        <v>0</v>
      </c>
    </row>
    <row r="7443" spans="1:15" x14ac:dyDescent="0.25">
      <c r="A7443" s="64" t="s">
        <v>196</v>
      </c>
      <c r="B7443" s="79" t="str">
        <f>IF(Thirtieth!B196="", "",Thirtieth!B196)</f>
        <v/>
      </c>
      <c r="C7443" s="66" t="str">
        <f>IF(Thirtieth!C196="", "",Thirtieth!C196)</f>
        <v/>
      </c>
      <c r="D7443" s="66" t="str">
        <f>IF(Thirtieth!D196="", "",Thirtieth!D196)</f>
        <v/>
      </c>
      <c r="E7443" s="66" t="str">
        <f>IF(Thirtieth!E196="", "",Thirtieth!E196)</f>
        <v/>
      </c>
      <c r="F7443" s="66" t="str">
        <f>IF(Thirtieth!F196="", "",Thirtieth!F196)</f>
        <v/>
      </c>
      <c r="G7443" s="66" t="str">
        <f>IF(Thirtieth!G196="", "",Thirtieth!G196)</f>
        <v/>
      </c>
      <c r="H7443" s="66" t="str">
        <f>IF(Thirtieth!H196="", "",Thirtieth!H196)</f>
        <v/>
      </c>
      <c r="I7443" s="66" t="str">
        <f>IF(Thirtieth!I196="", "",Thirtieth!I196)</f>
        <v/>
      </c>
      <c r="J7443" s="66" t="str">
        <f>IF(Thirtieth!J196="", "",Thirtieth!J196)</f>
        <v/>
      </c>
      <c r="K7443" s="86" t="str">
        <f>IF(Thirtieth!K196="", "",Thirtieth!K196)</f>
        <v/>
      </c>
      <c r="M7443" s="67" t="str">
        <f t="shared" si="353"/>
        <v/>
      </c>
      <c r="N7443" s="76" t="str">
        <f t="shared" si="354"/>
        <v/>
      </c>
      <c r="O7443" s="33">
        <f t="shared" si="355"/>
        <v>0</v>
      </c>
    </row>
    <row r="7444" spans="1:15" x14ac:dyDescent="0.25">
      <c r="A7444" s="64" t="s">
        <v>196</v>
      </c>
      <c r="B7444" s="79" t="str">
        <f>IF(Thirtieth!B197="", "",Thirtieth!B197)</f>
        <v/>
      </c>
      <c r="C7444" s="66" t="str">
        <f>IF(Thirtieth!C197="", "",Thirtieth!C197)</f>
        <v/>
      </c>
      <c r="D7444" s="66" t="str">
        <f>IF(Thirtieth!D197="", "",Thirtieth!D197)</f>
        <v/>
      </c>
      <c r="E7444" s="66" t="str">
        <f>IF(Thirtieth!E197="", "",Thirtieth!E197)</f>
        <v/>
      </c>
      <c r="F7444" s="66" t="str">
        <f>IF(Thirtieth!F197="", "",Thirtieth!F197)</f>
        <v/>
      </c>
      <c r="G7444" s="66" t="str">
        <f>IF(Thirtieth!G197="", "",Thirtieth!G197)</f>
        <v/>
      </c>
      <c r="H7444" s="66" t="str">
        <f>IF(Thirtieth!H197="", "",Thirtieth!H197)</f>
        <v/>
      </c>
      <c r="I7444" s="66" t="str">
        <f>IF(Thirtieth!I197="", "",Thirtieth!I197)</f>
        <v/>
      </c>
      <c r="J7444" s="66" t="str">
        <f>IF(Thirtieth!J197="", "",Thirtieth!J197)</f>
        <v/>
      </c>
      <c r="K7444" s="86" t="str">
        <f>IF(Thirtieth!K197="", "",Thirtieth!K197)</f>
        <v/>
      </c>
      <c r="M7444" s="67" t="str">
        <f t="shared" si="353"/>
        <v/>
      </c>
      <c r="N7444" s="76" t="str">
        <f t="shared" si="354"/>
        <v/>
      </c>
      <c r="O7444" s="33">
        <f t="shared" si="355"/>
        <v>0</v>
      </c>
    </row>
    <row r="7445" spans="1:15" x14ac:dyDescent="0.25">
      <c r="A7445" s="64" t="s">
        <v>196</v>
      </c>
      <c r="B7445" s="79" t="str">
        <f>IF(Thirtieth!B198="", "",Thirtieth!B198)</f>
        <v/>
      </c>
      <c r="C7445" s="66" t="str">
        <f>IF(Thirtieth!C198="", "",Thirtieth!C198)</f>
        <v/>
      </c>
      <c r="D7445" s="66" t="str">
        <f>IF(Thirtieth!D198="", "",Thirtieth!D198)</f>
        <v/>
      </c>
      <c r="E7445" s="66" t="str">
        <f>IF(Thirtieth!E198="", "",Thirtieth!E198)</f>
        <v/>
      </c>
      <c r="F7445" s="66" t="str">
        <f>IF(Thirtieth!F198="", "",Thirtieth!F198)</f>
        <v/>
      </c>
      <c r="G7445" s="66" t="str">
        <f>IF(Thirtieth!G198="", "",Thirtieth!G198)</f>
        <v/>
      </c>
      <c r="H7445" s="66" t="str">
        <f>IF(Thirtieth!H198="", "",Thirtieth!H198)</f>
        <v/>
      </c>
      <c r="I7445" s="66" t="str">
        <f>IF(Thirtieth!I198="", "",Thirtieth!I198)</f>
        <v/>
      </c>
      <c r="J7445" s="66" t="str">
        <f>IF(Thirtieth!J198="", "",Thirtieth!J198)</f>
        <v/>
      </c>
      <c r="K7445" s="86" t="str">
        <f>IF(Thirtieth!K198="", "",Thirtieth!K198)</f>
        <v/>
      </c>
      <c r="M7445" s="67" t="str">
        <f t="shared" si="353"/>
        <v/>
      </c>
      <c r="N7445" s="76" t="str">
        <f t="shared" si="354"/>
        <v/>
      </c>
      <c r="O7445" s="33">
        <f t="shared" si="355"/>
        <v>0</v>
      </c>
    </row>
    <row r="7446" spans="1:15" x14ac:dyDescent="0.25">
      <c r="A7446" s="64" t="s">
        <v>196</v>
      </c>
      <c r="B7446" s="79" t="str">
        <f>IF(Thirtieth!B199="", "",Thirtieth!B199)</f>
        <v/>
      </c>
      <c r="C7446" s="66" t="str">
        <f>IF(Thirtieth!C199="", "",Thirtieth!C199)</f>
        <v/>
      </c>
      <c r="D7446" s="66" t="str">
        <f>IF(Thirtieth!D199="", "",Thirtieth!D199)</f>
        <v/>
      </c>
      <c r="E7446" s="66" t="str">
        <f>IF(Thirtieth!E199="", "",Thirtieth!E199)</f>
        <v/>
      </c>
      <c r="F7446" s="66" t="str">
        <f>IF(Thirtieth!F199="", "",Thirtieth!F199)</f>
        <v/>
      </c>
      <c r="G7446" s="66" t="str">
        <f>IF(Thirtieth!G199="", "",Thirtieth!G199)</f>
        <v/>
      </c>
      <c r="H7446" s="66" t="str">
        <f>IF(Thirtieth!H199="", "",Thirtieth!H199)</f>
        <v/>
      </c>
      <c r="I7446" s="66" t="str">
        <f>IF(Thirtieth!I199="", "",Thirtieth!I199)</f>
        <v/>
      </c>
      <c r="J7446" s="66" t="str">
        <f>IF(Thirtieth!J199="", "",Thirtieth!J199)</f>
        <v/>
      </c>
      <c r="K7446" s="86" t="str">
        <f>IF(Thirtieth!K199="", "",Thirtieth!K199)</f>
        <v/>
      </c>
      <c r="M7446" s="67" t="str">
        <f t="shared" si="353"/>
        <v/>
      </c>
      <c r="N7446" s="76" t="str">
        <f t="shared" si="354"/>
        <v/>
      </c>
      <c r="O7446" s="33">
        <f t="shared" si="355"/>
        <v>0</v>
      </c>
    </row>
    <row r="7447" spans="1:15" x14ac:dyDescent="0.25">
      <c r="A7447" s="64" t="s">
        <v>196</v>
      </c>
      <c r="B7447" s="79" t="str">
        <f>IF(Thirtieth!B200="", "",Thirtieth!B200)</f>
        <v/>
      </c>
      <c r="C7447" s="66" t="str">
        <f>IF(Thirtieth!C200="", "",Thirtieth!C200)</f>
        <v/>
      </c>
      <c r="D7447" s="66" t="str">
        <f>IF(Thirtieth!D200="", "",Thirtieth!D200)</f>
        <v/>
      </c>
      <c r="E7447" s="66" t="str">
        <f>IF(Thirtieth!E200="", "",Thirtieth!E200)</f>
        <v/>
      </c>
      <c r="F7447" s="66" t="str">
        <f>IF(Thirtieth!F200="", "",Thirtieth!F200)</f>
        <v/>
      </c>
      <c r="G7447" s="66" t="str">
        <f>IF(Thirtieth!G200="", "",Thirtieth!G200)</f>
        <v/>
      </c>
      <c r="H7447" s="66" t="str">
        <f>IF(Thirtieth!H200="", "",Thirtieth!H200)</f>
        <v/>
      </c>
      <c r="I7447" s="66" t="str">
        <f>IF(Thirtieth!I200="", "",Thirtieth!I200)</f>
        <v/>
      </c>
      <c r="J7447" s="66" t="str">
        <f>IF(Thirtieth!J200="", "",Thirtieth!J200)</f>
        <v/>
      </c>
      <c r="K7447" s="86" t="str">
        <f>IF(Thirtieth!K200="", "",Thirtieth!K200)</f>
        <v/>
      </c>
      <c r="M7447" s="67" t="str">
        <f t="shared" si="353"/>
        <v/>
      </c>
      <c r="N7447" s="76" t="str">
        <f t="shared" si="354"/>
        <v/>
      </c>
      <c r="O7447" s="33">
        <f t="shared" si="355"/>
        <v>0</v>
      </c>
    </row>
    <row r="7448" spans="1:15" x14ac:dyDescent="0.25">
      <c r="A7448" s="64" t="s">
        <v>196</v>
      </c>
      <c r="B7448" s="79" t="str">
        <f>IF(Thirtieth!B201="", "",Thirtieth!B201)</f>
        <v/>
      </c>
      <c r="C7448" s="66" t="str">
        <f>IF(Thirtieth!C201="", "",Thirtieth!C201)</f>
        <v/>
      </c>
      <c r="D7448" s="66" t="str">
        <f>IF(Thirtieth!D201="", "",Thirtieth!D201)</f>
        <v/>
      </c>
      <c r="E7448" s="66" t="str">
        <f>IF(Thirtieth!E201="", "",Thirtieth!E201)</f>
        <v/>
      </c>
      <c r="F7448" s="66" t="str">
        <f>IF(Thirtieth!F201="", "",Thirtieth!F201)</f>
        <v/>
      </c>
      <c r="G7448" s="66" t="str">
        <f>IF(Thirtieth!G201="", "",Thirtieth!G201)</f>
        <v/>
      </c>
      <c r="H7448" s="66" t="str">
        <f>IF(Thirtieth!H201="", "",Thirtieth!H201)</f>
        <v/>
      </c>
      <c r="I7448" s="66" t="str">
        <f>IF(Thirtieth!I201="", "",Thirtieth!I201)</f>
        <v/>
      </c>
      <c r="J7448" s="66" t="str">
        <f>IF(Thirtieth!J201="", "",Thirtieth!J201)</f>
        <v/>
      </c>
      <c r="K7448" s="86" t="str">
        <f>IF(Thirtieth!K201="", "",Thirtieth!K201)</f>
        <v/>
      </c>
      <c r="M7448" s="67" t="str">
        <f t="shared" si="353"/>
        <v/>
      </c>
      <c r="N7448" s="76" t="str">
        <f t="shared" si="354"/>
        <v/>
      </c>
      <c r="O7448" s="33">
        <f t="shared" si="355"/>
        <v>0</v>
      </c>
    </row>
    <row r="7449" spans="1:15" x14ac:dyDescent="0.25">
      <c r="A7449" s="64" t="s">
        <v>196</v>
      </c>
      <c r="B7449" s="79" t="str">
        <f>IF(Thirtieth!B202="", "",Thirtieth!B202)</f>
        <v/>
      </c>
      <c r="C7449" s="66" t="str">
        <f>IF(Thirtieth!C202="", "",Thirtieth!C202)</f>
        <v/>
      </c>
      <c r="D7449" s="66" t="str">
        <f>IF(Thirtieth!D202="", "",Thirtieth!D202)</f>
        <v/>
      </c>
      <c r="E7449" s="66" t="str">
        <f>IF(Thirtieth!E202="", "",Thirtieth!E202)</f>
        <v/>
      </c>
      <c r="F7449" s="66" t="str">
        <f>IF(Thirtieth!F202="", "",Thirtieth!F202)</f>
        <v/>
      </c>
      <c r="G7449" s="66" t="str">
        <f>IF(Thirtieth!G202="", "",Thirtieth!G202)</f>
        <v/>
      </c>
      <c r="H7449" s="66" t="str">
        <f>IF(Thirtieth!H202="", "",Thirtieth!H202)</f>
        <v/>
      </c>
      <c r="I7449" s="66" t="str">
        <f>IF(Thirtieth!I202="", "",Thirtieth!I202)</f>
        <v/>
      </c>
      <c r="J7449" s="66" t="str">
        <f>IF(Thirtieth!J202="", "",Thirtieth!J202)</f>
        <v/>
      </c>
      <c r="K7449" s="86" t="str">
        <f>IF(Thirtieth!K202="", "",Thirtieth!K202)</f>
        <v/>
      </c>
      <c r="M7449" s="67" t="str">
        <f t="shared" si="353"/>
        <v/>
      </c>
      <c r="N7449" s="76" t="str">
        <f t="shared" si="354"/>
        <v/>
      </c>
      <c r="O7449" s="33">
        <f t="shared" si="355"/>
        <v>0</v>
      </c>
    </row>
    <row r="7450" spans="1:15" x14ac:dyDescent="0.25">
      <c r="A7450" s="64" t="s">
        <v>196</v>
      </c>
      <c r="B7450" s="79" t="str">
        <f>IF(Thirtieth!B203="", "",Thirtieth!B203)</f>
        <v/>
      </c>
      <c r="C7450" s="66" t="str">
        <f>IF(Thirtieth!C203="", "",Thirtieth!C203)</f>
        <v/>
      </c>
      <c r="D7450" s="66" t="str">
        <f>IF(Thirtieth!D203="", "",Thirtieth!D203)</f>
        <v/>
      </c>
      <c r="E7450" s="66" t="str">
        <f>IF(Thirtieth!E203="", "",Thirtieth!E203)</f>
        <v/>
      </c>
      <c r="F7450" s="66" t="str">
        <f>IF(Thirtieth!F203="", "",Thirtieth!F203)</f>
        <v/>
      </c>
      <c r="G7450" s="66" t="str">
        <f>IF(Thirtieth!G203="", "",Thirtieth!G203)</f>
        <v/>
      </c>
      <c r="H7450" s="66" t="str">
        <f>IF(Thirtieth!H203="", "",Thirtieth!H203)</f>
        <v/>
      </c>
      <c r="I7450" s="66" t="str">
        <f>IF(Thirtieth!I203="", "",Thirtieth!I203)</f>
        <v/>
      </c>
      <c r="J7450" s="66" t="str">
        <f>IF(Thirtieth!J203="", "",Thirtieth!J203)</f>
        <v/>
      </c>
      <c r="K7450" s="86" t="str">
        <f>IF(Thirtieth!K203="", "",Thirtieth!K203)</f>
        <v/>
      </c>
      <c r="M7450" s="67" t="str">
        <f t="shared" si="353"/>
        <v/>
      </c>
      <c r="N7450" s="76" t="str">
        <f t="shared" si="354"/>
        <v/>
      </c>
      <c r="O7450" s="33">
        <f t="shared" si="355"/>
        <v>0</v>
      </c>
    </row>
    <row r="7451" spans="1:15" x14ac:dyDescent="0.25">
      <c r="A7451" s="64" t="s">
        <v>196</v>
      </c>
      <c r="B7451" s="79" t="str">
        <f>IF(Thirtieth!B204="", "",Thirtieth!B204)</f>
        <v/>
      </c>
      <c r="C7451" s="66" t="str">
        <f>IF(Thirtieth!C204="", "",Thirtieth!C204)</f>
        <v/>
      </c>
      <c r="D7451" s="66" t="str">
        <f>IF(Thirtieth!D204="", "",Thirtieth!D204)</f>
        <v/>
      </c>
      <c r="E7451" s="66" t="str">
        <f>IF(Thirtieth!E204="", "",Thirtieth!E204)</f>
        <v/>
      </c>
      <c r="F7451" s="66" t="str">
        <f>IF(Thirtieth!F204="", "",Thirtieth!F204)</f>
        <v/>
      </c>
      <c r="G7451" s="66" t="str">
        <f>IF(Thirtieth!G204="", "",Thirtieth!G204)</f>
        <v/>
      </c>
      <c r="H7451" s="66" t="str">
        <f>IF(Thirtieth!H204="", "",Thirtieth!H204)</f>
        <v/>
      </c>
      <c r="I7451" s="66" t="str">
        <f>IF(Thirtieth!I204="", "",Thirtieth!I204)</f>
        <v/>
      </c>
      <c r="J7451" s="66" t="str">
        <f>IF(Thirtieth!J204="", "",Thirtieth!J204)</f>
        <v/>
      </c>
      <c r="K7451" s="86" t="str">
        <f>IF(Thirtieth!K204="", "",Thirtieth!K204)</f>
        <v/>
      </c>
      <c r="M7451" s="67" t="str">
        <f t="shared" si="353"/>
        <v/>
      </c>
      <c r="N7451" s="76" t="str">
        <f t="shared" si="354"/>
        <v/>
      </c>
      <c r="O7451" s="33">
        <f t="shared" si="355"/>
        <v>0</v>
      </c>
    </row>
    <row r="7452" spans="1:15" x14ac:dyDescent="0.25">
      <c r="A7452" s="64" t="s">
        <v>196</v>
      </c>
      <c r="B7452" s="79" t="str">
        <f>IF(Thirtieth!B205="", "",Thirtieth!B205)</f>
        <v/>
      </c>
      <c r="C7452" s="66" t="str">
        <f>IF(Thirtieth!C205="", "",Thirtieth!C205)</f>
        <v/>
      </c>
      <c r="D7452" s="66" t="str">
        <f>IF(Thirtieth!D205="", "",Thirtieth!D205)</f>
        <v/>
      </c>
      <c r="E7452" s="66" t="str">
        <f>IF(Thirtieth!E205="", "",Thirtieth!E205)</f>
        <v/>
      </c>
      <c r="F7452" s="66" t="str">
        <f>IF(Thirtieth!F205="", "",Thirtieth!F205)</f>
        <v/>
      </c>
      <c r="G7452" s="66" t="str">
        <f>IF(Thirtieth!G205="", "",Thirtieth!G205)</f>
        <v/>
      </c>
      <c r="H7452" s="66" t="str">
        <f>IF(Thirtieth!H205="", "",Thirtieth!H205)</f>
        <v/>
      </c>
      <c r="I7452" s="66" t="str">
        <f>IF(Thirtieth!I205="", "",Thirtieth!I205)</f>
        <v/>
      </c>
      <c r="J7452" s="66" t="str">
        <f>IF(Thirtieth!J205="", "",Thirtieth!J205)</f>
        <v/>
      </c>
      <c r="K7452" s="86" t="str">
        <f>IF(Thirtieth!K205="", "",Thirtieth!K205)</f>
        <v/>
      </c>
      <c r="M7452" s="67" t="str">
        <f t="shared" si="353"/>
        <v/>
      </c>
      <c r="N7452" s="76" t="str">
        <f t="shared" si="354"/>
        <v/>
      </c>
      <c r="O7452" s="33">
        <f t="shared" si="355"/>
        <v>0</v>
      </c>
    </row>
    <row r="7453" spans="1:15" x14ac:dyDescent="0.25">
      <c r="A7453" s="64" t="s">
        <v>196</v>
      </c>
      <c r="B7453" s="79" t="str">
        <f>IF(Thirtieth!B206="", "",Thirtieth!B206)</f>
        <v/>
      </c>
      <c r="C7453" s="66" t="str">
        <f>IF(Thirtieth!C206="", "",Thirtieth!C206)</f>
        <v/>
      </c>
      <c r="D7453" s="66" t="str">
        <f>IF(Thirtieth!D206="", "",Thirtieth!D206)</f>
        <v/>
      </c>
      <c r="E7453" s="66" t="str">
        <f>IF(Thirtieth!E206="", "",Thirtieth!E206)</f>
        <v/>
      </c>
      <c r="F7453" s="66" t="str">
        <f>IF(Thirtieth!F206="", "",Thirtieth!F206)</f>
        <v/>
      </c>
      <c r="G7453" s="66" t="str">
        <f>IF(Thirtieth!G206="", "",Thirtieth!G206)</f>
        <v/>
      </c>
      <c r="H7453" s="66" t="str">
        <f>IF(Thirtieth!H206="", "",Thirtieth!H206)</f>
        <v/>
      </c>
      <c r="I7453" s="66" t="str">
        <f>IF(Thirtieth!I206="", "",Thirtieth!I206)</f>
        <v/>
      </c>
      <c r="J7453" s="66" t="str">
        <f>IF(Thirtieth!J206="", "",Thirtieth!J206)</f>
        <v/>
      </c>
      <c r="K7453" s="86" t="str">
        <f>IF(Thirtieth!K206="", "",Thirtieth!K206)</f>
        <v/>
      </c>
      <c r="M7453" s="67" t="str">
        <f t="shared" si="353"/>
        <v/>
      </c>
      <c r="N7453" s="76" t="str">
        <f t="shared" si="354"/>
        <v/>
      </c>
      <c r="O7453" s="33">
        <f t="shared" si="355"/>
        <v>0</v>
      </c>
    </row>
    <row r="7454" spans="1:15" x14ac:dyDescent="0.25">
      <c r="A7454" s="64" t="s">
        <v>196</v>
      </c>
      <c r="B7454" s="79" t="str">
        <f>IF(Thirtieth!B207="", "",Thirtieth!B207)</f>
        <v/>
      </c>
      <c r="C7454" s="66" t="str">
        <f>IF(Thirtieth!C207="", "",Thirtieth!C207)</f>
        <v/>
      </c>
      <c r="D7454" s="66" t="str">
        <f>IF(Thirtieth!D207="", "",Thirtieth!D207)</f>
        <v/>
      </c>
      <c r="E7454" s="66" t="str">
        <f>IF(Thirtieth!E207="", "",Thirtieth!E207)</f>
        <v/>
      </c>
      <c r="F7454" s="66" t="str">
        <f>IF(Thirtieth!F207="", "",Thirtieth!F207)</f>
        <v/>
      </c>
      <c r="G7454" s="66" t="str">
        <f>IF(Thirtieth!G207="", "",Thirtieth!G207)</f>
        <v/>
      </c>
      <c r="H7454" s="66" t="str">
        <f>IF(Thirtieth!H207="", "",Thirtieth!H207)</f>
        <v/>
      </c>
      <c r="I7454" s="66" t="str">
        <f>IF(Thirtieth!I207="", "",Thirtieth!I207)</f>
        <v/>
      </c>
      <c r="J7454" s="66" t="str">
        <f>IF(Thirtieth!J207="", "",Thirtieth!J207)</f>
        <v/>
      </c>
      <c r="K7454" s="86" t="str">
        <f>IF(Thirtieth!K207="", "",Thirtieth!K207)</f>
        <v/>
      </c>
      <c r="M7454" s="67" t="str">
        <f t="shared" si="353"/>
        <v/>
      </c>
      <c r="N7454" s="76" t="str">
        <f t="shared" si="354"/>
        <v/>
      </c>
      <c r="O7454" s="33">
        <f t="shared" si="355"/>
        <v>0</v>
      </c>
    </row>
    <row r="7455" spans="1:15" x14ac:dyDescent="0.25">
      <c r="A7455" s="64" t="s">
        <v>196</v>
      </c>
      <c r="B7455" s="79" t="str">
        <f>IF(Thirtieth!B208="", "",Thirtieth!B208)</f>
        <v/>
      </c>
      <c r="C7455" s="66" t="str">
        <f>IF(Thirtieth!C208="", "",Thirtieth!C208)</f>
        <v/>
      </c>
      <c r="D7455" s="66" t="str">
        <f>IF(Thirtieth!D208="", "",Thirtieth!D208)</f>
        <v/>
      </c>
      <c r="E7455" s="66" t="str">
        <f>IF(Thirtieth!E208="", "",Thirtieth!E208)</f>
        <v/>
      </c>
      <c r="F7455" s="66" t="str">
        <f>IF(Thirtieth!F208="", "",Thirtieth!F208)</f>
        <v/>
      </c>
      <c r="G7455" s="66" t="str">
        <f>IF(Thirtieth!G208="", "",Thirtieth!G208)</f>
        <v/>
      </c>
      <c r="H7455" s="66" t="str">
        <f>IF(Thirtieth!H208="", "",Thirtieth!H208)</f>
        <v/>
      </c>
      <c r="I7455" s="66" t="str">
        <f>IF(Thirtieth!I208="", "",Thirtieth!I208)</f>
        <v/>
      </c>
      <c r="J7455" s="66" t="str">
        <f>IF(Thirtieth!J208="", "",Thirtieth!J208)</f>
        <v/>
      </c>
      <c r="K7455" s="86" t="str">
        <f>IF(Thirtieth!K208="", "",Thirtieth!K208)</f>
        <v/>
      </c>
      <c r="M7455" s="67" t="str">
        <f t="shared" si="353"/>
        <v/>
      </c>
      <c r="N7455" s="76" t="str">
        <f t="shared" si="354"/>
        <v/>
      </c>
      <c r="O7455" s="33">
        <f t="shared" si="355"/>
        <v>0</v>
      </c>
    </row>
    <row r="7456" spans="1:15" x14ac:dyDescent="0.25">
      <c r="A7456" s="64" t="s">
        <v>196</v>
      </c>
      <c r="B7456" s="79" t="str">
        <f>IF(Thirtieth!B209="", "",Thirtieth!B209)</f>
        <v/>
      </c>
      <c r="C7456" s="66" t="str">
        <f>IF(Thirtieth!C209="", "",Thirtieth!C209)</f>
        <v/>
      </c>
      <c r="D7456" s="66" t="str">
        <f>IF(Thirtieth!D209="", "",Thirtieth!D209)</f>
        <v/>
      </c>
      <c r="E7456" s="66" t="str">
        <f>IF(Thirtieth!E209="", "",Thirtieth!E209)</f>
        <v/>
      </c>
      <c r="F7456" s="66" t="str">
        <f>IF(Thirtieth!F209="", "",Thirtieth!F209)</f>
        <v/>
      </c>
      <c r="G7456" s="66" t="str">
        <f>IF(Thirtieth!G209="", "",Thirtieth!G209)</f>
        <v/>
      </c>
      <c r="H7456" s="66" t="str">
        <f>IF(Thirtieth!H209="", "",Thirtieth!H209)</f>
        <v/>
      </c>
      <c r="I7456" s="66" t="str">
        <f>IF(Thirtieth!I209="", "",Thirtieth!I209)</f>
        <v/>
      </c>
      <c r="J7456" s="66" t="str">
        <f>IF(Thirtieth!J209="", "",Thirtieth!J209)</f>
        <v/>
      </c>
      <c r="K7456" s="86" t="str">
        <f>IF(Thirtieth!K209="", "",Thirtieth!K209)</f>
        <v/>
      </c>
      <c r="M7456" s="67" t="str">
        <f t="shared" si="353"/>
        <v/>
      </c>
      <c r="N7456" s="76" t="str">
        <f t="shared" si="354"/>
        <v/>
      </c>
      <c r="O7456" s="33">
        <f t="shared" si="355"/>
        <v>0</v>
      </c>
    </row>
    <row r="7457" spans="1:15" x14ac:dyDescent="0.25">
      <c r="A7457" s="64" t="s">
        <v>196</v>
      </c>
      <c r="B7457" s="79" t="str">
        <f>IF(Thirtieth!B210="", "",Thirtieth!B210)</f>
        <v/>
      </c>
      <c r="C7457" s="66" t="str">
        <f>IF(Thirtieth!C210="", "",Thirtieth!C210)</f>
        <v/>
      </c>
      <c r="D7457" s="66" t="str">
        <f>IF(Thirtieth!D210="", "",Thirtieth!D210)</f>
        <v/>
      </c>
      <c r="E7457" s="66" t="str">
        <f>IF(Thirtieth!E210="", "",Thirtieth!E210)</f>
        <v/>
      </c>
      <c r="F7457" s="66" t="str">
        <f>IF(Thirtieth!F210="", "",Thirtieth!F210)</f>
        <v/>
      </c>
      <c r="G7457" s="66" t="str">
        <f>IF(Thirtieth!G210="", "",Thirtieth!G210)</f>
        <v/>
      </c>
      <c r="H7457" s="66" t="str">
        <f>IF(Thirtieth!H210="", "",Thirtieth!H210)</f>
        <v/>
      </c>
      <c r="I7457" s="66" t="str">
        <f>IF(Thirtieth!I210="", "",Thirtieth!I210)</f>
        <v/>
      </c>
      <c r="J7457" s="66" t="str">
        <f>IF(Thirtieth!J210="", "",Thirtieth!J210)</f>
        <v/>
      </c>
      <c r="K7457" s="86" t="str">
        <f>IF(Thirtieth!K210="", "",Thirtieth!K210)</f>
        <v/>
      </c>
      <c r="M7457" s="67" t="str">
        <f t="shared" si="353"/>
        <v/>
      </c>
      <c r="N7457" s="76" t="str">
        <f t="shared" si="354"/>
        <v/>
      </c>
      <c r="O7457" s="33">
        <f t="shared" si="355"/>
        <v>0</v>
      </c>
    </row>
    <row r="7458" spans="1:15" x14ac:dyDescent="0.25">
      <c r="A7458" s="64" t="s">
        <v>196</v>
      </c>
      <c r="B7458" s="79" t="str">
        <f>IF(Thirtieth!B211="", "",Thirtieth!B211)</f>
        <v/>
      </c>
      <c r="C7458" s="66" t="str">
        <f>IF(Thirtieth!C211="", "",Thirtieth!C211)</f>
        <v/>
      </c>
      <c r="D7458" s="66" t="str">
        <f>IF(Thirtieth!D211="", "",Thirtieth!D211)</f>
        <v/>
      </c>
      <c r="E7458" s="66" t="str">
        <f>IF(Thirtieth!E211="", "",Thirtieth!E211)</f>
        <v/>
      </c>
      <c r="F7458" s="66" t="str">
        <f>IF(Thirtieth!F211="", "",Thirtieth!F211)</f>
        <v/>
      </c>
      <c r="G7458" s="66" t="str">
        <f>IF(Thirtieth!G211="", "",Thirtieth!G211)</f>
        <v/>
      </c>
      <c r="H7458" s="66" t="str">
        <f>IF(Thirtieth!H211="", "",Thirtieth!H211)</f>
        <v/>
      </c>
      <c r="I7458" s="66" t="str">
        <f>IF(Thirtieth!I211="", "",Thirtieth!I211)</f>
        <v/>
      </c>
      <c r="J7458" s="66" t="str">
        <f>IF(Thirtieth!J211="", "",Thirtieth!J211)</f>
        <v/>
      </c>
      <c r="K7458" s="86" t="str">
        <f>IF(Thirtieth!K211="", "",Thirtieth!K211)</f>
        <v/>
      </c>
      <c r="M7458" s="67" t="str">
        <f t="shared" si="353"/>
        <v/>
      </c>
      <c r="N7458" s="76" t="str">
        <f t="shared" si="354"/>
        <v/>
      </c>
      <c r="O7458" s="33">
        <f t="shared" si="355"/>
        <v>0</v>
      </c>
    </row>
    <row r="7459" spans="1:15" x14ac:dyDescent="0.25">
      <c r="A7459" s="64" t="s">
        <v>196</v>
      </c>
      <c r="B7459" s="79" t="str">
        <f>IF(Thirtieth!B212="", "",Thirtieth!B212)</f>
        <v/>
      </c>
      <c r="C7459" s="66" t="str">
        <f>IF(Thirtieth!C212="", "",Thirtieth!C212)</f>
        <v/>
      </c>
      <c r="D7459" s="66" t="str">
        <f>IF(Thirtieth!D212="", "",Thirtieth!D212)</f>
        <v/>
      </c>
      <c r="E7459" s="66" t="str">
        <f>IF(Thirtieth!E212="", "",Thirtieth!E212)</f>
        <v/>
      </c>
      <c r="F7459" s="66" t="str">
        <f>IF(Thirtieth!F212="", "",Thirtieth!F212)</f>
        <v/>
      </c>
      <c r="G7459" s="66" t="str">
        <f>IF(Thirtieth!G212="", "",Thirtieth!G212)</f>
        <v/>
      </c>
      <c r="H7459" s="66" t="str">
        <f>IF(Thirtieth!H212="", "",Thirtieth!H212)</f>
        <v/>
      </c>
      <c r="I7459" s="66" t="str">
        <f>IF(Thirtieth!I212="", "",Thirtieth!I212)</f>
        <v/>
      </c>
      <c r="J7459" s="66" t="str">
        <f>IF(Thirtieth!J212="", "",Thirtieth!J212)</f>
        <v/>
      </c>
      <c r="K7459" s="86" t="str">
        <f>IF(Thirtieth!K212="", "",Thirtieth!K212)</f>
        <v/>
      </c>
      <c r="M7459" s="67" t="str">
        <f t="shared" si="353"/>
        <v/>
      </c>
      <c r="N7459" s="76" t="str">
        <f t="shared" si="354"/>
        <v/>
      </c>
      <c r="O7459" s="33">
        <f t="shared" si="355"/>
        <v>0</v>
      </c>
    </row>
    <row r="7460" spans="1:15" x14ac:dyDescent="0.25">
      <c r="A7460" s="64" t="s">
        <v>196</v>
      </c>
      <c r="B7460" s="79" t="str">
        <f>IF(Thirtieth!B213="", "",Thirtieth!B213)</f>
        <v/>
      </c>
      <c r="C7460" s="66" t="str">
        <f>IF(Thirtieth!C213="", "",Thirtieth!C213)</f>
        <v/>
      </c>
      <c r="D7460" s="66" t="str">
        <f>IF(Thirtieth!D213="", "",Thirtieth!D213)</f>
        <v/>
      </c>
      <c r="E7460" s="66" t="str">
        <f>IF(Thirtieth!E213="", "",Thirtieth!E213)</f>
        <v/>
      </c>
      <c r="F7460" s="66" t="str">
        <f>IF(Thirtieth!F213="", "",Thirtieth!F213)</f>
        <v/>
      </c>
      <c r="G7460" s="66" t="str">
        <f>IF(Thirtieth!G213="", "",Thirtieth!G213)</f>
        <v/>
      </c>
      <c r="H7460" s="66" t="str">
        <f>IF(Thirtieth!H213="", "",Thirtieth!H213)</f>
        <v/>
      </c>
      <c r="I7460" s="66" t="str">
        <f>IF(Thirtieth!I213="", "",Thirtieth!I213)</f>
        <v/>
      </c>
      <c r="J7460" s="66" t="str">
        <f>IF(Thirtieth!J213="", "",Thirtieth!J213)</f>
        <v/>
      </c>
      <c r="K7460" s="86" t="str">
        <f>IF(Thirtieth!K213="", "",Thirtieth!K213)</f>
        <v/>
      </c>
      <c r="M7460" s="67" t="str">
        <f t="shared" si="353"/>
        <v/>
      </c>
      <c r="N7460" s="76" t="str">
        <f t="shared" si="354"/>
        <v/>
      </c>
      <c r="O7460" s="33">
        <f t="shared" si="355"/>
        <v>0</v>
      </c>
    </row>
    <row r="7461" spans="1:15" x14ac:dyDescent="0.25">
      <c r="A7461" s="64" t="s">
        <v>196</v>
      </c>
      <c r="B7461" s="79" t="str">
        <f>IF(Thirtieth!B214="", "",Thirtieth!B214)</f>
        <v/>
      </c>
      <c r="C7461" s="66" t="str">
        <f>IF(Thirtieth!C214="", "",Thirtieth!C214)</f>
        <v/>
      </c>
      <c r="D7461" s="66" t="str">
        <f>IF(Thirtieth!D214="", "",Thirtieth!D214)</f>
        <v/>
      </c>
      <c r="E7461" s="66" t="str">
        <f>IF(Thirtieth!E214="", "",Thirtieth!E214)</f>
        <v/>
      </c>
      <c r="F7461" s="66" t="str">
        <f>IF(Thirtieth!F214="", "",Thirtieth!F214)</f>
        <v/>
      </c>
      <c r="G7461" s="66" t="str">
        <f>IF(Thirtieth!G214="", "",Thirtieth!G214)</f>
        <v/>
      </c>
      <c r="H7461" s="66" t="str">
        <f>IF(Thirtieth!H214="", "",Thirtieth!H214)</f>
        <v/>
      </c>
      <c r="I7461" s="66" t="str">
        <f>IF(Thirtieth!I214="", "",Thirtieth!I214)</f>
        <v/>
      </c>
      <c r="J7461" s="66" t="str">
        <f>IF(Thirtieth!J214="", "",Thirtieth!J214)</f>
        <v/>
      </c>
      <c r="K7461" s="86" t="str">
        <f>IF(Thirtieth!K214="", "",Thirtieth!K214)</f>
        <v/>
      </c>
      <c r="M7461" s="67" t="str">
        <f t="shared" si="353"/>
        <v/>
      </c>
      <c r="N7461" s="76" t="str">
        <f t="shared" si="354"/>
        <v/>
      </c>
      <c r="O7461" s="33">
        <f t="shared" si="355"/>
        <v>0</v>
      </c>
    </row>
    <row r="7462" spans="1:15" x14ac:dyDescent="0.25">
      <c r="A7462" s="64" t="s">
        <v>196</v>
      </c>
      <c r="B7462" s="79" t="str">
        <f>IF(Thirtieth!B215="", "",Thirtieth!B215)</f>
        <v/>
      </c>
      <c r="C7462" s="66" t="str">
        <f>IF(Thirtieth!C215="", "",Thirtieth!C215)</f>
        <v/>
      </c>
      <c r="D7462" s="66" t="str">
        <f>IF(Thirtieth!D215="", "",Thirtieth!D215)</f>
        <v/>
      </c>
      <c r="E7462" s="66" t="str">
        <f>IF(Thirtieth!E215="", "",Thirtieth!E215)</f>
        <v/>
      </c>
      <c r="F7462" s="66" t="str">
        <f>IF(Thirtieth!F215="", "",Thirtieth!F215)</f>
        <v/>
      </c>
      <c r="G7462" s="66" t="str">
        <f>IF(Thirtieth!G215="", "",Thirtieth!G215)</f>
        <v/>
      </c>
      <c r="H7462" s="66" t="str">
        <f>IF(Thirtieth!H215="", "",Thirtieth!H215)</f>
        <v/>
      </c>
      <c r="I7462" s="66" t="str">
        <f>IF(Thirtieth!I215="", "",Thirtieth!I215)</f>
        <v/>
      </c>
      <c r="J7462" s="66" t="str">
        <f>IF(Thirtieth!J215="", "",Thirtieth!J215)</f>
        <v/>
      </c>
      <c r="K7462" s="86" t="str">
        <f>IF(Thirtieth!K215="", "",Thirtieth!K215)</f>
        <v/>
      </c>
      <c r="M7462" s="67" t="str">
        <f t="shared" si="353"/>
        <v/>
      </c>
      <c r="N7462" s="76" t="str">
        <f t="shared" si="354"/>
        <v/>
      </c>
      <c r="O7462" s="33">
        <f t="shared" si="355"/>
        <v>0</v>
      </c>
    </row>
    <row r="7463" spans="1:15" x14ac:dyDescent="0.25">
      <c r="A7463" s="64" t="s">
        <v>196</v>
      </c>
      <c r="B7463" s="79" t="str">
        <f>IF(Thirtieth!B216="", "",Thirtieth!B216)</f>
        <v/>
      </c>
      <c r="C7463" s="66" t="str">
        <f>IF(Thirtieth!C216="", "",Thirtieth!C216)</f>
        <v/>
      </c>
      <c r="D7463" s="66" t="str">
        <f>IF(Thirtieth!D216="", "",Thirtieth!D216)</f>
        <v/>
      </c>
      <c r="E7463" s="66" t="str">
        <f>IF(Thirtieth!E216="", "",Thirtieth!E216)</f>
        <v/>
      </c>
      <c r="F7463" s="66" t="str">
        <f>IF(Thirtieth!F216="", "",Thirtieth!F216)</f>
        <v/>
      </c>
      <c r="G7463" s="66" t="str">
        <f>IF(Thirtieth!G216="", "",Thirtieth!G216)</f>
        <v/>
      </c>
      <c r="H7463" s="66" t="str">
        <f>IF(Thirtieth!H216="", "",Thirtieth!H216)</f>
        <v/>
      </c>
      <c r="I7463" s="66" t="str">
        <f>IF(Thirtieth!I216="", "",Thirtieth!I216)</f>
        <v/>
      </c>
      <c r="J7463" s="66" t="str">
        <f>IF(Thirtieth!J216="", "",Thirtieth!J216)</f>
        <v/>
      </c>
      <c r="K7463" s="86" t="str">
        <f>IF(Thirtieth!K216="", "",Thirtieth!K216)</f>
        <v/>
      </c>
      <c r="M7463" s="67" t="str">
        <f t="shared" si="353"/>
        <v/>
      </c>
      <c r="N7463" s="76" t="str">
        <f t="shared" si="354"/>
        <v/>
      </c>
      <c r="O7463" s="33">
        <f t="shared" si="355"/>
        <v>0</v>
      </c>
    </row>
    <row r="7464" spans="1:15" x14ac:dyDescent="0.25">
      <c r="A7464" s="64" t="s">
        <v>196</v>
      </c>
      <c r="B7464" s="79" t="str">
        <f>IF(Thirtieth!B217="", "",Thirtieth!B217)</f>
        <v/>
      </c>
      <c r="C7464" s="66" t="str">
        <f>IF(Thirtieth!C217="", "",Thirtieth!C217)</f>
        <v/>
      </c>
      <c r="D7464" s="66" t="str">
        <f>IF(Thirtieth!D217="", "",Thirtieth!D217)</f>
        <v/>
      </c>
      <c r="E7464" s="66" t="str">
        <f>IF(Thirtieth!E217="", "",Thirtieth!E217)</f>
        <v/>
      </c>
      <c r="F7464" s="66" t="str">
        <f>IF(Thirtieth!F217="", "",Thirtieth!F217)</f>
        <v/>
      </c>
      <c r="G7464" s="66" t="str">
        <f>IF(Thirtieth!G217="", "",Thirtieth!G217)</f>
        <v/>
      </c>
      <c r="H7464" s="66" t="str">
        <f>IF(Thirtieth!H217="", "",Thirtieth!H217)</f>
        <v/>
      </c>
      <c r="I7464" s="66" t="str">
        <f>IF(Thirtieth!I217="", "",Thirtieth!I217)</f>
        <v/>
      </c>
      <c r="J7464" s="66" t="str">
        <f>IF(Thirtieth!J217="", "",Thirtieth!J217)</f>
        <v/>
      </c>
      <c r="K7464" s="86" t="str">
        <f>IF(Thirtieth!K217="", "",Thirtieth!K217)</f>
        <v/>
      </c>
      <c r="M7464" s="67" t="str">
        <f t="shared" si="353"/>
        <v/>
      </c>
      <c r="N7464" s="76" t="str">
        <f t="shared" si="354"/>
        <v/>
      </c>
      <c r="O7464" s="33">
        <f t="shared" si="355"/>
        <v>0</v>
      </c>
    </row>
    <row r="7465" spans="1:15" x14ac:dyDescent="0.25">
      <c r="A7465" s="64" t="s">
        <v>196</v>
      </c>
      <c r="B7465" s="79" t="str">
        <f>IF(Thirtieth!B218="", "",Thirtieth!B218)</f>
        <v/>
      </c>
      <c r="C7465" s="66" t="str">
        <f>IF(Thirtieth!C218="", "",Thirtieth!C218)</f>
        <v/>
      </c>
      <c r="D7465" s="66" t="str">
        <f>IF(Thirtieth!D218="", "",Thirtieth!D218)</f>
        <v/>
      </c>
      <c r="E7465" s="66" t="str">
        <f>IF(Thirtieth!E218="", "",Thirtieth!E218)</f>
        <v/>
      </c>
      <c r="F7465" s="66" t="str">
        <f>IF(Thirtieth!F218="", "",Thirtieth!F218)</f>
        <v/>
      </c>
      <c r="G7465" s="66" t="str">
        <f>IF(Thirtieth!G218="", "",Thirtieth!G218)</f>
        <v/>
      </c>
      <c r="H7465" s="66" t="str">
        <f>IF(Thirtieth!H218="", "",Thirtieth!H218)</f>
        <v/>
      </c>
      <c r="I7465" s="66" t="str">
        <f>IF(Thirtieth!I218="", "",Thirtieth!I218)</f>
        <v/>
      </c>
      <c r="J7465" s="66" t="str">
        <f>IF(Thirtieth!J218="", "",Thirtieth!J218)</f>
        <v/>
      </c>
      <c r="K7465" s="86" t="str">
        <f>IF(Thirtieth!K218="", "",Thirtieth!K218)</f>
        <v/>
      </c>
      <c r="M7465" s="67" t="str">
        <f t="shared" si="353"/>
        <v/>
      </c>
      <c r="N7465" s="76" t="str">
        <f t="shared" si="354"/>
        <v/>
      </c>
      <c r="O7465" s="33">
        <f t="shared" si="355"/>
        <v>0</v>
      </c>
    </row>
    <row r="7466" spans="1:15" x14ac:dyDescent="0.25">
      <c r="A7466" s="64" t="s">
        <v>196</v>
      </c>
      <c r="B7466" s="79" t="str">
        <f>IF(Thirtieth!B219="", "",Thirtieth!B219)</f>
        <v/>
      </c>
      <c r="C7466" s="66" t="str">
        <f>IF(Thirtieth!C219="", "",Thirtieth!C219)</f>
        <v/>
      </c>
      <c r="D7466" s="66" t="str">
        <f>IF(Thirtieth!D219="", "",Thirtieth!D219)</f>
        <v/>
      </c>
      <c r="E7466" s="66" t="str">
        <f>IF(Thirtieth!E219="", "",Thirtieth!E219)</f>
        <v/>
      </c>
      <c r="F7466" s="66" t="str">
        <f>IF(Thirtieth!F219="", "",Thirtieth!F219)</f>
        <v/>
      </c>
      <c r="G7466" s="66" t="str">
        <f>IF(Thirtieth!G219="", "",Thirtieth!G219)</f>
        <v/>
      </c>
      <c r="H7466" s="66" t="str">
        <f>IF(Thirtieth!H219="", "",Thirtieth!H219)</f>
        <v/>
      </c>
      <c r="I7466" s="66" t="str">
        <f>IF(Thirtieth!I219="", "",Thirtieth!I219)</f>
        <v/>
      </c>
      <c r="J7466" s="66" t="str">
        <f>IF(Thirtieth!J219="", "",Thirtieth!J219)</f>
        <v/>
      </c>
      <c r="K7466" s="86" t="str">
        <f>IF(Thirtieth!K219="", "",Thirtieth!K219)</f>
        <v/>
      </c>
      <c r="M7466" s="67" t="str">
        <f t="shared" si="353"/>
        <v/>
      </c>
      <c r="N7466" s="76" t="str">
        <f t="shared" si="354"/>
        <v/>
      </c>
      <c r="O7466" s="33">
        <f t="shared" si="355"/>
        <v>0</v>
      </c>
    </row>
    <row r="7467" spans="1:15" x14ac:dyDescent="0.25">
      <c r="A7467" s="64" t="s">
        <v>196</v>
      </c>
      <c r="B7467" s="79" t="str">
        <f>IF(Thirtieth!B220="", "",Thirtieth!B220)</f>
        <v/>
      </c>
      <c r="C7467" s="66" t="str">
        <f>IF(Thirtieth!C220="", "",Thirtieth!C220)</f>
        <v/>
      </c>
      <c r="D7467" s="66" t="str">
        <f>IF(Thirtieth!D220="", "",Thirtieth!D220)</f>
        <v/>
      </c>
      <c r="E7467" s="66" t="str">
        <f>IF(Thirtieth!E220="", "",Thirtieth!E220)</f>
        <v/>
      </c>
      <c r="F7467" s="66" t="str">
        <f>IF(Thirtieth!F220="", "",Thirtieth!F220)</f>
        <v/>
      </c>
      <c r="G7467" s="66" t="str">
        <f>IF(Thirtieth!G220="", "",Thirtieth!G220)</f>
        <v/>
      </c>
      <c r="H7467" s="66" t="str">
        <f>IF(Thirtieth!H220="", "",Thirtieth!H220)</f>
        <v/>
      </c>
      <c r="I7467" s="66" t="str">
        <f>IF(Thirtieth!I220="", "",Thirtieth!I220)</f>
        <v/>
      </c>
      <c r="J7467" s="66" t="str">
        <f>IF(Thirtieth!J220="", "",Thirtieth!J220)</f>
        <v/>
      </c>
      <c r="K7467" s="86" t="str">
        <f>IF(Thirtieth!K220="", "",Thirtieth!K220)</f>
        <v/>
      </c>
      <c r="M7467" s="67" t="str">
        <f t="shared" si="353"/>
        <v/>
      </c>
      <c r="N7467" s="76" t="str">
        <f t="shared" si="354"/>
        <v/>
      </c>
      <c r="O7467" s="33">
        <f t="shared" si="355"/>
        <v>0</v>
      </c>
    </row>
    <row r="7468" spans="1:15" x14ac:dyDescent="0.25">
      <c r="A7468" s="64" t="s">
        <v>196</v>
      </c>
      <c r="B7468" s="79" t="str">
        <f>IF(Thirtieth!B221="", "",Thirtieth!B221)</f>
        <v/>
      </c>
      <c r="C7468" s="66" t="str">
        <f>IF(Thirtieth!C221="", "",Thirtieth!C221)</f>
        <v/>
      </c>
      <c r="D7468" s="66" t="str">
        <f>IF(Thirtieth!D221="", "",Thirtieth!D221)</f>
        <v/>
      </c>
      <c r="E7468" s="66" t="str">
        <f>IF(Thirtieth!E221="", "",Thirtieth!E221)</f>
        <v/>
      </c>
      <c r="F7468" s="66" t="str">
        <f>IF(Thirtieth!F221="", "",Thirtieth!F221)</f>
        <v/>
      </c>
      <c r="G7468" s="66" t="str">
        <f>IF(Thirtieth!G221="", "",Thirtieth!G221)</f>
        <v/>
      </c>
      <c r="H7468" s="66" t="str">
        <f>IF(Thirtieth!H221="", "",Thirtieth!H221)</f>
        <v/>
      </c>
      <c r="I7468" s="66" t="str">
        <f>IF(Thirtieth!I221="", "",Thirtieth!I221)</f>
        <v/>
      </c>
      <c r="J7468" s="66" t="str">
        <f>IF(Thirtieth!J221="", "",Thirtieth!J221)</f>
        <v/>
      </c>
      <c r="K7468" s="86" t="str">
        <f>IF(Thirtieth!K221="", "",Thirtieth!K221)</f>
        <v/>
      </c>
      <c r="M7468" s="67" t="str">
        <f t="shared" si="353"/>
        <v/>
      </c>
      <c r="N7468" s="76" t="str">
        <f t="shared" si="354"/>
        <v/>
      </c>
      <c r="O7468" s="33">
        <f t="shared" si="355"/>
        <v>0</v>
      </c>
    </row>
    <row r="7469" spans="1:15" x14ac:dyDescent="0.25">
      <c r="A7469" s="64" t="s">
        <v>196</v>
      </c>
      <c r="B7469" s="79" t="str">
        <f>IF(Thirtieth!B222="", "",Thirtieth!B222)</f>
        <v/>
      </c>
      <c r="C7469" s="66" t="str">
        <f>IF(Thirtieth!C222="", "",Thirtieth!C222)</f>
        <v/>
      </c>
      <c r="D7469" s="66" t="str">
        <f>IF(Thirtieth!D222="", "",Thirtieth!D222)</f>
        <v/>
      </c>
      <c r="E7469" s="66" t="str">
        <f>IF(Thirtieth!E222="", "",Thirtieth!E222)</f>
        <v/>
      </c>
      <c r="F7469" s="66" t="str">
        <f>IF(Thirtieth!F222="", "",Thirtieth!F222)</f>
        <v/>
      </c>
      <c r="G7469" s="66" t="str">
        <f>IF(Thirtieth!G222="", "",Thirtieth!G222)</f>
        <v/>
      </c>
      <c r="H7469" s="66" t="str">
        <f>IF(Thirtieth!H222="", "",Thirtieth!H222)</f>
        <v/>
      </c>
      <c r="I7469" s="66" t="str">
        <f>IF(Thirtieth!I222="", "",Thirtieth!I222)</f>
        <v/>
      </c>
      <c r="J7469" s="66" t="str">
        <f>IF(Thirtieth!J222="", "",Thirtieth!J222)</f>
        <v/>
      </c>
      <c r="K7469" s="86" t="str">
        <f>IF(Thirtieth!K222="", "",Thirtieth!K222)</f>
        <v/>
      </c>
      <c r="M7469" s="67" t="str">
        <f t="shared" si="353"/>
        <v/>
      </c>
      <c r="N7469" s="76" t="str">
        <f t="shared" si="354"/>
        <v/>
      </c>
      <c r="O7469" s="33">
        <f t="shared" si="355"/>
        <v>0</v>
      </c>
    </row>
    <row r="7470" spans="1:15" x14ac:dyDescent="0.25">
      <c r="A7470" s="64" t="s">
        <v>196</v>
      </c>
      <c r="B7470" s="79" t="str">
        <f>IF(Thirtieth!B223="", "",Thirtieth!B223)</f>
        <v/>
      </c>
      <c r="C7470" s="66" t="str">
        <f>IF(Thirtieth!C223="", "",Thirtieth!C223)</f>
        <v/>
      </c>
      <c r="D7470" s="66" t="str">
        <f>IF(Thirtieth!D223="", "",Thirtieth!D223)</f>
        <v/>
      </c>
      <c r="E7470" s="66" t="str">
        <f>IF(Thirtieth!E223="", "",Thirtieth!E223)</f>
        <v/>
      </c>
      <c r="F7470" s="66" t="str">
        <f>IF(Thirtieth!F223="", "",Thirtieth!F223)</f>
        <v/>
      </c>
      <c r="G7470" s="66" t="str">
        <f>IF(Thirtieth!G223="", "",Thirtieth!G223)</f>
        <v/>
      </c>
      <c r="H7470" s="66" t="str">
        <f>IF(Thirtieth!H223="", "",Thirtieth!H223)</f>
        <v/>
      </c>
      <c r="I7470" s="66" t="str">
        <f>IF(Thirtieth!I223="", "",Thirtieth!I223)</f>
        <v/>
      </c>
      <c r="J7470" s="66" t="str">
        <f>IF(Thirtieth!J223="", "",Thirtieth!J223)</f>
        <v/>
      </c>
      <c r="K7470" s="86" t="str">
        <f>IF(Thirtieth!K223="", "",Thirtieth!K223)</f>
        <v/>
      </c>
      <c r="M7470" s="67" t="str">
        <f t="shared" si="353"/>
        <v/>
      </c>
      <c r="N7470" s="76" t="str">
        <f t="shared" si="354"/>
        <v/>
      </c>
      <c r="O7470" s="33">
        <f t="shared" si="355"/>
        <v>0</v>
      </c>
    </row>
    <row r="7471" spans="1:15" x14ac:dyDescent="0.25">
      <c r="A7471" s="64" t="s">
        <v>196</v>
      </c>
      <c r="B7471" s="79" t="str">
        <f>IF(Thirtieth!B224="", "",Thirtieth!B224)</f>
        <v/>
      </c>
      <c r="C7471" s="66" t="str">
        <f>IF(Thirtieth!C224="", "",Thirtieth!C224)</f>
        <v/>
      </c>
      <c r="D7471" s="66" t="str">
        <f>IF(Thirtieth!D224="", "",Thirtieth!D224)</f>
        <v/>
      </c>
      <c r="E7471" s="66" t="str">
        <f>IF(Thirtieth!E224="", "",Thirtieth!E224)</f>
        <v/>
      </c>
      <c r="F7471" s="66" t="str">
        <f>IF(Thirtieth!F224="", "",Thirtieth!F224)</f>
        <v/>
      </c>
      <c r="G7471" s="66" t="str">
        <f>IF(Thirtieth!G224="", "",Thirtieth!G224)</f>
        <v/>
      </c>
      <c r="H7471" s="66" t="str">
        <f>IF(Thirtieth!H224="", "",Thirtieth!H224)</f>
        <v/>
      </c>
      <c r="I7471" s="66" t="str">
        <f>IF(Thirtieth!I224="", "",Thirtieth!I224)</f>
        <v/>
      </c>
      <c r="J7471" s="66" t="str">
        <f>IF(Thirtieth!J224="", "",Thirtieth!J224)</f>
        <v/>
      </c>
      <c r="K7471" s="86" t="str">
        <f>IF(Thirtieth!K224="", "",Thirtieth!K224)</f>
        <v/>
      </c>
      <c r="M7471" s="67" t="str">
        <f t="shared" si="353"/>
        <v/>
      </c>
      <c r="N7471" s="76" t="str">
        <f t="shared" si="354"/>
        <v/>
      </c>
      <c r="O7471" s="33">
        <f t="shared" si="355"/>
        <v>0</v>
      </c>
    </row>
    <row r="7472" spans="1:15" x14ac:dyDescent="0.25">
      <c r="A7472" s="64" t="s">
        <v>196</v>
      </c>
      <c r="B7472" s="79" t="str">
        <f>IF(Thirtieth!B225="", "",Thirtieth!B225)</f>
        <v/>
      </c>
      <c r="C7472" s="66" t="str">
        <f>IF(Thirtieth!C225="", "",Thirtieth!C225)</f>
        <v/>
      </c>
      <c r="D7472" s="66" t="str">
        <f>IF(Thirtieth!D225="", "",Thirtieth!D225)</f>
        <v/>
      </c>
      <c r="E7472" s="66" t="str">
        <f>IF(Thirtieth!E225="", "",Thirtieth!E225)</f>
        <v/>
      </c>
      <c r="F7472" s="66" t="str">
        <f>IF(Thirtieth!F225="", "",Thirtieth!F225)</f>
        <v/>
      </c>
      <c r="G7472" s="66" t="str">
        <f>IF(Thirtieth!G225="", "",Thirtieth!G225)</f>
        <v/>
      </c>
      <c r="H7472" s="66" t="str">
        <f>IF(Thirtieth!H225="", "",Thirtieth!H225)</f>
        <v/>
      </c>
      <c r="I7472" s="66" t="str">
        <f>IF(Thirtieth!I225="", "",Thirtieth!I225)</f>
        <v/>
      </c>
      <c r="J7472" s="66" t="str">
        <f>IF(Thirtieth!J225="", "",Thirtieth!J225)</f>
        <v/>
      </c>
      <c r="K7472" s="86" t="str">
        <f>IF(Thirtieth!K225="", "",Thirtieth!K225)</f>
        <v/>
      </c>
      <c r="M7472" s="67" t="str">
        <f t="shared" si="353"/>
        <v/>
      </c>
      <c r="N7472" s="76" t="str">
        <f t="shared" si="354"/>
        <v/>
      </c>
      <c r="O7472" s="33">
        <f t="shared" si="355"/>
        <v>0</v>
      </c>
    </row>
    <row r="7473" spans="1:15" x14ac:dyDescent="0.25">
      <c r="A7473" s="64" t="s">
        <v>196</v>
      </c>
      <c r="B7473" s="79" t="str">
        <f>IF(Thirtieth!B226="", "",Thirtieth!B226)</f>
        <v/>
      </c>
      <c r="C7473" s="66" t="str">
        <f>IF(Thirtieth!C226="", "",Thirtieth!C226)</f>
        <v/>
      </c>
      <c r="D7473" s="66" t="str">
        <f>IF(Thirtieth!D226="", "",Thirtieth!D226)</f>
        <v/>
      </c>
      <c r="E7473" s="66" t="str">
        <f>IF(Thirtieth!E226="", "",Thirtieth!E226)</f>
        <v/>
      </c>
      <c r="F7473" s="66" t="str">
        <f>IF(Thirtieth!F226="", "",Thirtieth!F226)</f>
        <v/>
      </c>
      <c r="G7473" s="66" t="str">
        <f>IF(Thirtieth!G226="", "",Thirtieth!G226)</f>
        <v/>
      </c>
      <c r="H7473" s="66" t="str">
        <f>IF(Thirtieth!H226="", "",Thirtieth!H226)</f>
        <v/>
      </c>
      <c r="I7473" s="66" t="str">
        <f>IF(Thirtieth!I226="", "",Thirtieth!I226)</f>
        <v/>
      </c>
      <c r="J7473" s="66" t="str">
        <f>IF(Thirtieth!J226="", "",Thirtieth!J226)</f>
        <v/>
      </c>
      <c r="K7473" s="86" t="str">
        <f>IF(Thirtieth!K226="", "",Thirtieth!K226)</f>
        <v/>
      </c>
      <c r="M7473" s="67" t="str">
        <f t="shared" si="353"/>
        <v/>
      </c>
      <c r="N7473" s="76" t="str">
        <f t="shared" si="354"/>
        <v/>
      </c>
      <c r="O7473" s="33">
        <f t="shared" si="355"/>
        <v>0</v>
      </c>
    </row>
    <row r="7474" spans="1:15" x14ac:dyDescent="0.25">
      <c r="A7474" s="64" t="s">
        <v>196</v>
      </c>
      <c r="B7474" s="79" t="str">
        <f>IF(Thirtieth!B227="", "",Thirtieth!B227)</f>
        <v/>
      </c>
      <c r="C7474" s="66" t="str">
        <f>IF(Thirtieth!C227="", "",Thirtieth!C227)</f>
        <v/>
      </c>
      <c r="D7474" s="66" t="str">
        <f>IF(Thirtieth!D227="", "",Thirtieth!D227)</f>
        <v/>
      </c>
      <c r="E7474" s="66" t="str">
        <f>IF(Thirtieth!E227="", "",Thirtieth!E227)</f>
        <v/>
      </c>
      <c r="F7474" s="66" t="str">
        <f>IF(Thirtieth!F227="", "",Thirtieth!F227)</f>
        <v/>
      </c>
      <c r="G7474" s="66" t="str">
        <f>IF(Thirtieth!G227="", "",Thirtieth!G227)</f>
        <v/>
      </c>
      <c r="H7474" s="66" t="str">
        <f>IF(Thirtieth!H227="", "",Thirtieth!H227)</f>
        <v/>
      </c>
      <c r="I7474" s="66" t="str">
        <f>IF(Thirtieth!I227="", "",Thirtieth!I227)</f>
        <v/>
      </c>
      <c r="J7474" s="66" t="str">
        <f>IF(Thirtieth!J227="", "",Thirtieth!J227)</f>
        <v/>
      </c>
      <c r="K7474" s="86" t="str">
        <f>IF(Thirtieth!K227="", "",Thirtieth!K227)</f>
        <v/>
      </c>
      <c r="M7474" s="67" t="str">
        <f t="shared" si="353"/>
        <v/>
      </c>
      <c r="N7474" s="76" t="str">
        <f t="shared" si="354"/>
        <v/>
      </c>
      <c r="O7474" s="33">
        <f t="shared" si="355"/>
        <v>0</v>
      </c>
    </row>
    <row r="7475" spans="1:15" x14ac:dyDescent="0.25">
      <c r="A7475" s="64" t="s">
        <v>196</v>
      </c>
      <c r="B7475" s="79" t="str">
        <f>IF(Thirtieth!B228="", "",Thirtieth!B228)</f>
        <v/>
      </c>
      <c r="C7475" s="66" t="str">
        <f>IF(Thirtieth!C228="", "",Thirtieth!C228)</f>
        <v/>
      </c>
      <c r="D7475" s="66" t="str">
        <f>IF(Thirtieth!D228="", "",Thirtieth!D228)</f>
        <v/>
      </c>
      <c r="E7475" s="66" t="str">
        <f>IF(Thirtieth!E228="", "",Thirtieth!E228)</f>
        <v/>
      </c>
      <c r="F7475" s="66" t="str">
        <f>IF(Thirtieth!F228="", "",Thirtieth!F228)</f>
        <v/>
      </c>
      <c r="G7475" s="66" t="str">
        <f>IF(Thirtieth!G228="", "",Thirtieth!G228)</f>
        <v/>
      </c>
      <c r="H7475" s="66" t="str">
        <f>IF(Thirtieth!H228="", "",Thirtieth!H228)</f>
        <v/>
      </c>
      <c r="I7475" s="66" t="str">
        <f>IF(Thirtieth!I228="", "",Thirtieth!I228)</f>
        <v/>
      </c>
      <c r="J7475" s="66" t="str">
        <f>IF(Thirtieth!J228="", "",Thirtieth!J228)</f>
        <v/>
      </c>
      <c r="K7475" s="86" t="str">
        <f>IF(Thirtieth!K228="", "",Thirtieth!K228)</f>
        <v/>
      </c>
      <c r="M7475" s="67" t="str">
        <f t="shared" si="353"/>
        <v/>
      </c>
      <c r="N7475" s="76" t="str">
        <f t="shared" si="354"/>
        <v/>
      </c>
      <c r="O7475" s="33">
        <f t="shared" si="355"/>
        <v>0</v>
      </c>
    </row>
    <row r="7476" spans="1:15" x14ac:dyDescent="0.25">
      <c r="A7476" s="64" t="s">
        <v>196</v>
      </c>
      <c r="B7476" s="79" t="str">
        <f>IF(Thirtieth!B229="", "",Thirtieth!B229)</f>
        <v/>
      </c>
      <c r="C7476" s="66" t="str">
        <f>IF(Thirtieth!C229="", "",Thirtieth!C229)</f>
        <v/>
      </c>
      <c r="D7476" s="66" t="str">
        <f>IF(Thirtieth!D229="", "",Thirtieth!D229)</f>
        <v/>
      </c>
      <c r="E7476" s="66" t="str">
        <f>IF(Thirtieth!E229="", "",Thirtieth!E229)</f>
        <v/>
      </c>
      <c r="F7476" s="66" t="str">
        <f>IF(Thirtieth!F229="", "",Thirtieth!F229)</f>
        <v/>
      </c>
      <c r="G7476" s="66" t="str">
        <f>IF(Thirtieth!G229="", "",Thirtieth!G229)</f>
        <v/>
      </c>
      <c r="H7476" s="66" t="str">
        <f>IF(Thirtieth!H229="", "",Thirtieth!H229)</f>
        <v/>
      </c>
      <c r="I7476" s="66" t="str">
        <f>IF(Thirtieth!I229="", "",Thirtieth!I229)</f>
        <v/>
      </c>
      <c r="J7476" s="66" t="str">
        <f>IF(Thirtieth!J229="", "",Thirtieth!J229)</f>
        <v/>
      </c>
      <c r="K7476" s="86" t="str">
        <f>IF(Thirtieth!K229="", "",Thirtieth!K229)</f>
        <v/>
      </c>
      <c r="M7476" s="67" t="str">
        <f t="shared" si="353"/>
        <v/>
      </c>
      <c r="N7476" s="76" t="str">
        <f t="shared" si="354"/>
        <v/>
      </c>
      <c r="O7476" s="33">
        <f t="shared" si="355"/>
        <v>0</v>
      </c>
    </row>
    <row r="7477" spans="1:15" x14ac:dyDescent="0.25">
      <c r="A7477" s="64" t="s">
        <v>196</v>
      </c>
      <c r="B7477" s="79" t="str">
        <f>IF(Thirtieth!B230="", "",Thirtieth!B230)</f>
        <v/>
      </c>
      <c r="C7477" s="66" t="str">
        <f>IF(Thirtieth!C230="", "",Thirtieth!C230)</f>
        <v/>
      </c>
      <c r="D7477" s="66" t="str">
        <f>IF(Thirtieth!D230="", "",Thirtieth!D230)</f>
        <v/>
      </c>
      <c r="E7477" s="66" t="str">
        <f>IF(Thirtieth!E230="", "",Thirtieth!E230)</f>
        <v/>
      </c>
      <c r="F7477" s="66" t="str">
        <f>IF(Thirtieth!F230="", "",Thirtieth!F230)</f>
        <v/>
      </c>
      <c r="G7477" s="66" t="str">
        <f>IF(Thirtieth!G230="", "",Thirtieth!G230)</f>
        <v/>
      </c>
      <c r="H7477" s="66" t="str">
        <f>IF(Thirtieth!H230="", "",Thirtieth!H230)</f>
        <v/>
      </c>
      <c r="I7477" s="66" t="str">
        <f>IF(Thirtieth!I230="", "",Thirtieth!I230)</f>
        <v/>
      </c>
      <c r="J7477" s="66" t="str">
        <f>IF(Thirtieth!J230="", "",Thirtieth!J230)</f>
        <v/>
      </c>
      <c r="K7477" s="86" t="str">
        <f>IF(Thirtieth!K230="", "",Thirtieth!K230)</f>
        <v/>
      </c>
      <c r="M7477" s="67" t="str">
        <f t="shared" si="353"/>
        <v/>
      </c>
      <c r="N7477" s="76" t="str">
        <f t="shared" si="354"/>
        <v/>
      </c>
      <c r="O7477" s="33">
        <f t="shared" si="355"/>
        <v>0</v>
      </c>
    </row>
    <row r="7478" spans="1:15" x14ac:dyDescent="0.25">
      <c r="A7478" s="64" t="s">
        <v>196</v>
      </c>
      <c r="B7478" s="79" t="str">
        <f>IF(Thirtieth!B231="", "",Thirtieth!B231)</f>
        <v/>
      </c>
      <c r="C7478" s="66" t="str">
        <f>IF(Thirtieth!C231="", "",Thirtieth!C231)</f>
        <v/>
      </c>
      <c r="D7478" s="66" t="str">
        <f>IF(Thirtieth!D231="", "",Thirtieth!D231)</f>
        <v/>
      </c>
      <c r="E7478" s="66" t="str">
        <f>IF(Thirtieth!E231="", "",Thirtieth!E231)</f>
        <v/>
      </c>
      <c r="F7478" s="66" t="str">
        <f>IF(Thirtieth!F231="", "",Thirtieth!F231)</f>
        <v/>
      </c>
      <c r="G7478" s="66" t="str">
        <f>IF(Thirtieth!G231="", "",Thirtieth!G231)</f>
        <v/>
      </c>
      <c r="H7478" s="66" t="str">
        <f>IF(Thirtieth!H231="", "",Thirtieth!H231)</f>
        <v/>
      </c>
      <c r="I7478" s="66" t="str">
        <f>IF(Thirtieth!I231="", "",Thirtieth!I231)</f>
        <v/>
      </c>
      <c r="J7478" s="66" t="str">
        <f>IF(Thirtieth!J231="", "",Thirtieth!J231)</f>
        <v/>
      </c>
      <c r="K7478" s="86" t="str">
        <f>IF(Thirtieth!K231="", "",Thirtieth!K231)</f>
        <v/>
      </c>
      <c r="M7478" s="67" t="str">
        <f t="shared" si="353"/>
        <v/>
      </c>
      <c r="N7478" s="76" t="str">
        <f t="shared" si="354"/>
        <v/>
      </c>
      <c r="O7478" s="33">
        <f t="shared" si="355"/>
        <v>0</v>
      </c>
    </row>
    <row r="7479" spans="1:15" x14ac:dyDescent="0.25">
      <c r="A7479" s="64" t="s">
        <v>196</v>
      </c>
      <c r="B7479" s="79" t="str">
        <f>IF(Thirtieth!B232="", "",Thirtieth!B232)</f>
        <v/>
      </c>
      <c r="C7479" s="66" t="str">
        <f>IF(Thirtieth!C232="", "",Thirtieth!C232)</f>
        <v/>
      </c>
      <c r="D7479" s="66" t="str">
        <f>IF(Thirtieth!D232="", "",Thirtieth!D232)</f>
        <v/>
      </c>
      <c r="E7479" s="66" t="str">
        <f>IF(Thirtieth!E232="", "",Thirtieth!E232)</f>
        <v/>
      </c>
      <c r="F7479" s="66" t="str">
        <f>IF(Thirtieth!F232="", "",Thirtieth!F232)</f>
        <v/>
      </c>
      <c r="G7479" s="66" t="str">
        <f>IF(Thirtieth!G232="", "",Thirtieth!G232)</f>
        <v/>
      </c>
      <c r="H7479" s="66" t="str">
        <f>IF(Thirtieth!H232="", "",Thirtieth!H232)</f>
        <v/>
      </c>
      <c r="I7479" s="66" t="str">
        <f>IF(Thirtieth!I232="", "",Thirtieth!I232)</f>
        <v/>
      </c>
      <c r="J7479" s="66" t="str">
        <f>IF(Thirtieth!J232="", "",Thirtieth!J232)</f>
        <v/>
      </c>
      <c r="K7479" s="86" t="str">
        <f>IF(Thirtieth!K232="", "",Thirtieth!K232)</f>
        <v/>
      </c>
      <c r="M7479" s="67" t="str">
        <f t="shared" si="353"/>
        <v/>
      </c>
      <c r="N7479" s="76" t="str">
        <f t="shared" si="354"/>
        <v/>
      </c>
      <c r="O7479" s="33">
        <f t="shared" si="355"/>
        <v>0</v>
      </c>
    </row>
    <row r="7480" spans="1:15" x14ac:dyDescent="0.25">
      <c r="A7480" s="64" t="s">
        <v>196</v>
      </c>
      <c r="B7480" s="79" t="str">
        <f>IF(Thirtieth!B233="", "",Thirtieth!B233)</f>
        <v/>
      </c>
      <c r="C7480" s="66" t="str">
        <f>IF(Thirtieth!C233="", "",Thirtieth!C233)</f>
        <v/>
      </c>
      <c r="D7480" s="66" t="str">
        <f>IF(Thirtieth!D233="", "",Thirtieth!D233)</f>
        <v/>
      </c>
      <c r="E7480" s="66" t="str">
        <f>IF(Thirtieth!E233="", "",Thirtieth!E233)</f>
        <v/>
      </c>
      <c r="F7480" s="66" t="str">
        <f>IF(Thirtieth!F233="", "",Thirtieth!F233)</f>
        <v/>
      </c>
      <c r="G7480" s="66" t="str">
        <f>IF(Thirtieth!G233="", "",Thirtieth!G233)</f>
        <v/>
      </c>
      <c r="H7480" s="66" t="str">
        <f>IF(Thirtieth!H233="", "",Thirtieth!H233)</f>
        <v/>
      </c>
      <c r="I7480" s="66" t="str">
        <f>IF(Thirtieth!I233="", "",Thirtieth!I233)</f>
        <v/>
      </c>
      <c r="J7480" s="66" t="str">
        <f>IF(Thirtieth!J233="", "",Thirtieth!J233)</f>
        <v/>
      </c>
      <c r="K7480" s="86" t="str">
        <f>IF(Thirtieth!K233="", "",Thirtieth!K233)</f>
        <v/>
      </c>
      <c r="M7480" s="67" t="str">
        <f t="shared" si="353"/>
        <v/>
      </c>
      <c r="N7480" s="76" t="str">
        <f t="shared" si="354"/>
        <v/>
      </c>
      <c r="O7480" s="33">
        <f t="shared" si="355"/>
        <v>0</v>
      </c>
    </row>
    <row r="7481" spans="1:15" x14ac:dyDescent="0.25">
      <c r="A7481" s="64" t="s">
        <v>196</v>
      </c>
      <c r="B7481" s="79" t="str">
        <f>IF(Thirtieth!B234="", "",Thirtieth!B234)</f>
        <v/>
      </c>
      <c r="C7481" s="66" t="str">
        <f>IF(Thirtieth!C234="", "",Thirtieth!C234)</f>
        <v/>
      </c>
      <c r="D7481" s="66" t="str">
        <f>IF(Thirtieth!D234="", "",Thirtieth!D234)</f>
        <v/>
      </c>
      <c r="E7481" s="66" t="str">
        <f>IF(Thirtieth!E234="", "",Thirtieth!E234)</f>
        <v/>
      </c>
      <c r="F7481" s="66" t="str">
        <f>IF(Thirtieth!F234="", "",Thirtieth!F234)</f>
        <v/>
      </c>
      <c r="G7481" s="66" t="str">
        <f>IF(Thirtieth!G234="", "",Thirtieth!G234)</f>
        <v/>
      </c>
      <c r="H7481" s="66" t="str">
        <f>IF(Thirtieth!H234="", "",Thirtieth!H234)</f>
        <v/>
      </c>
      <c r="I7481" s="66" t="str">
        <f>IF(Thirtieth!I234="", "",Thirtieth!I234)</f>
        <v/>
      </c>
      <c r="J7481" s="66" t="str">
        <f>IF(Thirtieth!J234="", "",Thirtieth!J234)</f>
        <v/>
      </c>
      <c r="K7481" s="86" t="str">
        <f>IF(Thirtieth!K234="", "",Thirtieth!K234)</f>
        <v/>
      </c>
      <c r="M7481" s="67" t="str">
        <f t="shared" si="353"/>
        <v/>
      </c>
      <c r="N7481" s="76" t="str">
        <f t="shared" si="354"/>
        <v/>
      </c>
      <c r="O7481" s="33">
        <f t="shared" si="355"/>
        <v>0</v>
      </c>
    </row>
    <row r="7482" spans="1:15" x14ac:dyDescent="0.25">
      <c r="A7482" s="64" t="s">
        <v>196</v>
      </c>
      <c r="B7482" s="79" t="str">
        <f>IF(Thirtieth!B235="", "",Thirtieth!B235)</f>
        <v/>
      </c>
      <c r="C7482" s="66" t="str">
        <f>IF(Thirtieth!C235="", "",Thirtieth!C235)</f>
        <v/>
      </c>
      <c r="D7482" s="66" t="str">
        <f>IF(Thirtieth!D235="", "",Thirtieth!D235)</f>
        <v/>
      </c>
      <c r="E7482" s="66" t="str">
        <f>IF(Thirtieth!E235="", "",Thirtieth!E235)</f>
        <v/>
      </c>
      <c r="F7482" s="66" t="str">
        <f>IF(Thirtieth!F235="", "",Thirtieth!F235)</f>
        <v/>
      </c>
      <c r="G7482" s="66" t="str">
        <f>IF(Thirtieth!G235="", "",Thirtieth!G235)</f>
        <v/>
      </c>
      <c r="H7482" s="66" t="str">
        <f>IF(Thirtieth!H235="", "",Thirtieth!H235)</f>
        <v/>
      </c>
      <c r="I7482" s="66" t="str">
        <f>IF(Thirtieth!I235="", "",Thirtieth!I235)</f>
        <v/>
      </c>
      <c r="J7482" s="66" t="str">
        <f>IF(Thirtieth!J235="", "",Thirtieth!J235)</f>
        <v/>
      </c>
      <c r="K7482" s="86" t="str">
        <f>IF(Thirtieth!K235="", "",Thirtieth!K235)</f>
        <v/>
      </c>
      <c r="M7482" s="67" t="str">
        <f t="shared" si="353"/>
        <v/>
      </c>
      <c r="N7482" s="76" t="str">
        <f t="shared" si="354"/>
        <v/>
      </c>
      <c r="O7482" s="33">
        <f t="shared" si="355"/>
        <v>0</v>
      </c>
    </row>
    <row r="7483" spans="1:15" x14ac:dyDescent="0.25">
      <c r="A7483" s="64" t="s">
        <v>196</v>
      </c>
      <c r="B7483" s="79" t="str">
        <f>IF(Thirtieth!B236="", "",Thirtieth!B236)</f>
        <v/>
      </c>
      <c r="C7483" s="66" t="str">
        <f>IF(Thirtieth!C236="", "",Thirtieth!C236)</f>
        <v/>
      </c>
      <c r="D7483" s="66" t="str">
        <f>IF(Thirtieth!D236="", "",Thirtieth!D236)</f>
        <v/>
      </c>
      <c r="E7483" s="66" t="str">
        <f>IF(Thirtieth!E236="", "",Thirtieth!E236)</f>
        <v/>
      </c>
      <c r="F7483" s="66" t="str">
        <f>IF(Thirtieth!F236="", "",Thirtieth!F236)</f>
        <v/>
      </c>
      <c r="G7483" s="66" t="str">
        <f>IF(Thirtieth!G236="", "",Thirtieth!G236)</f>
        <v/>
      </c>
      <c r="H7483" s="66" t="str">
        <f>IF(Thirtieth!H236="", "",Thirtieth!H236)</f>
        <v/>
      </c>
      <c r="I7483" s="66" t="str">
        <f>IF(Thirtieth!I236="", "",Thirtieth!I236)</f>
        <v/>
      </c>
      <c r="J7483" s="66" t="str">
        <f>IF(Thirtieth!J236="", "",Thirtieth!J236)</f>
        <v/>
      </c>
      <c r="K7483" s="86" t="str">
        <f>IF(Thirtieth!K236="", "",Thirtieth!K236)</f>
        <v/>
      </c>
      <c r="M7483" s="67" t="str">
        <f t="shared" si="353"/>
        <v/>
      </c>
      <c r="N7483" s="76" t="str">
        <f t="shared" si="354"/>
        <v/>
      </c>
      <c r="O7483" s="33">
        <f t="shared" si="355"/>
        <v>0</v>
      </c>
    </row>
    <row r="7484" spans="1:15" x14ac:dyDescent="0.25">
      <c r="A7484" s="64" t="s">
        <v>196</v>
      </c>
      <c r="B7484" s="79" t="str">
        <f>IF(Thirtieth!B237="", "",Thirtieth!B237)</f>
        <v/>
      </c>
      <c r="C7484" s="66" t="str">
        <f>IF(Thirtieth!C237="", "",Thirtieth!C237)</f>
        <v/>
      </c>
      <c r="D7484" s="66" t="str">
        <f>IF(Thirtieth!D237="", "",Thirtieth!D237)</f>
        <v/>
      </c>
      <c r="E7484" s="66" t="str">
        <f>IF(Thirtieth!E237="", "",Thirtieth!E237)</f>
        <v/>
      </c>
      <c r="F7484" s="66" t="str">
        <f>IF(Thirtieth!F237="", "",Thirtieth!F237)</f>
        <v/>
      </c>
      <c r="G7484" s="66" t="str">
        <f>IF(Thirtieth!G237="", "",Thirtieth!G237)</f>
        <v/>
      </c>
      <c r="H7484" s="66" t="str">
        <f>IF(Thirtieth!H237="", "",Thirtieth!H237)</f>
        <v/>
      </c>
      <c r="I7484" s="66" t="str">
        <f>IF(Thirtieth!I237="", "",Thirtieth!I237)</f>
        <v/>
      </c>
      <c r="J7484" s="66" t="str">
        <f>IF(Thirtieth!J237="", "",Thirtieth!J237)</f>
        <v/>
      </c>
      <c r="K7484" s="86" t="str">
        <f>IF(Thirtieth!K237="", "",Thirtieth!K237)</f>
        <v/>
      </c>
      <c r="M7484" s="67" t="str">
        <f t="shared" si="353"/>
        <v/>
      </c>
      <c r="N7484" s="76" t="str">
        <f t="shared" si="354"/>
        <v/>
      </c>
      <c r="O7484" s="33">
        <f t="shared" si="355"/>
        <v>0</v>
      </c>
    </row>
    <row r="7485" spans="1:15" x14ac:dyDescent="0.25">
      <c r="A7485" s="64" t="s">
        <v>196</v>
      </c>
      <c r="B7485" s="79" t="str">
        <f>IF(Thirtieth!B238="", "",Thirtieth!B238)</f>
        <v/>
      </c>
      <c r="C7485" s="66" t="str">
        <f>IF(Thirtieth!C238="", "",Thirtieth!C238)</f>
        <v/>
      </c>
      <c r="D7485" s="66" t="str">
        <f>IF(Thirtieth!D238="", "",Thirtieth!D238)</f>
        <v/>
      </c>
      <c r="E7485" s="66" t="str">
        <f>IF(Thirtieth!E238="", "",Thirtieth!E238)</f>
        <v/>
      </c>
      <c r="F7485" s="66" t="str">
        <f>IF(Thirtieth!F238="", "",Thirtieth!F238)</f>
        <v/>
      </c>
      <c r="G7485" s="66" t="str">
        <f>IF(Thirtieth!G238="", "",Thirtieth!G238)</f>
        <v/>
      </c>
      <c r="H7485" s="66" t="str">
        <f>IF(Thirtieth!H238="", "",Thirtieth!H238)</f>
        <v/>
      </c>
      <c r="I7485" s="66" t="str">
        <f>IF(Thirtieth!I238="", "",Thirtieth!I238)</f>
        <v/>
      </c>
      <c r="J7485" s="66" t="str">
        <f>IF(Thirtieth!J238="", "",Thirtieth!J238)</f>
        <v/>
      </c>
      <c r="K7485" s="86" t="str">
        <f>IF(Thirtieth!K238="", "",Thirtieth!K238)</f>
        <v/>
      </c>
      <c r="M7485" s="67" t="str">
        <f t="shared" si="353"/>
        <v/>
      </c>
      <c r="N7485" s="76" t="str">
        <f t="shared" si="354"/>
        <v/>
      </c>
      <c r="O7485" s="33">
        <f t="shared" si="355"/>
        <v>0</v>
      </c>
    </row>
    <row r="7486" spans="1:15" x14ac:dyDescent="0.25">
      <c r="A7486" s="64" t="s">
        <v>196</v>
      </c>
      <c r="B7486" s="79" t="str">
        <f>IF(Thirtieth!B239="", "",Thirtieth!B239)</f>
        <v/>
      </c>
      <c r="C7486" s="66" t="str">
        <f>IF(Thirtieth!C239="", "",Thirtieth!C239)</f>
        <v/>
      </c>
      <c r="D7486" s="66" t="str">
        <f>IF(Thirtieth!D239="", "",Thirtieth!D239)</f>
        <v/>
      </c>
      <c r="E7486" s="66" t="str">
        <f>IF(Thirtieth!E239="", "",Thirtieth!E239)</f>
        <v/>
      </c>
      <c r="F7486" s="66" t="str">
        <f>IF(Thirtieth!F239="", "",Thirtieth!F239)</f>
        <v/>
      </c>
      <c r="G7486" s="66" t="str">
        <f>IF(Thirtieth!G239="", "",Thirtieth!G239)</f>
        <v/>
      </c>
      <c r="H7486" s="66" t="str">
        <f>IF(Thirtieth!H239="", "",Thirtieth!H239)</f>
        <v/>
      </c>
      <c r="I7486" s="66" t="str">
        <f>IF(Thirtieth!I239="", "",Thirtieth!I239)</f>
        <v/>
      </c>
      <c r="J7486" s="66" t="str">
        <f>IF(Thirtieth!J239="", "",Thirtieth!J239)</f>
        <v/>
      </c>
      <c r="K7486" s="86" t="str">
        <f>IF(Thirtieth!K239="", "",Thirtieth!K239)</f>
        <v/>
      </c>
      <c r="M7486" s="67" t="str">
        <f t="shared" si="353"/>
        <v/>
      </c>
      <c r="N7486" s="76" t="str">
        <f t="shared" si="354"/>
        <v/>
      </c>
      <c r="O7486" s="33">
        <f t="shared" si="355"/>
        <v>0</v>
      </c>
    </row>
    <row r="7487" spans="1:15" x14ac:dyDescent="0.25">
      <c r="A7487" s="64" t="s">
        <v>196</v>
      </c>
      <c r="B7487" s="79" t="str">
        <f>IF(Thirtieth!B240="", "",Thirtieth!B240)</f>
        <v/>
      </c>
      <c r="C7487" s="66" t="str">
        <f>IF(Thirtieth!C240="", "",Thirtieth!C240)</f>
        <v/>
      </c>
      <c r="D7487" s="66" t="str">
        <f>IF(Thirtieth!D240="", "",Thirtieth!D240)</f>
        <v/>
      </c>
      <c r="E7487" s="66" t="str">
        <f>IF(Thirtieth!E240="", "",Thirtieth!E240)</f>
        <v/>
      </c>
      <c r="F7487" s="66" t="str">
        <f>IF(Thirtieth!F240="", "",Thirtieth!F240)</f>
        <v/>
      </c>
      <c r="G7487" s="66" t="str">
        <f>IF(Thirtieth!G240="", "",Thirtieth!G240)</f>
        <v/>
      </c>
      <c r="H7487" s="66" t="str">
        <f>IF(Thirtieth!H240="", "",Thirtieth!H240)</f>
        <v/>
      </c>
      <c r="I7487" s="66" t="str">
        <f>IF(Thirtieth!I240="", "",Thirtieth!I240)</f>
        <v/>
      </c>
      <c r="J7487" s="66" t="str">
        <f>IF(Thirtieth!J240="", "",Thirtieth!J240)</f>
        <v/>
      </c>
      <c r="K7487" s="86" t="str">
        <f>IF(Thirtieth!K240="", "",Thirtieth!K240)</f>
        <v/>
      </c>
      <c r="M7487" s="67" t="str">
        <f t="shared" ref="M7487:M7501" si="356">IF(C7487="PwC",(7-COUNTIF(B7487:H7487,"")),"")</f>
        <v/>
      </c>
      <c r="N7487" s="76" t="str">
        <f t="shared" ref="N7487:N7501" si="357">IF(C7487="Carer",(7-COUNTIF(B7487:H7487,"")),"")</f>
        <v/>
      </c>
      <c r="O7487" s="33">
        <f t="shared" si="355"/>
        <v>0</v>
      </c>
    </row>
    <row r="7488" spans="1:15" x14ac:dyDescent="0.25">
      <c r="A7488" s="64" t="s">
        <v>196</v>
      </c>
      <c r="B7488" s="79" t="str">
        <f>IF(Thirtieth!B241="", "",Thirtieth!B241)</f>
        <v/>
      </c>
      <c r="C7488" s="66" t="str">
        <f>IF(Thirtieth!C241="", "",Thirtieth!C241)</f>
        <v/>
      </c>
      <c r="D7488" s="66" t="str">
        <f>IF(Thirtieth!D241="", "",Thirtieth!D241)</f>
        <v/>
      </c>
      <c r="E7488" s="66" t="str">
        <f>IF(Thirtieth!E241="", "",Thirtieth!E241)</f>
        <v/>
      </c>
      <c r="F7488" s="66" t="str">
        <f>IF(Thirtieth!F241="", "",Thirtieth!F241)</f>
        <v/>
      </c>
      <c r="G7488" s="66" t="str">
        <f>IF(Thirtieth!G241="", "",Thirtieth!G241)</f>
        <v/>
      </c>
      <c r="H7488" s="66" t="str">
        <f>IF(Thirtieth!H241="", "",Thirtieth!H241)</f>
        <v/>
      </c>
      <c r="I7488" s="66" t="str">
        <f>IF(Thirtieth!I241="", "",Thirtieth!I241)</f>
        <v/>
      </c>
      <c r="J7488" s="66" t="str">
        <f>IF(Thirtieth!J241="", "",Thirtieth!J241)</f>
        <v/>
      </c>
      <c r="K7488" s="86" t="str">
        <f>IF(Thirtieth!K241="", "",Thirtieth!K241)</f>
        <v/>
      </c>
      <c r="M7488" s="67" t="str">
        <f t="shared" si="356"/>
        <v/>
      </c>
      <c r="N7488" s="76" t="str">
        <f t="shared" si="357"/>
        <v/>
      </c>
      <c r="O7488" s="33">
        <f t="shared" si="355"/>
        <v>0</v>
      </c>
    </row>
    <row r="7489" spans="1:15" x14ac:dyDescent="0.25">
      <c r="A7489" s="64" t="s">
        <v>196</v>
      </c>
      <c r="B7489" s="79" t="str">
        <f>IF(Thirtieth!B242="", "",Thirtieth!B242)</f>
        <v/>
      </c>
      <c r="C7489" s="66" t="str">
        <f>IF(Thirtieth!C242="", "",Thirtieth!C242)</f>
        <v/>
      </c>
      <c r="D7489" s="66" t="str">
        <f>IF(Thirtieth!D242="", "",Thirtieth!D242)</f>
        <v/>
      </c>
      <c r="E7489" s="66" t="str">
        <f>IF(Thirtieth!E242="", "",Thirtieth!E242)</f>
        <v/>
      </c>
      <c r="F7489" s="66" t="str">
        <f>IF(Thirtieth!F242="", "",Thirtieth!F242)</f>
        <v/>
      </c>
      <c r="G7489" s="66" t="str">
        <f>IF(Thirtieth!G242="", "",Thirtieth!G242)</f>
        <v/>
      </c>
      <c r="H7489" s="66" t="str">
        <f>IF(Thirtieth!H242="", "",Thirtieth!H242)</f>
        <v/>
      </c>
      <c r="I7489" s="66" t="str">
        <f>IF(Thirtieth!I242="", "",Thirtieth!I242)</f>
        <v/>
      </c>
      <c r="J7489" s="66" t="str">
        <f>IF(Thirtieth!J242="", "",Thirtieth!J242)</f>
        <v/>
      </c>
      <c r="K7489" s="86" t="str">
        <f>IF(Thirtieth!K242="", "",Thirtieth!K242)</f>
        <v/>
      </c>
      <c r="M7489" s="67" t="str">
        <f t="shared" si="356"/>
        <v/>
      </c>
      <c r="N7489" s="76" t="str">
        <f t="shared" si="357"/>
        <v/>
      </c>
      <c r="O7489" s="33">
        <f t="shared" si="355"/>
        <v>0</v>
      </c>
    </row>
    <row r="7490" spans="1:15" x14ac:dyDescent="0.25">
      <c r="A7490" s="64" t="s">
        <v>196</v>
      </c>
      <c r="B7490" s="79" t="str">
        <f>IF(Thirtieth!B243="", "",Thirtieth!B243)</f>
        <v/>
      </c>
      <c r="C7490" s="66" t="str">
        <f>IF(Thirtieth!C243="", "",Thirtieth!C243)</f>
        <v/>
      </c>
      <c r="D7490" s="66" t="str">
        <f>IF(Thirtieth!D243="", "",Thirtieth!D243)</f>
        <v/>
      </c>
      <c r="E7490" s="66" t="str">
        <f>IF(Thirtieth!E243="", "",Thirtieth!E243)</f>
        <v/>
      </c>
      <c r="F7490" s="66" t="str">
        <f>IF(Thirtieth!F243="", "",Thirtieth!F243)</f>
        <v/>
      </c>
      <c r="G7490" s="66" t="str">
        <f>IF(Thirtieth!G243="", "",Thirtieth!G243)</f>
        <v/>
      </c>
      <c r="H7490" s="66" t="str">
        <f>IF(Thirtieth!H243="", "",Thirtieth!H243)</f>
        <v/>
      </c>
      <c r="I7490" s="66" t="str">
        <f>IF(Thirtieth!I243="", "",Thirtieth!I243)</f>
        <v/>
      </c>
      <c r="J7490" s="66" t="str">
        <f>IF(Thirtieth!J243="", "",Thirtieth!J243)</f>
        <v/>
      </c>
      <c r="K7490" s="86" t="str">
        <f>IF(Thirtieth!K243="", "",Thirtieth!K243)</f>
        <v/>
      </c>
      <c r="M7490" s="67" t="str">
        <f t="shared" si="356"/>
        <v/>
      </c>
      <c r="N7490" s="76" t="str">
        <f t="shared" si="357"/>
        <v/>
      </c>
      <c r="O7490" s="33">
        <f t="shared" si="355"/>
        <v>0</v>
      </c>
    </row>
    <row r="7491" spans="1:15" x14ac:dyDescent="0.25">
      <c r="A7491" s="64" t="s">
        <v>196</v>
      </c>
      <c r="B7491" s="79" t="str">
        <f>IF(Thirtieth!B244="", "",Thirtieth!B244)</f>
        <v/>
      </c>
      <c r="C7491" s="66" t="str">
        <f>IF(Thirtieth!C244="", "",Thirtieth!C244)</f>
        <v/>
      </c>
      <c r="D7491" s="66" t="str">
        <f>IF(Thirtieth!D244="", "",Thirtieth!D244)</f>
        <v/>
      </c>
      <c r="E7491" s="66" t="str">
        <f>IF(Thirtieth!E244="", "",Thirtieth!E244)</f>
        <v/>
      </c>
      <c r="F7491" s="66" t="str">
        <f>IF(Thirtieth!F244="", "",Thirtieth!F244)</f>
        <v/>
      </c>
      <c r="G7491" s="66" t="str">
        <f>IF(Thirtieth!G244="", "",Thirtieth!G244)</f>
        <v/>
      </c>
      <c r="H7491" s="66" t="str">
        <f>IF(Thirtieth!H244="", "",Thirtieth!H244)</f>
        <v/>
      </c>
      <c r="I7491" s="66" t="str">
        <f>IF(Thirtieth!I244="", "",Thirtieth!I244)</f>
        <v/>
      </c>
      <c r="J7491" s="66" t="str">
        <f>IF(Thirtieth!J244="", "",Thirtieth!J244)</f>
        <v/>
      </c>
      <c r="K7491" s="86" t="str">
        <f>IF(Thirtieth!K244="", "",Thirtieth!K244)</f>
        <v/>
      </c>
      <c r="M7491" s="67" t="str">
        <f t="shared" si="356"/>
        <v/>
      </c>
      <c r="N7491" s="76" t="str">
        <f t="shared" si="357"/>
        <v/>
      </c>
      <c r="O7491" s="33">
        <f t="shared" si="355"/>
        <v>0</v>
      </c>
    </row>
    <row r="7492" spans="1:15" x14ac:dyDescent="0.25">
      <c r="A7492" s="64" t="s">
        <v>196</v>
      </c>
      <c r="B7492" s="79" t="str">
        <f>IF(Thirtieth!B245="", "",Thirtieth!B245)</f>
        <v/>
      </c>
      <c r="C7492" s="66" t="str">
        <f>IF(Thirtieth!C245="", "",Thirtieth!C245)</f>
        <v/>
      </c>
      <c r="D7492" s="66" t="str">
        <f>IF(Thirtieth!D245="", "",Thirtieth!D245)</f>
        <v/>
      </c>
      <c r="E7492" s="66" t="str">
        <f>IF(Thirtieth!E245="", "",Thirtieth!E245)</f>
        <v/>
      </c>
      <c r="F7492" s="66" t="str">
        <f>IF(Thirtieth!F245="", "",Thirtieth!F245)</f>
        <v/>
      </c>
      <c r="G7492" s="66" t="str">
        <f>IF(Thirtieth!G245="", "",Thirtieth!G245)</f>
        <v/>
      </c>
      <c r="H7492" s="66" t="str">
        <f>IF(Thirtieth!H245="", "",Thirtieth!H245)</f>
        <v/>
      </c>
      <c r="I7492" s="66" t="str">
        <f>IF(Thirtieth!I245="", "",Thirtieth!I245)</f>
        <v/>
      </c>
      <c r="J7492" s="66" t="str">
        <f>IF(Thirtieth!J245="", "",Thirtieth!J245)</f>
        <v/>
      </c>
      <c r="K7492" s="86" t="str">
        <f>IF(Thirtieth!K245="", "",Thirtieth!K245)</f>
        <v/>
      </c>
      <c r="M7492" s="67" t="str">
        <f t="shared" si="356"/>
        <v/>
      </c>
      <c r="N7492" s="76" t="str">
        <f t="shared" si="357"/>
        <v/>
      </c>
      <c r="O7492" s="33">
        <f t="shared" si="355"/>
        <v>0</v>
      </c>
    </row>
    <row r="7493" spans="1:15" x14ac:dyDescent="0.25">
      <c r="A7493" s="64" t="s">
        <v>196</v>
      </c>
      <c r="B7493" s="79" t="str">
        <f>IF(Thirtieth!B246="", "",Thirtieth!B246)</f>
        <v/>
      </c>
      <c r="C7493" s="66" t="str">
        <f>IF(Thirtieth!C246="", "",Thirtieth!C246)</f>
        <v/>
      </c>
      <c r="D7493" s="66" t="str">
        <f>IF(Thirtieth!D246="", "",Thirtieth!D246)</f>
        <v/>
      </c>
      <c r="E7493" s="66" t="str">
        <f>IF(Thirtieth!E246="", "",Thirtieth!E246)</f>
        <v/>
      </c>
      <c r="F7493" s="66" t="str">
        <f>IF(Thirtieth!F246="", "",Thirtieth!F246)</f>
        <v/>
      </c>
      <c r="G7493" s="66" t="str">
        <f>IF(Thirtieth!G246="", "",Thirtieth!G246)</f>
        <v/>
      </c>
      <c r="H7493" s="66" t="str">
        <f>IF(Thirtieth!H246="", "",Thirtieth!H246)</f>
        <v/>
      </c>
      <c r="I7493" s="66" t="str">
        <f>IF(Thirtieth!I246="", "",Thirtieth!I246)</f>
        <v/>
      </c>
      <c r="J7493" s="66" t="str">
        <f>IF(Thirtieth!J246="", "",Thirtieth!J246)</f>
        <v/>
      </c>
      <c r="K7493" s="86" t="str">
        <f>IF(Thirtieth!K246="", "",Thirtieth!K246)</f>
        <v/>
      </c>
      <c r="M7493" s="67" t="str">
        <f t="shared" si="356"/>
        <v/>
      </c>
      <c r="N7493" s="76" t="str">
        <f t="shared" si="357"/>
        <v/>
      </c>
      <c r="O7493" s="33">
        <f t="shared" si="355"/>
        <v>0</v>
      </c>
    </row>
    <row r="7494" spans="1:15" x14ac:dyDescent="0.25">
      <c r="A7494" s="64" t="s">
        <v>196</v>
      </c>
      <c r="B7494" s="79" t="str">
        <f>IF(Thirtieth!B247="", "",Thirtieth!B247)</f>
        <v/>
      </c>
      <c r="C7494" s="66" t="str">
        <f>IF(Thirtieth!C247="", "",Thirtieth!C247)</f>
        <v/>
      </c>
      <c r="D7494" s="66" t="str">
        <f>IF(Thirtieth!D247="", "",Thirtieth!D247)</f>
        <v/>
      </c>
      <c r="E7494" s="66" t="str">
        <f>IF(Thirtieth!E247="", "",Thirtieth!E247)</f>
        <v/>
      </c>
      <c r="F7494" s="66" t="str">
        <f>IF(Thirtieth!F247="", "",Thirtieth!F247)</f>
        <v/>
      </c>
      <c r="G7494" s="66" t="str">
        <f>IF(Thirtieth!G247="", "",Thirtieth!G247)</f>
        <v/>
      </c>
      <c r="H7494" s="66" t="str">
        <f>IF(Thirtieth!H247="", "",Thirtieth!H247)</f>
        <v/>
      </c>
      <c r="I7494" s="66" t="str">
        <f>IF(Thirtieth!I247="", "",Thirtieth!I247)</f>
        <v/>
      </c>
      <c r="J7494" s="66" t="str">
        <f>IF(Thirtieth!J247="", "",Thirtieth!J247)</f>
        <v/>
      </c>
      <c r="K7494" s="86" t="str">
        <f>IF(Thirtieth!K247="", "",Thirtieth!K247)</f>
        <v/>
      </c>
      <c r="M7494" s="67" t="str">
        <f t="shared" si="356"/>
        <v/>
      </c>
      <c r="N7494" s="76" t="str">
        <f t="shared" si="357"/>
        <v/>
      </c>
      <c r="O7494" s="33">
        <f t="shared" si="355"/>
        <v>0</v>
      </c>
    </row>
    <row r="7495" spans="1:15" x14ac:dyDescent="0.25">
      <c r="A7495" s="64" t="s">
        <v>196</v>
      </c>
      <c r="B7495" s="79" t="str">
        <f>IF(Thirtieth!B248="", "",Thirtieth!B248)</f>
        <v/>
      </c>
      <c r="C7495" s="66" t="str">
        <f>IF(Thirtieth!C248="", "",Thirtieth!C248)</f>
        <v/>
      </c>
      <c r="D7495" s="66" t="str">
        <f>IF(Thirtieth!D248="", "",Thirtieth!D248)</f>
        <v/>
      </c>
      <c r="E7495" s="66" t="str">
        <f>IF(Thirtieth!E248="", "",Thirtieth!E248)</f>
        <v/>
      </c>
      <c r="F7495" s="66" t="str">
        <f>IF(Thirtieth!F248="", "",Thirtieth!F248)</f>
        <v/>
      </c>
      <c r="G7495" s="66" t="str">
        <f>IF(Thirtieth!G248="", "",Thirtieth!G248)</f>
        <v/>
      </c>
      <c r="H7495" s="66" t="str">
        <f>IF(Thirtieth!H248="", "",Thirtieth!H248)</f>
        <v/>
      </c>
      <c r="I7495" s="66" t="str">
        <f>IF(Thirtieth!I248="", "",Thirtieth!I248)</f>
        <v/>
      </c>
      <c r="J7495" s="66" t="str">
        <f>IF(Thirtieth!J248="", "",Thirtieth!J248)</f>
        <v/>
      </c>
      <c r="K7495" s="86" t="str">
        <f>IF(Thirtieth!K248="", "",Thirtieth!K248)</f>
        <v/>
      </c>
      <c r="M7495" s="67" t="str">
        <f t="shared" si="356"/>
        <v/>
      </c>
      <c r="N7495" s="76" t="str">
        <f t="shared" si="357"/>
        <v/>
      </c>
      <c r="O7495" s="33">
        <f t="shared" si="355"/>
        <v>0</v>
      </c>
    </row>
    <row r="7496" spans="1:15" x14ac:dyDescent="0.25">
      <c r="A7496" s="64" t="s">
        <v>196</v>
      </c>
      <c r="B7496" s="79" t="str">
        <f>IF(Thirtieth!B249="", "",Thirtieth!B249)</f>
        <v/>
      </c>
      <c r="C7496" s="66" t="str">
        <f>IF(Thirtieth!C249="", "",Thirtieth!C249)</f>
        <v/>
      </c>
      <c r="D7496" s="66" t="str">
        <f>IF(Thirtieth!D249="", "",Thirtieth!D249)</f>
        <v/>
      </c>
      <c r="E7496" s="66" t="str">
        <f>IF(Thirtieth!E249="", "",Thirtieth!E249)</f>
        <v/>
      </c>
      <c r="F7496" s="66" t="str">
        <f>IF(Thirtieth!F249="", "",Thirtieth!F249)</f>
        <v/>
      </c>
      <c r="G7496" s="66" t="str">
        <f>IF(Thirtieth!G249="", "",Thirtieth!G249)</f>
        <v/>
      </c>
      <c r="H7496" s="66" t="str">
        <f>IF(Thirtieth!H249="", "",Thirtieth!H249)</f>
        <v/>
      </c>
      <c r="I7496" s="66" t="str">
        <f>IF(Thirtieth!I249="", "",Thirtieth!I249)</f>
        <v/>
      </c>
      <c r="J7496" s="66" t="str">
        <f>IF(Thirtieth!J249="", "",Thirtieth!J249)</f>
        <v/>
      </c>
      <c r="K7496" s="86" t="str">
        <f>IF(Thirtieth!K249="", "",Thirtieth!K249)</f>
        <v/>
      </c>
      <c r="M7496" s="67" t="str">
        <f t="shared" si="356"/>
        <v/>
      </c>
      <c r="N7496" s="76" t="str">
        <f t="shared" si="357"/>
        <v/>
      </c>
      <c r="O7496" s="33">
        <f t="shared" si="355"/>
        <v>0</v>
      </c>
    </row>
    <row r="7497" spans="1:15" x14ac:dyDescent="0.25">
      <c r="A7497" s="64" t="s">
        <v>196</v>
      </c>
      <c r="B7497" s="79" t="str">
        <f>IF(Thirtieth!B250="", "",Thirtieth!B250)</f>
        <v/>
      </c>
      <c r="C7497" s="66" t="str">
        <f>IF(Thirtieth!C250="", "",Thirtieth!C250)</f>
        <v/>
      </c>
      <c r="D7497" s="66" t="str">
        <f>IF(Thirtieth!D250="", "",Thirtieth!D250)</f>
        <v/>
      </c>
      <c r="E7497" s="66" t="str">
        <f>IF(Thirtieth!E250="", "",Thirtieth!E250)</f>
        <v/>
      </c>
      <c r="F7497" s="66" t="str">
        <f>IF(Thirtieth!F250="", "",Thirtieth!F250)</f>
        <v/>
      </c>
      <c r="G7497" s="66" t="str">
        <f>IF(Thirtieth!G250="", "",Thirtieth!G250)</f>
        <v/>
      </c>
      <c r="H7497" s="66" t="str">
        <f>IF(Thirtieth!H250="", "",Thirtieth!H250)</f>
        <v/>
      </c>
      <c r="I7497" s="66" t="str">
        <f>IF(Thirtieth!I250="", "",Thirtieth!I250)</f>
        <v/>
      </c>
      <c r="J7497" s="66" t="str">
        <f>IF(Thirtieth!J250="", "",Thirtieth!J250)</f>
        <v/>
      </c>
      <c r="K7497" s="86" t="str">
        <f>IF(Thirtieth!K250="", "",Thirtieth!K250)</f>
        <v/>
      </c>
      <c r="M7497" s="67" t="str">
        <f t="shared" si="356"/>
        <v/>
      </c>
      <c r="N7497" s="76" t="str">
        <f t="shared" si="357"/>
        <v/>
      </c>
      <c r="O7497" s="33">
        <f t="shared" si="355"/>
        <v>0</v>
      </c>
    </row>
    <row r="7498" spans="1:15" x14ac:dyDescent="0.25">
      <c r="A7498" s="64" t="s">
        <v>196</v>
      </c>
      <c r="B7498" s="79" t="str">
        <f>IF(Thirtieth!B251="", "",Thirtieth!B251)</f>
        <v/>
      </c>
      <c r="C7498" s="66" t="str">
        <f>IF(Thirtieth!C251="", "",Thirtieth!C251)</f>
        <v/>
      </c>
      <c r="D7498" s="66" t="str">
        <f>IF(Thirtieth!D251="", "",Thirtieth!D251)</f>
        <v/>
      </c>
      <c r="E7498" s="66" t="str">
        <f>IF(Thirtieth!E251="", "",Thirtieth!E251)</f>
        <v/>
      </c>
      <c r="F7498" s="66" t="str">
        <f>IF(Thirtieth!F251="", "",Thirtieth!F251)</f>
        <v/>
      </c>
      <c r="G7498" s="66" t="str">
        <f>IF(Thirtieth!G251="", "",Thirtieth!G251)</f>
        <v/>
      </c>
      <c r="H7498" s="66" t="str">
        <f>IF(Thirtieth!H251="", "",Thirtieth!H251)</f>
        <v/>
      </c>
      <c r="I7498" s="66" t="str">
        <f>IF(Thirtieth!I251="", "",Thirtieth!I251)</f>
        <v/>
      </c>
      <c r="J7498" s="66" t="str">
        <f>IF(Thirtieth!J251="", "",Thirtieth!J251)</f>
        <v/>
      </c>
      <c r="K7498" s="86" t="str">
        <f>IF(Thirtieth!K251="", "",Thirtieth!K251)</f>
        <v/>
      </c>
      <c r="M7498" s="67" t="str">
        <f t="shared" si="356"/>
        <v/>
      </c>
      <c r="N7498" s="76" t="str">
        <f t="shared" si="357"/>
        <v/>
      </c>
      <c r="O7498" s="33">
        <f t="shared" ref="O7498:O7501" si="358">SUM(M7498:N7498)</f>
        <v>0</v>
      </c>
    </row>
    <row r="7499" spans="1:15" x14ac:dyDescent="0.25">
      <c r="A7499" s="64" t="s">
        <v>196</v>
      </c>
      <c r="B7499" s="79" t="str">
        <f>IF(Thirtieth!B252="", "",Thirtieth!B252)</f>
        <v/>
      </c>
      <c r="C7499" s="66" t="str">
        <f>IF(Thirtieth!C252="", "",Thirtieth!C252)</f>
        <v/>
      </c>
      <c r="D7499" s="66" t="str">
        <f>IF(Thirtieth!D252="", "",Thirtieth!D252)</f>
        <v/>
      </c>
      <c r="E7499" s="66" t="str">
        <f>IF(Thirtieth!E252="", "",Thirtieth!E252)</f>
        <v/>
      </c>
      <c r="F7499" s="66" t="str">
        <f>IF(Thirtieth!F252="", "",Thirtieth!F252)</f>
        <v/>
      </c>
      <c r="G7499" s="66" t="str">
        <f>IF(Thirtieth!G252="", "",Thirtieth!G252)</f>
        <v/>
      </c>
      <c r="H7499" s="66" t="str">
        <f>IF(Thirtieth!H252="", "",Thirtieth!H252)</f>
        <v/>
      </c>
      <c r="I7499" s="66" t="str">
        <f>IF(Thirtieth!I252="", "",Thirtieth!I252)</f>
        <v/>
      </c>
      <c r="J7499" s="66" t="str">
        <f>IF(Thirtieth!J252="", "",Thirtieth!J252)</f>
        <v/>
      </c>
      <c r="K7499" s="86" t="str">
        <f>IF(Thirtieth!K252="", "",Thirtieth!K252)</f>
        <v/>
      </c>
      <c r="M7499" s="67" t="str">
        <f t="shared" si="356"/>
        <v/>
      </c>
      <c r="N7499" s="76" t="str">
        <f t="shared" si="357"/>
        <v/>
      </c>
      <c r="O7499" s="33">
        <f t="shared" si="358"/>
        <v>0</v>
      </c>
    </row>
    <row r="7500" spans="1:15" x14ac:dyDescent="0.25">
      <c r="A7500" s="64" t="s">
        <v>196</v>
      </c>
      <c r="B7500" s="79" t="str">
        <f>IF(Thirtieth!B253="", "",Thirtieth!B253)</f>
        <v/>
      </c>
      <c r="C7500" s="66" t="str">
        <f>IF(Thirtieth!C253="", "",Thirtieth!C253)</f>
        <v/>
      </c>
      <c r="D7500" s="66" t="str">
        <f>IF(Thirtieth!D253="", "",Thirtieth!D253)</f>
        <v/>
      </c>
      <c r="E7500" s="66" t="str">
        <f>IF(Thirtieth!E253="", "",Thirtieth!E253)</f>
        <v/>
      </c>
      <c r="F7500" s="66" t="str">
        <f>IF(Thirtieth!F253="", "",Thirtieth!F253)</f>
        <v/>
      </c>
      <c r="G7500" s="66" t="str">
        <f>IF(Thirtieth!G253="", "",Thirtieth!G253)</f>
        <v/>
      </c>
      <c r="H7500" s="66" t="str">
        <f>IF(Thirtieth!H253="", "",Thirtieth!H253)</f>
        <v/>
      </c>
      <c r="I7500" s="66" t="str">
        <f>IF(Thirtieth!I253="", "",Thirtieth!I253)</f>
        <v/>
      </c>
      <c r="J7500" s="66" t="str">
        <f>IF(Thirtieth!J253="", "",Thirtieth!J253)</f>
        <v/>
      </c>
      <c r="K7500" s="86" t="str">
        <f>IF(Thirtieth!K253="", "",Thirtieth!K253)</f>
        <v/>
      </c>
      <c r="M7500" s="67" t="str">
        <f t="shared" si="356"/>
        <v/>
      </c>
      <c r="N7500" s="76" t="str">
        <f t="shared" si="357"/>
        <v/>
      </c>
      <c r="O7500" s="33">
        <f t="shared" si="358"/>
        <v>0</v>
      </c>
    </row>
    <row r="7501" spans="1:15" ht="15.75" thickBot="1" x14ac:dyDescent="0.3">
      <c r="A7501" s="68" t="s">
        <v>196</v>
      </c>
      <c r="B7501" s="80" t="str">
        <f>IF(Thirtieth!B254="", "",Thirtieth!B254)</f>
        <v/>
      </c>
      <c r="C7501" s="70" t="str">
        <f>IF(Thirtieth!C254="", "",Thirtieth!C254)</f>
        <v/>
      </c>
      <c r="D7501" s="70" t="str">
        <f>IF(Thirtieth!D254="", "",Thirtieth!D254)</f>
        <v/>
      </c>
      <c r="E7501" s="70" t="str">
        <f>IF(Thirtieth!E254="", "",Thirtieth!E254)</f>
        <v/>
      </c>
      <c r="F7501" s="70" t="str">
        <f>IF(Thirtieth!F254="", "",Thirtieth!F254)</f>
        <v/>
      </c>
      <c r="G7501" s="70" t="str">
        <f>IF(Thirtieth!G254="", "",Thirtieth!G254)</f>
        <v/>
      </c>
      <c r="H7501" s="70" t="str">
        <f>IF(Thirtieth!H254="", "",Thirtieth!H254)</f>
        <v/>
      </c>
      <c r="I7501" s="70" t="str">
        <f>IF(Thirtieth!I254="", "",Thirtieth!I254)</f>
        <v/>
      </c>
      <c r="J7501" s="70" t="str">
        <f>IF(Thirtieth!J254="", "",Thirtieth!J254)</f>
        <v/>
      </c>
      <c r="K7501" s="90" t="str">
        <f>IF(Thirtieth!K254="", "",Thirtieth!K254)</f>
        <v/>
      </c>
      <c r="L7501" s="91"/>
      <c r="M7501" s="71" t="str">
        <f t="shared" si="356"/>
        <v/>
      </c>
      <c r="N7501" s="77" t="str">
        <f t="shared" si="357"/>
        <v/>
      </c>
      <c r="O7501" s="33">
        <f t="shared" si="358"/>
        <v>0</v>
      </c>
    </row>
    <row r="7502" spans="1:15" x14ac:dyDescent="0.25">
      <c r="A7502" s="94" t="s">
        <v>197</v>
      </c>
      <c r="B7502" s="66" t="str">
        <f>IF('Thirty-First'!B5="", "",'Thirty-First'!B5)</f>
        <v/>
      </c>
      <c r="C7502" s="67" t="str">
        <f>IF('Thirty-First'!C5="", "",'Thirty-First'!C5)</f>
        <v/>
      </c>
      <c r="D7502" s="67" t="str">
        <f>IF('Thirty-First'!D5="", "",'Thirty-First'!D5)</f>
        <v/>
      </c>
      <c r="E7502" s="67" t="str">
        <f>IF('Thirty-First'!E5="", "",'Thirty-First'!E5)</f>
        <v/>
      </c>
      <c r="F7502" s="67" t="str">
        <f>IF('Thirty-First'!F5="", "",'Thirty-First'!F5)</f>
        <v/>
      </c>
      <c r="G7502" s="67" t="str">
        <f>IF('Thirty-First'!G5="", "",'Thirty-First'!G5)</f>
        <v/>
      </c>
      <c r="H7502" s="67" t="str">
        <f>IF('Thirty-First'!H5="", "",'Thirty-First'!H5)</f>
        <v/>
      </c>
      <c r="I7502" s="67" t="str">
        <f>IF('Thirty-First'!I5="", "",'Thirty-First'!I5)</f>
        <v/>
      </c>
      <c r="J7502" s="67" t="str">
        <f>IF('Thirty-First'!J5="", "",'Thirty-First'!J5)</f>
        <v/>
      </c>
      <c r="K7502" s="76" t="str">
        <f>IF('Thirty-First'!K5="", "",'Thirty-First'!K5)</f>
        <v/>
      </c>
      <c r="M7502" s="67" t="str">
        <f t="shared" ref="M7502" si="359">IF(C7502="PwC",(7-COUNTIF(B7502:H7502,"")),"")</f>
        <v/>
      </c>
      <c r="N7502" s="76" t="str">
        <f t="shared" ref="N7502" si="360">IF(C7502="Carer",(7-COUNTIF(B7502:H7502,"")),"")</f>
        <v/>
      </c>
      <c r="O7502" s="33">
        <f t="shared" ref="O7502" si="361">SUM(M7502:N7502)</f>
        <v>0</v>
      </c>
    </row>
    <row r="7503" spans="1:15" x14ac:dyDescent="0.25">
      <c r="A7503" s="94" t="s">
        <v>197</v>
      </c>
      <c r="B7503" s="66" t="str">
        <f>IF('Thirty-First'!B6="", "",'Thirty-First'!B6)</f>
        <v/>
      </c>
      <c r="C7503" s="67" t="str">
        <f>IF('Thirty-First'!C6="", "",'Thirty-First'!C6)</f>
        <v/>
      </c>
      <c r="D7503" s="67" t="str">
        <f>IF('Thirty-First'!D6="", "",'Thirty-First'!D6)</f>
        <v/>
      </c>
      <c r="E7503" s="67" t="str">
        <f>IF('Thirty-First'!E6="", "",'Thirty-First'!E6)</f>
        <v/>
      </c>
      <c r="F7503" s="67" t="str">
        <f>IF('Thirty-First'!F6="", "",'Thirty-First'!F6)</f>
        <v/>
      </c>
      <c r="G7503" s="67" t="str">
        <f>IF('Thirty-First'!G6="", "",'Thirty-First'!G6)</f>
        <v/>
      </c>
      <c r="H7503" s="67" t="str">
        <f>IF('Thirty-First'!H6="", "",'Thirty-First'!H6)</f>
        <v/>
      </c>
      <c r="I7503" s="67" t="str">
        <f>IF('Thirty-First'!I6="", "",'Thirty-First'!I6)</f>
        <v/>
      </c>
      <c r="J7503" s="67" t="str">
        <f>IF('Thirty-First'!J6="", "",'Thirty-First'!J6)</f>
        <v/>
      </c>
      <c r="K7503" s="76" t="str">
        <f>IF('Thirty-First'!K6="", "",'Thirty-First'!K6)</f>
        <v/>
      </c>
      <c r="M7503" s="67" t="str">
        <f t="shared" ref="M7503:M7566" si="362">IF(C7503="PwC",(7-COUNTIF(B7503:H7503,"")),"")</f>
        <v/>
      </c>
      <c r="N7503" s="76" t="str">
        <f t="shared" ref="N7503:N7566" si="363">IF(C7503="Carer",(7-COUNTIF(B7503:H7503,"")),"")</f>
        <v/>
      </c>
      <c r="O7503" s="33">
        <f t="shared" ref="O7503:O7566" si="364">SUM(M7503:N7503)</f>
        <v>0</v>
      </c>
    </row>
    <row r="7504" spans="1:15" x14ac:dyDescent="0.25">
      <c r="A7504" s="94" t="s">
        <v>197</v>
      </c>
      <c r="B7504" s="66" t="str">
        <f>IF('Thirty-First'!B7="", "",'Thirty-First'!B7)</f>
        <v/>
      </c>
      <c r="C7504" s="67" t="str">
        <f>IF('Thirty-First'!C7="", "",'Thirty-First'!C7)</f>
        <v/>
      </c>
      <c r="D7504" s="67" t="str">
        <f>IF('Thirty-First'!D7="", "",'Thirty-First'!D7)</f>
        <v/>
      </c>
      <c r="E7504" s="67" t="str">
        <f>IF('Thirty-First'!E7="", "",'Thirty-First'!E7)</f>
        <v/>
      </c>
      <c r="F7504" s="67" t="str">
        <f>IF('Thirty-First'!F7="", "",'Thirty-First'!F7)</f>
        <v/>
      </c>
      <c r="G7504" s="67" t="str">
        <f>IF('Thirty-First'!G7="", "",'Thirty-First'!G7)</f>
        <v/>
      </c>
      <c r="H7504" s="67" t="str">
        <f>IF('Thirty-First'!H7="", "",'Thirty-First'!H7)</f>
        <v/>
      </c>
      <c r="I7504" s="67" t="str">
        <f>IF('Thirty-First'!I7="", "",'Thirty-First'!I7)</f>
        <v/>
      </c>
      <c r="J7504" s="67" t="str">
        <f>IF('Thirty-First'!J7="", "",'Thirty-First'!J7)</f>
        <v/>
      </c>
      <c r="K7504" s="76" t="str">
        <f>IF('Thirty-First'!K7="", "",'Thirty-First'!K7)</f>
        <v/>
      </c>
      <c r="M7504" s="67" t="str">
        <f t="shared" si="362"/>
        <v/>
      </c>
      <c r="N7504" s="76" t="str">
        <f t="shared" si="363"/>
        <v/>
      </c>
      <c r="O7504" s="33">
        <f t="shared" si="364"/>
        <v>0</v>
      </c>
    </row>
    <row r="7505" spans="1:15" x14ac:dyDescent="0.25">
      <c r="A7505" s="94" t="s">
        <v>197</v>
      </c>
      <c r="B7505" s="66" t="str">
        <f>IF('Thirty-First'!B8="", "",'Thirty-First'!B8)</f>
        <v/>
      </c>
      <c r="C7505" s="67" t="str">
        <f>IF('Thirty-First'!C8="", "",'Thirty-First'!C8)</f>
        <v/>
      </c>
      <c r="D7505" s="67" t="str">
        <f>IF('Thirty-First'!D8="", "",'Thirty-First'!D8)</f>
        <v/>
      </c>
      <c r="E7505" s="67" t="str">
        <f>IF('Thirty-First'!E8="", "",'Thirty-First'!E8)</f>
        <v/>
      </c>
      <c r="F7505" s="67" t="str">
        <f>IF('Thirty-First'!F8="", "",'Thirty-First'!F8)</f>
        <v/>
      </c>
      <c r="G7505" s="67" t="str">
        <f>IF('Thirty-First'!G8="", "",'Thirty-First'!G8)</f>
        <v/>
      </c>
      <c r="H7505" s="67" t="str">
        <f>IF('Thirty-First'!H8="", "",'Thirty-First'!H8)</f>
        <v/>
      </c>
      <c r="I7505" s="67" t="str">
        <f>IF('Thirty-First'!I8="", "",'Thirty-First'!I8)</f>
        <v/>
      </c>
      <c r="J7505" s="67" t="str">
        <f>IF('Thirty-First'!J8="", "",'Thirty-First'!J8)</f>
        <v/>
      </c>
      <c r="K7505" s="76" t="str">
        <f>IF('Thirty-First'!K8="", "",'Thirty-First'!K8)</f>
        <v/>
      </c>
      <c r="M7505" s="67" t="str">
        <f t="shared" si="362"/>
        <v/>
      </c>
      <c r="N7505" s="76" t="str">
        <f t="shared" si="363"/>
        <v/>
      </c>
      <c r="O7505" s="33">
        <f t="shared" si="364"/>
        <v>0</v>
      </c>
    </row>
    <row r="7506" spans="1:15" x14ac:dyDescent="0.25">
      <c r="A7506" s="94" t="s">
        <v>197</v>
      </c>
      <c r="B7506" s="66" t="str">
        <f>IF('Thirty-First'!B9="", "",'Thirty-First'!B9)</f>
        <v/>
      </c>
      <c r="C7506" s="67" t="str">
        <f>IF('Thirty-First'!C9="", "",'Thirty-First'!C9)</f>
        <v/>
      </c>
      <c r="D7506" s="67" t="str">
        <f>IF('Thirty-First'!D9="", "",'Thirty-First'!D9)</f>
        <v/>
      </c>
      <c r="E7506" s="67" t="str">
        <f>IF('Thirty-First'!E9="", "",'Thirty-First'!E9)</f>
        <v/>
      </c>
      <c r="F7506" s="67" t="str">
        <f>IF('Thirty-First'!F9="", "",'Thirty-First'!F9)</f>
        <v/>
      </c>
      <c r="G7506" s="67" t="str">
        <f>IF('Thirty-First'!G9="", "",'Thirty-First'!G9)</f>
        <v/>
      </c>
      <c r="H7506" s="67" t="str">
        <f>IF('Thirty-First'!H9="", "",'Thirty-First'!H9)</f>
        <v/>
      </c>
      <c r="I7506" s="67" t="str">
        <f>IF('Thirty-First'!I9="", "",'Thirty-First'!I9)</f>
        <v/>
      </c>
      <c r="J7506" s="67" t="str">
        <f>IF('Thirty-First'!J9="", "",'Thirty-First'!J9)</f>
        <v/>
      </c>
      <c r="K7506" s="76" t="str">
        <f>IF('Thirty-First'!K9="", "",'Thirty-First'!K9)</f>
        <v/>
      </c>
      <c r="M7506" s="67" t="str">
        <f t="shared" si="362"/>
        <v/>
      </c>
      <c r="N7506" s="76" t="str">
        <f t="shared" si="363"/>
        <v/>
      </c>
      <c r="O7506" s="33">
        <f t="shared" si="364"/>
        <v>0</v>
      </c>
    </row>
    <row r="7507" spans="1:15" x14ac:dyDescent="0.25">
      <c r="A7507" s="94" t="s">
        <v>197</v>
      </c>
      <c r="B7507" s="66" t="str">
        <f>IF('Thirty-First'!B10="", "",'Thirty-First'!B10)</f>
        <v/>
      </c>
      <c r="C7507" s="67" t="str">
        <f>IF('Thirty-First'!C10="", "",'Thirty-First'!C10)</f>
        <v/>
      </c>
      <c r="D7507" s="67" t="str">
        <f>IF('Thirty-First'!D10="", "",'Thirty-First'!D10)</f>
        <v/>
      </c>
      <c r="E7507" s="67" t="str">
        <f>IF('Thirty-First'!E10="", "",'Thirty-First'!E10)</f>
        <v/>
      </c>
      <c r="F7507" s="67" t="str">
        <f>IF('Thirty-First'!F10="", "",'Thirty-First'!F10)</f>
        <v/>
      </c>
      <c r="G7507" s="67" t="str">
        <f>IF('Thirty-First'!G10="", "",'Thirty-First'!G10)</f>
        <v/>
      </c>
      <c r="H7507" s="67" t="str">
        <f>IF('Thirty-First'!H10="", "",'Thirty-First'!H10)</f>
        <v/>
      </c>
      <c r="I7507" s="67" t="str">
        <f>IF('Thirty-First'!I10="", "",'Thirty-First'!I10)</f>
        <v/>
      </c>
      <c r="J7507" s="67" t="str">
        <f>IF('Thirty-First'!J10="", "",'Thirty-First'!J10)</f>
        <v/>
      </c>
      <c r="K7507" s="76" t="str">
        <f>IF('Thirty-First'!K10="", "",'Thirty-First'!K10)</f>
        <v/>
      </c>
      <c r="M7507" s="67" t="str">
        <f t="shared" si="362"/>
        <v/>
      </c>
      <c r="N7507" s="76" t="str">
        <f t="shared" si="363"/>
        <v/>
      </c>
      <c r="O7507" s="33">
        <f t="shared" si="364"/>
        <v>0</v>
      </c>
    </row>
    <row r="7508" spans="1:15" x14ac:dyDescent="0.25">
      <c r="A7508" s="94" t="s">
        <v>197</v>
      </c>
      <c r="B7508" s="66" t="str">
        <f>IF('Thirty-First'!B11="", "",'Thirty-First'!B11)</f>
        <v/>
      </c>
      <c r="C7508" s="67" t="str">
        <f>IF('Thirty-First'!C11="", "",'Thirty-First'!C11)</f>
        <v/>
      </c>
      <c r="D7508" s="67" t="str">
        <f>IF('Thirty-First'!D11="", "",'Thirty-First'!D11)</f>
        <v/>
      </c>
      <c r="E7508" s="67" t="str">
        <f>IF('Thirty-First'!E11="", "",'Thirty-First'!E11)</f>
        <v/>
      </c>
      <c r="F7508" s="67" t="str">
        <f>IF('Thirty-First'!F11="", "",'Thirty-First'!F11)</f>
        <v/>
      </c>
      <c r="G7508" s="67" t="str">
        <f>IF('Thirty-First'!G11="", "",'Thirty-First'!G11)</f>
        <v/>
      </c>
      <c r="H7508" s="67" t="str">
        <f>IF('Thirty-First'!H11="", "",'Thirty-First'!H11)</f>
        <v/>
      </c>
      <c r="I7508" s="67" t="str">
        <f>IF('Thirty-First'!I11="", "",'Thirty-First'!I11)</f>
        <v/>
      </c>
      <c r="J7508" s="67" t="str">
        <f>IF('Thirty-First'!J11="", "",'Thirty-First'!J11)</f>
        <v/>
      </c>
      <c r="K7508" s="76" t="str">
        <f>IF('Thirty-First'!K11="", "",'Thirty-First'!K11)</f>
        <v/>
      </c>
      <c r="M7508" s="67" t="str">
        <f t="shared" si="362"/>
        <v/>
      </c>
      <c r="N7508" s="76" t="str">
        <f t="shared" si="363"/>
        <v/>
      </c>
      <c r="O7508" s="33">
        <f t="shared" si="364"/>
        <v>0</v>
      </c>
    </row>
    <row r="7509" spans="1:15" x14ac:dyDescent="0.25">
      <c r="A7509" s="94" t="s">
        <v>197</v>
      </c>
      <c r="B7509" s="66" t="str">
        <f>IF('Thirty-First'!B12="", "",'Thirty-First'!B12)</f>
        <v/>
      </c>
      <c r="C7509" s="67" t="str">
        <f>IF('Thirty-First'!C12="", "",'Thirty-First'!C12)</f>
        <v/>
      </c>
      <c r="D7509" s="67" t="str">
        <f>IF('Thirty-First'!D12="", "",'Thirty-First'!D12)</f>
        <v/>
      </c>
      <c r="E7509" s="67" t="str">
        <f>IF('Thirty-First'!E12="", "",'Thirty-First'!E12)</f>
        <v/>
      </c>
      <c r="F7509" s="67" t="str">
        <f>IF('Thirty-First'!F12="", "",'Thirty-First'!F12)</f>
        <v/>
      </c>
      <c r="G7509" s="67" t="str">
        <f>IF('Thirty-First'!G12="", "",'Thirty-First'!G12)</f>
        <v/>
      </c>
      <c r="H7509" s="67" t="str">
        <f>IF('Thirty-First'!H12="", "",'Thirty-First'!H12)</f>
        <v/>
      </c>
      <c r="I7509" s="67" t="str">
        <f>IF('Thirty-First'!I12="", "",'Thirty-First'!I12)</f>
        <v/>
      </c>
      <c r="J7509" s="67" t="str">
        <f>IF('Thirty-First'!J12="", "",'Thirty-First'!J12)</f>
        <v/>
      </c>
      <c r="K7509" s="76" t="str">
        <f>IF('Thirty-First'!K12="", "",'Thirty-First'!K12)</f>
        <v/>
      </c>
      <c r="M7509" s="67" t="str">
        <f t="shared" si="362"/>
        <v/>
      </c>
      <c r="N7509" s="76" t="str">
        <f t="shared" si="363"/>
        <v/>
      </c>
      <c r="O7509" s="33">
        <f t="shared" si="364"/>
        <v>0</v>
      </c>
    </row>
    <row r="7510" spans="1:15" x14ac:dyDescent="0.25">
      <c r="A7510" s="94" t="s">
        <v>197</v>
      </c>
      <c r="B7510" s="66" t="str">
        <f>IF('Thirty-First'!B13="", "",'Thirty-First'!B13)</f>
        <v/>
      </c>
      <c r="C7510" s="67" t="str">
        <f>IF('Thirty-First'!C13="", "",'Thirty-First'!C13)</f>
        <v/>
      </c>
      <c r="D7510" s="67" t="str">
        <f>IF('Thirty-First'!D13="", "",'Thirty-First'!D13)</f>
        <v/>
      </c>
      <c r="E7510" s="67" t="str">
        <f>IF('Thirty-First'!E13="", "",'Thirty-First'!E13)</f>
        <v/>
      </c>
      <c r="F7510" s="67" t="str">
        <f>IF('Thirty-First'!F13="", "",'Thirty-First'!F13)</f>
        <v/>
      </c>
      <c r="G7510" s="67" t="str">
        <f>IF('Thirty-First'!G13="", "",'Thirty-First'!G13)</f>
        <v/>
      </c>
      <c r="H7510" s="67" t="str">
        <f>IF('Thirty-First'!H13="", "",'Thirty-First'!H13)</f>
        <v/>
      </c>
      <c r="I7510" s="67" t="str">
        <f>IF('Thirty-First'!I13="", "",'Thirty-First'!I13)</f>
        <v/>
      </c>
      <c r="J7510" s="67" t="str">
        <f>IF('Thirty-First'!J13="", "",'Thirty-First'!J13)</f>
        <v/>
      </c>
      <c r="K7510" s="76" t="str">
        <f>IF('Thirty-First'!K13="", "",'Thirty-First'!K13)</f>
        <v/>
      </c>
      <c r="M7510" s="67" t="str">
        <f t="shared" si="362"/>
        <v/>
      </c>
      <c r="N7510" s="76" t="str">
        <f t="shared" si="363"/>
        <v/>
      </c>
      <c r="O7510" s="33">
        <f t="shared" si="364"/>
        <v>0</v>
      </c>
    </row>
    <row r="7511" spans="1:15" x14ac:dyDescent="0.25">
      <c r="A7511" s="94" t="s">
        <v>197</v>
      </c>
      <c r="B7511" s="66" t="str">
        <f>IF('Thirty-First'!B14="", "",'Thirty-First'!B14)</f>
        <v/>
      </c>
      <c r="C7511" s="67" t="str">
        <f>IF('Thirty-First'!C14="", "",'Thirty-First'!C14)</f>
        <v/>
      </c>
      <c r="D7511" s="67" t="str">
        <f>IF('Thirty-First'!D14="", "",'Thirty-First'!D14)</f>
        <v/>
      </c>
      <c r="E7511" s="67" t="str">
        <f>IF('Thirty-First'!E14="", "",'Thirty-First'!E14)</f>
        <v/>
      </c>
      <c r="F7511" s="67" t="str">
        <f>IF('Thirty-First'!F14="", "",'Thirty-First'!F14)</f>
        <v/>
      </c>
      <c r="G7511" s="67" t="str">
        <f>IF('Thirty-First'!G14="", "",'Thirty-First'!G14)</f>
        <v/>
      </c>
      <c r="H7511" s="67" t="str">
        <f>IF('Thirty-First'!H14="", "",'Thirty-First'!H14)</f>
        <v/>
      </c>
      <c r="I7511" s="67" t="str">
        <f>IF('Thirty-First'!I14="", "",'Thirty-First'!I14)</f>
        <v/>
      </c>
      <c r="J7511" s="67" t="str">
        <f>IF('Thirty-First'!J14="", "",'Thirty-First'!J14)</f>
        <v/>
      </c>
      <c r="K7511" s="76" t="str">
        <f>IF('Thirty-First'!K14="", "",'Thirty-First'!K14)</f>
        <v/>
      </c>
      <c r="M7511" s="67" t="str">
        <f t="shared" si="362"/>
        <v/>
      </c>
      <c r="N7511" s="76" t="str">
        <f t="shared" si="363"/>
        <v/>
      </c>
      <c r="O7511" s="33">
        <f t="shared" si="364"/>
        <v>0</v>
      </c>
    </row>
    <row r="7512" spans="1:15" x14ac:dyDescent="0.25">
      <c r="A7512" s="94" t="s">
        <v>197</v>
      </c>
      <c r="B7512" s="66" t="str">
        <f>IF('Thirty-First'!B15="", "",'Thirty-First'!B15)</f>
        <v/>
      </c>
      <c r="C7512" s="67" t="str">
        <f>IF('Thirty-First'!C15="", "",'Thirty-First'!C15)</f>
        <v/>
      </c>
      <c r="D7512" s="67" t="str">
        <f>IF('Thirty-First'!D15="", "",'Thirty-First'!D15)</f>
        <v/>
      </c>
      <c r="E7512" s="67" t="str">
        <f>IF('Thirty-First'!E15="", "",'Thirty-First'!E15)</f>
        <v/>
      </c>
      <c r="F7512" s="67" t="str">
        <f>IF('Thirty-First'!F15="", "",'Thirty-First'!F15)</f>
        <v/>
      </c>
      <c r="G7512" s="67" t="str">
        <f>IF('Thirty-First'!G15="", "",'Thirty-First'!G15)</f>
        <v/>
      </c>
      <c r="H7512" s="67" t="str">
        <f>IF('Thirty-First'!H15="", "",'Thirty-First'!H15)</f>
        <v/>
      </c>
      <c r="I7512" s="67" t="str">
        <f>IF('Thirty-First'!I15="", "",'Thirty-First'!I15)</f>
        <v/>
      </c>
      <c r="J7512" s="67" t="str">
        <f>IF('Thirty-First'!J15="", "",'Thirty-First'!J15)</f>
        <v/>
      </c>
      <c r="K7512" s="76" t="str">
        <f>IF('Thirty-First'!K15="", "",'Thirty-First'!K15)</f>
        <v/>
      </c>
      <c r="M7512" s="67" t="str">
        <f t="shared" si="362"/>
        <v/>
      </c>
      <c r="N7512" s="76" t="str">
        <f t="shared" si="363"/>
        <v/>
      </c>
      <c r="O7512" s="33">
        <f t="shared" si="364"/>
        <v>0</v>
      </c>
    </row>
    <row r="7513" spans="1:15" x14ac:dyDescent="0.25">
      <c r="A7513" s="94" t="s">
        <v>197</v>
      </c>
      <c r="B7513" s="66" t="str">
        <f>IF('Thirty-First'!B16="", "",'Thirty-First'!B16)</f>
        <v/>
      </c>
      <c r="C7513" s="67" t="str">
        <f>IF('Thirty-First'!C16="", "",'Thirty-First'!C16)</f>
        <v/>
      </c>
      <c r="D7513" s="67" t="str">
        <f>IF('Thirty-First'!D16="", "",'Thirty-First'!D16)</f>
        <v/>
      </c>
      <c r="E7513" s="67" t="str">
        <f>IF('Thirty-First'!E16="", "",'Thirty-First'!E16)</f>
        <v/>
      </c>
      <c r="F7513" s="67" t="str">
        <f>IF('Thirty-First'!F16="", "",'Thirty-First'!F16)</f>
        <v/>
      </c>
      <c r="G7513" s="67" t="str">
        <f>IF('Thirty-First'!G16="", "",'Thirty-First'!G16)</f>
        <v/>
      </c>
      <c r="H7513" s="67" t="str">
        <f>IF('Thirty-First'!H16="", "",'Thirty-First'!H16)</f>
        <v/>
      </c>
      <c r="I7513" s="67" t="str">
        <f>IF('Thirty-First'!I16="", "",'Thirty-First'!I16)</f>
        <v/>
      </c>
      <c r="J7513" s="67" t="str">
        <f>IF('Thirty-First'!J16="", "",'Thirty-First'!J16)</f>
        <v/>
      </c>
      <c r="K7513" s="76" t="str">
        <f>IF('Thirty-First'!K16="", "",'Thirty-First'!K16)</f>
        <v/>
      </c>
      <c r="M7513" s="67" t="str">
        <f t="shared" si="362"/>
        <v/>
      </c>
      <c r="N7513" s="76" t="str">
        <f t="shared" si="363"/>
        <v/>
      </c>
      <c r="O7513" s="33">
        <f t="shared" si="364"/>
        <v>0</v>
      </c>
    </row>
    <row r="7514" spans="1:15" x14ac:dyDescent="0.25">
      <c r="A7514" s="94" t="s">
        <v>197</v>
      </c>
      <c r="B7514" s="66" t="str">
        <f>IF('Thirty-First'!B17="", "",'Thirty-First'!B17)</f>
        <v/>
      </c>
      <c r="C7514" s="67" t="str">
        <f>IF('Thirty-First'!C17="", "",'Thirty-First'!C17)</f>
        <v/>
      </c>
      <c r="D7514" s="67" t="str">
        <f>IF('Thirty-First'!D17="", "",'Thirty-First'!D17)</f>
        <v/>
      </c>
      <c r="E7514" s="67" t="str">
        <f>IF('Thirty-First'!E17="", "",'Thirty-First'!E17)</f>
        <v/>
      </c>
      <c r="F7514" s="67" t="str">
        <f>IF('Thirty-First'!F17="", "",'Thirty-First'!F17)</f>
        <v/>
      </c>
      <c r="G7514" s="67" t="str">
        <f>IF('Thirty-First'!G17="", "",'Thirty-First'!G17)</f>
        <v/>
      </c>
      <c r="H7514" s="67" t="str">
        <f>IF('Thirty-First'!H17="", "",'Thirty-First'!H17)</f>
        <v/>
      </c>
      <c r="I7514" s="67" t="str">
        <f>IF('Thirty-First'!I17="", "",'Thirty-First'!I17)</f>
        <v/>
      </c>
      <c r="J7514" s="67" t="str">
        <f>IF('Thirty-First'!J17="", "",'Thirty-First'!J17)</f>
        <v/>
      </c>
      <c r="K7514" s="76" t="str">
        <f>IF('Thirty-First'!K17="", "",'Thirty-First'!K17)</f>
        <v/>
      </c>
      <c r="M7514" s="67" t="str">
        <f t="shared" si="362"/>
        <v/>
      </c>
      <c r="N7514" s="76" t="str">
        <f t="shared" si="363"/>
        <v/>
      </c>
      <c r="O7514" s="33">
        <f t="shared" si="364"/>
        <v>0</v>
      </c>
    </row>
    <row r="7515" spans="1:15" x14ac:dyDescent="0.25">
      <c r="A7515" s="94" t="s">
        <v>197</v>
      </c>
      <c r="B7515" s="66" t="str">
        <f>IF('Thirty-First'!B18="", "",'Thirty-First'!B18)</f>
        <v/>
      </c>
      <c r="C7515" s="67" t="str">
        <f>IF('Thirty-First'!C18="", "",'Thirty-First'!C18)</f>
        <v/>
      </c>
      <c r="D7515" s="67" t="str">
        <f>IF('Thirty-First'!D18="", "",'Thirty-First'!D18)</f>
        <v/>
      </c>
      <c r="E7515" s="67" t="str">
        <f>IF('Thirty-First'!E18="", "",'Thirty-First'!E18)</f>
        <v/>
      </c>
      <c r="F7515" s="67" t="str">
        <f>IF('Thirty-First'!F18="", "",'Thirty-First'!F18)</f>
        <v/>
      </c>
      <c r="G7515" s="67" t="str">
        <f>IF('Thirty-First'!G18="", "",'Thirty-First'!G18)</f>
        <v/>
      </c>
      <c r="H7515" s="67" t="str">
        <f>IF('Thirty-First'!H18="", "",'Thirty-First'!H18)</f>
        <v/>
      </c>
      <c r="I7515" s="67" t="str">
        <f>IF('Thirty-First'!I18="", "",'Thirty-First'!I18)</f>
        <v/>
      </c>
      <c r="J7515" s="67" t="str">
        <f>IF('Thirty-First'!J18="", "",'Thirty-First'!J18)</f>
        <v/>
      </c>
      <c r="K7515" s="76" t="str">
        <f>IF('Thirty-First'!K18="", "",'Thirty-First'!K18)</f>
        <v/>
      </c>
      <c r="M7515" s="67" t="str">
        <f t="shared" si="362"/>
        <v/>
      </c>
      <c r="N7515" s="76" t="str">
        <f t="shared" si="363"/>
        <v/>
      </c>
      <c r="O7515" s="33">
        <f t="shared" si="364"/>
        <v>0</v>
      </c>
    </row>
    <row r="7516" spans="1:15" x14ac:dyDescent="0.25">
      <c r="A7516" s="94" t="s">
        <v>197</v>
      </c>
      <c r="B7516" s="66" t="str">
        <f>IF('Thirty-First'!B19="", "",'Thirty-First'!B19)</f>
        <v/>
      </c>
      <c r="C7516" s="67" t="str">
        <f>IF('Thirty-First'!C19="", "",'Thirty-First'!C19)</f>
        <v/>
      </c>
      <c r="D7516" s="67" t="str">
        <f>IF('Thirty-First'!D19="", "",'Thirty-First'!D19)</f>
        <v/>
      </c>
      <c r="E7516" s="67" t="str">
        <f>IF('Thirty-First'!E19="", "",'Thirty-First'!E19)</f>
        <v/>
      </c>
      <c r="F7516" s="67" t="str">
        <f>IF('Thirty-First'!F19="", "",'Thirty-First'!F19)</f>
        <v/>
      </c>
      <c r="G7516" s="67" t="str">
        <f>IF('Thirty-First'!G19="", "",'Thirty-First'!G19)</f>
        <v/>
      </c>
      <c r="H7516" s="67" t="str">
        <f>IF('Thirty-First'!H19="", "",'Thirty-First'!H19)</f>
        <v/>
      </c>
      <c r="I7516" s="67" t="str">
        <f>IF('Thirty-First'!I19="", "",'Thirty-First'!I19)</f>
        <v/>
      </c>
      <c r="J7516" s="67" t="str">
        <f>IF('Thirty-First'!J19="", "",'Thirty-First'!J19)</f>
        <v/>
      </c>
      <c r="K7516" s="76" t="str">
        <f>IF('Thirty-First'!K19="", "",'Thirty-First'!K19)</f>
        <v/>
      </c>
      <c r="M7516" s="67" t="str">
        <f t="shared" si="362"/>
        <v/>
      </c>
      <c r="N7516" s="76" t="str">
        <f t="shared" si="363"/>
        <v/>
      </c>
      <c r="O7516" s="33">
        <f t="shared" si="364"/>
        <v>0</v>
      </c>
    </row>
    <row r="7517" spans="1:15" x14ac:dyDescent="0.25">
      <c r="A7517" s="94" t="s">
        <v>197</v>
      </c>
      <c r="B7517" s="66" t="str">
        <f>IF('Thirty-First'!B20="", "",'Thirty-First'!B20)</f>
        <v/>
      </c>
      <c r="C7517" s="67" t="str">
        <f>IF('Thirty-First'!C20="", "",'Thirty-First'!C20)</f>
        <v/>
      </c>
      <c r="D7517" s="67" t="str">
        <f>IF('Thirty-First'!D20="", "",'Thirty-First'!D20)</f>
        <v/>
      </c>
      <c r="E7517" s="67" t="str">
        <f>IF('Thirty-First'!E20="", "",'Thirty-First'!E20)</f>
        <v/>
      </c>
      <c r="F7517" s="67" t="str">
        <f>IF('Thirty-First'!F20="", "",'Thirty-First'!F20)</f>
        <v/>
      </c>
      <c r="G7517" s="67" t="str">
        <f>IF('Thirty-First'!G20="", "",'Thirty-First'!G20)</f>
        <v/>
      </c>
      <c r="H7517" s="67" t="str">
        <f>IF('Thirty-First'!H20="", "",'Thirty-First'!H20)</f>
        <v/>
      </c>
      <c r="I7517" s="67" t="str">
        <f>IF('Thirty-First'!I20="", "",'Thirty-First'!I20)</f>
        <v/>
      </c>
      <c r="J7517" s="67" t="str">
        <f>IF('Thirty-First'!J20="", "",'Thirty-First'!J20)</f>
        <v/>
      </c>
      <c r="K7517" s="76" t="str">
        <f>IF('Thirty-First'!K20="", "",'Thirty-First'!K20)</f>
        <v/>
      </c>
      <c r="M7517" s="67" t="str">
        <f t="shared" si="362"/>
        <v/>
      </c>
      <c r="N7517" s="76" t="str">
        <f t="shared" si="363"/>
        <v/>
      </c>
      <c r="O7517" s="33">
        <f t="shared" si="364"/>
        <v>0</v>
      </c>
    </row>
    <row r="7518" spans="1:15" x14ac:dyDescent="0.25">
      <c r="A7518" s="94" t="s">
        <v>197</v>
      </c>
      <c r="B7518" s="66" t="str">
        <f>IF('Thirty-First'!B21="", "",'Thirty-First'!B21)</f>
        <v/>
      </c>
      <c r="C7518" s="67" t="str">
        <f>IF('Thirty-First'!C21="", "",'Thirty-First'!C21)</f>
        <v/>
      </c>
      <c r="D7518" s="67" t="str">
        <f>IF('Thirty-First'!D21="", "",'Thirty-First'!D21)</f>
        <v/>
      </c>
      <c r="E7518" s="67" t="str">
        <f>IF('Thirty-First'!E21="", "",'Thirty-First'!E21)</f>
        <v/>
      </c>
      <c r="F7518" s="67" t="str">
        <f>IF('Thirty-First'!F21="", "",'Thirty-First'!F21)</f>
        <v/>
      </c>
      <c r="G7518" s="67" t="str">
        <f>IF('Thirty-First'!G21="", "",'Thirty-First'!G21)</f>
        <v/>
      </c>
      <c r="H7518" s="67" t="str">
        <f>IF('Thirty-First'!H21="", "",'Thirty-First'!H21)</f>
        <v/>
      </c>
      <c r="I7518" s="67" t="str">
        <f>IF('Thirty-First'!I21="", "",'Thirty-First'!I21)</f>
        <v/>
      </c>
      <c r="J7518" s="67" t="str">
        <f>IF('Thirty-First'!J21="", "",'Thirty-First'!J21)</f>
        <v/>
      </c>
      <c r="K7518" s="76" t="str">
        <f>IF('Thirty-First'!K21="", "",'Thirty-First'!K21)</f>
        <v/>
      </c>
      <c r="M7518" s="67" t="str">
        <f t="shared" si="362"/>
        <v/>
      </c>
      <c r="N7518" s="76" t="str">
        <f t="shared" si="363"/>
        <v/>
      </c>
      <c r="O7518" s="33">
        <f t="shared" si="364"/>
        <v>0</v>
      </c>
    </row>
    <row r="7519" spans="1:15" x14ac:dyDescent="0.25">
      <c r="A7519" s="94" t="s">
        <v>197</v>
      </c>
      <c r="B7519" s="66" t="str">
        <f>IF('Thirty-First'!B22="", "",'Thirty-First'!B22)</f>
        <v/>
      </c>
      <c r="C7519" s="67" t="str">
        <f>IF('Thirty-First'!C22="", "",'Thirty-First'!C22)</f>
        <v/>
      </c>
      <c r="D7519" s="67" t="str">
        <f>IF('Thirty-First'!D22="", "",'Thirty-First'!D22)</f>
        <v/>
      </c>
      <c r="E7519" s="67" t="str">
        <f>IF('Thirty-First'!E22="", "",'Thirty-First'!E22)</f>
        <v/>
      </c>
      <c r="F7519" s="67" t="str">
        <f>IF('Thirty-First'!F22="", "",'Thirty-First'!F22)</f>
        <v/>
      </c>
      <c r="G7519" s="67" t="str">
        <f>IF('Thirty-First'!G22="", "",'Thirty-First'!G22)</f>
        <v/>
      </c>
      <c r="H7519" s="67" t="str">
        <f>IF('Thirty-First'!H22="", "",'Thirty-First'!H22)</f>
        <v/>
      </c>
      <c r="I7519" s="67" t="str">
        <f>IF('Thirty-First'!I22="", "",'Thirty-First'!I22)</f>
        <v/>
      </c>
      <c r="J7519" s="67" t="str">
        <f>IF('Thirty-First'!J22="", "",'Thirty-First'!J22)</f>
        <v/>
      </c>
      <c r="K7519" s="76" t="str">
        <f>IF('Thirty-First'!K22="", "",'Thirty-First'!K22)</f>
        <v/>
      </c>
      <c r="M7519" s="67" t="str">
        <f t="shared" si="362"/>
        <v/>
      </c>
      <c r="N7519" s="76" t="str">
        <f t="shared" si="363"/>
        <v/>
      </c>
      <c r="O7519" s="33">
        <f t="shared" si="364"/>
        <v>0</v>
      </c>
    </row>
    <row r="7520" spans="1:15" x14ac:dyDescent="0.25">
      <c r="A7520" s="94" t="s">
        <v>197</v>
      </c>
      <c r="B7520" s="66" t="str">
        <f>IF('Thirty-First'!B23="", "",'Thirty-First'!B23)</f>
        <v/>
      </c>
      <c r="C7520" s="67" t="str">
        <f>IF('Thirty-First'!C23="", "",'Thirty-First'!C23)</f>
        <v/>
      </c>
      <c r="D7520" s="67" t="str">
        <f>IF('Thirty-First'!D23="", "",'Thirty-First'!D23)</f>
        <v/>
      </c>
      <c r="E7520" s="67" t="str">
        <f>IF('Thirty-First'!E23="", "",'Thirty-First'!E23)</f>
        <v/>
      </c>
      <c r="F7520" s="67" t="str">
        <f>IF('Thirty-First'!F23="", "",'Thirty-First'!F23)</f>
        <v/>
      </c>
      <c r="G7520" s="67" t="str">
        <f>IF('Thirty-First'!G23="", "",'Thirty-First'!G23)</f>
        <v/>
      </c>
      <c r="H7520" s="67" t="str">
        <f>IF('Thirty-First'!H23="", "",'Thirty-First'!H23)</f>
        <v/>
      </c>
      <c r="I7520" s="67" t="str">
        <f>IF('Thirty-First'!I23="", "",'Thirty-First'!I23)</f>
        <v/>
      </c>
      <c r="J7520" s="67" t="str">
        <f>IF('Thirty-First'!J23="", "",'Thirty-First'!J23)</f>
        <v/>
      </c>
      <c r="K7520" s="76" t="str">
        <f>IF('Thirty-First'!K23="", "",'Thirty-First'!K23)</f>
        <v/>
      </c>
      <c r="M7520" s="67" t="str">
        <f t="shared" si="362"/>
        <v/>
      </c>
      <c r="N7520" s="76" t="str">
        <f t="shared" si="363"/>
        <v/>
      </c>
      <c r="O7520" s="33">
        <f t="shared" si="364"/>
        <v>0</v>
      </c>
    </row>
    <row r="7521" spans="1:15" x14ac:dyDescent="0.25">
      <c r="A7521" s="94" t="s">
        <v>197</v>
      </c>
      <c r="B7521" s="66" t="str">
        <f>IF('Thirty-First'!B24="", "",'Thirty-First'!B24)</f>
        <v/>
      </c>
      <c r="C7521" s="67" t="str">
        <f>IF('Thirty-First'!C24="", "",'Thirty-First'!C24)</f>
        <v/>
      </c>
      <c r="D7521" s="67" t="str">
        <f>IF('Thirty-First'!D24="", "",'Thirty-First'!D24)</f>
        <v/>
      </c>
      <c r="E7521" s="67" t="str">
        <f>IF('Thirty-First'!E24="", "",'Thirty-First'!E24)</f>
        <v/>
      </c>
      <c r="F7521" s="67" t="str">
        <f>IF('Thirty-First'!F24="", "",'Thirty-First'!F24)</f>
        <v/>
      </c>
      <c r="G7521" s="67" t="str">
        <f>IF('Thirty-First'!G24="", "",'Thirty-First'!G24)</f>
        <v/>
      </c>
      <c r="H7521" s="67" t="str">
        <f>IF('Thirty-First'!H24="", "",'Thirty-First'!H24)</f>
        <v/>
      </c>
      <c r="I7521" s="67" t="str">
        <f>IF('Thirty-First'!I24="", "",'Thirty-First'!I24)</f>
        <v/>
      </c>
      <c r="J7521" s="67" t="str">
        <f>IF('Thirty-First'!J24="", "",'Thirty-First'!J24)</f>
        <v/>
      </c>
      <c r="K7521" s="76" t="str">
        <f>IF('Thirty-First'!K24="", "",'Thirty-First'!K24)</f>
        <v/>
      </c>
      <c r="M7521" s="67" t="str">
        <f t="shared" si="362"/>
        <v/>
      </c>
      <c r="N7521" s="76" t="str">
        <f t="shared" si="363"/>
        <v/>
      </c>
      <c r="O7521" s="33">
        <f t="shared" si="364"/>
        <v>0</v>
      </c>
    </row>
    <row r="7522" spans="1:15" x14ac:dyDescent="0.25">
      <c r="A7522" s="94" t="s">
        <v>197</v>
      </c>
      <c r="B7522" s="66" t="str">
        <f>IF('Thirty-First'!B25="", "",'Thirty-First'!B25)</f>
        <v/>
      </c>
      <c r="C7522" s="67" t="str">
        <f>IF('Thirty-First'!C25="", "",'Thirty-First'!C25)</f>
        <v/>
      </c>
      <c r="D7522" s="67" t="str">
        <f>IF('Thirty-First'!D25="", "",'Thirty-First'!D25)</f>
        <v/>
      </c>
      <c r="E7522" s="67" t="str">
        <f>IF('Thirty-First'!E25="", "",'Thirty-First'!E25)</f>
        <v/>
      </c>
      <c r="F7522" s="67" t="str">
        <f>IF('Thirty-First'!F25="", "",'Thirty-First'!F25)</f>
        <v/>
      </c>
      <c r="G7522" s="67" t="str">
        <f>IF('Thirty-First'!G25="", "",'Thirty-First'!G25)</f>
        <v/>
      </c>
      <c r="H7522" s="67" t="str">
        <f>IF('Thirty-First'!H25="", "",'Thirty-First'!H25)</f>
        <v/>
      </c>
      <c r="I7522" s="67" t="str">
        <f>IF('Thirty-First'!I25="", "",'Thirty-First'!I25)</f>
        <v/>
      </c>
      <c r="J7522" s="67" t="str">
        <f>IF('Thirty-First'!J25="", "",'Thirty-First'!J25)</f>
        <v/>
      </c>
      <c r="K7522" s="76" t="str">
        <f>IF('Thirty-First'!K25="", "",'Thirty-First'!K25)</f>
        <v/>
      </c>
      <c r="M7522" s="67" t="str">
        <f t="shared" si="362"/>
        <v/>
      </c>
      <c r="N7522" s="76" t="str">
        <f t="shared" si="363"/>
        <v/>
      </c>
      <c r="O7522" s="33">
        <f t="shared" si="364"/>
        <v>0</v>
      </c>
    </row>
    <row r="7523" spans="1:15" x14ac:dyDescent="0.25">
      <c r="A7523" s="94" t="s">
        <v>197</v>
      </c>
      <c r="B7523" s="66" t="str">
        <f>IF('Thirty-First'!B26="", "",'Thirty-First'!B26)</f>
        <v/>
      </c>
      <c r="C7523" s="67" t="str">
        <f>IF('Thirty-First'!C26="", "",'Thirty-First'!C26)</f>
        <v/>
      </c>
      <c r="D7523" s="67" t="str">
        <f>IF('Thirty-First'!D26="", "",'Thirty-First'!D26)</f>
        <v/>
      </c>
      <c r="E7523" s="67" t="str">
        <f>IF('Thirty-First'!E26="", "",'Thirty-First'!E26)</f>
        <v/>
      </c>
      <c r="F7523" s="67" t="str">
        <f>IF('Thirty-First'!F26="", "",'Thirty-First'!F26)</f>
        <v/>
      </c>
      <c r="G7523" s="67" t="str">
        <f>IF('Thirty-First'!G26="", "",'Thirty-First'!G26)</f>
        <v/>
      </c>
      <c r="H7523" s="67" t="str">
        <f>IF('Thirty-First'!H26="", "",'Thirty-First'!H26)</f>
        <v/>
      </c>
      <c r="I7523" s="67" t="str">
        <f>IF('Thirty-First'!I26="", "",'Thirty-First'!I26)</f>
        <v/>
      </c>
      <c r="J7523" s="67" t="str">
        <f>IF('Thirty-First'!J26="", "",'Thirty-First'!J26)</f>
        <v/>
      </c>
      <c r="K7523" s="76" t="str">
        <f>IF('Thirty-First'!K26="", "",'Thirty-First'!K26)</f>
        <v/>
      </c>
      <c r="M7523" s="67" t="str">
        <f t="shared" si="362"/>
        <v/>
      </c>
      <c r="N7523" s="76" t="str">
        <f t="shared" si="363"/>
        <v/>
      </c>
      <c r="O7523" s="33">
        <f t="shared" si="364"/>
        <v>0</v>
      </c>
    </row>
    <row r="7524" spans="1:15" x14ac:dyDescent="0.25">
      <c r="A7524" s="94" t="s">
        <v>197</v>
      </c>
      <c r="B7524" s="66" t="str">
        <f>IF('Thirty-First'!B27="", "",'Thirty-First'!B27)</f>
        <v/>
      </c>
      <c r="C7524" s="67" t="str">
        <f>IF('Thirty-First'!C27="", "",'Thirty-First'!C27)</f>
        <v/>
      </c>
      <c r="D7524" s="67" t="str">
        <f>IF('Thirty-First'!D27="", "",'Thirty-First'!D27)</f>
        <v/>
      </c>
      <c r="E7524" s="67" t="str">
        <f>IF('Thirty-First'!E27="", "",'Thirty-First'!E27)</f>
        <v/>
      </c>
      <c r="F7524" s="67" t="str">
        <f>IF('Thirty-First'!F27="", "",'Thirty-First'!F27)</f>
        <v/>
      </c>
      <c r="G7524" s="67" t="str">
        <f>IF('Thirty-First'!G27="", "",'Thirty-First'!G27)</f>
        <v/>
      </c>
      <c r="H7524" s="67" t="str">
        <f>IF('Thirty-First'!H27="", "",'Thirty-First'!H27)</f>
        <v/>
      </c>
      <c r="I7524" s="67" t="str">
        <f>IF('Thirty-First'!I27="", "",'Thirty-First'!I27)</f>
        <v/>
      </c>
      <c r="J7524" s="67" t="str">
        <f>IF('Thirty-First'!J27="", "",'Thirty-First'!J27)</f>
        <v/>
      </c>
      <c r="K7524" s="76" t="str">
        <f>IF('Thirty-First'!K27="", "",'Thirty-First'!K27)</f>
        <v/>
      </c>
      <c r="M7524" s="67" t="str">
        <f t="shared" si="362"/>
        <v/>
      </c>
      <c r="N7524" s="76" t="str">
        <f t="shared" si="363"/>
        <v/>
      </c>
      <c r="O7524" s="33">
        <f t="shared" si="364"/>
        <v>0</v>
      </c>
    </row>
    <row r="7525" spans="1:15" x14ac:dyDescent="0.25">
      <c r="A7525" s="94" t="s">
        <v>197</v>
      </c>
      <c r="B7525" s="66" t="str">
        <f>IF('Thirty-First'!B28="", "",'Thirty-First'!B28)</f>
        <v/>
      </c>
      <c r="C7525" s="67" t="str">
        <f>IF('Thirty-First'!C28="", "",'Thirty-First'!C28)</f>
        <v/>
      </c>
      <c r="D7525" s="67" t="str">
        <f>IF('Thirty-First'!D28="", "",'Thirty-First'!D28)</f>
        <v/>
      </c>
      <c r="E7525" s="67" t="str">
        <f>IF('Thirty-First'!E28="", "",'Thirty-First'!E28)</f>
        <v/>
      </c>
      <c r="F7525" s="67" t="str">
        <f>IF('Thirty-First'!F28="", "",'Thirty-First'!F28)</f>
        <v/>
      </c>
      <c r="G7525" s="67" t="str">
        <f>IF('Thirty-First'!G28="", "",'Thirty-First'!G28)</f>
        <v/>
      </c>
      <c r="H7525" s="67" t="str">
        <f>IF('Thirty-First'!H28="", "",'Thirty-First'!H28)</f>
        <v/>
      </c>
      <c r="I7525" s="67" t="str">
        <f>IF('Thirty-First'!I28="", "",'Thirty-First'!I28)</f>
        <v/>
      </c>
      <c r="J7525" s="67" t="str">
        <f>IF('Thirty-First'!J28="", "",'Thirty-First'!J28)</f>
        <v/>
      </c>
      <c r="K7525" s="76" t="str">
        <f>IF('Thirty-First'!K28="", "",'Thirty-First'!K28)</f>
        <v/>
      </c>
      <c r="M7525" s="67" t="str">
        <f t="shared" si="362"/>
        <v/>
      </c>
      <c r="N7525" s="76" t="str">
        <f t="shared" si="363"/>
        <v/>
      </c>
      <c r="O7525" s="33">
        <f t="shared" si="364"/>
        <v>0</v>
      </c>
    </row>
    <row r="7526" spans="1:15" x14ac:dyDescent="0.25">
      <c r="A7526" s="94" t="s">
        <v>197</v>
      </c>
      <c r="B7526" s="66" t="str">
        <f>IF('Thirty-First'!B29="", "",'Thirty-First'!B29)</f>
        <v/>
      </c>
      <c r="C7526" s="67" t="str">
        <f>IF('Thirty-First'!C29="", "",'Thirty-First'!C29)</f>
        <v/>
      </c>
      <c r="D7526" s="67" t="str">
        <f>IF('Thirty-First'!D29="", "",'Thirty-First'!D29)</f>
        <v/>
      </c>
      <c r="E7526" s="67" t="str">
        <f>IF('Thirty-First'!E29="", "",'Thirty-First'!E29)</f>
        <v/>
      </c>
      <c r="F7526" s="67" t="str">
        <f>IF('Thirty-First'!F29="", "",'Thirty-First'!F29)</f>
        <v/>
      </c>
      <c r="G7526" s="67" t="str">
        <f>IF('Thirty-First'!G29="", "",'Thirty-First'!G29)</f>
        <v/>
      </c>
      <c r="H7526" s="67" t="str">
        <f>IF('Thirty-First'!H29="", "",'Thirty-First'!H29)</f>
        <v/>
      </c>
      <c r="I7526" s="67" t="str">
        <f>IF('Thirty-First'!I29="", "",'Thirty-First'!I29)</f>
        <v/>
      </c>
      <c r="J7526" s="67" t="str">
        <f>IF('Thirty-First'!J29="", "",'Thirty-First'!J29)</f>
        <v/>
      </c>
      <c r="K7526" s="76" t="str">
        <f>IF('Thirty-First'!K29="", "",'Thirty-First'!K29)</f>
        <v/>
      </c>
      <c r="M7526" s="67" t="str">
        <f t="shared" si="362"/>
        <v/>
      </c>
      <c r="N7526" s="76" t="str">
        <f t="shared" si="363"/>
        <v/>
      </c>
      <c r="O7526" s="33">
        <f t="shared" si="364"/>
        <v>0</v>
      </c>
    </row>
    <row r="7527" spans="1:15" x14ac:dyDescent="0.25">
      <c r="A7527" s="94" t="s">
        <v>197</v>
      </c>
      <c r="B7527" s="66" t="str">
        <f>IF('Thirty-First'!B30="", "",'Thirty-First'!B30)</f>
        <v/>
      </c>
      <c r="C7527" s="67" t="str">
        <f>IF('Thirty-First'!C30="", "",'Thirty-First'!C30)</f>
        <v/>
      </c>
      <c r="D7527" s="67" t="str">
        <f>IF('Thirty-First'!D30="", "",'Thirty-First'!D30)</f>
        <v/>
      </c>
      <c r="E7527" s="67" t="str">
        <f>IF('Thirty-First'!E30="", "",'Thirty-First'!E30)</f>
        <v/>
      </c>
      <c r="F7527" s="67" t="str">
        <f>IF('Thirty-First'!F30="", "",'Thirty-First'!F30)</f>
        <v/>
      </c>
      <c r="G7527" s="67" t="str">
        <f>IF('Thirty-First'!G30="", "",'Thirty-First'!G30)</f>
        <v/>
      </c>
      <c r="H7527" s="67" t="str">
        <f>IF('Thirty-First'!H30="", "",'Thirty-First'!H30)</f>
        <v/>
      </c>
      <c r="I7527" s="67" t="str">
        <f>IF('Thirty-First'!I30="", "",'Thirty-First'!I30)</f>
        <v/>
      </c>
      <c r="J7527" s="67" t="str">
        <f>IF('Thirty-First'!J30="", "",'Thirty-First'!J30)</f>
        <v/>
      </c>
      <c r="K7527" s="76" t="str">
        <f>IF('Thirty-First'!K30="", "",'Thirty-First'!K30)</f>
        <v/>
      </c>
      <c r="M7527" s="67" t="str">
        <f t="shared" si="362"/>
        <v/>
      </c>
      <c r="N7527" s="76" t="str">
        <f t="shared" si="363"/>
        <v/>
      </c>
      <c r="O7527" s="33">
        <f t="shared" si="364"/>
        <v>0</v>
      </c>
    </row>
    <row r="7528" spans="1:15" x14ac:dyDescent="0.25">
      <c r="A7528" s="94" t="s">
        <v>197</v>
      </c>
      <c r="B7528" s="66" t="str">
        <f>IF('Thirty-First'!B31="", "",'Thirty-First'!B31)</f>
        <v/>
      </c>
      <c r="C7528" s="67" t="str">
        <f>IF('Thirty-First'!C31="", "",'Thirty-First'!C31)</f>
        <v/>
      </c>
      <c r="D7528" s="67" t="str">
        <f>IF('Thirty-First'!D31="", "",'Thirty-First'!D31)</f>
        <v/>
      </c>
      <c r="E7528" s="67" t="str">
        <f>IF('Thirty-First'!E31="", "",'Thirty-First'!E31)</f>
        <v/>
      </c>
      <c r="F7528" s="67" t="str">
        <f>IF('Thirty-First'!F31="", "",'Thirty-First'!F31)</f>
        <v/>
      </c>
      <c r="G7528" s="67" t="str">
        <f>IF('Thirty-First'!G31="", "",'Thirty-First'!G31)</f>
        <v/>
      </c>
      <c r="H7528" s="67" t="str">
        <f>IF('Thirty-First'!H31="", "",'Thirty-First'!H31)</f>
        <v/>
      </c>
      <c r="I7528" s="67" t="str">
        <f>IF('Thirty-First'!I31="", "",'Thirty-First'!I31)</f>
        <v/>
      </c>
      <c r="J7528" s="67" t="str">
        <f>IF('Thirty-First'!J31="", "",'Thirty-First'!J31)</f>
        <v/>
      </c>
      <c r="K7528" s="76" t="str">
        <f>IF('Thirty-First'!K31="", "",'Thirty-First'!K31)</f>
        <v/>
      </c>
      <c r="M7528" s="67" t="str">
        <f t="shared" si="362"/>
        <v/>
      </c>
      <c r="N7528" s="76" t="str">
        <f t="shared" si="363"/>
        <v/>
      </c>
      <c r="O7528" s="33">
        <f t="shared" si="364"/>
        <v>0</v>
      </c>
    </row>
    <row r="7529" spans="1:15" x14ac:dyDescent="0.25">
      <c r="A7529" s="94" t="s">
        <v>197</v>
      </c>
      <c r="B7529" s="66" t="str">
        <f>IF('Thirty-First'!B32="", "",'Thirty-First'!B32)</f>
        <v/>
      </c>
      <c r="C7529" s="67" t="str">
        <f>IF('Thirty-First'!C32="", "",'Thirty-First'!C32)</f>
        <v/>
      </c>
      <c r="D7529" s="67" t="str">
        <f>IF('Thirty-First'!D32="", "",'Thirty-First'!D32)</f>
        <v/>
      </c>
      <c r="E7529" s="67" t="str">
        <f>IF('Thirty-First'!E32="", "",'Thirty-First'!E32)</f>
        <v/>
      </c>
      <c r="F7529" s="67" t="str">
        <f>IF('Thirty-First'!F32="", "",'Thirty-First'!F32)</f>
        <v/>
      </c>
      <c r="G7529" s="67" t="str">
        <f>IF('Thirty-First'!G32="", "",'Thirty-First'!G32)</f>
        <v/>
      </c>
      <c r="H7529" s="67" t="str">
        <f>IF('Thirty-First'!H32="", "",'Thirty-First'!H32)</f>
        <v/>
      </c>
      <c r="I7529" s="67" t="str">
        <f>IF('Thirty-First'!I32="", "",'Thirty-First'!I32)</f>
        <v/>
      </c>
      <c r="J7529" s="67" t="str">
        <f>IF('Thirty-First'!J32="", "",'Thirty-First'!J32)</f>
        <v/>
      </c>
      <c r="K7529" s="76" t="str">
        <f>IF('Thirty-First'!K32="", "",'Thirty-First'!K32)</f>
        <v/>
      </c>
      <c r="M7529" s="67" t="str">
        <f t="shared" si="362"/>
        <v/>
      </c>
      <c r="N7529" s="76" t="str">
        <f t="shared" si="363"/>
        <v/>
      </c>
      <c r="O7529" s="33">
        <f t="shared" si="364"/>
        <v>0</v>
      </c>
    </row>
    <row r="7530" spans="1:15" x14ac:dyDescent="0.25">
      <c r="A7530" s="94" t="s">
        <v>197</v>
      </c>
      <c r="B7530" s="66" t="str">
        <f>IF('Thirty-First'!B33="", "",'Thirty-First'!B33)</f>
        <v/>
      </c>
      <c r="C7530" s="67" t="str">
        <f>IF('Thirty-First'!C33="", "",'Thirty-First'!C33)</f>
        <v/>
      </c>
      <c r="D7530" s="67" t="str">
        <f>IF('Thirty-First'!D33="", "",'Thirty-First'!D33)</f>
        <v/>
      </c>
      <c r="E7530" s="67" t="str">
        <f>IF('Thirty-First'!E33="", "",'Thirty-First'!E33)</f>
        <v/>
      </c>
      <c r="F7530" s="67" t="str">
        <f>IF('Thirty-First'!F33="", "",'Thirty-First'!F33)</f>
        <v/>
      </c>
      <c r="G7530" s="67" t="str">
        <f>IF('Thirty-First'!G33="", "",'Thirty-First'!G33)</f>
        <v/>
      </c>
      <c r="H7530" s="67" t="str">
        <f>IF('Thirty-First'!H33="", "",'Thirty-First'!H33)</f>
        <v/>
      </c>
      <c r="I7530" s="67" t="str">
        <f>IF('Thirty-First'!I33="", "",'Thirty-First'!I33)</f>
        <v/>
      </c>
      <c r="J7530" s="67" t="str">
        <f>IF('Thirty-First'!J33="", "",'Thirty-First'!J33)</f>
        <v/>
      </c>
      <c r="K7530" s="76" t="str">
        <f>IF('Thirty-First'!K33="", "",'Thirty-First'!K33)</f>
        <v/>
      </c>
      <c r="M7530" s="67" t="str">
        <f t="shared" si="362"/>
        <v/>
      </c>
      <c r="N7530" s="76" t="str">
        <f t="shared" si="363"/>
        <v/>
      </c>
      <c r="O7530" s="33">
        <f t="shared" si="364"/>
        <v>0</v>
      </c>
    </row>
    <row r="7531" spans="1:15" x14ac:dyDescent="0.25">
      <c r="A7531" s="94" t="s">
        <v>197</v>
      </c>
      <c r="B7531" s="66" t="str">
        <f>IF('Thirty-First'!B34="", "",'Thirty-First'!B34)</f>
        <v/>
      </c>
      <c r="C7531" s="67" t="str">
        <f>IF('Thirty-First'!C34="", "",'Thirty-First'!C34)</f>
        <v/>
      </c>
      <c r="D7531" s="67" t="str">
        <f>IF('Thirty-First'!D34="", "",'Thirty-First'!D34)</f>
        <v/>
      </c>
      <c r="E7531" s="67" t="str">
        <f>IF('Thirty-First'!E34="", "",'Thirty-First'!E34)</f>
        <v/>
      </c>
      <c r="F7531" s="67" t="str">
        <f>IF('Thirty-First'!F34="", "",'Thirty-First'!F34)</f>
        <v/>
      </c>
      <c r="G7531" s="67" t="str">
        <f>IF('Thirty-First'!G34="", "",'Thirty-First'!G34)</f>
        <v/>
      </c>
      <c r="H7531" s="67" t="str">
        <f>IF('Thirty-First'!H34="", "",'Thirty-First'!H34)</f>
        <v/>
      </c>
      <c r="I7531" s="67" t="str">
        <f>IF('Thirty-First'!I34="", "",'Thirty-First'!I34)</f>
        <v/>
      </c>
      <c r="J7531" s="67" t="str">
        <f>IF('Thirty-First'!J34="", "",'Thirty-First'!J34)</f>
        <v/>
      </c>
      <c r="K7531" s="76" t="str">
        <f>IF('Thirty-First'!K34="", "",'Thirty-First'!K34)</f>
        <v/>
      </c>
      <c r="M7531" s="67" t="str">
        <f t="shared" si="362"/>
        <v/>
      </c>
      <c r="N7531" s="76" t="str">
        <f t="shared" si="363"/>
        <v/>
      </c>
      <c r="O7531" s="33">
        <f t="shared" si="364"/>
        <v>0</v>
      </c>
    </row>
    <row r="7532" spans="1:15" x14ac:dyDescent="0.25">
      <c r="A7532" s="94" t="s">
        <v>197</v>
      </c>
      <c r="B7532" s="66" t="str">
        <f>IF('Thirty-First'!B35="", "",'Thirty-First'!B35)</f>
        <v/>
      </c>
      <c r="C7532" s="67" t="str">
        <f>IF('Thirty-First'!C35="", "",'Thirty-First'!C35)</f>
        <v/>
      </c>
      <c r="D7532" s="67" t="str">
        <f>IF('Thirty-First'!D35="", "",'Thirty-First'!D35)</f>
        <v/>
      </c>
      <c r="E7532" s="67" t="str">
        <f>IF('Thirty-First'!E35="", "",'Thirty-First'!E35)</f>
        <v/>
      </c>
      <c r="F7532" s="67" t="str">
        <f>IF('Thirty-First'!F35="", "",'Thirty-First'!F35)</f>
        <v/>
      </c>
      <c r="G7532" s="67" t="str">
        <f>IF('Thirty-First'!G35="", "",'Thirty-First'!G35)</f>
        <v/>
      </c>
      <c r="H7532" s="67" t="str">
        <f>IF('Thirty-First'!H35="", "",'Thirty-First'!H35)</f>
        <v/>
      </c>
      <c r="I7532" s="67" t="str">
        <f>IF('Thirty-First'!I35="", "",'Thirty-First'!I35)</f>
        <v/>
      </c>
      <c r="J7532" s="67" t="str">
        <f>IF('Thirty-First'!J35="", "",'Thirty-First'!J35)</f>
        <v/>
      </c>
      <c r="K7532" s="76" t="str">
        <f>IF('Thirty-First'!K35="", "",'Thirty-First'!K35)</f>
        <v/>
      </c>
      <c r="M7532" s="67" t="str">
        <f t="shared" si="362"/>
        <v/>
      </c>
      <c r="N7532" s="76" t="str">
        <f t="shared" si="363"/>
        <v/>
      </c>
      <c r="O7532" s="33">
        <f t="shared" si="364"/>
        <v>0</v>
      </c>
    </row>
    <row r="7533" spans="1:15" x14ac:dyDescent="0.25">
      <c r="A7533" s="94" t="s">
        <v>197</v>
      </c>
      <c r="B7533" s="66" t="str">
        <f>IF('Thirty-First'!B36="", "",'Thirty-First'!B36)</f>
        <v/>
      </c>
      <c r="C7533" s="67" t="str">
        <f>IF('Thirty-First'!C36="", "",'Thirty-First'!C36)</f>
        <v/>
      </c>
      <c r="D7533" s="67" t="str">
        <f>IF('Thirty-First'!D36="", "",'Thirty-First'!D36)</f>
        <v/>
      </c>
      <c r="E7533" s="67" t="str">
        <f>IF('Thirty-First'!E36="", "",'Thirty-First'!E36)</f>
        <v/>
      </c>
      <c r="F7533" s="67" t="str">
        <f>IF('Thirty-First'!F36="", "",'Thirty-First'!F36)</f>
        <v/>
      </c>
      <c r="G7533" s="67" t="str">
        <f>IF('Thirty-First'!G36="", "",'Thirty-First'!G36)</f>
        <v/>
      </c>
      <c r="H7533" s="67" t="str">
        <f>IF('Thirty-First'!H36="", "",'Thirty-First'!H36)</f>
        <v/>
      </c>
      <c r="I7533" s="67" t="str">
        <f>IF('Thirty-First'!I36="", "",'Thirty-First'!I36)</f>
        <v/>
      </c>
      <c r="J7533" s="67" t="str">
        <f>IF('Thirty-First'!J36="", "",'Thirty-First'!J36)</f>
        <v/>
      </c>
      <c r="K7533" s="76" t="str">
        <f>IF('Thirty-First'!K36="", "",'Thirty-First'!K36)</f>
        <v/>
      </c>
      <c r="M7533" s="67" t="str">
        <f t="shared" si="362"/>
        <v/>
      </c>
      <c r="N7533" s="76" t="str">
        <f t="shared" si="363"/>
        <v/>
      </c>
      <c r="O7533" s="33">
        <f t="shared" si="364"/>
        <v>0</v>
      </c>
    </row>
    <row r="7534" spans="1:15" x14ac:dyDescent="0.25">
      <c r="A7534" s="94" t="s">
        <v>197</v>
      </c>
      <c r="B7534" s="66" t="str">
        <f>IF('Thirty-First'!B37="", "",'Thirty-First'!B37)</f>
        <v/>
      </c>
      <c r="C7534" s="67" t="str">
        <f>IF('Thirty-First'!C37="", "",'Thirty-First'!C37)</f>
        <v/>
      </c>
      <c r="D7534" s="67" t="str">
        <f>IF('Thirty-First'!D37="", "",'Thirty-First'!D37)</f>
        <v/>
      </c>
      <c r="E7534" s="67" t="str">
        <f>IF('Thirty-First'!E37="", "",'Thirty-First'!E37)</f>
        <v/>
      </c>
      <c r="F7534" s="67" t="str">
        <f>IF('Thirty-First'!F37="", "",'Thirty-First'!F37)</f>
        <v/>
      </c>
      <c r="G7534" s="67" t="str">
        <f>IF('Thirty-First'!G37="", "",'Thirty-First'!G37)</f>
        <v/>
      </c>
      <c r="H7534" s="67" t="str">
        <f>IF('Thirty-First'!H37="", "",'Thirty-First'!H37)</f>
        <v/>
      </c>
      <c r="I7534" s="67" t="str">
        <f>IF('Thirty-First'!I37="", "",'Thirty-First'!I37)</f>
        <v/>
      </c>
      <c r="J7534" s="67" t="str">
        <f>IF('Thirty-First'!J37="", "",'Thirty-First'!J37)</f>
        <v/>
      </c>
      <c r="K7534" s="76" t="str">
        <f>IF('Thirty-First'!K37="", "",'Thirty-First'!K37)</f>
        <v/>
      </c>
      <c r="M7534" s="67" t="str">
        <f t="shared" si="362"/>
        <v/>
      </c>
      <c r="N7534" s="76" t="str">
        <f t="shared" si="363"/>
        <v/>
      </c>
      <c r="O7534" s="33">
        <f t="shared" si="364"/>
        <v>0</v>
      </c>
    </row>
    <row r="7535" spans="1:15" x14ac:dyDescent="0.25">
      <c r="A7535" s="94" t="s">
        <v>197</v>
      </c>
      <c r="B7535" s="66" t="str">
        <f>IF('Thirty-First'!B38="", "",'Thirty-First'!B38)</f>
        <v/>
      </c>
      <c r="C7535" s="67" t="str">
        <f>IF('Thirty-First'!C38="", "",'Thirty-First'!C38)</f>
        <v/>
      </c>
      <c r="D7535" s="67" t="str">
        <f>IF('Thirty-First'!D38="", "",'Thirty-First'!D38)</f>
        <v/>
      </c>
      <c r="E7535" s="67" t="str">
        <f>IF('Thirty-First'!E38="", "",'Thirty-First'!E38)</f>
        <v/>
      </c>
      <c r="F7535" s="67" t="str">
        <f>IF('Thirty-First'!F38="", "",'Thirty-First'!F38)</f>
        <v/>
      </c>
      <c r="G7535" s="67" t="str">
        <f>IF('Thirty-First'!G38="", "",'Thirty-First'!G38)</f>
        <v/>
      </c>
      <c r="H7535" s="67" t="str">
        <f>IF('Thirty-First'!H38="", "",'Thirty-First'!H38)</f>
        <v/>
      </c>
      <c r="I7535" s="67" t="str">
        <f>IF('Thirty-First'!I38="", "",'Thirty-First'!I38)</f>
        <v/>
      </c>
      <c r="J7535" s="67" t="str">
        <f>IF('Thirty-First'!J38="", "",'Thirty-First'!J38)</f>
        <v/>
      </c>
      <c r="K7535" s="76" t="str">
        <f>IF('Thirty-First'!K38="", "",'Thirty-First'!K38)</f>
        <v/>
      </c>
      <c r="M7535" s="67" t="str">
        <f t="shared" si="362"/>
        <v/>
      </c>
      <c r="N7535" s="76" t="str">
        <f t="shared" si="363"/>
        <v/>
      </c>
      <c r="O7535" s="33">
        <f t="shared" si="364"/>
        <v>0</v>
      </c>
    </row>
    <row r="7536" spans="1:15" x14ac:dyDescent="0.25">
      <c r="A7536" s="94" t="s">
        <v>197</v>
      </c>
      <c r="B7536" s="66" t="str">
        <f>IF('Thirty-First'!B39="", "",'Thirty-First'!B39)</f>
        <v/>
      </c>
      <c r="C7536" s="67" t="str">
        <f>IF('Thirty-First'!C39="", "",'Thirty-First'!C39)</f>
        <v/>
      </c>
      <c r="D7536" s="67" t="str">
        <f>IF('Thirty-First'!D39="", "",'Thirty-First'!D39)</f>
        <v/>
      </c>
      <c r="E7536" s="67" t="str">
        <f>IF('Thirty-First'!E39="", "",'Thirty-First'!E39)</f>
        <v/>
      </c>
      <c r="F7536" s="67" t="str">
        <f>IF('Thirty-First'!F39="", "",'Thirty-First'!F39)</f>
        <v/>
      </c>
      <c r="G7536" s="67" t="str">
        <f>IF('Thirty-First'!G39="", "",'Thirty-First'!G39)</f>
        <v/>
      </c>
      <c r="H7536" s="67" t="str">
        <f>IF('Thirty-First'!H39="", "",'Thirty-First'!H39)</f>
        <v/>
      </c>
      <c r="I7536" s="67" t="str">
        <f>IF('Thirty-First'!I39="", "",'Thirty-First'!I39)</f>
        <v/>
      </c>
      <c r="J7536" s="67" t="str">
        <f>IF('Thirty-First'!J39="", "",'Thirty-First'!J39)</f>
        <v/>
      </c>
      <c r="K7536" s="76" t="str">
        <f>IF('Thirty-First'!K39="", "",'Thirty-First'!K39)</f>
        <v/>
      </c>
      <c r="M7536" s="67" t="str">
        <f t="shared" si="362"/>
        <v/>
      </c>
      <c r="N7536" s="76" t="str">
        <f t="shared" si="363"/>
        <v/>
      </c>
      <c r="O7536" s="33">
        <f t="shared" si="364"/>
        <v>0</v>
      </c>
    </row>
    <row r="7537" spans="1:15" x14ac:dyDescent="0.25">
      <c r="A7537" s="94" t="s">
        <v>197</v>
      </c>
      <c r="B7537" s="66" t="str">
        <f>IF('Thirty-First'!B40="", "",'Thirty-First'!B40)</f>
        <v/>
      </c>
      <c r="C7537" s="67" t="str">
        <f>IF('Thirty-First'!C40="", "",'Thirty-First'!C40)</f>
        <v/>
      </c>
      <c r="D7537" s="67" t="str">
        <f>IF('Thirty-First'!D40="", "",'Thirty-First'!D40)</f>
        <v/>
      </c>
      <c r="E7537" s="67" t="str">
        <f>IF('Thirty-First'!E40="", "",'Thirty-First'!E40)</f>
        <v/>
      </c>
      <c r="F7537" s="67" t="str">
        <f>IF('Thirty-First'!F40="", "",'Thirty-First'!F40)</f>
        <v/>
      </c>
      <c r="G7537" s="67" t="str">
        <f>IF('Thirty-First'!G40="", "",'Thirty-First'!G40)</f>
        <v/>
      </c>
      <c r="H7537" s="67" t="str">
        <f>IF('Thirty-First'!H40="", "",'Thirty-First'!H40)</f>
        <v/>
      </c>
      <c r="I7537" s="67" t="str">
        <f>IF('Thirty-First'!I40="", "",'Thirty-First'!I40)</f>
        <v/>
      </c>
      <c r="J7537" s="67" t="str">
        <f>IF('Thirty-First'!J40="", "",'Thirty-First'!J40)</f>
        <v/>
      </c>
      <c r="K7537" s="76" t="str">
        <f>IF('Thirty-First'!K40="", "",'Thirty-First'!K40)</f>
        <v/>
      </c>
      <c r="M7537" s="67" t="str">
        <f t="shared" si="362"/>
        <v/>
      </c>
      <c r="N7537" s="76" t="str">
        <f t="shared" si="363"/>
        <v/>
      </c>
      <c r="O7537" s="33">
        <f t="shared" si="364"/>
        <v>0</v>
      </c>
    </row>
    <row r="7538" spans="1:15" x14ac:dyDescent="0.25">
      <c r="A7538" s="94" t="s">
        <v>197</v>
      </c>
      <c r="B7538" s="66" t="str">
        <f>IF('Thirty-First'!B41="", "",'Thirty-First'!B41)</f>
        <v/>
      </c>
      <c r="C7538" s="67" t="str">
        <f>IF('Thirty-First'!C41="", "",'Thirty-First'!C41)</f>
        <v/>
      </c>
      <c r="D7538" s="67" t="str">
        <f>IF('Thirty-First'!D41="", "",'Thirty-First'!D41)</f>
        <v/>
      </c>
      <c r="E7538" s="67" t="str">
        <f>IF('Thirty-First'!E41="", "",'Thirty-First'!E41)</f>
        <v/>
      </c>
      <c r="F7538" s="67" t="str">
        <f>IF('Thirty-First'!F41="", "",'Thirty-First'!F41)</f>
        <v/>
      </c>
      <c r="G7538" s="67" t="str">
        <f>IF('Thirty-First'!G41="", "",'Thirty-First'!G41)</f>
        <v/>
      </c>
      <c r="H7538" s="67" t="str">
        <f>IF('Thirty-First'!H41="", "",'Thirty-First'!H41)</f>
        <v/>
      </c>
      <c r="I7538" s="67" t="str">
        <f>IF('Thirty-First'!I41="", "",'Thirty-First'!I41)</f>
        <v/>
      </c>
      <c r="J7538" s="67" t="str">
        <f>IF('Thirty-First'!J41="", "",'Thirty-First'!J41)</f>
        <v/>
      </c>
      <c r="K7538" s="76" t="str">
        <f>IF('Thirty-First'!K41="", "",'Thirty-First'!K41)</f>
        <v/>
      </c>
      <c r="M7538" s="67" t="str">
        <f t="shared" si="362"/>
        <v/>
      </c>
      <c r="N7538" s="76" t="str">
        <f t="shared" si="363"/>
        <v/>
      </c>
      <c r="O7538" s="33">
        <f t="shared" si="364"/>
        <v>0</v>
      </c>
    </row>
    <row r="7539" spans="1:15" x14ac:dyDescent="0.25">
      <c r="A7539" s="94" t="s">
        <v>197</v>
      </c>
      <c r="B7539" s="66" t="str">
        <f>IF('Thirty-First'!B42="", "",'Thirty-First'!B42)</f>
        <v/>
      </c>
      <c r="C7539" s="67" t="str">
        <f>IF('Thirty-First'!C42="", "",'Thirty-First'!C42)</f>
        <v/>
      </c>
      <c r="D7539" s="67" t="str">
        <f>IF('Thirty-First'!D42="", "",'Thirty-First'!D42)</f>
        <v/>
      </c>
      <c r="E7539" s="67" t="str">
        <f>IF('Thirty-First'!E42="", "",'Thirty-First'!E42)</f>
        <v/>
      </c>
      <c r="F7539" s="67" t="str">
        <f>IF('Thirty-First'!F42="", "",'Thirty-First'!F42)</f>
        <v/>
      </c>
      <c r="G7539" s="67" t="str">
        <f>IF('Thirty-First'!G42="", "",'Thirty-First'!G42)</f>
        <v/>
      </c>
      <c r="H7539" s="67" t="str">
        <f>IF('Thirty-First'!H42="", "",'Thirty-First'!H42)</f>
        <v/>
      </c>
      <c r="I7539" s="67" t="str">
        <f>IF('Thirty-First'!I42="", "",'Thirty-First'!I42)</f>
        <v/>
      </c>
      <c r="J7539" s="67" t="str">
        <f>IF('Thirty-First'!J42="", "",'Thirty-First'!J42)</f>
        <v/>
      </c>
      <c r="K7539" s="76" t="str">
        <f>IF('Thirty-First'!K42="", "",'Thirty-First'!K42)</f>
        <v/>
      </c>
      <c r="M7539" s="67" t="str">
        <f t="shared" si="362"/>
        <v/>
      </c>
      <c r="N7539" s="76" t="str">
        <f t="shared" si="363"/>
        <v/>
      </c>
      <c r="O7539" s="33">
        <f t="shared" si="364"/>
        <v>0</v>
      </c>
    </row>
    <row r="7540" spans="1:15" x14ac:dyDescent="0.25">
      <c r="A7540" s="94" t="s">
        <v>197</v>
      </c>
      <c r="B7540" s="66" t="str">
        <f>IF('Thirty-First'!B43="", "",'Thirty-First'!B43)</f>
        <v/>
      </c>
      <c r="C7540" s="67" t="str">
        <f>IF('Thirty-First'!C43="", "",'Thirty-First'!C43)</f>
        <v/>
      </c>
      <c r="D7540" s="67" t="str">
        <f>IF('Thirty-First'!D43="", "",'Thirty-First'!D43)</f>
        <v/>
      </c>
      <c r="E7540" s="67" t="str">
        <f>IF('Thirty-First'!E43="", "",'Thirty-First'!E43)</f>
        <v/>
      </c>
      <c r="F7540" s="67" t="str">
        <f>IF('Thirty-First'!F43="", "",'Thirty-First'!F43)</f>
        <v/>
      </c>
      <c r="G7540" s="67" t="str">
        <f>IF('Thirty-First'!G43="", "",'Thirty-First'!G43)</f>
        <v/>
      </c>
      <c r="H7540" s="67" t="str">
        <f>IF('Thirty-First'!H43="", "",'Thirty-First'!H43)</f>
        <v/>
      </c>
      <c r="I7540" s="67" t="str">
        <f>IF('Thirty-First'!I43="", "",'Thirty-First'!I43)</f>
        <v/>
      </c>
      <c r="J7540" s="67" t="str">
        <f>IF('Thirty-First'!J43="", "",'Thirty-First'!J43)</f>
        <v/>
      </c>
      <c r="K7540" s="76" t="str">
        <f>IF('Thirty-First'!K43="", "",'Thirty-First'!K43)</f>
        <v/>
      </c>
      <c r="M7540" s="67" t="str">
        <f t="shared" si="362"/>
        <v/>
      </c>
      <c r="N7540" s="76" t="str">
        <f t="shared" si="363"/>
        <v/>
      </c>
      <c r="O7540" s="33">
        <f t="shared" si="364"/>
        <v>0</v>
      </c>
    </row>
    <row r="7541" spans="1:15" x14ac:dyDescent="0.25">
      <c r="A7541" s="94" t="s">
        <v>197</v>
      </c>
      <c r="B7541" s="66" t="str">
        <f>IF('Thirty-First'!B44="", "",'Thirty-First'!B44)</f>
        <v/>
      </c>
      <c r="C7541" s="67" t="str">
        <f>IF('Thirty-First'!C44="", "",'Thirty-First'!C44)</f>
        <v/>
      </c>
      <c r="D7541" s="67" t="str">
        <f>IF('Thirty-First'!D44="", "",'Thirty-First'!D44)</f>
        <v/>
      </c>
      <c r="E7541" s="67" t="str">
        <f>IF('Thirty-First'!E44="", "",'Thirty-First'!E44)</f>
        <v/>
      </c>
      <c r="F7541" s="67" t="str">
        <f>IF('Thirty-First'!F44="", "",'Thirty-First'!F44)</f>
        <v/>
      </c>
      <c r="G7541" s="67" t="str">
        <f>IF('Thirty-First'!G44="", "",'Thirty-First'!G44)</f>
        <v/>
      </c>
      <c r="H7541" s="67" t="str">
        <f>IF('Thirty-First'!H44="", "",'Thirty-First'!H44)</f>
        <v/>
      </c>
      <c r="I7541" s="67" t="str">
        <f>IF('Thirty-First'!I44="", "",'Thirty-First'!I44)</f>
        <v/>
      </c>
      <c r="J7541" s="67" t="str">
        <f>IF('Thirty-First'!J44="", "",'Thirty-First'!J44)</f>
        <v/>
      </c>
      <c r="K7541" s="76" t="str">
        <f>IF('Thirty-First'!K44="", "",'Thirty-First'!K44)</f>
        <v/>
      </c>
      <c r="M7541" s="67" t="str">
        <f t="shared" si="362"/>
        <v/>
      </c>
      <c r="N7541" s="76" t="str">
        <f t="shared" si="363"/>
        <v/>
      </c>
      <c r="O7541" s="33">
        <f t="shared" si="364"/>
        <v>0</v>
      </c>
    </row>
    <row r="7542" spans="1:15" x14ac:dyDescent="0.25">
      <c r="A7542" s="94" t="s">
        <v>197</v>
      </c>
      <c r="B7542" s="66" t="str">
        <f>IF('Thirty-First'!B45="", "",'Thirty-First'!B45)</f>
        <v/>
      </c>
      <c r="C7542" s="67" t="str">
        <f>IF('Thirty-First'!C45="", "",'Thirty-First'!C45)</f>
        <v/>
      </c>
      <c r="D7542" s="67" t="str">
        <f>IF('Thirty-First'!D45="", "",'Thirty-First'!D45)</f>
        <v/>
      </c>
      <c r="E7542" s="67" t="str">
        <f>IF('Thirty-First'!E45="", "",'Thirty-First'!E45)</f>
        <v/>
      </c>
      <c r="F7542" s="67" t="str">
        <f>IF('Thirty-First'!F45="", "",'Thirty-First'!F45)</f>
        <v/>
      </c>
      <c r="G7542" s="67" t="str">
        <f>IF('Thirty-First'!G45="", "",'Thirty-First'!G45)</f>
        <v/>
      </c>
      <c r="H7542" s="67" t="str">
        <f>IF('Thirty-First'!H45="", "",'Thirty-First'!H45)</f>
        <v/>
      </c>
      <c r="I7542" s="67" t="str">
        <f>IF('Thirty-First'!I45="", "",'Thirty-First'!I45)</f>
        <v/>
      </c>
      <c r="J7542" s="67" t="str">
        <f>IF('Thirty-First'!J45="", "",'Thirty-First'!J45)</f>
        <v/>
      </c>
      <c r="K7542" s="76" t="str">
        <f>IF('Thirty-First'!K45="", "",'Thirty-First'!K45)</f>
        <v/>
      </c>
      <c r="M7542" s="67" t="str">
        <f t="shared" si="362"/>
        <v/>
      </c>
      <c r="N7542" s="76" t="str">
        <f t="shared" si="363"/>
        <v/>
      </c>
      <c r="O7542" s="33">
        <f t="shared" si="364"/>
        <v>0</v>
      </c>
    </row>
    <row r="7543" spans="1:15" x14ac:dyDescent="0.25">
      <c r="A7543" s="94" t="s">
        <v>197</v>
      </c>
      <c r="B7543" s="66" t="str">
        <f>IF('Thirty-First'!B46="", "",'Thirty-First'!B46)</f>
        <v/>
      </c>
      <c r="C7543" s="67" t="str">
        <f>IF('Thirty-First'!C46="", "",'Thirty-First'!C46)</f>
        <v/>
      </c>
      <c r="D7543" s="67" t="str">
        <f>IF('Thirty-First'!D46="", "",'Thirty-First'!D46)</f>
        <v/>
      </c>
      <c r="E7543" s="67" t="str">
        <f>IF('Thirty-First'!E46="", "",'Thirty-First'!E46)</f>
        <v/>
      </c>
      <c r="F7543" s="67" t="str">
        <f>IF('Thirty-First'!F46="", "",'Thirty-First'!F46)</f>
        <v/>
      </c>
      <c r="G7543" s="67" t="str">
        <f>IF('Thirty-First'!G46="", "",'Thirty-First'!G46)</f>
        <v/>
      </c>
      <c r="H7543" s="67" t="str">
        <f>IF('Thirty-First'!H46="", "",'Thirty-First'!H46)</f>
        <v/>
      </c>
      <c r="I7543" s="67" t="str">
        <f>IF('Thirty-First'!I46="", "",'Thirty-First'!I46)</f>
        <v/>
      </c>
      <c r="J7543" s="67" t="str">
        <f>IF('Thirty-First'!J46="", "",'Thirty-First'!J46)</f>
        <v/>
      </c>
      <c r="K7543" s="76" t="str">
        <f>IF('Thirty-First'!K46="", "",'Thirty-First'!K46)</f>
        <v/>
      </c>
      <c r="M7543" s="67" t="str">
        <f t="shared" si="362"/>
        <v/>
      </c>
      <c r="N7543" s="76" t="str">
        <f t="shared" si="363"/>
        <v/>
      </c>
      <c r="O7543" s="33">
        <f t="shared" si="364"/>
        <v>0</v>
      </c>
    </row>
    <row r="7544" spans="1:15" x14ac:dyDescent="0.25">
      <c r="A7544" s="94" t="s">
        <v>197</v>
      </c>
      <c r="B7544" s="66" t="str">
        <f>IF('Thirty-First'!B47="", "",'Thirty-First'!B47)</f>
        <v/>
      </c>
      <c r="C7544" s="67" t="str">
        <f>IF('Thirty-First'!C47="", "",'Thirty-First'!C47)</f>
        <v/>
      </c>
      <c r="D7544" s="67" t="str">
        <f>IF('Thirty-First'!D47="", "",'Thirty-First'!D47)</f>
        <v/>
      </c>
      <c r="E7544" s="67" t="str">
        <f>IF('Thirty-First'!E47="", "",'Thirty-First'!E47)</f>
        <v/>
      </c>
      <c r="F7544" s="67" t="str">
        <f>IF('Thirty-First'!F47="", "",'Thirty-First'!F47)</f>
        <v/>
      </c>
      <c r="G7544" s="67" t="str">
        <f>IF('Thirty-First'!G47="", "",'Thirty-First'!G47)</f>
        <v/>
      </c>
      <c r="H7544" s="67" t="str">
        <f>IF('Thirty-First'!H47="", "",'Thirty-First'!H47)</f>
        <v/>
      </c>
      <c r="I7544" s="67" t="str">
        <f>IF('Thirty-First'!I47="", "",'Thirty-First'!I47)</f>
        <v/>
      </c>
      <c r="J7544" s="67" t="str">
        <f>IF('Thirty-First'!J47="", "",'Thirty-First'!J47)</f>
        <v/>
      </c>
      <c r="K7544" s="76" t="str">
        <f>IF('Thirty-First'!K47="", "",'Thirty-First'!K47)</f>
        <v/>
      </c>
      <c r="M7544" s="67" t="str">
        <f t="shared" si="362"/>
        <v/>
      </c>
      <c r="N7544" s="76" t="str">
        <f t="shared" si="363"/>
        <v/>
      </c>
      <c r="O7544" s="33">
        <f t="shared" si="364"/>
        <v>0</v>
      </c>
    </row>
    <row r="7545" spans="1:15" x14ac:dyDescent="0.25">
      <c r="A7545" s="94" t="s">
        <v>197</v>
      </c>
      <c r="B7545" s="66" t="str">
        <f>IF('Thirty-First'!B48="", "",'Thirty-First'!B48)</f>
        <v/>
      </c>
      <c r="C7545" s="67" t="str">
        <f>IF('Thirty-First'!C48="", "",'Thirty-First'!C48)</f>
        <v/>
      </c>
      <c r="D7545" s="67" t="str">
        <f>IF('Thirty-First'!D48="", "",'Thirty-First'!D48)</f>
        <v/>
      </c>
      <c r="E7545" s="67" t="str">
        <f>IF('Thirty-First'!E48="", "",'Thirty-First'!E48)</f>
        <v/>
      </c>
      <c r="F7545" s="67" t="str">
        <f>IF('Thirty-First'!F48="", "",'Thirty-First'!F48)</f>
        <v/>
      </c>
      <c r="G7545" s="67" t="str">
        <f>IF('Thirty-First'!G48="", "",'Thirty-First'!G48)</f>
        <v/>
      </c>
      <c r="H7545" s="67" t="str">
        <f>IF('Thirty-First'!H48="", "",'Thirty-First'!H48)</f>
        <v/>
      </c>
      <c r="I7545" s="67" t="str">
        <f>IF('Thirty-First'!I48="", "",'Thirty-First'!I48)</f>
        <v/>
      </c>
      <c r="J7545" s="67" t="str">
        <f>IF('Thirty-First'!J48="", "",'Thirty-First'!J48)</f>
        <v/>
      </c>
      <c r="K7545" s="76" t="str">
        <f>IF('Thirty-First'!K48="", "",'Thirty-First'!K48)</f>
        <v/>
      </c>
      <c r="M7545" s="67" t="str">
        <f t="shared" si="362"/>
        <v/>
      </c>
      <c r="N7545" s="76" t="str">
        <f t="shared" si="363"/>
        <v/>
      </c>
      <c r="O7545" s="33">
        <f t="shared" si="364"/>
        <v>0</v>
      </c>
    </row>
    <row r="7546" spans="1:15" x14ac:dyDescent="0.25">
      <c r="A7546" s="94" t="s">
        <v>197</v>
      </c>
      <c r="B7546" s="66" t="str">
        <f>IF('Thirty-First'!B49="", "",'Thirty-First'!B49)</f>
        <v/>
      </c>
      <c r="C7546" s="67" t="str">
        <f>IF('Thirty-First'!C49="", "",'Thirty-First'!C49)</f>
        <v/>
      </c>
      <c r="D7546" s="67" t="str">
        <f>IF('Thirty-First'!D49="", "",'Thirty-First'!D49)</f>
        <v/>
      </c>
      <c r="E7546" s="67" t="str">
        <f>IF('Thirty-First'!E49="", "",'Thirty-First'!E49)</f>
        <v/>
      </c>
      <c r="F7546" s="67" t="str">
        <f>IF('Thirty-First'!F49="", "",'Thirty-First'!F49)</f>
        <v/>
      </c>
      <c r="G7546" s="67" t="str">
        <f>IF('Thirty-First'!G49="", "",'Thirty-First'!G49)</f>
        <v/>
      </c>
      <c r="H7546" s="67" t="str">
        <f>IF('Thirty-First'!H49="", "",'Thirty-First'!H49)</f>
        <v/>
      </c>
      <c r="I7546" s="67" t="str">
        <f>IF('Thirty-First'!I49="", "",'Thirty-First'!I49)</f>
        <v/>
      </c>
      <c r="J7546" s="67" t="str">
        <f>IF('Thirty-First'!J49="", "",'Thirty-First'!J49)</f>
        <v/>
      </c>
      <c r="K7546" s="76" t="str">
        <f>IF('Thirty-First'!K49="", "",'Thirty-First'!K49)</f>
        <v/>
      </c>
      <c r="M7546" s="67" t="str">
        <f t="shared" si="362"/>
        <v/>
      </c>
      <c r="N7546" s="76" t="str">
        <f t="shared" si="363"/>
        <v/>
      </c>
      <c r="O7546" s="33">
        <f t="shared" si="364"/>
        <v>0</v>
      </c>
    </row>
    <row r="7547" spans="1:15" x14ac:dyDescent="0.25">
      <c r="A7547" s="94" t="s">
        <v>197</v>
      </c>
      <c r="B7547" s="66" t="str">
        <f>IF('Thirty-First'!B50="", "",'Thirty-First'!B50)</f>
        <v/>
      </c>
      <c r="C7547" s="67" t="str">
        <f>IF('Thirty-First'!C50="", "",'Thirty-First'!C50)</f>
        <v/>
      </c>
      <c r="D7547" s="67" t="str">
        <f>IF('Thirty-First'!D50="", "",'Thirty-First'!D50)</f>
        <v/>
      </c>
      <c r="E7547" s="67" t="str">
        <f>IF('Thirty-First'!E50="", "",'Thirty-First'!E50)</f>
        <v/>
      </c>
      <c r="F7547" s="67" t="str">
        <f>IF('Thirty-First'!F50="", "",'Thirty-First'!F50)</f>
        <v/>
      </c>
      <c r="G7547" s="67" t="str">
        <f>IF('Thirty-First'!G50="", "",'Thirty-First'!G50)</f>
        <v/>
      </c>
      <c r="H7547" s="67" t="str">
        <f>IF('Thirty-First'!H50="", "",'Thirty-First'!H50)</f>
        <v/>
      </c>
      <c r="I7547" s="67" t="str">
        <f>IF('Thirty-First'!I50="", "",'Thirty-First'!I50)</f>
        <v/>
      </c>
      <c r="J7547" s="67" t="str">
        <f>IF('Thirty-First'!J50="", "",'Thirty-First'!J50)</f>
        <v/>
      </c>
      <c r="K7547" s="76" t="str">
        <f>IF('Thirty-First'!K50="", "",'Thirty-First'!K50)</f>
        <v/>
      </c>
      <c r="M7547" s="67" t="str">
        <f t="shared" si="362"/>
        <v/>
      </c>
      <c r="N7547" s="76" t="str">
        <f t="shared" si="363"/>
        <v/>
      </c>
      <c r="O7547" s="33">
        <f t="shared" si="364"/>
        <v>0</v>
      </c>
    </row>
    <row r="7548" spans="1:15" x14ac:dyDescent="0.25">
      <c r="A7548" s="94" t="s">
        <v>197</v>
      </c>
      <c r="B7548" s="66" t="str">
        <f>IF('Thirty-First'!B51="", "",'Thirty-First'!B51)</f>
        <v/>
      </c>
      <c r="C7548" s="67" t="str">
        <f>IF('Thirty-First'!C51="", "",'Thirty-First'!C51)</f>
        <v/>
      </c>
      <c r="D7548" s="67" t="str">
        <f>IF('Thirty-First'!D51="", "",'Thirty-First'!D51)</f>
        <v/>
      </c>
      <c r="E7548" s="67" t="str">
        <f>IF('Thirty-First'!E51="", "",'Thirty-First'!E51)</f>
        <v/>
      </c>
      <c r="F7548" s="67" t="str">
        <f>IF('Thirty-First'!F51="", "",'Thirty-First'!F51)</f>
        <v/>
      </c>
      <c r="G7548" s="67" t="str">
        <f>IF('Thirty-First'!G51="", "",'Thirty-First'!G51)</f>
        <v/>
      </c>
      <c r="H7548" s="67" t="str">
        <f>IF('Thirty-First'!H51="", "",'Thirty-First'!H51)</f>
        <v/>
      </c>
      <c r="I7548" s="67" t="str">
        <f>IF('Thirty-First'!I51="", "",'Thirty-First'!I51)</f>
        <v/>
      </c>
      <c r="J7548" s="67" t="str">
        <f>IF('Thirty-First'!J51="", "",'Thirty-First'!J51)</f>
        <v/>
      </c>
      <c r="K7548" s="76" t="str">
        <f>IF('Thirty-First'!K51="", "",'Thirty-First'!K51)</f>
        <v/>
      </c>
      <c r="M7548" s="67" t="str">
        <f t="shared" si="362"/>
        <v/>
      </c>
      <c r="N7548" s="76" t="str">
        <f t="shared" si="363"/>
        <v/>
      </c>
      <c r="O7548" s="33">
        <f t="shared" si="364"/>
        <v>0</v>
      </c>
    </row>
    <row r="7549" spans="1:15" x14ac:dyDescent="0.25">
      <c r="A7549" s="94" t="s">
        <v>197</v>
      </c>
      <c r="B7549" s="66" t="str">
        <f>IF('Thirty-First'!B52="", "",'Thirty-First'!B52)</f>
        <v/>
      </c>
      <c r="C7549" s="67" t="str">
        <f>IF('Thirty-First'!C52="", "",'Thirty-First'!C52)</f>
        <v/>
      </c>
      <c r="D7549" s="67" t="str">
        <f>IF('Thirty-First'!D52="", "",'Thirty-First'!D52)</f>
        <v/>
      </c>
      <c r="E7549" s="67" t="str">
        <f>IF('Thirty-First'!E52="", "",'Thirty-First'!E52)</f>
        <v/>
      </c>
      <c r="F7549" s="67" t="str">
        <f>IF('Thirty-First'!F52="", "",'Thirty-First'!F52)</f>
        <v/>
      </c>
      <c r="G7549" s="67" t="str">
        <f>IF('Thirty-First'!G52="", "",'Thirty-First'!G52)</f>
        <v/>
      </c>
      <c r="H7549" s="67" t="str">
        <f>IF('Thirty-First'!H52="", "",'Thirty-First'!H52)</f>
        <v/>
      </c>
      <c r="I7549" s="67" t="str">
        <f>IF('Thirty-First'!I52="", "",'Thirty-First'!I52)</f>
        <v/>
      </c>
      <c r="J7549" s="67" t="str">
        <f>IF('Thirty-First'!J52="", "",'Thirty-First'!J52)</f>
        <v/>
      </c>
      <c r="K7549" s="76" t="str">
        <f>IF('Thirty-First'!K52="", "",'Thirty-First'!K52)</f>
        <v/>
      </c>
      <c r="M7549" s="67" t="str">
        <f t="shared" si="362"/>
        <v/>
      </c>
      <c r="N7549" s="76" t="str">
        <f t="shared" si="363"/>
        <v/>
      </c>
      <c r="O7549" s="33">
        <f t="shared" si="364"/>
        <v>0</v>
      </c>
    </row>
    <row r="7550" spans="1:15" x14ac:dyDescent="0.25">
      <c r="A7550" s="94" t="s">
        <v>197</v>
      </c>
      <c r="B7550" s="66" t="str">
        <f>IF('Thirty-First'!B53="", "",'Thirty-First'!B53)</f>
        <v/>
      </c>
      <c r="C7550" s="67" t="str">
        <f>IF('Thirty-First'!C53="", "",'Thirty-First'!C53)</f>
        <v/>
      </c>
      <c r="D7550" s="67" t="str">
        <f>IF('Thirty-First'!D53="", "",'Thirty-First'!D53)</f>
        <v/>
      </c>
      <c r="E7550" s="67" t="str">
        <f>IF('Thirty-First'!E53="", "",'Thirty-First'!E53)</f>
        <v/>
      </c>
      <c r="F7550" s="67" t="str">
        <f>IF('Thirty-First'!F53="", "",'Thirty-First'!F53)</f>
        <v/>
      </c>
      <c r="G7550" s="67" t="str">
        <f>IF('Thirty-First'!G53="", "",'Thirty-First'!G53)</f>
        <v/>
      </c>
      <c r="H7550" s="67" t="str">
        <f>IF('Thirty-First'!H53="", "",'Thirty-First'!H53)</f>
        <v/>
      </c>
      <c r="I7550" s="67" t="str">
        <f>IF('Thirty-First'!I53="", "",'Thirty-First'!I53)</f>
        <v/>
      </c>
      <c r="J7550" s="67" t="str">
        <f>IF('Thirty-First'!J53="", "",'Thirty-First'!J53)</f>
        <v/>
      </c>
      <c r="K7550" s="76" t="str">
        <f>IF('Thirty-First'!K53="", "",'Thirty-First'!K53)</f>
        <v/>
      </c>
      <c r="M7550" s="67" t="str">
        <f t="shared" si="362"/>
        <v/>
      </c>
      <c r="N7550" s="76" t="str">
        <f t="shared" si="363"/>
        <v/>
      </c>
      <c r="O7550" s="33">
        <f t="shared" si="364"/>
        <v>0</v>
      </c>
    </row>
    <row r="7551" spans="1:15" x14ac:dyDescent="0.25">
      <c r="A7551" s="94" t="s">
        <v>197</v>
      </c>
      <c r="B7551" s="66" t="str">
        <f>IF('Thirty-First'!B54="", "",'Thirty-First'!B54)</f>
        <v/>
      </c>
      <c r="C7551" s="67" t="str">
        <f>IF('Thirty-First'!C54="", "",'Thirty-First'!C54)</f>
        <v/>
      </c>
      <c r="D7551" s="67" t="str">
        <f>IF('Thirty-First'!D54="", "",'Thirty-First'!D54)</f>
        <v/>
      </c>
      <c r="E7551" s="67" t="str">
        <f>IF('Thirty-First'!E54="", "",'Thirty-First'!E54)</f>
        <v/>
      </c>
      <c r="F7551" s="67" t="str">
        <f>IF('Thirty-First'!F54="", "",'Thirty-First'!F54)</f>
        <v/>
      </c>
      <c r="G7551" s="67" t="str">
        <f>IF('Thirty-First'!G54="", "",'Thirty-First'!G54)</f>
        <v/>
      </c>
      <c r="H7551" s="67" t="str">
        <f>IF('Thirty-First'!H54="", "",'Thirty-First'!H54)</f>
        <v/>
      </c>
      <c r="I7551" s="67" t="str">
        <f>IF('Thirty-First'!I54="", "",'Thirty-First'!I54)</f>
        <v/>
      </c>
      <c r="J7551" s="67" t="str">
        <f>IF('Thirty-First'!J54="", "",'Thirty-First'!J54)</f>
        <v/>
      </c>
      <c r="K7551" s="76" t="str">
        <f>IF('Thirty-First'!K54="", "",'Thirty-First'!K54)</f>
        <v/>
      </c>
      <c r="M7551" s="67" t="str">
        <f t="shared" si="362"/>
        <v/>
      </c>
      <c r="N7551" s="76" t="str">
        <f t="shared" si="363"/>
        <v/>
      </c>
      <c r="O7551" s="33">
        <f t="shared" si="364"/>
        <v>0</v>
      </c>
    </row>
    <row r="7552" spans="1:15" x14ac:dyDescent="0.25">
      <c r="A7552" s="94" t="s">
        <v>197</v>
      </c>
      <c r="B7552" s="66" t="str">
        <f>IF('Thirty-First'!B55="", "",'Thirty-First'!B55)</f>
        <v/>
      </c>
      <c r="C7552" s="67" t="str">
        <f>IF('Thirty-First'!C55="", "",'Thirty-First'!C55)</f>
        <v/>
      </c>
      <c r="D7552" s="67" t="str">
        <f>IF('Thirty-First'!D55="", "",'Thirty-First'!D55)</f>
        <v/>
      </c>
      <c r="E7552" s="67" t="str">
        <f>IF('Thirty-First'!E55="", "",'Thirty-First'!E55)</f>
        <v/>
      </c>
      <c r="F7552" s="67" t="str">
        <f>IF('Thirty-First'!F55="", "",'Thirty-First'!F55)</f>
        <v/>
      </c>
      <c r="G7552" s="67" t="str">
        <f>IF('Thirty-First'!G55="", "",'Thirty-First'!G55)</f>
        <v/>
      </c>
      <c r="H7552" s="67" t="str">
        <f>IF('Thirty-First'!H55="", "",'Thirty-First'!H55)</f>
        <v/>
      </c>
      <c r="I7552" s="67" t="str">
        <f>IF('Thirty-First'!I55="", "",'Thirty-First'!I55)</f>
        <v/>
      </c>
      <c r="J7552" s="67" t="str">
        <f>IF('Thirty-First'!J55="", "",'Thirty-First'!J55)</f>
        <v/>
      </c>
      <c r="K7552" s="76" t="str">
        <f>IF('Thirty-First'!K55="", "",'Thirty-First'!K55)</f>
        <v/>
      </c>
      <c r="M7552" s="67" t="str">
        <f t="shared" si="362"/>
        <v/>
      </c>
      <c r="N7552" s="76" t="str">
        <f t="shared" si="363"/>
        <v/>
      </c>
      <c r="O7552" s="33">
        <f t="shared" si="364"/>
        <v>0</v>
      </c>
    </row>
    <row r="7553" spans="1:15" x14ac:dyDescent="0.25">
      <c r="A7553" s="94" t="s">
        <v>197</v>
      </c>
      <c r="B7553" s="66" t="str">
        <f>IF('Thirty-First'!B56="", "",'Thirty-First'!B56)</f>
        <v/>
      </c>
      <c r="C7553" s="67" t="str">
        <f>IF('Thirty-First'!C56="", "",'Thirty-First'!C56)</f>
        <v/>
      </c>
      <c r="D7553" s="67" t="str">
        <f>IF('Thirty-First'!D56="", "",'Thirty-First'!D56)</f>
        <v/>
      </c>
      <c r="E7553" s="67" t="str">
        <f>IF('Thirty-First'!E56="", "",'Thirty-First'!E56)</f>
        <v/>
      </c>
      <c r="F7553" s="67" t="str">
        <f>IF('Thirty-First'!F56="", "",'Thirty-First'!F56)</f>
        <v/>
      </c>
      <c r="G7553" s="67" t="str">
        <f>IF('Thirty-First'!G56="", "",'Thirty-First'!G56)</f>
        <v/>
      </c>
      <c r="H7553" s="67" t="str">
        <f>IF('Thirty-First'!H56="", "",'Thirty-First'!H56)</f>
        <v/>
      </c>
      <c r="I7553" s="67" t="str">
        <f>IF('Thirty-First'!I56="", "",'Thirty-First'!I56)</f>
        <v/>
      </c>
      <c r="J7553" s="67" t="str">
        <f>IF('Thirty-First'!J56="", "",'Thirty-First'!J56)</f>
        <v/>
      </c>
      <c r="K7553" s="76" t="str">
        <f>IF('Thirty-First'!K56="", "",'Thirty-First'!K56)</f>
        <v/>
      </c>
      <c r="M7553" s="67" t="str">
        <f t="shared" si="362"/>
        <v/>
      </c>
      <c r="N7553" s="76" t="str">
        <f t="shared" si="363"/>
        <v/>
      </c>
      <c r="O7553" s="33">
        <f t="shared" si="364"/>
        <v>0</v>
      </c>
    </row>
    <row r="7554" spans="1:15" x14ac:dyDescent="0.25">
      <c r="A7554" s="94" t="s">
        <v>197</v>
      </c>
      <c r="B7554" s="66" t="str">
        <f>IF('Thirty-First'!B57="", "",'Thirty-First'!B57)</f>
        <v/>
      </c>
      <c r="C7554" s="67" t="str">
        <f>IF('Thirty-First'!C57="", "",'Thirty-First'!C57)</f>
        <v/>
      </c>
      <c r="D7554" s="67" t="str">
        <f>IF('Thirty-First'!D57="", "",'Thirty-First'!D57)</f>
        <v/>
      </c>
      <c r="E7554" s="67" t="str">
        <f>IF('Thirty-First'!E57="", "",'Thirty-First'!E57)</f>
        <v/>
      </c>
      <c r="F7554" s="67" t="str">
        <f>IF('Thirty-First'!F57="", "",'Thirty-First'!F57)</f>
        <v/>
      </c>
      <c r="G7554" s="67" t="str">
        <f>IF('Thirty-First'!G57="", "",'Thirty-First'!G57)</f>
        <v/>
      </c>
      <c r="H7554" s="67" t="str">
        <f>IF('Thirty-First'!H57="", "",'Thirty-First'!H57)</f>
        <v/>
      </c>
      <c r="I7554" s="67" t="str">
        <f>IF('Thirty-First'!I57="", "",'Thirty-First'!I57)</f>
        <v/>
      </c>
      <c r="J7554" s="67" t="str">
        <f>IF('Thirty-First'!J57="", "",'Thirty-First'!J57)</f>
        <v/>
      </c>
      <c r="K7554" s="76" t="str">
        <f>IF('Thirty-First'!K57="", "",'Thirty-First'!K57)</f>
        <v/>
      </c>
      <c r="M7554" s="67" t="str">
        <f t="shared" si="362"/>
        <v/>
      </c>
      <c r="N7554" s="76" t="str">
        <f t="shared" si="363"/>
        <v/>
      </c>
      <c r="O7554" s="33">
        <f t="shared" si="364"/>
        <v>0</v>
      </c>
    </row>
    <row r="7555" spans="1:15" x14ac:dyDescent="0.25">
      <c r="A7555" s="94" t="s">
        <v>197</v>
      </c>
      <c r="B7555" s="66" t="str">
        <f>IF('Thirty-First'!B58="", "",'Thirty-First'!B58)</f>
        <v/>
      </c>
      <c r="C7555" s="67" t="str">
        <f>IF('Thirty-First'!C58="", "",'Thirty-First'!C58)</f>
        <v/>
      </c>
      <c r="D7555" s="67" t="str">
        <f>IF('Thirty-First'!D58="", "",'Thirty-First'!D58)</f>
        <v/>
      </c>
      <c r="E7555" s="67" t="str">
        <f>IF('Thirty-First'!E58="", "",'Thirty-First'!E58)</f>
        <v/>
      </c>
      <c r="F7555" s="67" t="str">
        <f>IF('Thirty-First'!F58="", "",'Thirty-First'!F58)</f>
        <v/>
      </c>
      <c r="G7555" s="67" t="str">
        <f>IF('Thirty-First'!G58="", "",'Thirty-First'!G58)</f>
        <v/>
      </c>
      <c r="H7555" s="67" t="str">
        <f>IF('Thirty-First'!H58="", "",'Thirty-First'!H58)</f>
        <v/>
      </c>
      <c r="I7555" s="67" t="str">
        <f>IF('Thirty-First'!I58="", "",'Thirty-First'!I58)</f>
        <v/>
      </c>
      <c r="J7555" s="67" t="str">
        <f>IF('Thirty-First'!J58="", "",'Thirty-First'!J58)</f>
        <v/>
      </c>
      <c r="K7555" s="76" t="str">
        <f>IF('Thirty-First'!K58="", "",'Thirty-First'!K58)</f>
        <v/>
      </c>
      <c r="M7555" s="67" t="str">
        <f t="shared" si="362"/>
        <v/>
      </c>
      <c r="N7555" s="76" t="str">
        <f t="shared" si="363"/>
        <v/>
      </c>
      <c r="O7555" s="33">
        <f t="shared" si="364"/>
        <v>0</v>
      </c>
    </row>
    <row r="7556" spans="1:15" x14ac:dyDescent="0.25">
      <c r="A7556" s="94" t="s">
        <v>197</v>
      </c>
      <c r="B7556" s="66" t="str">
        <f>IF('Thirty-First'!B59="", "",'Thirty-First'!B59)</f>
        <v/>
      </c>
      <c r="C7556" s="67" t="str">
        <f>IF('Thirty-First'!C59="", "",'Thirty-First'!C59)</f>
        <v/>
      </c>
      <c r="D7556" s="67" t="str">
        <f>IF('Thirty-First'!D59="", "",'Thirty-First'!D59)</f>
        <v/>
      </c>
      <c r="E7556" s="67" t="str">
        <f>IF('Thirty-First'!E59="", "",'Thirty-First'!E59)</f>
        <v/>
      </c>
      <c r="F7556" s="67" t="str">
        <f>IF('Thirty-First'!F59="", "",'Thirty-First'!F59)</f>
        <v/>
      </c>
      <c r="G7556" s="67" t="str">
        <f>IF('Thirty-First'!G59="", "",'Thirty-First'!G59)</f>
        <v/>
      </c>
      <c r="H7556" s="67" t="str">
        <f>IF('Thirty-First'!H59="", "",'Thirty-First'!H59)</f>
        <v/>
      </c>
      <c r="I7556" s="67" t="str">
        <f>IF('Thirty-First'!I59="", "",'Thirty-First'!I59)</f>
        <v/>
      </c>
      <c r="J7556" s="67" t="str">
        <f>IF('Thirty-First'!J59="", "",'Thirty-First'!J59)</f>
        <v/>
      </c>
      <c r="K7556" s="76" t="str">
        <f>IF('Thirty-First'!K59="", "",'Thirty-First'!K59)</f>
        <v/>
      </c>
      <c r="M7556" s="67" t="str">
        <f t="shared" si="362"/>
        <v/>
      </c>
      <c r="N7556" s="76" t="str">
        <f t="shared" si="363"/>
        <v/>
      </c>
      <c r="O7556" s="33">
        <f t="shared" si="364"/>
        <v>0</v>
      </c>
    </row>
    <row r="7557" spans="1:15" x14ac:dyDescent="0.25">
      <c r="A7557" s="94" t="s">
        <v>197</v>
      </c>
      <c r="B7557" s="66" t="str">
        <f>IF('Thirty-First'!B60="", "",'Thirty-First'!B60)</f>
        <v/>
      </c>
      <c r="C7557" s="67" t="str">
        <f>IF('Thirty-First'!C60="", "",'Thirty-First'!C60)</f>
        <v/>
      </c>
      <c r="D7557" s="67" t="str">
        <f>IF('Thirty-First'!D60="", "",'Thirty-First'!D60)</f>
        <v/>
      </c>
      <c r="E7557" s="67" t="str">
        <f>IF('Thirty-First'!E60="", "",'Thirty-First'!E60)</f>
        <v/>
      </c>
      <c r="F7557" s="67" t="str">
        <f>IF('Thirty-First'!F60="", "",'Thirty-First'!F60)</f>
        <v/>
      </c>
      <c r="G7557" s="67" t="str">
        <f>IF('Thirty-First'!G60="", "",'Thirty-First'!G60)</f>
        <v/>
      </c>
      <c r="H7557" s="67" t="str">
        <f>IF('Thirty-First'!H60="", "",'Thirty-First'!H60)</f>
        <v/>
      </c>
      <c r="I7557" s="67" t="str">
        <f>IF('Thirty-First'!I60="", "",'Thirty-First'!I60)</f>
        <v/>
      </c>
      <c r="J7557" s="67" t="str">
        <f>IF('Thirty-First'!J60="", "",'Thirty-First'!J60)</f>
        <v/>
      </c>
      <c r="K7557" s="76" t="str">
        <f>IF('Thirty-First'!K60="", "",'Thirty-First'!K60)</f>
        <v/>
      </c>
      <c r="M7557" s="67" t="str">
        <f t="shared" si="362"/>
        <v/>
      </c>
      <c r="N7557" s="76" t="str">
        <f t="shared" si="363"/>
        <v/>
      </c>
      <c r="O7557" s="33">
        <f t="shared" si="364"/>
        <v>0</v>
      </c>
    </row>
    <row r="7558" spans="1:15" x14ac:dyDescent="0.25">
      <c r="A7558" s="94" t="s">
        <v>197</v>
      </c>
      <c r="B7558" s="66" t="str">
        <f>IF('Thirty-First'!B61="", "",'Thirty-First'!B61)</f>
        <v/>
      </c>
      <c r="C7558" s="67" t="str">
        <f>IF('Thirty-First'!C61="", "",'Thirty-First'!C61)</f>
        <v/>
      </c>
      <c r="D7558" s="67" t="str">
        <f>IF('Thirty-First'!D61="", "",'Thirty-First'!D61)</f>
        <v/>
      </c>
      <c r="E7558" s="67" t="str">
        <f>IF('Thirty-First'!E61="", "",'Thirty-First'!E61)</f>
        <v/>
      </c>
      <c r="F7558" s="67" t="str">
        <f>IF('Thirty-First'!F61="", "",'Thirty-First'!F61)</f>
        <v/>
      </c>
      <c r="G7558" s="67" t="str">
        <f>IF('Thirty-First'!G61="", "",'Thirty-First'!G61)</f>
        <v/>
      </c>
      <c r="H7558" s="67" t="str">
        <f>IF('Thirty-First'!H61="", "",'Thirty-First'!H61)</f>
        <v/>
      </c>
      <c r="I7558" s="67" t="str">
        <f>IF('Thirty-First'!I61="", "",'Thirty-First'!I61)</f>
        <v/>
      </c>
      <c r="J7558" s="67" t="str">
        <f>IF('Thirty-First'!J61="", "",'Thirty-First'!J61)</f>
        <v/>
      </c>
      <c r="K7558" s="76" t="str">
        <f>IF('Thirty-First'!K61="", "",'Thirty-First'!K61)</f>
        <v/>
      </c>
      <c r="M7558" s="67" t="str">
        <f t="shared" si="362"/>
        <v/>
      </c>
      <c r="N7558" s="76" t="str">
        <f t="shared" si="363"/>
        <v/>
      </c>
      <c r="O7558" s="33">
        <f t="shared" si="364"/>
        <v>0</v>
      </c>
    </row>
    <row r="7559" spans="1:15" x14ac:dyDescent="0.25">
      <c r="A7559" s="94" t="s">
        <v>197</v>
      </c>
      <c r="B7559" s="66" t="str">
        <f>IF('Thirty-First'!B62="", "",'Thirty-First'!B62)</f>
        <v/>
      </c>
      <c r="C7559" s="67" t="str">
        <f>IF('Thirty-First'!C62="", "",'Thirty-First'!C62)</f>
        <v/>
      </c>
      <c r="D7559" s="67" t="str">
        <f>IF('Thirty-First'!D62="", "",'Thirty-First'!D62)</f>
        <v/>
      </c>
      <c r="E7559" s="67" t="str">
        <f>IF('Thirty-First'!E62="", "",'Thirty-First'!E62)</f>
        <v/>
      </c>
      <c r="F7559" s="67" t="str">
        <f>IF('Thirty-First'!F62="", "",'Thirty-First'!F62)</f>
        <v/>
      </c>
      <c r="G7559" s="67" t="str">
        <f>IF('Thirty-First'!G62="", "",'Thirty-First'!G62)</f>
        <v/>
      </c>
      <c r="H7559" s="67" t="str">
        <f>IF('Thirty-First'!H62="", "",'Thirty-First'!H62)</f>
        <v/>
      </c>
      <c r="I7559" s="67" t="str">
        <f>IF('Thirty-First'!I62="", "",'Thirty-First'!I62)</f>
        <v/>
      </c>
      <c r="J7559" s="67" t="str">
        <f>IF('Thirty-First'!J62="", "",'Thirty-First'!J62)</f>
        <v/>
      </c>
      <c r="K7559" s="76" t="str">
        <f>IF('Thirty-First'!K62="", "",'Thirty-First'!K62)</f>
        <v/>
      </c>
      <c r="M7559" s="67" t="str">
        <f t="shared" si="362"/>
        <v/>
      </c>
      <c r="N7559" s="76" t="str">
        <f t="shared" si="363"/>
        <v/>
      </c>
      <c r="O7559" s="33">
        <f t="shared" si="364"/>
        <v>0</v>
      </c>
    </row>
    <row r="7560" spans="1:15" x14ac:dyDescent="0.25">
      <c r="A7560" s="94" t="s">
        <v>197</v>
      </c>
      <c r="B7560" s="66" t="str">
        <f>IF('Thirty-First'!B63="", "",'Thirty-First'!B63)</f>
        <v/>
      </c>
      <c r="C7560" s="67" t="str">
        <f>IF('Thirty-First'!C63="", "",'Thirty-First'!C63)</f>
        <v/>
      </c>
      <c r="D7560" s="67" t="str">
        <f>IF('Thirty-First'!D63="", "",'Thirty-First'!D63)</f>
        <v/>
      </c>
      <c r="E7560" s="67" t="str">
        <f>IF('Thirty-First'!E63="", "",'Thirty-First'!E63)</f>
        <v/>
      </c>
      <c r="F7560" s="67" t="str">
        <f>IF('Thirty-First'!F63="", "",'Thirty-First'!F63)</f>
        <v/>
      </c>
      <c r="G7560" s="67" t="str">
        <f>IF('Thirty-First'!G63="", "",'Thirty-First'!G63)</f>
        <v/>
      </c>
      <c r="H7560" s="67" t="str">
        <f>IF('Thirty-First'!H63="", "",'Thirty-First'!H63)</f>
        <v/>
      </c>
      <c r="I7560" s="67" t="str">
        <f>IF('Thirty-First'!I63="", "",'Thirty-First'!I63)</f>
        <v/>
      </c>
      <c r="J7560" s="67" t="str">
        <f>IF('Thirty-First'!J63="", "",'Thirty-First'!J63)</f>
        <v/>
      </c>
      <c r="K7560" s="76" t="str">
        <f>IF('Thirty-First'!K63="", "",'Thirty-First'!K63)</f>
        <v/>
      </c>
      <c r="M7560" s="67" t="str">
        <f t="shared" si="362"/>
        <v/>
      </c>
      <c r="N7560" s="76" t="str">
        <f t="shared" si="363"/>
        <v/>
      </c>
      <c r="O7560" s="33">
        <f t="shared" si="364"/>
        <v>0</v>
      </c>
    </row>
    <row r="7561" spans="1:15" x14ac:dyDescent="0.25">
      <c r="A7561" s="94" t="s">
        <v>197</v>
      </c>
      <c r="B7561" s="66" t="str">
        <f>IF('Thirty-First'!B64="", "",'Thirty-First'!B64)</f>
        <v/>
      </c>
      <c r="C7561" s="67" t="str">
        <f>IF('Thirty-First'!C64="", "",'Thirty-First'!C64)</f>
        <v/>
      </c>
      <c r="D7561" s="67" t="str">
        <f>IF('Thirty-First'!D64="", "",'Thirty-First'!D64)</f>
        <v/>
      </c>
      <c r="E7561" s="67" t="str">
        <f>IF('Thirty-First'!E64="", "",'Thirty-First'!E64)</f>
        <v/>
      </c>
      <c r="F7561" s="67" t="str">
        <f>IF('Thirty-First'!F64="", "",'Thirty-First'!F64)</f>
        <v/>
      </c>
      <c r="G7561" s="67" t="str">
        <f>IF('Thirty-First'!G64="", "",'Thirty-First'!G64)</f>
        <v/>
      </c>
      <c r="H7561" s="67" t="str">
        <f>IF('Thirty-First'!H64="", "",'Thirty-First'!H64)</f>
        <v/>
      </c>
      <c r="I7561" s="67" t="str">
        <f>IF('Thirty-First'!I64="", "",'Thirty-First'!I64)</f>
        <v/>
      </c>
      <c r="J7561" s="67" t="str">
        <f>IF('Thirty-First'!J64="", "",'Thirty-First'!J64)</f>
        <v/>
      </c>
      <c r="K7561" s="76" t="str">
        <f>IF('Thirty-First'!K64="", "",'Thirty-First'!K64)</f>
        <v/>
      </c>
      <c r="M7561" s="67" t="str">
        <f t="shared" si="362"/>
        <v/>
      </c>
      <c r="N7561" s="76" t="str">
        <f t="shared" si="363"/>
        <v/>
      </c>
      <c r="O7561" s="33">
        <f t="shared" si="364"/>
        <v>0</v>
      </c>
    </row>
    <row r="7562" spans="1:15" x14ac:dyDescent="0.25">
      <c r="A7562" s="94" t="s">
        <v>197</v>
      </c>
      <c r="B7562" s="66" t="str">
        <f>IF('Thirty-First'!B65="", "",'Thirty-First'!B65)</f>
        <v/>
      </c>
      <c r="C7562" s="67" t="str">
        <f>IF('Thirty-First'!C65="", "",'Thirty-First'!C65)</f>
        <v/>
      </c>
      <c r="D7562" s="67" t="str">
        <f>IF('Thirty-First'!D65="", "",'Thirty-First'!D65)</f>
        <v/>
      </c>
      <c r="E7562" s="67" t="str">
        <f>IF('Thirty-First'!E65="", "",'Thirty-First'!E65)</f>
        <v/>
      </c>
      <c r="F7562" s="67" t="str">
        <f>IF('Thirty-First'!F65="", "",'Thirty-First'!F65)</f>
        <v/>
      </c>
      <c r="G7562" s="67" t="str">
        <f>IF('Thirty-First'!G65="", "",'Thirty-First'!G65)</f>
        <v/>
      </c>
      <c r="H7562" s="67" t="str">
        <f>IF('Thirty-First'!H65="", "",'Thirty-First'!H65)</f>
        <v/>
      </c>
      <c r="I7562" s="67" t="str">
        <f>IF('Thirty-First'!I65="", "",'Thirty-First'!I65)</f>
        <v/>
      </c>
      <c r="J7562" s="67" t="str">
        <f>IF('Thirty-First'!J65="", "",'Thirty-First'!J65)</f>
        <v/>
      </c>
      <c r="K7562" s="76" t="str">
        <f>IF('Thirty-First'!K65="", "",'Thirty-First'!K65)</f>
        <v/>
      </c>
      <c r="M7562" s="67" t="str">
        <f t="shared" si="362"/>
        <v/>
      </c>
      <c r="N7562" s="76" t="str">
        <f t="shared" si="363"/>
        <v/>
      </c>
      <c r="O7562" s="33">
        <f t="shared" si="364"/>
        <v>0</v>
      </c>
    </row>
    <row r="7563" spans="1:15" x14ac:dyDescent="0.25">
      <c r="A7563" s="94" t="s">
        <v>197</v>
      </c>
      <c r="B7563" s="66" t="str">
        <f>IF('Thirty-First'!B66="", "",'Thirty-First'!B66)</f>
        <v/>
      </c>
      <c r="C7563" s="67" t="str">
        <f>IF('Thirty-First'!C66="", "",'Thirty-First'!C66)</f>
        <v/>
      </c>
      <c r="D7563" s="67" t="str">
        <f>IF('Thirty-First'!D66="", "",'Thirty-First'!D66)</f>
        <v/>
      </c>
      <c r="E7563" s="67" t="str">
        <f>IF('Thirty-First'!E66="", "",'Thirty-First'!E66)</f>
        <v/>
      </c>
      <c r="F7563" s="67" t="str">
        <f>IF('Thirty-First'!F66="", "",'Thirty-First'!F66)</f>
        <v/>
      </c>
      <c r="G7563" s="67" t="str">
        <f>IF('Thirty-First'!G66="", "",'Thirty-First'!G66)</f>
        <v/>
      </c>
      <c r="H7563" s="67" t="str">
        <f>IF('Thirty-First'!H66="", "",'Thirty-First'!H66)</f>
        <v/>
      </c>
      <c r="I7563" s="67" t="str">
        <f>IF('Thirty-First'!I66="", "",'Thirty-First'!I66)</f>
        <v/>
      </c>
      <c r="J7563" s="67" t="str">
        <f>IF('Thirty-First'!J66="", "",'Thirty-First'!J66)</f>
        <v/>
      </c>
      <c r="K7563" s="76" t="str">
        <f>IF('Thirty-First'!K66="", "",'Thirty-First'!K66)</f>
        <v/>
      </c>
      <c r="M7563" s="67" t="str">
        <f t="shared" si="362"/>
        <v/>
      </c>
      <c r="N7563" s="76" t="str">
        <f t="shared" si="363"/>
        <v/>
      </c>
      <c r="O7563" s="33">
        <f t="shared" si="364"/>
        <v>0</v>
      </c>
    </row>
    <row r="7564" spans="1:15" x14ac:dyDescent="0.25">
      <c r="A7564" s="94" t="s">
        <v>197</v>
      </c>
      <c r="B7564" s="66" t="str">
        <f>IF('Thirty-First'!B67="", "",'Thirty-First'!B67)</f>
        <v/>
      </c>
      <c r="C7564" s="67" t="str">
        <f>IF('Thirty-First'!C67="", "",'Thirty-First'!C67)</f>
        <v/>
      </c>
      <c r="D7564" s="67" t="str">
        <f>IF('Thirty-First'!D67="", "",'Thirty-First'!D67)</f>
        <v/>
      </c>
      <c r="E7564" s="67" t="str">
        <f>IF('Thirty-First'!E67="", "",'Thirty-First'!E67)</f>
        <v/>
      </c>
      <c r="F7564" s="67" t="str">
        <f>IF('Thirty-First'!F67="", "",'Thirty-First'!F67)</f>
        <v/>
      </c>
      <c r="G7564" s="67" t="str">
        <f>IF('Thirty-First'!G67="", "",'Thirty-First'!G67)</f>
        <v/>
      </c>
      <c r="H7564" s="67" t="str">
        <f>IF('Thirty-First'!H67="", "",'Thirty-First'!H67)</f>
        <v/>
      </c>
      <c r="I7564" s="67" t="str">
        <f>IF('Thirty-First'!I67="", "",'Thirty-First'!I67)</f>
        <v/>
      </c>
      <c r="J7564" s="67" t="str">
        <f>IF('Thirty-First'!J67="", "",'Thirty-First'!J67)</f>
        <v/>
      </c>
      <c r="K7564" s="76" t="str">
        <f>IF('Thirty-First'!K67="", "",'Thirty-First'!K67)</f>
        <v/>
      </c>
      <c r="M7564" s="67" t="str">
        <f t="shared" si="362"/>
        <v/>
      </c>
      <c r="N7564" s="76" t="str">
        <f t="shared" si="363"/>
        <v/>
      </c>
      <c r="O7564" s="33">
        <f t="shared" si="364"/>
        <v>0</v>
      </c>
    </row>
    <row r="7565" spans="1:15" x14ac:dyDescent="0.25">
      <c r="A7565" s="94" t="s">
        <v>197</v>
      </c>
      <c r="B7565" s="66" t="str">
        <f>IF('Thirty-First'!B68="", "",'Thirty-First'!B68)</f>
        <v/>
      </c>
      <c r="C7565" s="67" t="str">
        <f>IF('Thirty-First'!C68="", "",'Thirty-First'!C68)</f>
        <v/>
      </c>
      <c r="D7565" s="67" t="str">
        <f>IF('Thirty-First'!D68="", "",'Thirty-First'!D68)</f>
        <v/>
      </c>
      <c r="E7565" s="67" t="str">
        <f>IF('Thirty-First'!E68="", "",'Thirty-First'!E68)</f>
        <v/>
      </c>
      <c r="F7565" s="67" t="str">
        <f>IF('Thirty-First'!F68="", "",'Thirty-First'!F68)</f>
        <v/>
      </c>
      <c r="G7565" s="67" t="str">
        <f>IF('Thirty-First'!G68="", "",'Thirty-First'!G68)</f>
        <v/>
      </c>
      <c r="H7565" s="67" t="str">
        <f>IF('Thirty-First'!H68="", "",'Thirty-First'!H68)</f>
        <v/>
      </c>
      <c r="I7565" s="67" t="str">
        <f>IF('Thirty-First'!I68="", "",'Thirty-First'!I68)</f>
        <v/>
      </c>
      <c r="J7565" s="67" t="str">
        <f>IF('Thirty-First'!J68="", "",'Thirty-First'!J68)</f>
        <v/>
      </c>
      <c r="K7565" s="76" t="str">
        <f>IF('Thirty-First'!K68="", "",'Thirty-First'!K68)</f>
        <v/>
      </c>
      <c r="M7565" s="67" t="str">
        <f t="shared" si="362"/>
        <v/>
      </c>
      <c r="N7565" s="76" t="str">
        <f t="shared" si="363"/>
        <v/>
      </c>
      <c r="O7565" s="33">
        <f t="shared" si="364"/>
        <v>0</v>
      </c>
    </row>
    <row r="7566" spans="1:15" x14ac:dyDescent="0.25">
      <c r="A7566" s="94" t="s">
        <v>197</v>
      </c>
      <c r="B7566" s="66" t="str">
        <f>IF('Thirty-First'!B69="", "",'Thirty-First'!B69)</f>
        <v/>
      </c>
      <c r="C7566" s="67" t="str">
        <f>IF('Thirty-First'!C69="", "",'Thirty-First'!C69)</f>
        <v/>
      </c>
      <c r="D7566" s="67" t="str">
        <f>IF('Thirty-First'!D69="", "",'Thirty-First'!D69)</f>
        <v/>
      </c>
      <c r="E7566" s="67" t="str">
        <f>IF('Thirty-First'!E69="", "",'Thirty-First'!E69)</f>
        <v/>
      </c>
      <c r="F7566" s="67" t="str">
        <f>IF('Thirty-First'!F69="", "",'Thirty-First'!F69)</f>
        <v/>
      </c>
      <c r="G7566" s="67" t="str">
        <f>IF('Thirty-First'!G69="", "",'Thirty-First'!G69)</f>
        <v/>
      </c>
      <c r="H7566" s="67" t="str">
        <f>IF('Thirty-First'!H69="", "",'Thirty-First'!H69)</f>
        <v/>
      </c>
      <c r="I7566" s="67" t="str">
        <f>IF('Thirty-First'!I69="", "",'Thirty-First'!I69)</f>
        <v/>
      </c>
      <c r="J7566" s="67" t="str">
        <f>IF('Thirty-First'!J69="", "",'Thirty-First'!J69)</f>
        <v/>
      </c>
      <c r="K7566" s="76" t="str">
        <f>IF('Thirty-First'!K69="", "",'Thirty-First'!K69)</f>
        <v/>
      </c>
      <c r="M7566" s="67" t="str">
        <f t="shared" si="362"/>
        <v/>
      </c>
      <c r="N7566" s="76" t="str">
        <f t="shared" si="363"/>
        <v/>
      </c>
      <c r="O7566" s="33">
        <f t="shared" si="364"/>
        <v>0</v>
      </c>
    </row>
    <row r="7567" spans="1:15" x14ac:dyDescent="0.25">
      <c r="A7567" s="94" t="s">
        <v>197</v>
      </c>
      <c r="B7567" s="66" t="str">
        <f>IF('Thirty-First'!B70="", "",'Thirty-First'!B70)</f>
        <v/>
      </c>
      <c r="C7567" s="67" t="str">
        <f>IF('Thirty-First'!C70="", "",'Thirty-First'!C70)</f>
        <v/>
      </c>
      <c r="D7567" s="67" t="str">
        <f>IF('Thirty-First'!D70="", "",'Thirty-First'!D70)</f>
        <v/>
      </c>
      <c r="E7567" s="67" t="str">
        <f>IF('Thirty-First'!E70="", "",'Thirty-First'!E70)</f>
        <v/>
      </c>
      <c r="F7567" s="67" t="str">
        <f>IF('Thirty-First'!F70="", "",'Thirty-First'!F70)</f>
        <v/>
      </c>
      <c r="G7567" s="67" t="str">
        <f>IF('Thirty-First'!G70="", "",'Thirty-First'!G70)</f>
        <v/>
      </c>
      <c r="H7567" s="67" t="str">
        <f>IF('Thirty-First'!H70="", "",'Thirty-First'!H70)</f>
        <v/>
      </c>
      <c r="I7567" s="67" t="str">
        <f>IF('Thirty-First'!I70="", "",'Thirty-First'!I70)</f>
        <v/>
      </c>
      <c r="J7567" s="67" t="str">
        <f>IF('Thirty-First'!J70="", "",'Thirty-First'!J70)</f>
        <v/>
      </c>
      <c r="K7567" s="76" t="str">
        <f>IF('Thirty-First'!K70="", "",'Thirty-First'!K70)</f>
        <v/>
      </c>
      <c r="M7567" s="67" t="str">
        <f t="shared" ref="M7567:M7630" si="365">IF(C7567="PwC",(7-COUNTIF(B7567:H7567,"")),"")</f>
        <v/>
      </c>
      <c r="N7567" s="76" t="str">
        <f t="shared" ref="N7567:N7630" si="366">IF(C7567="Carer",(7-COUNTIF(B7567:H7567,"")),"")</f>
        <v/>
      </c>
      <c r="O7567" s="33">
        <f t="shared" ref="O7567:O7630" si="367">SUM(M7567:N7567)</f>
        <v>0</v>
      </c>
    </row>
    <row r="7568" spans="1:15" x14ac:dyDescent="0.25">
      <c r="A7568" s="94" t="s">
        <v>197</v>
      </c>
      <c r="B7568" s="66" t="str">
        <f>IF('Thirty-First'!B71="", "",'Thirty-First'!B71)</f>
        <v/>
      </c>
      <c r="C7568" s="67" t="str">
        <f>IF('Thirty-First'!C71="", "",'Thirty-First'!C71)</f>
        <v/>
      </c>
      <c r="D7568" s="67" t="str">
        <f>IF('Thirty-First'!D71="", "",'Thirty-First'!D71)</f>
        <v/>
      </c>
      <c r="E7568" s="67" t="str">
        <f>IF('Thirty-First'!E71="", "",'Thirty-First'!E71)</f>
        <v/>
      </c>
      <c r="F7568" s="67" t="str">
        <f>IF('Thirty-First'!F71="", "",'Thirty-First'!F71)</f>
        <v/>
      </c>
      <c r="G7568" s="67" t="str">
        <f>IF('Thirty-First'!G71="", "",'Thirty-First'!G71)</f>
        <v/>
      </c>
      <c r="H7568" s="67" t="str">
        <f>IF('Thirty-First'!H71="", "",'Thirty-First'!H71)</f>
        <v/>
      </c>
      <c r="I7568" s="67" t="str">
        <f>IF('Thirty-First'!I71="", "",'Thirty-First'!I71)</f>
        <v/>
      </c>
      <c r="J7568" s="67" t="str">
        <f>IF('Thirty-First'!J71="", "",'Thirty-First'!J71)</f>
        <v/>
      </c>
      <c r="K7568" s="76" t="str">
        <f>IF('Thirty-First'!K71="", "",'Thirty-First'!K71)</f>
        <v/>
      </c>
      <c r="M7568" s="67" t="str">
        <f t="shared" si="365"/>
        <v/>
      </c>
      <c r="N7568" s="76" t="str">
        <f t="shared" si="366"/>
        <v/>
      </c>
      <c r="O7568" s="33">
        <f t="shared" si="367"/>
        <v>0</v>
      </c>
    </row>
    <row r="7569" spans="1:15" x14ac:dyDescent="0.25">
      <c r="A7569" s="94" t="s">
        <v>197</v>
      </c>
      <c r="B7569" s="66" t="str">
        <f>IF('Thirty-First'!B72="", "",'Thirty-First'!B72)</f>
        <v/>
      </c>
      <c r="C7569" s="67" t="str">
        <f>IF('Thirty-First'!C72="", "",'Thirty-First'!C72)</f>
        <v/>
      </c>
      <c r="D7569" s="67" t="str">
        <f>IF('Thirty-First'!D72="", "",'Thirty-First'!D72)</f>
        <v/>
      </c>
      <c r="E7569" s="67" t="str">
        <f>IF('Thirty-First'!E72="", "",'Thirty-First'!E72)</f>
        <v/>
      </c>
      <c r="F7569" s="67" t="str">
        <f>IF('Thirty-First'!F72="", "",'Thirty-First'!F72)</f>
        <v/>
      </c>
      <c r="G7569" s="67" t="str">
        <f>IF('Thirty-First'!G72="", "",'Thirty-First'!G72)</f>
        <v/>
      </c>
      <c r="H7569" s="67" t="str">
        <f>IF('Thirty-First'!H72="", "",'Thirty-First'!H72)</f>
        <v/>
      </c>
      <c r="I7569" s="67" t="str">
        <f>IF('Thirty-First'!I72="", "",'Thirty-First'!I72)</f>
        <v/>
      </c>
      <c r="J7569" s="67" t="str">
        <f>IF('Thirty-First'!J72="", "",'Thirty-First'!J72)</f>
        <v/>
      </c>
      <c r="K7569" s="76" t="str">
        <f>IF('Thirty-First'!K72="", "",'Thirty-First'!K72)</f>
        <v/>
      </c>
      <c r="M7569" s="67" t="str">
        <f t="shared" si="365"/>
        <v/>
      </c>
      <c r="N7569" s="76" t="str">
        <f t="shared" si="366"/>
        <v/>
      </c>
      <c r="O7569" s="33">
        <f t="shared" si="367"/>
        <v>0</v>
      </c>
    </row>
    <row r="7570" spans="1:15" x14ac:dyDescent="0.25">
      <c r="A7570" s="94" t="s">
        <v>197</v>
      </c>
      <c r="B7570" s="66" t="str">
        <f>IF('Thirty-First'!B73="", "",'Thirty-First'!B73)</f>
        <v/>
      </c>
      <c r="C7570" s="67" t="str">
        <f>IF('Thirty-First'!C73="", "",'Thirty-First'!C73)</f>
        <v/>
      </c>
      <c r="D7570" s="67" t="str">
        <f>IF('Thirty-First'!D73="", "",'Thirty-First'!D73)</f>
        <v/>
      </c>
      <c r="E7570" s="67" t="str">
        <f>IF('Thirty-First'!E73="", "",'Thirty-First'!E73)</f>
        <v/>
      </c>
      <c r="F7570" s="67" t="str">
        <f>IF('Thirty-First'!F73="", "",'Thirty-First'!F73)</f>
        <v/>
      </c>
      <c r="G7570" s="67" t="str">
        <f>IF('Thirty-First'!G73="", "",'Thirty-First'!G73)</f>
        <v/>
      </c>
      <c r="H7570" s="67" t="str">
        <f>IF('Thirty-First'!H73="", "",'Thirty-First'!H73)</f>
        <v/>
      </c>
      <c r="I7570" s="67" t="str">
        <f>IF('Thirty-First'!I73="", "",'Thirty-First'!I73)</f>
        <v/>
      </c>
      <c r="J7570" s="67" t="str">
        <f>IF('Thirty-First'!J73="", "",'Thirty-First'!J73)</f>
        <v/>
      </c>
      <c r="K7570" s="76" t="str">
        <f>IF('Thirty-First'!K73="", "",'Thirty-First'!K73)</f>
        <v/>
      </c>
      <c r="M7570" s="67" t="str">
        <f t="shared" si="365"/>
        <v/>
      </c>
      <c r="N7570" s="76" t="str">
        <f t="shared" si="366"/>
        <v/>
      </c>
      <c r="O7570" s="33">
        <f t="shared" si="367"/>
        <v>0</v>
      </c>
    </row>
    <row r="7571" spans="1:15" x14ac:dyDescent="0.25">
      <c r="A7571" s="94" t="s">
        <v>197</v>
      </c>
      <c r="B7571" s="66" t="str">
        <f>IF('Thirty-First'!B74="", "",'Thirty-First'!B74)</f>
        <v/>
      </c>
      <c r="C7571" s="67" t="str">
        <f>IF('Thirty-First'!C74="", "",'Thirty-First'!C74)</f>
        <v/>
      </c>
      <c r="D7571" s="67" t="str">
        <f>IF('Thirty-First'!D74="", "",'Thirty-First'!D74)</f>
        <v/>
      </c>
      <c r="E7571" s="67" t="str">
        <f>IF('Thirty-First'!E74="", "",'Thirty-First'!E74)</f>
        <v/>
      </c>
      <c r="F7571" s="67" t="str">
        <f>IF('Thirty-First'!F74="", "",'Thirty-First'!F74)</f>
        <v/>
      </c>
      <c r="G7571" s="67" t="str">
        <f>IF('Thirty-First'!G74="", "",'Thirty-First'!G74)</f>
        <v/>
      </c>
      <c r="H7571" s="67" t="str">
        <f>IF('Thirty-First'!H74="", "",'Thirty-First'!H74)</f>
        <v/>
      </c>
      <c r="I7571" s="67" t="str">
        <f>IF('Thirty-First'!I74="", "",'Thirty-First'!I74)</f>
        <v/>
      </c>
      <c r="J7571" s="67" t="str">
        <f>IF('Thirty-First'!J74="", "",'Thirty-First'!J74)</f>
        <v/>
      </c>
      <c r="K7571" s="76" t="str">
        <f>IF('Thirty-First'!K74="", "",'Thirty-First'!K74)</f>
        <v/>
      </c>
      <c r="M7571" s="67" t="str">
        <f t="shared" si="365"/>
        <v/>
      </c>
      <c r="N7571" s="76" t="str">
        <f t="shared" si="366"/>
        <v/>
      </c>
      <c r="O7571" s="33">
        <f t="shared" si="367"/>
        <v>0</v>
      </c>
    </row>
    <row r="7572" spans="1:15" x14ac:dyDescent="0.25">
      <c r="A7572" s="94" t="s">
        <v>197</v>
      </c>
      <c r="B7572" s="66" t="str">
        <f>IF('Thirty-First'!B75="", "",'Thirty-First'!B75)</f>
        <v/>
      </c>
      <c r="C7572" s="67" t="str">
        <f>IF('Thirty-First'!C75="", "",'Thirty-First'!C75)</f>
        <v/>
      </c>
      <c r="D7572" s="67" t="str">
        <f>IF('Thirty-First'!D75="", "",'Thirty-First'!D75)</f>
        <v/>
      </c>
      <c r="E7572" s="67" t="str">
        <f>IF('Thirty-First'!E75="", "",'Thirty-First'!E75)</f>
        <v/>
      </c>
      <c r="F7572" s="67" t="str">
        <f>IF('Thirty-First'!F75="", "",'Thirty-First'!F75)</f>
        <v/>
      </c>
      <c r="G7572" s="67" t="str">
        <f>IF('Thirty-First'!G75="", "",'Thirty-First'!G75)</f>
        <v/>
      </c>
      <c r="H7572" s="67" t="str">
        <f>IF('Thirty-First'!H75="", "",'Thirty-First'!H75)</f>
        <v/>
      </c>
      <c r="I7572" s="67" t="str">
        <f>IF('Thirty-First'!I75="", "",'Thirty-First'!I75)</f>
        <v/>
      </c>
      <c r="J7572" s="67" t="str">
        <f>IF('Thirty-First'!J75="", "",'Thirty-First'!J75)</f>
        <v/>
      </c>
      <c r="K7572" s="76" t="str">
        <f>IF('Thirty-First'!K75="", "",'Thirty-First'!K75)</f>
        <v/>
      </c>
      <c r="M7572" s="67" t="str">
        <f t="shared" si="365"/>
        <v/>
      </c>
      <c r="N7572" s="76" t="str">
        <f t="shared" si="366"/>
        <v/>
      </c>
      <c r="O7572" s="33">
        <f t="shared" si="367"/>
        <v>0</v>
      </c>
    </row>
    <row r="7573" spans="1:15" x14ac:dyDescent="0.25">
      <c r="A7573" s="94" t="s">
        <v>197</v>
      </c>
      <c r="B7573" s="66" t="str">
        <f>IF('Thirty-First'!B76="", "",'Thirty-First'!B76)</f>
        <v/>
      </c>
      <c r="C7573" s="67" t="str">
        <f>IF('Thirty-First'!C76="", "",'Thirty-First'!C76)</f>
        <v/>
      </c>
      <c r="D7573" s="67" t="str">
        <f>IF('Thirty-First'!D76="", "",'Thirty-First'!D76)</f>
        <v/>
      </c>
      <c r="E7573" s="67" t="str">
        <f>IF('Thirty-First'!E76="", "",'Thirty-First'!E76)</f>
        <v/>
      </c>
      <c r="F7573" s="67" t="str">
        <f>IF('Thirty-First'!F76="", "",'Thirty-First'!F76)</f>
        <v/>
      </c>
      <c r="G7573" s="67" t="str">
        <f>IF('Thirty-First'!G76="", "",'Thirty-First'!G76)</f>
        <v/>
      </c>
      <c r="H7573" s="67" t="str">
        <f>IF('Thirty-First'!H76="", "",'Thirty-First'!H76)</f>
        <v/>
      </c>
      <c r="I7573" s="67" t="str">
        <f>IF('Thirty-First'!I76="", "",'Thirty-First'!I76)</f>
        <v/>
      </c>
      <c r="J7573" s="67" t="str">
        <f>IF('Thirty-First'!J76="", "",'Thirty-First'!J76)</f>
        <v/>
      </c>
      <c r="K7573" s="76" t="str">
        <f>IF('Thirty-First'!K76="", "",'Thirty-First'!K76)</f>
        <v/>
      </c>
      <c r="M7573" s="67" t="str">
        <f t="shared" si="365"/>
        <v/>
      </c>
      <c r="N7573" s="76" t="str">
        <f t="shared" si="366"/>
        <v/>
      </c>
      <c r="O7573" s="33">
        <f t="shared" si="367"/>
        <v>0</v>
      </c>
    </row>
    <row r="7574" spans="1:15" x14ac:dyDescent="0.25">
      <c r="A7574" s="94" t="s">
        <v>197</v>
      </c>
      <c r="B7574" s="66" t="str">
        <f>IF('Thirty-First'!B77="", "",'Thirty-First'!B77)</f>
        <v/>
      </c>
      <c r="C7574" s="67" t="str">
        <f>IF('Thirty-First'!C77="", "",'Thirty-First'!C77)</f>
        <v/>
      </c>
      <c r="D7574" s="67" t="str">
        <f>IF('Thirty-First'!D77="", "",'Thirty-First'!D77)</f>
        <v/>
      </c>
      <c r="E7574" s="67" t="str">
        <f>IF('Thirty-First'!E77="", "",'Thirty-First'!E77)</f>
        <v/>
      </c>
      <c r="F7574" s="67" t="str">
        <f>IF('Thirty-First'!F77="", "",'Thirty-First'!F77)</f>
        <v/>
      </c>
      <c r="G7574" s="67" t="str">
        <f>IF('Thirty-First'!G77="", "",'Thirty-First'!G77)</f>
        <v/>
      </c>
      <c r="H7574" s="67" t="str">
        <f>IF('Thirty-First'!H77="", "",'Thirty-First'!H77)</f>
        <v/>
      </c>
      <c r="I7574" s="67" t="str">
        <f>IF('Thirty-First'!I77="", "",'Thirty-First'!I77)</f>
        <v/>
      </c>
      <c r="J7574" s="67" t="str">
        <f>IF('Thirty-First'!J77="", "",'Thirty-First'!J77)</f>
        <v/>
      </c>
      <c r="K7574" s="76" t="str">
        <f>IF('Thirty-First'!K77="", "",'Thirty-First'!K77)</f>
        <v/>
      </c>
      <c r="M7574" s="67" t="str">
        <f t="shared" si="365"/>
        <v/>
      </c>
      <c r="N7574" s="76" t="str">
        <f t="shared" si="366"/>
        <v/>
      </c>
      <c r="O7574" s="33">
        <f t="shared" si="367"/>
        <v>0</v>
      </c>
    </row>
    <row r="7575" spans="1:15" x14ac:dyDescent="0.25">
      <c r="A7575" s="94" t="s">
        <v>197</v>
      </c>
      <c r="B7575" s="66" t="str">
        <f>IF('Thirty-First'!B78="", "",'Thirty-First'!B78)</f>
        <v/>
      </c>
      <c r="C7575" s="67" t="str">
        <f>IF('Thirty-First'!C78="", "",'Thirty-First'!C78)</f>
        <v/>
      </c>
      <c r="D7575" s="67" t="str">
        <f>IF('Thirty-First'!D78="", "",'Thirty-First'!D78)</f>
        <v/>
      </c>
      <c r="E7575" s="67" t="str">
        <f>IF('Thirty-First'!E78="", "",'Thirty-First'!E78)</f>
        <v/>
      </c>
      <c r="F7575" s="67" t="str">
        <f>IF('Thirty-First'!F78="", "",'Thirty-First'!F78)</f>
        <v/>
      </c>
      <c r="G7575" s="67" t="str">
        <f>IF('Thirty-First'!G78="", "",'Thirty-First'!G78)</f>
        <v/>
      </c>
      <c r="H7575" s="67" t="str">
        <f>IF('Thirty-First'!H78="", "",'Thirty-First'!H78)</f>
        <v/>
      </c>
      <c r="I7575" s="67" t="str">
        <f>IF('Thirty-First'!I78="", "",'Thirty-First'!I78)</f>
        <v/>
      </c>
      <c r="J7575" s="67" t="str">
        <f>IF('Thirty-First'!J78="", "",'Thirty-First'!J78)</f>
        <v/>
      </c>
      <c r="K7575" s="76" t="str">
        <f>IF('Thirty-First'!K78="", "",'Thirty-First'!K78)</f>
        <v/>
      </c>
      <c r="M7575" s="67" t="str">
        <f t="shared" si="365"/>
        <v/>
      </c>
      <c r="N7575" s="76" t="str">
        <f t="shared" si="366"/>
        <v/>
      </c>
      <c r="O7575" s="33">
        <f t="shared" si="367"/>
        <v>0</v>
      </c>
    </row>
    <row r="7576" spans="1:15" x14ac:dyDescent="0.25">
      <c r="A7576" s="94" t="s">
        <v>197</v>
      </c>
      <c r="B7576" s="66" t="str">
        <f>IF('Thirty-First'!B79="", "",'Thirty-First'!B79)</f>
        <v/>
      </c>
      <c r="C7576" s="67" t="str">
        <f>IF('Thirty-First'!C79="", "",'Thirty-First'!C79)</f>
        <v/>
      </c>
      <c r="D7576" s="67" t="str">
        <f>IF('Thirty-First'!D79="", "",'Thirty-First'!D79)</f>
        <v/>
      </c>
      <c r="E7576" s="67" t="str">
        <f>IF('Thirty-First'!E79="", "",'Thirty-First'!E79)</f>
        <v/>
      </c>
      <c r="F7576" s="67" t="str">
        <f>IF('Thirty-First'!F79="", "",'Thirty-First'!F79)</f>
        <v/>
      </c>
      <c r="G7576" s="67" t="str">
        <f>IF('Thirty-First'!G79="", "",'Thirty-First'!G79)</f>
        <v/>
      </c>
      <c r="H7576" s="67" t="str">
        <f>IF('Thirty-First'!H79="", "",'Thirty-First'!H79)</f>
        <v/>
      </c>
      <c r="I7576" s="67" t="str">
        <f>IF('Thirty-First'!I79="", "",'Thirty-First'!I79)</f>
        <v/>
      </c>
      <c r="J7576" s="67" t="str">
        <f>IF('Thirty-First'!J79="", "",'Thirty-First'!J79)</f>
        <v/>
      </c>
      <c r="K7576" s="76" t="str">
        <f>IF('Thirty-First'!K79="", "",'Thirty-First'!K79)</f>
        <v/>
      </c>
      <c r="M7576" s="67" t="str">
        <f t="shared" si="365"/>
        <v/>
      </c>
      <c r="N7576" s="76" t="str">
        <f t="shared" si="366"/>
        <v/>
      </c>
      <c r="O7576" s="33">
        <f t="shared" si="367"/>
        <v>0</v>
      </c>
    </row>
    <row r="7577" spans="1:15" x14ac:dyDescent="0.25">
      <c r="A7577" s="94" t="s">
        <v>197</v>
      </c>
      <c r="B7577" s="66" t="str">
        <f>IF('Thirty-First'!B80="", "",'Thirty-First'!B80)</f>
        <v/>
      </c>
      <c r="C7577" s="67" t="str">
        <f>IF('Thirty-First'!C80="", "",'Thirty-First'!C80)</f>
        <v/>
      </c>
      <c r="D7577" s="67" t="str">
        <f>IF('Thirty-First'!D80="", "",'Thirty-First'!D80)</f>
        <v/>
      </c>
      <c r="E7577" s="67" t="str">
        <f>IF('Thirty-First'!E80="", "",'Thirty-First'!E80)</f>
        <v/>
      </c>
      <c r="F7577" s="67" t="str">
        <f>IF('Thirty-First'!F80="", "",'Thirty-First'!F80)</f>
        <v/>
      </c>
      <c r="G7577" s="67" t="str">
        <f>IF('Thirty-First'!G80="", "",'Thirty-First'!G80)</f>
        <v/>
      </c>
      <c r="H7577" s="67" t="str">
        <f>IF('Thirty-First'!H80="", "",'Thirty-First'!H80)</f>
        <v/>
      </c>
      <c r="I7577" s="67" t="str">
        <f>IF('Thirty-First'!I80="", "",'Thirty-First'!I80)</f>
        <v/>
      </c>
      <c r="J7577" s="67" t="str">
        <f>IF('Thirty-First'!J80="", "",'Thirty-First'!J80)</f>
        <v/>
      </c>
      <c r="K7577" s="76" t="str">
        <f>IF('Thirty-First'!K80="", "",'Thirty-First'!K80)</f>
        <v/>
      </c>
      <c r="M7577" s="67" t="str">
        <f t="shared" si="365"/>
        <v/>
      </c>
      <c r="N7577" s="76" t="str">
        <f t="shared" si="366"/>
        <v/>
      </c>
      <c r="O7577" s="33">
        <f t="shared" si="367"/>
        <v>0</v>
      </c>
    </row>
    <row r="7578" spans="1:15" x14ac:dyDescent="0.25">
      <c r="A7578" s="94" t="s">
        <v>197</v>
      </c>
      <c r="B7578" s="66" t="str">
        <f>IF('Thirty-First'!B81="", "",'Thirty-First'!B81)</f>
        <v/>
      </c>
      <c r="C7578" s="67" t="str">
        <f>IF('Thirty-First'!C81="", "",'Thirty-First'!C81)</f>
        <v/>
      </c>
      <c r="D7578" s="67" t="str">
        <f>IF('Thirty-First'!D81="", "",'Thirty-First'!D81)</f>
        <v/>
      </c>
      <c r="E7578" s="67" t="str">
        <f>IF('Thirty-First'!E81="", "",'Thirty-First'!E81)</f>
        <v/>
      </c>
      <c r="F7578" s="67" t="str">
        <f>IF('Thirty-First'!F81="", "",'Thirty-First'!F81)</f>
        <v/>
      </c>
      <c r="G7578" s="67" t="str">
        <f>IF('Thirty-First'!G81="", "",'Thirty-First'!G81)</f>
        <v/>
      </c>
      <c r="H7578" s="67" t="str">
        <f>IF('Thirty-First'!H81="", "",'Thirty-First'!H81)</f>
        <v/>
      </c>
      <c r="I7578" s="67" t="str">
        <f>IF('Thirty-First'!I81="", "",'Thirty-First'!I81)</f>
        <v/>
      </c>
      <c r="J7578" s="67" t="str">
        <f>IF('Thirty-First'!J81="", "",'Thirty-First'!J81)</f>
        <v/>
      </c>
      <c r="K7578" s="76" t="str">
        <f>IF('Thirty-First'!K81="", "",'Thirty-First'!K81)</f>
        <v/>
      </c>
      <c r="M7578" s="67" t="str">
        <f t="shared" si="365"/>
        <v/>
      </c>
      <c r="N7578" s="76" t="str">
        <f t="shared" si="366"/>
        <v/>
      </c>
      <c r="O7578" s="33">
        <f t="shared" si="367"/>
        <v>0</v>
      </c>
    </row>
    <row r="7579" spans="1:15" x14ac:dyDescent="0.25">
      <c r="A7579" s="94" t="s">
        <v>197</v>
      </c>
      <c r="B7579" s="66" t="str">
        <f>IF('Thirty-First'!B82="", "",'Thirty-First'!B82)</f>
        <v/>
      </c>
      <c r="C7579" s="67" t="str">
        <f>IF('Thirty-First'!C82="", "",'Thirty-First'!C82)</f>
        <v/>
      </c>
      <c r="D7579" s="67" t="str">
        <f>IF('Thirty-First'!D82="", "",'Thirty-First'!D82)</f>
        <v/>
      </c>
      <c r="E7579" s="67" t="str">
        <f>IF('Thirty-First'!E82="", "",'Thirty-First'!E82)</f>
        <v/>
      </c>
      <c r="F7579" s="67" t="str">
        <f>IF('Thirty-First'!F82="", "",'Thirty-First'!F82)</f>
        <v/>
      </c>
      <c r="G7579" s="67" t="str">
        <f>IF('Thirty-First'!G82="", "",'Thirty-First'!G82)</f>
        <v/>
      </c>
      <c r="H7579" s="67" t="str">
        <f>IF('Thirty-First'!H82="", "",'Thirty-First'!H82)</f>
        <v/>
      </c>
      <c r="I7579" s="67" t="str">
        <f>IF('Thirty-First'!I82="", "",'Thirty-First'!I82)</f>
        <v/>
      </c>
      <c r="J7579" s="67" t="str">
        <f>IF('Thirty-First'!J82="", "",'Thirty-First'!J82)</f>
        <v/>
      </c>
      <c r="K7579" s="76" t="str">
        <f>IF('Thirty-First'!K82="", "",'Thirty-First'!K82)</f>
        <v/>
      </c>
      <c r="M7579" s="67" t="str">
        <f t="shared" si="365"/>
        <v/>
      </c>
      <c r="N7579" s="76" t="str">
        <f t="shared" si="366"/>
        <v/>
      </c>
      <c r="O7579" s="33">
        <f t="shared" si="367"/>
        <v>0</v>
      </c>
    </row>
    <row r="7580" spans="1:15" x14ac:dyDescent="0.25">
      <c r="A7580" s="94" t="s">
        <v>197</v>
      </c>
      <c r="B7580" s="66" t="str">
        <f>IF('Thirty-First'!B83="", "",'Thirty-First'!B83)</f>
        <v/>
      </c>
      <c r="C7580" s="67" t="str">
        <f>IF('Thirty-First'!C83="", "",'Thirty-First'!C83)</f>
        <v/>
      </c>
      <c r="D7580" s="67" t="str">
        <f>IF('Thirty-First'!D83="", "",'Thirty-First'!D83)</f>
        <v/>
      </c>
      <c r="E7580" s="67" t="str">
        <f>IF('Thirty-First'!E83="", "",'Thirty-First'!E83)</f>
        <v/>
      </c>
      <c r="F7580" s="67" t="str">
        <f>IF('Thirty-First'!F83="", "",'Thirty-First'!F83)</f>
        <v/>
      </c>
      <c r="G7580" s="67" t="str">
        <f>IF('Thirty-First'!G83="", "",'Thirty-First'!G83)</f>
        <v/>
      </c>
      <c r="H7580" s="67" t="str">
        <f>IF('Thirty-First'!H83="", "",'Thirty-First'!H83)</f>
        <v/>
      </c>
      <c r="I7580" s="67" t="str">
        <f>IF('Thirty-First'!I83="", "",'Thirty-First'!I83)</f>
        <v/>
      </c>
      <c r="J7580" s="67" t="str">
        <f>IF('Thirty-First'!J83="", "",'Thirty-First'!J83)</f>
        <v/>
      </c>
      <c r="K7580" s="76" t="str">
        <f>IF('Thirty-First'!K83="", "",'Thirty-First'!K83)</f>
        <v/>
      </c>
      <c r="M7580" s="67" t="str">
        <f t="shared" si="365"/>
        <v/>
      </c>
      <c r="N7580" s="76" t="str">
        <f t="shared" si="366"/>
        <v/>
      </c>
      <c r="O7580" s="33">
        <f t="shared" si="367"/>
        <v>0</v>
      </c>
    </row>
    <row r="7581" spans="1:15" x14ac:dyDescent="0.25">
      <c r="A7581" s="94" t="s">
        <v>197</v>
      </c>
      <c r="B7581" s="66" t="str">
        <f>IF('Thirty-First'!B84="", "",'Thirty-First'!B84)</f>
        <v/>
      </c>
      <c r="C7581" s="67" t="str">
        <f>IF('Thirty-First'!C84="", "",'Thirty-First'!C84)</f>
        <v/>
      </c>
      <c r="D7581" s="67" t="str">
        <f>IF('Thirty-First'!D84="", "",'Thirty-First'!D84)</f>
        <v/>
      </c>
      <c r="E7581" s="67" t="str">
        <f>IF('Thirty-First'!E84="", "",'Thirty-First'!E84)</f>
        <v/>
      </c>
      <c r="F7581" s="67" t="str">
        <f>IF('Thirty-First'!F84="", "",'Thirty-First'!F84)</f>
        <v/>
      </c>
      <c r="G7581" s="67" t="str">
        <f>IF('Thirty-First'!G84="", "",'Thirty-First'!G84)</f>
        <v/>
      </c>
      <c r="H7581" s="67" t="str">
        <f>IF('Thirty-First'!H84="", "",'Thirty-First'!H84)</f>
        <v/>
      </c>
      <c r="I7581" s="67" t="str">
        <f>IF('Thirty-First'!I84="", "",'Thirty-First'!I84)</f>
        <v/>
      </c>
      <c r="J7581" s="67" t="str">
        <f>IF('Thirty-First'!J84="", "",'Thirty-First'!J84)</f>
        <v/>
      </c>
      <c r="K7581" s="76" t="str">
        <f>IF('Thirty-First'!K84="", "",'Thirty-First'!K84)</f>
        <v/>
      </c>
      <c r="M7581" s="67" t="str">
        <f t="shared" si="365"/>
        <v/>
      </c>
      <c r="N7581" s="76" t="str">
        <f t="shared" si="366"/>
        <v/>
      </c>
      <c r="O7581" s="33">
        <f t="shared" si="367"/>
        <v>0</v>
      </c>
    </row>
    <row r="7582" spans="1:15" x14ac:dyDescent="0.25">
      <c r="A7582" s="94" t="s">
        <v>197</v>
      </c>
      <c r="B7582" s="66" t="str">
        <f>IF('Thirty-First'!B85="", "",'Thirty-First'!B85)</f>
        <v/>
      </c>
      <c r="C7582" s="67" t="str">
        <f>IF('Thirty-First'!C85="", "",'Thirty-First'!C85)</f>
        <v/>
      </c>
      <c r="D7582" s="67" t="str">
        <f>IF('Thirty-First'!D85="", "",'Thirty-First'!D85)</f>
        <v/>
      </c>
      <c r="E7582" s="67" t="str">
        <f>IF('Thirty-First'!E85="", "",'Thirty-First'!E85)</f>
        <v/>
      </c>
      <c r="F7582" s="67" t="str">
        <f>IF('Thirty-First'!F85="", "",'Thirty-First'!F85)</f>
        <v/>
      </c>
      <c r="G7582" s="67" t="str">
        <f>IF('Thirty-First'!G85="", "",'Thirty-First'!G85)</f>
        <v/>
      </c>
      <c r="H7582" s="67" t="str">
        <f>IF('Thirty-First'!H85="", "",'Thirty-First'!H85)</f>
        <v/>
      </c>
      <c r="I7582" s="67" t="str">
        <f>IF('Thirty-First'!I85="", "",'Thirty-First'!I85)</f>
        <v/>
      </c>
      <c r="J7582" s="67" t="str">
        <f>IF('Thirty-First'!J85="", "",'Thirty-First'!J85)</f>
        <v/>
      </c>
      <c r="K7582" s="76" t="str">
        <f>IF('Thirty-First'!K85="", "",'Thirty-First'!K85)</f>
        <v/>
      </c>
      <c r="M7582" s="67" t="str">
        <f t="shared" si="365"/>
        <v/>
      </c>
      <c r="N7582" s="76" t="str">
        <f t="shared" si="366"/>
        <v/>
      </c>
      <c r="O7582" s="33">
        <f t="shared" si="367"/>
        <v>0</v>
      </c>
    </row>
    <row r="7583" spans="1:15" x14ac:dyDescent="0.25">
      <c r="A7583" s="94" t="s">
        <v>197</v>
      </c>
      <c r="B7583" s="66" t="str">
        <f>IF('Thirty-First'!B86="", "",'Thirty-First'!B86)</f>
        <v/>
      </c>
      <c r="C7583" s="67" t="str">
        <f>IF('Thirty-First'!C86="", "",'Thirty-First'!C86)</f>
        <v/>
      </c>
      <c r="D7583" s="67" t="str">
        <f>IF('Thirty-First'!D86="", "",'Thirty-First'!D86)</f>
        <v/>
      </c>
      <c r="E7583" s="67" t="str">
        <f>IF('Thirty-First'!E86="", "",'Thirty-First'!E86)</f>
        <v/>
      </c>
      <c r="F7583" s="67" t="str">
        <f>IF('Thirty-First'!F86="", "",'Thirty-First'!F86)</f>
        <v/>
      </c>
      <c r="G7583" s="67" t="str">
        <f>IF('Thirty-First'!G86="", "",'Thirty-First'!G86)</f>
        <v/>
      </c>
      <c r="H7583" s="67" t="str">
        <f>IF('Thirty-First'!H86="", "",'Thirty-First'!H86)</f>
        <v/>
      </c>
      <c r="I7583" s="67" t="str">
        <f>IF('Thirty-First'!I86="", "",'Thirty-First'!I86)</f>
        <v/>
      </c>
      <c r="J7583" s="67" t="str">
        <f>IF('Thirty-First'!J86="", "",'Thirty-First'!J86)</f>
        <v/>
      </c>
      <c r="K7583" s="76" t="str">
        <f>IF('Thirty-First'!K86="", "",'Thirty-First'!K86)</f>
        <v/>
      </c>
      <c r="M7583" s="67" t="str">
        <f t="shared" si="365"/>
        <v/>
      </c>
      <c r="N7583" s="76" t="str">
        <f t="shared" si="366"/>
        <v/>
      </c>
      <c r="O7583" s="33">
        <f t="shared" si="367"/>
        <v>0</v>
      </c>
    </row>
    <row r="7584" spans="1:15" x14ac:dyDescent="0.25">
      <c r="A7584" s="94" t="s">
        <v>197</v>
      </c>
      <c r="B7584" s="66" t="str">
        <f>IF('Thirty-First'!B87="", "",'Thirty-First'!B87)</f>
        <v/>
      </c>
      <c r="C7584" s="67" t="str">
        <f>IF('Thirty-First'!C87="", "",'Thirty-First'!C87)</f>
        <v/>
      </c>
      <c r="D7584" s="67" t="str">
        <f>IF('Thirty-First'!D87="", "",'Thirty-First'!D87)</f>
        <v/>
      </c>
      <c r="E7584" s="67" t="str">
        <f>IF('Thirty-First'!E87="", "",'Thirty-First'!E87)</f>
        <v/>
      </c>
      <c r="F7584" s="67" t="str">
        <f>IF('Thirty-First'!F87="", "",'Thirty-First'!F87)</f>
        <v/>
      </c>
      <c r="G7584" s="67" t="str">
        <f>IF('Thirty-First'!G87="", "",'Thirty-First'!G87)</f>
        <v/>
      </c>
      <c r="H7584" s="67" t="str">
        <f>IF('Thirty-First'!H87="", "",'Thirty-First'!H87)</f>
        <v/>
      </c>
      <c r="I7584" s="67" t="str">
        <f>IF('Thirty-First'!I87="", "",'Thirty-First'!I87)</f>
        <v/>
      </c>
      <c r="J7584" s="67" t="str">
        <f>IF('Thirty-First'!J87="", "",'Thirty-First'!J87)</f>
        <v/>
      </c>
      <c r="K7584" s="76" t="str">
        <f>IF('Thirty-First'!K87="", "",'Thirty-First'!K87)</f>
        <v/>
      </c>
      <c r="M7584" s="67" t="str">
        <f t="shared" si="365"/>
        <v/>
      </c>
      <c r="N7584" s="76" t="str">
        <f t="shared" si="366"/>
        <v/>
      </c>
      <c r="O7584" s="33">
        <f t="shared" si="367"/>
        <v>0</v>
      </c>
    </row>
    <row r="7585" spans="1:15" x14ac:dyDescent="0.25">
      <c r="A7585" s="94" t="s">
        <v>197</v>
      </c>
      <c r="B7585" s="66" t="str">
        <f>IF('Thirty-First'!B88="", "",'Thirty-First'!B88)</f>
        <v/>
      </c>
      <c r="C7585" s="67" t="str">
        <f>IF('Thirty-First'!C88="", "",'Thirty-First'!C88)</f>
        <v/>
      </c>
      <c r="D7585" s="67" t="str">
        <f>IF('Thirty-First'!D88="", "",'Thirty-First'!D88)</f>
        <v/>
      </c>
      <c r="E7585" s="67" t="str">
        <f>IF('Thirty-First'!E88="", "",'Thirty-First'!E88)</f>
        <v/>
      </c>
      <c r="F7585" s="67" t="str">
        <f>IF('Thirty-First'!F88="", "",'Thirty-First'!F88)</f>
        <v/>
      </c>
      <c r="G7585" s="67" t="str">
        <f>IF('Thirty-First'!G88="", "",'Thirty-First'!G88)</f>
        <v/>
      </c>
      <c r="H7585" s="67" t="str">
        <f>IF('Thirty-First'!H88="", "",'Thirty-First'!H88)</f>
        <v/>
      </c>
      <c r="I7585" s="67" t="str">
        <f>IF('Thirty-First'!I88="", "",'Thirty-First'!I88)</f>
        <v/>
      </c>
      <c r="J7585" s="67" t="str">
        <f>IF('Thirty-First'!J88="", "",'Thirty-First'!J88)</f>
        <v/>
      </c>
      <c r="K7585" s="76" t="str">
        <f>IF('Thirty-First'!K88="", "",'Thirty-First'!K88)</f>
        <v/>
      </c>
      <c r="M7585" s="67" t="str">
        <f t="shared" si="365"/>
        <v/>
      </c>
      <c r="N7585" s="76" t="str">
        <f t="shared" si="366"/>
        <v/>
      </c>
      <c r="O7585" s="33">
        <f t="shared" si="367"/>
        <v>0</v>
      </c>
    </row>
    <row r="7586" spans="1:15" x14ac:dyDescent="0.25">
      <c r="A7586" s="94" t="s">
        <v>197</v>
      </c>
      <c r="B7586" s="66" t="str">
        <f>IF('Thirty-First'!B89="", "",'Thirty-First'!B89)</f>
        <v/>
      </c>
      <c r="C7586" s="67" t="str">
        <f>IF('Thirty-First'!C89="", "",'Thirty-First'!C89)</f>
        <v/>
      </c>
      <c r="D7586" s="67" t="str">
        <f>IF('Thirty-First'!D89="", "",'Thirty-First'!D89)</f>
        <v/>
      </c>
      <c r="E7586" s="67" t="str">
        <f>IF('Thirty-First'!E89="", "",'Thirty-First'!E89)</f>
        <v/>
      </c>
      <c r="F7586" s="67" t="str">
        <f>IF('Thirty-First'!F89="", "",'Thirty-First'!F89)</f>
        <v/>
      </c>
      <c r="G7586" s="67" t="str">
        <f>IF('Thirty-First'!G89="", "",'Thirty-First'!G89)</f>
        <v/>
      </c>
      <c r="H7586" s="67" t="str">
        <f>IF('Thirty-First'!H89="", "",'Thirty-First'!H89)</f>
        <v/>
      </c>
      <c r="I7586" s="67" t="str">
        <f>IF('Thirty-First'!I89="", "",'Thirty-First'!I89)</f>
        <v/>
      </c>
      <c r="J7586" s="67" t="str">
        <f>IF('Thirty-First'!J89="", "",'Thirty-First'!J89)</f>
        <v/>
      </c>
      <c r="K7586" s="76" t="str">
        <f>IF('Thirty-First'!K89="", "",'Thirty-First'!K89)</f>
        <v/>
      </c>
      <c r="M7586" s="67" t="str">
        <f t="shared" si="365"/>
        <v/>
      </c>
      <c r="N7586" s="76" t="str">
        <f t="shared" si="366"/>
        <v/>
      </c>
      <c r="O7586" s="33">
        <f t="shared" si="367"/>
        <v>0</v>
      </c>
    </row>
    <row r="7587" spans="1:15" x14ac:dyDescent="0.25">
      <c r="A7587" s="94" t="s">
        <v>197</v>
      </c>
      <c r="B7587" s="66" t="str">
        <f>IF('Thirty-First'!B90="", "",'Thirty-First'!B90)</f>
        <v/>
      </c>
      <c r="C7587" s="67" t="str">
        <f>IF('Thirty-First'!C90="", "",'Thirty-First'!C90)</f>
        <v/>
      </c>
      <c r="D7587" s="67" t="str">
        <f>IF('Thirty-First'!D90="", "",'Thirty-First'!D90)</f>
        <v/>
      </c>
      <c r="E7587" s="67" t="str">
        <f>IF('Thirty-First'!E90="", "",'Thirty-First'!E90)</f>
        <v/>
      </c>
      <c r="F7587" s="67" t="str">
        <f>IF('Thirty-First'!F90="", "",'Thirty-First'!F90)</f>
        <v/>
      </c>
      <c r="G7587" s="67" t="str">
        <f>IF('Thirty-First'!G90="", "",'Thirty-First'!G90)</f>
        <v/>
      </c>
      <c r="H7587" s="67" t="str">
        <f>IF('Thirty-First'!H90="", "",'Thirty-First'!H90)</f>
        <v/>
      </c>
      <c r="I7587" s="67" t="str">
        <f>IF('Thirty-First'!I90="", "",'Thirty-First'!I90)</f>
        <v/>
      </c>
      <c r="J7587" s="67" t="str">
        <f>IF('Thirty-First'!J90="", "",'Thirty-First'!J90)</f>
        <v/>
      </c>
      <c r="K7587" s="76" t="str">
        <f>IF('Thirty-First'!K90="", "",'Thirty-First'!K90)</f>
        <v/>
      </c>
      <c r="M7587" s="67" t="str">
        <f t="shared" si="365"/>
        <v/>
      </c>
      <c r="N7587" s="76" t="str">
        <f t="shared" si="366"/>
        <v/>
      </c>
      <c r="O7587" s="33">
        <f t="shared" si="367"/>
        <v>0</v>
      </c>
    </row>
    <row r="7588" spans="1:15" x14ac:dyDescent="0.25">
      <c r="A7588" s="94" t="s">
        <v>197</v>
      </c>
      <c r="B7588" s="66" t="str">
        <f>IF('Thirty-First'!B91="", "",'Thirty-First'!B91)</f>
        <v/>
      </c>
      <c r="C7588" s="67" t="str">
        <f>IF('Thirty-First'!C91="", "",'Thirty-First'!C91)</f>
        <v/>
      </c>
      <c r="D7588" s="67" t="str">
        <f>IF('Thirty-First'!D91="", "",'Thirty-First'!D91)</f>
        <v/>
      </c>
      <c r="E7588" s="67" t="str">
        <f>IF('Thirty-First'!E91="", "",'Thirty-First'!E91)</f>
        <v/>
      </c>
      <c r="F7588" s="67" t="str">
        <f>IF('Thirty-First'!F91="", "",'Thirty-First'!F91)</f>
        <v/>
      </c>
      <c r="G7588" s="67" t="str">
        <f>IF('Thirty-First'!G91="", "",'Thirty-First'!G91)</f>
        <v/>
      </c>
      <c r="H7588" s="67" t="str">
        <f>IF('Thirty-First'!H91="", "",'Thirty-First'!H91)</f>
        <v/>
      </c>
      <c r="I7588" s="67" t="str">
        <f>IF('Thirty-First'!I91="", "",'Thirty-First'!I91)</f>
        <v/>
      </c>
      <c r="J7588" s="67" t="str">
        <f>IF('Thirty-First'!J91="", "",'Thirty-First'!J91)</f>
        <v/>
      </c>
      <c r="K7588" s="76" t="str">
        <f>IF('Thirty-First'!K91="", "",'Thirty-First'!K91)</f>
        <v/>
      </c>
      <c r="M7588" s="67" t="str">
        <f t="shared" si="365"/>
        <v/>
      </c>
      <c r="N7588" s="76" t="str">
        <f t="shared" si="366"/>
        <v/>
      </c>
      <c r="O7588" s="33">
        <f t="shared" si="367"/>
        <v>0</v>
      </c>
    </row>
    <row r="7589" spans="1:15" x14ac:dyDescent="0.25">
      <c r="A7589" s="94" t="s">
        <v>197</v>
      </c>
      <c r="B7589" s="66" t="str">
        <f>IF('Thirty-First'!B92="", "",'Thirty-First'!B92)</f>
        <v/>
      </c>
      <c r="C7589" s="67" t="str">
        <f>IF('Thirty-First'!C92="", "",'Thirty-First'!C92)</f>
        <v/>
      </c>
      <c r="D7589" s="67" t="str">
        <f>IF('Thirty-First'!D92="", "",'Thirty-First'!D92)</f>
        <v/>
      </c>
      <c r="E7589" s="67" t="str">
        <f>IF('Thirty-First'!E92="", "",'Thirty-First'!E92)</f>
        <v/>
      </c>
      <c r="F7589" s="67" t="str">
        <f>IF('Thirty-First'!F92="", "",'Thirty-First'!F92)</f>
        <v/>
      </c>
      <c r="G7589" s="67" t="str">
        <f>IF('Thirty-First'!G92="", "",'Thirty-First'!G92)</f>
        <v/>
      </c>
      <c r="H7589" s="67" t="str">
        <f>IF('Thirty-First'!H92="", "",'Thirty-First'!H92)</f>
        <v/>
      </c>
      <c r="I7589" s="67" t="str">
        <f>IF('Thirty-First'!I92="", "",'Thirty-First'!I92)</f>
        <v/>
      </c>
      <c r="J7589" s="67" t="str">
        <f>IF('Thirty-First'!J92="", "",'Thirty-First'!J92)</f>
        <v/>
      </c>
      <c r="K7589" s="76" t="str">
        <f>IF('Thirty-First'!K92="", "",'Thirty-First'!K92)</f>
        <v/>
      </c>
      <c r="M7589" s="67" t="str">
        <f t="shared" si="365"/>
        <v/>
      </c>
      <c r="N7589" s="76" t="str">
        <f t="shared" si="366"/>
        <v/>
      </c>
      <c r="O7589" s="33">
        <f t="shared" si="367"/>
        <v>0</v>
      </c>
    </row>
    <row r="7590" spans="1:15" x14ac:dyDescent="0.25">
      <c r="A7590" s="94" t="s">
        <v>197</v>
      </c>
      <c r="B7590" s="66" t="str">
        <f>IF('Thirty-First'!B93="", "",'Thirty-First'!B93)</f>
        <v/>
      </c>
      <c r="C7590" s="67" t="str">
        <f>IF('Thirty-First'!C93="", "",'Thirty-First'!C93)</f>
        <v/>
      </c>
      <c r="D7590" s="67" t="str">
        <f>IF('Thirty-First'!D93="", "",'Thirty-First'!D93)</f>
        <v/>
      </c>
      <c r="E7590" s="67" t="str">
        <f>IF('Thirty-First'!E93="", "",'Thirty-First'!E93)</f>
        <v/>
      </c>
      <c r="F7590" s="67" t="str">
        <f>IF('Thirty-First'!F93="", "",'Thirty-First'!F93)</f>
        <v/>
      </c>
      <c r="G7590" s="67" t="str">
        <f>IF('Thirty-First'!G93="", "",'Thirty-First'!G93)</f>
        <v/>
      </c>
      <c r="H7590" s="67" t="str">
        <f>IF('Thirty-First'!H93="", "",'Thirty-First'!H93)</f>
        <v/>
      </c>
      <c r="I7590" s="67" t="str">
        <f>IF('Thirty-First'!I93="", "",'Thirty-First'!I93)</f>
        <v/>
      </c>
      <c r="J7590" s="67" t="str">
        <f>IF('Thirty-First'!J93="", "",'Thirty-First'!J93)</f>
        <v/>
      </c>
      <c r="K7590" s="76" t="str">
        <f>IF('Thirty-First'!K93="", "",'Thirty-First'!K93)</f>
        <v/>
      </c>
      <c r="M7590" s="67" t="str">
        <f t="shared" si="365"/>
        <v/>
      </c>
      <c r="N7590" s="76" t="str">
        <f t="shared" si="366"/>
        <v/>
      </c>
      <c r="O7590" s="33">
        <f t="shared" si="367"/>
        <v>0</v>
      </c>
    </row>
    <row r="7591" spans="1:15" x14ac:dyDescent="0.25">
      <c r="A7591" s="94" t="s">
        <v>197</v>
      </c>
      <c r="B7591" s="66" t="str">
        <f>IF('Thirty-First'!B94="", "",'Thirty-First'!B94)</f>
        <v/>
      </c>
      <c r="C7591" s="67" t="str">
        <f>IF('Thirty-First'!C94="", "",'Thirty-First'!C94)</f>
        <v/>
      </c>
      <c r="D7591" s="67" t="str">
        <f>IF('Thirty-First'!D94="", "",'Thirty-First'!D94)</f>
        <v/>
      </c>
      <c r="E7591" s="67" t="str">
        <f>IF('Thirty-First'!E94="", "",'Thirty-First'!E94)</f>
        <v/>
      </c>
      <c r="F7591" s="67" t="str">
        <f>IF('Thirty-First'!F94="", "",'Thirty-First'!F94)</f>
        <v/>
      </c>
      <c r="G7591" s="67" t="str">
        <f>IF('Thirty-First'!G94="", "",'Thirty-First'!G94)</f>
        <v/>
      </c>
      <c r="H7591" s="67" t="str">
        <f>IF('Thirty-First'!H94="", "",'Thirty-First'!H94)</f>
        <v/>
      </c>
      <c r="I7591" s="67" t="str">
        <f>IF('Thirty-First'!I94="", "",'Thirty-First'!I94)</f>
        <v/>
      </c>
      <c r="J7591" s="67" t="str">
        <f>IF('Thirty-First'!J94="", "",'Thirty-First'!J94)</f>
        <v/>
      </c>
      <c r="K7591" s="76" t="str">
        <f>IF('Thirty-First'!K94="", "",'Thirty-First'!K94)</f>
        <v/>
      </c>
      <c r="M7591" s="67" t="str">
        <f t="shared" si="365"/>
        <v/>
      </c>
      <c r="N7591" s="76" t="str">
        <f t="shared" si="366"/>
        <v/>
      </c>
      <c r="O7591" s="33">
        <f t="shared" si="367"/>
        <v>0</v>
      </c>
    </row>
    <row r="7592" spans="1:15" x14ac:dyDescent="0.25">
      <c r="A7592" s="94" t="s">
        <v>197</v>
      </c>
      <c r="B7592" s="66" t="str">
        <f>IF('Thirty-First'!B95="", "",'Thirty-First'!B95)</f>
        <v/>
      </c>
      <c r="C7592" s="67" t="str">
        <f>IF('Thirty-First'!C95="", "",'Thirty-First'!C95)</f>
        <v/>
      </c>
      <c r="D7592" s="67" t="str">
        <f>IF('Thirty-First'!D95="", "",'Thirty-First'!D95)</f>
        <v/>
      </c>
      <c r="E7592" s="67" t="str">
        <f>IF('Thirty-First'!E95="", "",'Thirty-First'!E95)</f>
        <v/>
      </c>
      <c r="F7592" s="67" t="str">
        <f>IF('Thirty-First'!F95="", "",'Thirty-First'!F95)</f>
        <v/>
      </c>
      <c r="G7592" s="67" t="str">
        <f>IF('Thirty-First'!G95="", "",'Thirty-First'!G95)</f>
        <v/>
      </c>
      <c r="H7592" s="67" t="str">
        <f>IF('Thirty-First'!H95="", "",'Thirty-First'!H95)</f>
        <v/>
      </c>
      <c r="I7592" s="67" t="str">
        <f>IF('Thirty-First'!I95="", "",'Thirty-First'!I95)</f>
        <v/>
      </c>
      <c r="J7592" s="67" t="str">
        <f>IF('Thirty-First'!J95="", "",'Thirty-First'!J95)</f>
        <v/>
      </c>
      <c r="K7592" s="76" t="str">
        <f>IF('Thirty-First'!K95="", "",'Thirty-First'!K95)</f>
        <v/>
      </c>
      <c r="M7592" s="67" t="str">
        <f t="shared" si="365"/>
        <v/>
      </c>
      <c r="N7592" s="76" t="str">
        <f t="shared" si="366"/>
        <v/>
      </c>
      <c r="O7592" s="33">
        <f t="shared" si="367"/>
        <v>0</v>
      </c>
    </row>
    <row r="7593" spans="1:15" x14ac:dyDescent="0.25">
      <c r="A7593" s="94" t="s">
        <v>197</v>
      </c>
      <c r="B7593" s="66" t="str">
        <f>IF('Thirty-First'!B96="", "",'Thirty-First'!B96)</f>
        <v/>
      </c>
      <c r="C7593" s="67" t="str">
        <f>IF('Thirty-First'!C96="", "",'Thirty-First'!C96)</f>
        <v/>
      </c>
      <c r="D7593" s="67" t="str">
        <f>IF('Thirty-First'!D96="", "",'Thirty-First'!D96)</f>
        <v/>
      </c>
      <c r="E7593" s="67" t="str">
        <f>IF('Thirty-First'!E96="", "",'Thirty-First'!E96)</f>
        <v/>
      </c>
      <c r="F7593" s="67" t="str">
        <f>IF('Thirty-First'!F96="", "",'Thirty-First'!F96)</f>
        <v/>
      </c>
      <c r="G7593" s="67" t="str">
        <f>IF('Thirty-First'!G96="", "",'Thirty-First'!G96)</f>
        <v/>
      </c>
      <c r="H7593" s="67" t="str">
        <f>IF('Thirty-First'!H96="", "",'Thirty-First'!H96)</f>
        <v/>
      </c>
      <c r="I7593" s="67" t="str">
        <f>IF('Thirty-First'!I96="", "",'Thirty-First'!I96)</f>
        <v/>
      </c>
      <c r="J7593" s="67" t="str">
        <f>IF('Thirty-First'!J96="", "",'Thirty-First'!J96)</f>
        <v/>
      </c>
      <c r="K7593" s="76" t="str">
        <f>IF('Thirty-First'!K96="", "",'Thirty-First'!K96)</f>
        <v/>
      </c>
      <c r="M7593" s="67" t="str">
        <f t="shared" si="365"/>
        <v/>
      </c>
      <c r="N7593" s="76" t="str">
        <f t="shared" si="366"/>
        <v/>
      </c>
      <c r="O7593" s="33">
        <f t="shared" si="367"/>
        <v>0</v>
      </c>
    </row>
    <row r="7594" spans="1:15" x14ac:dyDescent="0.25">
      <c r="A7594" s="94" t="s">
        <v>197</v>
      </c>
      <c r="B7594" s="66" t="str">
        <f>IF('Thirty-First'!B97="", "",'Thirty-First'!B97)</f>
        <v/>
      </c>
      <c r="C7594" s="67" t="str">
        <f>IF('Thirty-First'!C97="", "",'Thirty-First'!C97)</f>
        <v/>
      </c>
      <c r="D7594" s="67" t="str">
        <f>IF('Thirty-First'!D97="", "",'Thirty-First'!D97)</f>
        <v/>
      </c>
      <c r="E7594" s="67" t="str">
        <f>IF('Thirty-First'!E97="", "",'Thirty-First'!E97)</f>
        <v/>
      </c>
      <c r="F7594" s="67" t="str">
        <f>IF('Thirty-First'!F97="", "",'Thirty-First'!F97)</f>
        <v/>
      </c>
      <c r="G7594" s="67" t="str">
        <f>IF('Thirty-First'!G97="", "",'Thirty-First'!G97)</f>
        <v/>
      </c>
      <c r="H7594" s="67" t="str">
        <f>IF('Thirty-First'!H97="", "",'Thirty-First'!H97)</f>
        <v/>
      </c>
      <c r="I7594" s="67" t="str">
        <f>IF('Thirty-First'!I97="", "",'Thirty-First'!I97)</f>
        <v/>
      </c>
      <c r="J7594" s="67" t="str">
        <f>IF('Thirty-First'!J97="", "",'Thirty-First'!J97)</f>
        <v/>
      </c>
      <c r="K7594" s="76" t="str">
        <f>IF('Thirty-First'!K97="", "",'Thirty-First'!K97)</f>
        <v/>
      </c>
      <c r="M7594" s="67" t="str">
        <f t="shared" si="365"/>
        <v/>
      </c>
      <c r="N7594" s="76" t="str">
        <f t="shared" si="366"/>
        <v/>
      </c>
      <c r="O7594" s="33">
        <f t="shared" si="367"/>
        <v>0</v>
      </c>
    </row>
    <row r="7595" spans="1:15" x14ac:dyDescent="0.25">
      <c r="A7595" s="94" t="s">
        <v>197</v>
      </c>
      <c r="B7595" s="66" t="str">
        <f>IF('Thirty-First'!B98="", "",'Thirty-First'!B98)</f>
        <v/>
      </c>
      <c r="C7595" s="67" t="str">
        <f>IF('Thirty-First'!C98="", "",'Thirty-First'!C98)</f>
        <v/>
      </c>
      <c r="D7595" s="67" t="str">
        <f>IF('Thirty-First'!D98="", "",'Thirty-First'!D98)</f>
        <v/>
      </c>
      <c r="E7595" s="67" t="str">
        <f>IF('Thirty-First'!E98="", "",'Thirty-First'!E98)</f>
        <v/>
      </c>
      <c r="F7595" s="67" t="str">
        <f>IF('Thirty-First'!F98="", "",'Thirty-First'!F98)</f>
        <v/>
      </c>
      <c r="G7595" s="67" t="str">
        <f>IF('Thirty-First'!G98="", "",'Thirty-First'!G98)</f>
        <v/>
      </c>
      <c r="H7595" s="67" t="str">
        <f>IF('Thirty-First'!H98="", "",'Thirty-First'!H98)</f>
        <v/>
      </c>
      <c r="I7595" s="67" t="str">
        <f>IF('Thirty-First'!I98="", "",'Thirty-First'!I98)</f>
        <v/>
      </c>
      <c r="J7595" s="67" t="str">
        <f>IF('Thirty-First'!J98="", "",'Thirty-First'!J98)</f>
        <v/>
      </c>
      <c r="K7595" s="76" t="str">
        <f>IF('Thirty-First'!K98="", "",'Thirty-First'!K98)</f>
        <v/>
      </c>
      <c r="M7595" s="67" t="str">
        <f t="shared" si="365"/>
        <v/>
      </c>
      <c r="N7595" s="76" t="str">
        <f t="shared" si="366"/>
        <v/>
      </c>
      <c r="O7595" s="33">
        <f t="shared" si="367"/>
        <v>0</v>
      </c>
    </row>
    <row r="7596" spans="1:15" x14ac:dyDescent="0.25">
      <c r="A7596" s="94" t="s">
        <v>197</v>
      </c>
      <c r="B7596" s="66" t="str">
        <f>IF('Thirty-First'!B99="", "",'Thirty-First'!B99)</f>
        <v/>
      </c>
      <c r="C7596" s="67" t="str">
        <f>IF('Thirty-First'!C99="", "",'Thirty-First'!C99)</f>
        <v/>
      </c>
      <c r="D7596" s="67" t="str">
        <f>IF('Thirty-First'!D99="", "",'Thirty-First'!D99)</f>
        <v/>
      </c>
      <c r="E7596" s="67" t="str">
        <f>IF('Thirty-First'!E99="", "",'Thirty-First'!E99)</f>
        <v/>
      </c>
      <c r="F7596" s="67" t="str">
        <f>IF('Thirty-First'!F99="", "",'Thirty-First'!F99)</f>
        <v/>
      </c>
      <c r="G7596" s="67" t="str">
        <f>IF('Thirty-First'!G99="", "",'Thirty-First'!G99)</f>
        <v/>
      </c>
      <c r="H7596" s="67" t="str">
        <f>IF('Thirty-First'!H99="", "",'Thirty-First'!H99)</f>
        <v/>
      </c>
      <c r="I7596" s="67" t="str">
        <f>IF('Thirty-First'!I99="", "",'Thirty-First'!I99)</f>
        <v/>
      </c>
      <c r="J7596" s="67" t="str">
        <f>IF('Thirty-First'!J99="", "",'Thirty-First'!J99)</f>
        <v/>
      </c>
      <c r="K7596" s="76" t="str">
        <f>IF('Thirty-First'!K99="", "",'Thirty-First'!K99)</f>
        <v/>
      </c>
      <c r="M7596" s="67" t="str">
        <f t="shared" si="365"/>
        <v/>
      </c>
      <c r="N7596" s="76" t="str">
        <f t="shared" si="366"/>
        <v/>
      </c>
      <c r="O7596" s="33">
        <f t="shared" si="367"/>
        <v>0</v>
      </c>
    </row>
    <row r="7597" spans="1:15" x14ac:dyDescent="0.25">
      <c r="A7597" s="94" t="s">
        <v>197</v>
      </c>
      <c r="B7597" s="66" t="str">
        <f>IF('Thirty-First'!B100="", "",'Thirty-First'!B100)</f>
        <v/>
      </c>
      <c r="C7597" s="67" t="str">
        <f>IF('Thirty-First'!C100="", "",'Thirty-First'!C100)</f>
        <v/>
      </c>
      <c r="D7597" s="67" t="str">
        <f>IF('Thirty-First'!D100="", "",'Thirty-First'!D100)</f>
        <v/>
      </c>
      <c r="E7597" s="67" t="str">
        <f>IF('Thirty-First'!E100="", "",'Thirty-First'!E100)</f>
        <v/>
      </c>
      <c r="F7597" s="67" t="str">
        <f>IF('Thirty-First'!F100="", "",'Thirty-First'!F100)</f>
        <v/>
      </c>
      <c r="G7597" s="67" t="str">
        <f>IF('Thirty-First'!G100="", "",'Thirty-First'!G100)</f>
        <v/>
      </c>
      <c r="H7597" s="67" t="str">
        <f>IF('Thirty-First'!H100="", "",'Thirty-First'!H100)</f>
        <v/>
      </c>
      <c r="I7597" s="67" t="str">
        <f>IF('Thirty-First'!I100="", "",'Thirty-First'!I100)</f>
        <v/>
      </c>
      <c r="J7597" s="67" t="str">
        <f>IF('Thirty-First'!J100="", "",'Thirty-First'!J100)</f>
        <v/>
      </c>
      <c r="K7597" s="76" t="str">
        <f>IF('Thirty-First'!K100="", "",'Thirty-First'!K100)</f>
        <v/>
      </c>
      <c r="M7597" s="67" t="str">
        <f t="shared" si="365"/>
        <v/>
      </c>
      <c r="N7597" s="76" t="str">
        <f t="shared" si="366"/>
        <v/>
      </c>
      <c r="O7597" s="33">
        <f t="shared" si="367"/>
        <v>0</v>
      </c>
    </row>
    <row r="7598" spans="1:15" x14ac:dyDescent="0.25">
      <c r="A7598" s="94" t="s">
        <v>197</v>
      </c>
      <c r="B7598" s="66" t="str">
        <f>IF('Thirty-First'!B101="", "",'Thirty-First'!B101)</f>
        <v/>
      </c>
      <c r="C7598" s="67" t="str">
        <f>IF('Thirty-First'!C101="", "",'Thirty-First'!C101)</f>
        <v/>
      </c>
      <c r="D7598" s="67" t="str">
        <f>IF('Thirty-First'!D101="", "",'Thirty-First'!D101)</f>
        <v/>
      </c>
      <c r="E7598" s="67" t="str">
        <f>IF('Thirty-First'!E101="", "",'Thirty-First'!E101)</f>
        <v/>
      </c>
      <c r="F7598" s="67" t="str">
        <f>IF('Thirty-First'!F101="", "",'Thirty-First'!F101)</f>
        <v/>
      </c>
      <c r="G7598" s="67" t="str">
        <f>IF('Thirty-First'!G101="", "",'Thirty-First'!G101)</f>
        <v/>
      </c>
      <c r="H7598" s="67" t="str">
        <f>IF('Thirty-First'!H101="", "",'Thirty-First'!H101)</f>
        <v/>
      </c>
      <c r="I7598" s="67" t="str">
        <f>IF('Thirty-First'!I101="", "",'Thirty-First'!I101)</f>
        <v/>
      </c>
      <c r="J7598" s="67" t="str">
        <f>IF('Thirty-First'!J101="", "",'Thirty-First'!J101)</f>
        <v/>
      </c>
      <c r="K7598" s="76" t="str">
        <f>IF('Thirty-First'!K101="", "",'Thirty-First'!K101)</f>
        <v/>
      </c>
      <c r="M7598" s="67" t="str">
        <f t="shared" si="365"/>
        <v/>
      </c>
      <c r="N7598" s="76" t="str">
        <f t="shared" si="366"/>
        <v/>
      </c>
      <c r="O7598" s="33">
        <f t="shared" si="367"/>
        <v>0</v>
      </c>
    </row>
    <row r="7599" spans="1:15" x14ac:dyDescent="0.25">
      <c r="A7599" s="94" t="s">
        <v>197</v>
      </c>
      <c r="B7599" s="66" t="str">
        <f>IF('Thirty-First'!B102="", "",'Thirty-First'!B102)</f>
        <v/>
      </c>
      <c r="C7599" s="67" t="str">
        <f>IF('Thirty-First'!C102="", "",'Thirty-First'!C102)</f>
        <v/>
      </c>
      <c r="D7599" s="67" t="str">
        <f>IF('Thirty-First'!D102="", "",'Thirty-First'!D102)</f>
        <v/>
      </c>
      <c r="E7599" s="67" t="str">
        <f>IF('Thirty-First'!E102="", "",'Thirty-First'!E102)</f>
        <v/>
      </c>
      <c r="F7599" s="67" t="str">
        <f>IF('Thirty-First'!F102="", "",'Thirty-First'!F102)</f>
        <v/>
      </c>
      <c r="G7599" s="67" t="str">
        <f>IF('Thirty-First'!G102="", "",'Thirty-First'!G102)</f>
        <v/>
      </c>
      <c r="H7599" s="67" t="str">
        <f>IF('Thirty-First'!H102="", "",'Thirty-First'!H102)</f>
        <v/>
      </c>
      <c r="I7599" s="67" t="str">
        <f>IF('Thirty-First'!I102="", "",'Thirty-First'!I102)</f>
        <v/>
      </c>
      <c r="J7599" s="67" t="str">
        <f>IF('Thirty-First'!J102="", "",'Thirty-First'!J102)</f>
        <v/>
      </c>
      <c r="K7599" s="76" t="str">
        <f>IF('Thirty-First'!K102="", "",'Thirty-First'!K102)</f>
        <v/>
      </c>
      <c r="M7599" s="67" t="str">
        <f t="shared" si="365"/>
        <v/>
      </c>
      <c r="N7599" s="76" t="str">
        <f t="shared" si="366"/>
        <v/>
      </c>
      <c r="O7599" s="33">
        <f t="shared" si="367"/>
        <v>0</v>
      </c>
    </row>
    <row r="7600" spans="1:15" x14ac:dyDescent="0.25">
      <c r="A7600" s="94" t="s">
        <v>197</v>
      </c>
      <c r="B7600" s="66" t="str">
        <f>IF('Thirty-First'!B103="", "",'Thirty-First'!B103)</f>
        <v/>
      </c>
      <c r="C7600" s="67" t="str">
        <f>IF('Thirty-First'!C103="", "",'Thirty-First'!C103)</f>
        <v/>
      </c>
      <c r="D7600" s="67" t="str">
        <f>IF('Thirty-First'!D103="", "",'Thirty-First'!D103)</f>
        <v/>
      </c>
      <c r="E7600" s="67" t="str">
        <f>IF('Thirty-First'!E103="", "",'Thirty-First'!E103)</f>
        <v/>
      </c>
      <c r="F7600" s="67" t="str">
        <f>IF('Thirty-First'!F103="", "",'Thirty-First'!F103)</f>
        <v/>
      </c>
      <c r="G7600" s="67" t="str">
        <f>IF('Thirty-First'!G103="", "",'Thirty-First'!G103)</f>
        <v/>
      </c>
      <c r="H7600" s="67" t="str">
        <f>IF('Thirty-First'!H103="", "",'Thirty-First'!H103)</f>
        <v/>
      </c>
      <c r="I7600" s="67" t="str">
        <f>IF('Thirty-First'!I103="", "",'Thirty-First'!I103)</f>
        <v/>
      </c>
      <c r="J7600" s="67" t="str">
        <f>IF('Thirty-First'!J103="", "",'Thirty-First'!J103)</f>
        <v/>
      </c>
      <c r="K7600" s="76" t="str">
        <f>IF('Thirty-First'!K103="", "",'Thirty-First'!K103)</f>
        <v/>
      </c>
      <c r="M7600" s="67" t="str">
        <f t="shared" si="365"/>
        <v/>
      </c>
      <c r="N7600" s="76" t="str">
        <f t="shared" si="366"/>
        <v/>
      </c>
      <c r="O7600" s="33">
        <f t="shared" si="367"/>
        <v>0</v>
      </c>
    </row>
    <row r="7601" spans="1:15" x14ac:dyDescent="0.25">
      <c r="A7601" s="94" t="s">
        <v>197</v>
      </c>
      <c r="B7601" s="66" t="str">
        <f>IF('Thirty-First'!B104="", "",'Thirty-First'!B104)</f>
        <v/>
      </c>
      <c r="C7601" s="67" t="str">
        <f>IF('Thirty-First'!C104="", "",'Thirty-First'!C104)</f>
        <v/>
      </c>
      <c r="D7601" s="67" t="str">
        <f>IF('Thirty-First'!D104="", "",'Thirty-First'!D104)</f>
        <v/>
      </c>
      <c r="E7601" s="67" t="str">
        <f>IF('Thirty-First'!E104="", "",'Thirty-First'!E104)</f>
        <v/>
      </c>
      <c r="F7601" s="67" t="str">
        <f>IF('Thirty-First'!F104="", "",'Thirty-First'!F104)</f>
        <v/>
      </c>
      <c r="G7601" s="67" t="str">
        <f>IF('Thirty-First'!G104="", "",'Thirty-First'!G104)</f>
        <v/>
      </c>
      <c r="H7601" s="67" t="str">
        <f>IF('Thirty-First'!H104="", "",'Thirty-First'!H104)</f>
        <v/>
      </c>
      <c r="I7601" s="67" t="str">
        <f>IF('Thirty-First'!I104="", "",'Thirty-First'!I104)</f>
        <v/>
      </c>
      <c r="J7601" s="67" t="str">
        <f>IF('Thirty-First'!J104="", "",'Thirty-First'!J104)</f>
        <v/>
      </c>
      <c r="K7601" s="76" t="str">
        <f>IF('Thirty-First'!K104="", "",'Thirty-First'!K104)</f>
        <v/>
      </c>
      <c r="M7601" s="67" t="str">
        <f t="shared" si="365"/>
        <v/>
      </c>
      <c r="N7601" s="76" t="str">
        <f t="shared" si="366"/>
        <v/>
      </c>
      <c r="O7601" s="33">
        <f t="shared" si="367"/>
        <v>0</v>
      </c>
    </row>
    <row r="7602" spans="1:15" x14ac:dyDescent="0.25">
      <c r="A7602" s="94" t="s">
        <v>197</v>
      </c>
      <c r="B7602" s="66" t="str">
        <f>IF('Thirty-First'!B105="", "",'Thirty-First'!B105)</f>
        <v/>
      </c>
      <c r="C7602" s="67" t="str">
        <f>IF('Thirty-First'!C105="", "",'Thirty-First'!C105)</f>
        <v/>
      </c>
      <c r="D7602" s="67" t="str">
        <f>IF('Thirty-First'!D105="", "",'Thirty-First'!D105)</f>
        <v/>
      </c>
      <c r="E7602" s="67" t="str">
        <f>IF('Thirty-First'!E105="", "",'Thirty-First'!E105)</f>
        <v/>
      </c>
      <c r="F7602" s="67" t="str">
        <f>IF('Thirty-First'!F105="", "",'Thirty-First'!F105)</f>
        <v/>
      </c>
      <c r="G7602" s="67" t="str">
        <f>IF('Thirty-First'!G105="", "",'Thirty-First'!G105)</f>
        <v/>
      </c>
      <c r="H7602" s="67" t="str">
        <f>IF('Thirty-First'!H105="", "",'Thirty-First'!H105)</f>
        <v/>
      </c>
      <c r="I7602" s="67" t="str">
        <f>IF('Thirty-First'!I105="", "",'Thirty-First'!I105)</f>
        <v/>
      </c>
      <c r="J7602" s="67" t="str">
        <f>IF('Thirty-First'!J105="", "",'Thirty-First'!J105)</f>
        <v/>
      </c>
      <c r="K7602" s="76" t="str">
        <f>IF('Thirty-First'!K105="", "",'Thirty-First'!K105)</f>
        <v/>
      </c>
      <c r="M7602" s="67" t="str">
        <f t="shared" si="365"/>
        <v/>
      </c>
      <c r="N7602" s="76" t="str">
        <f t="shared" si="366"/>
        <v/>
      </c>
      <c r="O7602" s="33">
        <f t="shared" si="367"/>
        <v>0</v>
      </c>
    </row>
    <row r="7603" spans="1:15" x14ac:dyDescent="0.25">
      <c r="A7603" s="94" t="s">
        <v>197</v>
      </c>
      <c r="B7603" s="66" t="str">
        <f>IF('Thirty-First'!B106="", "",'Thirty-First'!B106)</f>
        <v/>
      </c>
      <c r="C7603" s="67" t="str">
        <f>IF('Thirty-First'!C106="", "",'Thirty-First'!C106)</f>
        <v/>
      </c>
      <c r="D7603" s="67" t="str">
        <f>IF('Thirty-First'!D106="", "",'Thirty-First'!D106)</f>
        <v/>
      </c>
      <c r="E7603" s="67" t="str">
        <f>IF('Thirty-First'!E106="", "",'Thirty-First'!E106)</f>
        <v/>
      </c>
      <c r="F7603" s="67" t="str">
        <f>IF('Thirty-First'!F106="", "",'Thirty-First'!F106)</f>
        <v/>
      </c>
      <c r="G7603" s="67" t="str">
        <f>IF('Thirty-First'!G106="", "",'Thirty-First'!G106)</f>
        <v/>
      </c>
      <c r="H7603" s="67" t="str">
        <f>IF('Thirty-First'!H106="", "",'Thirty-First'!H106)</f>
        <v/>
      </c>
      <c r="I7603" s="67" t="str">
        <f>IF('Thirty-First'!I106="", "",'Thirty-First'!I106)</f>
        <v/>
      </c>
      <c r="J7603" s="67" t="str">
        <f>IF('Thirty-First'!J106="", "",'Thirty-First'!J106)</f>
        <v/>
      </c>
      <c r="K7603" s="76" t="str">
        <f>IF('Thirty-First'!K106="", "",'Thirty-First'!K106)</f>
        <v/>
      </c>
      <c r="M7603" s="67" t="str">
        <f t="shared" si="365"/>
        <v/>
      </c>
      <c r="N7603" s="76" t="str">
        <f t="shared" si="366"/>
        <v/>
      </c>
      <c r="O7603" s="33">
        <f t="shared" si="367"/>
        <v>0</v>
      </c>
    </row>
    <row r="7604" spans="1:15" x14ac:dyDescent="0.25">
      <c r="A7604" s="94" t="s">
        <v>197</v>
      </c>
      <c r="B7604" s="66" t="str">
        <f>IF('Thirty-First'!B107="", "",'Thirty-First'!B107)</f>
        <v/>
      </c>
      <c r="C7604" s="67" t="str">
        <f>IF('Thirty-First'!C107="", "",'Thirty-First'!C107)</f>
        <v/>
      </c>
      <c r="D7604" s="67" t="str">
        <f>IF('Thirty-First'!D107="", "",'Thirty-First'!D107)</f>
        <v/>
      </c>
      <c r="E7604" s="67" t="str">
        <f>IF('Thirty-First'!E107="", "",'Thirty-First'!E107)</f>
        <v/>
      </c>
      <c r="F7604" s="67" t="str">
        <f>IF('Thirty-First'!F107="", "",'Thirty-First'!F107)</f>
        <v/>
      </c>
      <c r="G7604" s="67" t="str">
        <f>IF('Thirty-First'!G107="", "",'Thirty-First'!G107)</f>
        <v/>
      </c>
      <c r="H7604" s="67" t="str">
        <f>IF('Thirty-First'!H107="", "",'Thirty-First'!H107)</f>
        <v/>
      </c>
      <c r="I7604" s="67" t="str">
        <f>IF('Thirty-First'!I107="", "",'Thirty-First'!I107)</f>
        <v/>
      </c>
      <c r="J7604" s="67" t="str">
        <f>IF('Thirty-First'!J107="", "",'Thirty-First'!J107)</f>
        <v/>
      </c>
      <c r="K7604" s="76" t="str">
        <f>IF('Thirty-First'!K107="", "",'Thirty-First'!K107)</f>
        <v/>
      </c>
      <c r="M7604" s="67" t="str">
        <f t="shared" si="365"/>
        <v/>
      </c>
      <c r="N7604" s="76" t="str">
        <f t="shared" si="366"/>
        <v/>
      </c>
      <c r="O7604" s="33">
        <f t="shared" si="367"/>
        <v>0</v>
      </c>
    </row>
    <row r="7605" spans="1:15" x14ac:dyDescent="0.25">
      <c r="A7605" s="94" t="s">
        <v>197</v>
      </c>
      <c r="B7605" s="66" t="str">
        <f>IF('Thirty-First'!B108="", "",'Thirty-First'!B108)</f>
        <v/>
      </c>
      <c r="C7605" s="67" t="str">
        <f>IF('Thirty-First'!C108="", "",'Thirty-First'!C108)</f>
        <v/>
      </c>
      <c r="D7605" s="67" t="str">
        <f>IF('Thirty-First'!D108="", "",'Thirty-First'!D108)</f>
        <v/>
      </c>
      <c r="E7605" s="67" t="str">
        <f>IF('Thirty-First'!E108="", "",'Thirty-First'!E108)</f>
        <v/>
      </c>
      <c r="F7605" s="67" t="str">
        <f>IF('Thirty-First'!F108="", "",'Thirty-First'!F108)</f>
        <v/>
      </c>
      <c r="G7605" s="67" t="str">
        <f>IF('Thirty-First'!G108="", "",'Thirty-First'!G108)</f>
        <v/>
      </c>
      <c r="H7605" s="67" t="str">
        <f>IF('Thirty-First'!H108="", "",'Thirty-First'!H108)</f>
        <v/>
      </c>
      <c r="I7605" s="67" t="str">
        <f>IF('Thirty-First'!I108="", "",'Thirty-First'!I108)</f>
        <v/>
      </c>
      <c r="J7605" s="67" t="str">
        <f>IF('Thirty-First'!J108="", "",'Thirty-First'!J108)</f>
        <v/>
      </c>
      <c r="K7605" s="76" t="str">
        <f>IF('Thirty-First'!K108="", "",'Thirty-First'!K108)</f>
        <v/>
      </c>
      <c r="M7605" s="67" t="str">
        <f t="shared" si="365"/>
        <v/>
      </c>
      <c r="N7605" s="76" t="str">
        <f t="shared" si="366"/>
        <v/>
      </c>
      <c r="O7605" s="33">
        <f t="shared" si="367"/>
        <v>0</v>
      </c>
    </row>
    <row r="7606" spans="1:15" x14ac:dyDescent="0.25">
      <c r="A7606" s="94" t="s">
        <v>197</v>
      </c>
      <c r="B7606" s="66" t="str">
        <f>IF('Thirty-First'!B109="", "",'Thirty-First'!B109)</f>
        <v/>
      </c>
      <c r="C7606" s="67" t="str">
        <f>IF('Thirty-First'!C109="", "",'Thirty-First'!C109)</f>
        <v/>
      </c>
      <c r="D7606" s="67" t="str">
        <f>IF('Thirty-First'!D109="", "",'Thirty-First'!D109)</f>
        <v/>
      </c>
      <c r="E7606" s="67" t="str">
        <f>IF('Thirty-First'!E109="", "",'Thirty-First'!E109)</f>
        <v/>
      </c>
      <c r="F7606" s="67" t="str">
        <f>IF('Thirty-First'!F109="", "",'Thirty-First'!F109)</f>
        <v/>
      </c>
      <c r="G7606" s="67" t="str">
        <f>IF('Thirty-First'!G109="", "",'Thirty-First'!G109)</f>
        <v/>
      </c>
      <c r="H7606" s="67" t="str">
        <f>IF('Thirty-First'!H109="", "",'Thirty-First'!H109)</f>
        <v/>
      </c>
      <c r="I7606" s="67" t="str">
        <f>IF('Thirty-First'!I109="", "",'Thirty-First'!I109)</f>
        <v/>
      </c>
      <c r="J7606" s="67" t="str">
        <f>IF('Thirty-First'!J109="", "",'Thirty-First'!J109)</f>
        <v/>
      </c>
      <c r="K7606" s="76" t="str">
        <f>IF('Thirty-First'!K109="", "",'Thirty-First'!K109)</f>
        <v/>
      </c>
      <c r="M7606" s="67" t="str">
        <f t="shared" si="365"/>
        <v/>
      </c>
      <c r="N7606" s="76" t="str">
        <f t="shared" si="366"/>
        <v/>
      </c>
      <c r="O7606" s="33">
        <f t="shared" si="367"/>
        <v>0</v>
      </c>
    </row>
    <row r="7607" spans="1:15" x14ac:dyDescent="0.25">
      <c r="A7607" s="94" t="s">
        <v>197</v>
      </c>
      <c r="B7607" s="66" t="str">
        <f>IF('Thirty-First'!B110="", "",'Thirty-First'!B110)</f>
        <v/>
      </c>
      <c r="C7607" s="67" t="str">
        <f>IF('Thirty-First'!C110="", "",'Thirty-First'!C110)</f>
        <v/>
      </c>
      <c r="D7607" s="67" t="str">
        <f>IF('Thirty-First'!D110="", "",'Thirty-First'!D110)</f>
        <v/>
      </c>
      <c r="E7607" s="67" t="str">
        <f>IF('Thirty-First'!E110="", "",'Thirty-First'!E110)</f>
        <v/>
      </c>
      <c r="F7607" s="67" t="str">
        <f>IF('Thirty-First'!F110="", "",'Thirty-First'!F110)</f>
        <v/>
      </c>
      <c r="G7607" s="67" t="str">
        <f>IF('Thirty-First'!G110="", "",'Thirty-First'!G110)</f>
        <v/>
      </c>
      <c r="H7607" s="67" t="str">
        <f>IF('Thirty-First'!H110="", "",'Thirty-First'!H110)</f>
        <v/>
      </c>
      <c r="I7607" s="67" t="str">
        <f>IF('Thirty-First'!I110="", "",'Thirty-First'!I110)</f>
        <v/>
      </c>
      <c r="J7607" s="67" t="str">
        <f>IF('Thirty-First'!J110="", "",'Thirty-First'!J110)</f>
        <v/>
      </c>
      <c r="K7607" s="76" t="str">
        <f>IF('Thirty-First'!K110="", "",'Thirty-First'!K110)</f>
        <v/>
      </c>
      <c r="M7607" s="67" t="str">
        <f t="shared" si="365"/>
        <v/>
      </c>
      <c r="N7607" s="76" t="str">
        <f t="shared" si="366"/>
        <v/>
      </c>
      <c r="O7607" s="33">
        <f t="shared" si="367"/>
        <v>0</v>
      </c>
    </row>
    <row r="7608" spans="1:15" x14ac:dyDescent="0.25">
      <c r="A7608" s="94" t="s">
        <v>197</v>
      </c>
      <c r="B7608" s="66" t="str">
        <f>IF('Thirty-First'!B111="", "",'Thirty-First'!B111)</f>
        <v/>
      </c>
      <c r="C7608" s="67" t="str">
        <f>IF('Thirty-First'!C111="", "",'Thirty-First'!C111)</f>
        <v/>
      </c>
      <c r="D7608" s="67" t="str">
        <f>IF('Thirty-First'!D111="", "",'Thirty-First'!D111)</f>
        <v/>
      </c>
      <c r="E7608" s="67" t="str">
        <f>IF('Thirty-First'!E111="", "",'Thirty-First'!E111)</f>
        <v/>
      </c>
      <c r="F7608" s="67" t="str">
        <f>IF('Thirty-First'!F111="", "",'Thirty-First'!F111)</f>
        <v/>
      </c>
      <c r="G7608" s="67" t="str">
        <f>IF('Thirty-First'!G111="", "",'Thirty-First'!G111)</f>
        <v/>
      </c>
      <c r="H7608" s="67" t="str">
        <f>IF('Thirty-First'!H111="", "",'Thirty-First'!H111)</f>
        <v/>
      </c>
      <c r="I7608" s="67" t="str">
        <f>IF('Thirty-First'!I111="", "",'Thirty-First'!I111)</f>
        <v/>
      </c>
      <c r="J7608" s="67" t="str">
        <f>IF('Thirty-First'!J111="", "",'Thirty-First'!J111)</f>
        <v/>
      </c>
      <c r="K7608" s="76" t="str">
        <f>IF('Thirty-First'!K111="", "",'Thirty-First'!K111)</f>
        <v/>
      </c>
      <c r="M7608" s="67" t="str">
        <f t="shared" si="365"/>
        <v/>
      </c>
      <c r="N7608" s="76" t="str">
        <f t="shared" si="366"/>
        <v/>
      </c>
      <c r="O7608" s="33">
        <f t="shared" si="367"/>
        <v>0</v>
      </c>
    </row>
    <row r="7609" spans="1:15" x14ac:dyDescent="0.25">
      <c r="A7609" s="94" t="s">
        <v>197</v>
      </c>
      <c r="B7609" s="66" t="str">
        <f>IF('Thirty-First'!B112="", "",'Thirty-First'!B112)</f>
        <v/>
      </c>
      <c r="C7609" s="67" t="str">
        <f>IF('Thirty-First'!C112="", "",'Thirty-First'!C112)</f>
        <v/>
      </c>
      <c r="D7609" s="67" t="str">
        <f>IF('Thirty-First'!D112="", "",'Thirty-First'!D112)</f>
        <v/>
      </c>
      <c r="E7609" s="67" t="str">
        <f>IF('Thirty-First'!E112="", "",'Thirty-First'!E112)</f>
        <v/>
      </c>
      <c r="F7609" s="67" t="str">
        <f>IF('Thirty-First'!F112="", "",'Thirty-First'!F112)</f>
        <v/>
      </c>
      <c r="G7609" s="67" t="str">
        <f>IF('Thirty-First'!G112="", "",'Thirty-First'!G112)</f>
        <v/>
      </c>
      <c r="H7609" s="67" t="str">
        <f>IF('Thirty-First'!H112="", "",'Thirty-First'!H112)</f>
        <v/>
      </c>
      <c r="I7609" s="67" t="str">
        <f>IF('Thirty-First'!I112="", "",'Thirty-First'!I112)</f>
        <v/>
      </c>
      <c r="J7609" s="67" t="str">
        <f>IF('Thirty-First'!J112="", "",'Thirty-First'!J112)</f>
        <v/>
      </c>
      <c r="K7609" s="76" t="str">
        <f>IF('Thirty-First'!K112="", "",'Thirty-First'!K112)</f>
        <v/>
      </c>
      <c r="M7609" s="67" t="str">
        <f t="shared" si="365"/>
        <v/>
      </c>
      <c r="N7609" s="76" t="str">
        <f t="shared" si="366"/>
        <v/>
      </c>
      <c r="O7609" s="33">
        <f t="shared" si="367"/>
        <v>0</v>
      </c>
    </row>
    <row r="7610" spans="1:15" x14ac:dyDescent="0.25">
      <c r="A7610" s="94" t="s">
        <v>197</v>
      </c>
      <c r="B7610" s="66" t="str">
        <f>IF('Thirty-First'!B113="", "",'Thirty-First'!B113)</f>
        <v/>
      </c>
      <c r="C7610" s="67" t="str">
        <f>IF('Thirty-First'!C113="", "",'Thirty-First'!C113)</f>
        <v/>
      </c>
      <c r="D7610" s="67" t="str">
        <f>IF('Thirty-First'!D113="", "",'Thirty-First'!D113)</f>
        <v/>
      </c>
      <c r="E7610" s="67" t="str">
        <f>IF('Thirty-First'!E113="", "",'Thirty-First'!E113)</f>
        <v/>
      </c>
      <c r="F7610" s="67" t="str">
        <f>IF('Thirty-First'!F113="", "",'Thirty-First'!F113)</f>
        <v/>
      </c>
      <c r="G7610" s="67" t="str">
        <f>IF('Thirty-First'!G113="", "",'Thirty-First'!G113)</f>
        <v/>
      </c>
      <c r="H7610" s="67" t="str">
        <f>IF('Thirty-First'!H113="", "",'Thirty-First'!H113)</f>
        <v/>
      </c>
      <c r="I7610" s="67" t="str">
        <f>IF('Thirty-First'!I113="", "",'Thirty-First'!I113)</f>
        <v/>
      </c>
      <c r="J7610" s="67" t="str">
        <f>IF('Thirty-First'!J113="", "",'Thirty-First'!J113)</f>
        <v/>
      </c>
      <c r="K7610" s="76" t="str">
        <f>IF('Thirty-First'!K113="", "",'Thirty-First'!K113)</f>
        <v/>
      </c>
      <c r="M7610" s="67" t="str">
        <f t="shared" si="365"/>
        <v/>
      </c>
      <c r="N7610" s="76" t="str">
        <f t="shared" si="366"/>
        <v/>
      </c>
      <c r="O7610" s="33">
        <f t="shared" si="367"/>
        <v>0</v>
      </c>
    </row>
    <row r="7611" spans="1:15" x14ac:dyDescent="0.25">
      <c r="A7611" s="94" t="s">
        <v>197</v>
      </c>
      <c r="B7611" s="66" t="str">
        <f>IF('Thirty-First'!B114="", "",'Thirty-First'!B114)</f>
        <v/>
      </c>
      <c r="C7611" s="67" t="str">
        <f>IF('Thirty-First'!C114="", "",'Thirty-First'!C114)</f>
        <v/>
      </c>
      <c r="D7611" s="67" t="str">
        <f>IF('Thirty-First'!D114="", "",'Thirty-First'!D114)</f>
        <v/>
      </c>
      <c r="E7611" s="67" t="str">
        <f>IF('Thirty-First'!E114="", "",'Thirty-First'!E114)</f>
        <v/>
      </c>
      <c r="F7611" s="67" t="str">
        <f>IF('Thirty-First'!F114="", "",'Thirty-First'!F114)</f>
        <v/>
      </c>
      <c r="G7611" s="67" t="str">
        <f>IF('Thirty-First'!G114="", "",'Thirty-First'!G114)</f>
        <v/>
      </c>
      <c r="H7611" s="67" t="str">
        <f>IF('Thirty-First'!H114="", "",'Thirty-First'!H114)</f>
        <v/>
      </c>
      <c r="I7611" s="67" t="str">
        <f>IF('Thirty-First'!I114="", "",'Thirty-First'!I114)</f>
        <v/>
      </c>
      <c r="J7611" s="67" t="str">
        <f>IF('Thirty-First'!J114="", "",'Thirty-First'!J114)</f>
        <v/>
      </c>
      <c r="K7611" s="76" t="str">
        <f>IF('Thirty-First'!K114="", "",'Thirty-First'!K114)</f>
        <v/>
      </c>
      <c r="M7611" s="67" t="str">
        <f t="shared" si="365"/>
        <v/>
      </c>
      <c r="N7611" s="76" t="str">
        <f t="shared" si="366"/>
        <v/>
      </c>
      <c r="O7611" s="33">
        <f t="shared" si="367"/>
        <v>0</v>
      </c>
    </row>
    <row r="7612" spans="1:15" x14ac:dyDescent="0.25">
      <c r="A7612" s="94" t="s">
        <v>197</v>
      </c>
      <c r="B7612" s="66" t="str">
        <f>IF('Thirty-First'!B115="", "",'Thirty-First'!B115)</f>
        <v/>
      </c>
      <c r="C7612" s="67" t="str">
        <f>IF('Thirty-First'!C115="", "",'Thirty-First'!C115)</f>
        <v/>
      </c>
      <c r="D7612" s="67" t="str">
        <f>IF('Thirty-First'!D115="", "",'Thirty-First'!D115)</f>
        <v/>
      </c>
      <c r="E7612" s="67" t="str">
        <f>IF('Thirty-First'!E115="", "",'Thirty-First'!E115)</f>
        <v/>
      </c>
      <c r="F7612" s="67" t="str">
        <f>IF('Thirty-First'!F115="", "",'Thirty-First'!F115)</f>
        <v/>
      </c>
      <c r="G7612" s="67" t="str">
        <f>IF('Thirty-First'!G115="", "",'Thirty-First'!G115)</f>
        <v/>
      </c>
      <c r="H7612" s="67" t="str">
        <f>IF('Thirty-First'!H115="", "",'Thirty-First'!H115)</f>
        <v/>
      </c>
      <c r="I7612" s="67" t="str">
        <f>IF('Thirty-First'!I115="", "",'Thirty-First'!I115)</f>
        <v/>
      </c>
      <c r="J7612" s="67" t="str">
        <f>IF('Thirty-First'!J115="", "",'Thirty-First'!J115)</f>
        <v/>
      </c>
      <c r="K7612" s="76" t="str">
        <f>IF('Thirty-First'!K115="", "",'Thirty-First'!K115)</f>
        <v/>
      </c>
      <c r="M7612" s="67" t="str">
        <f t="shared" si="365"/>
        <v/>
      </c>
      <c r="N7612" s="76" t="str">
        <f t="shared" si="366"/>
        <v/>
      </c>
      <c r="O7612" s="33">
        <f t="shared" si="367"/>
        <v>0</v>
      </c>
    </row>
    <row r="7613" spans="1:15" x14ac:dyDescent="0.25">
      <c r="A7613" s="94" t="s">
        <v>197</v>
      </c>
      <c r="B7613" s="66" t="str">
        <f>IF('Thirty-First'!B116="", "",'Thirty-First'!B116)</f>
        <v/>
      </c>
      <c r="C7613" s="67" t="str">
        <f>IF('Thirty-First'!C116="", "",'Thirty-First'!C116)</f>
        <v/>
      </c>
      <c r="D7613" s="67" t="str">
        <f>IF('Thirty-First'!D116="", "",'Thirty-First'!D116)</f>
        <v/>
      </c>
      <c r="E7613" s="67" t="str">
        <f>IF('Thirty-First'!E116="", "",'Thirty-First'!E116)</f>
        <v/>
      </c>
      <c r="F7613" s="67" t="str">
        <f>IF('Thirty-First'!F116="", "",'Thirty-First'!F116)</f>
        <v/>
      </c>
      <c r="G7613" s="67" t="str">
        <f>IF('Thirty-First'!G116="", "",'Thirty-First'!G116)</f>
        <v/>
      </c>
      <c r="H7613" s="67" t="str">
        <f>IF('Thirty-First'!H116="", "",'Thirty-First'!H116)</f>
        <v/>
      </c>
      <c r="I7613" s="67" t="str">
        <f>IF('Thirty-First'!I116="", "",'Thirty-First'!I116)</f>
        <v/>
      </c>
      <c r="J7613" s="67" t="str">
        <f>IF('Thirty-First'!J116="", "",'Thirty-First'!J116)</f>
        <v/>
      </c>
      <c r="K7613" s="76" t="str">
        <f>IF('Thirty-First'!K116="", "",'Thirty-First'!K116)</f>
        <v/>
      </c>
      <c r="M7613" s="67" t="str">
        <f t="shared" si="365"/>
        <v/>
      </c>
      <c r="N7613" s="76" t="str">
        <f t="shared" si="366"/>
        <v/>
      </c>
      <c r="O7613" s="33">
        <f t="shared" si="367"/>
        <v>0</v>
      </c>
    </row>
    <row r="7614" spans="1:15" x14ac:dyDescent="0.25">
      <c r="A7614" s="94" t="s">
        <v>197</v>
      </c>
      <c r="B7614" s="66" t="str">
        <f>IF('Thirty-First'!B117="", "",'Thirty-First'!B117)</f>
        <v/>
      </c>
      <c r="C7614" s="67" t="str">
        <f>IF('Thirty-First'!C117="", "",'Thirty-First'!C117)</f>
        <v/>
      </c>
      <c r="D7614" s="67" t="str">
        <f>IF('Thirty-First'!D117="", "",'Thirty-First'!D117)</f>
        <v/>
      </c>
      <c r="E7614" s="67" t="str">
        <f>IF('Thirty-First'!E117="", "",'Thirty-First'!E117)</f>
        <v/>
      </c>
      <c r="F7614" s="67" t="str">
        <f>IF('Thirty-First'!F117="", "",'Thirty-First'!F117)</f>
        <v/>
      </c>
      <c r="G7614" s="67" t="str">
        <f>IF('Thirty-First'!G117="", "",'Thirty-First'!G117)</f>
        <v/>
      </c>
      <c r="H7614" s="67" t="str">
        <f>IF('Thirty-First'!H117="", "",'Thirty-First'!H117)</f>
        <v/>
      </c>
      <c r="I7614" s="67" t="str">
        <f>IF('Thirty-First'!I117="", "",'Thirty-First'!I117)</f>
        <v/>
      </c>
      <c r="J7614" s="67" t="str">
        <f>IF('Thirty-First'!J117="", "",'Thirty-First'!J117)</f>
        <v/>
      </c>
      <c r="K7614" s="76" t="str">
        <f>IF('Thirty-First'!K117="", "",'Thirty-First'!K117)</f>
        <v/>
      </c>
      <c r="M7614" s="67" t="str">
        <f t="shared" si="365"/>
        <v/>
      </c>
      <c r="N7614" s="76" t="str">
        <f t="shared" si="366"/>
        <v/>
      </c>
      <c r="O7614" s="33">
        <f t="shared" si="367"/>
        <v>0</v>
      </c>
    </row>
    <row r="7615" spans="1:15" x14ac:dyDescent="0.25">
      <c r="A7615" s="94" t="s">
        <v>197</v>
      </c>
      <c r="B7615" s="66" t="str">
        <f>IF('Thirty-First'!B118="", "",'Thirty-First'!B118)</f>
        <v/>
      </c>
      <c r="C7615" s="67" t="str">
        <f>IF('Thirty-First'!C118="", "",'Thirty-First'!C118)</f>
        <v/>
      </c>
      <c r="D7615" s="67" t="str">
        <f>IF('Thirty-First'!D118="", "",'Thirty-First'!D118)</f>
        <v/>
      </c>
      <c r="E7615" s="67" t="str">
        <f>IF('Thirty-First'!E118="", "",'Thirty-First'!E118)</f>
        <v/>
      </c>
      <c r="F7615" s="67" t="str">
        <f>IF('Thirty-First'!F118="", "",'Thirty-First'!F118)</f>
        <v/>
      </c>
      <c r="G7615" s="67" t="str">
        <f>IF('Thirty-First'!G118="", "",'Thirty-First'!G118)</f>
        <v/>
      </c>
      <c r="H7615" s="67" t="str">
        <f>IF('Thirty-First'!H118="", "",'Thirty-First'!H118)</f>
        <v/>
      </c>
      <c r="I7615" s="67" t="str">
        <f>IF('Thirty-First'!I118="", "",'Thirty-First'!I118)</f>
        <v/>
      </c>
      <c r="J7615" s="67" t="str">
        <f>IF('Thirty-First'!J118="", "",'Thirty-First'!J118)</f>
        <v/>
      </c>
      <c r="K7615" s="76" t="str">
        <f>IF('Thirty-First'!K118="", "",'Thirty-First'!K118)</f>
        <v/>
      </c>
      <c r="M7615" s="67" t="str">
        <f t="shared" si="365"/>
        <v/>
      </c>
      <c r="N7615" s="76" t="str">
        <f t="shared" si="366"/>
        <v/>
      </c>
      <c r="O7615" s="33">
        <f t="shared" si="367"/>
        <v>0</v>
      </c>
    </row>
    <row r="7616" spans="1:15" x14ac:dyDescent="0.25">
      <c r="A7616" s="94" t="s">
        <v>197</v>
      </c>
      <c r="B7616" s="66" t="str">
        <f>IF('Thirty-First'!B119="", "",'Thirty-First'!B119)</f>
        <v/>
      </c>
      <c r="C7616" s="67" t="str">
        <f>IF('Thirty-First'!C119="", "",'Thirty-First'!C119)</f>
        <v/>
      </c>
      <c r="D7616" s="67" t="str">
        <f>IF('Thirty-First'!D119="", "",'Thirty-First'!D119)</f>
        <v/>
      </c>
      <c r="E7616" s="67" t="str">
        <f>IF('Thirty-First'!E119="", "",'Thirty-First'!E119)</f>
        <v/>
      </c>
      <c r="F7616" s="67" t="str">
        <f>IF('Thirty-First'!F119="", "",'Thirty-First'!F119)</f>
        <v/>
      </c>
      <c r="G7616" s="67" t="str">
        <f>IF('Thirty-First'!G119="", "",'Thirty-First'!G119)</f>
        <v/>
      </c>
      <c r="H7616" s="67" t="str">
        <f>IF('Thirty-First'!H119="", "",'Thirty-First'!H119)</f>
        <v/>
      </c>
      <c r="I7616" s="67" t="str">
        <f>IF('Thirty-First'!I119="", "",'Thirty-First'!I119)</f>
        <v/>
      </c>
      <c r="J7616" s="67" t="str">
        <f>IF('Thirty-First'!J119="", "",'Thirty-First'!J119)</f>
        <v/>
      </c>
      <c r="K7616" s="76" t="str">
        <f>IF('Thirty-First'!K119="", "",'Thirty-First'!K119)</f>
        <v/>
      </c>
      <c r="M7616" s="67" t="str">
        <f t="shared" si="365"/>
        <v/>
      </c>
      <c r="N7616" s="76" t="str">
        <f t="shared" si="366"/>
        <v/>
      </c>
      <c r="O7616" s="33">
        <f t="shared" si="367"/>
        <v>0</v>
      </c>
    </row>
    <row r="7617" spans="1:15" x14ac:dyDescent="0.25">
      <c r="A7617" s="94" t="s">
        <v>197</v>
      </c>
      <c r="B7617" s="66" t="str">
        <f>IF('Thirty-First'!B120="", "",'Thirty-First'!B120)</f>
        <v/>
      </c>
      <c r="C7617" s="67" t="str">
        <f>IF('Thirty-First'!C120="", "",'Thirty-First'!C120)</f>
        <v/>
      </c>
      <c r="D7617" s="67" t="str">
        <f>IF('Thirty-First'!D120="", "",'Thirty-First'!D120)</f>
        <v/>
      </c>
      <c r="E7617" s="67" t="str">
        <f>IF('Thirty-First'!E120="", "",'Thirty-First'!E120)</f>
        <v/>
      </c>
      <c r="F7617" s="67" t="str">
        <f>IF('Thirty-First'!F120="", "",'Thirty-First'!F120)</f>
        <v/>
      </c>
      <c r="G7617" s="67" t="str">
        <f>IF('Thirty-First'!G120="", "",'Thirty-First'!G120)</f>
        <v/>
      </c>
      <c r="H7617" s="67" t="str">
        <f>IF('Thirty-First'!H120="", "",'Thirty-First'!H120)</f>
        <v/>
      </c>
      <c r="I7617" s="67" t="str">
        <f>IF('Thirty-First'!I120="", "",'Thirty-First'!I120)</f>
        <v/>
      </c>
      <c r="J7617" s="67" t="str">
        <f>IF('Thirty-First'!J120="", "",'Thirty-First'!J120)</f>
        <v/>
      </c>
      <c r="K7617" s="76" t="str">
        <f>IF('Thirty-First'!K120="", "",'Thirty-First'!K120)</f>
        <v/>
      </c>
      <c r="M7617" s="67" t="str">
        <f t="shared" si="365"/>
        <v/>
      </c>
      <c r="N7617" s="76" t="str">
        <f t="shared" si="366"/>
        <v/>
      </c>
      <c r="O7617" s="33">
        <f t="shared" si="367"/>
        <v>0</v>
      </c>
    </row>
    <row r="7618" spans="1:15" x14ac:dyDescent="0.25">
      <c r="A7618" s="94" t="s">
        <v>197</v>
      </c>
      <c r="B7618" s="66" t="str">
        <f>IF('Thirty-First'!B121="", "",'Thirty-First'!B121)</f>
        <v/>
      </c>
      <c r="C7618" s="67" t="str">
        <f>IF('Thirty-First'!C121="", "",'Thirty-First'!C121)</f>
        <v/>
      </c>
      <c r="D7618" s="67" t="str">
        <f>IF('Thirty-First'!D121="", "",'Thirty-First'!D121)</f>
        <v/>
      </c>
      <c r="E7618" s="67" t="str">
        <f>IF('Thirty-First'!E121="", "",'Thirty-First'!E121)</f>
        <v/>
      </c>
      <c r="F7618" s="67" t="str">
        <f>IF('Thirty-First'!F121="", "",'Thirty-First'!F121)</f>
        <v/>
      </c>
      <c r="G7618" s="67" t="str">
        <f>IF('Thirty-First'!G121="", "",'Thirty-First'!G121)</f>
        <v/>
      </c>
      <c r="H7618" s="67" t="str">
        <f>IF('Thirty-First'!H121="", "",'Thirty-First'!H121)</f>
        <v/>
      </c>
      <c r="I7618" s="67" t="str">
        <f>IF('Thirty-First'!I121="", "",'Thirty-First'!I121)</f>
        <v/>
      </c>
      <c r="J7618" s="67" t="str">
        <f>IF('Thirty-First'!J121="", "",'Thirty-First'!J121)</f>
        <v/>
      </c>
      <c r="K7618" s="76" t="str">
        <f>IF('Thirty-First'!K121="", "",'Thirty-First'!K121)</f>
        <v/>
      </c>
      <c r="M7618" s="67" t="str">
        <f t="shared" si="365"/>
        <v/>
      </c>
      <c r="N7618" s="76" t="str">
        <f t="shared" si="366"/>
        <v/>
      </c>
      <c r="O7618" s="33">
        <f t="shared" si="367"/>
        <v>0</v>
      </c>
    </row>
    <row r="7619" spans="1:15" x14ac:dyDescent="0.25">
      <c r="A7619" s="94" t="s">
        <v>197</v>
      </c>
      <c r="B7619" s="66" t="str">
        <f>IF('Thirty-First'!B122="", "",'Thirty-First'!B122)</f>
        <v/>
      </c>
      <c r="C7619" s="67" t="str">
        <f>IF('Thirty-First'!C122="", "",'Thirty-First'!C122)</f>
        <v/>
      </c>
      <c r="D7619" s="67" t="str">
        <f>IF('Thirty-First'!D122="", "",'Thirty-First'!D122)</f>
        <v/>
      </c>
      <c r="E7619" s="67" t="str">
        <f>IF('Thirty-First'!E122="", "",'Thirty-First'!E122)</f>
        <v/>
      </c>
      <c r="F7619" s="67" t="str">
        <f>IF('Thirty-First'!F122="", "",'Thirty-First'!F122)</f>
        <v/>
      </c>
      <c r="G7619" s="67" t="str">
        <f>IF('Thirty-First'!G122="", "",'Thirty-First'!G122)</f>
        <v/>
      </c>
      <c r="H7619" s="67" t="str">
        <f>IF('Thirty-First'!H122="", "",'Thirty-First'!H122)</f>
        <v/>
      </c>
      <c r="I7619" s="67" t="str">
        <f>IF('Thirty-First'!I122="", "",'Thirty-First'!I122)</f>
        <v/>
      </c>
      <c r="J7619" s="67" t="str">
        <f>IF('Thirty-First'!J122="", "",'Thirty-First'!J122)</f>
        <v/>
      </c>
      <c r="K7619" s="76" t="str">
        <f>IF('Thirty-First'!K122="", "",'Thirty-First'!K122)</f>
        <v/>
      </c>
      <c r="M7619" s="67" t="str">
        <f t="shared" si="365"/>
        <v/>
      </c>
      <c r="N7619" s="76" t="str">
        <f t="shared" si="366"/>
        <v/>
      </c>
      <c r="O7619" s="33">
        <f t="shared" si="367"/>
        <v>0</v>
      </c>
    </row>
    <row r="7620" spans="1:15" x14ac:dyDescent="0.25">
      <c r="A7620" s="94" t="s">
        <v>197</v>
      </c>
      <c r="B7620" s="66" t="str">
        <f>IF('Thirty-First'!B123="", "",'Thirty-First'!B123)</f>
        <v/>
      </c>
      <c r="C7620" s="67" t="str">
        <f>IF('Thirty-First'!C123="", "",'Thirty-First'!C123)</f>
        <v/>
      </c>
      <c r="D7620" s="67" t="str">
        <f>IF('Thirty-First'!D123="", "",'Thirty-First'!D123)</f>
        <v/>
      </c>
      <c r="E7620" s="67" t="str">
        <f>IF('Thirty-First'!E123="", "",'Thirty-First'!E123)</f>
        <v/>
      </c>
      <c r="F7620" s="67" t="str">
        <f>IF('Thirty-First'!F123="", "",'Thirty-First'!F123)</f>
        <v/>
      </c>
      <c r="G7620" s="67" t="str">
        <f>IF('Thirty-First'!G123="", "",'Thirty-First'!G123)</f>
        <v/>
      </c>
      <c r="H7620" s="67" t="str">
        <f>IF('Thirty-First'!H123="", "",'Thirty-First'!H123)</f>
        <v/>
      </c>
      <c r="I7620" s="67" t="str">
        <f>IF('Thirty-First'!I123="", "",'Thirty-First'!I123)</f>
        <v/>
      </c>
      <c r="J7620" s="67" t="str">
        <f>IF('Thirty-First'!J123="", "",'Thirty-First'!J123)</f>
        <v/>
      </c>
      <c r="K7620" s="76" t="str">
        <f>IF('Thirty-First'!K123="", "",'Thirty-First'!K123)</f>
        <v/>
      </c>
      <c r="M7620" s="67" t="str">
        <f t="shared" si="365"/>
        <v/>
      </c>
      <c r="N7620" s="76" t="str">
        <f t="shared" si="366"/>
        <v/>
      </c>
      <c r="O7620" s="33">
        <f t="shared" si="367"/>
        <v>0</v>
      </c>
    </row>
    <row r="7621" spans="1:15" x14ac:dyDescent="0.25">
      <c r="A7621" s="94" t="s">
        <v>197</v>
      </c>
      <c r="B7621" s="66" t="str">
        <f>IF('Thirty-First'!B124="", "",'Thirty-First'!B124)</f>
        <v/>
      </c>
      <c r="C7621" s="67" t="str">
        <f>IF('Thirty-First'!C124="", "",'Thirty-First'!C124)</f>
        <v/>
      </c>
      <c r="D7621" s="67" t="str">
        <f>IF('Thirty-First'!D124="", "",'Thirty-First'!D124)</f>
        <v/>
      </c>
      <c r="E7621" s="67" t="str">
        <f>IF('Thirty-First'!E124="", "",'Thirty-First'!E124)</f>
        <v/>
      </c>
      <c r="F7621" s="67" t="str">
        <f>IF('Thirty-First'!F124="", "",'Thirty-First'!F124)</f>
        <v/>
      </c>
      <c r="G7621" s="67" t="str">
        <f>IF('Thirty-First'!G124="", "",'Thirty-First'!G124)</f>
        <v/>
      </c>
      <c r="H7621" s="67" t="str">
        <f>IF('Thirty-First'!H124="", "",'Thirty-First'!H124)</f>
        <v/>
      </c>
      <c r="I7621" s="67" t="str">
        <f>IF('Thirty-First'!I124="", "",'Thirty-First'!I124)</f>
        <v/>
      </c>
      <c r="J7621" s="67" t="str">
        <f>IF('Thirty-First'!J124="", "",'Thirty-First'!J124)</f>
        <v/>
      </c>
      <c r="K7621" s="76" t="str">
        <f>IF('Thirty-First'!K124="", "",'Thirty-First'!K124)</f>
        <v/>
      </c>
      <c r="M7621" s="67" t="str">
        <f t="shared" si="365"/>
        <v/>
      </c>
      <c r="N7621" s="76" t="str">
        <f t="shared" si="366"/>
        <v/>
      </c>
      <c r="O7621" s="33">
        <f t="shared" si="367"/>
        <v>0</v>
      </c>
    </row>
    <row r="7622" spans="1:15" x14ac:dyDescent="0.25">
      <c r="A7622" s="94" t="s">
        <v>197</v>
      </c>
      <c r="B7622" s="66" t="str">
        <f>IF('Thirty-First'!B125="", "",'Thirty-First'!B125)</f>
        <v/>
      </c>
      <c r="C7622" s="67" t="str">
        <f>IF('Thirty-First'!C125="", "",'Thirty-First'!C125)</f>
        <v/>
      </c>
      <c r="D7622" s="67" t="str">
        <f>IF('Thirty-First'!D125="", "",'Thirty-First'!D125)</f>
        <v/>
      </c>
      <c r="E7622" s="67" t="str">
        <f>IF('Thirty-First'!E125="", "",'Thirty-First'!E125)</f>
        <v/>
      </c>
      <c r="F7622" s="67" t="str">
        <f>IF('Thirty-First'!F125="", "",'Thirty-First'!F125)</f>
        <v/>
      </c>
      <c r="G7622" s="67" t="str">
        <f>IF('Thirty-First'!G125="", "",'Thirty-First'!G125)</f>
        <v/>
      </c>
      <c r="H7622" s="67" t="str">
        <f>IF('Thirty-First'!H125="", "",'Thirty-First'!H125)</f>
        <v/>
      </c>
      <c r="I7622" s="67" t="str">
        <f>IF('Thirty-First'!I125="", "",'Thirty-First'!I125)</f>
        <v/>
      </c>
      <c r="J7622" s="67" t="str">
        <f>IF('Thirty-First'!J125="", "",'Thirty-First'!J125)</f>
        <v/>
      </c>
      <c r="K7622" s="76" t="str">
        <f>IF('Thirty-First'!K125="", "",'Thirty-First'!K125)</f>
        <v/>
      </c>
      <c r="M7622" s="67" t="str">
        <f t="shared" si="365"/>
        <v/>
      </c>
      <c r="N7622" s="76" t="str">
        <f t="shared" si="366"/>
        <v/>
      </c>
      <c r="O7622" s="33">
        <f t="shared" si="367"/>
        <v>0</v>
      </c>
    </row>
    <row r="7623" spans="1:15" x14ac:dyDescent="0.25">
      <c r="A7623" s="94" t="s">
        <v>197</v>
      </c>
      <c r="B7623" s="66" t="str">
        <f>IF('Thirty-First'!B126="", "",'Thirty-First'!B126)</f>
        <v/>
      </c>
      <c r="C7623" s="67" t="str">
        <f>IF('Thirty-First'!C126="", "",'Thirty-First'!C126)</f>
        <v/>
      </c>
      <c r="D7623" s="67" t="str">
        <f>IF('Thirty-First'!D126="", "",'Thirty-First'!D126)</f>
        <v/>
      </c>
      <c r="E7623" s="67" t="str">
        <f>IF('Thirty-First'!E126="", "",'Thirty-First'!E126)</f>
        <v/>
      </c>
      <c r="F7623" s="67" t="str">
        <f>IF('Thirty-First'!F126="", "",'Thirty-First'!F126)</f>
        <v/>
      </c>
      <c r="G7623" s="67" t="str">
        <f>IF('Thirty-First'!G126="", "",'Thirty-First'!G126)</f>
        <v/>
      </c>
      <c r="H7623" s="67" t="str">
        <f>IF('Thirty-First'!H126="", "",'Thirty-First'!H126)</f>
        <v/>
      </c>
      <c r="I7623" s="67" t="str">
        <f>IF('Thirty-First'!I126="", "",'Thirty-First'!I126)</f>
        <v/>
      </c>
      <c r="J7623" s="67" t="str">
        <f>IF('Thirty-First'!J126="", "",'Thirty-First'!J126)</f>
        <v/>
      </c>
      <c r="K7623" s="76" t="str">
        <f>IF('Thirty-First'!K126="", "",'Thirty-First'!K126)</f>
        <v/>
      </c>
      <c r="M7623" s="67" t="str">
        <f t="shared" si="365"/>
        <v/>
      </c>
      <c r="N7623" s="76" t="str">
        <f t="shared" si="366"/>
        <v/>
      </c>
      <c r="O7623" s="33">
        <f t="shared" si="367"/>
        <v>0</v>
      </c>
    </row>
    <row r="7624" spans="1:15" x14ac:dyDescent="0.25">
      <c r="A7624" s="94" t="s">
        <v>197</v>
      </c>
      <c r="B7624" s="66" t="str">
        <f>IF('Thirty-First'!B127="", "",'Thirty-First'!B127)</f>
        <v/>
      </c>
      <c r="C7624" s="67" t="str">
        <f>IF('Thirty-First'!C127="", "",'Thirty-First'!C127)</f>
        <v/>
      </c>
      <c r="D7624" s="67" t="str">
        <f>IF('Thirty-First'!D127="", "",'Thirty-First'!D127)</f>
        <v/>
      </c>
      <c r="E7624" s="67" t="str">
        <f>IF('Thirty-First'!E127="", "",'Thirty-First'!E127)</f>
        <v/>
      </c>
      <c r="F7624" s="67" t="str">
        <f>IF('Thirty-First'!F127="", "",'Thirty-First'!F127)</f>
        <v/>
      </c>
      <c r="G7624" s="67" t="str">
        <f>IF('Thirty-First'!G127="", "",'Thirty-First'!G127)</f>
        <v/>
      </c>
      <c r="H7624" s="67" t="str">
        <f>IF('Thirty-First'!H127="", "",'Thirty-First'!H127)</f>
        <v/>
      </c>
      <c r="I7624" s="67" t="str">
        <f>IF('Thirty-First'!I127="", "",'Thirty-First'!I127)</f>
        <v/>
      </c>
      <c r="J7624" s="67" t="str">
        <f>IF('Thirty-First'!J127="", "",'Thirty-First'!J127)</f>
        <v/>
      </c>
      <c r="K7624" s="76" t="str">
        <f>IF('Thirty-First'!K127="", "",'Thirty-First'!K127)</f>
        <v/>
      </c>
      <c r="M7624" s="67" t="str">
        <f t="shared" si="365"/>
        <v/>
      </c>
      <c r="N7624" s="76" t="str">
        <f t="shared" si="366"/>
        <v/>
      </c>
      <c r="O7624" s="33">
        <f t="shared" si="367"/>
        <v>0</v>
      </c>
    </row>
    <row r="7625" spans="1:15" x14ac:dyDescent="0.25">
      <c r="A7625" s="94" t="s">
        <v>197</v>
      </c>
      <c r="B7625" s="66" t="str">
        <f>IF('Thirty-First'!B128="", "",'Thirty-First'!B128)</f>
        <v/>
      </c>
      <c r="C7625" s="67" t="str">
        <f>IF('Thirty-First'!C128="", "",'Thirty-First'!C128)</f>
        <v/>
      </c>
      <c r="D7625" s="67" t="str">
        <f>IF('Thirty-First'!D128="", "",'Thirty-First'!D128)</f>
        <v/>
      </c>
      <c r="E7625" s="67" t="str">
        <f>IF('Thirty-First'!E128="", "",'Thirty-First'!E128)</f>
        <v/>
      </c>
      <c r="F7625" s="67" t="str">
        <f>IF('Thirty-First'!F128="", "",'Thirty-First'!F128)</f>
        <v/>
      </c>
      <c r="G7625" s="67" t="str">
        <f>IF('Thirty-First'!G128="", "",'Thirty-First'!G128)</f>
        <v/>
      </c>
      <c r="H7625" s="67" t="str">
        <f>IF('Thirty-First'!H128="", "",'Thirty-First'!H128)</f>
        <v/>
      </c>
      <c r="I7625" s="67" t="str">
        <f>IF('Thirty-First'!I128="", "",'Thirty-First'!I128)</f>
        <v/>
      </c>
      <c r="J7625" s="67" t="str">
        <f>IF('Thirty-First'!J128="", "",'Thirty-First'!J128)</f>
        <v/>
      </c>
      <c r="K7625" s="76" t="str">
        <f>IF('Thirty-First'!K128="", "",'Thirty-First'!K128)</f>
        <v/>
      </c>
      <c r="M7625" s="67" t="str">
        <f t="shared" si="365"/>
        <v/>
      </c>
      <c r="N7625" s="76" t="str">
        <f t="shared" si="366"/>
        <v/>
      </c>
      <c r="O7625" s="33">
        <f t="shared" si="367"/>
        <v>0</v>
      </c>
    </row>
    <row r="7626" spans="1:15" x14ac:dyDescent="0.25">
      <c r="A7626" s="94" t="s">
        <v>197</v>
      </c>
      <c r="B7626" s="66" t="str">
        <f>IF('Thirty-First'!B129="", "",'Thirty-First'!B129)</f>
        <v/>
      </c>
      <c r="C7626" s="67" t="str">
        <f>IF('Thirty-First'!C129="", "",'Thirty-First'!C129)</f>
        <v/>
      </c>
      <c r="D7626" s="67" t="str">
        <f>IF('Thirty-First'!D129="", "",'Thirty-First'!D129)</f>
        <v/>
      </c>
      <c r="E7626" s="67" t="str">
        <f>IF('Thirty-First'!E129="", "",'Thirty-First'!E129)</f>
        <v/>
      </c>
      <c r="F7626" s="67" t="str">
        <f>IF('Thirty-First'!F129="", "",'Thirty-First'!F129)</f>
        <v/>
      </c>
      <c r="G7626" s="67" t="str">
        <f>IF('Thirty-First'!G129="", "",'Thirty-First'!G129)</f>
        <v/>
      </c>
      <c r="H7626" s="67" t="str">
        <f>IF('Thirty-First'!H129="", "",'Thirty-First'!H129)</f>
        <v/>
      </c>
      <c r="I7626" s="67" t="str">
        <f>IF('Thirty-First'!I129="", "",'Thirty-First'!I129)</f>
        <v/>
      </c>
      <c r="J7626" s="67" t="str">
        <f>IF('Thirty-First'!J129="", "",'Thirty-First'!J129)</f>
        <v/>
      </c>
      <c r="K7626" s="76" t="str">
        <f>IF('Thirty-First'!K129="", "",'Thirty-First'!K129)</f>
        <v/>
      </c>
      <c r="M7626" s="67" t="str">
        <f t="shared" si="365"/>
        <v/>
      </c>
      <c r="N7626" s="76" t="str">
        <f t="shared" si="366"/>
        <v/>
      </c>
      <c r="O7626" s="33">
        <f t="shared" si="367"/>
        <v>0</v>
      </c>
    </row>
    <row r="7627" spans="1:15" x14ac:dyDescent="0.25">
      <c r="A7627" s="94" t="s">
        <v>197</v>
      </c>
      <c r="B7627" s="66" t="str">
        <f>IF('Thirty-First'!B130="", "",'Thirty-First'!B130)</f>
        <v/>
      </c>
      <c r="C7627" s="67" t="str">
        <f>IF('Thirty-First'!C130="", "",'Thirty-First'!C130)</f>
        <v/>
      </c>
      <c r="D7627" s="67" t="str">
        <f>IF('Thirty-First'!D130="", "",'Thirty-First'!D130)</f>
        <v/>
      </c>
      <c r="E7627" s="67" t="str">
        <f>IF('Thirty-First'!E130="", "",'Thirty-First'!E130)</f>
        <v/>
      </c>
      <c r="F7627" s="67" t="str">
        <f>IF('Thirty-First'!F130="", "",'Thirty-First'!F130)</f>
        <v/>
      </c>
      <c r="G7627" s="67" t="str">
        <f>IF('Thirty-First'!G130="", "",'Thirty-First'!G130)</f>
        <v/>
      </c>
      <c r="H7627" s="67" t="str">
        <f>IF('Thirty-First'!H130="", "",'Thirty-First'!H130)</f>
        <v/>
      </c>
      <c r="I7627" s="67" t="str">
        <f>IF('Thirty-First'!I130="", "",'Thirty-First'!I130)</f>
        <v/>
      </c>
      <c r="J7627" s="67" t="str">
        <f>IF('Thirty-First'!J130="", "",'Thirty-First'!J130)</f>
        <v/>
      </c>
      <c r="K7627" s="76" t="str">
        <f>IF('Thirty-First'!K130="", "",'Thirty-First'!K130)</f>
        <v/>
      </c>
      <c r="M7627" s="67" t="str">
        <f t="shared" si="365"/>
        <v/>
      </c>
      <c r="N7627" s="76" t="str">
        <f t="shared" si="366"/>
        <v/>
      </c>
      <c r="O7627" s="33">
        <f t="shared" si="367"/>
        <v>0</v>
      </c>
    </row>
    <row r="7628" spans="1:15" x14ac:dyDescent="0.25">
      <c r="A7628" s="94" t="s">
        <v>197</v>
      </c>
      <c r="B7628" s="66" t="str">
        <f>IF('Thirty-First'!B131="", "",'Thirty-First'!B131)</f>
        <v/>
      </c>
      <c r="C7628" s="67" t="str">
        <f>IF('Thirty-First'!C131="", "",'Thirty-First'!C131)</f>
        <v/>
      </c>
      <c r="D7628" s="67" t="str">
        <f>IF('Thirty-First'!D131="", "",'Thirty-First'!D131)</f>
        <v/>
      </c>
      <c r="E7628" s="67" t="str">
        <f>IF('Thirty-First'!E131="", "",'Thirty-First'!E131)</f>
        <v/>
      </c>
      <c r="F7628" s="67" t="str">
        <f>IF('Thirty-First'!F131="", "",'Thirty-First'!F131)</f>
        <v/>
      </c>
      <c r="G7628" s="67" t="str">
        <f>IF('Thirty-First'!G131="", "",'Thirty-First'!G131)</f>
        <v/>
      </c>
      <c r="H7628" s="67" t="str">
        <f>IF('Thirty-First'!H131="", "",'Thirty-First'!H131)</f>
        <v/>
      </c>
      <c r="I7628" s="67" t="str">
        <f>IF('Thirty-First'!I131="", "",'Thirty-First'!I131)</f>
        <v/>
      </c>
      <c r="J7628" s="67" t="str">
        <f>IF('Thirty-First'!J131="", "",'Thirty-First'!J131)</f>
        <v/>
      </c>
      <c r="K7628" s="76" t="str">
        <f>IF('Thirty-First'!K131="", "",'Thirty-First'!K131)</f>
        <v/>
      </c>
      <c r="M7628" s="67" t="str">
        <f t="shared" si="365"/>
        <v/>
      </c>
      <c r="N7628" s="76" t="str">
        <f t="shared" si="366"/>
        <v/>
      </c>
      <c r="O7628" s="33">
        <f t="shared" si="367"/>
        <v>0</v>
      </c>
    </row>
    <row r="7629" spans="1:15" x14ac:dyDescent="0.25">
      <c r="A7629" s="94" t="s">
        <v>197</v>
      </c>
      <c r="B7629" s="66" t="str">
        <f>IF('Thirty-First'!B132="", "",'Thirty-First'!B132)</f>
        <v/>
      </c>
      <c r="C7629" s="67" t="str">
        <f>IF('Thirty-First'!C132="", "",'Thirty-First'!C132)</f>
        <v/>
      </c>
      <c r="D7629" s="67" t="str">
        <f>IF('Thirty-First'!D132="", "",'Thirty-First'!D132)</f>
        <v/>
      </c>
      <c r="E7629" s="67" t="str">
        <f>IF('Thirty-First'!E132="", "",'Thirty-First'!E132)</f>
        <v/>
      </c>
      <c r="F7629" s="67" t="str">
        <f>IF('Thirty-First'!F132="", "",'Thirty-First'!F132)</f>
        <v/>
      </c>
      <c r="G7629" s="67" t="str">
        <f>IF('Thirty-First'!G132="", "",'Thirty-First'!G132)</f>
        <v/>
      </c>
      <c r="H7629" s="67" t="str">
        <f>IF('Thirty-First'!H132="", "",'Thirty-First'!H132)</f>
        <v/>
      </c>
      <c r="I7629" s="67" t="str">
        <f>IF('Thirty-First'!I132="", "",'Thirty-First'!I132)</f>
        <v/>
      </c>
      <c r="J7629" s="67" t="str">
        <f>IF('Thirty-First'!J132="", "",'Thirty-First'!J132)</f>
        <v/>
      </c>
      <c r="K7629" s="76" t="str">
        <f>IF('Thirty-First'!K132="", "",'Thirty-First'!K132)</f>
        <v/>
      </c>
      <c r="M7629" s="67" t="str">
        <f t="shared" si="365"/>
        <v/>
      </c>
      <c r="N7629" s="76" t="str">
        <f t="shared" si="366"/>
        <v/>
      </c>
      <c r="O7629" s="33">
        <f t="shared" si="367"/>
        <v>0</v>
      </c>
    </row>
    <row r="7630" spans="1:15" x14ac:dyDescent="0.25">
      <c r="A7630" s="94" t="s">
        <v>197</v>
      </c>
      <c r="B7630" s="66" t="str">
        <f>IF('Thirty-First'!B133="", "",'Thirty-First'!B133)</f>
        <v/>
      </c>
      <c r="C7630" s="67" t="str">
        <f>IF('Thirty-First'!C133="", "",'Thirty-First'!C133)</f>
        <v/>
      </c>
      <c r="D7630" s="67" t="str">
        <f>IF('Thirty-First'!D133="", "",'Thirty-First'!D133)</f>
        <v/>
      </c>
      <c r="E7630" s="67" t="str">
        <f>IF('Thirty-First'!E133="", "",'Thirty-First'!E133)</f>
        <v/>
      </c>
      <c r="F7630" s="67" t="str">
        <f>IF('Thirty-First'!F133="", "",'Thirty-First'!F133)</f>
        <v/>
      </c>
      <c r="G7630" s="67" t="str">
        <f>IF('Thirty-First'!G133="", "",'Thirty-First'!G133)</f>
        <v/>
      </c>
      <c r="H7630" s="67" t="str">
        <f>IF('Thirty-First'!H133="", "",'Thirty-First'!H133)</f>
        <v/>
      </c>
      <c r="I7630" s="67" t="str">
        <f>IF('Thirty-First'!I133="", "",'Thirty-First'!I133)</f>
        <v/>
      </c>
      <c r="J7630" s="67" t="str">
        <f>IF('Thirty-First'!J133="", "",'Thirty-First'!J133)</f>
        <v/>
      </c>
      <c r="K7630" s="76" t="str">
        <f>IF('Thirty-First'!K133="", "",'Thirty-First'!K133)</f>
        <v/>
      </c>
      <c r="M7630" s="67" t="str">
        <f t="shared" si="365"/>
        <v/>
      </c>
      <c r="N7630" s="76" t="str">
        <f t="shared" si="366"/>
        <v/>
      </c>
      <c r="O7630" s="33">
        <f t="shared" si="367"/>
        <v>0</v>
      </c>
    </row>
    <row r="7631" spans="1:15" x14ac:dyDescent="0.25">
      <c r="A7631" s="94" t="s">
        <v>197</v>
      </c>
      <c r="B7631" s="66" t="str">
        <f>IF('Thirty-First'!B134="", "",'Thirty-First'!B134)</f>
        <v/>
      </c>
      <c r="C7631" s="67" t="str">
        <f>IF('Thirty-First'!C134="", "",'Thirty-First'!C134)</f>
        <v/>
      </c>
      <c r="D7631" s="67" t="str">
        <f>IF('Thirty-First'!D134="", "",'Thirty-First'!D134)</f>
        <v/>
      </c>
      <c r="E7631" s="67" t="str">
        <f>IF('Thirty-First'!E134="", "",'Thirty-First'!E134)</f>
        <v/>
      </c>
      <c r="F7631" s="67" t="str">
        <f>IF('Thirty-First'!F134="", "",'Thirty-First'!F134)</f>
        <v/>
      </c>
      <c r="G7631" s="67" t="str">
        <f>IF('Thirty-First'!G134="", "",'Thirty-First'!G134)</f>
        <v/>
      </c>
      <c r="H7631" s="67" t="str">
        <f>IF('Thirty-First'!H134="", "",'Thirty-First'!H134)</f>
        <v/>
      </c>
      <c r="I7631" s="67" t="str">
        <f>IF('Thirty-First'!I134="", "",'Thirty-First'!I134)</f>
        <v/>
      </c>
      <c r="J7631" s="67" t="str">
        <f>IF('Thirty-First'!J134="", "",'Thirty-First'!J134)</f>
        <v/>
      </c>
      <c r="K7631" s="76" t="str">
        <f>IF('Thirty-First'!K134="", "",'Thirty-First'!K134)</f>
        <v/>
      </c>
      <c r="M7631" s="67" t="str">
        <f t="shared" ref="M7631:M7694" si="368">IF(C7631="PwC",(7-COUNTIF(B7631:H7631,"")),"")</f>
        <v/>
      </c>
      <c r="N7631" s="76" t="str">
        <f t="shared" ref="N7631:N7694" si="369">IF(C7631="Carer",(7-COUNTIF(B7631:H7631,"")),"")</f>
        <v/>
      </c>
      <c r="O7631" s="33">
        <f t="shared" ref="O7631:O7694" si="370">SUM(M7631:N7631)</f>
        <v>0</v>
      </c>
    </row>
    <row r="7632" spans="1:15" x14ac:dyDescent="0.25">
      <c r="A7632" s="94" t="s">
        <v>197</v>
      </c>
      <c r="B7632" s="66" t="str">
        <f>IF('Thirty-First'!B135="", "",'Thirty-First'!B135)</f>
        <v/>
      </c>
      <c r="C7632" s="67" t="str">
        <f>IF('Thirty-First'!C135="", "",'Thirty-First'!C135)</f>
        <v/>
      </c>
      <c r="D7632" s="67" t="str">
        <f>IF('Thirty-First'!D135="", "",'Thirty-First'!D135)</f>
        <v/>
      </c>
      <c r="E7632" s="67" t="str">
        <f>IF('Thirty-First'!E135="", "",'Thirty-First'!E135)</f>
        <v/>
      </c>
      <c r="F7632" s="67" t="str">
        <f>IF('Thirty-First'!F135="", "",'Thirty-First'!F135)</f>
        <v/>
      </c>
      <c r="G7632" s="67" t="str">
        <f>IF('Thirty-First'!G135="", "",'Thirty-First'!G135)</f>
        <v/>
      </c>
      <c r="H7632" s="67" t="str">
        <f>IF('Thirty-First'!H135="", "",'Thirty-First'!H135)</f>
        <v/>
      </c>
      <c r="I7632" s="67" t="str">
        <f>IF('Thirty-First'!I135="", "",'Thirty-First'!I135)</f>
        <v/>
      </c>
      <c r="J7632" s="67" t="str">
        <f>IF('Thirty-First'!J135="", "",'Thirty-First'!J135)</f>
        <v/>
      </c>
      <c r="K7632" s="76" t="str">
        <f>IF('Thirty-First'!K135="", "",'Thirty-First'!K135)</f>
        <v/>
      </c>
      <c r="M7632" s="67" t="str">
        <f t="shared" si="368"/>
        <v/>
      </c>
      <c r="N7632" s="76" t="str">
        <f t="shared" si="369"/>
        <v/>
      </c>
      <c r="O7632" s="33">
        <f t="shared" si="370"/>
        <v>0</v>
      </c>
    </row>
    <row r="7633" spans="1:15" x14ac:dyDescent="0.25">
      <c r="A7633" s="94" t="s">
        <v>197</v>
      </c>
      <c r="B7633" s="66" t="str">
        <f>IF('Thirty-First'!B136="", "",'Thirty-First'!B136)</f>
        <v/>
      </c>
      <c r="C7633" s="67" t="str">
        <f>IF('Thirty-First'!C136="", "",'Thirty-First'!C136)</f>
        <v/>
      </c>
      <c r="D7633" s="67" t="str">
        <f>IF('Thirty-First'!D136="", "",'Thirty-First'!D136)</f>
        <v/>
      </c>
      <c r="E7633" s="67" t="str">
        <f>IF('Thirty-First'!E136="", "",'Thirty-First'!E136)</f>
        <v/>
      </c>
      <c r="F7633" s="67" t="str">
        <f>IF('Thirty-First'!F136="", "",'Thirty-First'!F136)</f>
        <v/>
      </c>
      <c r="G7633" s="67" t="str">
        <f>IF('Thirty-First'!G136="", "",'Thirty-First'!G136)</f>
        <v/>
      </c>
      <c r="H7633" s="67" t="str">
        <f>IF('Thirty-First'!H136="", "",'Thirty-First'!H136)</f>
        <v/>
      </c>
      <c r="I7633" s="67" t="str">
        <f>IF('Thirty-First'!I136="", "",'Thirty-First'!I136)</f>
        <v/>
      </c>
      <c r="J7633" s="67" t="str">
        <f>IF('Thirty-First'!J136="", "",'Thirty-First'!J136)</f>
        <v/>
      </c>
      <c r="K7633" s="76" t="str">
        <f>IF('Thirty-First'!K136="", "",'Thirty-First'!K136)</f>
        <v/>
      </c>
      <c r="M7633" s="67" t="str">
        <f t="shared" si="368"/>
        <v/>
      </c>
      <c r="N7633" s="76" t="str">
        <f t="shared" si="369"/>
        <v/>
      </c>
      <c r="O7633" s="33">
        <f t="shared" si="370"/>
        <v>0</v>
      </c>
    </row>
    <row r="7634" spans="1:15" x14ac:dyDescent="0.25">
      <c r="A7634" s="94" t="s">
        <v>197</v>
      </c>
      <c r="B7634" s="66" t="str">
        <f>IF('Thirty-First'!B137="", "",'Thirty-First'!B137)</f>
        <v/>
      </c>
      <c r="C7634" s="67" t="str">
        <f>IF('Thirty-First'!C137="", "",'Thirty-First'!C137)</f>
        <v/>
      </c>
      <c r="D7634" s="67" t="str">
        <f>IF('Thirty-First'!D137="", "",'Thirty-First'!D137)</f>
        <v/>
      </c>
      <c r="E7634" s="67" t="str">
        <f>IF('Thirty-First'!E137="", "",'Thirty-First'!E137)</f>
        <v/>
      </c>
      <c r="F7634" s="67" t="str">
        <f>IF('Thirty-First'!F137="", "",'Thirty-First'!F137)</f>
        <v/>
      </c>
      <c r="G7634" s="67" t="str">
        <f>IF('Thirty-First'!G137="", "",'Thirty-First'!G137)</f>
        <v/>
      </c>
      <c r="H7634" s="67" t="str">
        <f>IF('Thirty-First'!H137="", "",'Thirty-First'!H137)</f>
        <v/>
      </c>
      <c r="I7634" s="67" t="str">
        <f>IF('Thirty-First'!I137="", "",'Thirty-First'!I137)</f>
        <v/>
      </c>
      <c r="J7634" s="67" t="str">
        <f>IF('Thirty-First'!J137="", "",'Thirty-First'!J137)</f>
        <v/>
      </c>
      <c r="K7634" s="76" t="str">
        <f>IF('Thirty-First'!K137="", "",'Thirty-First'!K137)</f>
        <v/>
      </c>
      <c r="M7634" s="67" t="str">
        <f t="shared" si="368"/>
        <v/>
      </c>
      <c r="N7634" s="76" t="str">
        <f t="shared" si="369"/>
        <v/>
      </c>
      <c r="O7634" s="33">
        <f t="shared" si="370"/>
        <v>0</v>
      </c>
    </row>
    <row r="7635" spans="1:15" x14ac:dyDescent="0.25">
      <c r="A7635" s="94" t="s">
        <v>197</v>
      </c>
      <c r="B7635" s="66" t="str">
        <f>IF('Thirty-First'!B138="", "",'Thirty-First'!B138)</f>
        <v/>
      </c>
      <c r="C7635" s="67" t="str">
        <f>IF('Thirty-First'!C138="", "",'Thirty-First'!C138)</f>
        <v/>
      </c>
      <c r="D7635" s="67" t="str">
        <f>IF('Thirty-First'!D138="", "",'Thirty-First'!D138)</f>
        <v/>
      </c>
      <c r="E7635" s="67" t="str">
        <f>IF('Thirty-First'!E138="", "",'Thirty-First'!E138)</f>
        <v/>
      </c>
      <c r="F7635" s="67" t="str">
        <f>IF('Thirty-First'!F138="", "",'Thirty-First'!F138)</f>
        <v/>
      </c>
      <c r="G7635" s="67" t="str">
        <f>IF('Thirty-First'!G138="", "",'Thirty-First'!G138)</f>
        <v/>
      </c>
      <c r="H7635" s="67" t="str">
        <f>IF('Thirty-First'!H138="", "",'Thirty-First'!H138)</f>
        <v/>
      </c>
      <c r="I7635" s="67" t="str">
        <f>IF('Thirty-First'!I138="", "",'Thirty-First'!I138)</f>
        <v/>
      </c>
      <c r="J7635" s="67" t="str">
        <f>IF('Thirty-First'!J138="", "",'Thirty-First'!J138)</f>
        <v/>
      </c>
      <c r="K7635" s="76" t="str">
        <f>IF('Thirty-First'!K138="", "",'Thirty-First'!K138)</f>
        <v/>
      </c>
      <c r="M7635" s="67" t="str">
        <f t="shared" si="368"/>
        <v/>
      </c>
      <c r="N7635" s="76" t="str">
        <f t="shared" si="369"/>
        <v/>
      </c>
      <c r="O7635" s="33">
        <f t="shared" si="370"/>
        <v>0</v>
      </c>
    </row>
    <row r="7636" spans="1:15" x14ac:dyDescent="0.25">
      <c r="A7636" s="94" t="s">
        <v>197</v>
      </c>
      <c r="B7636" s="66" t="str">
        <f>IF('Thirty-First'!B139="", "",'Thirty-First'!B139)</f>
        <v/>
      </c>
      <c r="C7636" s="67" t="str">
        <f>IF('Thirty-First'!C139="", "",'Thirty-First'!C139)</f>
        <v/>
      </c>
      <c r="D7636" s="67" t="str">
        <f>IF('Thirty-First'!D139="", "",'Thirty-First'!D139)</f>
        <v/>
      </c>
      <c r="E7636" s="67" t="str">
        <f>IF('Thirty-First'!E139="", "",'Thirty-First'!E139)</f>
        <v/>
      </c>
      <c r="F7636" s="67" t="str">
        <f>IF('Thirty-First'!F139="", "",'Thirty-First'!F139)</f>
        <v/>
      </c>
      <c r="G7636" s="67" t="str">
        <f>IF('Thirty-First'!G139="", "",'Thirty-First'!G139)</f>
        <v/>
      </c>
      <c r="H7636" s="67" t="str">
        <f>IF('Thirty-First'!H139="", "",'Thirty-First'!H139)</f>
        <v/>
      </c>
      <c r="I7636" s="67" t="str">
        <f>IF('Thirty-First'!I139="", "",'Thirty-First'!I139)</f>
        <v/>
      </c>
      <c r="J7636" s="67" t="str">
        <f>IF('Thirty-First'!J139="", "",'Thirty-First'!J139)</f>
        <v/>
      </c>
      <c r="K7636" s="76" t="str">
        <f>IF('Thirty-First'!K139="", "",'Thirty-First'!K139)</f>
        <v/>
      </c>
      <c r="M7636" s="67" t="str">
        <f t="shared" si="368"/>
        <v/>
      </c>
      <c r="N7636" s="76" t="str">
        <f t="shared" si="369"/>
        <v/>
      </c>
      <c r="O7636" s="33">
        <f t="shared" si="370"/>
        <v>0</v>
      </c>
    </row>
    <row r="7637" spans="1:15" x14ac:dyDescent="0.25">
      <c r="A7637" s="94" t="s">
        <v>197</v>
      </c>
      <c r="B7637" s="66" t="str">
        <f>IF('Thirty-First'!B140="", "",'Thirty-First'!B140)</f>
        <v/>
      </c>
      <c r="C7637" s="67" t="str">
        <f>IF('Thirty-First'!C140="", "",'Thirty-First'!C140)</f>
        <v/>
      </c>
      <c r="D7637" s="67" t="str">
        <f>IF('Thirty-First'!D140="", "",'Thirty-First'!D140)</f>
        <v/>
      </c>
      <c r="E7637" s="67" t="str">
        <f>IF('Thirty-First'!E140="", "",'Thirty-First'!E140)</f>
        <v/>
      </c>
      <c r="F7637" s="67" t="str">
        <f>IF('Thirty-First'!F140="", "",'Thirty-First'!F140)</f>
        <v/>
      </c>
      <c r="G7637" s="67" t="str">
        <f>IF('Thirty-First'!G140="", "",'Thirty-First'!G140)</f>
        <v/>
      </c>
      <c r="H7637" s="67" t="str">
        <f>IF('Thirty-First'!H140="", "",'Thirty-First'!H140)</f>
        <v/>
      </c>
      <c r="I7637" s="67" t="str">
        <f>IF('Thirty-First'!I140="", "",'Thirty-First'!I140)</f>
        <v/>
      </c>
      <c r="J7637" s="67" t="str">
        <f>IF('Thirty-First'!J140="", "",'Thirty-First'!J140)</f>
        <v/>
      </c>
      <c r="K7637" s="76" t="str">
        <f>IF('Thirty-First'!K140="", "",'Thirty-First'!K140)</f>
        <v/>
      </c>
      <c r="M7637" s="67" t="str">
        <f t="shared" si="368"/>
        <v/>
      </c>
      <c r="N7637" s="76" t="str">
        <f t="shared" si="369"/>
        <v/>
      </c>
      <c r="O7637" s="33">
        <f t="shared" si="370"/>
        <v>0</v>
      </c>
    </row>
    <row r="7638" spans="1:15" x14ac:dyDescent="0.25">
      <c r="A7638" s="94" t="s">
        <v>197</v>
      </c>
      <c r="B7638" s="66" t="str">
        <f>IF('Thirty-First'!B141="", "",'Thirty-First'!B141)</f>
        <v/>
      </c>
      <c r="C7638" s="67" t="str">
        <f>IF('Thirty-First'!C141="", "",'Thirty-First'!C141)</f>
        <v/>
      </c>
      <c r="D7638" s="67" t="str">
        <f>IF('Thirty-First'!D141="", "",'Thirty-First'!D141)</f>
        <v/>
      </c>
      <c r="E7638" s="67" t="str">
        <f>IF('Thirty-First'!E141="", "",'Thirty-First'!E141)</f>
        <v/>
      </c>
      <c r="F7638" s="67" t="str">
        <f>IF('Thirty-First'!F141="", "",'Thirty-First'!F141)</f>
        <v/>
      </c>
      <c r="G7638" s="67" t="str">
        <f>IF('Thirty-First'!G141="", "",'Thirty-First'!G141)</f>
        <v/>
      </c>
      <c r="H7638" s="67" t="str">
        <f>IF('Thirty-First'!H141="", "",'Thirty-First'!H141)</f>
        <v/>
      </c>
      <c r="I7638" s="67" t="str">
        <f>IF('Thirty-First'!I141="", "",'Thirty-First'!I141)</f>
        <v/>
      </c>
      <c r="J7638" s="67" t="str">
        <f>IF('Thirty-First'!J141="", "",'Thirty-First'!J141)</f>
        <v/>
      </c>
      <c r="K7638" s="76" t="str">
        <f>IF('Thirty-First'!K141="", "",'Thirty-First'!K141)</f>
        <v/>
      </c>
      <c r="M7638" s="67" t="str">
        <f t="shared" si="368"/>
        <v/>
      </c>
      <c r="N7638" s="76" t="str">
        <f t="shared" si="369"/>
        <v/>
      </c>
      <c r="O7638" s="33">
        <f t="shared" si="370"/>
        <v>0</v>
      </c>
    </row>
    <row r="7639" spans="1:15" x14ac:dyDescent="0.25">
      <c r="A7639" s="94" t="s">
        <v>197</v>
      </c>
      <c r="B7639" s="66" t="str">
        <f>IF('Thirty-First'!B142="", "",'Thirty-First'!B142)</f>
        <v/>
      </c>
      <c r="C7639" s="67" t="str">
        <f>IF('Thirty-First'!C142="", "",'Thirty-First'!C142)</f>
        <v/>
      </c>
      <c r="D7639" s="67" t="str">
        <f>IF('Thirty-First'!D142="", "",'Thirty-First'!D142)</f>
        <v/>
      </c>
      <c r="E7639" s="67" t="str">
        <f>IF('Thirty-First'!E142="", "",'Thirty-First'!E142)</f>
        <v/>
      </c>
      <c r="F7639" s="67" t="str">
        <f>IF('Thirty-First'!F142="", "",'Thirty-First'!F142)</f>
        <v/>
      </c>
      <c r="G7639" s="67" t="str">
        <f>IF('Thirty-First'!G142="", "",'Thirty-First'!G142)</f>
        <v/>
      </c>
      <c r="H7639" s="67" t="str">
        <f>IF('Thirty-First'!H142="", "",'Thirty-First'!H142)</f>
        <v/>
      </c>
      <c r="I7639" s="67" t="str">
        <f>IF('Thirty-First'!I142="", "",'Thirty-First'!I142)</f>
        <v/>
      </c>
      <c r="J7639" s="67" t="str">
        <f>IF('Thirty-First'!J142="", "",'Thirty-First'!J142)</f>
        <v/>
      </c>
      <c r="K7639" s="76" t="str">
        <f>IF('Thirty-First'!K142="", "",'Thirty-First'!K142)</f>
        <v/>
      </c>
      <c r="M7639" s="67" t="str">
        <f t="shared" si="368"/>
        <v/>
      </c>
      <c r="N7639" s="76" t="str">
        <f t="shared" si="369"/>
        <v/>
      </c>
      <c r="O7639" s="33">
        <f t="shared" si="370"/>
        <v>0</v>
      </c>
    </row>
    <row r="7640" spans="1:15" x14ac:dyDescent="0.25">
      <c r="A7640" s="94" t="s">
        <v>197</v>
      </c>
      <c r="B7640" s="66" t="str">
        <f>IF('Thirty-First'!B143="", "",'Thirty-First'!B143)</f>
        <v/>
      </c>
      <c r="C7640" s="67" t="str">
        <f>IF('Thirty-First'!C143="", "",'Thirty-First'!C143)</f>
        <v/>
      </c>
      <c r="D7640" s="67" t="str">
        <f>IF('Thirty-First'!D143="", "",'Thirty-First'!D143)</f>
        <v/>
      </c>
      <c r="E7640" s="67" t="str">
        <f>IF('Thirty-First'!E143="", "",'Thirty-First'!E143)</f>
        <v/>
      </c>
      <c r="F7640" s="67" t="str">
        <f>IF('Thirty-First'!F143="", "",'Thirty-First'!F143)</f>
        <v/>
      </c>
      <c r="G7640" s="67" t="str">
        <f>IF('Thirty-First'!G143="", "",'Thirty-First'!G143)</f>
        <v/>
      </c>
      <c r="H7640" s="67" t="str">
        <f>IF('Thirty-First'!H143="", "",'Thirty-First'!H143)</f>
        <v/>
      </c>
      <c r="I7640" s="67" t="str">
        <f>IF('Thirty-First'!I143="", "",'Thirty-First'!I143)</f>
        <v/>
      </c>
      <c r="J7640" s="67" t="str">
        <f>IF('Thirty-First'!J143="", "",'Thirty-First'!J143)</f>
        <v/>
      </c>
      <c r="K7640" s="76" t="str">
        <f>IF('Thirty-First'!K143="", "",'Thirty-First'!K143)</f>
        <v/>
      </c>
      <c r="M7640" s="67" t="str">
        <f t="shared" si="368"/>
        <v/>
      </c>
      <c r="N7640" s="76" t="str">
        <f t="shared" si="369"/>
        <v/>
      </c>
      <c r="O7640" s="33">
        <f t="shared" si="370"/>
        <v>0</v>
      </c>
    </row>
    <row r="7641" spans="1:15" x14ac:dyDescent="0.25">
      <c r="A7641" s="94" t="s">
        <v>197</v>
      </c>
      <c r="B7641" s="66" t="str">
        <f>IF('Thirty-First'!B144="", "",'Thirty-First'!B144)</f>
        <v/>
      </c>
      <c r="C7641" s="67" t="str">
        <f>IF('Thirty-First'!C144="", "",'Thirty-First'!C144)</f>
        <v/>
      </c>
      <c r="D7641" s="67" t="str">
        <f>IF('Thirty-First'!D144="", "",'Thirty-First'!D144)</f>
        <v/>
      </c>
      <c r="E7641" s="67" t="str">
        <f>IF('Thirty-First'!E144="", "",'Thirty-First'!E144)</f>
        <v/>
      </c>
      <c r="F7641" s="67" t="str">
        <f>IF('Thirty-First'!F144="", "",'Thirty-First'!F144)</f>
        <v/>
      </c>
      <c r="G7641" s="67" t="str">
        <f>IF('Thirty-First'!G144="", "",'Thirty-First'!G144)</f>
        <v/>
      </c>
      <c r="H7641" s="67" t="str">
        <f>IF('Thirty-First'!H144="", "",'Thirty-First'!H144)</f>
        <v/>
      </c>
      <c r="I7641" s="67" t="str">
        <f>IF('Thirty-First'!I144="", "",'Thirty-First'!I144)</f>
        <v/>
      </c>
      <c r="J7641" s="67" t="str">
        <f>IF('Thirty-First'!J144="", "",'Thirty-First'!J144)</f>
        <v/>
      </c>
      <c r="K7641" s="76" t="str">
        <f>IF('Thirty-First'!K144="", "",'Thirty-First'!K144)</f>
        <v/>
      </c>
      <c r="M7641" s="67" t="str">
        <f t="shared" si="368"/>
        <v/>
      </c>
      <c r="N7641" s="76" t="str">
        <f t="shared" si="369"/>
        <v/>
      </c>
      <c r="O7641" s="33">
        <f t="shared" si="370"/>
        <v>0</v>
      </c>
    </row>
    <row r="7642" spans="1:15" x14ac:dyDescent="0.25">
      <c r="A7642" s="94" t="s">
        <v>197</v>
      </c>
      <c r="B7642" s="66" t="str">
        <f>IF('Thirty-First'!B145="", "",'Thirty-First'!B145)</f>
        <v/>
      </c>
      <c r="C7642" s="67" t="str">
        <f>IF('Thirty-First'!C145="", "",'Thirty-First'!C145)</f>
        <v/>
      </c>
      <c r="D7642" s="67" t="str">
        <f>IF('Thirty-First'!D145="", "",'Thirty-First'!D145)</f>
        <v/>
      </c>
      <c r="E7642" s="67" t="str">
        <f>IF('Thirty-First'!E145="", "",'Thirty-First'!E145)</f>
        <v/>
      </c>
      <c r="F7642" s="67" t="str">
        <f>IF('Thirty-First'!F145="", "",'Thirty-First'!F145)</f>
        <v/>
      </c>
      <c r="G7642" s="67" t="str">
        <f>IF('Thirty-First'!G145="", "",'Thirty-First'!G145)</f>
        <v/>
      </c>
      <c r="H7642" s="67" t="str">
        <f>IF('Thirty-First'!H145="", "",'Thirty-First'!H145)</f>
        <v/>
      </c>
      <c r="I7642" s="67" t="str">
        <f>IF('Thirty-First'!I145="", "",'Thirty-First'!I145)</f>
        <v/>
      </c>
      <c r="J7642" s="67" t="str">
        <f>IF('Thirty-First'!J145="", "",'Thirty-First'!J145)</f>
        <v/>
      </c>
      <c r="K7642" s="76" t="str">
        <f>IF('Thirty-First'!K145="", "",'Thirty-First'!K145)</f>
        <v/>
      </c>
      <c r="M7642" s="67" t="str">
        <f t="shared" si="368"/>
        <v/>
      </c>
      <c r="N7642" s="76" t="str">
        <f t="shared" si="369"/>
        <v/>
      </c>
      <c r="O7642" s="33">
        <f t="shared" si="370"/>
        <v>0</v>
      </c>
    </row>
    <row r="7643" spans="1:15" x14ac:dyDescent="0.25">
      <c r="A7643" s="94" t="s">
        <v>197</v>
      </c>
      <c r="B7643" s="66" t="str">
        <f>IF('Thirty-First'!B146="", "",'Thirty-First'!B146)</f>
        <v/>
      </c>
      <c r="C7643" s="67" t="str">
        <f>IF('Thirty-First'!C146="", "",'Thirty-First'!C146)</f>
        <v/>
      </c>
      <c r="D7643" s="67" t="str">
        <f>IF('Thirty-First'!D146="", "",'Thirty-First'!D146)</f>
        <v/>
      </c>
      <c r="E7643" s="67" t="str">
        <f>IF('Thirty-First'!E146="", "",'Thirty-First'!E146)</f>
        <v/>
      </c>
      <c r="F7643" s="67" t="str">
        <f>IF('Thirty-First'!F146="", "",'Thirty-First'!F146)</f>
        <v/>
      </c>
      <c r="G7643" s="67" t="str">
        <f>IF('Thirty-First'!G146="", "",'Thirty-First'!G146)</f>
        <v/>
      </c>
      <c r="H7643" s="67" t="str">
        <f>IF('Thirty-First'!H146="", "",'Thirty-First'!H146)</f>
        <v/>
      </c>
      <c r="I7643" s="67" t="str">
        <f>IF('Thirty-First'!I146="", "",'Thirty-First'!I146)</f>
        <v/>
      </c>
      <c r="J7643" s="67" t="str">
        <f>IF('Thirty-First'!J146="", "",'Thirty-First'!J146)</f>
        <v/>
      </c>
      <c r="K7643" s="76" t="str">
        <f>IF('Thirty-First'!K146="", "",'Thirty-First'!K146)</f>
        <v/>
      </c>
      <c r="M7643" s="67" t="str">
        <f t="shared" si="368"/>
        <v/>
      </c>
      <c r="N7643" s="76" t="str">
        <f t="shared" si="369"/>
        <v/>
      </c>
      <c r="O7643" s="33">
        <f t="shared" si="370"/>
        <v>0</v>
      </c>
    </row>
    <row r="7644" spans="1:15" x14ac:dyDescent="0.25">
      <c r="A7644" s="94" t="s">
        <v>197</v>
      </c>
      <c r="B7644" s="66" t="str">
        <f>IF('Thirty-First'!B147="", "",'Thirty-First'!B147)</f>
        <v/>
      </c>
      <c r="C7644" s="67" t="str">
        <f>IF('Thirty-First'!C147="", "",'Thirty-First'!C147)</f>
        <v/>
      </c>
      <c r="D7644" s="67" t="str">
        <f>IF('Thirty-First'!D147="", "",'Thirty-First'!D147)</f>
        <v/>
      </c>
      <c r="E7644" s="67" t="str">
        <f>IF('Thirty-First'!E147="", "",'Thirty-First'!E147)</f>
        <v/>
      </c>
      <c r="F7644" s="67" t="str">
        <f>IF('Thirty-First'!F147="", "",'Thirty-First'!F147)</f>
        <v/>
      </c>
      <c r="G7644" s="67" t="str">
        <f>IF('Thirty-First'!G147="", "",'Thirty-First'!G147)</f>
        <v/>
      </c>
      <c r="H7644" s="67" t="str">
        <f>IF('Thirty-First'!H147="", "",'Thirty-First'!H147)</f>
        <v/>
      </c>
      <c r="I7644" s="67" t="str">
        <f>IF('Thirty-First'!I147="", "",'Thirty-First'!I147)</f>
        <v/>
      </c>
      <c r="J7644" s="67" t="str">
        <f>IF('Thirty-First'!J147="", "",'Thirty-First'!J147)</f>
        <v/>
      </c>
      <c r="K7644" s="76" t="str">
        <f>IF('Thirty-First'!K147="", "",'Thirty-First'!K147)</f>
        <v/>
      </c>
      <c r="M7644" s="67" t="str">
        <f t="shared" si="368"/>
        <v/>
      </c>
      <c r="N7644" s="76" t="str">
        <f t="shared" si="369"/>
        <v/>
      </c>
      <c r="O7644" s="33">
        <f t="shared" si="370"/>
        <v>0</v>
      </c>
    </row>
    <row r="7645" spans="1:15" x14ac:dyDescent="0.25">
      <c r="A7645" s="94" t="s">
        <v>197</v>
      </c>
      <c r="B7645" s="66" t="str">
        <f>IF('Thirty-First'!B148="", "",'Thirty-First'!B148)</f>
        <v/>
      </c>
      <c r="C7645" s="67" t="str">
        <f>IF('Thirty-First'!C148="", "",'Thirty-First'!C148)</f>
        <v/>
      </c>
      <c r="D7645" s="67" t="str">
        <f>IF('Thirty-First'!D148="", "",'Thirty-First'!D148)</f>
        <v/>
      </c>
      <c r="E7645" s="67" t="str">
        <f>IF('Thirty-First'!E148="", "",'Thirty-First'!E148)</f>
        <v/>
      </c>
      <c r="F7645" s="67" t="str">
        <f>IF('Thirty-First'!F148="", "",'Thirty-First'!F148)</f>
        <v/>
      </c>
      <c r="G7645" s="67" t="str">
        <f>IF('Thirty-First'!G148="", "",'Thirty-First'!G148)</f>
        <v/>
      </c>
      <c r="H7645" s="67" t="str">
        <f>IF('Thirty-First'!H148="", "",'Thirty-First'!H148)</f>
        <v/>
      </c>
      <c r="I7645" s="67" t="str">
        <f>IF('Thirty-First'!I148="", "",'Thirty-First'!I148)</f>
        <v/>
      </c>
      <c r="J7645" s="67" t="str">
        <f>IF('Thirty-First'!J148="", "",'Thirty-First'!J148)</f>
        <v/>
      </c>
      <c r="K7645" s="76" t="str">
        <f>IF('Thirty-First'!K148="", "",'Thirty-First'!K148)</f>
        <v/>
      </c>
      <c r="M7645" s="67" t="str">
        <f t="shared" si="368"/>
        <v/>
      </c>
      <c r="N7645" s="76" t="str">
        <f t="shared" si="369"/>
        <v/>
      </c>
      <c r="O7645" s="33">
        <f t="shared" si="370"/>
        <v>0</v>
      </c>
    </row>
    <row r="7646" spans="1:15" x14ac:dyDescent="0.25">
      <c r="A7646" s="94" t="s">
        <v>197</v>
      </c>
      <c r="B7646" s="66" t="str">
        <f>IF('Thirty-First'!B149="", "",'Thirty-First'!B149)</f>
        <v/>
      </c>
      <c r="C7646" s="67" t="str">
        <f>IF('Thirty-First'!C149="", "",'Thirty-First'!C149)</f>
        <v/>
      </c>
      <c r="D7646" s="67" t="str">
        <f>IF('Thirty-First'!D149="", "",'Thirty-First'!D149)</f>
        <v/>
      </c>
      <c r="E7646" s="67" t="str">
        <f>IF('Thirty-First'!E149="", "",'Thirty-First'!E149)</f>
        <v/>
      </c>
      <c r="F7646" s="67" t="str">
        <f>IF('Thirty-First'!F149="", "",'Thirty-First'!F149)</f>
        <v/>
      </c>
      <c r="G7646" s="67" t="str">
        <f>IF('Thirty-First'!G149="", "",'Thirty-First'!G149)</f>
        <v/>
      </c>
      <c r="H7646" s="67" t="str">
        <f>IF('Thirty-First'!H149="", "",'Thirty-First'!H149)</f>
        <v/>
      </c>
      <c r="I7646" s="67" t="str">
        <f>IF('Thirty-First'!I149="", "",'Thirty-First'!I149)</f>
        <v/>
      </c>
      <c r="J7646" s="67" t="str">
        <f>IF('Thirty-First'!J149="", "",'Thirty-First'!J149)</f>
        <v/>
      </c>
      <c r="K7646" s="76" t="str">
        <f>IF('Thirty-First'!K149="", "",'Thirty-First'!K149)</f>
        <v/>
      </c>
      <c r="M7646" s="67" t="str">
        <f t="shared" si="368"/>
        <v/>
      </c>
      <c r="N7646" s="76" t="str">
        <f t="shared" si="369"/>
        <v/>
      </c>
      <c r="O7646" s="33">
        <f t="shared" si="370"/>
        <v>0</v>
      </c>
    </row>
    <row r="7647" spans="1:15" x14ac:dyDescent="0.25">
      <c r="A7647" s="94" t="s">
        <v>197</v>
      </c>
      <c r="B7647" s="66" t="str">
        <f>IF('Thirty-First'!B150="", "",'Thirty-First'!B150)</f>
        <v/>
      </c>
      <c r="C7647" s="67" t="str">
        <f>IF('Thirty-First'!C150="", "",'Thirty-First'!C150)</f>
        <v/>
      </c>
      <c r="D7647" s="67" t="str">
        <f>IF('Thirty-First'!D150="", "",'Thirty-First'!D150)</f>
        <v/>
      </c>
      <c r="E7647" s="67" t="str">
        <f>IF('Thirty-First'!E150="", "",'Thirty-First'!E150)</f>
        <v/>
      </c>
      <c r="F7647" s="67" t="str">
        <f>IF('Thirty-First'!F150="", "",'Thirty-First'!F150)</f>
        <v/>
      </c>
      <c r="G7647" s="67" t="str">
        <f>IF('Thirty-First'!G150="", "",'Thirty-First'!G150)</f>
        <v/>
      </c>
      <c r="H7647" s="67" t="str">
        <f>IF('Thirty-First'!H150="", "",'Thirty-First'!H150)</f>
        <v/>
      </c>
      <c r="I7647" s="67" t="str">
        <f>IF('Thirty-First'!I150="", "",'Thirty-First'!I150)</f>
        <v/>
      </c>
      <c r="J7647" s="67" t="str">
        <f>IF('Thirty-First'!J150="", "",'Thirty-First'!J150)</f>
        <v/>
      </c>
      <c r="K7647" s="76" t="str">
        <f>IF('Thirty-First'!K150="", "",'Thirty-First'!K150)</f>
        <v/>
      </c>
      <c r="M7647" s="67" t="str">
        <f t="shared" si="368"/>
        <v/>
      </c>
      <c r="N7647" s="76" t="str">
        <f t="shared" si="369"/>
        <v/>
      </c>
      <c r="O7647" s="33">
        <f t="shared" si="370"/>
        <v>0</v>
      </c>
    </row>
    <row r="7648" spans="1:15" x14ac:dyDescent="0.25">
      <c r="A7648" s="94" t="s">
        <v>197</v>
      </c>
      <c r="B7648" s="66" t="str">
        <f>IF('Thirty-First'!B151="", "",'Thirty-First'!B151)</f>
        <v/>
      </c>
      <c r="C7648" s="67" t="str">
        <f>IF('Thirty-First'!C151="", "",'Thirty-First'!C151)</f>
        <v/>
      </c>
      <c r="D7648" s="67" t="str">
        <f>IF('Thirty-First'!D151="", "",'Thirty-First'!D151)</f>
        <v/>
      </c>
      <c r="E7648" s="67" t="str">
        <f>IF('Thirty-First'!E151="", "",'Thirty-First'!E151)</f>
        <v/>
      </c>
      <c r="F7648" s="67" t="str">
        <f>IF('Thirty-First'!F151="", "",'Thirty-First'!F151)</f>
        <v/>
      </c>
      <c r="G7648" s="67" t="str">
        <f>IF('Thirty-First'!G151="", "",'Thirty-First'!G151)</f>
        <v/>
      </c>
      <c r="H7648" s="67" t="str">
        <f>IF('Thirty-First'!H151="", "",'Thirty-First'!H151)</f>
        <v/>
      </c>
      <c r="I7648" s="67" t="str">
        <f>IF('Thirty-First'!I151="", "",'Thirty-First'!I151)</f>
        <v/>
      </c>
      <c r="J7648" s="67" t="str">
        <f>IF('Thirty-First'!J151="", "",'Thirty-First'!J151)</f>
        <v/>
      </c>
      <c r="K7648" s="76" t="str">
        <f>IF('Thirty-First'!K151="", "",'Thirty-First'!K151)</f>
        <v/>
      </c>
      <c r="M7648" s="67" t="str">
        <f t="shared" si="368"/>
        <v/>
      </c>
      <c r="N7648" s="76" t="str">
        <f t="shared" si="369"/>
        <v/>
      </c>
      <c r="O7648" s="33">
        <f t="shared" si="370"/>
        <v>0</v>
      </c>
    </row>
    <row r="7649" spans="1:15" x14ac:dyDescent="0.25">
      <c r="A7649" s="94" t="s">
        <v>197</v>
      </c>
      <c r="B7649" s="66" t="str">
        <f>IF('Thirty-First'!B152="", "",'Thirty-First'!B152)</f>
        <v/>
      </c>
      <c r="C7649" s="67" t="str">
        <f>IF('Thirty-First'!C152="", "",'Thirty-First'!C152)</f>
        <v/>
      </c>
      <c r="D7649" s="67" t="str">
        <f>IF('Thirty-First'!D152="", "",'Thirty-First'!D152)</f>
        <v/>
      </c>
      <c r="E7649" s="67" t="str">
        <f>IF('Thirty-First'!E152="", "",'Thirty-First'!E152)</f>
        <v/>
      </c>
      <c r="F7649" s="67" t="str">
        <f>IF('Thirty-First'!F152="", "",'Thirty-First'!F152)</f>
        <v/>
      </c>
      <c r="G7649" s="67" t="str">
        <f>IF('Thirty-First'!G152="", "",'Thirty-First'!G152)</f>
        <v/>
      </c>
      <c r="H7649" s="67" t="str">
        <f>IF('Thirty-First'!H152="", "",'Thirty-First'!H152)</f>
        <v/>
      </c>
      <c r="I7649" s="67" t="str">
        <f>IF('Thirty-First'!I152="", "",'Thirty-First'!I152)</f>
        <v/>
      </c>
      <c r="J7649" s="67" t="str">
        <f>IF('Thirty-First'!J152="", "",'Thirty-First'!J152)</f>
        <v/>
      </c>
      <c r="K7649" s="76" t="str">
        <f>IF('Thirty-First'!K152="", "",'Thirty-First'!K152)</f>
        <v/>
      </c>
      <c r="M7649" s="67" t="str">
        <f t="shared" si="368"/>
        <v/>
      </c>
      <c r="N7649" s="76" t="str">
        <f t="shared" si="369"/>
        <v/>
      </c>
      <c r="O7649" s="33">
        <f t="shared" si="370"/>
        <v>0</v>
      </c>
    </row>
    <row r="7650" spans="1:15" x14ac:dyDescent="0.25">
      <c r="A7650" s="94" t="s">
        <v>197</v>
      </c>
      <c r="B7650" s="66" t="str">
        <f>IF('Thirty-First'!B153="", "",'Thirty-First'!B153)</f>
        <v/>
      </c>
      <c r="C7650" s="67" t="str">
        <f>IF('Thirty-First'!C153="", "",'Thirty-First'!C153)</f>
        <v/>
      </c>
      <c r="D7650" s="67" t="str">
        <f>IF('Thirty-First'!D153="", "",'Thirty-First'!D153)</f>
        <v/>
      </c>
      <c r="E7650" s="67" t="str">
        <f>IF('Thirty-First'!E153="", "",'Thirty-First'!E153)</f>
        <v/>
      </c>
      <c r="F7650" s="67" t="str">
        <f>IF('Thirty-First'!F153="", "",'Thirty-First'!F153)</f>
        <v/>
      </c>
      <c r="G7650" s="67" t="str">
        <f>IF('Thirty-First'!G153="", "",'Thirty-First'!G153)</f>
        <v/>
      </c>
      <c r="H7650" s="67" t="str">
        <f>IF('Thirty-First'!H153="", "",'Thirty-First'!H153)</f>
        <v/>
      </c>
      <c r="I7650" s="67" t="str">
        <f>IF('Thirty-First'!I153="", "",'Thirty-First'!I153)</f>
        <v/>
      </c>
      <c r="J7650" s="67" t="str">
        <f>IF('Thirty-First'!J153="", "",'Thirty-First'!J153)</f>
        <v/>
      </c>
      <c r="K7650" s="76" t="str">
        <f>IF('Thirty-First'!K153="", "",'Thirty-First'!K153)</f>
        <v/>
      </c>
      <c r="M7650" s="67" t="str">
        <f t="shared" si="368"/>
        <v/>
      </c>
      <c r="N7650" s="76" t="str">
        <f t="shared" si="369"/>
        <v/>
      </c>
      <c r="O7650" s="33">
        <f t="shared" si="370"/>
        <v>0</v>
      </c>
    </row>
    <row r="7651" spans="1:15" x14ac:dyDescent="0.25">
      <c r="A7651" s="94" t="s">
        <v>197</v>
      </c>
      <c r="B7651" s="66" t="str">
        <f>IF('Thirty-First'!B154="", "",'Thirty-First'!B154)</f>
        <v/>
      </c>
      <c r="C7651" s="67" t="str">
        <f>IF('Thirty-First'!C154="", "",'Thirty-First'!C154)</f>
        <v/>
      </c>
      <c r="D7651" s="67" t="str">
        <f>IF('Thirty-First'!D154="", "",'Thirty-First'!D154)</f>
        <v/>
      </c>
      <c r="E7651" s="67" t="str">
        <f>IF('Thirty-First'!E154="", "",'Thirty-First'!E154)</f>
        <v/>
      </c>
      <c r="F7651" s="67" t="str">
        <f>IF('Thirty-First'!F154="", "",'Thirty-First'!F154)</f>
        <v/>
      </c>
      <c r="G7651" s="67" t="str">
        <f>IF('Thirty-First'!G154="", "",'Thirty-First'!G154)</f>
        <v/>
      </c>
      <c r="H7651" s="67" t="str">
        <f>IF('Thirty-First'!H154="", "",'Thirty-First'!H154)</f>
        <v/>
      </c>
      <c r="I7651" s="67" t="str">
        <f>IF('Thirty-First'!I154="", "",'Thirty-First'!I154)</f>
        <v/>
      </c>
      <c r="J7651" s="67" t="str">
        <f>IF('Thirty-First'!J154="", "",'Thirty-First'!J154)</f>
        <v/>
      </c>
      <c r="K7651" s="76" t="str">
        <f>IF('Thirty-First'!K154="", "",'Thirty-First'!K154)</f>
        <v/>
      </c>
      <c r="M7651" s="67" t="str">
        <f t="shared" si="368"/>
        <v/>
      </c>
      <c r="N7651" s="76" t="str">
        <f t="shared" si="369"/>
        <v/>
      </c>
      <c r="O7651" s="33">
        <f t="shared" si="370"/>
        <v>0</v>
      </c>
    </row>
    <row r="7652" spans="1:15" x14ac:dyDescent="0.25">
      <c r="A7652" s="94" t="s">
        <v>197</v>
      </c>
      <c r="B7652" s="66" t="str">
        <f>IF('Thirty-First'!B155="", "",'Thirty-First'!B155)</f>
        <v/>
      </c>
      <c r="C7652" s="67" t="str">
        <f>IF('Thirty-First'!C155="", "",'Thirty-First'!C155)</f>
        <v/>
      </c>
      <c r="D7652" s="67" t="str">
        <f>IF('Thirty-First'!D155="", "",'Thirty-First'!D155)</f>
        <v/>
      </c>
      <c r="E7652" s="67" t="str">
        <f>IF('Thirty-First'!E155="", "",'Thirty-First'!E155)</f>
        <v/>
      </c>
      <c r="F7652" s="67" t="str">
        <f>IF('Thirty-First'!F155="", "",'Thirty-First'!F155)</f>
        <v/>
      </c>
      <c r="G7652" s="67" t="str">
        <f>IF('Thirty-First'!G155="", "",'Thirty-First'!G155)</f>
        <v/>
      </c>
      <c r="H7652" s="67" t="str">
        <f>IF('Thirty-First'!H155="", "",'Thirty-First'!H155)</f>
        <v/>
      </c>
      <c r="I7652" s="67" t="str">
        <f>IF('Thirty-First'!I155="", "",'Thirty-First'!I155)</f>
        <v/>
      </c>
      <c r="J7652" s="67" t="str">
        <f>IF('Thirty-First'!J155="", "",'Thirty-First'!J155)</f>
        <v/>
      </c>
      <c r="K7652" s="76" t="str">
        <f>IF('Thirty-First'!K155="", "",'Thirty-First'!K155)</f>
        <v/>
      </c>
      <c r="M7652" s="67" t="str">
        <f t="shared" si="368"/>
        <v/>
      </c>
      <c r="N7652" s="76" t="str">
        <f t="shared" si="369"/>
        <v/>
      </c>
      <c r="O7652" s="33">
        <f t="shared" si="370"/>
        <v>0</v>
      </c>
    </row>
    <row r="7653" spans="1:15" x14ac:dyDescent="0.25">
      <c r="A7653" s="94" t="s">
        <v>197</v>
      </c>
      <c r="B7653" s="66" t="str">
        <f>IF('Thirty-First'!B156="", "",'Thirty-First'!B156)</f>
        <v/>
      </c>
      <c r="C7653" s="67" t="str">
        <f>IF('Thirty-First'!C156="", "",'Thirty-First'!C156)</f>
        <v/>
      </c>
      <c r="D7653" s="67" t="str">
        <f>IF('Thirty-First'!D156="", "",'Thirty-First'!D156)</f>
        <v/>
      </c>
      <c r="E7653" s="67" t="str">
        <f>IF('Thirty-First'!E156="", "",'Thirty-First'!E156)</f>
        <v/>
      </c>
      <c r="F7653" s="67" t="str">
        <f>IF('Thirty-First'!F156="", "",'Thirty-First'!F156)</f>
        <v/>
      </c>
      <c r="G7653" s="67" t="str">
        <f>IF('Thirty-First'!G156="", "",'Thirty-First'!G156)</f>
        <v/>
      </c>
      <c r="H7653" s="67" t="str">
        <f>IF('Thirty-First'!H156="", "",'Thirty-First'!H156)</f>
        <v/>
      </c>
      <c r="I7653" s="67" t="str">
        <f>IF('Thirty-First'!I156="", "",'Thirty-First'!I156)</f>
        <v/>
      </c>
      <c r="J7653" s="67" t="str">
        <f>IF('Thirty-First'!J156="", "",'Thirty-First'!J156)</f>
        <v/>
      </c>
      <c r="K7653" s="76" t="str">
        <f>IF('Thirty-First'!K156="", "",'Thirty-First'!K156)</f>
        <v/>
      </c>
      <c r="M7653" s="67" t="str">
        <f t="shared" si="368"/>
        <v/>
      </c>
      <c r="N7653" s="76" t="str">
        <f t="shared" si="369"/>
        <v/>
      </c>
      <c r="O7653" s="33">
        <f t="shared" si="370"/>
        <v>0</v>
      </c>
    </row>
    <row r="7654" spans="1:15" x14ac:dyDescent="0.25">
      <c r="A7654" s="94" t="s">
        <v>197</v>
      </c>
      <c r="B7654" s="66" t="str">
        <f>IF('Thirty-First'!B157="", "",'Thirty-First'!B157)</f>
        <v/>
      </c>
      <c r="C7654" s="67" t="str">
        <f>IF('Thirty-First'!C157="", "",'Thirty-First'!C157)</f>
        <v/>
      </c>
      <c r="D7654" s="67" t="str">
        <f>IF('Thirty-First'!D157="", "",'Thirty-First'!D157)</f>
        <v/>
      </c>
      <c r="E7654" s="67" t="str">
        <f>IF('Thirty-First'!E157="", "",'Thirty-First'!E157)</f>
        <v/>
      </c>
      <c r="F7654" s="67" t="str">
        <f>IF('Thirty-First'!F157="", "",'Thirty-First'!F157)</f>
        <v/>
      </c>
      <c r="G7654" s="67" t="str">
        <f>IF('Thirty-First'!G157="", "",'Thirty-First'!G157)</f>
        <v/>
      </c>
      <c r="H7654" s="67" t="str">
        <f>IF('Thirty-First'!H157="", "",'Thirty-First'!H157)</f>
        <v/>
      </c>
      <c r="I7654" s="67" t="str">
        <f>IF('Thirty-First'!I157="", "",'Thirty-First'!I157)</f>
        <v/>
      </c>
      <c r="J7654" s="67" t="str">
        <f>IF('Thirty-First'!J157="", "",'Thirty-First'!J157)</f>
        <v/>
      </c>
      <c r="K7654" s="76" t="str">
        <f>IF('Thirty-First'!K157="", "",'Thirty-First'!K157)</f>
        <v/>
      </c>
      <c r="M7654" s="67" t="str">
        <f t="shared" si="368"/>
        <v/>
      </c>
      <c r="N7654" s="76" t="str">
        <f t="shared" si="369"/>
        <v/>
      </c>
      <c r="O7654" s="33">
        <f t="shared" si="370"/>
        <v>0</v>
      </c>
    </row>
    <row r="7655" spans="1:15" x14ac:dyDescent="0.25">
      <c r="A7655" s="94" t="s">
        <v>197</v>
      </c>
      <c r="B7655" s="66" t="str">
        <f>IF('Thirty-First'!B158="", "",'Thirty-First'!B158)</f>
        <v/>
      </c>
      <c r="C7655" s="67" t="str">
        <f>IF('Thirty-First'!C158="", "",'Thirty-First'!C158)</f>
        <v/>
      </c>
      <c r="D7655" s="67" t="str">
        <f>IF('Thirty-First'!D158="", "",'Thirty-First'!D158)</f>
        <v/>
      </c>
      <c r="E7655" s="67" t="str">
        <f>IF('Thirty-First'!E158="", "",'Thirty-First'!E158)</f>
        <v/>
      </c>
      <c r="F7655" s="67" t="str">
        <f>IF('Thirty-First'!F158="", "",'Thirty-First'!F158)</f>
        <v/>
      </c>
      <c r="G7655" s="67" t="str">
        <f>IF('Thirty-First'!G158="", "",'Thirty-First'!G158)</f>
        <v/>
      </c>
      <c r="H7655" s="67" t="str">
        <f>IF('Thirty-First'!H158="", "",'Thirty-First'!H158)</f>
        <v/>
      </c>
      <c r="I7655" s="67" t="str">
        <f>IF('Thirty-First'!I158="", "",'Thirty-First'!I158)</f>
        <v/>
      </c>
      <c r="J7655" s="67" t="str">
        <f>IF('Thirty-First'!J158="", "",'Thirty-First'!J158)</f>
        <v/>
      </c>
      <c r="K7655" s="76" t="str">
        <f>IF('Thirty-First'!K158="", "",'Thirty-First'!K158)</f>
        <v/>
      </c>
      <c r="M7655" s="67" t="str">
        <f t="shared" si="368"/>
        <v/>
      </c>
      <c r="N7655" s="76" t="str">
        <f t="shared" si="369"/>
        <v/>
      </c>
      <c r="O7655" s="33">
        <f t="shared" si="370"/>
        <v>0</v>
      </c>
    </row>
    <row r="7656" spans="1:15" x14ac:dyDescent="0.25">
      <c r="A7656" s="94" t="s">
        <v>197</v>
      </c>
      <c r="B7656" s="66" t="str">
        <f>IF('Thirty-First'!B159="", "",'Thirty-First'!B159)</f>
        <v/>
      </c>
      <c r="C7656" s="67" t="str">
        <f>IF('Thirty-First'!C159="", "",'Thirty-First'!C159)</f>
        <v/>
      </c>
      <c r="D7656" s="67" t="str">
        <f>IF('Thirty-First'!D159="", "",'Thirty-First'!D159)</f>
        <v/>
      </c>
      <c r="E7656" s="67" t="str">
        <f>IF('Thirty-First'!E159="", "",'Thirty-First'!E159)</f>
        <v/>
      </c>
      <c r="F7656" s="67" t="str">
        <f>IF('Thirty-First'!F159="", "",'Thirty-First'!F159)</f>
        <v/>
      </c>
      <c r="G7656" s="67" t="str">
        <f>IF('Thirty-First'!G159="", "",'Thirty-First'!G159)</f>
        <v/>
      </c>
      <c r="H7656" s="67" t="str">
        <f>IF('Thirty-First'!H159="", "",'Thirty-First'!H159)</f>
        <v/>
      </c>
      <c r="I7656" s="67" t="str">
        <f>IF('Thirty-First'!I159="", "",'Thirty-First'!I159)</f>
        <v/>
      </c>
      <c r="J7656" s="67" t="str">
        <f>IF('Thirty-First'!J159="", "",'Thirty-First'!J159)</f>
        <v/>
      </c>
      <c r="K7656" s="76" t="str">
        <f>IF('Thirty-First'!K159="", "",'Thirty-First'!K159)</f>
        <v/>
      </c>
      <c r="M7656" s="67" t="str">
        <f t="shared" si="368"/>
        <v/>
      </c>
      <c r="N7656" s="76" t="str">
        <f t="shared" si="369"/>
        <v/>
      </c>
      <c r="O7656" s="33">
        <f t="shared" si="370"/>
        <v>0</v>
      </c>
    </row>
    <row r="7657" spans="1:15" x14ac:dyDescent="0.25">
      <c r="A7657" s="94" t="s">
        <v>197</v>
      </c>
      <c r="B7657" s="66" t="str">
        <f>IF('Thirty-First'!B160="", "",'Thirty-First'!B160)</f>
        <v/>
      </c>
      <c r="C7657" s="67" t="str">
        <f>IF('Thirty-First'!C160="", "",'Thirty-First'!C160)</f>
        <v/>
      </c>
      <c r="D7657" s="67" t="str">
        <f>IF('Thirty-First'!D160="", "",'Thirty-First'!D160)</f>
        <v/>
      </c>
      <c r="E7657" s="67" t="str">
        <f>IF('Thirty-First'!E160="", "",'Thirty-First'!E160)</f>
        <v/>
      </c>
      <c r="F7657" s="67" t="str">
        <f>IF('Thirty-First'!F160="", "",'Thirty-First'!F160)</f>
        <v/>
      </c>
      <c r="G7657" s="67" t="str">
        <f>IF('Thirty-First'!G160="", "",'Thirty-First'!G160)</f>
        <v/>
      </c>
      <c r="H7657" s="67" t="str">
        <f>IF('Thirty-First'!H160="", "",'Thirty-First'!H160)</f>
        <v/>
      </c>
      <c r="I7657" s="67" t="str">
        <f>IF('Thirty-First'!I160="", "",'Thirty-First'!I160)</f>
        <v/>
      </c>
      <c r="J7657" s="67" t="str">
        <f>IF('Thirty-First'!J160="", "",'Thirty-First'!J160)</f>
        <v/>
      </c>
      <c r="K7657" s="76" t="str">
        <f>IF('Thirty-First'!K160="", "",'Thirty-First'!K160)</f>
        <v/>
      </c>
      <c r="M7657" s="67" t="str">
        <f t="shared" si="368"/>
        <v/>
      </c>
      <c r="N7657" s="76" t="str">
        <f t="shared" si="369"/>
        <v/>
      </c>
      <c r="O7657" s="33">
        <f t="shared" si="370"/>
        <v>0</v>
      </c>
    </row>
    <row r="7658" spans="1:15" x14ac:dyDescent="0.25">
      <c r="A7658" s="94" t="s">
        <v>197</v>
      </c>
      <c r="B7658" s="66" t="str">
        <f>IF('Thirty-First'!B161="", "",'Thirty-First'!B161)</f>
        <v/>
      </c>
      <c r="C7658" s="67" t="str">
        <f>IF('Thirty-First'!C161="", "",'Thirty-First'!C161)</f>
        <v/>
      </c>
      <c r="D7658" s="67" t="str">
        <f>IF('Thirty-First'!D161="", "",'Thirty-First'!D161)</f>
        <v/>
      </c>
      <c r="E7658" s="67" t="str">
        <f>IF('Thirty-First'!E161="", "",'Thirty-First'!E161)</f>
        <v/>
      </c>
      <c r="F7658" s="67" t="str">
        <f>IF('Thirty-First'!F161="", "",'Thirty-First'!F161)</f>
        <v/>
      </c>
      <c r="G7658" s="67" t="str">
        <f>IF('Thirty-First'!G161="", "",'Thirty-First'!G161)</f>
        <v/>
      </c>
      <c r="H7658" s="67" t="str">
        <f>IF('Thirty-First'!H161="", "",'Thirty-First'!H161)</f>
        <v/>
      </c>
      <c r="I7658" s="67" t="str">
        <f>IF('Thirty-First'!I161="", "",'Thirty-First'!I161)</f>
        <v/>
      </c>
      <c r="J7658" s="67" t="str">
        <f>IF('Thirty-First'!J161="", "",'Thirty-First'!J161)</f>
        <v/>
      </c>
      <c r="K7658" s="76" t="str">
        <f>IF('Thirty-First'!K161="", "",'Thirty-First'!K161)</f>
        <v/>
      </c>
      <c r="M7658" s="67" t="str">
        <f t="shared" si="368"/>
        <v/>
      </c>
      <c r="N7658" s="76" t="str">
        <f t="shared" si="369"/>
        <v/>
      </c>
      <c r="O7658" s="33">
        <f t="shared" si="370"/>
        <v>0</v>
      </c>
    </row>
    <row r="7659" spans="1:15" x14ac:dyDescent="0.25">
      <c r="A7659" s="94" t="s">
        <v>197</v>
      </c>
      <c r="B7659" s="66" t="str">
        <f>IF('Thirty-First'!B162="", "",'Thirty-First'!B162)</f>
        <v/>
      </c>
      <c r="C7659" s="67" t="str">
        <f>IF('Thirty-First'!C162="", "",'Thirty-First'!C162)</f>
        <v/>
      </c>
      <c r="D7659" s="67" t="str">
        <f>IF('Thirty-First'!D162="", "",'Thirty-First'!D162)</f>
        <v/>
      </c>
      <c r="E7659" s="67" t="str">
        <f>IF('Thirty-First'!E162="", "",'Thirty-First'!E162)</f>
        <v/>
      </c>
      <c r="F7659" s="67" t="str">
        <f>IF('Thirty-First'!F162="", "",'Thirty-First'!F162)</f>
        <v/>
      </c>
      <c r="G7659" s="67" t="str">
        <f>IF('Thirty-First'!G162="", "",'Thirty-First'!G162)</f>
        <v/>
      </c>
      <c r="H7659" s="67" t="str">
        <f>IF('Thirty-First'!H162="", "",'Thirty-First'!H162)</f>
        <v/>
      </c>
      <c r="I7659" s="67" t="str">
        <f>IF('Thirty-First'!I162="", "",'Thirty-First'!I162)</f>
        <v/>
      </c>
      <c r="J7659" s="67" t="str">
        <f>IF('Thirty-First'!J162="", "",'Thirty-First'!J162)</f>
        <v/>
      </c>
      <c r="K7659" s="76" t="str">
        <f>IF('Thirty-First'!K162="", "",'Thirty-First'!K162)</f>
        <v/>
      </c>
      <c r="M7659" s="67" t="str">
        <f t="shared" si="368"/>
        <v/>
      </c>
      <c r="N7659" s="76" t="str">
        <f t="shared" si="369"/>
        <v/>
      </c>
      <c r="O7659" s="33">
        <f t="shared" si="370"/>
        <v>0</v>
      </c>
    </row>
    <row r="7660" spans="1:15" x14ac:dyDescent="0.25">
      <c r="A7660" s="94" t="s">
        <v>197</v>
      </c>
      <c r="B7660" s="66" t="str">
        <f>IF('Thirty-First'!B163="", "",'Thirty-First'!B163)</f>
        <v/>
      </c>
      <c r="C7660" s="67" t="str">
        <f>IF('Thirty-First'!C163="", "",'Thirty-First'!C163)</f>
        <v/>
      </c>
      <c r="D7660" s="67" t="str">
        <f>IF('Thirty-First'!D163="", "",'Thirty-First'!D163)</f>
        <v/>
      </c>
      <c r="E7660" s="67" t="str">
        <f>IF('Thirty-First'!E163="", "",'Thirty-First'!E163)</f>
        <v/>
      </c>
      <c r="F7660" s="67" t="str">
        <f>IF('Thirty-First'!F163="", "",'Thirty-First'!F163)</f>
        <v/>
      </c>
      <c r="G7660" s="67" t="str">
        <f>IF('Thirty-First'!G163="", "",'Thirty-First'!G163)</f>
        <v/>
      </c>
      <c r="H7660" s="67" t="str">
        <f>IF('Thirty-First'!H163="", "",'Thirty-First'!H163)</f>
        <v/>
      </c>
      <c r="I7660" s="67" t="str">
        <f>IF('Thirty-First'!I163="", "",'Thirty-First'!I163)</f>
        <v/>
      </c>
      <c r="J7660" s="67" t="str">
        <f>IF('Thirty-First'!J163="", "",'Thirty-First'!J163)</f>
        <v/>
      </c>
      <c r="K7660" s="76" t="str">
        <f>IF('Thirty-First'!K163="", "",'Thirty-First'!K163)</f>
        <v/>
      </c>
      <c r="M7660" s="67" t="str">
        <f t="shared" si="368"/>
        <v/>
      </c>
      <c r="N7660" s="76" t="str">
        <f t="shared" si="369"/>
        <v/>
      </c>
      <c r="O7660" s="33">
        <f t="shared" si="370"/>
        <v>0</v>
      </c>
    </row>
    <row r="7661" spans="1:15" x14ac:dyDescent="0.25">
      <c r="A7661" s="94" t="s">
        <v>197</v>
      </c>
      <c r="B7661" s="66" t="str">
        <f>IF('Thirty-First'!B164="", "",'Thirty-First'!B164)</f>
        <v/>
      </c>
      <c r="C7661" s="67" t="str">
        <f>IF('Thirty-First'!C164="", "",'Thirty-First'!C164)</f>
        <v/>
      </c>
      <c r="D7661" s="67" t="str">
        <f>IF('Thirty-First'!D164="", "",'Thirty-First'!D164)</f>
        <v/>
      </c>
      <c r="E7661" s="67" t="str">
        <f>IF('Thirty-First'!E164="", "",'Thirty-First'!E164)</f>
        <v/>
      </c>
      <c r="F7661" s="67" t="str">
        <f>IF('Thirty-First'!F164="", "",'Thirty-First'!F164)</f>
        <v/>
      </c>
      <c r="G7661" s="67" t="str">
        <f>IF('Thirty-First'!G164="", "",'Thirty-First'!G164)</f>
        <v/>
      </c>
      <c r="H7661" s="67" t="str">
        <f>IF('Thirty-First'!H164="", "",'Thirty-First'!H164)</f>
        <v/>
      </c>
      <c r="I7661" s="67" t="str">
        <f>IF('Thirty-First'!I164="", "",'Thirty-First'!I164)</f>
        <v/>
      </c>
      <c r="J7661" s="67" t="str">
        <f>IF('Thirty-First'!J164="", "",'Thirty-First'!J164)</f>
        <v/>
      </c>
      <c r="K7661" s="76" t="str">
        <f>IF('Thirty-First'!K164="", "",'Thirty-First'!K164)</f>
        <v/>
      </c>
      <c r="M7661" s="67" t="str">
        <f t="shared" si="368"/>
        <v/>
      </c>
      <c r="N7661" s="76" t="str">
        <f t="shared" si="369"/>
        <v/>
      </c>
      <c r="O7661" s="33">
        <f t="shared" si="370"/>
        <v>0</v>
      </c>
    </row>
    <row r="7662" spans="1:15" x14ac:dyDescent="0.25">
      <c r="A7662" s="94" t="s">
        <v>197</v>
      </c>
      <c r="B7662" s="66" t="str">
        <f>IF('Thirty-First'!B165="", "",'Thirty-First'!B165)</f>
        <v/>
      </c>
      <c r="C7662" s="67" t="str">
        <f>IF('Thirty-First'!C165="", "",'Thirty-First'!C165)</f>
        <v/>
      </c>
      <c r="D7662" s="67" t="str">
        <f>IF('Thirty-First'!D165="", "",'Thirty-First'!D165)</f>
        <v/>
      </c>
      <c r="E7662" s="67" t="str">
        <f>IF('Thirty-First'!E165="", "",'Thirty-First'!E165)</f>
        <v/>
      </c>
      <c r="F7662" s="67" t="str">
        <f>IF('Thirty-First'!F165="", "",'Thirty-First'!F165)</f>
        <v/>
      </c>
      <c r="G7662" s="67" t="str">
        <f>IF('Thirty-First'!G165="", "",'Thirty-First'!G165)</f>
        <v/>
      </c>
      <c r="H7662" s="67" t="str">
        <f>IF('Thirty-First'!H165="", "",'Thirty-First'!H165)</f>
        <v/>
      </c>
      <c r="I7662" s="67" t="str">
        <f>IF('Thirty-First'!I165="", "",'Thirty-First'!I165)</f>
        <v/>
      </c>
      <c r="J7662" s="67" t="str">
        <f>IF('Thirty-First'!J165="", "",'Thirty-First'!J165)</f>
        <v/>
      </c>
      <c r="K7662" s="76" t="str">
        <f>IF('Thirty-First'!K165="", "",'Thirty-First'!K165)</f>
        <v/>
      </c>
      <c r="M7662" s="67" t="str">
        <f t="shared" si="368"/>
        <v/>
      </c>
      <c r="N7662" s="76" t="str">
        <f t="shared" si="369"/>
        <v/>
      </c>
      <c r="O7662" s="33">
        <f t="shared" si="370"/>
        <v>0</v>
      </c>
    </row>
    <row r="7663" spans="1:15" x14ac:dyDescent="0.25">
      <c r="A7663" s="94" t="s">
        <v>197</v>
      </c>
      <c r="B7663" s="66" t="str">
        <f>IF('Thirty-First'!B166="", "",'Thirty-First'!B166)</f>
        <v/>
      </c>
      <c r="C7663" s="67" t="str">
        <f>IF('Thirty-First'!C166="", "",'Thirty-First'!C166)</f>
        <v/>
      </c>
      <c r="D7663" s="67" t="str">
        <f>IF('Thirty-First'!D166="", "",'Thirty-First'!D166)</f>
        <v/>
      </c>
      <c r="E7663" s="67" t="str">
        <f>IF('Thirty-First'!E166="", "",'Thirty-First'!E166)</f>
        <v/>
      </c>
      <c r="F7663" s="67" t="str">
        <f>IF('Thirty-First'!F166="", "",'Thirty-First'!F166)</f>
        <v/>
      </c>
      <c r="G7663" s="67" t="str">
        <f>IF('Thirty-First'!G166="", "",'Thirty-First'!G166)</f>
        <v/>
      </c>
      <c r="H7663" s="67" t="str">
        <f>IF('Thirty-First'!H166="", "",'Thirty-First'!H166)</f>
        <v/>
      </c>
      <c r="I7663" s="67" t="str">
        <f>IF('Thirty-First'!I166="", "",'Thirty-First'!I166)</f>
        <v/>
      </c>
      <c r="J7663" s="67" t="str">
        <f>IF('Thirty-First'!J166="", "",'Thirty-First'!J166)</f>
        <v/>
      </c>
      <c r="K7663" s="76" t="str">
        <f>IF('Thirty-First'!K166="", "",'Thirty-First'!K166)</f>
        <v/>
      </c>
      <c r="M7663" s="67" t="str">
        <f t="shared" si="368"/>
        <v/>
      </c>
      <c r="N7663" s="76" t="str">
        <f t="shared" si="369"/>
        <v/>
      </c>
      <c r="O7663" s="33">
        <f t="shared" si="370"/>
        <v>0</v>
      </c>
    </row>
    <row r="7664" spans="1:15" x14ac:dyDescent="0.25">
      <c r="A7664" s="94" t="s">
        <v>197</v>
      </c>
      <c r="B7664" s="66" t="str">
        <f>IF('Thirty-First'!B167="", "",'Thirty-First'!B167)</f>
        <v/>
      </c>
      <c r="C7664" s="67" t="str">
        <f>IF('Thirty-First'!C167="", "",'Thirty-First'!C167)</f>
        <v/>
      </c>
      <c r="D7664" s="67" t="str">
        <f>IF('Thirty-First'!D167="", "",'Thirty-First'!D167)</f>
        <v/>
      </c>
      <c r="E7664" s="67" t="str">
        <f>IF('Thirty-First'!E167="", "",'Thirty-First'!E167)</f>
        <v/>
      </c>
      <c r="F7664" s="67" t="str">
        <f>IF('Thirty-First'!F167="", "",'Thirty-First'!F167)</f>
        <v/>
      </c>
      <c r="G7664" s="67" t="str">
        <f>IF('Thirty-First'!G167="", "",'Thirty-First'!G167)</f>
        <v/>
      </c>
      <c r="H7664" s="67" t="str">
        <f>IF('Thirty-First'!H167="", "",'Thirty-First'!H167)</f>
        <v/>
      </c>
      <c r="I7664" s="67" t="str">
        <f>IF('Thirty-First'!I167="", "",'Thirty-First'!I167)</f>
        <v/>
      </c>
      <c r="J7664" s="67" t="str">
        <f>IF('Thirty-First'!J167="", "",'Thirty-First'!J167)</f>
        <v/>
      </c>
      <c r="K7664" s="76" t="str">
        <f>IF('Thirty-First'!K167="", "",'Thirty-First'!K167)</f>
        <v/>
      </c>
      <c r="M7664" s="67" t="str">
        <f t="shared" si="368"/>
        <v/>
      </c>
      <c r="N7664" s="76" t="str">
        <f t="shared" si="369"/>
        <v/>
      </c>
      <c r="O7664" s="33">
        <f t="shared" si="370"/>
        <v>0</v>
      </c>
    </row>
    <row r="7665" spans="1:15" x14ac:dyDescent="0.25">
      <c r="A7665" s="94" t="s">
        <v>197</v>
      </c>
      <c r="B7665" s="66" t="str">
        <f>IF('Thirty-First'!B168="", "",'Thirty-First'!B168)</f>
        <v/>
      </c>
      <c r="C7665" s="67" t="str">
        <f>IF('Thirty-First'!C168="", "",'Thirty-First'!C168)</f>
        <v/>
      </c>
      <c r="D7665" s="67" t="str">
        <f>IF('Thirty-First'!D168="", "",'Thirty-First'!D168)</f>
        <v/>
      </c>
      <c r="E7665" s="67" t="str">
        <f>IF('Thirty-First'!E168="", "",'Thirty-First'!E168)</f>
        <v/>
      </c>
      <c r="F7665" s="67" t="str">
        <f>IF('Thirty-First'!F168="", "",'Thirty-First'!F168)</f>
        <v/>
      </c>
      <c r="G7665" s="67" t="str">
        <f>IF('Thirty-First'!G168="", "",'Thirty-First'!G168)</f>
        <v/>
      </c>
      <c r="H7665" s="67" t="str">
        <f>IF('Thirty-First'!H168="", "",'Thirty-First'!H168)</f>
        <v/>
      </c>
      <c r="I7665" s="67" t="str">
        <f>IF('Thirty-First'!I168="", "",'Thirty-First'!I168)</f>
        <v/>
      </c>
      <c r="J7665" s="67" t="str">
        <f>IF('Thirty-First'!J168="", "",'Thirty-First'!J168)</f>
        <v/>
      </c>
      <c r="K7665" s="76" t="str">
        <f>IF('Thirty-First'!K168="", "",'Thirty-First'!K168)</f>
        <v/>
      </c>
      <c r="M7665" s="67" t="str">
        <f t="shared" si="368"/>
        <v/>
      </c>
      <c r="N7665" s="76" t="str">
        <f t="shared" si="369"/>
        <v/>
      </c>
      <c r="O7665" s="33">
        <f t="shared" si="370"/>
        <v>0</v>
      </c>
    </row>
    <row r="7666" spans="1:15" x14ac:dyDescent="0.25">
      <c r="A7666" s="94" t="s">
        <v>197</v>
      </c>
      <c r="B7666" s="66" t="str">
        <f>IF('Thirty-First'!B169="", "",'Thirty-First'!B169)</f>
        <v/>
      </c>
      <c r="C7666" s="67" t="str">
        <f>IF('Thirty-First'!C169="", "",'Thirty-First'!C169)</f>
        <v/>
      </c>
      <c r="D7666" s="67" t="str">
        <f>IF('Thirty-First'!D169="", "",'Thirty-First'!D169)</f>
        <v/>
      </c>
      <c r="E7666" s="67" t="str">
        <f>IF('Thirty-First'!E169="", "",'Thirty-First'!E169)</f>
        <v/>
      </c>
      <c r="F7666" s="67" t="str">
        <f>IF('Thirty-First'!F169="", "",'Thirty-First'!F169)</f>
        <v/>
      </c>
      <c r="G7666" s="67" t="str">
        <f>IF('Thirty-First'!G169="", "",'Thirty-First'!G169)</f>
        <v/>
      </c>
      <c r="H7666" s="67" t="str">
        <f>IF('Thirty-First'!H169="", "",'Thirty-First'!H169)</f>
        <v/>
      </c>
      <c r="I7666" s="67" t="str">
        <f>IF('Thirty-First'!I169="", "",'Thirty-First'!I169)</f>
        <v/>
      </c>
      <c r="J7666" s="67" t="str">
        <f>IF('Thirty-First'!J169="", "",'Thirty-First'!J169)</f>
        <v/>
      </c>
      <c r="K7666" s="76" t="str">
        <f>IF('Thirty-First'!K169="", "",'Thirty-First'!K169)</f>
        <v/>
      </c>
      <c r="M7666" s="67" t="str">
        <f t="shared" si="368"/>
        <v/>
      </c>
      <c r="N7666" s="76" t="str">
        <f t="shared" si="369"/>
        <v/>
      </c>
      <c r="O7666" s="33">
        <f t="shared" si="370"/>
        <v>0</v>
      </c>
    </row>
    <row r="7667" spans="1:15" x14ac:dyDescent="0.25">
      <c r="A7667" s="94" t="s">
        <v>197</v>
      </c>
      <c r="B7667" s="66" t="str">
        <f>IF('Thirty-First'!B170="", "",'Thirty-First'!B170)</f>
        <v/>
      </c>
      <c r="C7667" s="67" t="str">
        <f>IF('Thirty-First'!C170="", "",'Thirty-First'!C170)</f>
        <v/>
      </c>
      <c r="D7667" s="67" t="str">
        <f>IF('Thirty-First'!D170="", "",'Thirty-First'!D170)</f>
        <v/>
      </c>
      <c r="E7667" s="67" t="str">
        <f>IF('Thirty-First'!E170="", "",'Thirty-First'!E170)</f>
        <v/>
      </c>
      <c r="F7667" s="67" t="str">
        <f>IF('Thirty-First'!F170="", "",'Thirty-First'!F170)</f>
        <v/>
      </c>
      <c r="G7667" s="67" t="str">
        <f>IF('Thirty-First'!G170="", "",'Thirty-First'!G170)</f>
        <v/>
      </c>
      <c r="H7667" s="67" t="str">
        <f>IF('Thirty-First'!H170="", "",'Thirty-First'!H170)</f>
        <v/>
      </c>
      <c r="I7667" s="67" t="str">
        <f>IF('Thirty-First'!I170="", "",'Thirty-First'!I170)</f>
        <v/>
      </c>
      <c r="J7667" s="67" t="str">
        <f>IF('Thirty-First'!J170="", "",'Thirty-First'!J170)</f>
        <v/>
      </c>
      <c r="K7667" s="76" t="str">
        <f>IF('Thirty-First'!K170="", "",'Thirty-First'!K170)</f>
        <v/>
      </c>
      <c r="M7667" s="67" t="str">
        <f t="shared" si="368"/>
        <v/>
      </c>
      <c r="N7667" s="76" t="str">
        <f t="shared" si="369"/>
        <v/>
      </c>
      <c r="O7667" s="33">
        <f t="shared" si="370"/>
        <v>0</v>
      </c>
    </row>
    <row r="7668" spans="1:15" x14ac:dyDescent="0.25">
      <c r="A7668" s="94" t="s">
        <v>197</v>
      </c>
      <c r="B7668" s="66" t="str">
        <f>IF('Thirty-First'!B171="", "",'Thirty-First'!B171)</f>
        <v/>
      </c>
      <c r="C7668" s="67" t="str">
        <f>IF('Thirty-First'!C171="", "",'Thirty-First'!C171)</f>
        <v/>
      </c>
      <c r="D7668" s="67" t="str">
        <f>IF('Thirty-First'!D171="", "",'Thirty-First'!D171)</f>
        <v/>
      </c>
      <c r="E7668" s="67" t="str">
        <f>IF('Thirty-First'!E171="", "",'Thirty-First'!E171)</f>
        <v/>
      </c>
      <c r="F7668" s="67" t="str">
        <f>IF('Thirty-First'!F171="", "",'Thirty-First'!F171)</f>
        <v/>
      </c>
      <c r="G7668" s="67" t="str">
        <f>IF('Thirty-First'!G171="", "",'Thirty-First'!G171)</f>
        <v/>
      </c>
      <c r="H7668" s="67" t="str">
        <f>IF('Thirty-First'!H171="", "",'Thirty-First'!H171)</f>
        <v/>
      </c>
      <c r="I7668" s="67" t="str">
        <f>IF('Thirty-First'!I171="", "",'Thirty-First'!I171)</f>
        <v/>
      </c>
      <c r="J7668" s="67" t="str">
        <f>IF('Thirty-First'!J171="", "",'Thirty-First'!J171)</f>
        <v/>
      </c>
      <c r="K7668" s="76" t="str">
        <f>IF('Thirty-First'!K171="", "",'Thirty-First'!K171)</f>
        <v/>
      </c>
      <c r="M7668" s="67" t="str">
        <f t="shared" si="368"/>
        <v/>
      </c>
      <c r="N7668" s="76" t="str">
        <f t="shared" si="369"/>
        <v/>
      </c>
      <c r="O7668" s="33">
        <f t="shared" si="370"/>
        <v>0</v>
      </c>
    </row>
    <row r="7669" spans="1:15" x14ac:dyDescent="0.25">
      <c r="A7669" s="94" t="s">
        <v>197</v>
      </c>
      <c r="B7669" s="66" t="str">
        <f>IF('Thirty-First'!B172="", "",'Thirty-First'!B172)</f>
        <v/>
      </c>
      <c r="C7669" s="67" t="str">
        <f>IF('Thirty-First'!C172="", "",'Thirty-First'!C172)</f>
        <v/>
      </c>
      <c r="D7669" s="67" t="str">
        <f>IF('Thirty-First'!D172="", "",'Thirty-First'!D172)</f>
        <v/>
      </c>
      <c r="E7669" s="67" t="str">
        <f>IF('Thirty-First'!E172="", "",'Thirty-First'!E172)</f>
        <v/>
      </c>
      <c r="F7669" s="67" t="str">
        <f>IF('Thirty-First'!F172="", "",'Thirty-First'!F172)</f>
        <v/>
      </c>
      <c r="G7669" s="67" t="str">
        <f>IF('Thirty-First'!G172="", "",'Thirty-First'!G172)</f>
        <v/>
      </c>
      <c r="H7669" s="67" t="str">
        <f>IF('Thirty-First'!H172="", "",'Thirty-First'!H172)</f>
        <v/>
      </c>
      <c r="I7669" s="67" t="str">
        <f>IF('Thirty-First'!I172="", "",'Thirty-First'!I172)</f>
        <v/>
      </c>
      <c r="J7669" s="67" t="str">
        <f>IF('Thirty-First'!J172="", "",'Thirty-First'!J172)</f>
        <v/>
      </c>
      <c r="K7669" s="76" t="str">
        <f>IF('Thirty-First'!K172="", "",'Thirty-First'!K172)</f>
        <v/>
      </c>
      <c r="M7669" s="67" t="str">
        <f t="shared" si="368"/>
        <v/>
      </c>
      <c r="N7669" s="76" t="str">
        <f t="shared" si="369"/>
        <v/>
      </c>
      <c r="O7669" s="33">
        <f t="shared" si="370"/>
        <v>0</v>
      </c>
    </row>
    <row r="7670" spans="1:15" x14ac:dyDescent="0.25">
      <c r="A7670" s="94" t="s">
        <v>197</v>
      </c>
      <c r="B7670" s="66" t="str">
        <f>IF('Thirty-First'!B173="", "",'Thirty-First'!B173)</f>
        <v/>
      </c>
      <c r="C7670" s="67" t="str">
        <f>IF('Thirty-First'!C173="", "",'Thirty-First'!C173)</f>
        <v/>
      </c>
      <c r="D7670" s="67" t="str">
        <f>IF('Thirty-First'!D173="", "",'Thirty-First'!D173)</f>
        <v/>
      </c>
      <c r="E7670" s="67" t="str">
        <f>IF('Thirty-First'!E173="", "",'Thirty-First'!E173)</f>
        <v/>
      </c>
      <c r="F7670" s="67" t="str">
        <f>IF('Thirty-First'!F173="", "",'Thirty-First'!F173)</f>
        <v/>
      </c>
      <c r="G7670" s="67" t="str">
        <f>IF('Thirty-First'!G173="", "",'Thirty-First'!G173)</f>
        <v/>
      </c>
      <c r="H7670" s="67" t="str">
        <f>IF('Thirty-First'!H173="", "",'Thirty-First'!H173)</f>
        <v/>
      </c>
      <c r="I7670" s="67" t="str">
        <f>IF('Thirty-First'!I173="", "",'Thirty-First'!I173)</f>
        <v/>
      </c>
      <c r="J7670" s="67" t="str">
        <f>IF('Thirty-First'!J173="", "",'Thirty-First'!J173)</f>
        <v/>
      </c>
      <c r="K7670" s="76" t="str">
        <f>IF('Thirty-First'!K173="", "",'Thirty-First'!K173)</f>
        <v/>
      </c>
      <c r="M7670" s="67" t="str">
        <f t="shared" si="368"/>
        <v/>
      </c>
      <c r="N7670" s="76" t="str">
        <f t="shared" si="369"/>
        <v/>
      </c>
      <c r="O7670" s="33">
        <f t="shared" si="370"/>
        <v>0</v>
      </c>
    </row>
    <row r="7671" spans="1:15" x14ac:dyDescent="0.25">
      <c r="A7671" s="94" t="s">
        <v>197</v>
      </c>
      <c r="B7671" s="66" t="str">
        <f>IF('Thirty-First'!B174="", "",'Thirty-First'!B174)</f>
        <v/>
      </c>
      <c r="C7671" s="67" t="str">
        <f>IF('Thirty-First'!C174="", "",'Thirty-First'!C174)</f>
        <v/>
      </c>
      <c r="D7671" s="67" t="str">
        <f>IF('Thirty-First'!D174="", "",'Thirty-First'!D174)</f>
        <v/>
      </c>
      <c r="E7671" s="67" t="str">
        <f>IF('Thirty-First'!E174="", "",'Thirty-First'!E174)</f>
        <v/>
      </c>
      <c r="F7671" s="67" t="str">
        <f>IF('Thirty-First'!F174="", "",'Thirty-First'!F174)</f>
        <v/>
      </c>
      <c r="G7671" s="67" t="str">
        <f>IF('Thirty-First'!G174="", "",'Thirty-First'!G174)</f>
        <v/>
      </c>
      <c r="H7671" s="67" t="str">
        <f>IF('Thirty-First'!H174="", "",'Thirty-First'!H174)</f>
        <v/>
      </c>
      <c r="I7671" s="67" t="str">
        <f>IF('Thirty-First'!I174="", "",'Thirty-First'!I174)</f>
        <v/>
      </c>
      <c r="J7671" s="67" t="str">
        <f>IF('Thirty-First'!J174="", "",'Thirty-First'!J174)</f>
        <v/>
      </c>
      <c r="K7671" s="76" t="str">
        <f>IF('Thirty-First'!K174="", "",'Thirty-First'!K174)</f>
        <v/>
      </c>
      <c r="M7671" s="67" t="str">
        <f t="shared" si="368"/>
        <v/>
      </c>
      <c r="N7671" s="76" t="str">
        <f t="shared" si="369"/>
        <v/>
      </c>
      <c r="O7671" s="33">
        <f t="shared" si="370"/>
        <v>0</v>
      </c>
    </row>
    <row r="7672" spans="1:15" x14ac:dyDescent="0.25">
      <c r="A7672" s="94" t="s">
        <v>197</v>
      </c>
      <c r="B7672" s="66" t="str">
        <f>IF('Thirty-First'!B175="", "",'Thirty-First'!B175)</f>
        <v/>
      </c>
      <c r="C7672" s="67" t="str">
        <f>IF('Thirty-First'!C175="", "",'Thirty-First'!C175)</f>
        <v/>
      </c>
      <c r="D7672" s="67" t="str">
        <f>IF('Thirty-First'!D175="", "",'Thirty-First'!D175)</f>
        <v/>
      </c>
      <c r="E7672" s="67" t="str">
        <f>IF('Thirty-First'!E175="", "",'Thirty-First'!E175)</f>
        <v/>
      </c>
      <c r="F7672" s="67" t="str">
        <f>IF('Thirty-First'!F175="", "",'Thirty-First'!F175)</f>
        <v/>
      </c>
      <c r="G7672" s="67" t="str">
        <f>IF('Thirty-First'!G175="", "",'Thirty-First'!G175)</f>
        <v/>
      </c>
      <c r="H7672" s="67" t="str">
        <f>IF('Thirty-First'!H175="", "",'Thirty-First'!H175)</f>
        <v/>
      </c>
      <c r="I7672" s="67" t="str">
        <f>IF('Thirty-First'!I175="", "",'Thirty-First'!I175)</f>
        <v/>
      </c>
      <c r="J7672" s="67" t="str">
        <f>IF('Thirty-First'!J175="", "",'Thirty-First'!J175)</f>
        <v/>
      </c>
      <c r="K7672" s="76" t="str">
        <f>IF('Thirty-First'!K175="", "",'Thirty-First'!K175)</f>
        <v/>
      </c>
      <c r="M7672" s="67" t="str">
        <f t="shared" si="368"/>
        <v/>
      </c>
      <c r="N7672" s="76" t="str">
        <f t="shared" si="369"/>
        <v/>
      </c>
      <c r="O7672" s="33">
        <f t="shared" si="370"/>
        <v>0</v>
      </c>
    </row>
    <row r="7673" spans="1:15" x14ac:dyDescent="0.25">
      <c r="A7673" s="94" t="s">
        <v>197</v>
      </c>
      <c r="B7673" s="66" t="str">
        <f>IF('Thirty-First'!B176="", "",'Thirty-First'!B176)</f>
        <v/>
      </c>
      <c r="C7673" s="67" t="str">
        <f>IF('Thirty-First'!C176="", "",'Thirty-First'!C176)</f>
        <v/>
      </c>
      <c r="D7673" s="67" t="str">
        <f>IF('Thirty-First'!D176="", "",'Thirty-First'!D176)</f>
        <v/>
      </c>
      <c r="E7673" s="67" t="str">
        <f>IF('Thirty-First'!E176="", "",'Thirty-First'!E176)</f>
        <v/>
      </c>
      <c r="F7673" s="67" t="str">
        <f>IF('Thirty-First'!F176="", "",'Thirty-First'!F176)</f>
        <v/>
      </c>
      <c r="G7673" s="67" t="str">
        <f>IF('Thirty-First'!G176="", "",'Thirty-First'!G176)</f>
        <v/>
      </c>
      <c r="H7673" s="67" t="str">
        <f>IF('Thirty-First'!H176="", "",'Thirty-First'!H176)</f>
        <v/>
      </c>
      <c r="I7673" s="67" t="str">
        <f>IF('Thirty-First'!I176="", "",'Thirty-First'!I176)</f>
        <v/>
      </c>
      <c r="J7673" s="67" t="str">
        <f>IF('Thirty-First'!J176="", "",'Thirty-First'!J176)</f>
        <v/>
      </c>
      <c r="K7673" s="76" t="str">
        <f>IF('Thirty-First'!K176="", "",'Thirty-First'!K176)</f>
        <v/>
      </c>
      <c r="M7673" s="67" t="str">
        <f t="shared" si="368"/>
        <v/>
      </c>
      <c r="N7673" s="76" t="str">
        <f t="shared" si="369"/>
        <v/>
      </c>
      <c r="O7673" s="33">
        <f t="shared" si="370"/>
        <v>0</v>
      </c>
    </row>
    <row r="7674" spans="1:15" x14ac:dyDescent="0.25">
      <c r="A7674" s="94" t="s">
        <v>197</v>
      </c>
      <c r="B7674" s="66" t="str">
        <f>IF('Thirty-First'!B177="", "",'Thirty-First'!B177)</f>
        <v/>
      </c>
      <c r="C7674" s="67" t="str">
        <f>IF('Thirty-First'!C177="", "",'Thirty-First'!C177)</f>
        <v/>
      </c>
      <c r="D7674" s="67" t="str">
        <f>IF('Thirty-First'!D177="", "",'Thirty-First'!D177)</f>
        <v/>
      </c>
      <c r="E7674" s="67" t="str">
        <f>IF('Thirty-First'!E177="", "",'Thirty-First'!E177)</f>
        <v/>
      </c>
      <c r="F7674" s="67" t="str">
        <f>IF('Thirty-First'!F177="", "",'Thirty-First'!F177)</f>
        <v/>
      </c>
      <c r="G7674" s="67" t="str">
        <f>IF('Thirty-First'!G177="", "",'Thirty-First'!G177)</f>
        <v/>
      </c>
      <c r="H7674" s="67" t="str">
        <f>IF('Thirty-First'!H177="", "",'Thirty-First'!H177)</f>
        <v/>
      </c>
      <c r="I7674" s="67" t="str">
        <f>IF('Thirty-First'!I177="", "",'Thirty-First'!I177)</f>
        <v/>
      </c>
      <c r="J7674" s="67" t="str">
        <f>IF('Thirty-First'!J177="", "",'Thirty-First'!J177)</f>
        <v/>
      </c>
      <c r="K7674" s="76" t="str">
        <f>IF('Thirty-First'!K177="", "",'Thirty-First'!K177)</f>
        <v/>
      </c>
      <c r="M7674" s="67" t="str">
        <f t="shared" si="368"/>
        <v/>
      </c>
      <c r="N7674" s="76" t="str">
        <f t="shared" si="369"/>
        <v/>
      </c>
      <c r="O7674" s="33">
        <f t="shared" si="370"/>
        <v>0</v>
      </c>
    </row>
    <row r="7675" spans="1:15" x14ac:dyDescent="0.25">
      <c r="A7675" s="94" t="s">
        <v>197</v>
      </c>
      <c r="B7675" s="66" t="str">
        <f>IF('Thirty-First'!B178="", "",'Thirty-First'!B178)</f>
        <v/>
      </c>
      <c r="C7675" s="67" t="str">
        <f>IF('Thirty-First'!C178="", "",'Thirty-First'!C178)</f>
        <v/>
      </c>
      <c r="D7675" s="67" t="str">
        <f>IF('Thirty-First'!D178="", "",'Thirty-First'!D178)</f>
        <v/>
      </c>
      <c r="E7675" s="67" t="str">
        <f>IF('Thirty-First'!E178="", "",'Thirty-First'!E178)</f>
        <v/>
      </c>
      <c r="F7675" s="67" t="str">
        <f>IF('Thirty-First'!F178="", "",'Thirty-First'!F178)</f>
        <v/>
      </c>
      <c r="G7675" s="67" t="str">
        <f>IF('Thirty-First'!G178="", "",'Thirty-First'!G178)</f>
        <v/>
      </c>
      <c r="H7675" s="67" t="str">
        <f>IF('Thirty-First'!H178="", "",'Thirty-First'!H178)</f>
        <v/>
      </c>
      <c r="I7675" s="67" t="str">
        <f>IF('Thirty-First'!I178="", "",'Thirty-First'!I178)</f>
        <v/>
      </c>
      <c r="J7675" s="67" t="str">
        <f>IF('Thirty-First'!J178="", "",'Thirty-First'!J178)</f>
        <v/>
      </c>
      <c r="K7675" s="76" t="str">
        <f>IF('Thirty-First'!K178="", "",'Thirty-First'!K178)</f>
        <v/>
      </c>
      <c r="M7675" s="67" t="str">
        <f t="shared" si="368"/>
        <v/>
      </c>
      <c r="N7675" s="76" t="str">
        <f t="shared" si="369"/>
        <v/>
      </c>
      <c r="O7675" s="33">
        <f t="shared" si="370"/>
        <v>0</v>
      </c>
    </row>
    <row r="7676" spans="1:15" x14ac:dyDescent="0.25">
      <c r="A7676" s="94" t="s">
        <v>197</v>
      </c>
      <c r="B7676" s="66" t="str">
        <f>IF('Thirty-First'!B179="", "",'Thirty-First'!B179)</f>
        <v/>
      </c>
      <c r="C7676" s="67" t="str">
        <f>IF('Thirty-First'!C179="", "",'Thirty-First'!C179)</f>
        <v/>
      </c>
      <c r="D7676" s="67" t="str">
        <f>IF('Thirty-First'!D179="", "",'Thirty-First'!D179)</f>
        <v/>
      </c>
      <c r="E7676" s="67" t="str">
        <f>IF('Thirty-First'!E179="", "",'Thirty-First'!E179)</f>
        <v/>
      </c>
      <c r="F7676" s="67" t="str">
        <f>IF('Thirty-First'!F179="", "",'Thirty-First'!F179)</f>
        <v/>
      </c>
      <c r="G7676" s="67" t="str">
        <f>IF('Thirty-First'!G179="", "",'Thirty-First'!G179)</f>
        <v/>
      </c>
      <c r="H7676" s="67" t="str">
        <f>IF('Thirty-First'!H179="", "",'Thirty-First'!H179)</f>
        <v/>
      </c>
      <c r="I7676" s="67" t="str">
        <f>IF('Thirty-First'!I179="", "",'Thirty-First'!I179)</f>
        <v/>
      </c>
      <c r="J7676" s="67" t="str">
        <f>IF('Thirty-First'!J179="", "",'Thirty-First'!J179)</f>
        <v/>
      </c>
      <c r="K7676" s="76" t="str">
        <f>IF('Thirty-First'!K179="", "",'Thirty-First'!K179)</f>
        <v/>
      </c>
      <c r="M7676" s="67" t="str">
        <f t="shared" si="368"/>
        <v/>
      </c>
      <c r="N7676" s="76" t="str">
        <f t="shared" si="369"/>
        <v/>
      </c>
      <c r="O7676" s="33">
        <f t="shared" si="370"/>
        <v>0</v>
      </c>
    </row>
    <row r="7677" spans="1:15" x14ac:dyDescent="0.25">
      <c r="A7677" s="94" t="s">
        <v>197</v>
      </c>
      <c r="B7677" s="66" t="str">
        <f>IF('Thirty-First'!B180="", "",'Thirty-First'!B180)</f>
        <v/>
      </c>
      <c r="C7677" s="67" t="str">
        <f>IF('Thirty-First'!C180="", "",'Thirty-First'!C180)</f>
        <v/>
      </c>
      <c r="D7677" s="67" t="str">
        <f>IF('Thirty-First'!D180="", "",'Thirty-First'!D180)</f>
        <v/>
      </c>
      <c r="E7677" s="67" t="str">
        <f>IF('Thirty-First'!E180="", "",'Thirty-First'!E180)</f>
        <v/>
      </c>
      <c r="F7677" s="67" t="str">
        <f>IF('Thirty-First'!F180="", "",'Thirty-First'!F180)</f>
        <v/>
      </c>
      <c r="G7677" s="67" t="str">
        <f>IF('Thirty-First'!G180="", "",'Thirty-First'!G180)</f>
        <v/>
      </c>
      <c r="H7677" s="67" t="str">
        <f>IF('Thirty-First'!H180="", "",'Thirty-First'!H180)</f>
        <v/>
      </c>
      <c r="I7677" s="67" t="str">
        <f>IF('Thirty-First'!I180="", "",'Thirty-First'!I180)</f>
        <v/>
      </c>
      <c r="J7677" s="67" t="str">
        <f>IF('Thirty-First'!J180="", "",'Thirty-First'!J180)</f>
        <v/>
      </c>
      <c r="K7677" s="76" t="str">
        <f>IF('Thirty-First'!K180="", "",'Thirty-First'!K180)</f>
        <v/>
      </c>
      <c r="M7677" s="67" t="str">
        <f t="shared" si="368"/>
        <v/>
      </c>
      <c r="N7677" s="76" t="str">
        <f t="shared" si="369"/>
        <v/>
      </c>
      <c r="O7677" s="33">
        <f t="shared" si="370"/>
        <v>0</v>
      </c>
    </row>
    <row r="7678" spans="1:15" x14ac:dyDescent="0.25">
      <c r="A7678" s="94" t="s">
        <v>197</v>
      </c>
      <c r="B7678" s="66" t="str">
        <f>IF('Thirty-First'!B181="", "",'Thirty-First'!B181)</f>
        <v/>
      </c>
      <c r="C7678" s="67" t="str">
        <f>IF('Thirty-First'!C181="", "",'Thirty-First'!C181)</f>
        <v/>
      </c>
      <c r="D7678" s="67" t="str">
        <f>IF('Thirty-First'!D181="", "",'Thirty-First'!D181)</f>
        <v/>
      </c>
      <c r="E7678" s="67" t="str">
        <f>IF('Thirty-First'!E181="", "",'Thirty-First'!E181)</f>
        <v/>
      </c>
      <c r="F7678" s="67" t="str">
        <f>IF('Thirty-First'!F181="", "",'Thirty-First'!F181)</f>
        <v/>
      </c>
      <c r="G7678" s="67" t="str">
        <f>IF('Thirty-First'!G181="", "",'Thirty-First'!G181)</f>
        <v/>
      </c>
      <c r="H7678" s="67" t="str">
        <f>IF('Thirty-First'!H181="", "",'Thirty-First'!H181)</f>
        <v/>
      </c>
      <c r="I7678" s="67" t="str">
        <f>IF('Thirty-First'!I181="", "",'Thirty-First'!I181)</f>
        <v/>
      </c>
      <c r="J7678" s="67" t="str">
        <f>IF('Thirty-First'!J181="", "",'Thirty-First'!J181)</f>
        <v/>
      </c>
      <c r="K7678" s="76" t="str">
        <f>IF('Thirty-First'!K181="", "",'Thirty-First'!K181)</f>
        <v/>
      </c>
      <c r="M7678" s="67" t="str">
        <f t="shared" si="368"/>
        <v/>
      </c>
      <c r="N7678" s="76" t="str">
        <f t="shared" si="369"/>
        <v/>
      </c>
      <c r="O7678" s="33">
        <f t="shared" si="370"/>
        <v>0</v>
      </c>
    </row>
    <row r="7679" spans="1:15" x14ac:dyDescent="0.25">
      <c r="A7679" s="94" t="s">
        <v>197</v>
      </c>
      <c r="B7679" s="66" t="str">
        <f>IF('Thirty-First'!B182="", "",'Thirty-First'!B182)</f>
        <v/>
      </c>
      <c r="C7679" s="67" t="str">
        <f>IF('Thirty-First'!C182="", "",'Thirty-First'!C182)</f>
        <v/>
      </c>
      <c r="D7679" s="67" t="str">
        <f>IF('Thirty-First'!D182="", "",'Thirty-First'!D182)</f>
        <v/>
      </c>
      <c r="E7679" s="67" t="str">
        <f>IF('Thirty-First'!E182="", "",'Thirty-First'!E182)</f>
        <v/>
      </c>
      <c r="F7679" s="67" t="str">
        <f>IF('Thirty-First'!F182="", "",'Thirty-First'!F182)</f>
        <v/>
      </c>
      <c r="G7679" s="67" t="str">
        <f>IF('Thirty-First'!G182="", "",'Thirty-First'!G182)</f>
        <v/>
      </c>
      <c r="H7679" s="67" t="str">
        <f>IF('Thirty-First'!H182="", "",'Thirty-First'!H182)</f>
        <v/>
      </c>
      <c r="I7679" s="67" t="str">
        <f>IF('Thirty-First'!I182="", "",'Thirty-First'!I182)</f>
        <v/>
      </c>
      <c r="J7679" s="67" t="str">
        <f>IF('Thirty-First'!J182="", "",'Thirty-First'!J182)</f>
        <v/>
      </c>
      <c r="K7679" s="76" t="str">
        <f>IF('Thirty-First'!K182="", "",'Thirty-First'!K182)</f>
        <v/>
      </c>
      <c r="M7679" s="67" t="str">
        <f t="shared" si="368"/>
        <v/>
      </c>
      <c r="N7679" s="76" t="str">
        <f t="shared" si="369"/>
        <v/>
      </c>
      <c r="O7679" s="33">
        <f t="shared" si="370"/>
        <v>0</v>
      </c>
    </row>
    <row r="7680" spans="1:15" x14ac:dyDescent="0.25">
      <c r="A7680" s="94" t="s">
        <v>197</v>
      </c>
      <c r="B7680" s="66" t="str">
        <f>IF('Thirty-First'!B183="", "",'Thirty-First'!B183)</f>
        <v/>
      </c>
      <c r="C7680" s="67" t="str">
        <f>IF('Thirty-First'!C183="", "",'Thirty-First'!C183)</f>
        <v/>
      </c>
      <c r="D7680" s="67" t="str">
        <f>IF('Thirty-First'!D183="", "",'Thirty-First'!D183)</f>
        <v/>
      </c>
      <c r="E7680" s="67" t="str">
        <f>IF('Thirty-First'!E183="", "",'Thirty-First'!E183)</f>
        <v/>
      </c>
      <c r="F7680" s="67" t="str">
        <f>IF('Thirty-First'!F183="", "",'Thirty-First'!F183)</f>
        <v/>
      </c>
      <c r="G7680" s="67" t="str">
        <f>IF('Thirty-First'!G183="", "",'Thirty-First'!G183)</f>
        <v/>
      </c>
      <c r="H7680" s="67" t="str">
        <f>IF('Thirty-First'!H183="", "",'Thirty-First'!H183)</f>
        <v/>
      </c>
      <c r="I7680" s="67" t="str">
        <f>IF('Thirty-First'!I183="", "",'Thirty-First'!I183)</f>
        <v/>
      </c>
      <c r="J7680" s="67" t="str">
        <f>IF('Thirty-First'!J183="", "",'Thirty-First'!J183)</f>
        <v/>
      </c>
      <c r="K7680" s="76" t="str">
        <f>IF('Thirty-First'!K183="", "",'Thirty-First'!K183)</f>
        <v/>
      </c>
      <c r="M7680" s="67" t="str">
        <f t="shared" si="368"/>
        <v/>
      </c>
      <c r="N7680" s="76" t="str">
        <f t="shared" si="369"/>
        <v/>
      </c>
      <c r="O7680" s="33">
        <f t="shared" si="370"/>
        <v>0</v>
      </c>
    </row>
    <row r="7681" spans="1:15" x14ac:dyDescent="0.25">
      <c r="A7681" s="94" t="s">
        <v>197</v>
      </c>
      <c r="B7681" s="66" t="str">
        <f>IF('Thirty-First'!B184="", "",'Thirty-First'!B184)</f>
        <v/>
      </c>
      <c r="C7681" s="67" t="str">
        <f>IF('Thirty-First'!C184="", "",'Thirty-First'!C184)</f>
        <v/>
      </c>
      <c r="D7681" s="67" t="str">
        <f>IF('Thirty-First'!D184="", "",'Thirty-First'!D184)</f>
        <v/>
      </c>
      <c r="E7681" s="67" t="str">
        <f>IF('Thirty-First'!E184="", "",'Thirty-First'!E184)</f>
        <v/>
      </c>
      <c r="F7681" s="67" t="str">
        <f>IF('Thirty-First'!F184="", "",'Thirty-First'!F184)</f>
        <v/>
      </c>
      <c r="G7681" s="67" t="str">
        <f>IF('Thirty-First'!G184="", "",'Thirty-First'!G184)</f>
        <v/>
      </c>
      <c r="H7681" s="67" t="str">
        <f>IF('Thirty-First'!H184="", "",'Thirty-First'!H184)</f>
        <v/>
      </c>
      <c r="I7681" s="67" t="str">
        <f>IF('Thirty-First'!I184="", "",'Thirty-First'!I184)</f>
        <v/>
      </c>
      <c r="J7681" s="67" t="str">
        <f>IF('Thirty-First'!J184="", "",'Thirty-First'!J184)</f>
        <v/>
      </c>
      <c r="K7681" s="76" t="str">
        <f>IF('Thirty-First'!K184="", "",'Thirty-First'!K184)</f>
        <v/>
      </c>
      <c r="M7681" s="67" t="str">
        <f t="shared" si="368"/>
        <v/>
      </c>
      <c r="N7681" s="76" t="str">
        <f t="shared" si="369"/>
        <v/>
      </c>
      <c r="O7681" s="33">
        <f t="shared" si="370"/>
        <v>0</v>
      </c>
    </row>
    <row r="7682" spans="1:15" x14ac:dyDescent="0.25">
      <c r="A7682" s="94" t="s">
        <v>197</v>
      </c>
      <c r="B7682" s="66" t="str">
        <f>IF('Thirty-First'!B185="", "",'Thirty-First'!B185)</f>
        <v/>
      </c>
      <c r="C7682" s="67" t="str">
        <f>IF('Thirty-First'!C185="", "",'Thirty-First'!C185)</f>
        <v/>
      </c>
      <c r="D7682" s="67" t="str">
        <f>IF('Thirty-First'!D185="", "",'Thirty-First'!D185)</f>
        <v/>
      </c>
      <c r="E7682" s="67" t="str">
        <f>IF('Thirty-First'!E185="", "",'Thirty-First'!E185)</f>
        <v/>
      </c>
      <c r="F7682" s="67" t="str">
        <f>IF('Thirty-First'!F185="", "",'Thirty-First'!F185)</f>
        <v/>
      </c>
      <c r="G7682" s="67" t="str">
        <f>IF('Thirty-First'!G185="", "",'Thirty-First'!G185)</f>
        <v/>
      </c>
      <c r="H7682" s="67" t="str">
        <f>IF('Thirty-First'!H185="", "",'Thirty-First'!H185)</f>
        <v/>
      </c>
      <c r="I7682" s="67" t="str">
        <f>IF('Thirty-First'!I185="", "",'Thirty-First'!I185)</f>
        <v/>
      </c>
      <c r="J7682" s="67" t="str">
        <f>IF('Thirty-First'!J185="", "",'Thirty-First'!J185)</f>
        <v/>
      </c>
      <c r="K7682" s="76" t="str">
        <f>IF('Thirty-First'!K185="", "",'Thirty-First'!K185)</f>
        <v/>
      </c>
      <c r="M7682" s="67" t="str">
        <f t="shared" si="368"/>
        <v/>
      </c>
      <c r="N7682" s="76" t="str">
        <f t="shared" si="369"/>
        <v/>
      </c>
      <c r="O7682" s="33">
        <f t="shared" si="370"/>
        <v>0</v>
      </c>
    </row>
    <row r="7683" spans="1:15" x14ac:dyDescent="0.25">
      <c r="A7683" s="94" t="s">
        <v>197</v>
      </c>
      <c r="B7683" s="66" t="str">
        <f>IF('Thirty-First'!B186="", "",'Thirty-First'!B186)</f>
        <v/>
      </c>
      <c r="C7683" s="67" t="str">
        <f>IF('Thirty-First'!C186="", "",'Thirty-First'!C186)</f>
        <v/>
      </c>
      <c r="D7683" s="67" t="str">
        <f>IF('Thirty-First'!D186="", "",'Thirty-First'!D186)</f>
        <v/>
      </c>
      <c r="E7683" s="67" t="str">
        <f>IF('Thirty-First'!E186="", "",'Thirty-First'!E186)</f>
        <v/>
      </c>
      <c r="F7683" s="67" t="str">
        <f>IF('Thirty-First'!F186="", "",'Thirty-First'!F186)</f>
        <v/>
      </c>
      <c r="G7683" s="67" t="str">
        <f>IF('Thirty-First'!G186="", "",'Thirty-First'!G186)</f>
        <v/>
      </c>
      <c r="H7683" s="67" t="str">
        <f>IF('Thirty-First'!H186="", "",'Thirty-First'!H186)</f>
        <v/>
      </c>
      <c r="I7683" s="67" t="str">
        <f>IF('Thirty-First'!I186="", "",'Thirty-First'!I186)</f>
        <v/>
      </c>
      <c r="J7683" s="67" t="str">
        <f>IF('Thirty-First'!J186="", "",'Thirty-First'!J186)</f>
        <v/>
      </c>
      <c r="K7683" s="76" t="str">
        <f>IF('Thirty-First'!K186="", "",'Thirty-First'!K186)</f>
        <v/>
      </c>
      <c r="M7683" s="67" t="str">
        <f t="shared" si="368"/>
        <v/>
      </c>
      <c r="N7683" s="76" t="str">
        <f t="shared" si="369"/>
        <v/>
      </c>
      <c r="O7683" s="33">
        <f t="shared" si="370"/>
        <v>0</v>
      </c>
    </row>
    <row r="7684" spans="1:15" x14ac:dyDescent="0.25">
      <c r="A7684" s="94" t="s">
        <v>197</v>
      </c>
      <c r="B7684" s="66" t="str">
        <f>IF('Thirty-First'!B187="", "",'Thirty-First'!B187)</f>
        <v/>
      </c>
      <c r="C7684" s="67" t="str">
        <f>IF('Thirty-First'!C187="", "",'Thirty-First'!C187)</f>
        <v/>
      </c>
      <c r="D7684" s="67" t="str">
        <f>IF('Thirty-First'!D187="", "",'Thirty-First'!D187)</f>
        <v/>
      </c>
      <c r="E7684" s="67" t="str">
        <f>IF('Thirty-First'!E187="", "",'Thirty-First'!E187)</f>
        <v/>
      </c>
      <c r="F7684" s="67" t="str">
        <f>IF('Thirty-First'!F187="", "",'Thirty-First'!F187)</f>
        <v/>
      </c>
      <c r="G7684" s="67" t="str">
        <f>IF('Thirty-First'!G187="", "",'Thirty-First'!G187)</f>
        <v/>
      </c>
      <c r="H7684" s="67" t="str">
        <f>IF('Thirty-First'!H187="", "",'Thirty-First'!H187)</f>
        <v/>
      </c>
      <c r="I7684" s="67" t="str">
        <f>IF('Thirty-First'!I187="", "",'Thirty-First'!I187)</f>
        <v/>
      </c>
      <c r="J7684" s="67" t="str">
        <f>IF('Thirty-First'!J187="", "",'Thirty-First'!J187)</f>
        <v/>
      </c>
      <c r="K7684" s="76" t="str">
        <f>IF('Thirty-First'!K187="", "",'Thirty-First'!K187)</f>
        <v/>
      </c>
      <c r="M7684" s="67" t="str">
        <f t="shared" si="368"/>
        <v/>
      </c>
      <c r="N7684" s="76" t="str">
        <f t="shared" si="369"/>
        <v/>
      </c>
      <c r="O7684" s="33">
        <f t="shared" si="370"/>
        <v>0</v>
      </c>
    </row>
    <row r="7685" spans="1:15" x14ac:dyDescent="0.25">
      <c r="A7685" s="94" t="s">
        <v>197</v>
      </c>
      <c r="B7685" s="66" t="str">
        <f>IF('Thirty-First'!B188="", "",'Thirty-First'!B188)</f>
        <v/>
      </c>
      <c r="C7685" s="67" t="str">
        <f>IF('Thirty-First'!C188="", "",'Thirty-First'!C188)</f>
        <v/>
      </c>
      <c r="D7685" s="67" t="str">
        <f>IF('Thirty-First'!D188="", "",'Thirty-First'!D188)</f>
        <v/>
      </c>
      <c r="E7685" s="67" t="str">
        <f>IF('Thirty-First'!E188="", "",'Thirty-First'!E188)</f>
        <v/>
      </c>
      <c r="F7685" s="67" t="str">
        <f>IF('Thirty-First'!F188="", "",'Thirty-First'!F188)</f>
        <v/>
      </c>
      <c r="G7685" s="67" t="str">
        <f>IF('Thirty-First'!G188="", "",'Thirty-First'!G188)</f>
        <v/>
      </c>
      <c r="H7685" s="67" t="str">
        <f>IF('Thirty-First'!H188="", "",'Thirty-First'!H188)</f>
        <v/>
      </c>
      <c r="I7685" s="67" t="str">
        <f>IF('Thirty-First'!I188="", "",'Thirty-First'!I188)</f>
        <v/>
      </c>
      <c r="J7685" s="67" t="str">
        <f>IF('Thirty-First'!J188="", "",'Thirty-First'!J188)</f>
        <v/>
      </c>
      <c r="K7685" s="76" t="str">
        <f>IF('Thirty-First'!K188="", "",'Thirty-First'!K188)</f>
        <v/>
      </c>
      <c r="M7685" s="67" t="str">
        <f t="shared" si="368"/>
        <v/>
      </c>
      <c r="N7685" s="76" t="str">
        <f t="shared" si="369"/>
        <v/>
      </c>
      <c r="O7685" s="33">
        <f t="shared" si="370"/>
        <v>0</v>
      </c>
    </row>
    <row r="7686" spans="1:15" x14ac:dyDescent="0.25">
      <c r="A7686" s="94" t="s">
        <v>197</v>
      </c>
      <c r="B7686" s="66" t="str">
        <f>IF('Thirty-First'!B189="", "",'Thirty-First'!B189)</f>
        <v/>
      </c>
      <c r="C7686" s="67" t="str">
        <f>IF('Thirty-First'!C189="", "",'Thirty-First'!C189)</f>
        <v/>
      </c>
      <c r="D7686" s="67" t="str">
        <f>IF('Thirty-First'!D189="", "",'Thirty-First'!D189)</f>
        <v/>
      </c>
      <c r="E7686" s="67" t="str">
        <f>IF('Thirty-First'!E189="", "",'Thirty-First'!E189)</f>
        <v/>
      </c>
      <c r="F7686" s="67" t="str">
        <f>IF('Thirty-First'!F189="", "",'Thirty-First'!F189)</f>
        <v/>
      </c>
      <c r="G7686" s="67" t="str">
        <f>IF('Thirty-First'!G189="", "",'Thirty-First'!G189)</f>
        <v/>
      </c>
      <c r="H7686" s="67" t="str">
        <f>IF('Thirty-First'!H189="", "",'Thirty-First'!H189)</f>
        <v/>
      </c>
      <c r="I7686" s="67" t="str">
        <f>IF('Thirty-First'!I189="", "",'Thirty-First'!I189)</f>
        <v/>
      </c>
      <c r="J7686" s="67" t="str">
        <f>IF('Thirty-First'!J189="", "",'Thirty-First'!J189)</f>
        <v/>
      </c>
      <c r="K7686" s="76" t="str">
        <f>IF('Thirty-First'!K189="", "",'Thirty-First'!K189)</f>
        <v/>
      </c>
      <c r="M7686" s="67" t="str">
        <f t="shared" si="368"/>
        <v/>
      </c>
      <c r="N7686" s="76" t="str">
        <f t="shared" si="369"/>
        <v/>
      </c>
      <c r="O7686" s="33">
        <f t="shared" si="370"/>
        <v>0</v>
      </c>
    </row>
    <row r="7687" spans="1:15" x14ac:dyDescent="0.25">
      <c r="A7687" s="94" t="s">
        <v>197</v>
      </c>
      <c r="B7687" s="66" t="str">
        <f>IF('Thirty-First'!B190="", "",'Thirty-First'!B190)</f>
        <v/>
      </c>
      <c r="C7687" s="67" t="str">
        <f>IF('Thirty-First'!C190="", "",'Thirty-First'!C190)</f>
        <v/>
      </c>
      <c r="D7687" s="67" t="str">
        <f>IF('Thirty-First'!D190="", "",'Thirty-First'!D190)</f>
        <v/>
      </c>
      <c r="E7687" s="67" t="str">
        <f>IF('Thirty-First'!E190="", "",'Thirty-First'!E190)</f>
        <v/>
      </c>
      <c r="F7687" s="67" t="str">
        <f>IF('Thirty-First'!F190="", "",'Thirty-First'!F190)</f>
        <v/>
      </c>
      <c r="G7687" s="67" t="str">
        <f>IF('Thirty-First'!G190="", "",'Thirty-First'!G190)</f>
        <v/>
      </c>
      <c r="H7687" s="67" t="str">
        <f>IF('Thirty-First'!H190="", "",'Thirty-First'!H190)</f>
        <v/>
      </c>
      <c r="I7687" s="67" t="str">
        <f>IF('Thirty-First'!I190="", "",'Thirty-First'!I190)</f>
        <v/>
      </c>
      <c r="J7687" s="67" t="str">
        <f>IF('Thirty-First'!J190="", "",'Thirty-First'!J190)</f>
        <v/>
      </c>
      <c r="K7687" s="76" t="str">
        <f>IF('Thirty-First'!K190="", "",'Thirty-First'!K190)</f>
        <v/>
      </c>
      <c r="M7687" s="67" t="str">
        <f t="shared" si="368"/>
        <v/>
      </c>
      <c r="N7687" s="76" t="str">
        <f t="shared" si="369"/>
        <v/>
      </c>
      <c r="O7687" s="33">
        <f t="shared" si="370"/>
        <v>0</v>
      </c>
    </row>
    <row r="7688" spans="1:15" x14ac:dyDescent="0.25">
      <c r="A7688" s="94" t="s">
        <v>197</v>
      </c>
      <c r="B7688" s="66" t="str">
        <f>IF('Thirty-First'!B191="", "",'Thirty-First'!B191)</f>
        <v/>
      </c>
      <c r="C7688" s="67" t="str">
        <f>IF('Thirty-First'!C191="", "",'Thirty-First'!C191)</f>
        <v/>
      </c>
      <c r="D7688" s="67" t="str">
        <f>IF('Thirty-First'!D191="", "",'Thirty-First'!D191)</f>
        <v/>
      </c>
      <c r="E7688" s="67" t="str">
        <f>IF('Thirty-First'!E191="", "",'Thirty-First'!E191)</f>
        <v/>
      </c>
      <c r="F7688" s="67" t="str">
        <f>IF('Thirty-First'!F191="", "",'Thirty-First'!F191)</f>
        <v/>
      </c>
      <c r="G7688" s="67" t="str">
        <f>IF('Thirty-First'!G191="", "",'Thirty-First'!G191)</f>
        <v/>
      </c>
      <c r="H7688" s="67" t="str">
        <f>IF('Thirty-First'!H191="", "",'Thirty-First'!H191)</f>
        <v/>
      </c>
      <c r="I7688" s="67" t="str">
        <f>IF('Thirty-First'!I191="", "",'Thirty-First'!I191)</f>
        <v/>
      </c>
      <c r="J7688" s="67" t="str">
        <f>IF('Thirty-First'!J191="", "",'Thirty-First'!J191)</f>
        <v/>
      </c>
      <c r="K7688" s="76" t="str">
        <f>IF('Thirty-First'!K191="", "",'Thirty-First'!K191)</f>
        <v/>
      </c>
      <c r="M7688" s="67" t="str">
        <f t="shared" si="368"/>
        <v/>
      </c>
      <c r="N7688" s="76" t="str">
        <f t="shared" si="369"/>
        <v/>
      </c>
      <c r="O7688" s="33">
        <f t="shared" si="370"/>
        <v>0</v>
      </c>
    </row>
    <row r="7689" spans="1:15" x14ac:dyDescent="0.25">
      <c r="A7689" s="94" t="s">
        <v>197</v>
      </c>
      <c r="B7689" s="66" t="str">
        <f>IF('Thirty-First'!B192="", "",'Thirty-First'!B192)</f>
        <v/>
      </c>
      <c r="C7689" s="67" t="str">
        <f>IF('Thirty-First'!C192="", "",'Thirty-First'!C192)</f>
        <v/>
      </c>
      <c r="D7689" s="67" t="str">
        <f>IF('Thirty-First'!D192="", "",'Thirty-First'!D192)</f>
        <v/>
      </c>
      <c r="E7689" s="67" t="str">
        <f>IF('Thirty-First'!E192="", "",'Thirty-First'!E192)</f>
        <v/>
      </c>
      <c r="F7689" s="67" t="str">
        <f>IF('Thirty-First'!F192="", "",'Thirty-First'!F192)</f>
        <v/>
      </c>
      <c r="G7689" s="67" t="str">
        <f>IF('Thirty-First'!G192="", "",'Thirty-First'!G192)</f>
        <v/>
      </c>
      <c r="H7689" s="67" t="str">
        <f>IF('Thirty-First'!H192="", "",'Thirty-First'!H192)</f>
        <v/>
      </c>
      <c r="I7689" s="67" t="str">
        <f>IF('Thirty-First'!I192="", "",'Thirty-First'!I192)</f>
        <v/>
      </c>
      <c r="J7689" s="67" t="str">
        <f>IF('Thirty-First'!J192="", "",'Thirty-First'!J192)</f>
        <v/>
      </c>
      <c r="K7689" s="76" t="str">
        <f>IF('Thirty-First'!K192="", "",'Thirty-First'!K192)</f>
        <v/>
      </c>
      <c r="M7689" s="67" t="str">
        <f t="shared" si="368"/>
        <v/>
      </c>
      <c r="N7689" s="76" t="str">
        <f t="shared" si="369"/>
        <v/>
      </c>
      <c r="O7689" s="33">
        <f t="shared" si="370"/>
        <v>0</v>
      </c>
    </row>
    <row r="7690" spans="1:15" x14ac:dyDescent="0.25">
      <c r="A7690" s="94" t="s">
        <v>197</v>
      </c>
      <c r="B7690" s="66" t="str">
        <f>IF('Thirty-First'!B193="", "",'Thirty-First'!B193)</f>
        <v/>
      </c>
      <c r="C7690" s="67" t="str">
        <f>IF('Thirty-First'!C193="", "",'Thirty-First'!C193)</f>
        <v/>
      </c>
      <c r="D7690" s="67" t="str">
        <f>IF('Thirty-First'!D193="", "",'Thirty-First'!D193)</f>
        <v/>
      </c>
      <c r="E7690" s="67" t="str">
        <f>IF('Thirty-First'!E193="", "",'Thirty-First'!E193)</f>
        <v/>
      </c>
      <c r="F7690" s="67" t="str">
        <f>IF('Thirty-First'!F193="", "",'Thirty-First'!F193)</f>
        <v/>
      </c>
      <c r="G7690" s="67" t="str">
        <f>IF('Thirty-First'!G193="", "",'Thirty-First'!G193)</f>
        <v/>
      </c>
      <c r="H7690" s="67" t="str">
        <f>IF('Thirty-First'!H193="", "",'Thirty-First'!H193)</f>
        <v/>
      </c>
      <c r="I7690" s="67" t="str">
        <f>IF('Thirty-First'!I193="", "",'Thirty-First'!I193)</f>
        <v/>
      </c>
      <c r="J7690" s="67" t="str">
        <f>IF('Thirty-First'!J193="", "",'Thirty-First'!J193)</f>
        <v/>
      </c>
      <c r="K7690" s="76" t="str">
        <f>IF('Thirty-First'!K193="", "",'Thirty-First'!K193)</f>
        <v/>
      </c>
      <c r="M7690" s="67" t="str">
        <f t="shared" si="368"/>
        <v/>
      </c>
      <c r="N7690" s="76" t="str">
        <f t="shared" si="369"/>
        <v/>
      </c>
      <c r="O7690" s="33">
        <f t="shared" si="370"/>
        <v>0</v>
      </c>
    </row>
    <row r="7691" spans="1:15" x14ac:dyDescent="0.25">
      <c r="A7691" s="94" t="s">
        <v>197</v>
      </c>
      <c r="B7691" s="66" t="str">
        <f>IF('Thirty-First'!B194="", "",'Thirty-First'!B194)</f>
        <v/>
      </c>
      <c r="C7691" s="67" t="str">
        <f>IF('Thirty-First'!C194="", "",'Thirty-First'!C194)</f>
        <v/>
      </c>
      <c r="D7691" s="67" t="str">
        <f>IF('Thirty-First'!D194="", "",'Thirty-First'!D194)</f>
        <v/>
      </c>
      <c r="E7691" s="67" t="str">
        <f>IF('Thirty-First'!E194="", "",'Thirty-First'!E194)</f>
        <v/>
      </c>
      <c r="F7691" s="67" t="str">
        <f>IF('Thirty-First'!F194="", "",'Thirty-First'!F194)</f>
        <v/>
      </c>
      <c r="G7691" s="67" t="str">
        <f>IF('Thirty-First'!G194="", "",'Thirty-First'!G194)</f>
        <v/>
      </c>
      <c r="H7691" s="67" t="str">
        <f>IF('Thirty-First'!H194="", "",'Thirty-First'!H194)</f>
        <v/>
      </c>
      <c r="I7691" s="67" t="str">
        <f>IF('Thirty-First'!I194="", "",'Thirty-First'!I194)</f>
        <v/>
      </c>
      <c r="J7691" s="67" t="str">
        <f>IF('Thirty-First'!J194="", "",'Thirty-First'!J194)</f>
        <v/>
      </c>
      <c r="K7691" s="76" t="str">
        <f>IF('Thirty-First'!K194="", "",'Thirty-First'!K194)</f>
        <v/>
      </c>
      <c r="M7691" s="67" t="str">
        <f t="shared" si="368"/>
        <v/>
      </c>
      <c r="N7691" s="76" t="str">
        <f t="shared" si="369"/>
        <v/>
      </c>
      <c r="O7691" s="33">
        <f t="shared" si="370"/>
        <v>0</v>
      </c>
    </row>
    <row r="7692" spans="1:15" x14ac:dyDescent="0.25">
      <c r="A7692" s="94" t="s">
        <v>197</v>
      </c>
      <c r="B7692" s="66" t="str">
        <f>IF('Thirty-First'!B195="", "",'Thirty-First'!B195)</f>
        <v/>
      </c>
      <c r="C7692" s="67" t="str">
        <f>IF('Thirty-First'!C195="", "",'Thirty-First'!C195)</f>
        <v/>
      </c>
      <c r="D7692" s="67" t="str">
        <f>IF('Thirty-First'!D195="", "",'Thirty-First'!D195)</f>
        <v/>
      </c>
      <c r="E7692" s="67" t="str">
        <f>IF('Thirty-First'!E195="", "",'Thirty-First'!E195)</f>
        <v/>
      </c>
      <c r="F7692" s="67" t="str">
        <f>IF('Thirty-First'!F195="", "",'Thirty-First'!F195)</f>
        <v/>
      </c>
      <c r="G7692" s="67" t="str">
        <f>IF('Thirty-First'!G195="", "",'Thirty-First'!G195)</f>
        <v/>
      </c>
      <c r="H7692" s="67" t="str">
        <f>IF('Thirty-First'!H195="", "",'Thirty-First'!H195)</f>
        <v/>
      </c>
      <c r="I7692" s="67" t="str">
        <f>IF('Thirty-First'!I195="", "",'Thirty-First'!I195)</f>
        <v/>
      </c>
      <c r="J7692" s="67" t="str">
        <f>IF('Thirty-First'!J195="", "",'Thirty-First'!J195)</f>
        <v/>
      </c>
      <c r="K7692" s="76" t="str">
        <f>IF('Thirty-First'!K195="", "",'Thirty-First'!K195)</f>
        <v/>
      </c>
      <c r="M7692" s="67" t="str">
        <f t="shared" si="368"/>
        <v/>
      </c>
      <c r="N7692" s="76" t="str">
        <f t="shared" si="369"/>
        <v/>
      </c>
      <c r="O7692" s="33">
        <f t="shared" si="370"/>
        <v>0</v>
      </c>
    </row>
    <row r="7693" spans="1:15" x14ac:dyDescent="0.25">
      <c r="A7693" s="94" t="s">
        <v>197</v>
      </c>
      <c r="B7693" s="66" t="str">
        <f>IF('Thirty-First'!B196="", "",'Thirty-First'!B196)</f>
        <v/>
      </c>
      <c r="C7693" s="67" t="str">
        <f>IF('Thirty-First'!C196="", "",'Thirty-First'!C196)</f>
        <v/>
      </c>
      <c r="D7693" s="67" t="str">
        <f>IF('Thirty-First'!D196="", "",'Thirty-First'!D196)</f>
        <v/>
      </c>
      <c r="E7693" s="67" t="str">
        <f>IF('Thirty-First'!E196="", "",'Thirty-First'!E196)</f>
        <v/>
      </c>
      <c r="F7693" s="67" t="str">
        <f>IF('Thirty-First'!F196="", "",'Thirty-First'!F196)</f>
        <v/>
      </c>
      <c r="G7693" s="67" t="str">
        <f>IF('Thirty-First'!G196="", "",'Thirty-First'!G196)</f>
        <v/>
      </c>
      <c r="H7693" s="67" t="str">
        <f>IF('Thirty-First'!H196="", "",'Thirty-First'!H196)</f>
        <v/>
      </c>
      <c r="I7693" s="67" t="str">
        <f>IF('Thirty-First'!I196="", "",'Thirty-First'!I196)</f>
        <v/>
      </c>
      <c r="J7693" s="67" t="str">
        <f>IF('Thirty-First'!J196="", "",'Thirty-First'!J196)</f>
        <v/>
      </c>
      <c r="K7693" s="76" t="str">
        <f>IF('Thirty-First'!K196="", "",'Thirty-First'!K196)</f>
        <v/>
      </c>
      <c r="M7693" s="67" t="str">
        <f t="shared" si="368"/>
        <v/>
      </c>
      <c r="N7693" s="76" t="str">
        <f t="shared" si="369"/>
        <v/>
      </c>
      <c r="O7693" s="33">
        <f t="shared" si="370"/>
        <v>0</v>
      </c>
    </row>
    <row r="7694" spans="1:15" x14ac:dyDescent="0.25">
      <c r="A7694" s="94" t="s">
        <v>197</v>
      </c>
      <c r="B7694" s="66" t="str">
        <f>IF('Thirty-First'!B197="", "",'Thirty-First'!B197)</f>
        <v/>
      </c>
      <c r="C7694" s="67" t="str">
        <f>IF('Thirty-First'!C197="", "",'Thirty-First'!C197)</f>
        <v/>
      </c>
      <c r="D7694" s="67" t="str">
        <f>IF('Thirty-First'!D197="", "",'Thirty-First'!D197)</f>
        <v/>
      </c>
      <c r="E7694" s="67" t="str">
        <f>IF('Thirty-First'!E197="", "",'Thirty-First'!E197)</f>
        <v/>
      </c>
      <c r="F7694" s="67" t="str">
        <f>IF('Thirty-First'!F197="", "",'Thirty-First'!F197)</f>
        <v/>
      </c>
      <c r="G7694" s="67" t="str">
        <f>IF('Thirty-First'!G197="", "",'Thirty-First'!G197)</f>
        <v/>
      </c>
      <c r="H7694" s="67" t="str">
        <f>IF('Thirty-First'!H197="", "",'Thirty-First'!H197)</f>
        <v/>
      </c>
      <c r="I7694" s="67" t="str">
        <f>IF('Thirty-First'!I197="", "",'Thirty-First'!I197)</f>
        <v/>
      </c>
      <c r="J7694" s="67" t="str">
        <f>IF('Thirty-First'!J197="", "",'Thirty-First'!J197)</f>
        <v/>
      </c>
      <c r="K7694" s="76" t="str">
        <f>IF('Thirty-First'!K197="", "",'Thirty-First'!K197)</f>
        <v/>
      </c>
      <c r="M7694" s="67" t="str">
        <f t="shared" si="368"/>
        <v/>
      </c>
      <c r="N7694" s="76" t="str">
        <f t="shared" si="369"/>
        <v/>
      </c>
      <c r="O7694" s="33">
        <f t="shared" si="370"/>
        <v>0</v>
      </c>
    </row>
    <row r="7695" spans="1:15" x14ac:dyDescent="0.25">
      <c r="A7695" s="94" t="s">
        <v>197</v>
      </c>
      <c r="B7695" s="66" t="str">
        <f>IF('Thirty-First'!B198="", "",'Thirty-First'!B198)</f>
        <v/>
      </c>
      <c r="C7695" s="67" t="str">
        <f>IF('Thirty-First'!C198="", "",'Thirty-First'!C198)</f>
        <v/>
      </c>
      <c r="D7695" s="67" t="str">
        <f>IF('Thirty-First'!D198="", "",'Thirty-First'!D198)</f>
        <v/>
      </c>
      <c r="E7695" s="67" t="str">
        <f>IF('Thirty-First'!E198="", "",'Thirty-First'!E198)</f>
        <v/>
      </c>
      <c r="F7695" s="67" t="str">
        <f>IF('Thirty-First'!F198="", "",'Thirty-First'!F198)</f>
        <v/>
      </c>
      <c r="G7695" s="67" t="str">
        <f>IF('Thirty-First'!G198="", "",'Thirty-First'!G198)</f>
        <v/>
      </c>
      <c r="H7695" s="67" t="str">
        <f>IF('Thirty-First'!H198="", "",'Thirty-First'!H198)</f>
        <v/>
      </c>
      <c r="I7695" s="67" t="str">
        <f>IF('Thirty-First'!I198="", "",'Thirty-First'!I198)</f>
        <v/>
      </c>
      <c r="J7695" s="67" t="str">
        <f>IF('Thirty-First'!J198="", "",'Thirty-First'!J198)</f>
        <v/>
      </c>
      <c r="K7695" s="76" t="str">
        <f>IF('Thirty-First'!K198="", "",'Thirty-First'!K198)</f>
        <v/>
      </c>
      <c r="M7695" s="67" t="str">
        <f t="shared" ref="M7695:M7751" si="371">IF(C7695="PwC",(7-COUNTIF(B7695:H7695,"")),"")</f>
        <v/>
      </c>
      <c r="N7695" s="76" t="str">
        <f t="shared" ref="N7695:N7751" si="372">IF(C7695="Carer",(7-COUNTIF(B7695:H7695,"")),"")</f>
        <v/>
      </c>
      <c r="O7695" s="33">
        <f t="shared" ref="O7695:O7751" si="373">SUM(M7695:N7695)</f>
        <v>0</v>
      </c>
    </row>
    <row r="7696" spans="1:15" x14ac:dyDescent="0.25">
      <c r="A7696" s="94" t="s">
        <v>197</v>
      </c>
      <c r="B7696" s="66" t="str">
        <f>IF('Thirty-First'!B199="", "",'Thirty-First'!B199)</f>
        <v/>
      </c>
      <c r="C7696" s="67" t="str">
        <f>IF('Thirty-First'!C199="", "",'Thirty-First'!C199)</f>
        <v/>
      </c>
      <c r="D7696" s="67" t="str">
        <f>IF('Thirty-First'!D199="", "",'Thirty-First'!D199)</f>
        <v/>
      </c>
      <c r="E7696" s="67" t="str">
        <f>IF('Thirty-First'!E199="", "",'Thirty-First'!E199)</f>
        <v/>
      </c>
      <c r="F7696" s="67" t="str">
        <f>IF('Thirty-First'!F199="", "",'Thirty-First'!F199)</f>
        <v/>
      </c>
      <c r="G7696" s="67" t="str">
        <f>IF('Thirty-First'!G199="", "",'Thirty-First'!G199)</f>
        <v/>
      </c>
      <c r="H7696" s="67" t="str">
        <f>IF('Thirty-First'!H199="", "",'Thirty-First'!H199)</f>
        <v/>
      </c>
      <c r="I7696" s="67" t="str">
        <f>IF('Thirty-First'!I199="", "",'Thirty-First'!I199)</f>
        <v/>
      </c>
      <c r="J7696" s="67" t="str">
        <f>IF('Thirty-First'!J199="", "",'Thirty-First'!J199)</f>
        <v/>
      </c>
      <c r="K7696" s="76" t="str">
        <f>IF('Thirty-First'!K199="", "",'Thirty-First'!K199)</f>
        <v/>
      </c>
      <c r="M7696" s="67" t="str">
        <f t="shared" si="371"/>
        <v/>
      </c>
      <c r="N7696" s="76" t="str">
        <f t="shared" si="372"/>
        <v/>
      </c>
      <c r="O7696" s="33">
        <f t="shared" si="373"/>
        <v>0</v>
      </c>
    </row>
    <row r="7697" spans="1:15" x14ac:dyDescent="0.25">
      <c r="A7697" s="94" t="s">
        <v>197</v>
      </c>
      <c r="B7697" s="66" t="str">
        <f>IF('Thirty-First'!B200="", "",'Thirty-First'!B200)</f>
        <v/>
      </c>
      <c r="C7697" s="67" t="str">
        <f>IF('Thirty-First'!C200="", "",'Thirty-First'!C200)</f>
        <v/>
      </c>
      <c r="D7697" s="67" t="str">
        <f>IF('Thirty-First'!D200="", "",'Thirty-First'!D200)</f>
        <v/>
      </c>
      <c r="E7697" s="67" t="str">
        <f>IF('Thirty-First'!E200="", "",'Thirty-First'!E200)</f>
        <v/>
      </c>
      <c r="F7697" s="67" t="str">
        <f>IF('Thirty-First'!F200="", "",'Thirty-First'!F200)</f>
        <v/>
      </c>
      <c r="G7697" s="67" t="str">
        <f>IF('Thirty-First'!G200="", "",'Thirty-First'!G200)</f>
        <v/>
      </c>
      <c r="H7697" s="67" t="str">
        <f>IF('Thirty-First'!H200="", "",'Thirty-First'!H200)</f>
        <v/>
      </c>
      <c r="I7697" s="67" t="str">
        <f>IF('Thirty-First'!I200="", "",'Thirty-First'!I200)</f>
        <v/>
      </c>
      <c r="J7697" s="67" t="str">
        <f>IF('Thirty-First'!J200="", "",'Thirty-First'!J200)</f>
        <v/>
      </c>
      <c r="K7697" s="76" t="str">
        <f>IF('Thirty-First'!K200="", "",'Thirty-First'!K200)</f>
        <v/>
      </c>
      <c r="M7697" s="67" t="str">
        <f t="shared" si="371"/>
        <v/>
      </c>
      <c r="N7697" s="76" t="str">
        <f t="shared" si="372"/>
        <v/>
      </c>
      <c r="O7697" s="33">
        <f t="shared" si="373"/>
        <v>0</v>
      </c>
    </row>
    <row r="7698" spans="1:15" x14ac:dyDescent="0.25">
      <c r="A7698" s="94" t="s">
        <v>197</v>
      </c>
      <c r="B7698" s="66" t="str">
        <f>IF('Thirty-First'!B201="", "",'Thirty-First'!B201)</f>
        <v/>
      </c>
      <c r="C7698" s="67" t="str">
        <f>IF('Thirty-First'!C201="", "",'Thirty-First'!C201)</f>
        <v/>
      </c>
      <c r="D7698" s="67" t="str">
        <f>IF('Thirty-First'!D201="", "",'Thirty-First'!D201)</f>
        <v/>
      </c>
      <c r="E7698" s="67" t="str">
        <f>IF('Thirty-First'!E201="", "",'Thirty-First'!E201)</f>
        <v/>
      </c>
      <c r="F7698" s="67" t="str">
        <f>IF('Thirty-First'!F201="", "",'Thirty-First'!F201)</f>
        <v/>
      </c>
      <c r="G7698" s="67" t="str">
        <f>IF('Thirty-First'!G201="", "",'Thirty-First'!G201)</f>
        <v/>
      </c>
      <c r="H7698" s="67" t="str">
        <f>IF('Thirty-First'!H201="", "",'Thirty-First'!H201)</f>
        <v/>
      </c>
      <c r="I7698" s="67" t="str">
        <f>IF('Thirty-First'!I201="", "",'Thirty-First'!I201)</f>
        <v/>
      </c>
      <c r="J7698" s="67" t="str">
        <f>IF('Thirty-First'!J201="", "",'Thirty-First'!J201)</f>
        <v/>
      </c>
      <c r="K7698" s="76" t="str">
        <f>IF('Thirty-First'!K201="", "",'Thirty-First'!K201)</f>
        <v/>
      </c>
      <c r="M7698" s="67" t="str">
        <f t="shared" si="371"/>
        <v/>
      </c>
      <c r="N7698" s="76" t="str">
        <f t="shared" si="372"/>
        <v/>
      </c>
      <c r="O7698" s="33">
        <f t="shared" si="373"/>
        <v>0</v>
      </c>
    </row>
    <row r="7699" spans="1:15" x14ac:dyDescent="0.25">
      <c r="A7699" s="94" t="s">
        <v>197</v>
      </c>
      <c r="B7699" s="66" t="str">
        <f>IF('Thirty-First'!B202="", "",'Thirty-First'!B202)</f>
        <v/>
      </c>
      <c r="C7699" s="67" t="str">
        <f>IF('Thirty-First'!C202="", "",'Thirty-First'!C202)</f>
        <v/>
      </c>
      <c r="D7699" s="67" t="str">
        <f>IF('Thirty-First'!D202="", "",'Thirty-First'!D202)</f>
        <v/>
      </c>
      <c r="E7699" s="67" t="str">
        <f>IF('Thirty-First'!E202="", "",'Thirty-First'!E202)</f>
        <v/>
      </c>
      <c r="F7699" s="67" t="str">
        <f>IF('Thirty-First'!F202="", "",'Thirty-First'!F202)</f>
        <v/>
      </c>
      <c r="G7699" s="67" t="str">
        <f>IF('Thirty-First'!G202="", "",'Thirty-First'!G202)</f>
        <v/>
      </c>
      <c r="H7699" s="67" t="str">
        <f>IF('Thirty-First'!H202="", "",'Thirty-First'!H202)</f>
        <v/>
      </c>
      <c r="I7699" s="67" t="str">
        <f>IF('Thirty-First'!I202="", "",'Thirty-First'!I202)</f>
        <v/>
      </c>
      <c r="J7699" s="67" t="str">
        <f>IF('Thirty-First'!J202="", "",'Thirty-First'!J202)</f>
        <v/>
      </c>
      <c r="K7699" s="76" t="str">
        <f>IF('Thirty-First'!K202="", "",'Thirty-First'!K202)</f>
        <v/>
      </c>
      <c r="M7699" s="67" t="str">
        <f t="shared" si="371"/>
        <v/>
      </c>
      <c r="N7699" s="76" t="str">
        <f t="shared" si="372"/>
        <v/>
      </c>
      <c r="O7699" s="33">
        <f t="shared" si="373"/>
        <v>0</v>
      </c>
    </row>
    <row r="7700" spans="1:15" x14ac:dyDescent="0.25">
      <c r="A7700" s="94" t="s">
        <v>197</v>
      </c>
      <c r="B7700" s="66" t="str">
        <f>IF('Thirty-First'!B203="", "",'Thirty-First'!B203)</f>
        <v/>
      </c>
      <c r="C7700" s="67" t="str">
        <f>IF('Thirty-First'!C203="", "",'Thirty-First'!C203)</f>
        <v/>
      </c>
      <c r="D7700" s="67" t="str">
        <f>IF('Thirty-First'!D203="", "",'Thirty-First'!D203)</f>
        <v/>
      </c>
      <c r="E7700" s="67" t="str">
        <f>IF('Thirty-First'!E203="", "",'Thirty-First'!E203)</f>
        <v/>
      </c>
      <c r="F7700" s="67" t="str">
        <f>IF('Thirty-First'!F203="", "",'Thirty-First'!F203)</f>
        <v/>
      </c>
      <c r="G7700" s="67" t="str">
        <f>IF('Thirty-First'!G203="", "",'Thirty-First'!G203)</f>
        <v/>
      </c>
      <c r="H7700" s="67" t="str">
        <f>IF('Thirty-First'!H203="", "",'Thirty-First'!H203)</f>
        <v/>
      </c>
      <c r="I7700" s="67" t="str">
        <f>IF('Thirty-First'!I203="", "",'Thirty-First'!I203)</f>
        <v/>
      </c>
      <c r="J7700" s="67" t="str">
        <f>IF('Thirty-First'!J203="", "",'Thirty-First'!J203)</f>
        <v/>
      </c>
      <c r="K7700" s="76" t="str">
        <f>IF('Thirty-First'!K203="", "",'Thirty-First'!K203)</f>
        <v/>
      </c>
      <c r="M7700" s="67" t="str">
        <f t="shared" si="371"/>
        <v/>
      </c>
      <c r="N7700" s="76" t="str">
        <f t="shared" si="372"/>
        <v/>
      </c>
      <c r="O7700" s="33">
        <f t="shared" si="373"/>
        <v>0</v>
      </c>
    </row>
    <row r="7701" spans="1:15" x14ac:dyDescent="0.25">
      <c r="A7701" s="94" t="s">
        <v>197</v>
      </c>
      <c r="B7701" s="66" t="str">
        <f>IF('Thirty-First'!B204="", "",'Thirty-First'!B204)</f>
        <v/>
      </c>
      <c r="C7701" s="67" t="str">
        <f>IF('Thirty-First'!C204="", "",'Thirty-First'!C204)</f>
        <v/>
      </c>
      <c r="D7701" s="67" t="str">
        <f>IF('Thirty-First'!D204="", "",'Thirty-First'!D204)</f>
        <v/>
      </c>
      <c r="E7701" s="67" t="str">
        <f>IF('Thirty-First'!E204="", "",'Thirty-First'!E204)</f>
        <v/>
      </c>
      <c r="F7701" s="67" t="str">
        <f>IF('Thirty-First'!F204="", "",'Thirty-First'!F204)</f>
        <v/>
      </c>
      <c r="G7701" s="67" t="str">
        <f>IF('Thirty-First'!G204="", "",'Thirty-First'!G204)</f>
        <v/>
      </c>
      <c r="H7701" s="67" t="str">
        <f>IF('Thirty-First'!H204="", "",'Thirty-First'!H204)</f>
        <v/>
      </c>
      <c r="I7701" s="67" t="str">
        <f>IF('Thirty-First'!I204="", "",'Thirty-First'!I204)</f>
        <v/>
      </c>
      <c r="J7701" s="67" t="str">
        <f>IF('Thirty-First'!J204="", "",'Thirty-First'!J204)</f>
        <v/>
      </c>
      <c r="K7701" s="76" t="str">
        <f>IF('Thirty-First'!K204="", "",'Thirty-First'!K204)</f>
        <v/>
      </c>
      <c r="M7701" s="67" t="str">
        <f t="shared" si="371"/>
        <v/>
      </c>
      <c r="N7701" s="76" t="str">
        <f t="shared" si="372"/>
        <v/>
      </c>
      <c r="O7701" s="33">
        <f t="shared" si="373"/>
        <v>0</v>
      </c>
    </row>
    <row r="7702" spans="1:15" x14ac:dyDescent="0.25">
      <c r="A7702" s="94" t="s">
        <v>197</v>
      </c>
      <c r="B7702" s="66" t="str">
        <f>IF('Thirty-First'!B205="", "",'Thirty-First'!B205)</f>
        <v/>
      </c>
      <c r="C7702" s="67" t="str">
        <f>IF('Thirty-First'!C205="", "",'Thirty-First'!C205)</f>
        <v/>
      </c>
      <c r="D7702" s="67" t="str">
        <f>IF('Thirty-First'!D205="", "",'Thirty-First'!D205)</f>
        <v/>
      </c>
      <c r="E7702" s="67" t="str">
        <f>IF('Thirty-First'!E205="", "",'Thirty-First'!E205)</f>
        <v/>
      </c>
      <c r="F7702" s="67" t="str">
        <f>IF('Thirty-First'!F205="", "",'Thirty-First'!F205)</f>
        <v/>
      </c>
      <c r="G7702" s="67" t="str">
        <f>IF('Thirty-First'!G205="", "",'Thirty-First'!G205)</f>
        <v/>
      </c>
      <c r="H7702" s="67" t="str">
        <f>IF('Thirty-First'!H205="", "",'Thirty-First'!H205)</f>
        <v/>
      </c>
      <c r="I7702" s="67" t="str">
        <f>IF('Thirty-First'!I205="", "",'Thirty-First'!I205)</f>
        <v/>
      </c>
      <c r="J7702" s="67" t="str">
        <f>IF('Thirty-First'!J205="", "",'Thirty-First'!J205)</f>
        <v/>
      </c>
      <c r="K7702" s="76" t="str">
        <f>IF('Thirty-First'!K205="", "",'Thirty-First'!K205)</f>
        <v/>
      </c>
      <c r="M7702" s="67" t="str">
        <f t="shared" si="371"/>
        <v/>
      </c>
      <c r="N7702" s="76" t="str">
        <f t="shared" si="372"/>
        <v/>
      </c>
      <c r="O7702" s="33">
        <f t="shared" si="373"/>
        <v>0</v>
      </c>
    </row>
    <row r="7703" spans="1:15" x14ac:dyDescent="0.25">
      <c r="A7703" s="94" t="s">
        <v>197</v>
      </c>
      <c r="B7703" s="66" t="str">
        <f>IF('Thirty-First'!B206="", "",'Thirty-First'!B206)</f>
        <v/>
      </c>
      <c r="C7703" s="67" t="str">
        <f>IF('Thirty-First'!C206="", "",'Thirty-First'!C206)</f>
        <v/>
      </c>
      <c r="D7703" s="67" t="str">
        <f>IF('Thirty-First'!D206="", "",'Thirty-First'!D206)</f>
        <v/>
      </c>
      <c r="E7703" s="67" t="str">
        <f>IF('Thirty-First'!E206="", "",'Thirty-First'!E206)</f>
        <v/>
      </c>
      <c r="F7703" s="67" t="str">
        <f>IF('Thirty-First'!F206="", "",'Thirty-First'!F206)</f>
        <v/>
      </c>
      <c r="G7703" s="67" t="str">
        <f>IF('Thirty-First'!G206="", "",'Thirty-First'!G206)</f>
        <v/>
      </c>
      <c r="H7703" s="67" t="str">
        <f>IF('Thirty-First'!H206="", "",'Thirty-First'!H206)</f>
        <v/>
      </c>
      <c r="I7703" s="67" t="str">
        <f>IF('Thirty-First'!I206="", "",'Thirty-First'!I206)</f>
        <v/>
      </c>
      <c r="J7703" s="67" t="str">
        <f>IF('Thirty-First'!J206="", "",'Thirty-First'!J206)</f>
        <v/>
      </c>
      <c r="K7703" s="76" t="str">
        <f>IF('Thirty-First'!K206="", "",'Thirty-First'!K206)</f>
        <v/>
      </c>
      <c r="M7703" s="67" t="str">
        <f t="shared" si="371"/>
        <v/>
      </c>
      <c r="N7703" s="76" t="str">
        <f t="shared" si="372"/>
        <v/>
      </c>
      <c r="O7703" s="33">
        <f t="shared" si="373"/>
        <v>0</v>
      </c>
    </row>
    <row r="7704" spans="1:15" x14ac:dyDescent="0.25">
      <c r="A7704" s="94" t="s">
        <v>197</v>
      </c>
      <c r="B7704" s="66" t="str">
        <f>IF('Thirty-First'!B207="", "",'Thirty-First'!B207)</f>
        <v/>
      </c>
      <c r="C7704" s="67" t="str">
        <f>IF('Thirty-First'!C207="", "",'Thirty-First'!C207)</f>
        <v/>
      </c>
      <c r="D7704" s="67" t="str">
        <f>IF('Thirty-First'!D207="", "",'Thirty-First'!D207)</f>
        <v/>
      </c>
      <c r="E7704" s="67" t="str">
        <f>IF('Thirty-First'!E207="", "",'Thirty-First'!E207)</f>
        <v/>
      </c>
      <c r="F7704" s="67" t="str">
        <f>IF('Thirty-First'!F207="", "",'Thirty-First'!F207)</f>
        <v/>
      </c>
      <c r="G7704" s="67" t="str">
        <f>IF('Thirty-First'!G207="", "",'Thirty-First'!G207)</f>
        <v/>
      </c>
      <c r="H7704" s="67" t="str">
        <f>IF('Thirty-First'!H207="", "",'Thirty-First'!H207)</f>
        <v/>
      </c>
      <c r="I7704" s="67" t="str">
        <f>IF('Thirty-First'!I207="", "",'Thirty-First'!I207)</f>
        <v/>
      </c>
      <c r="J7704" s="67" t="str">
        <f>IF('Thirty-First'!J207="", "",'Thirty-First'!J207)</f>
        <v/>
      </c>
      <c r="K7704" s="76" t="str">
        <f>IF('Thirty-First'!K207="", "",'Thirty-First'!K207)</f>
        <v/>
      </c>
      <c r="M7704" s="67" t="str">
        <f t="shared" si="371"/>
        <v/>
      </c>
      <c r="N7704" s="76" t="str">
        <f t="shared" si="372"/>
        <v/>
      </c>
      <c r="O7704" s="33">
        <f t="shared" si="373"/>
        <v>0</v>
      </c>
    </row>
    <row r="7705" spans="1:15" x14ac:dyDescent="0.25">
      <c r="A7705" s="94" t="s">
        <v>197</v>
      </c>
      <c r="B7705" s="66" t="str">
        <f>IF('Thirty-First'!B208="", "",'Thirty-First'!B208)</f>
        <v/>
      </c>
      <c r="C7705" s="67" t="str">
        <f>IF('Thirty-First'!C208="", "",'Thirty-First'!C208)</f>
        <v/>
      </c>
      <c r="D7705" s="67" t="str">
        <f>IF('Thirty-First'!D208="", "",'Thirty-First'!D208)</f>
        <v/>
      </c>
      <c r="E7705" s="67" t="str">
        <f>IF('Thirty-First'!E208="", "",'Thirty-First'!E208)</f>
        <v/>
      </c>
      <c r="F7705" s="67" t="str">
        <f>IF('Thirty-First'!F208="", "",'Thirty-First'!F208)</f>
        <v/>
      </c>
      <c r="G7705" s="67" t="str">
        <f>IF('Thirty-First'!G208="", "",'Thirty-First'!G208)</f>
        <v/>
      </c>
      <c r="H7705" s="67" t="str">
        <f>IF('Thirty-First'!H208="", "",'Thirty-First'!H208)</f>
        <v/>
      </c>
      <c r="I7705" s="67" t="str">
        <f>IF('Thirty-First'!I208="", "",'Thirty-First'!I208)</f>
        <v/>
      </c>
      <c r="J7705" s="67" t="str">
        <f>IF('Thirty-First'!J208="", "",'Thirty-First'!J208)</f>
        <v/>
      </c>
      <c r="K7705" s="76" t="str">
        <f>IF('Thirty-First'!K208="", "",'Thirty-First'!K208)</f>
        <v/>
      </c>
      <c r="M7705" s="67" t="str">
        <f t="shared" si="371"/>
        <v/>
      </c>
      <c r="N7705" s="76" t="str">
        <f t="shared" si="372"/>
        <v/>
      </c>
      <c r="O7705" s="33">
        <f t="shared" si="373"/>
        <v>0</v>
      </c>
    </row>
    <row r="7706" spans="1:15" x14ac:dyDescent="0.25">
      <c r="A7706" s="94" t="s">
        <v>197</v>
      </c>
      <c r="B7706" s="66" t="str">
        <f>IF('Thirty-First'!B209="", "",'Thirty-First'!B209)</f>
        <v/>
      </c>
      <c r="C7706" s="67" t="str">
        <f>IF('Thirty-First'!C209="", "",'Thirty-First'!C209)</f>
        <v/>
      </c>
      <c r="D7706" s="67" t="str">
        <f>IF('Thirty-First'!D209="", "",'Thirty-First'!D209)</f>
        <v/>
      </c>
      <c r="E7706" s="67" t="str">
        <f>IF('Thirty-First'!E209="", "",'Thirty-First'!E209)</f>
        <v/>
      </c>
      <c r="F7706" s="67" t="str">
        <f>IF('Thirty-First'!F209="", "",'Thirty-First'!F209)</f>
        <v/>
      </c>
      <c r="G7706" s="67" t="str">
        <f>IF('Thirty-First'!G209="", "",'Thirty-First'!G209)</f>
        <v/>
      </c>
      <c r="H7706" s="67" t="str">
        <f>IF('Thirty-First'!H209="", "",'Thirty-First'!H209)</f>
        <v/>
      </c>
      <c r="I7706" s="67" t="str">
        <f>IF('Thirty-First'!I209="", "",'Thirty-First'!I209)</f>
        <v/>
      </c>
      <c r="J7706" s="67" t="str">
        <f>IF('Thirty-First'!J209="", "",'Thirty-First'!J209)</f>
        <v/>
      </c>
      <c r="K7706" s="76" t="str">
        <f>IF('Thirty-First'!K209="", "",'Thirty-First'!K209)</f>
        <v/>
      </c>
      <c r="M7706" s="67" t="str">
        <f t="shared" si="371"/>
        <v/>
      </c>
      <c r="N7706" s="76" t="str">
        <f t="shared" si="372"/>
        <v/>
      </c>
      <c r="O7706" s="33">
        <f t="shared" si="373"/>
        <v>0</v>
      </c>
    </row>
    <row r="7707" spans="1:15" x14ac:dyDescent="0.25">
      <c r="A7707" s="94" t="s">
        <v>197</v>
      </c>
      <c r="B7707" s="66" t="str">
        <f>IF('Thirty-First'!B210="", "",'Thirty-First'!B210)</f>
        <v/>
      </c>
      <c r="C7707" s="67" t="str">
        <f>IF('Thirty-First'!C210="", "",'Thirty-First'!C210)</f>
        <v/>
      </c>
      <c r="D7707" s="67" t="str">
        <f>IF('Thirty-First'!D210="", "",'Thirty-First'!D210)</f>
        <v/>
      </c>
      <c r="E7707" s="67" t="str">
        <f>IF('Thirty-First'!E210="", "",'Thirty-First'!E210)</f>
        <v/>
      </c>
      <c r="F7707" s="67" t="str">
        <f>IF('Thirty-First'!F210="", "",'Thirty-First'!F210)</f>
        <v/>
      </c>
      <c r="G7707" s="67" t="str">
        <f>IF('Thirty-First'!G210="", "",'Thirty-First'!G210)</f>
        <v/>
      </c>
      <c r="H7707" s="67" t="str">
        <f>IF('Thirty-First'!H210="", "",'Thirty-First'!H210)</f>
        <v/>
      </c>
      <c r="I7707" s="67" t="str">
        <f>IF('Thirty-First'!I210="", "",'Thirty-First'!I210)</f>
        <v/>
      </c>
      <c r="J7707" s="67" t="str">
        <f>IF('Thirty-First'!J210="", "",'Thirty-First'!J210)</f>
        <v/>
      </c>
      <c r="K7707" s="76" t="str">
        <f>IF('Thirty-First'!K210="", "",'Thirty-First'!K210)</f>
        <v/>
      </c>
      <c r="M7707" s="67" t="str">
        <f t="shared" si="371"/>
        <v/>
      </c>
      <c r="N7707" s="76" t="str">
        <f t="shared" si="372"/>
        <v/>
      </c>
      <c r="O7707" s="33">
        <f t="shared" si="373"/>
        <v>0</v>
      </c>
    </row>
    <row r="7708" spans="1:15" x14ac:dyDescent="0.25">
      <c r="A7708" s="94" t="s">
        <v>197</v>
      </c>
      <c r="B7708" s="66" t="str">
        <f>IF('Thirty-First'!B211="", "",'Thirty-First'!B211)</f>
        <v/>
      </c>
      <c r="C7708" s="67" t="str">
        <f>IF('Thirty-First'!C211="", "",'Thirty-First'!C211)</f>
        <v/>
      </c>
      <c r="D7708" s="67" t="str">
        <f>IF('Thirty-First'!D211="", "",'Thirty-First'!D211)</f>
        <v/>
      </c>
      <c r="E7708" s="67" t="str">
        <f>IF('Thirty-First'!E211="", "",'Thirty-First'!E211)</f>
        <v/>
      </c>
      <c r="F7708" s="67" t="str">
        <f>IF('Thirty-First'!F211="", "",'Thirty-First'!F211)</f>
        <v/>
      </c>
      <c r="G7708" s="67" t="str">
        <f>IF('Thirty-First'!G211="", "",'Thirty-First'!G211)</f>
        <v/>
      </c>
      <c r="H7708" s="67" t="str">
        <f>IF('Thirty-First'!H211="", "",'Thirty-First'!H211)</f>
        <v/>
      </c>
      <c r="I7708" s="67" t="str">
        <f>IF('Thirty-First'!I211="", "",'Thirty-First'!I211)</f>
        <v/>
      </c>
      <c r="J7708" s="67" t="str">
        <f>IF('Thirty-First'!J211="", "",'Thirty-First'!J211)</f>
        <v/>
      </c>
      <c r="K7708" s="76" t="str">
        <f>IF('Thirty-First'!K211="", "",'Thirty-First'!K211)</f>
        <v/>
      </c>
      <c r="M7708" s="67" t="str">
        <f t="shared" si="371"/>
        <v/>
      </c>
      <c r="N7708" s="76" t="str">
        <f t="shared" si="372"/>
        <v/>
      </c>
      <c r="O7708" s="33">
        <f t="shared" si="373"/>
        <v>0</v>
      </c>
    </row>
    <row r="7709" spans="1:15" x14ac:dyDescent="0.25">
      <c r="A7709" s="94" t="s">
        <v>197</v>
      </c>
      <c r="B7709" s="66" t="str">
        <f>IF('Thirty-First'!B212="", "",'Thirty-First'!B212)</f>
        <v/>
      </c>
      <c r="C7709" s="67" t="str">
        <f>IF('Thirty-First'!C212="", "",'Thirty-First'!C212)</f>
        <v/>
      </c>
      <c r="D7709" s="67" t="str">
        <f>IF('Thirty-First'!D212="", "",'Thirty-First'!D212)</f>
        <v/>
      </c>
      <c r="E7709" s="67" t="str">
        <f>IF('Thirty-First'!E212="", "",'Thirty-First'!E212)</f>
        <v/>
      </c>
      <c r="F7709" s="67" t="str">
        <f>IF('Thirty-First'!F212="", "",'Thirty-First'!F212)</f>
        <v/>
      </c>
      <c r="G7709" s="67" t="str">
        <f>IF('Thirty-First'!G212="", "",'Thirty-First'!G212)</f>
        <v/>
      </c>
      <c r="H7709" s="67" t="str">
        <f>IF('Thirty-First'!H212="", "",'Thirty-First'!H212)</f>
        <v/>
      </c>
      <c r="I7709" s="67" t="str">
        <f>IF('Thirty-First'!I212="", "",'Thirty-First'!I212)</f>
        <v/>
      </c>
      <c r="J7709" s="67" t="str">
        <f>IF('Thirty-First'!J212="", "",'Thirty-First'!J212)</f>
        <v/>
      </c>
      <c r="K7709" s="76" t="str">
        <f>IF('Thirty-First'!K212="", "",'Thirty-First'!K212)</f>
        <v/>
      </c>
      <c r="M7709" s="67" t="str">
        <f t="shared" si="371"/>
        <v/>
      </c>
      <c r="N7709" s="76" t="str">
        <f t="shared" si="372"/>
        <v/>
      </c>
      <c r="O7709" s="33">
        <f t="shared" si="373"/>
        <v>0</v>
      </c>
    </row>
    <row r="7710" spans="1:15" x14ac:dyDescent="0.25">
      <c r="A7710" s="94" t="s">
        <v>197</v>
      </c>
      <c r="B7710" s="66" t="str">
        <f>IF('Thirty-First'!B213="", "",'Thirty-First'!B213)</f>
        <v/>
      </c>
      <c r="C7710" s="67" t="str">
        <f>IF('Thirty-First'!C213="", "",'Thirty-First'!C213)</f>
        <v/>
      </c>
      <c r="D7710" s="67" t="str">
        <f>IF('Thirty-First'!D213="", "",'Thirty-First'!D213)</f>
        <v/>
      </c>
      <c r="E7710" s="67" t="str">
        <f>IF('Thirty-First'!E213="", "",'Thirty-First'!E213)</f>
        <v/>
      </c>
      <c r="F7710" s="67" t="str">
        <f>IF('Thirty-First'!F213="", "",'Thirty-First'!F213)</f>
        <v/>
      </c>
      <c r="G7710" s="67" t="str">
        <f>IF('Thirty-First'!G213="", "",'Thirty-First'!G213)</f>
        <v/>
      </c>
      <c r="H7710" s="67" t="str">
        <f>IF('Thirty-First'!H213="", "",'Thirty-First'!H213)</f>
        <v/>
      </c>
      <c r="I7710" s="67" t="str">
        <f>IF('Thirty-First'!I213="", "",'Thirty-First'!I213)</f>
        <v/>
      </c>
      <c r="J7710" s="67" t="str">
        <f>IF('Thirty-First'!J213="", "",'Thirty-First'!J213)</f>
        <v/>
      </c>
      <c r="K7710" s="76" t="str">
        <f>IF('Thirty-First'!K213="", "",'Thirty-First'!K213)</f>
        <v/>
      </c>
      <c r="M7710" s="67" t="str">
        <f t="shared" si="371"/>
        <v/>
      </c>
      <c r="N7710" s="76" t="str">
        <f t="shared" si="372"/>
        <v/>
      </c>
      <c r="O7710" s="33">
        <f t="shared" si="373"/>
        <v>0</v>
      </c>
    </row>
    <row r="7711" spans="1:15" x14ac:dyDescent="0.25">
      <c r="A7711" s="94" t="s">
        <v>197</v>
      </c>
      <c r="B7711" s="66" t="str">
        <f>IF('Thirty-First'!B214="", "",'Thirty-First'!B214)</f>
        <v/>
      </c>
      <c r="C7711" s="67" t="str">
        <f>IF('Thirty-First'!C214="", "",'Thirty-First'!C214)</f>
        <v/>
      </c>
      <c r="D7711" s="67" t="str">
        <f>IF('Thirty-First'!D214="", "",'Thirty-First'!D214)</f>
        <v/>
      </c>
      <c r="E7711" s="67" t="str">
        <f>IF('Thirty-First'!E214="", "",'Thirty-First'!E214)</f>
        <v/>
      </c>
      <c r="F7711" s="67" t="str">
        <f>IF('Thirty-First'!F214="", "",'Thirty-First'!F214)</f>
        <v/>
      </c>
      <c r="G7711" s="67" t="str">
        <f>IF('Thirty-First'!G214="", "",'Thirty-First'!G214)</f>
        <v/>
      </c>
      <c r="H7711" s="67" t="str">
        <f>IF('Thirty-First'!H214="", "",'Thirty-First'!H214)</f>
        <v/>
      </c>
      <c r="I7711" s="67" t="str">
        <f>IF('Thirty-First'!I214="", "",'Thirty-First'!I214)</f>
        <v/>
      </c>
      <c r="J7711" s="67" t="str">
        <f>IF('Thirty-First'!J214="", "",'Thirty-First'!J214)</f>
        <v/>
      </c>
      <c r="K7711" s="76" t="str">
        <f>IF('Thirty-First'!K214="", "",'Thirty-First'!K214)</f>
        <v/>
      </c>
      <c r="M7711" s="67" t="str">
        <f t="shared" si="371"/>
        <v/>
      </c>
      <c r="N7711" s="76" t="str">
        <f t="shared" si="372"/>
        <v/>
      </c>
      <c r="O7711" s="33">
        <f t="shared" si="373"/>
        <v>0</v>
      </c>
    </row>
    <row r="7712" spans="1:15" x14ac:dyDescent="0.25">
      <c r="A7712" s="94" t="s">
        <v>197</v>
      </c>
      <c r="B7712" s="66" t="str">
        <f>IF('Thirty-First'!B215="", "",'Thirty-First'!B215)</f>
        <v/>
      </c>
      <c r="C7712" s="67" t="str">
        <f>IF('Thirty-First'!C215="", "",'Thirty-First'!C215)</f>
        <v/>
      </c>
      <c r="D7712" s="67" t="str">
        <f>IF('Thirty-First'!D215="", "",'Thirty-First'!D215)</f>
        <v/>
      </c>
      <c r="E7712" s="67" t="str">
        <f>IF('Thirty-First'!E215="", "",'Thirty-First'!E215)</f>
        <v/>
      </c>
      <c r="F7712" s="67" t="str">
        <f>IF('Thirty-First'!F215="", "",'Thirty-First'!F215)</f>
        <v/>
      </c>
      <c r="G7712" s="67" t="str">
        <f>IF('Thirty-First'!G215="", "",'Thirty-First'!G215)</f>
        <v/>
      </c>
      <c r="H7712" s="67" t="str">
        <f>IF('Thirty-First'!H215="", "",'Thirty-First'!H215)</f>
        <v/>
      </c>
      <c r="I7712" s="67" t="str">
        <f>IF('Thirty-First'!I215="", "",'Thirty-First'!I215)</f>
        <v/>
      </c>
      <c r="J7712" s="67" t="str">
        <f>IF('Thirty-First'!J215="", "",'Thirty-First'!J215)</f>
        <v/>
      </c>
      <c r="K7712" s="76" t="str">
        <f>IF('Thirty-First'!K215="", "",'Thirty-First'!K215)</f>
        <v/>
      </c>
      <c r="M7712" s="67" t="str">
        <f t="shared" si="371"/>
        <v/>
      </c>
      <c r="N7712" s="76" t="str">
        <f t="shared" si="372"/>
        <v/>
      </c>
      <c r="O7712" s="33">
        <f t="shared" si="373"/>
        <v>0</v>
      </c>
    </row>
    <row r="7713" spans="1:15" x14ac:dyDescent="0.25">
      <c r="A7713" s="94" t="s">
        <v>197</v>
      </c>
      <c r="B7713" s="66" t="str">
        <f>IF('Thirty-First'!B216="", "",'Thirty-First'!B216)</f>
        <v/>
      </c>
      <c r="C7713" s="67" t="str">
        <f>IF('Thirty-First'!C216="", "",'Thirty-First'!C216)</f>
        <v/>
      </c>
      <c r="D7713" s="67" t="str">
        <f>IF('Thirty-First'!D216="", "",'Thirty-First'!D216)</f>
        <v/>
      </c>
      <c r="E7713" s="67" t="str">
        <f>IF('Thirty-First'!E216="", "",'Thirty-First'!E216)</f>
        <v/>
      </c>
      <c r="F7713" s="67" t="str">
        <f>IF('Thirty-First'!F216="", "",'Thirty-First'!F216)</f>
        <v/>
      </c>
      <c r="G7713" s="67" t="str">
        <f>IF('Thirty-First'!G216="", "",'Thirty-First'!G216)</f>
        <v/>
      </c>
      <c r="H7713" s="67" t="str">
        <f>IF('Thirty-First'!H216="", "",'Thirty-First'!H216)</f>
        <v/>
      </c>
      <c r="I7713" s="67" t="str">
        <f>IF('Thirty-First'!I216="", "",'Thirty-First'!I216)</f>
        <v/>
      </c>
      <c r="J7713" s="67" t="str">
        <f>IF('Thirty-First'!J216="", "",'Thirty-First'!J216)</f>
        <v/>
      </c>
      <c r="K7713" s="76" t="str">
        <f>IF('Thirty-First'!K216="", "",'Thirty-First'!K216)</f>
        <v/>
      </c>
      <c r="M7713" s="67" t="str">
        <f t="shared" si="371"/>
        <v/>
      </c>
      <c r="N7713" s="76" t="str">
        <f t="shared" si="372"/>
        <v/>
      </c>
      <c r="O7713" s="33">
        <f t="shared" si="373"/>
        <v>0</v>
      </c>
    </row>
    <row r="7714" spans="1:15" x14ac:dyDescent="0.25">
      <c r="A7714" s="94" t="s">
        <v>197</v>
      </c>
      <c r="B7714" s="66" t="str">
        <f>IF('Thirty-First'!B217="", "",'Thirty-First'!B217)</f>
        <v/>
      </c>
      <c r="C7714" s="67" t="str">
        <f>IF('Thirty-First'!C217="", "",'Thirty-First'!C217)</f>
        <v/>
      </c>
      <c r="D7714" s="67" t="str">
        <f>IF('Thirty-First'!D217="", "",'Thirty-First'!D217)</f>
        <v/>
      </c>
      <c r="E7714" s="67" t="str">
        <f>IF('Thirty-First'!E217="", "",'Thirty-First'!E217)</f>
        <v/>
      </c>
      <c r="F7714" s="67" t="str">
        <f>IF('Thirty-First'!F217="", "",'Thirty-First'!F217)</f>
        <v/>
      </c>
      <c r="G7714" s="67" t="str">
        <f>IF('Thirty-First'!G217="", "",'Thirty-First'!G217)</f>
        <v/>
      </c>
      <c r="H7714" s="67" t="str">
        <f>IF('Thirty-First'!H217="", "",'Thirty-First'!H217)</f>
        <v/>
      </c>
      <c r="I7714" s="67" t="str">
        <f>IF('Thirty-First'!I217="", "",'Thirty-First'!I217)</f>
        <v/>
      </c>
      <c r="J7714" s="67" t="str">
        <f>IF('Thirty-First'!J217="", "",'Thirty-First'!J217)</f>
        <v/>
      </c>
      <c r="K7714" s="76" t="str">
        <f>IF('Thirty-First'!K217="", "",'Thirty-First'!K217)</f>
        <v/>
      </c>
      <c r="M7714" s="67" t="str">
        <f t="shared" si="371"/>
        <v/>
      </c>
      <c r="N7714" s="76" t="str">
        <f t="shared" si="372"/>
        <v/>
      </c>
      <c r="O7714" s="33">
        <f t="shared" si="373"/>
        <v>0</v>
      </c>
    </row>
    <row r="7715" spans="1:15" x14ac:dyDescent="0.25">
      <c r="A7715" s="94" t="s">
        <v>197</v>
      </c>
      <c r="B7715" s="66" t="str">
        <f>IF('Thirty-First'!B218="", "",'Thirty-First'!B218)</f>
        <v/>
      </c>
      <c r="C7715" s="67" t="str">
        <f>IF('Thirty-First'!C218="", "",'Thirty-First'!C218)</f>
        <v/>
      </c>
      <c r="D7715" s="67" t="str">
        <f>IF('Thirty-First'!D218="", "",'Thirty-First'!D218)</f>
        <v/>
      </c>
      <c r="E7715" s="67" t="str">
        <f>IF('Thirty-First'!E218="", "",'Thirty-First'!E218)</f>
        <v/>
      </c>
      <c r="F7715" s="67" t="str">
        <f>IF('Thirty-First'!F218="", "",'Thirty-First'!F218)</f>
        <v/>
      </c>
      <c r="G7715" s="67" t="str">
        <f>IF('Thirty-First'!G218="", "",'Thirty-First'!G218)</f>
        <v/>
      </c>
      <c r="H7715" s="67" t="str">
        <f>IF('Thirty-First'!H218="", "",'Thirty-First'!H218)</f>
        <v/>
      </c>
      <c r="I7715" s="67" t="str">
        <f>IF('Thirty-First'!I218="", "",'Thirty-First'!I218)</f>
        <v/>
      </c>
      <c r="J7715" s="67" t="str">
        <f>IF('Thirty-First'!J218="", "",'Thirty-First'!J218)</f>
        <v/>
      </c>
      <c r="K7715" s="76" t="str">
        <f>IF('Thirty-First'!K218="", "",'Thirty-First'!K218)</f>
        <v/>
      </c>
      <c r="M7715" s="67" t="str">
        <f t="shared" si="371"/>
        <v/>
      </c>
      <c r="N7715" s="76" t="str">
        <f t="shared" si="372"/>
        <v/>
      </c>
      <c r="O7715" s="33">
        <f t="shared" si="373"/>
        <v>0</v>
      </c>
    </row>
    <row r="7716" spans="1:15" x14ac:dyDescent="0.25">
      <c r="A7716" s="94" t="s">
        <v>197</v>
      </c>
      <c r="B7716" s="66" t="str">
        <f>IF('Thirty-First'!B219="", "",'Thirty-First'!B219)</f>
        <v/>
      </c>
      <c r="C7716" s="67" t="str">
        <f>IF('Thirty-First'!C219="", "",'Thirty-First'!C219)</f>
        <v/>
      </c>
      <c r="D7716" s="67" t="str">
        <f>IF('Thirty-First'!D219="", "",'Thirty-First'!D219)</f>
        <v/>
      </c>
      <c r="E7716" s="67" t="str">
        <f>IF('Thirty-First'!E219="", "",'Thirty-First'!E219)</f>
        <v/>
      </c>
      <c r="F7716" s="67" t="str">
        <f>IF('Thirty-First'!F219="", "",'Thirty-First'!F219)</f>
        <v/>
      </c>
      <c r="G7716" s="67" t="str">
        <f>IF('Thirty-First'!G219="", "",'Thirty-First'!G219)</f>
        <v/>
      </c>
      <c r="H7716" s="67" t="str">
        <f>IF('Thirty-First'!H219="", "",'Thirty-First'!H219)</f>
        <v/>
      </c>
      <c r="I7716" s="67" t="str">
        <f>IF('Thirty-First'!I219="", "",'Thirty-First'!I219)</f>
        <v/>
      </c>
      <c r="J7716" s="67" t="str">
        <f>IF('Thirty-First'!J219="", "",'Thirty-First'!J219)</f>
        <v/>
      </c>
      <c r="K7716" s="76" t="str">
        <f>IF('Thirty-First'!K219="", "",'Thirty-First'!K219)</f>
        <v/>
      </c>
      <c r="M7716" s="67" t="str">
        <f t="shared" si="371"/>
        <v/>
      </c>
      <c r="N7716" s="76" t="str">
        <f t="shared" si="372"/>
        <v/>
      </c>
      <c r="O7716" s="33">
        <f t="shared" si="373"/>
        <v>0</v>
      </c>
    </row>
    <row r="7717" spans="1:15" x14ac:dyDescent="0.25">
      <c r="A7717" s="94" t="s">
        <v>197</v>
      </c>
      <c r="B7717" s="66" t="str">
        <f>IF('Thirty-First'!B220="", "",'Thirty-First'!B220)</f>
        <v/>
      </c>
      <c r="C7717" s="67" t="str">
        <f>IF('Thirty-First'!C220="", "",'Thirty-First'!C220)</f>
        <v/>
      </c>
      <c r="D7717" s="67" t="str">
        <f>IF('Thirty-First'!D220="", "",'Thirty-First'!D220)</f>
        <v/>
      </c>
      <c r="E7717" s="67" t="str">
        <f>IF('Thirty-First'!E220="", "",'Thirty-First'!E220)</f>
        <v/>
      </c>
      <c r="F7717" s="67" t="str">
        <f>IF('Thirty-First'!F220="", "",'Thirty-First'!F220)</f>
        <v/>
      </c>
      <c r="G7717" s="67" t="str">
        <f>IF('Thirty-First'!G220="", "",'Thirty-First'!G220)</f>
        <v/>
      </c>
      <c r="H7717" s="67" t="str">
        <f>IF('Thirty-First'!H220="", "",'Thirty-First'!H220)</f>
        <v/>
      </c>
      <c r="I7717" s="67" t="str">
        <f>IF('Thirty-First'!I220="", "",'Thirty-First'!I220)</f>
        <v/>
      </c>
      <c r="J7717" s="67" t="str">
        <f>IF('Thirty-First'!J220="", "",'Thirty-First'!J220)</f>
        <v/>
      </c>
      <c r="K7717" s="76" t="str">
        <f>IF('Thirty-First'!K220="", "",'Thirty-First'!K220)</f>
        <v/>
      </c>
      <c r="M7717" s="67" t="str">
        <f t="shared" si="371"/>
        <v/>
      </c>
      <c r="N7717" s="76" t="str">
        <f t="shared" si="372"/>
        <v/>
      </c>
      <c r="O7717" s="33">
        <f t="shared" si="373"/>
        <v>0</v>
      </c>
    </row>
    <row r="7718" spans="1:15" x14ac:dyDescent="0.25">
      <c r="A7718" s="94" t="s">
        <v>197</v>
      </c>
      <c r="B7718" s="66" t="str">
        <f>IF('Thirty-First'!B221="", "",'Thirty-First'!B221)</f>
        <v/>
      </c>
      <c r="C7718" s="67" t="str">
        <f>IF('Thirty-First'!C221="", "",'Thirty-First'!C221)</f>
        <v/>
      </c>
      <c r="D7718" s="67" t="str">
        <f>IF('Thirty-First'!D221="", "",'Thirty-First'!D221)</f>
        <v/>
      </c>
      <c r="E7718" s="67" t="str">
        <f>IF('Thirty-First'!E221="", "",'Thirty-First'!E221)</f>
        <v/>
      </c>
      <c r="F7718" s="67" t="str">
        <f>IF('Thirty-First'!F221="", "",'Thirty-First'!F221)</f>
        <v/>
      </c>
      <c r="G7718" s="67" t="str">
        <f>IF('Thirty-First'!G221="", "",'Thirty-First'!G221)</f>
        <v/>
      </c>
      <c r="H7718" s="67" t="str">
        <f>IF('Thirty-First'!H221="", "",'Thirty-First'!H221)</f>
        <v/>
      </c>
      <c r="I7718" s="67" t="str">
        <f>IF('Thirty-First'!I221="", "",'Thirty-First'!I221)</f>
        <v/>
      </c>
      <c r="J7718" s="67" t="str">
        <f>IF('Thirty-First'!J221="", "",'Thirty-First'!J221)</f>
        <v/>
      </c>
      <c r="K7718" s="76" t="str">
        <f>IF('Thirty-First'!K221="", "",'Thirty-First'!K221)</f>
        <v/>
      </c>
      <c r="M7718" s="67" t="str">
        <f t="shared" si="371"/>
        <v/>
      </c>
      <c r="N7718" s="76" t="str">
        <f t="shared" si="372"/>
        <v/>
      </c>
      <c r="O7718" s="33">
        <f t="shared" si="373"/>
        <v>0</v>
      </c>
    </row>
    <row r="7719" spans="1:15" x14ac:dyDescent="0.25">
      <c r="A7719" s="94" t="s">
        <v>197</v>
      </c>
      <c r="B7719" s="66" t="str">
        <f>IF('Thirty-First'!B222="", "",'Thirty-First'!B222)</f>
        <v/>
      </c>
      <c r="C7719" s="67" t="str">
        <f>IF('Thirty-First'!C222="", "",'Thirty-First'!C222)</f>
        <v/>
      </c>
      <c r="D7719" s="67" t="str">
        <f>IF('Thirty-First'!D222="", "",'Thirty-First'!D222)</f>
        <v/>
      </c>
      <c r="E7719" s="67" t="str">
        <f>IF('Thirty-First'!E222="", "",'Thirty-First'!E222)</f>
        <v/>
      </c>
      <c r="F7719" s="67" t="str">
        <f>IF('Thirty-First'!F222="", "",'Thirty-First'!F222)</f>
        <v/>
      </c>
      <c r="G7719" s="67" t="str">
        <f>IF('Thirty-First'!G222="", "",'Thirty-First'!G222)</f>
        <v/>
      </c>
      <c r="H7719" s="67" t="str">
        <f>IF('Thirty-First'!H222="", "",'Thirty-First'!H222)</f>
        <v/>
      </c>
      <c r="I7719" s="67" t="str">
        <f>IF('Thirty-First'!I222="", "",'Thirty-First'!I222)</f>
        <v/>
      </c>
      <c r="J7719" s="67" t="str">
        <f>IF('Thirty-First'!J222="", "",'Thirty-First'!J222)</f>
        <v/>
      </c>
      <c r="K7719" s="76" t="str">
        <f>IF('Thirty-First'!K222="", "",'Thirty-First'!K222)</f>
        <v/>
      </c>
      <c r="M7719" s="67" t="str">
        <f t="shared" si="371"/>
        <v/>
      </c>
      <c r="N7719" s="76" t="str">
        <f t="shared" si="372"/>
        <v/>
      </c>
      <c r="O7719" s="33">
        <f t="shared" si="373"/>
        <v>0</v>
      </c>
    </row>
    <row r="7720" spans="1:15" x14ac:dyDescent="0.25">
      <c r="A7720" s="94" t="s">
        <v>197</v>
      </c>
      <c r="B7720" s="66" t="str">
        <f>IF('Thirty-First'!B223="", "",'Thirty-First'!B223)</f>
        <v/>
      </c>
      <c r="C7720" s="67" t="str">
        <f>IF('Thirty-First'!C223="", "",'Thirty-First'!C223)</f>
        <v/>
      </c>
      <c r="D7720" s="67" t="str">
        <f>IF('Thirty-First'!D223="", "",'Thirty-First'!D223)</f>
        <v/>
      </c>
      <c r="E7720" s="67" t="str">
        <f>IF('Thirty-First'!E223="", "",'Thirty-First'!E223)</f>
        <v/>
      </c>
      <c r="F7720" s="67" t="str">
        <f>IF('Thirty-First'!F223="", "",'Thirty-First'!F223)</f>
        <v/>
      </c>
      <c r="G7720" s="67" t="str">
        <f>IF('Thirty-First'!G223="", "",'Thirty-First'!G223)</f>
        <v/>
      </c>
      <c r="H7720" s="67" t="str">
        <f>IF('Thirty-First'!H223="", "",'Thirty-First'!H223)</f>
        <v/>
      </c>
      <c r="I7720" s="67" t="str">
        <f>IF('Thirty-First'!I223="", "",'Thirty-First'!I223)</f>
        <v/>
      </c>
      <c r="J7720" s="67" t="str">
        <f>IF('Thirty-First'!J223="", "",'Thirty-First'!J223)</f>
        <v/>
      </c>
      <c r="K7720" s="76" t="str">
        <f>IF('Thirty-First'!K223="", "",'Thirty-First'!K223)</f>
        <v/>
      </c>
      <c r="M7720" s="67" t="str">
        <f t="shared" si="371"/>
        <v/>
      </c>
      <c r="N7720" s="76" t="str">
        <f t="shared" si="372"/>
        <v/>
      </c>
      <c r="O7720" s="33">
        <f t="shared" si="373"/>
        <v>0</v>
      </c>
    </row>
    <row r="7721" spans="1:15" x14ac:dyDescent="0.25">
      <c r="A7721" s="94" t="s">
        <v>197</v>
      </c>
      <c r="B7721" s="66" t="str">
        <f>IF('Thirty-First'!B224="", "",'Thirty-First'!B224)</f>
        <v/>
      </c>
      <c r="C7721" s="67" t="str">
        <f>IF('Thirty-First'!C224="", "",'Thirty-First'!C224)</f>
        <v/>
      </c>
      <c r="D7721" s="67" t="str">
        <f>IF('Thirty-First'!D224="", "",'Thirty-First'!D224)</f>
        <v/>
      </c>
      <c r="E7721" s="67" t="str">
        <f>IF('Thirty-First'!E224="", "",'Thirty-First'!E224)</f>
        <v/>
      </c>
      <c r="F7721" s="67" t="str">
        <f>IF('Thirty-First'!F224="", "",'Thirty-First'!F224)</f>
        <v/>
      </c>
      <c r="G7721" s="67" t="str">
        <f>IF('Thirty-First'!G224="", "",'Thirty-First'!G224)</f>
        <v/>
      </c>
      <c r="H7721" s="67" t="str">
        <f>IF('Thirty-First'!H224="", "",'Thirty-First'!H224)</f>
        <v/>
      </c>
      <c r="I7721" s="67" t="str">
        <f>IF('Thirty-First'!I224="", "",'Thirty-First'!I224)</f>
        <v/>
      </c>
      <c r="J7721" s="67" t="str">
        <f>IF('Thirty-First'!J224="", "",'Thirty-First'!J224)</f>
        <v/>
      </c>
      <c r="K7721" s="76" t="str">
        <f>IF('Thirty-First'!K224="", "",'Thirty-First'!K224)</f>
        <v/>
      </c>
      <c r="M7721" s="67" t="str">
        <f t="shared" si="371"/>
        <v/>
      </c>
      <c r="N7721" s="76" t="str">
        <f t="shared" si="372"/>
        <v/>
      </c>
      <c r="O7721" s="33">
        <f t="shared" si="373"/>
        <v>0</v>
      </c>
    </row>
    <row r="7722" spans="1:15" x14ac:dyDescent="0.25">
      <c r="A7722" s="94" t="s">
        <v>197</v>
      </c>
      <c r="B7722" s="66" t="str">
        <f>IF('Thirty-First'!B225="", "",'Thirty-First'!B225)</f>
        <v/>
      </c>
      <c r="C7722" s="67" t="str">
        <f>IF('Thirty-First'!C225="", "",'Thirty-First'!C225)</f>
        <v/>
      </c>
      <c r="D7722" s="67" t="str">
        <f>IF('Thirty-First'!D225="", "",'Thirty-First'!D225)</f>
        <v/>
      </c>
      <c r="E7722" s="67" t="str">
        <f>IF('Thirty-First'!E225="", "",'Thirty-First'!E225)</f>
        <v/>
      </c>
      <c r="F7722" s="67" t="str">
        <f>IF('Thirty-First'!F225="", "",'Thirty-First'!F225)</f>
        <v/>
      </c>
      <c r="G7722" s="67" t="str">
        <f>IF('Thirty-First'!G225="", "",'Thirty-First'!G225)</f>
        <v/>
      </c>
      <c r="H7722" s="67" t="str">
        <f>IF('Thirty-First'!H225="", "",'Thirty-First'!H225)</f>
        <v/>
      </c>
      <c r="I7722" s="67" t="str">
        <f>IF('Thirty-First'!I225="", "",'Thirty-First'!I225)</f>
        <v/>
      </c>
      <c r="J7722" s="67" t="str">
        <f>IF('Thirty-First'!J225="", "",'Thirty-First'!J225)</f>
        <v/>
      </c>
      <c r="K7722" s="76" t="str">
        <f>IF('Thirty-First'!K225="", "",'Thirty-First'!K225)</f>
        <v/>
      </c>
      <c r="M7722" s="67" t="str">
        <f t="shared" si="371"/>
        <v/>
      </c>
      <c r="N7722" s="76" t="str">
        <f t="shared" si="372"/>
        <v/>
      </c>
      <c r="O7722" s="33">
        <f t="shared" si="373"/>
        <v>0</v>
      </c>
    </row>
    <row r="7723" spans="1:15" x14ac:dyDescent="0.25">
      <c r="A7723" s="94" t="s">
        <v>197</v>
      </c>
      <c r="B7723" s="66" t="str">
        <f>IF('Thirty-First'!B226="", "",'Thirty-First'!B226)</f>
        <v/>
      </c>
      <c r="C7723" s="67" t="str">
        <f>IF('Thirty-First'!C226="", "",'Thirty-First'!C226)</f>
        <v/>
      </c>
      <c r="D7723" s="67" t="str">
        <f>IF('Thirty-First'!D226="", "",'Thirty-First'!D226)</f>
        <v/>
      </c>
      <c r="E7723" s="67" t="str">
        <f>IF('Thirty-First'!E226="", "",'Thirty-First'!E226)</f>
        <v/>
      </c>
      <c r="F7723" s="67" t="str">
        <f>IF('Thirty-First'!F226="", "",'Thirty-First'!F226)</f>
        <v/>
      </c>
      <c r="G7723" s="67" t="str">
        <f>IF('Thirty-First'!G226="", "",'Thirty-First'!G226)</f>
        <v/>
      </c>
      <c r="H7723" s="67" t="str">
        <f>IF('Thirty-First'!H226="", "",'Thirty-First'!H226)</f>
        <v/>
      </c>
      <c r="I7723" s="67" t="str">
        <f>IF('Thirty-First'!I226="", "",'Thirty-First'!I226)</f>
        <v/>
      </c>
      <c r="J7723" s="67" t="str">
        <f>IF('Thirty-First'!J226="", "",'Thirty-First'!J226)</f>
        <v/>
      </c>
      <c r="K7723" s="76" t="str">
        <f>IF('Thirty-First'!K226="", "",'Thirty-First'!K226)</f>
        <v/>
      </c>
      <c r="M7723" s="67" t="str">
        <f t="shared" si="371"/>
        <v/>
      </c>
      <c r="N7723" s="76" t="str">
        <f t="shared" si="372"/>
        <v/>
      </c>
      <c r="O7723" s="33">
        <f t="shared" si="373"/>
        <v>0</v>
      </c>
    </row>
    <row r="7724" spans="1:15" x14ac:dyDescent="0.25">
      <c r="A7724" s="94" t="s">
        <v>197</v>
      </c>
      <c r="B7724" s="66" t="str">
        <f>IF('Thirty-First'!B227="", "",'Thirty-First'!B227)</f>
        <v/>
      </c>
      <c r="C7724" s="67" t="str">
        <f>IF('Thirty-First'!C227="", "",'Thirty-First'!C227)</f>
        <v/>
      </c>
      <c r="D7724" s="67" t="str">
        <f>IF('Thirty-First'!D227="", "",'Thirty-First'!D227)</f>
        <v/>
      </c>
      <c r="E7724" s="67" t="str">
        <f>IF('Thirty-First'!E227="", "",'Thirty-First'!E227)</f>
        <v/>
      </c>
      <c r="F7724" s="67" t="str">
        <f>IF('Thirty-First'!F227="", "",'Thirty-First'!F227)</f>
        <v/>
      </c>
      <c r="G7724" s="67" t="str">
        <f>IF('Thirty-First'!G227="", "",'Thirty-First'!G227)</f>
        <v/>
      </c>
      <c r="H7724" s="67" t="str">
        <f>IF('Thirty-First'!H227="", "",'Thirty-First'!H227)</f>
        <v/>
      </c>
      <c r="I7724" s="67" t="str">
        <f>IF('Thirty-First'!I227="", "",'Thirty-First'!I227)</f>
        <v/>
      </c>
      <c r="J7724" s="67" t="str">
        <f>IF('Thirty-First'!J227="", "",'Thirty-First'!J227)</f>
        <v/>
      </c>
      <c r="K7724" s="76" t="str">
        <f>IF('Thirty-First'!K227="", "",'Thirty-First'!K227)</f>
        <v/>
      </c>
      <c r="M7724" s="67" t="str">
        <f t="shared" si="371"/>
        <v/>
      </c>
      <c r="N7724" s="76" t="str">
        <f t="shared" si="372"/>
        <v/>
      </c>
      <c r="O7724" s="33">
        <f t="shared" si="373"/>
        <v>0</v>
      </c>
    </row>
    <row r="7725" spans="1:15" x14ac:dyDescent="0.25">
      <c r="A7725" s="94" t="s">
        <v>197</v>
      </c>
      <c r="B7725" s="66" t="str">
        <f>IF('Thirty-First'!B228="", "",'Thirty-First'!B228)</f>
        <v/>
      </c>
      <c r="C7725" s="67" t="str">
        <f>IF('Thirty-First'!C228="", "",'Thirty-First'!C228)</f>
        <v/>
      </c>
      <c r="D7725" s="67" t="str">
        <f>IF('Thirty-First'!D228="", "",'Thirty-First'!D228)</f>
        <v/>
      </c>
      <c r="E7725" s="67" t="str">
        <f>IF('Thirty-First'!E228="", "",'Thirty-First'!E228)</f>
        <v/>
      </c>
      <c r="F7725" s="67" t="str">
        <f>IF('Thirty-First'!F228="", "",'Thirty-First'!F228)</f>
        <v/>
      </c>
      <c r="G7725" s="67" t="str">
        <f>IF('Thirty-First'!G228="", "",'Thirty-First'!G228)</f>
        <v/>
      </c>
      <c r="H7725" s="67" t="str">
        <f>IF('Thirty-First'!H228="", "",'Thirty-First'!H228)</f>
        <v/>
      </c>
      <c r="I7725" s="67" t="str">
        <f>IF('Thirty-First'!I228="", "",'Thirty-First'!I228)</f>
        <v/>
      </c>
      <c r="J7725" s="67" t="str">
        <f>IF('Thirty-First'!J228="", "",'Thirty-First'!J228)</f>
        <v/>
      </c>
      <c r="K7725" s="76" t="str">
        <f>IF('Thirty-First'!K228="", "",'Thirty-First'!K228)</f>
        <v/>
      </c>
      <c r="M7725" s="67" t="str">
        <f t="shared" si="371"/>
        <v/>
      </c>
      <c r="N7725" s="76" t="str">
        <f t="shared" si="372"/>
        <v/>
      </c>
      <c r="O7725" s="33">
        <f t="shared" si="373"/>
        <v>0</v>
      </c>
    </row>
    <row r="7726" spans="1:15" x14ac:dyDescent="0.25">
      <c r="A7726" s="94" t="s">
        <v>197</v>
      </c>
      <c r="B7726" s="66" t="str">
        <f>IF('Thirty-First'!B229="", "",'Thirty-First'!B229)</f>
        <v/>
      </c>
      <c r="C7726" s="67" t="str">
        <f>IF('Thirty-First'!C229="", "",'Thirty-First'!C229)</f>
        <v/>
      </c>
      <c r="D7726" s="67" t="str">
        <f>IF('Thirty-First'!D229="", "",'Thirty-First'!D229)</f>
        <v/>
      </c>
      <c r="E7726" s="67" t="str">
        <f>IF('Thirty-First'!E229="", "",'Thirty-First'!E229)</f>
        <v/>
      </c>
      <c r="F7726" s="67" t="str">
        <f>IF('Thirty-First'!F229="", "",'Thirty-First'!F229)</f>
        <v/>
      </c>
      <c r="G7726" s="67" t="str">
        <f>IF('Thirty-First'!G229="", "",'Thirty-First'!G229)</f>
        <v/>
      </c>
      <c r="H7726" s="67" t="str">
        <f>IF('Thirty-First'!H229="", "",'Thirty-First'!H229)</f>
        <v/>
      </c>
      <c r="I7726" s="67" t="str">
        <f>IF('Thirty-First'!I229="", "",'Thirty-First'!I229)</f>
        <v/>
      </c>
      <c r="J7726" s="67" t="str">
        <f>IF('Thirty-First'!J229="", "",'Thirty-First'!J229)</f>
        <v/>
      </c>
      <c r="K7726" s="76" t="str">
        <f>IF('Thirty-First'!K229="", "",'Thirty-First'!K229)</f>
        <v/>
      </c>
      <c r="M7726" s="67" t="str">
        <f t="shared" si="371"/>
        <v/>
      </c>
      <c r="N7726" s="76" t="str">
        <f t="shared" si="372"/>
        <v/>
      </c>
      <c r="O7726" s="33">
        <f t="shared" si="373"/>
        <v>0</v>
      </c>
    </row>
    <row r="7727" spans="1:15" x14ac:dyDescent="0.25">
      <c r="A7727" s="94" t="s">
        <v>197</v>
      </c>
      <c r="B7727" s="66" t="str">
        <f>IF('Thirty-First'!B230="", "",'Thirty-First'!B230)</f>
        <v/>
      </c>
      <c r="C7727" s="67" t="str">
        <f>IF('Thirty-First'!C230="", "",'Thirty-First'!C230)</f>
        <v/>
      </c>
      <c r="D7727" s="67" t="str">
        <f>IF('Thirty-First'!D230="", "",'Thirty-First'!D230)</f>
        <v/>
      </c>
      <c r="E7727" s="67" t="str">
        <f>IF('Thirty-First'!E230="", "",'Thirty-First'!E230)</f>
        <v/>
      </c>
      <c r="F7727" s="67" t="str">
        <f>IF('Thirty-First'!F230="", "",'Thirty-First'!F230)</f>
        <v/>
      </c>
      <c r="G7727" s="67" t="str">
        <f>IF('Thirty-First'!G230="", "",'Thirty-First'!G230)</f>
        <v/>
      </c>
      <c r="H7727" s="67" t="str">
        <f>IF('Thirty-First'!H230="", "",'Thirty-First'!H230)</f>
        <v/>
      </c>
      <c r="I7727" s="67" t="str">
        <f>IF('Thirty-First'!I230="", "",'Thirty-First'!I230)</f>
        <v/>
      </c>
      <c r="J7727" s="67" t="str">
        <f>IF('Thirty-First'!J230="", "",'Thirty-First'!J230)</f>
        <v/>
      </c>
      <c r="K7727" s="76" t="str">
        <f>IF('Thirty-First'!K230="", "",'Thirty-First'!K230)</f>
        <v/>
      </c>
      <c r="M7727" s="67" t="str">
        <f t="shared" si="371"/>
        <v/>
      </c>
      <c r="N7727" s="76" t="str">
        <f t="shared" si="372"/>
        <v/>
      </c>
      <c r="O7727" s="33">
        <f t="shared" si="373"/>
        <v>0</v>
      </c>
    </row>
    <row r="7728" spans="1:15" x14ac:dyDescent="0.25">
      <c r="A7728" s="94" t="s">
        <v>197</v>
      </c>
      <c r="B7728" s="66" t="str">
        <f>IF('Thirty-First'!B231="", "",'Thirty-First'!B231)</f>
        <v/>
      </c>
      <c r="C7728" s="67" t="str">
        <f>IF('Thirty-First'!C231="", "",'Thirty-First'!C231)</f>
        <v/>
      </c>
      <c r="D7728" s="67" t="str">
        <f>IF('Thirty-First'!D231="", "",'Thirty-First'!D231)</f>
        <v/>
      </c>
      <c r="E7728" s="67" t="str">
        <f>IF('Thirty-First'!E231="", "",'Thirty-First'!E231)</f>
        <v/>
      </c>
      <c r="F7728" s="67" t="str">
        <f>IF('Thirty-First'!F231="", "",'Thirty-First'!F231)</f>
        <v/>
      </c>
      <c r="G7728" s="67" t="str">
        <f>IF('Thirty-First'!G231="", "",'Thirty-First'!G231)</f>
        <v/>
      </c>
      <c r="H7728" s="67" t="str">
        <f>IF('Thirty-First'!H231="", "",'Thirty-First'!H231)</f>
        <v/>
      </c>
      <c r="I7728" s="67" t="str">
        <f>IF('Thirty-First'!I231="", "",'Thirty-First'!I231)</f>
        <v/>
      </c>
      <c r="J7728" s="67" t="str">
        <f>IF('Thirty-First'!J231="", "",'Thirty-First'!J231)</f>
        <v/>
      </c>
      <c r="K7728" s="76" t="str">
        <f>IF('Thirty-First'!K231="", "",'Thirty-First'!K231)</f>
        <v/>
      </c>
      <c r="M7728" s="67" t="str">
        <f t="shared" si="371"/>
        <v/>
      </c>
      <c r="N7728" s="76" t="str">
        <f t="shared" si="372"/>
        <v/>
      </c>
      <c r="O7728" s="33">
        <f t="shared" si="373"/>
        <v>0</v>
      </c>
    </row>
    <row r="7729" spans="1:15" x14ac:dyDescent="0.25">
      <c r="A7729" s="94" t="s">
        <v>197</v>
      </c>
      <c r="B7729" s="66" t="str">
        <f>IF('Thirty-First'!B232="", "",'Thirty-First'!B232)</f>
        <v/>
      </c>
      <c r="C7729" s="67" t="str">
        <f>IF('Thirty-First'!C232="", "",'Thirty-First'!C232)</f>
        <v/>
      </c>
      <c r="D7729" s="67" t="str">
        <f>IF('Thirty-First'!D232="", "",'Thirty-First'!D232)</f>
        <v/>
      </c>
      <c r="E7729" s="67" t="str">
        <f>IF('Thirty-First'!E232="", "",'Thirty-First'!E232)</f>
        <v/>
      </c>
      <c r="F7729" s="67" t="str">
        <f>IF('Thirty-First'!F232="", "",'Thirty-First'!F232)</f>
        <v/>
      </c>
      <c r="G7729" s="67" t="str">
        <f>IF('Thirty-First'!G232="", "",'Thirty-First'!G232)</f>
        <v/>
      </c>
      <c r="H7729" s="67" t="str">
        <f>IF('Thirty-First'!H232="", "",'Thirty-First'!H232)</f>
        <v/>
      </c>
      <c r="I7729" s="67" t="str">
        <f>IF('Thirty-First'!I232="", "",'Thirty-First'!I232)</f>
        <v/>
      </c>
      <c r="J7729" s="67" t="str">
        <f>IF('Thirty-First'!J232="", "",'Thirty-First'!J232)</f>
        <v/>
      </c>
      <c r="K7729" s="76" t="str">
        <f>IF('Thirty-First'!K232="", "",'Thirty-First'!K232)</f>
        <v/>
      </c>
      <c r="M7729" s="67" t="str">
        <f t="shared" si="371"/>
        <v/>
      </c>
      <c r="N7729" s="76" t="str">
        <f t="shared" si="372"/>
        <v/>
      </c>
      <c r="O7729" s="33">
        <f t="shared" si="373"/>
        <v>0</v>
      </c>
    </row>
    <row r="7730" spans="1:15" x14ac:dyDescent="0.25">
      <c r="A7730" s="94" t="s">
        <v>197</v>
      </c>
      <c r="B7730" s="66" t="str">
        <f>IF('Thirty-First'!B233="", "",'Thirty-First'!B233)</f>
        <v/>
      </c>
      <c r="C7730" s="67" t="str">
        <f>IF('Thirty-First'!C233="", "",'Thirty-First'!C233)</f>
        <v/>
      </c>
      <c r="D7730" s="67" t="str">
        <f>IF('Thirty-First'!D233="", "",'Thirty-First'!D233)</f>
        <v/>
      </c>
      <c r="E7730" s="67" t="str">
        <f>IF('Thirty-First'!E233="", "",'Thirty-First'!E233)</f>
        <v/>
      </c>
      <c r="F7730" s="67" t="str">
        <f>IF('Thirty-First'!F233="", "",'Thirty-First'!F233)</f>
        <v/>
      </c>
      <c r="G7730" s="67" t="str">
        <f>IF('Thirty-First'!G233="", "",'Thirty-First'!G233)</f>
        <v/>
      </c>
      <c r="H7730" s="67" t="str">
        <f>IF('Thirty-First'!H233="", "",'Thirty-First'!H233)</f>
        <v/>
      </c>
      <c r="I7730" s="67" t="str">
        <f>IF('Thirty-First'!I233="", "",'Thirty-First'!I233)</f>
        <v/>
      </c>
      <c r="J7730" s="67" t="str">
        <f>IF('Thirty-First'!J233="", "",'Thirty-First'!J233)</f>
        <v/>
      </c>
      <c r="K7730" s="76" t="str">
        <f>IF('Thirty-First'!K233="", "",'Thirty-First'!K233)</f>
        <v/>
      </c>
      <c r="M7730" s="67" t="str">
        <f t="shared" si="371"/>
        <v/>
      </c>
      <c r="N7730" s="76" t="str">
        <f t="shared" si="372"/>
        <v/>
      </c>
      <c r="O7730" s="33">
        <f t="shared" si="373"/>
        <v>0</v>
      </c>
    </row>
    <row r="7731" spans="1:15" x14ac:dyDescent="0.25">
      <c r="A7731" s="94" t="s">
        <v>197</v>
      </c>
      <c r="B7731" s="66" t="str">
        <f>IF('Thirty-First'!B234="", "",'Thirty-First'!B234)</f>
        <v/>
      </c>
      <c r="C7731" s="67" t="str">
        <f>IF('Thirty-First'!C234="", "",'Thirty-First'!C234)</f>
        <v/>
      </c>
      <c r="D7731" s="67" t="str">
        <f>IF('Thirty-First'!D234="", "",'Thirty-First'!D234)</f>
        <v/>
      </c>
      <c r="E7731" s="67" t="str">
        <f>IF('Thirty-First'!E234="", "",'Thirty-First'!E234)</f>
        <v/>
      </c>
      <c r="F7731" s="67" t="str">
        <f>IF('Thirty-First'!F234="", "",'Thirty-First'!F234)</f>
        <v/>
      </c>
      <c r="G7731" s="67" t="str">
        <f>IF('Thirty-First'!G234="", "",'Thirty-First'!G234)</f>
        <v/>
      </c>
      <c r="H7731" s="67" t="str">
        <f>IF('Thirty-First'!H234="", "",'Thirty-First'!H234)</f>
        <v/>
      </c>
      <c r="I7731" s="67" t="str">
        <f>IF('Thirty-First'!I234="", "",'Thirty-First'!I234)</f>
        <v/>
      </c>
      <c r="J7731" s="67" t="str">
        <f>IF('Thirty-First'!J234="", "",'Thirty-First'!J234)</f>
        <v/>
      </c>
      <c r="K7731" s="76" t="str">
        <f>IF('Thirty-First'!K234="", "",'Thirty-First'!K234)</f>
        <v/>
      </c>
      <c r="M7731" s="67" t="str">
        <f t="shared" si="371"/>
        <v/>
      </c>
      <c r="N7731" s="76" t="str">
        <f t="shared" si="372"/>
        <v/>
      </c>
      <c r="O7731" s="33">
        <f t="shared" si="373"/>
        <v>0</v>
      </c>
    </row>
    <row r="7732" spans="1:15" x14ac:dyDescent="0.25">
      <c r="A7732" s="94" t="s">
        <v>197</v>
      </c>
      <c r="B7732" s="66" t="str">
        <f>IF('Thirty-First'!B235="", "",'Thirty-First'!B235)</f>
        <v/>
      </c>
      <c r="C7732" s="67" t="str">
        <f>IF('Thirty-First'!C235="", "",'Thirty-First'!C235)</f>
        <v/>
      </c>
      <c r="D7732" s="67" t="str">
        <f>IF('Thirty-First'!D235="", "",'Thirty-First'!D235)</f>
        <v/>
      </c>
      <c r="E7732" s="67" t="str">
        <f>IF('Thirty-First'!E235="", "",'Thirty-First'!E235)</f>
        <v/>
      </c>
      <c r="F7732" s="67" t="str">
        <f>IF('Thirty-First'!F235="", "",'Thirty-First'!F235)</f>
        <v/>
      </c>
      <c r="G7732" s="67" t="str">
        <f>IF('Thirty-First'!G235="", "",'Thirty-First'!G235)</f>
        <v/>
      </c>
      <c r="H7732" s="67" t="str">
        <f>IF('Thirty-First'!H235="", "",'Thirty-First'!H235)</f>
        <v/>
      </c>
      <c r="I7732" s="67" t="str">
        <f>IF('Thirty-First'!I235="", "",'Thirty-First'!I235)</f>
        <v/>
      </c>
      <c r="J7732" s="67" t="str">
        <f>IF('Thirty-First'!J235="", "",'Thirty-First'!J235)</f>
        <v/>
      </c>
      <c r="K7732" s="76" t="str">
        <f>IF('Thirty-First'!K235="", "",'Thirty-First'!K235)</f>
        <v/>
      </c>
      <c r="M7732" s="67" t="str">
        <f t="shared" si="371"/>
        <v/>
      </c>
      <c r="N7732" s="76" t="str">
        <f t="shared" si="372"/>
        <v/>
      </c>
      <c r="O7732" s="33">
        <f t="shared" si="373"/>
        <v>0</v>
      </c>
    </row>
    <row r="7733" spans="1:15" x14ac:dyDescent="0.25">
      <c r="A7733" s="94" t="s">
        <v>197</v>
      </c>
      <c r="B7733" s="66" t="str">
        <f>IF('Thirty-First'!B236="", "",'Thirty-First'!B236)</f>
        <v/>
      </c>
      <c r="C7733" s="67" t="str">
        <f>IF('Thirty-First'!C236="", "",'Thirty-First'!C236)</f>
        <v/>
      </c>
      <c r="D7733" s="67" t="str">
        <f>IF('Thirty-First'!D236="", "",'Thirty-First'!D236)</f>
        <v/>
      </c>
      <c r="E7733" s="67" t="str">
        <f>IF('Thirty-First'!E236="", "",'Thirty-First'!E236)</f>
        <v/>
      </c>
      <c r="F7733" s="67" t="str">
        <f>IF('Thirty-First'!F236="", "",'Thirty-First'!F236)</f>
        <v/>
      </c>
      <c r="G7733" s="67" t="str">
        <f>IF('Thirty-First'!G236="", "",'Thirty-First'!G236)</f>
        <v/>
      </c>
      <c r="H7733" s="67" t="str">
        <f>IF('Thirty-First'!H236="", "",'Thirty-First'!H236)</f>
        <v/>
      </c>
      <c r="I7733" s="67" t="str">
        <f>IF('Thirty-First'!I236="", "",'Thirty-First'!I236)</f>
        <v/>
      </c>
      <c r="J7733" s="67" t="str">
        <f>IF('Thirty-First'!J236="", "",'Thirty-First'!J236)</f>
        <v/>
      </c>
      <c r="K7733" s="76" t="str">
        <f>IF('Thirty-First'!K236="", "",'Thirty-First'!K236)</f>
        <v/>
      </c>
      <c r="M7733" s="67" t="str">
        <f t="shared" si="371"/>
        <v/>
      </c>
      <c r="N7733" s="76" t="str">
        <f t="shared" si="372"/>
        <v/>
      </c>
      <c r="O7733" s="33">
        <f t="shared" si="373"/>
        <v>0</v>
      </c>
    </row>
    <row r="7734" spans="1:15" x14ac:dyDescent="0.25">
      <c r="A7734" s="94" t="s">
        <v>197</v>
      </c>
      <c r="B7734" s="66" t="str">
        <f>IF('Thirty-First'!B237="", "",'Thirty-First'!B237)</f>
        <v/>
      </c>
      <c r="C7734" s="67" t="str">
        <f>IF('Thirty-First'!C237="", "",'Thirty-First'!C237)</f>
        <v/>
      </c>
      <c r="D7734" s="67" t="str">
        <f>IF('Thirty-First'!D237="", "",'Thirty-First'!D237)</f>
        <v/>
      </c>
      <c r="E7734" s="67" t="str">
        <f>IF('Thirty-First'!E237="", "",'Thirty-First'!E237)</f>
        <v/>
      </c>
      <c r="F7734" s="67" t="str">
        <f>IF('Thirty-First'!F237="", "",'Thirty-First'!F237)</f>
        <v/>
      </c>
      <c r="G7734" s="67" t="str">
        <f>IF('Thirty-First'!G237="", "",'Thirty-First'!G237)</f>
        <v/>
      </c>
      <c r="H7734" s="67" t="str">
        <f>IF('Thirty-First'!H237="", "",'Thirty-First'!H237)</f>
        <v/>
      </c>
      <c r="I7734" s="67" t="str">
        <f>IF('Thirty-First'!I237="", "",'Thirty-First'!I237)</f>
        <v/>
      </c>
      <c r="J7734" s="67" t="str">
        <f>IF('Thirty-First'!J237="", "",'Thirty-First'!J237)</f>
        <v/>
      </c>
      <c r="K7734" s="76" t="str">
        <f>IF('Thirty-First'!K237="", "",'Thirty-First'!K237)</f>
        <v/>
      </c>
      <c r="M7734" s="67" t="str">
        <f t="shared" si="371"/>
        <v/>
      </c>
      <c r="N7734" s="76" t="str">
        <f t="shared" si="372"/>
        <v/>
      </c>
      <c r="O7734" s="33">
        <f t="shared" si="373"/>
        <v>0</v>
      </c>
    </row>
    <row r="7735" spans="1:15" x14ac:dyDescent="0.25">
      <c r="A7735" s="94" t="s">
        <v>197</v>
      </c>
      <c r="B7735" s="66" t="str">
        <f>IF('Thirty-First'!B238="", "",'Thirty-First'!B238)</f>
        <v/>
      </c>
      <c r="C7735" s="67" t="str">
        <f>IF('Thirty-First'!C238="", "",'Thirty-First'!C238)</f>
        <v/>
      </c>
      <c r="D7735" s="67" t="str">
        <f>IF('Thirty-First'!D238="", "",'Thirty-First'!D238)</f>
        <v/>
      </c>
      <c r="E7735" s="67" t="str">
        <f>IF('Thirty-First'!E238="", "",'Thirty-First'!E238)</f>
        <v/>
      </c>
      <c r="F7735" s="67" t="str">
        <f>IF('Thirty-First'!F238="", "",'Thirty-First'!F238)</f>
        <v/>
      </c>
      <c r="G7735" s="67" t="str">
        <f>IF('Thirty-First'!G238="", "",'Thirty-First'!G238)</f>
        <v/>
      </c>
      <c r="H7735" s="67" t="str">
        <f>IF('Thirty-First'!H238="", "",'Thirty-First'!H238)</f>
        <v/>
      </c>
      <c r="I7735" s="67" t="str">
        <f>IF('Thirty-First'!I238="", "",'Thirty-First'!I238)</f>
        <v/>
      </c>
      <c r="J7735" s="67" t="str">
        <f>IF('Thirty-First'!J238="", "",'Thirty-First'!J238)</f>
        <v/>
      </c>
      <c r="K7735" s="76" t="str">
        <f>IF('Thirty-First'!K238="", "",'Thirty-First'!K238)</f>
        <v/>
      </c>
      <c r="M7735" s="67" t="str">
        <f t="shared" si="371"/>
        <v/>
      </c>
      <c r="N7735" s="76" t="str">
        <f t="shared" si="372"/>
        <v/>
      </c>
      <c r="O7735" s="33">
        <f t="shared" si="373"/>
        <v>0</v>
      </c>
    </row>
    <row r="7736" spans="1:15" x14ac:dyDescent="0.25">
      <c r="A7736" s="94" t="s">
        <v>197</v>
      </c>
      <c r="B7736" s="66" t="str">
        <f>IF('Thirty-First'!B239="", "",'Thirty-First'!B239)</f>
        <v/>
      </c>
      <c r="C7736" s="67" t="str">
        <f>IF('Thirty-First'!C239="", "",'Thirty-First'!C239)</f>
        <v/>
      </c>
      <c r="D7736" s="67" t="str">
        <f>IF('Thirty-First'!D239="", "",'Thirty-First'!D239)</f>
        <v/>
      </c>
      <c r="E7736" s="67" t="str">
        <f>IF('Thirty-First'!E239="", "",'Thirty-First'!E239)</f>
        <v/>
      </c>
      <c r="F7736" s="67" t="str">
        <f>IF('Thirty-First'!F239="", "",'Thirty-First'!F239)</f>
        <v/>
      </c>
      <c r="G7736" s="67" t="str">
        <f>IF('Thirty-First'!G239="", "",'Thirty-First'!G239)</f>
        <v/>
      </c>
      <c r="H7736" s="67" t="str">
        <f>IF('Thirty-First'!H239="", "",'Thirty-First'!H239)</f>
        <v/>
      </c>
      <c r="I7736" s="67" t="str">
        <f>IF('Thirty-First'!I239="", "",'Thirty-First'!I239)</f>
        <v/>
      </c>
      <c r="J7736" s="67" t="str">
        <f>IF('Thirty-First'!J239="", "",'Thirty-First'!J239)</f>
        <v/>
      </c>
      <c r="K7736" s="76" t="str">
        <f>IF('Thirty-First'!K239="", "",'Thirty-First'!K239)</f>
        <v/>
      </c>
      <c r="M7736" s="67" t="str">
        <f t="shared" si="371"/>
        <v/>
      </c>
      <c r="N7736" s="76" t="str">
        <f t="shared" si="372"/>
        <v/>
      </c>
      <c r="O7736" s="33">
        <f t="shared" si="373"/>
        <v>0</v>
      </c>
    </row>
    <row r="7737" spans="1:15" x14ac:dyDescent="0.25">
      <c r="A7737" s="94" t="s">
        <v>197</v>
      </c>
      <c r="B7737" s="66" t="str">
        <f>IF('Thirty-First'!B240="", "",'Thirty-First'!B240)</f>
        <v/>
      </c>
      <c r="C7737" s="67" t="str">
        <f>IF('Thirty-First'!C240="", "",'Thirty-First'!C240)</f>
        <v/>
      </c>
      <c r="D7737" s="67" t="str">
        <f>IF('Thirty-First'!D240="", "",'Thirty-First'!D240)</f>
        <v/>
      </c>
      <c r="E7737" s="67" t="str">
        <f>IF('Thirty-First'!E240="", "",'Thirty-First'!E240)</f>
        <v/>
      </c>
      <c r="F7737" s="67" t="str">
        <f>IF('Thirty-First'!F240="", "",'Thirty-First'!F240)</f>
        <v/>
      </c>
      <c r="G7737" s="67" t="str">
        <f>IF('Thirty-First'!G240="", "",'Thirty-First'!G240)</f>
        <v/>
      </c>
      <c r="H7737" s="67" t="str">
        <f>IF('Thirty-First'!H240="", "",'Thirty-First'!H240)</f>
        <v/>
      </c>
      <c r="I7737" s="67" t="str">
        <f>IF('Thirty-First'!I240="", "",'Thirty-First'!I240)</f>
        <v/>
      </c>
      <c r="J7737" s="67" t="str">
        <f>IF('Thirty-First'!J240="", "",'Thirty-First'!J240)</f>
        <v/>
      </c>
      <c r="K7737" s="76" t="str">
        <f>IF('Thirty-First'!K240="", "",'Thirty-First'!K240)</f>
        <v/>
      </c>
      <c r="M7737" s="67" t="str">
        <f t="shared" si="371"/>
        <v/>
      </c>
      <c r="N7737" s="76" t="str">
        <f t="shared" si="372"/>
        <v/>
      </c>
      <c r="O7737" s="33">
        <f t="shared" si="373"/>
        <v>0</v>
      </c>
    </row>
    <row r="7738" spans="1:15" x14ac:dyDescent="0.25">
      <c r="A7738" s="94" t="s">
        <v>197</v>
      </c>
      <c r="B7738" s="66" t="str">
        <f>IF('Thirty-First'!B241="", "",'Thirty-First'!B241)</f>
        <v/>
      </c>
      <c r="C7738" s="67" t="str">
        <f>IF('Thirty-First'!C241="", "",'Thirty-First'!C241)</f>
        <v/>
      </c>
      <c r="D7738" s="67" t="str">
        <f>IF('Thirty-First'!D241="", "",'Thirty-First'!D241)</f>
        <v/>
      </c>
      <c r="E7738" s="67" t="str">
        <f>IF('Thirty-First'!E241="", "",'Thirty-First'!E241)</f>
        <v/>
      </c>
      <c r="F7738" s="67" t="str">
        <f>IF('Thirty-First'!F241="", "",'Thirty-First'!F241)</f>
        <v/>
      </c>
      <c r="G7738" s="67" t="str">
        <f>IF('Thirty-First'!G241="", "",'Thirty-First'!G241)</f>
        <v/>
      </c>
      <c r="H7738" s="67" t="str">
        <f>IF('Thirty-First'!H241="", "",'Thirty-First'!H241)</f>
        <v/>
      </c>
      <c r="I7738" s="67" t="str">
        <f>IF('Thirty-First'!I241="", "",'Thirty-First'!I241)</f>
        <v/>
      </c>
      <c r="J7738" s="67" t="str">
        <f>IF('Thirty-First'!J241="", "",'Thirty-First'!J241)</f>
        <v/>
      </c>
      <c r="K7738" s="76" t="str">
        <f>IF('Thirty-First'!K241="", "",'Thirty-First'!K241)</f>
        <v/>
      </c>
      <c r="M7738" s="67" t="str">
        <f t="shared" si="371"/>
        <v/>
      </c>
      <c r="N7738" s="76" t="str">
        <f t="shared" si="372"/>
        <v/>
      </c>
      <c r="O7738" s="33">
        <f t="shared" si="373"/>
        <v>0</v>
      </c>
    </row>
    <row r="7739" spans="1:15" x14ac:dyDescent="0.25">
      <c r="A7739" s="94" t="s">
        <v>197</v>
      </c>
      <c r="B7739" s="66" t="str">
        <f>IF('Thirty-First'!B242="", "",'Thirty-First'!B242)</f>
        <v/>
      </c>
      <c r="C7739" s="67" t="str">
        <f>IF('Thirty-First'!C242="", "",'Thirty-First'!C242)</f>
        <v/>
      </c>
      <c r="D7739" s="67" t="str">
        <f>IF('Thirty-First'!D242="", "",'Thirty-First'!D242)</f>
        <v/>
      </c>
      <c r="E7739" s="67" t="str">
        <f>IF('Thirty-First'!E242="", "",'Thirty-First'!E242)</f>
        <v/>
      </c>
      <c r="F7739" s="67" t="str">
        <f>IF('Thirty-First'!F242="", "",'Thirty-First'!F242)</f>
        <v/>
      </c>
      <c r="G7739" s="67" t="str">
        <f>IF('Thirty-First'!G242="", "",'Thirty-First'!G242)</f>
        <v/>
      </c>
      <c r="H7739" s="67" t="str">
        <f>IF('Thirty-First'!H242="", "",'Thirty-First'!H242)</f>
        <v/>
      </c>
      <c r="I7739" s="67" t="str">
        <f>IF('Thirty-First'!I242="", "",'Thirty-First'!I242)</f>
        <v/>
      </c>
      <c r="J7739" s="67" t="str">
        <f>IF('Thirty-First'!J242="", "",'Thirty-First'!J242)</f>
        <v/>
      </c>
      <c r="K7739" s="76" t="str">
        <f>IF('Thirty-First'!K242="", "",'Thirty-First'!K242)</f>
        <v/>
      </c>
      <c r="M7739" s="67" t="str">
        <f t="shared" si="371"/>
        <v/>
      </c>
      <c r="N7739" s="76" t="str">
        <f t="shared" si="372"/>
        <v/>
      </c>
      <c r="O7739" s="33">
        <f t="shared" si="373"/>
        <v>0</v>
      </c>
    </row>
    <row r="7740" spans="1:15" x14ac:dyDescent="0.25">
      <c r="A7740" s="94" t="s">
        <v>197</v>
      </c>
      <c r="B7740" s="66" t="str">
        <f>IF('Thirty-First'!B243="", "",'Thirty-First'!B243)</f>
        <v/>
      </c>
      <c r="C7740" s="67" t="str">
        <f>IF('Thirty-First'!C243="", "",'Thirty-First'!C243)</f>
        <v/>
      </c>
      <c r="D7740" s="67" t="str">
        <f>IF('Thirty-First'!D243="", "",'Thirty-First'!D243)</f>
        <v/>
      </c>
      <c r="E7740" s="67" t="str">
        <f>IF('Thirty-First'!E243="", "",'Thirty-First'!E243)</f>
        <v/>
      </c>
      <c r="F7740" s="67" t="str">
        <f>IF('Thirty-First'!F243="", "",'Thirty-First'!F243)</f>
        <v/>
      </c>
      <c r="G7740" s="67" t="str">
        <f>IF('Thirty-First'!G243="", "",'Thirty-First'!G243)</f>
        <v/>
      </c>
      <c r="H7740" s="67" t="str">
        <f>IF('Thirty-First'!H243="", "",'Thirty-First'!H243)</f>
        <v/>
      </c>
      <c r="I7740" s="67" t="str">
        <f>IF('Thirty-First'!I243="", "",'Thirty-First'!I243)</f>
        <v/>
      </c>
      <c r="J7740" s="67" t="str">
        <f>IF('Thirty-First'!J243="", "",'Thirty-First'!J243)</f>
        <v/>
      </c>
      <c r="K7740" s="76" t="str">
        <f>IF('Thirty-First'!K243="", "",'Thirty-First'!K243)</f>
        <v/>
      </c>
      <c r="M7740" s="67" t="str">
        <f t="shared" si="371"/>
        <v/>
      </c>
      <c r="N7740" s="76" t="str">
        <f t="shared" si="372"/>
        <v/>
      </c>
      <c r="O7740" s="33">
        <f t="shared" si="373"/>
        <v>0</v>
      </c>
    </row>
    <row r="7741" spans="1:15" x14ac:dyDescent="0.25">
      <c r="A7741" s="94" t="s">
        <v>197</v>
      </c>
      <c r="B7741" s="66" t="str">
        <f>IF('Thirty-First'!B244="", "",'Thirty-First'!B244)</f>
        <v/>
      </c>
      <c r="C7741" s="67" t="str">
        <f>IF('Thirty-First'!C244="", "",'Thirty-First'!C244)</f>
        <v/>
      </c>
      <c r="D7741" s="67" t="str">
        <f>IF('Thirty-First'!D244="", "",'Thirty-First'!D244)</f>
        <v/>
      </c>
      <c r="E7741" s="67" t="str">
        <f>IF('Thirty-First'!E244="", "",'Thirty-First'!E244)</f>
        <v/>
      </c>
      <c r="F7741" s="67" t="str">
        <f>IF('Thirty-First'!F244="", "",'Thirty-First'!F244)</f>
        <v/>
      </c>
      <c r="G7741" s="67" t="str">
        <f>IF('Thirty-First'!G244="", "",'Thirty-First'!G244)</f>
        <v/>
      </c>
      <c r="H7741" s="67" t="str">
        <f>IF('Thirty-First'!H244="", "",'Thirty-First'!H244)</f>
        <v/>
      </c>
      <c r="I7741" s="67" t="str">
        <f>IF('Thirty-First'!I244="", "",'Thirty-First'!I244)</f>
        <v/>
      </c>
      <c r="J7741" s="67" t="str">
        <f>IF('Thirty-First'!J244="", "",'Thirty-First'!J244)</f>
        <v/>
      </c>
      <c r="K7741" s="76" t="str">
        <f>IF('Thirty-First'!K244="", "",'Thirty-First'!K244)</f>
        <v/>
      </c>
      <c r="M7741" s="67" t="str">
        <f t="shared" si="371"/>
        <v/>
      </c>
      <c r="N7741" s="76" t="str">
        <f t="shared" si="372"/>
        <v/>
      </c>
      <c r="O7741" s="33">
        <f t="shared" si="373"/>
        <v>0</v>
      </c>
    </row>
    <row r="7742" spans="1:15" x14ac:dyDescent="0.25">
      <c r="A7742" s="94" t="s">
        <v>197</v>
      </c>
      <c r="B7742" s="66" t="str">
        <f>IF('Thirty-First'!B245="", "",'Thirty-First'!B245)</f>
        <v/>
      </c>
      <c r="C7742" s="67" t="str">
        <f>IF('Thirty-First'!C245="", "",'Thirty-First'!C245)</f>
        <v/>
      </c>
      <c r="D7742" s="67" t="str">
        <f>IF('Thirty-First'!D245="", "",'Thirty-First'!D245)</f>
        <v/>
      </c>
      <c r="E7742" s="67" t="str">
        <f>IF('Thirty-First'!E245="", "",'Thirty-First'!E245)</f>
        <v/>
      </c>
      <c r="F7742" s="67" t="str">
        <f>IF('Thirty-First'!F245="", "",'Thirty-First'!F245)</f>
        <v/>
      </c>
      <c r="G7742" s="67" t="str">
        <f>IF('Thirty-First'!G245="", "",'Thirty-First'!G245)</f>
        <v/>
      </c>
      <c r="H7742" s="67" t="str">
        <f>IF('Thirty-First'!H245="", "",'Thirty-First'!H245)</f>
        <v/>
      </c>
      <c r="I7742" s="67" t="str">
        <f>IF('Thirty-First'!I245="", "",'Thirty-First'!I245)</f>
        <v/>
      </c>
      <c r="J7742" s="67" t="str">
        <f>IF('Thirty-First'!J245="", "",'Thirty-First'!J245)</f>
        <v/>
      </c>
      <c r="K7742" s="76" t="str">
        <f>IF('Thirty-First'!K245="", "",'Thirty-First'!K245)</f>
        <v/>
      </c>
      <c r="M7742" s="67" t="str">
        <f t="shared" si="371"/>
        <v/>
      </c>
      <c r="N7742" s="76" t="str">
        <f t="shared" si="372"/>
        <v/>
      </c>
      <c r="O7742" s="33">
        <f t="shared" si="373"/>
        <v>0</v>
      </c>
    </row>
    <row r="7743" spans="1:15" x14ac:dyDescent="0.25">
      <c r="A7743" s="94" t="s">
        <v>197</v>
      </c>
      <c r="B7743" s="66" t="str">
        <f>IF('Thirty-First'!B246="", "",'Thirty-First'!B246)</f>
        <v/>
      </c>
      <c r="C7743" s="67" t="str">
        <f>IF('Thirty-First'!C246="", "",'Thirty-First'!C246)</f>
        <v/>
      </c>
      <c r="D7743" s="67" t="str">
        <f>IF('Thirty-First'!D246="", "",'Thirty-First'!D246)</f>
        <v/>
      </c>
      <c r="E7743" s="67" t="str">
        <f>IF('Thirty-First'!E246="", "",'Thirty-First'!E246)</f>
        <v/>
      </c>
      <c r="F7743" s="67" t="str">
        <f>IF('Thirty-First'!F246="", "",'Thirty-First'!F246)</f>
        <v/>
      </c>
      <c r="G7743" s="67" t="str">
        <f>IF('Thirty-First'!G246="", "",'Thirty-First'!G246)</f>
        <v/>
      </c>
      <c r="H7743" s="67" t="str">
        <f>IF('Thirty-First'!H246="", "",'Thirty-First'!H246)</f>
        <v/>
      </c>
      <c r="I7743" s="67" t="str">
        <f>IF('Thirty-First'!I246="", "",'Thirty-First'!I246)</f>
        <v/>
      </c>
      <c r="J7743" s="67" t="str">
        <f>IF('Thirty-First'!J246="", "",'Thirty-First'!J246)</f>
        <v/>
      </c>
      <c r="K7743" s="76" t="str">
        <f>IF('Thirty-First'!K246="", "",'Thirty-First'!K246)</f>
        <v/>
      </c>
      <c r="M7743" s="67" t="str">
        <f t="shared" si="371"/>
        <v/>
      </c>
      <c r="N7743" s="76" t="str">
        <f t="shared" si="372"/>
        <v/>
      </c>
      <c r="O7743" s="33">
        <f t="shared" si="373"/>
        <v>0</v>
      </c>
    </row>
    <row r="7744" spans="1:15" x14ac:dyDescent="0.25">
      <c r="A7744" s="94" t="s">
        <v>197</v>
      </c>
      <c r="B7744" s="66" t="str">
        <f>IF('Thirty-First'!B247="", "",'Thirty-First'!B247)</f>
        <v/>
      </c>
      <c r="C7744" s="67" t="str">
        <f>IF('Thirty-First'!C247="", "",'Thirty-First'!C247)</f>
        <v/>
      </c>
      <c r="D7744" s="67" t="str">
        <f>IF('Thirty-First'!D247="", "",'Thirty-First'!D247)</f>
        <v/>
      </c>
      <c r="E7744" s="67" t="str">
        <f>IF('Thirty-First'!E247="", "",'Thirty-First'!E247)</f>
        <v/>
      </c>
      <c r="F7744" s="67" t="str">
        <f>IF('Thirty-First'!F247="", "",'Thirty-First'!F247)</f>
        <v/>
      </c>
      <c r="G7744" s="67" t="str">
        <f>IF('Thirty-First'!G247="", "",'Thirty-First'!G247)</f>
        <v/>
      </c>
      <c r="H7744" s="67" t="str">
        <f>IF('Thirty-First'!H247="", "",'Thirty-First'!H247)</f>
        <v/>
      </c>
      <c r="I7744" s="67" t="str">
        <f>IF('Thirty-First'!I247="", "",'Thirty-First'!I247)</f>
        <v/>
      </c>
      <c r="J7744" s="67" t="str">
        <f>IF('Thirty-First'!J247="", "",'Thirty-First'!J247)</f>
        <v/>
      </c>
      <c r="K7744" s="76" t="str">
        <f>IF('Thirty-First'!K247="", "",'Thirty-First'!K247)</f>
        <v/>
      </c>
      <c r="M7744" s="67" t="str">
        <f t="shared" si="371"/>
        <v/>
      </c>
      <c r="N7744" s="76" t="str">
        <f t="shared" si="372"/>
        <v/>
      </c>
      <c r="O7744" s="33">
        <f t="shared" si="373"/>
        <v>0</v>
      </c>
    </row>
    <row r="7745" spans="1:15" x14ac:dyDescent="0.25">
      <c r="A7745" s="94" t="s">
        <v>197</v>
      </c>
      <c r="B7745" s="66" t="str">
        <f>IF('Thirty-First'!B248="", "",'Thirty-First'!B248)</f>
        <v/>
      </c>
      <c r="C7745" s="67" t="str">
        <f>IF('Thirty-First'!C248="", "",'Thirty-First'!C248)</f>
        <v/>
      </c>
      <c r="D7745" s="67" t="str">
        <f>IF('Thirty-First'!D248="", "",'Thirty-First'!D248)</f>
        <v/>
      </c>
      <c r="E7745" s="67" t="str">
        <f>IF('Thirty-First'!E248="", "",'Thirty-First'!E248)</f>
        <v/>
      </c>
      <c r="F7745" s="67" t="str">
        <f>IF('Thirty-First'!F248="", "",'Thirty-First'!F248)</f>
        <v/>
      </c>
      <c r="G7745" s="67" t="str">
        <f>IF('Thirty-First'!G248="", "",'Thirty-First'!G248)</f>
        <v/>
      </c>
      <c r="H7745" s="67" t="str">
        <f>IF('Thirty-First'!H248="", "",'Thirty-First'!H248)</f>
        <v/>
      </c>
      <c r="I7745" s="67" t="str">
        <f>IF('Thirty-First'!I248="", "",'Thirty-First'!I248)</f>
        <v/>
      </c>
      <c r="J7745" s="67" t="str">
        <f>IF('Thirty-First'!J248="", "",'Thirty-First'!J248)</f>
        <v/>
      </c>
      <c r="K7745" s="76" t="str">
        <f>IF('Thirty-First'!K248="", "",'Thirty-First'!K248)</f>
        <v/>
      </c>
      <c r="M7745" s="67" t="str">
        <f t="shared" si="371"/>
        <v/>
      </c>
      <c r="N7745" s="76" t="str">
        <f t="shared" si="372"/>
        <v/>
      </c>
      <c r="O7745" s="33">
        <f t="shared" si="373"/>
        <v>0</v>
      </c>
    </row>
    <row r="7746" spans="1:15" x14ac:dyDescent="0.25">
      <c r="A7746" s="94" t="s">
        <v>197</v>
      </c>
      <c r="B7746" s="66" t="str">
        <f>IF('Thirty-First'!B249="", "",'Thirty-First'!B249)</f>
        <v/>
      </c>
      <c r="C7746" s="67" t="str">
        <f>IF('Thirty-First'!C249="", "",'Thirty-First'!C249)</f>
        <v/>
      </c>
      <c r="D7746" s="67" t="str">
        <f>IF('Thirty-First'!D249="", "",'Thirty-First'!D249)</f>
        <v/>
      </c>
      <c r="E7746" s="67" t="str">
        <f>IF('Thirty-First'!E249="", "",'Thirty-First'!E249)</f>
        <v/>
      </c>
      <c r="F7746" s="67" t="str">
        <f>IF('Thirty-First'!F249="", "",'Thirty-First'!F249)</f>
        <v/>
      </c>
      <c r="G7746" s="67" t="str">
        <f>IF('Thirty-First'!G249="", "",'Thirty-First'!G249)</f>
        <v/>
      </c>
      <c r="H7746" s="67" t="str">
        <f>IF('Thirty-First'!H249="", "",'Thirty-First'!H249)</f>
        <v/>
      </c>
      <c r="I7746" s="67" t="str">
        <f>IF('Thirty-First'!I249="", "",'Thirty-First'!I249)</f>
        <v/>
      </c>
      <c r="J7746" s="67" t="str">
        <f>IF('Thirty-First'!J249="", "",'Thirty-First'!J249)</f>
        <v/>
      </c>
      <c r="K7746" s="76" t="str">
        <f>IF('Thirty-First'!K249="", "",'Thirty-First'!K249)</f>
        <v/>
      </c>
      <c r="M7746" s="67" t="str">
        <f t="shared" si="371"/>
        <v/>
      </c>
      <c r="N7746" s="76" t="str">
        <f t="shared" si="372"/>
        <v/>
      </c>
      <c r="O7746" s="33">
        <f t="shared" si="373"/>
        <v>0</v>
      </c>
    </row>
    <row r="7747" spans="1:15" x14ac:dyDescent="0.25">
      <c r="A7747" s="94" t="s">
        <v>197</v>
      </c>
      <c r="B7747" s="66" t="str">
        <f>IF('Thirty-First'!B250="", "",'Thirty-First'!B250)</f>
        <v/>
      </c>
      <c r="C7747" s="67" t="str">
        <f>IF('Thirty-First'!C250="", "",'Thirty-First'!C250)</f>
        <v/>
      </c>
      <c r="D7747" s="67" t="str">
        <f>IF('Thirty-First'!D250="", "",'Thirty-First'!D250)</f>
        <v/>
      </c>
      <c r="E7747" s="67" t="str">
        <f>IF('Thirty-First'!E250="", "",'Thirty-First'!E250)</f>
        <v/>
      </c>
      <c r="F7747" s="67" t="str">
        <f>IF('Thirty-First'!F250="", "",'Thirty-First'!F250)</f>
        <v/>
      </c>
      <c r="G7747" s="67" t="str">
        <f>IF('Thirty-First'!G250="", "",'Thirty-First'!G250)</f>
        <v/>
      </c>
      <c r="H7747" s="67" t="str">
        <f>IF('Thirty-First'!H250="", "",'Thirty-First'!H250)</f>
        <v/>
      </c>
      <c r="I7747" s="67" t="str">
        <f>IF('Thirty-First'!I250="", "",'Thirty-First'!I250)</f>
        <v/>
      </c>
      <c r="J7747" s="67" t="str">
        <f>IF('Thirty-First'!J250="", "",'Thirty-First'!J250)</f>
        <v/>
      </c>
      <c r="K7747" s="76" t="str">
        <f>IF('Thirty-First'!K250="", "",'Thirty-First'!K250)</f>
        <v/>
      </c>
      <c r="M7747" s="67" t="str">
        <f t="shared" si="371"/>
        <v/>
      </c>
      <c r="N7747" s="76" t="str">
        <f t="shared" si="372"/>
        <v/>
      </c>
      <c r="O7747" s="33">
        <f t="shared" si="373"/>
        <v>0</v>
      </c>
    </row>
    <row r="7748" spans="1:15" x14ac:dyDescent="0.25">
      <c r="A7748" s="94" t="s">
        <v>197</v>
      </c>
      <c r="B7748" s="66" t="str">
        <f>IF('Thirty-First'!B251="", "",'Thirty-First'!B251)</f>
        <v/>
      </c>
      <c r="C7748" s="67" t="str">
        <f>IF('Thirty-First'!C251="", "",'Thirty-First'!C251)</f>
        <v/>
      </c>
      <c r="D7748" s="67" t="str">
        <f>IF('Thirty-First'!D251="", "",'Thirty-First'!D251)</f>
        <v/>
      </c>
      <c r="E7748" s="67" t="str">
        <f>IF('Thirty-First'!E251="", "",'Thirty-First'!E251)</f>
        <v/>
      </c>
      <c r="F7748" s="67" t="str">
        <f>IF('Thirty-First'!F251="", "",'Thirty-First'!F251)</f>
        <v/>
      </c>
      <c r="G7748" s="67" t="str">
        <f>IF('Thirty-First'!G251="", "",'Thirty-First'!G251)</f>
        <v/>
      </c>
      <c r="H7748" s="67" t="str">
        <f>IF('Thirty-First'!H251="", "",'Thirty-First'!H251)</f>
        <v/>
      </c>
      <c r="I7748" s="67" t="str">
        <f>IF('Thirty-First'!I251="", "",'Thirty-First'!I251)</f>
        <v/>
      </c>
      <c r="J7748" s="67" t="str">
        <f>IF('Thirty-First'!J251="", "",'Thirty-First'!J251)</f>
        <v/>
      </c>
      <c r="K7748" s="76" t="str">
        <f>IF('Thirty-First'!K251="", "",'Thirty-First'!K251)</f>
        <v/>
      </c>
      <c r="M7748" s="67" t="str">
        <f t="shared" si="371"/>
        <v/>
      </c>
      <c r="N7748" s="76" t="str">
        <f t="shared" si="372"/>
        <v/>
      </c>
      <c r="O7748" s="33">
        <f t="shared" si="373"/>
        <v>0</v>
      </c>
    </row>
    <row r="7749" spans="1:15" x14ac:dyDescent="0.25">
      <c r="A7749" s="94" t="s">
        <v>197</v>
      </c>
      <c r="B7749" s="66" t="str">
        <f>IF('Thirty-First'!B252="", "",'Thirty-First'!B252)</f>
        <v/>
      </c>
      <c r="C7749" s="67" t="str">
        <f>IF('Thirty-First'!C252="", "",'Thirty-First'!C252)</f>
        <v/>
      </c>
      <c r="D7749" s="67" t="str">
        <f>IF('Thirty-First'!D252="", "",'Thirty-First'!D252)</f>
        <v/>
      </c>
      <c r="E7749" s="67" t="str">
        <f>IF('Thirty-First'!E252="", "",'Thirty-First'!E252)</f>
        <v/>
      </c>
      <c r="F7749" s="67" t="str">
        <f>IF('Thirty-First'!F252="", "",'Thirty-First'!F252)</f>
        <v/>
      </c>
      <c r="G7749" s="67" t="str">
        <f>IF('Thirty-First'!G252="", "",'Thirty-First'!G252)</f>
        <v/>
      </c>
      <c r="H7749" s="67" t="str">
        <f>IF('Thirty-First'!H252="", "",'Thirty-First'!H252)</f>
        <v/>
      </c>
      <c r="I7749" s="67" t="str">
        <f>IF('Thirty-First'!I252="", "",'Thirty-First'!I252)</f>
        <v/>
      </c>
      <c r="J7749" s="67" t="str">
        <f>IF('Thirty-First'!J252="", "",'Thirty-First'!J252)</f>
        <v/>
      </c>
      <c r="K7749" s="76" t="str">
        <f>IF('Thirty-First'!K252="", "",'Thirty-First'!K252)</f>
        <v/>
      </c>
      <c r="M7749" s="67" t="str">
        <f t="shared" si="371"/>
        <v/>
      </c>
      <c r="N7749" s="76" t="str">
        <f t="shared" si="372"/>
        <v/>
      </c>
      <c r="O7749" s="33">
        <f t="shared" si="373"/>
        <v>0</v>
      </c>
    </row>
    <row r="7750" spans="1:15" x14ac:dyDescent="0.25">
      <c r="A7750" s="94" t="s">
        <v>197</v>
      </c>
      <c r="B7750" s="66" t="str">
        <f>IF('Thirty-First'!B253="", "",'Thirty-First'!B253)</f>
        <v/>
      </c>
      <c r="C7750" s="67" t="str">
        <f>IF('Thirty-First'!C253="", "",'Thirty-First'!C253)</f>
        <v/>
      </c>
      <c r="D7750" s="67" t="str">
        <f>IF('Thirty-First'!D253="", "",'Thirty-First'!D253)</f>
        <v/>
      </c>
      <c r="E7750" s="67" t="str">
        <f>IF('Thirty-First'!E253="", "",'Thirty-First'!E253)</f>
        <v/>
      </c>
      <c r="F7750" s="67" t="str">
        <f>IF('Thirty-First'!F253="", "",'Thirty-First'!F253)</f>
        <v/>
      </c>
      <c r="G7750" s="67" t="str">
        <f>IF('Thirty-First'!G253="", "",'Thirty-First'!G253)</f>
        <v/>
      </c>
      <c r="H7750" s="67" t="str">
        <f>IF('Thirty-First'!H253="", "",'Thirty-First'!H253)</f>
        <v/>
      </c>
      <c r="I7750" s="67" t="str">
        <f>IF('Thirty-First'!I253="", "",'Thirty-First'!I253)</f>
        <v/>
      </c>
      <c r="J7750" s="67" t="str">
        <f>IF('Thirty-First'!J253="", "",'Thirty-First'!J253)</f>
        <v/>
      </c>
      <c r="K7750" s="76" t="str">
        <f>IF('Thirty-First'!K253="", "",'Thirty-First'!K253)</f>
        <v/>
      </c>
      <c r="M7750" s="67" t="str">
        <f t="shared" si="371"/>
        <v/>
      </c>
      <c r="N7750" s="76" t="str">
        <f t="shared" si="372"/>
        <v/>
      </c>
      <c r="O7750" s="33">
        <f t="shared" si="373"/>
        <v>0</v>
      </c>
    </row>
    <row r="7751" spans="1:15" ht="15.75" thickBot="1" x14ac:dyDescent="0.3">
      <c r="A7751" s="95" t="s">
        <v>197</v>
      </c>
      <c r="B7751" s="70" t="str">
        <f>IF('Thirty-First'!B254="", "",'Thirty-First'!B254)</f>
        <v/>
      </c>
      <c r="C7751" s="71" t="str">
        <f>IF('Thirty-First'!C254="", "",'Thirty-First'!C254)</f>
        <v/>
      </c>
      <c r="D7751" s="71" t="str">
        <f>IF('Thirty-First'!D254="", "",'Thirty-First'!D254)</f>
        <v/>
      </c>
      <c r="E7751" s="71" t="str">
        <f>IF('Thirty-First'!E254="", "",'Thirty-First'!E254)</f>
        <v/>
      </c>
      <c r="F7751" s="71" t="str">
        <f>IF('Thirty-First'!F254="", "",'Thirty-First'!F254)</f>
        <v/>
      </c>
      <c r="G7751" s="71" t="str">
        <f>IF('Thirty-First'!G254="", "",'Thirty-First'!G254)</f>
        <v/>
      </c>
      <c r="H7751" s="71" t="str">
        <f>IF('Thirty-First'!H254="", "",'Thirty-First'!H254)</f>
        <v/>
      </c>
      <c r="I7751" s="71" t="str">
        <f>IF('Thirty-First'!I254="", "",'Thirty-First'!I254)</f>
        <v/>
      </c>
      <c r="J7751" s="71" t="str">
        <f>IF('Thirty-First'!J254="", "",'Thirty-First'!J254)</f>
        <v/>
      </c>
      <c r="K7751" s="77" t="str">
        <f>IF('Thirty-First'!K254="", "",'Thirty-First'!K254)</f>
        <v/>
      </c>
      <c r="L7751" s="91"/>
      <c r="M7751" s="71" t="str">
        <f t="shared" si="371"/>
        <v/>
      </c>
      <c r="N7751" s="77" t="str">
        <f t="shared" si="372"/>
        <v/>
      </c>
      <c r="O7751" s="71">
        <f t="shared" si="373"/>
        <v>0</v>
      </c>
    </row>
    <row r="7752" spans="1:15" x14ac:dyDescent="0.25">
      <c r="A7752" s="96"/>
      <c r="B7752" s="97"/>
      <c r="C7752" s="98"/>
      <c r="D7752" s="98"/>
      <c r="E7752" s="98"/>
      <c r="F7752" s="98"/>
      <c r="G7752" s="98"/>
      <c r="H7752" s="98"/>
      <c r="I7752" s="98"/>
      <c r="J7752" s="98"/>
      <c r="K7752" s="99"/>
      <c r="L7752" s="100"/>
      <c r="M7752" s="98"/>
      <c r="N7752" s="99"/>
      <c r="O7752" s="101"/>
    </row>
    <row r="7753" spans="1:15" x14ac:dyDescent="0.25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</row>
    <row r="7754" spans="1:15" x14ac:dyDescent="0.25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</row>
    <row r="7755" spans="1:15" x14ac:dyDescent="0.2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</row>
    <row r="7756" spans="1:15" x14ac:dyDescent="0.25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</row>
    <row r="7757" spans="1:15" x14ac:dyDescent="0.25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</row>
    <row r="7758" spans="1:15" x14ac:dyDescent="0.25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</row>
    <row r="7759" spans="1:15" x14ac:dyDescent="0.25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</row>
    <row r="7760" spans="1:15" x14ac:dyDescent="0.25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</row>
    <row r="7761" spans="1:15" x14ac:dyDescent="0.25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</row>
    <row r="7762" spans="1:15" x14ac:dyDescent="0.25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</row>
    <row r="7763" spans="1:15" x14ac:dyDescent="0.25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</row>
    <row r="7764" spans="1:15" x14ac:dyDescent="0.25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</row>
    <row r="7765" spans="1:15" x14ac:dyDescent="0.2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</row>
    <row r="7766" spans="1:15" x14ac:dyDescent="0.25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</row>
    <row r="7767" spans="1:15" x14ac:dyDescent="0.25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</row>
    <row r="7768" spans="1:15" x14ac:dyDescent="0.25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</row>
    <row r="7769" spans="1:15" x14ac:dyDescent="0.25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</row>
    <row r="7770" spans="1:15" x14ac:dyDescent="0.25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</row>
    <row r="7771" spans="1:15" x14ac:dyDescent="0.25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</row>
    <row r="7772" spans="1:15" x14ac:dyDescent="0.25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</row>
    <row r="7773" spans="1:15" x14ac:dyDescent="0.25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</row>
    <row r="7774" spans="1:15" x14ac:dyDescent="0.25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</row>
    <row r="7775" spans="1:15" x14ac:dyDescent="0.2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</row>
    <row r="7776" spans="1:15" x14ac:dyDescent="0.25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</row>
    <row r="7777" spans="1:15" x14ac:dyDescent="0.25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</row>
    <row r="7778" spans="1:15" x14ac:dyDescent="0.25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</row>
    <row r="7779" spans="1:15" x14ac:dyDescent="0.25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</row>
    <row r="7780" spans="1:15" x14ac:dyDescent="0.25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</row>
    <row r="7781" spans="1:15" x14ac:dyDescent="0.25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</row>
    <row r="7782" spans="1:15" x14ac:dyDescent="0.25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</row>
    <row r="7783" spans="1:15" x14ac:dyDescent="0.25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</row>
    <row r="7784" spans="1:15" x14ac:dyDescent="0.25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</row>
    <row r="7785" spans="1:15" x14ac:dyDescent="0.2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</row>
    <row r="7786" spans="1:15" x14ac:dyDescent="0.25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</row>
    <row r="7787" spans="1:15" x14ac:dyDescent="0.25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</row>
    <row r="7788" spans="1:15" x14ac:dyDescent="0.25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</row>
    <row r="7789" spans="1:15" x14ac:dyDescent="0.25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</row>
    <row r="7790" spans="1:15" x14ac:dyDescent="0.25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</row>
    <row r="7791" spans="1:15" x14ac:dyDescent="0.25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</row>
    <row r="7792" spans="1:15" x14ac:dyDescent="0.25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</row>
    <row r="7793" spans="1:15" x14ac:dyDescent="0.25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</row>
    <row r="7794" spans="1:15" x14ac:dyDescent="0.25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</row>
    <row r="7795" spans="1:15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</row>
    <row r="7796" spans="1:15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</row>
    <row r="7797" spans="1:15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</row>
    <row r="7798" spans="1:15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</row>
    <row r="7799" spans="1:15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</row>
    <row r="7800" spans="1:15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</row>
    <row r="7801" spans="1:15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</row>
    <row r="7802" spans="1:15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</row>
    <row r="7803" spans="1:15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</row>
    <row r="7804" spans="1:15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</row>
    <row r="7805" spans="1:15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</row>
    <row r="7806" spans="1:15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</row>
    <row r="7807" spans="1:15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</row>
    <row r="7808" spans="1:15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</row>
    <row r="7809" spans="1:15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</row>
    <row r="7810" spans="1:15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</row>
    <row r="7811" spans="1:15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</row>
    <row r="7812" spans="1:15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</row>
    <row r="7813" spans="1:15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</row>
    <row r="7814" spans="1:15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</row>
    <row r="7815" spans="1:15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</row>
    <row r="7816" spans="1:15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</row>
    <row r="7817" spans="1:15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</row>
    <row r="7818" spans="1:15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</row>
    <row r="7819" spans="1:15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</row>
    <row r="7820" spans="1:15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</row>
    <row r="7821" spans="1:15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</row>
    <row r="7822" spans="1:15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</row>
    <row r="7823" spans="1:15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</row>
    <row r="7824" spans="1:15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</row>
    <row r="7825" spans="1:15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</row>
    <row r="7826" spans="1:15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</row>
    <row r="7827" spans="1:15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</row>
    <row r="7828" spans="1:15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</row>
    <row r="7829" spans="1:15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</row>
    <row r="7830" spans="1:15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</row>
    <row r="7831" spans="1:15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</row>
    <row r="7832" spans="1:15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</row>
    <row r="7833" spans="1:15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</row>
    <row r="7834" spans="1:15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</row>
    <row r="7835" spans="1:15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</row>
    <row r="7836" spans="1:15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</row>
    <row r="7837" spans="1:15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</row>
    <row r="7838" spans="1:15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</row>
    <row r="7839" spans="1:15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</row>
    <row r="7840" spans="1:15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</row>
    <row r="7841" spans="1:15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</row>
    <row r="7842" spans="1:15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</row>
    <row r="7843" spans="1:15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</row>
    <row r="7844" spans="1:15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</row>
    <row r="7845" spans="1:15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</row>
    <row r="7846" spans="1:15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</row>
    <row r="7847" spans="1:15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</row>
    <row r="7848" spans="1:15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</row>
    <row r="7849" spans="1:15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</row>
    <row r="7850" spans="1:15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</row>
    <row r="7851" spans="1:15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</row>
    <row r="7852" spans="1:15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</row>
    <row r="7853" spans="1:15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</row>
    <row r="7854" spans="1:15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</row>
    <row r="7855" spans="1:15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</row>
    <row r="7856" spans="1:15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</row>
    <row r="7857" spans="1:15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</row>
    <row r="7858" spans="1:15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</row>
    <row r="7859" spans="1:15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</row>
    <row r="7860" spans="1:15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</row>
    <row r="7861" spans="1:15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</row>
    <row r="7862" spans="1:15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</row>
    <row r="7863" spans="1:15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</row>
    <row r="7864" spans="1:15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</row>
    <row r="7865" spans="1:15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</row>
    <row r="7866" spans="1:15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</row>
    <row r="7867" spans="1:15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</row>
    <row r="7868" spans="1:15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</row>
    <row r="7869" spans="1:15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</row>
    <row r="7870" spans="1:15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</row>
    <row r="7871" spans="1:15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</row>
    <row r="7872" spans="1:15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</row>
    <row r="7873" spans="1:15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</row>
    <row r="7874" spans="1:15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</row>
    <row r="7875" spans="1:15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</row>
    <row r="7876" spans="1:15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</row>
    <row r="7877" spans="1:15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</row>
    <row r="7878" spans="1:15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</row>
    <row r="7879" spans="1:15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</row>
    <row r="7880" spans="1:15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</row>
    <row r="7881" spans="1:15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</row>
    <row r="7882" spans="1:15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</row>
    <row r="7883" spans="1:15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</row>
    <row r="7884" spans="1:15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</row>
    <row r="7885" spans="1:15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</row>
    <row r="7886" spans="1:15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</row>
    <row r="7887" spans="1:15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</row>
    <row r="7888" spans="1:15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</row>
    <row r="7889" spans="1:15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</row>
    <row r="7890" spans="1:15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</row>
    <row r="7891" spans="1:15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</row>
    <row r="7892" spans="1:15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</row>
    <row r="7893" spans="1:15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</row>
    <row r="7894" spans="1:15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</row>
    <row r="7895" spans="1:15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</row>
    <row r="7896" spans="1:15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</row>
    <row r="7897" spans="1:15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</row>
    <row r="7898" spans="1:15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</row>
    <row r="7899" spans="1:15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</row>
    <row r="7900" spans="1:15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</row>
    <row r="7901" spans="1:15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</row>
    <row r="7902" spans="1:15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</row>
    <row r="7903" spans="1:15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</row>
    <row r="7904" spans="1:15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</row>
    <row r="7905" spans="1:15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</row>
    <row r="7906" spans="1:15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</row>
    <row r="7907" spans="1:15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</row>
    <row r="7908" spans="1:15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</row>
    <row r="7909" spans="1:15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</row>
    <row r="7910" spans="1:15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</row>
    <row r="7911" spans="1:15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</row>
    <row r="7912" spans="1:15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</row>
    <row r="7913" spans="1:15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</row>
    <row r="7914" spans="1:15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</row>
    <row r="7915" spans="1:15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</row>
    <row r="7916" spans="1:15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</row>
    <row r="7917" spans="1:15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</row>
    <row r="7918" spans="1:15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</row>
    <row r="7919" spans="1:15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</row>
    <row r="7920" spans="1:15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</row>
    <row r="7921" spans="1:15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</row>
    <row r="7922" spans="1:15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</row>
    <row r="7923" spans="1:15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</row>
    <row r="7924" spans="1:15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</row>
    <row r="7925" spans="1:15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</row>
    <row r="7926" spans="1:15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</row>
    <row r="7927" spans="1:15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</row>
    <row r="7928" spans="1:15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</row>
    <row r="7929" spans="1:15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</row>
    <row r="7930" spans="1:15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</row>
    <row r="7931" spans="1:15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</row>
    <row r="7932" spans="1:15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</row>
    <row r="7933" spans="1:15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</row>
    <row r="7934" spans="1:15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</row>
    <row r="7935" spans="1:15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</row>
    <row r="7936" spans="1:15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</row>
    <row r="7937" spans="1:15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</row>
    <row r="7938" spans="1:15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</row>
    <row r="7939" spans="1:15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</row>
    <row r="7940" spans="1:15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</row>
    <row r="7941" spans="1:15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</row>
    <row r="7942" spans="1:15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</row>
    <row r="7943" spans="1:15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</row>
    <row r="7944" spans="1:15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</row>
    <row r="7945" spans="1:15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</row>
    <row r="7946" spans="1:15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</row>
    <row r="7947" spans="1:15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</row>
    <row r="7948" spans="1:15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</row>
    <row r="7949" spans="1:15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</row>
    <row r="7950" spans="1:15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</row>
    <row r="7951" spans="1:15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</row>
    <row r="7952" spans="1:15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</row>
    <row r="7953" spans="1:15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</row>
    <row r="7954" spans="1:15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</row>
    <row r="7955" spans="1:15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</row>
    <row r="7956" spans="1:15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</row>
    <row r="7957" spans="1:15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</row>
    <row r="7958" spans="1:15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</row>
    <row r="7959" spans="1:15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</row>
    <row r="7960" spans="1:15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</row>
    <row r="7961" spans="1:15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</row>
    <row r="7962" spans="1:15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</row>
    <row r="7963" spans="1:15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</row>
    <row r="7964" spans="1:15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</row>
    <row r="7965" spans="1:15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</row>
    <row r="7966" spans="1:15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</row>
    <row r="7967" spans="1:15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</row>
    <row r="7968" spans="1:15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</row>
    <row r="7969" spans="1:15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</row>
    <row r="7970" spans="1:15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</row>
    <row r="7971" spans="1:15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</row>
    <row r="7972" spans="1:15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</row>
    <row r="7973" spans="1:15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</row>
    <row r="7974" spans="1:15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</row>
    <row r="7975" spans="1:15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</row>
    <row r="7976" spans="1:15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</row>
    <row r="7977" spans="1:15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</row>
    <row r="7978" spans="1:15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</row>
    <row r="7979" spans="1:15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</row>
    <row r="7980" spans="1:15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</row>
    <row r="7981" spans="1:15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</row>
    <row r="7982" spans="1:15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</row>
    <row r="7983" spans="1:15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</row>
    <row r="7984" spans="1:15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</row>
    <row r="7985" spans="1:15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</row>
    <row r="7986" spans="1:15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</row>
    <row r="7987" spans="1:15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</row>
    <row r="7988" spans="1:15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</row>
    <row r="7989" spans="1:15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</row>
    <row r="7990" spans="1:15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</row>
    <row r="7991" spans="1:15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</row>
    <row r="7992" spans="1:15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</row>
    <row r="7993" spans="1:15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</row>
    <row r="7994" spans="1:15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</row>
    <row r="7995" spans="1:15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</row>
    <row r="7996" spans="1:15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</row>
    <row r="7997" spans="1:15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</row>
    <row r="7998" spans="1:15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</row>
    <row r="7999" spans="1:15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</row>
    <row r="8000" spans="1:15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</row>
    <row r="8001" spans="1:15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</row>
    <row r="8002" spans="1:15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</row>
    <row r="8003" spans="1:15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</row>
    <row r="8004" spans="1:15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</row>
    <row r="8005" spans="1:15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</row>
    <row r="8006" spans="1:15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</row>
    <row r="8007" spans="1:15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</row>
    <row r="8008" spans="1:15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</row>
    <row r="8009" spans="1:15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</row>
    <row r="8010" spans="1:15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</row>
    <row r="8011" spans="1:15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</row>
    <row r="8012" spans="1:15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</row>
    <row r="8013" spans="1:15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</row>
    <row r="8014" spans="1:15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</row>
    <row r="8015" spans="1:15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</row>
    <row r="8016" spans="1:15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</row>
    <row r="8017" spans="1:15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</row>
    <row r="8018" spans="1:15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</row>
    <row r="8019" spans="1:15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</row>
    <row r="8020" spans="1:15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</row>
    <row r="8021" spans="1:15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</row>
    <row r="8022" spans="1:15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</row>
    <row r="8023" spans="1:15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</row>
    <row r="8024" spans="1:15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</row>
    <row r="8025" spans="1:15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</row>
    <row r="8026" spans="1:15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</row>
    <row r="8027" spans="1:15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</row>
    <row r="8028" spans="1:15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</row>
    <row r="8029" spans="1:15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</row>
    <row r="8030" spans="1:15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</row>
    <row r="8031" spans="1:15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</row>
    <row r="8032" spans="1:15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</row>
    <row r="8033" spans="1:15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</row>
    <row r="8034" spans="1:15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</row>
    <row r="8035" spans="1:15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</row>
    <row r="8036" spans="1:15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</row>
    <row r="8037" spans="1:15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</row>
    <row r="8038" spans="1:15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</row>
    <row r="8039" spans="1:15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</row>
    <row r="8040" spans="1:15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</row>
    <row r="8041" spans="1:15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</row>
    <row r="8042" spans="1:15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</row>
    <row r="8043" spans="1:15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</row>
    <row r="8044" spans="1:15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</row>
    <row r="8045" spans="1:15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</row>
    <row r="8046" spans="1:15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</row>
    <row r="8047" spans="1:15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</row>
    <row r="8048" spans="1:15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</row>
    <row r="8049" spans="1:15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</row>
    <row r="8050" spans="1:15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</row>
    <row r="8051" spans="1:15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</row>
    <row r="8052" spans="1:15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</row>
    <row r="8053" spans="1:15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</row>
    <row r="8054" spans="1:15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</row>
    <row r="8055" spans="1:15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</row>
    <row r="8056" spans="1:15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</row>
    <row r="8057" spans="1:15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</row>
    <row r="8058" spans="1:15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</row>
    <row r="8059" spans="1:15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</row>
    <row r="8060" spans="1:15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</row>
    <row r="8061" spans="1:15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</row>
    <row r="8062" spans="1:15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</row>
    <row r="8063" spans="1:15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</row>
    <row r="8064" spans="1:15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</row>
    <row r="8065" spans="1:15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</row>
    <row r="8066" spans="1:15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</row>
    <row r="8067" spans="1:15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</row>
    <row r="8068" spans="1:15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</row>
    <row r="8069" spans="1:15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</row>
    <row r="8070" spans="1:15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</row>
    <row r="8071" spans="1:15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</row>
    <row r="8072" spans="1:15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</row>
    <row r="8073" spans="1:15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</row>
    <row r="8074" spans="1:15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</row>
    <row r="8075" spans="1:15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</row>
    <row r="8076" spans="1:15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</row>
    <row r="8077" spans="1:15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</row>
    <row r="8078" spans="1:15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</row>
    <row r="8079" spans="1:15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</row>
    <row r="8080" spans="1:15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</row>
    <row r="8081" spans="1:15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</row>
    <row r="8082" spans="1:15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</row>
    <row r="8083" spans="1:15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</row>
    <row r="8084" spans="1:15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</row>
    <row r="8085" spans="1:15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</row>
    <row r="8086" spans="1:15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</row>
    <row r="8087" spans="1:15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</row>
    <row r="8088" spans="1:15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</row>
    <row r="8089" spans="1:15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</row>
    <row r="8090" spans="1:15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</row>
    <row r="8091" spans="1:15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</row>
    <row r="8092" spans="1:15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</row>
    <row r="8093" spans="1:15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</row>
    <row r="8094" spans="1:15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</row>
    <row r="8095" spans="1:15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</row>
    <row r="8096" spans="1:15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</row>
    <row r="8097" spans="1:15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</row>
    <row r="8098" spans="1:15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</row>
    <row r="8099" spans="1:15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</row>
    <row r="8100" spans="1:15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</row>
    <row r="8101" spans="1:15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</row>
    <row r="8102" spans="1:15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</row>
    <row r="8103" spans="1:15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</row>
    <row r="8104" spans="1:15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</row>
    <row r="8105" spans="1:15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</row>
    <row r="8106" spans="1:15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</row>
    <row r="8107" spans="1:15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</row>
    <row r="8108" spans="1:15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</row>
    <row r="8109" spans="1:15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</row>
    <row r="8110" spans="1:15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</row>
    <row r="8111" spans="1:15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</row>
    <row r="8112" spans="1:15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</row>
    <row r="8113" spans="1:15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</row>
    <row r="8114" spans="1:15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</row>
    <row r="8115" spans="1:15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</row>
    <row r="8116" spans="1:15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</row>
    <row r="8117" spans="1:15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</row>
    <row r="8118" spans="1:15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</row>
    <row r="8119" spans="1:15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</row>
    <row r="8120" spans="1:15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</row>
    <row r="8121" spans="1:15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</row>
    <row r="8122" spans="1:15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</row>
    <row r="8123" spans="1:15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</row>
    <row r="8124" spans="1:15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</row>
    <row r="8125" spans="1:15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</row>
    <row r="8126" spans="1:15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</row>
    <row r="8127" spans="1:15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</row>
    <row r="8128" spans="1:15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</row>
    <row r="8129" spans="1:15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</row>
    <row r="8130" spans="1:15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</row>
    <row r="8131" spans="1:15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</row>
    <row r="8132" spans="1:15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</row>
    <row r="8133" spans="1:15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</row>
    <row r="8134" spans="1:15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</row>
    <row r="8135" spans="1:15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</row>
    <row r="8136" spans="1:15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</row>
    <row r="8137" spans="1:15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</row>
    <row r="8138" spans="1:15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</row>
    <row r="8139" spans="1:15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</row>
    <row r="8140" spans="1:15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</row>
    <row r="8141" spans="1:15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</row>
    <row r="8142" spans="1:15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</row>
    <row r="8143" spans="1:15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</row>
    <row r="8144" spans="1:15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</row>
    <row r="8145" spans="1:15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</row>
    <row r="8146" spans="1:15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</row>
    <row r="8147" spans="1:15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</row>
    <row r="8148" spans="1:15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</row>
    <row r="8149" spans="1:15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</row>
    <row r="8150" spans="1:15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</row>
    <row r="8151" spans="1:15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</row>
    <row r="8152" spans="1:15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</row>
    <row r="8153" spans="1:15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</row>
    <row r="8154" spans="1:15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</row>
    <row r="8155" spans="1:15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</row>
    <row r="8156" spans="1:15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</row>
    <row r="8157" spans="1:15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</row>
    <row r="8158" spans="1:15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</row>
    <row r="8159" spans="1:15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</row>
    <row r="8160" spans="1:15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</row>
    <row r="8161" spans="1:15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</row>
    <row r="8162" spans="1:15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</row>
    <row r="8163" spans="1:15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</row>
    <row r="8164" spans="1:15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</row>
    <row r="8165" spans="1:15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</row>
    <row r="8166" spans="1:15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</row>
    <row r="8167" spans="1:15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</row>
    <row r="8168" spans="1:15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</row>
    <row r="8169" spans="1:15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</row>
    <row r="8170" spans="1:15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</row>
    <row r="8171" spans="1:15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</row>
    <row r="8172" spans="1:15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</row>
    <row r="8173" spans="1:15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</row>
    <row r="8174" spans="1:15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</row>
    <row r="8175" spans="1:15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</row>
    <row r="8176" spans="1:15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</row>
    <row r="8177" spans="1:15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</row>
    <row r="8178" spans="1:15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</row>
    <row r="8179" spans="1:15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</row>
    <row r="8180" spans="1:15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</row>
    <row r="8181" spans="1:15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</row>
    <row r="8182" spans="1:15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</row>
    <row r="8183" spans="1:15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</row>
    <row r="8184" spans="1:15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</row>
    <row r="8185" spans="1:15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</row>
    <row r="8186" spans="1:15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</row>
    <row r="8187" spans="1:15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</row>
    <row r="8188" spans="1:15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</row>
    <row r="8189" spans="1:15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</row>
    <row r="8190" spans="1:15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</row>
    <row r="8191" spans="1:15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</row>
    <row r="8192" spans="1:15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</row>
    <row r="8193" spans="1:15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</row>
    <row r="8194" spans="1:15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</row>
    <row r="8195" spans="1:15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</row>
    <row r="8196" spans="1:15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</row>
    <row r="8197" spans="1:15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</row>
    <row r="8198" spans="1:15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</row>
    <row r="8199" spans="1:15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</row>
    <row r="8200" spans="1:15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</row>
    <row r="8201" spans="1:15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</row>
    <row r="8202" spans="1:15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</row>
    <row r="8203" spans="1:15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</row>
    <row r="8204" spans="1:15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</row>
    <row r="8205" spans="1:15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</row>
    <row r="8206" spans="1:15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</row>
    <row r="8207" spans="1:15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</row>
    <row r="8208" spans="1:15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</row>
    <row r="8209" spans="1:15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</row>
    <row r="8210" spans="1:15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</row>
    <row r="8211" spans="1:15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</row>
    <row r="8212" spans="1:15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</row>
    <row r="8213" spans="1:15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</row>
    <row r="8214" spans="1:15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</row>
    <row r="8215" spans="1:15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</row>
    <row r="8216" spans="1:15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</row>
    <row r="8217" spans="1:15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</row>
    <row r="8218" spans="1:15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</row>
    <row r="8219" spans="1:15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</row>
    <row r="8220" spans="1:15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</row>
    <row r="8221" spans="1:15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</row>
    <row r="8222" spans="1:15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</row>
    <row r="8223" spans="1:15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</row>
    <row r="8224" spans="1:15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</row>
    <row r="8225" spans="1:15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</row>
    <row r="8226" spans="1:15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</row>
    <row r="8227" spans="1:15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</row>
    <row r="8228" spans="1:15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</row>
    <row r="8229" spans="1:15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</row>
    <row r="8230" spans="1:15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</row>
    <row r="8231" spans="1:15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</row>
    <row r="8232" spans="1:15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</row>
    <row r="8233" spans="1:15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</row>
    <row r="8234" spans="1:15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</row>
    <row r="8235" spans="1:15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</row>
    <row r="8236" spans="1:15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</row>
    <row r="8237" spans="1:15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</row>
    <row r="8238" spans="1:15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</row>
    <row r="8239" spans="1:15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</row>
    <row r="8240" spans="1:15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</row>
    <row r="8241" spans="1:15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</row>
    <row r="8242" spans="1:15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</row>
    <row r="8243" spans="1:15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</row>
    <row r="8244" spans="1:15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</row>
    <row r="8245" spans="1:15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</row>
    <row r="8246" spans="1:15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</row>
    <row r="8247" spans="1:15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</row>
    <row r="8248" spans="1:15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</row>
    <row r="8249" spans="1:15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</row>
    <row r="8250" spans="1:15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</row>
    <row r="8251" spans="1:15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</row>
    <row r="8252" spans="1:15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</row>
    <row r="8253" spans="1:15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</row>
    <row r="8254" spans="1:15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</row>
    <row r="8255" spans="1:15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</row>
    <row r="8256" spans="1:15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</row>
    <row r="8257" spans="1:15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</row>
    <row r="8258" spans="1:15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</row>
    <row r="8259" spans="1:15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</row>
    <row r="8260" spans="1:15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</row>
    <row r="8261" spans="1:15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</row>
    <row r="8262" spans="1:15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</row>
    <row r="8263" spans="1:15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</row>
    <row r="8264" spans="1:15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</row>
    <row r="8265" spans="1:15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</row>
    <row r="8266" spans="1:15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</row>
    <row r="8267" spans="1:15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</row>
    <row r="8268" spans="1:15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</row>
    <row r="8269" spans="1:15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</row>
    <row r="8270" spans="1:15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</row>
    <row r="8271" spans="1:15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</row>
    <row r="8272" spans="1:15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</row>
    <row r="8273" spans="1:15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</row>
    <row r="8274" spans="1:15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</row>
    <row r="8275" spans="1:15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</row>
    <row r="8276" spans="1:15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</row>
    <row r="8277" spans="1:15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</row>
    <row r="8278" spans="1:15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</row>
    <row r="8279" spans="1:15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</row>
    <row r="8280" spans="1:15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</row>
    <row r="8281" spans="1:15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</row>
    <row r="8282" spans="1:15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</row>
    <row r="8283" spans="1:15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</row>
    <row r="8284" spans="1:15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</row>
    <row r="8285" spans="1:15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</row>
    <row r="8286" spans="1:15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</row>
    <row r="8287" spans="1:15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</row>
    <row r="8288" spans="1:15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</row>
    <row r="8289" spans="1:15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</row>
    <row r="8290" spans="1:15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</row>
    <row r="8291" spans="1:15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</row>
    <row r="8292" spans="1:15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</row>
    <row r="8293" spans="1:15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</row>
    <row r="8294" spans="1:15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</row>
    <row r="8295" spans="1:15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</row>
    <row r="8296" spans="1:15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</row>
    <row r="8297" spans="1:15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</row>
    <row r="8298" spans="1:15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</row>
    <row r="8299" spans="1:15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</row>
    <row r="8300" spans="1:15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</row>
    <row r="8301" spans="1:15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</row>
    <row r="8302" spans="1:15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</row>
    <row r="8303" spans="1:15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</row>
    <row r="8304" spans="1:15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</row>
    <row r="8305" spans="1:15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</row>
    <row r="8306" spans="1:15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</row>
    <row r="8307" spans="1:15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</row>
    <row r="8308" spans="1:15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</row>
    <row r="8309" spans="1:15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</row>
    <row r="8310" spans="1:15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</row>
    <row r="8311" spans="1:15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</row>
    <row r="8312" spans="1:15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</row>
    <row r="8313" spans="1:15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</row>
    <row r="8314" spans="1:15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</row>
    <row r="8315" spans="1:15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</row>
    <row r="8316" spans="1:15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</row>
    <row r="8317" spans="1:15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</row>
    <row r="8318" spans="1:15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</row>
    <row r="8319" spans="1:15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</row>
    <row r="8320" spans="1:15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</row>
    <row r="8321" spans="1:15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</row>
    <row r="8322" spans="1:15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</row>
    <row r="8323" spans="1:15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</row>
    <row r="8324" spans="1:15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</row>
    <row r="8325" spans="1:15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</row>
    <row r="8326" spans="1:15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</row>
    <row r="8327" spans="1:15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</row>
    <row r="8328" spans="1:15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</row>
    <row r="8329" spans="1:15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</row>
    <row r="8330" spans="1:15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</row>
    <row r="8331" spans="1:15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</row>
    <row r="8332" spans="1:15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</row>
    <row r="8333" spans="1:15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</row>
    <row r="8334" spans="1:15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</row>
    <row r="8335" spans="1:15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</row>
    <row r="8336" spans="1:15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</row>
    <row r="8337" spans="1:15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</row>
    <row r="8338" spans="1:15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</row>
    <row r="8339" spans="1:15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</row>
    <row r="8340" spans="1:15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</row>
    <row r="8341" spans="1:15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</row>
    <row r="8342" spans="1:15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</row>
    <row r="8343" spans="1:15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</row>
    <row r="8344" spans="1:15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</row>
    <row r="8345" spans="1:15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</row>
    <row r="8346" spans="1:15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</row>
    <row r="8347" spans="1:15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</row>
    <row r="8348" spans="1:15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</row>
    <row r="8349" spans="1:15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</row>
    <row r="8350" spans="1:15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</row>
    <row r="8351" spans="1:15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</row>
    <row r="8352" spans="1:15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</row>
    <row r="8353" spans="1:15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</row>
    <row r="8354" spans="1:15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</row>
    <row r="8355" spans="1:15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</row>
    <row r="8356" spans="1:15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</row>
    <row r="8357" spans="1:15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</row>
    <row r="8358" spans="1:15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</row>
    <row r="8359" spans="1:15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</row>
    <row r="8360" spans="1:15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</row>
    <row r="8361" spans="1:15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</row>
    <row r="8362" spans="1:15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</row>
    <row r="8363" spans="1:15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</row>
    <row r="8364" spans="1:15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</row>
    <row r="8365" spans="1:15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</row>
    <row r="8366" spans="1:15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</row>
    <row r="8367" spans="1:15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</row>
    <row r="8368" spans="1:15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</row>
    <row r="8369" spans="1:15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</row>
    <row r="8370" spans="1:15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</row>
    <row r="8371" spans="1:15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</row>
    <row r="8372" spans="1:15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</row>
    <row r="8373" spans="1:15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</row>
    <row r="8374" spans="1:15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</row>
    <row r="8375" spans="1:15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</row>
    <row r="8376" spans="1:15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</row>
    <row r="8377" spans="1:15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</row>
    <row r="8378" spans="1:15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</row>
    <row r="8379" spans="1:15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</row>
    <row r="8380" spans="1:15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</row>
    <row r="8381" spans="1:15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</row>
    <row r="8382" spans="1:15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</row>
    <row r="8383" spans="1:15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</row>
    <row r="8384" spans="1:15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</row>
    <row r="8385" spans="1:15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</row>
    <row r="8386" spans="1:15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</row>
    <row r="8387" spans="1:15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</row>
    <row r="8388" spans="1:15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</row>
    <row r="8389" spans="1:15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</row>
    <row r="8390" spans="1:15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</row>
    <row r="8391" spans="1:15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</row>
    <row r="8392" spans="1:15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</row>
    <row r="8393" spans="1:15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</row>
    <row r="8394" spans="1:15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</row>
    <row r="8395" spans="1:15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</row>
    <row r="8396" spans="1:15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</row>
    <row r="8397" spans="1:15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</row>
    <row r="8398" spans="1:15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</row>
    <row r="8399" spans="1:15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</row>
    <row r="8400" spans="1:15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</row>
    <row r="8401" spans="1:15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</row>
    <row r="8402" spans="1:15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</row>
    <row r="8403" spans="1:15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</row>
    <row r="8404" spans="1:15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</row>
    <row r="8405" spans="1:15" x14ac:dyDescent="0.2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</row>
    <row r="8406" spans="1:15" x14ac:dyDescent="0.25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</row>
    <row r="8407" spans="1:15" x14ac:dyDescent="0.25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</row>
    <row r="8408" spans="1:15" x14ac:dyDescent="0.25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</row>
    <row r="8409" spans="1:15" x14ac:dyDescent="0.25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</row>
    <row r="8410" spans="1:15" x14ac:dyDescent="0.25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</row>
    <row r="8411" spans="1:15" x14ac:dyDescent="0.25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</row>
    <row r="8412" spans="1:15" x14ac:dyDescent="0.25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</row>
    <row r="8413" spans="1:15" x14ac:dyDescent="0.25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</row>
    <row r="8414" spans="1:15" x14ac:dyDescent="0.25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</row>
    <row r="8415" spans="1:15" x14ac:dyDescent="0.2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</row>
    <row r="8416" spans="1:15" x14ac:dyDescent="0.25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</row>
    <row r="8417" spans="1:15" x14ac:dyDescent="0.25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</row>
    <row r="8418" spans="1:15" x14ac:dyDescent="0.25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</row>
    <row r="8419" spans="1:15" x14ac:dyDescent="0.25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</row>
    <row r="8420" spans="1:15" x14ac:dyDescent="0.25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</row>
    <row r="8421" spans="1:15" x14ac:dyDescent="0.25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</row>
    <row r="8422" spans="1:15" x14ac:dyDescent="0.25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</row>
    <row r="8423" spans="1:15" x14ac:dyDescent="0.25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</row>
    <row r="8424" spans="1:15" x14ac:dyDescent="0.25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</row>
    <row r="8425" spans="1:15" x14ac:dyDescent="0.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</row>
    <row r="8426" spans="1:15" x14ac:dyDescent="0.25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</row>
    <row r="8427" spans="1:15" x14ac:dyDescent="0.25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</row>
    <row r="8428" spans="1:15" x14ac:dyDescent="0.25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</row>
    <row r="8429" spans="1:15" x14ac:dyDescent="0.25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</row>
    <row r="8430" spans="1:15" x14ac:dyDescent="0.25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</row>
    <row r="8431" spans="1:15" x14ac:dyDescent="0.25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</row>
    <row r="8432" spans="1:15" x14ac:dyDescent="0.25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</row>
    <row r="8433" spans="1:15" x14ac:dyDescent="0.25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</row>
    <row r="8434" spans="1:15" x14ac:dyDescent="0.25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</row>
    <row r="8435" spans="1:15" x14ac:dyDescent="0.2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</row>
    <row r="8436" spans="1:15" x14ac:dyDescent="0.25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</row>
    <row r="8437" spans="1:15" x14ac:dyDescent="0.25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</row>
    <row r="8438" spans="1:15" x14ac:dyDescent="0.25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</row>
    <row r="8439" spans="1:15" x14ac:dyDescent="0.25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</row>
    <row r="8440" spans="1:15" x14ac:dyDescent="0.25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</row>
    <row r="8441" spans="1:15" x14ac:dyDescent="0.25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</row>
    <row r="8442" spans="1:15" x14ac:dyDescent="0.25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</row>
    <row r="8443" spans="1:15" x14ac:dyDescent="0.25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</row>
    <row r="8444" spans="1:15" x14ac:dyDescent="0.25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</row>
    <row r="8445" spans="1:15" x14ac:dyDescent="0.2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</row>
    <row r="8446" spans="1:15" x14ac:dyDescent="0.25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</row>
    <row r="8447" spans="1:15" x14ac:dyDescent="0.25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</row>
    <row r="8448" spans="1:15" x14ac:dyDescent="0.25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</row>
    <row r="8449" spans="1:15" x14ac:dyDescent="0.25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</row>
    <row r="8450" spans="1:15" x14ac:dyDescent="0.25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</row>
    <row r="8451" spans="1:15" x14ac:dyDescent="0.25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</row>
    <row r="8452" spans="1:15" x14ac:dyDescent="0.25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</row>
    <row r="8453" spans="1:15" x14ac:dyDescent="0.25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</row>
    <row r="8454" spans="1:15" x14ac:dyDescent="0.25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</row>
    <row r="8455" spans="1:15" x14ac:dyDescent="0.2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</row>
    <row r="8456" spans="1:15" x14ac:dyDescent="0.25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</row>
    <row r="8457" spans="1:15" x14ac:dyDescent="0.25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</row>
    <row r="8458" spans="1:15" x14ac:dyDescent="0.25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</row>
    <row r="8459" spans="1:15" x14ac:dyDescent="0.25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</row>
    <row r="8460" spans="1:15" x14ac:dyDescent="0.25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</row>
    <row r="8461" spans="1:15" x14ac:dyDescent="0.25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</row>
    <row r="8462" spans="1:15" x14ac:dyDescent="0.25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</row>
    <row r="8463" spans="1:15" x14ac:dyDescent="0.25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</row>
    <row r="8464" spans="1:15" x14ac:dyDescent="0.25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</row>
    <row r="8465" spans="1:15" x14ac:dyDescent="0.2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</row>
    <row r="8466" spans="1:15" x14ac:dyDescent="0.25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</row>
    <row r="8467" spans="1:15" x14ac:dyDescent="0.25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</row>
    <row r="8468" spans="1:15" x14ac:dyDescent="0.25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</row>
    <row r="8469" spans="1:15" x14ac:dyDescent="0.25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</row>
    <row r="8470" spans="1:15" x14ac:dyDescent="0.25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</row>
    <row r="8471" spans="1:15" x14ac:dyDescent="0.25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</row>
    <row r="8472" spans="1:15" x14ac:dyDescent="0.25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</row>
    <row r="8473" spans="1:15" x14ac:dyDescent="0.25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</row>
    <row r="8474" spans="1:15" x14ac:dyDescent="0.25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</row>
    <row r="8475" spans="1:15" x14ac:dyDescent="0.2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</row>
    <row r="8476" spans="1:15" x14ac:dyDescent="0.25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</row>
    <row r="8477" spans="1:15" x14ac:dyDescent="0.25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</row>
    <row r="8478" spans="1:15" x14ac:dyDescent="0.25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</row>
    <row r="8479" spans="1:15" x14ac:dyDescent="0.25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</row>
    <row r="8480" spans="1:15" x14ac:dyDescent="0.25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</row>
    <row r="8481" spans="1:15" x14ac:dyDescent="0.25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</row>
    <row r="8482" spans="1:15" x14ac:dyDescent="0.25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</row>
    <row r="8483" spans="1:15" x14ac:dyDescent="0.25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</row>
    <row r="8484" spans="1:15" x14ac:dyDescent="0.25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</row>
    <row r="8485" spans="1:15" x14ac:dyDescent="0.2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</row>
    <row r="8486" spans="1:15" x14ac:dyDescent="0.25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</row>
    <row r="8487" spans="1:15" x14ac:dyDescent="0.25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</row>
    <row r="8488" spans="1:15" x14ac:dyDescent="0.25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</row>
    <row r="8489" spans="1:15" x14ac:dyDescent="0.25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</row>
    <row r="8490" spans="1:15" x14ac:dyDescent="0.25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</row>
    <row r="8491" spans="1:15" x14ac:dyDescent="0.25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</row>
    <row r="8492" spans="1:15" x14ac:dyDescent="0.25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</row>
    <row r="8493" spans="1:15" x14ac:dyDescent="0.25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</row>
    <row r="8494" spans="1:15" x14ac:dyDescent="0.25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</row>
    <row r="8495" spans="1:15" x14ac:dyDescent="0.2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</row>
    <row r="8496" spans="1:15" x14ac:dyDescent="0.25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</row>
    <row r="8497" spans="1:15" x14ac:dyDescent="0.25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</row>
    <row r="8498" spans="1:15" x14ac:dyDescent="0.25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</row>
    <row r="8499" spans="1:15" x14ac:dyDescent="0.25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</row>
    <row r="8500" spans="1:15" x14ac:dyDescent="0.25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</row>
    <row r="8501" spans="1:15" x14ac:dyDescent="0.25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</row>
    <row r="8502" spans="1:15" x14ac:dyDescent="0.25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</row>
    <row r="8503" spans="1:15" x14ac:dyDescent="0.25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</row>
    <row r="8504" spans="1:15" x14ac:dyDescent="0.25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</row>
    <row r="8505" spans="1:15" x14ac:dyDescent="0.2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</row>
    <row r="8506" spans="1:15" x14ac:dyDescent="0.25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</row>
    <row r="8507" spans="1:15" x14ac:dyDescent="0.25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</row>
    <row r="8508" spans="1:15" x14ac:dyDescent="0.25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</row>
    <row r="8509" spans="1:15" x14ac:dyDescent="0.25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</row>
    <row r="8510" spans="1:15" x14ac:dyDescent="0.25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</row>
    <row r="8511" spans="1:15" x14ac:dyDescent="0.25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</row>
    <row r="8512" spans="1:15" x14ac:dyDescent="0.25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</row>
    <row r="8513" spans="1:15" x14ac:dyDescent="0.25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</row>
    <row r="8514" spans="1:15" x14ac:dyDescent="0.25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</row>
    <row r="8515" spans="1:15" x14ac:dyDescent="0.2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</row>
    <row r="8516" spans="1:15" x14ac:dyDescent="0.25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</row>
    <row r="8517" spans="1:15" x14ac:dyDescent="0.25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</row>
    <row r="8518" spans="1:15" x14ac:dyDescent="0.25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</row>
    <row r="8519" spans="1:15" x14ac:dyDescent="0.25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</row>
    <row r="8520" spans="1:15" x14ac:dyDescent="0.25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</row>
    <row r="8521" spans="1:15" x14ac:dyDescent="0.25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</row>
    <row r="8522" spans="1:15" x14ac:dyDescent="0.25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</row>
    <row r="8523" spans="1:15" x14ac:dyDescent="0.25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</row>
    <row r="8524" spans="1:15" x14ac:dyDescent="0.25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</row>
    <row r="8525" spans="1:15" x14ac:dyDescent="0.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</row>
    <row r="8526" spans="1:15" x14ac:dyDescent="0.25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</row>
    <row r="8527" spans="1:15" x14ac:dyDescent="0.25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</row>
    <row r="8528" spans="1:15" x14ac:dyDescent="0.25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</row>
    <row r="8529" spans="1:15" x14ac:dyDescent="0.25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</row>
    <row r="8530" spans="1:15" x14ac:dyDescent="0.25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</row>
    <row r="8531" spans="1:15" x14ac:dyDescent="0.25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</row>
    <row r="8532" spans="1:15" x14ac:dyDescent="0.25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</row>
    <row r="8533" spans="1:15" x14ac:dyDescent="0.25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</row>
    <row r="8534" spans="1:15" x14ac:dyDescent="0.25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</row>
    <row r="8535" spans="1:15" x14ac:dyDescent="0.2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</row>
    <row r="8536" spans="1:15" x14ac:dyDescent="0.25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</row>
    <row r="8537" spans="1:15" x14ac:dyDescent="0.25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</row>
    <row r="8538" spans="1:15" x14ac:dyDescent="0.25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</row>
    <row r="8539" spans="1:15" x14ac:dyDescent="0.25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</row>
    <row r="8540" spans="1:15" x14ac:dyDescent="0.25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</row>
    <row r="8541" spans="1:15" x14ac:dyDescent="0.25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</row>
    <row r="8542" spans="1:15" x14ac:dyDescent="0.25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</row>
    <row r="8543" spans="1:15" x14ac:dyDescent="0.25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</row>
    <row r="8544" spans="1:15" x14ac:dyDescent="0.25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</row>
    <row r="8545" spans="1:15" x14ac:dyDescent="0.2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</row>
    <row r="8546" spans="1:15" x14ac:dyDescent="0.25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</row>
    <row r="8547" spans="1:15" x14ac:dyDescent="0.25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</row>
    <row r="8548" spans="1:15" x14ac:dyDescent="0.25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</row>
    <row r="8549" spans="1:15" x14ac:dyDescent="0.25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</row>
    <row r="8550" spans="1:15" x14ac:dyDescent="0.25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</row>
    <row r="8551" spans="1:15" x14ac:dyDescent="0.25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</row>
    <row r="8552" spans="1:15" x14ac:dyDescent="0.25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</row>
    <row r="8553" spans="1:15" x14ac:dyDescent="0.25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</row>
    <row r="8554" spans="1:15" x14ac:dyDescent="0.25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</row>
    <row r="8555" spans="1:15" x14ac:dyDescent="0.2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</row>
    <row r="8556" spans="1:15" x14ac:dyDescent="0.25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</row>
    <row r="8557" spans="1:15" x14ac:dyDescent="0.25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</row>
    <row r="8558" spans="1:15" x14ac:dyDescent="0.25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</row>
    <row r="8559" spans="1:15" x14ac:dyDescent="0.25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</row>
    <row r="8560" spans="1:15" x14ac:dyDescent="0.25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</row>
    <row r="8561" spans="1:15" x14ac:dyDescent="0.25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</row>
    <row r="8562" spans="1:15" x14ac:dyDescent="0.25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</row>
    <row r="8563" spans="1:15" x14ac:dyDescent="0.25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</row>
    <row r="8564" spans="1:15" x14ac:dyDescent="0.25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</row>
    <row r="8565" spans="1:15" x14ac:dyDescent="0.2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</row>
    <row r="8566" spans="1:15" x14ac:dyDescent="0.25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</row>
    <row r="8567" spans="1:15" x14ac:dyDescent="0.25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</row>
    <row r="8568" spans="1:15" x14ac:dyDescent="0.25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</row>
    <row r="8569" spans="1:15" x14ac:dyDescent="0.25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</row>
    <row r="8570" spans="1:15" x14ac:dyDescent="0.25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</row>
    <row r="8571" spans="1:15" x14ac:dyDescent="0.25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</row>
    <row r="8572" spans="1:15" x14ac:dyDescent="0.25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</row>
    <row r="8573" spans="1:15" x14ac:dyDescent="0.25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</row>
    <row r="8574" spans="1:15" x14ac:dyDescent="0.25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</row>
    <row r="8575" spans="1:15" x14ac:dyDescent="0.2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</row>
    <row r="8576" spans="1:15" x14ac:dyDescent="0.25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</row>
    <row r="8577" spans="1:15" x14ac:dyDescent="0.25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</row>
    <row r="8578" spans="1:15" x14ac:dyDescent="0.25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</row>
    <row r="8579" spans="1:15" x14ac:dyDescent="0.25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</row>
    <row r="8580" spans="1:15" x14ac:dyDescent="0.25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</row>
    <row r="8581" spans="1:15" x14ac:dyDescent="0.25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</row>
    <row r="8582" spans="1:15" x14ac:dyDescent="0.25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</row>
    <row r="8583" spans="1:15" x14ac:dyDescent="0.25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</row>
    <row r="8584" spans="1:15" x14ac:dyDescent="0.25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</row>
    <row r="8585" spans="1:15" x14ac:dyDescent="0.2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</row>
    <row r="8586" spans="1:15" x14ac:dyDescent="0.25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</row>
    <row r="8587" spans="1:15" x14ac:dyDescent="0.25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</row>
    <row r="8588" spans="1:15" x14ac:dyDescent="0.25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</row>
    <row r="8589" spans="1:15" x14ac:dyDescent="0.25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</row>
    <row r="8590" spans="1:15" x14ac:dyDescent="0.25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</row>
    <row r="8591" spans="1:15" x14ac:dyDescent="0.25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</row>
    <row r="8592" spans="1:15" x14ac:dyDescent="0.25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</row>
    <row r="8593" spans="1:15" x14ac:dyDescent="0.25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</row>
    <row r="8594" spans="1:15" x14ac:dyDescent="0.25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</row>
    <row r="8595" spans="1:15" x14ac:dyDescent="0.2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</row>
    <row r="8596" spans="1:15" x14ac:dyDescent="0.25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</row>
    <row r="8597" spans="1:15" x14ac:dyDescent="0.25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</row>
    <row r="8598" spans="1:15" x14ac:dyDescent="0.25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</row>
    <row r="8599" spans="1:15" x14ac:dyDescent="0.25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</row>
    <row r="8600" spans="1:15" x14ac:dyDescent="0.25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</row>
    <row r="8601" spans="1:15" x14ac:dyDescent="0.25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</row>
    <row r="8602" spans="1:15" x14ac:dyDescent="0.25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</row>
    <row r="8603" spans="1:15" x14ac:dyDescent="0.25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</row>
    <row r="8604" spans="1:15" x14ac:dyDescent="0.25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</row>
    <row r="8605" spans="1:15" x14ac:dyDescent="0.2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</row>
    <row r="8606" spans="1:15" x14ac:dyDescent="0.25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</row>
    <row r="8607" spans="1:15" x14ac:dyDescent="0.25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</row>
    <row r="8608" spans="1:15" x14ac:dyDescent="0.25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</row>
    <row r="8609" spans="1:15" x14ac:dyDescent="0.25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</row>
    <row r="8610" spans="1:15" x14ac:dyDescent="0.25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</row>
    <row r="8611" spans="1:15" x14ac:dyDescent="0.25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</row>
    <row r="8612" spans="1:15" x14ac:dyDescent="0.25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</row>
    <row r="8613" spans="1:15" x14ac:dyDescent="0.25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</row>
    <row r="8614" spans="1:15" x14ac:dyDescent="0.25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</row>
    <row r="8615" spans="1:15" x14ac:dyDescent="0.2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</row>
    <row r="8616" spans="1:15" x14ac:dyDescent="0.25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</row>
    <row r="8617" spans="1:15" x14ac:dyDescent="0.25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</row>
    <row r="8618" spans="1:15" x14ac:dyDescent="0.25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</row>
    <row r="8619" spans="1:15" x14ac:dyDescent="0.25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</row>
    <row r="8620" spans="1:15" x14ac:dyDescent="0.25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</row>
    <row r="8621" spans="1:15" x14ac:dyDescent="0.25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</row>
    <row r="8622" spans="1:15" x14ac:dyDescent="0.25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</row>
    <row r="8623" spans="1:15" x14ac:dyDescent="0.25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</row>
    <row r="8624" spans="1:15" x14ac:dyDescent="0.25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</row>
    <row r="8625" spans="1:15" x14ac:dyDescent="0.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</row>
    <row r="8626" spans="1:15" x14ac:dyDescent="0.25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</row>
    <row r="8627" spans="1:15" x14ac:dyDescent="0.25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</row>
    <row r="8628" spans="1:15" x14ac:dyDescent="0.25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</row>
    <row r="8629" spans="1:15" x14ac:dyDescent="0.25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</row>
    <row r="8630" spans="1:15" x14ac:dyDescent="0.25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</row>
    <row r="8631" spans="1:15" x14ac:dyDescent="0.25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</row>
    <row r="8632" spans="1:15" x14ac:dyDescent="0.25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</row>
    <row r="8633" spans="1:15" x14ac:dyDescent="0.25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</row>
    <row r="8634" spans="1:15" x14ac:dyDescent="0.25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</row>
    <row r="8635" spans="1:15" x14ac:dyDescent="0.2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</row>
    <row r="8636" spans="1:15" x14ac:dyDescent="0.25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</row>
    <row r="8637" spans="1:15" x14ac:dyDescent="0.25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</row>
    <row r="8638" spans="1:15" x14ac:dyDescent="0.25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</row>
    <row r="8639" spans="1:15" x14ac:dyDescent="0.25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</row>
    <row r="8640" spans="1:15" x14ac:dyDescent="0.25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</row>
    <row r="8641" spans="1:15" x14ac:dyDescent="0.25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</row>
    <row r="8642" spans="1:15" x14ac:dyDescent="0.25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</row>
    <row r="8643" spans="1:15" x14ac:dyDescent="0.25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</row>
    <row r="8644" spans="1:15" x14ac:dyDescent="0.25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</row>
    <row r="8645" spans="1:15" x14ac:dyDescent="0.2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</row>
    <row r="8646" spans="1:15" x14ac:dyDescent="0.25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</row>
    <row r="8647" spans="1:15" x14ac:dyDescent="0.25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</row>
    <row r="8648" spans="1:15" x14ac:dyDescent="0.25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</row>
    <row r="8649" spans="1:15" x14ac:dyDescent="0.25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</row>
    <row r="8650" spans="1:15" x14ac:dyDescent="0.25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</row>
    <row r="8651" spans="1:15" x14ac:dyDescent="0.25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</row>
    <row r="8652" spans="1:15" x14ac:dyDescent="0.25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</row>
    <row r="8653" spans="1:15" x14ac:dyDescent="0.25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</row>
    <row r="8654" spans="1:15" x14ac:dyDescent="0.25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</row>
    <row r="8655" spans="1:15" x14ac:dyDescent="0.2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</row>
    <row r="8656" spans="1:15" x14ac:dyDescent="0.25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</row>
    <row r="8657" spans="1:15" x14ac:dyDescent="0.25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</row>
    <row r="8658" spans="1:15" x14ac:dyDescent="0.25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</row>
    <row r="8659" spans="1:15" x14ac:dyDescent="0.25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</row>
    <row r="8660" spans="1:15" x14ac:dyDescent="0.25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</row>
    <row r="8661" spans="1:15" x14ac:dyDescent="0.25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</row>
    <row r="8662" spans="1:15" x14ac:dyDescent="0.25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</row>
    <row r="8663" spans="1:15" x14ac:dyDescent="0.25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</row>
    <row r="8664" spans="1:15" x14ac:dyDescent="0.25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</row>
    <row r="8665" spans="1:15" x14ac:dyDescent="0.2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</row>
    <row r="8666" spans="1:15" x14ac:dyDescent="0.25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</row>
    <row r="8667" spans="1:15" x14ac:dyDescent="0.25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</row>
    <row r="8668" spans="1:15" x14ac:dyDescent="0.25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</row>
    <row r="8669" spans="1:15" x14ac:dyDescent="0.25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</row>
    <row r="8670" spans="1:15" x14ac:dyDescent="0.25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</row>
    <row r="8671" spans="1:15" x14ac:dyDescent="0.25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</row>
    <row r="8672" spans="1:15" x14ac:dyDescent="0.25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</row>
    <row r="8673" spans="1:15" x14ac:dyDescent="0.25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</row>
    <row r="8674" spans="1:15" x14ac:dyDescent="0.25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</row>
    <row r="8675" spans="1:15" x14ac:dyDescent="0.2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</row>
    <row r="8676" spans="1:15" x14ac:dyDescent="0.25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</row>
    <row r="8677" spans="1:15" x14ac:dyDescent="0.25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</row>
    <row r="8678" spans="1:15" x14ac:dyDescent="0.25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</row>
    <row r="8679" spans="1:15" x14ac:dyDescent="0.25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</row>
    <row r="8680" spans="1:15" x14ac:dyDescent="0.25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</row>
    <row r="8681" spans="1:15" x14ac:dyDescent="0.25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</row>
    <row r="8682" spans="1:15" x14ac:dyDescent="0.25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</row>
    <row r="8683" spans="1:15" x14ac:dyDescent="0.25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</row>
    <row r="8684" spans="1:15" x14ac:dyDescent="0.25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</row>
    <row r="8685" spans="1:15" x14ac:dyDescent="0.2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</row>
    <row r="8686" spans="1:15" x14ac:dyDescent="0.25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</row>
    <row r="8687" spans="1:15" x14ac:dyDescent="0.25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</row>
    <row r="8688" spans="1:15" x14ac:dyDescent="0.25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</row>
    <row r="8689" spans="1:15" x14ac:dyDescent="0.25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</row>
    <row r="8690" spans="1:15" x14ac:dyDescent="0.25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</row>
    <row r="8691" spans="1:15" x14ac:dyDescent="0.25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</row>
    <row r="8692" spans="1:15" x14ac:dyDescent="0.25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</row>
    <row r="8693" spans="1:15" x14ac:dyDescent="0.25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</row>
    <row r="8694" spans="1:15" x14ac:dyDescent="0.25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</row>
    <row r="8695" spans="1:15" x14ac:dyDescent="0.2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</row>
    <row r="8696" spans="1:15" x14ac:dyDescent="0.25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</row>
    <row r="8697" spans="1:15" x14ac:dyDescent="0.25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</row>
    <row r="8698" spans="1:15" x14ac:dyDescent="0.25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</row>
    <row r="8699" spans="1:15" x14ac:dyDescent="0.25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</row>
    <row r="8700" spans="1:15" x14ac:dyDescent="0.25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</row>
    <row r="8701" spans="1:15" x14ac:dyDescent="0.25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</row>
    <row r="8702" spans="1:15" x14ac:dyDescent="0.25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</row>
    <row r="8703" spans="1:15" x14ac:dyDescent="0.25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</row>
    <row r="8704" spans="1:15" x14ac:dyDescent="0.25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</row>
    <row r="8705" spans="1:15" x14ac:dyDescent="0.2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</row>
    <row r="8706" spans="1:15" x14ac:dyDescent="0.25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</row>
    <row r="8707" spans="1:15" x14ac:dyDescent="0.25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</row>
    <row r="8708" spans="1:15" x14ac:dyDescent="0.25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</row>
    <row r="8709" spans="1:15" x14ac:dyDescent="0.25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</row>
    <row r="8710" spans="1:15" x14ac:dyDescent="0.25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</row>
    <row r="8711" spans="1:15" x14ac:dyDescent="0.25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</row>
    <row r="8712" spans="1:15" x14ac:dyDescent="0.25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</row>
    <row r="8713" spans="1:15" x14ac:dyDescent="0.25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</row>
    <row r="8714" spans="1:15" x14ac:dyDescent="0.25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</row>
    <row r="8715" spans="1:15" x14ac:dyDescent="0.2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</row>
    <row r="8716" spans="1:15" x14ac:dyDescent="0.25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</row>
    <row r="8717" spans="1:15" x14ac:dyDescent="0.25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</row>
    <row r="8718" spans="1:15" x14ac:dyDescent="0.25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</row>
    <row r="8719" spans="1:15" x14ac:dyDescent="0.25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</row>
    <row r="8720" spans="1:15" x14ac:dyDescent="0.25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</row>
    <row r="8721" spans="1:15" x14ac:dyDescent="0.25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</row>
    <row r="8722" spans="1:15" x14ac:dyDescent="0.25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</row>
    <row r="8723" spans="1:15" x14ac:dyDescent="0.25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</row>
    <row r="8724" spans="1:15" x14ac:dyDescent="0.25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</row>
    <row r="8725" spans="1:15" x14ac:dyDescent="0.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</row>
    <row r="8726" spans="1:15" x14ac:dyDescent="0.25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</row>
    <row r="8727" spans="1:15" x14ac:dyDescent="0.25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</row>
    <row r="8728" spans="1:15" x14ac:dyDescent="0.25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</row>
    <row r="8729" spans="1:15" x14ac:dyDescent="0.25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</row>
    <row r="8730" spans="1:15" x14ac:dyDescent="0.25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</row>
    <row r="8731" spans="1:15" x14ac:dyDescent="0.25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</row>
    <row r="8732" spans="1:15" x14ac:dyDescent="0.25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</row>
    <row r="8733" spans="1:15" x14ac:dyDescent="0.25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</row>
    <row r="8734" spans="1:15" x14ac:dyDescent="0.25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</row>
    <row r="8735" spans="1:15" x14ac:dyDescent="0.2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</row>
    <row r="8736" spans="1:15" x14ac:dyDescent="0.25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</row>
    <row r="8737" spans="1:15" x14ac:dyDescent="0.25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</row>
    <row r="8738" spans="1:15" x14ac:dyDescent="0.25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</row>
    <row r="8739" spans="1:15" x14ac:dyDescent="0.25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</row>
    <row r="8740" spans="1:15" x14ac:dyDescent="0.25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</row>
    <row r="8741" spans="1:15" x14ac:dyDescent="0.25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</row>
    <row r="8742" spans="1:15" x14ac:dyDescent="0.25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</row>
    <row r="8743" spans="1:15" x14ac:dyDescent="0.25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</row>
    <row r="8744" spans="1:15" x14ac:dyDescent="0.25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</row>
    <row r="8745" spans="1:15" x14ac:dyDescent="0.2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</row>
    <row r="8746" spans="1:15" x14ac:dyDescent="0.25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</row>
    <row r="8747" spans="1:15" x14ac:dyDescent="0.25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</row>
    <row r="8748" spans="1:15" x14ac:dyDescent="0.25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</row>
    <row r="8749" spans="1:15" x14ac:dyDescent="0.25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</row>
    <row r="8750" spans="1:15" x14ac:dyDescent="0.25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</row>
    <row r="8751" spans="1:15" x14ac:dyDescent="0.25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</row>
    <row r="8752" spans="1:15" x14ac:dyDescent="0.25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</row>
    <row r="8753" spans="1:15" x14ac:dyDescent="0.25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</row>
    <row r="8754" spans="1:15" x14ac:dyDescent="0.25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</row>
    <row r="8755" spans="1:15" x14ac:dyDescent="0.2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</row>
    <row r="8756" spans="1:15" x14ac:dyDescent="0.25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</row>
    <row r="8757" spans="1:15" x14ac:dyDescent="0.25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</row>
    <row r="8758" spans="1:15" x14ac:dyDescent="0.25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</row>
    <row r="8759" spans="1:15" x14ac:dyDescent="0.25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</row>
    <row r="8760" spans="1:15" x14ac:dyDescent="0.25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</row>
    <row r="8761" spans="1:15" x14ac:dyDescent="0.25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</row>
    <row r="8762" spans="1:15" x14ac:dyDescent="0.25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</row>
    <row r="8763" spans="1:15" x14ac:dyDescent="0.25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</row>
    <row r="8764" spans="1:15" x14ac:dyDescent="0.25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</row>
    <row r="8765" spans="1:15" x14ac:dyDescent="0.2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</row>
    <row r="8766" spans="1:15" x14ac:dyDescent="0.25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</row>
    <row r="8767" spans="1:15" x14ac:dyDescent="0.25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</row>
    <row r="8768" spans="1:15" x14ac:dyDescent="0.25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</row>
    <row r="8769" spans="1:15" x14ac:dyDescent="0.25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</row>
    <row r="8770" spans="1:15" x14ac:dyDescent="0.25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</row>
    <row r="8771" spans="1:15" x14ac:dyDescent="0.25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</row>
    <row r="8772" spans="1:15" x14ac:dyDescent="0.25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</row>
    <row r="8773" spans="1:15" x14ac:dyDescent="0.25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</row>
    <row r="8774" spans="1:15" x14ac:dyDescent="0.25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</row>
    <row r="8775" spans="1:15" x14ac:dyDescent="0.2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</row>
    <row r="8776" spans="1:15" x14ac:dyDescent="0.25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</row>
    <row r="8777" spans="1:15" x14ac:dyDescent="0.25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</row>
    <row r="8778" spans="1:15" x14ac:dyDescent="0.25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</row>
    <row r="8779" spans="1:15" x14ac:dyDescent="0.25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</row>
    <row r="8780" spans="1:15" x14ac:dyDescent="0.25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</row>
    <row r="8781" spans="1:15" x14ac:dyDescent="0.25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</row>
    <row r="8782" spans="1:15" x14ac:dyDescent="0.25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</row>
    <row r="8783" spans="1:15" x14ac:dyDescent="0.25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</row>
    <row r="8784" spans="1:15" x14ac:dyDescent="0.25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</row>
    <row r="8785" spans="1:15" x14ac:dyDescent="0.2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</row>
    <row r="8786" spans="1:15" x14ac:dyDescent="0.25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</row>
    <row r="8787" spans="1:15" x14ac:dyDescent="0.25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</row>
    <row r="8788" spans="1:15" x14ac:dyDescent="0.25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</row>
    <row r="8789" spans="1:15" x14ac:dyDescent="0.25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</row>
    <row r="8790" spans="1:15" x14ac:dyDescent="0.25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</row>
    <row r="8791" spans="1:15" x14ac:dyDescent="0.25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</row>
    <row r="8792" spans="1:15" x14ac:dyDescent="0.25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</row>
    <row r="8793" spans="1:15" x14ac:dyDescent="0.25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</row>
    <row r="8794" spans="1:15" x14ac:dyDescent="0.25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</row>
    <row r="8795" spans="1:15" x14ac:dyDescent="0.2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</row>
    <row r="8796" spans="1:15" x14ac:dyDescent="0.25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</row>
    <row r="8797" spans="1:15" x14ac:dyDescent="0.25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</row>
    <row r="8798" spans="1:15" x14ac:dyDescent="0.25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</row>
    <row r="8799" spans="1:15" x14ac:dyDescent="0.25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</row>
    <row r="8800" spans="1:15" x14ac:dyDescent="0.25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</row>
    <row r="8801" spans="1:15" x14ac:dyDescent="0.25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</row>
    <row r="8802" spans="1:15" x14ac:dyDescent="0.25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</row>
    <row r="8803" spans="1:15" x14ac:dyDescent="0.25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</row>
    <row r="8804" spans="1:15" x14ac:dyDescent="0.25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</row>
    <row r="8805" spans="1:15" x14ac:dyDescent="0.2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</row>
    <row r="8806" spans="1:15" x14ac:dyDescent="0.25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</row>
    <row r="8807" spans="1:15" x14ac:dyDescent="0.25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</row>
    <row r="8808" spans="1:15" x14ac:dyDescent="0.25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</row>
    <row r="8809" spans="1:15" x14ac:dyDescent="0.25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</row>
    <row r="8810" spans="1:15" x14ac:dyDescent="0.25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</row>
    <row r="8811" spans="1:15" x14ac:dyDescent="0.25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</row>
    <row r="8812" spans="1:15" x14ac:dyDescent="0.25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</row>
    <row r="8813" spans="1:15" x14ac:dyDescent="0.25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</row>
    <row r="8814" spans="1:15" x14ac:dyDescent="0.25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</row>
    <row r="8815" spans="1:15" x14ac:dyDescent="0.2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</row>
    <row r="8816" spans="1:15" x14ac:dyDescent="0.25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</row>
    <row r="8817" spans="1:15" x14ac:dyDescent="0.25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</row>
    <row r="8818" spans="1:15" x14ac:dyDescent="0.25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</row>
    <row r="8819" spans="1:15" x14ac:dyDescent="0.25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</row>
    <row r="8820" spans="1:15" x14ac:dyDescent="0.25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</row>
    <row r="8821" spans="1:15" x14ac:dyDescent="0.25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</row>
    <row r="8822" spans="1:15" x14ac:dyDescent="0.25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</row>
    <row r="8823" spans="1:15" x14ac:dyDescent="0.25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</row>
    <row r="8824" spans="1:15" x14ac:dyDescent="0.25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</row>
    <row r="8825" spans="1:15" x14ac:dyDescent="0.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</row>
    <row r="8826" spans="1:15" x14ac:dyDescent="0.25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</row>
    <row r="8827" spans="1:15" x14ac:dyDescent="0.25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</row>
    <row r="8828" spans="1:15" x14ac:dyDescent="0.25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</row>
    <row r="8829" spans="1:15" x14ac:dyDescent="0.25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</row>
    <row r="8830" spans="1:15" x14ac:dyDescent="0.25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</row>
    <row r="8831" spans="1:15" x14ac:dyDescent="0.25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</row>
    <row r="8832" spans="1:15" x14ac:dyDescent="0.25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</row>
    <row r="8833" spans="1:15" x14ac:dyDescent="0.25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</row>
    <row r="8834" spans="1:15" x14ac:dyDescent="0.25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</row>
    <row r="8835" spans="1:15" x14ac:dyDescent="0.2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</row>
    <row r="8836" spans="1:15" x14ac:dyDescent="0.25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</row>
    <row r="8837" spans="1:15" x14ac:dyDescent="0.25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</row>
    <row r="8838" spans="1:15" x14ac:dyDescent="0.25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</row>
    <row r="8839" spans="1:15" x14ac:dyDescent="0.25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</row>
    <row r="8840" spans="1:15" x14ac:dyDescent="0.25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</row>
    <row r="8841" spans="1:15" x14ac:dyDescent="0.25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</row>
    <row r="8842" spans="1:15" x14ac:dyDescent="0.25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</row>
    <row r="8843" spans="1:15" x14ac:dyDescent="0.25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</row>
    <row r="8844" spans="1:15" x14ac:dyDescent="0.25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</row>
    <row r="8845" spans="1:15" x14ac:dyDescent="0.2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</row>
    <row r="8846" spans="1:15" x14ac:dyDescent="0.25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</row>
    <row r="8847" spans="1:15" x14ac:dyDescent="0.25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</row>
    <row r="8848" spans="1:15" x14ac:dyDescent="0.25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</row>
    <row r="8849" spans="1:15" x14ac:dyDescent="0.25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</row>
    <row r="8850" spans="1:15" x14ac:dyDescent="0.25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</row>
    <row r="8851" spans="1:15" x14ac:dyDescent="0.25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</row>
    <row r="8852" spans="1:15" x14ac:dyDescent="0.25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</row>
    <row r="8853" spans="1:15" x14ac:dyDescent="0.25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</row>
    <row r="8854" spans="1:15" x14ac:dyDescent="0.25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</row>
    <row r="8855" spans="1:15" x14ac:dyDescent="0.2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</row>
    <row r="8856" spans="1:15" x14ac:dyDescent="0.25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</row>
    <row r="8857" spans="1:15" x14ac:dyDescent="0.25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</row>
    <row r="8858" spans="1:15" x14ac:dyDescent="0.25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</row>
    <row r="8859" spans="1:15" x14ac:dyDescent="0.25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</row>
    <row r="8860" spans="1:15" x14ac:dyDescent="0.25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</row>
    <row r="8861" spans="1:15" x14ac:dyDescent="0.25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</row>
    <row r="8862" spans="1:15" x14ac:dyDescent="0.25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</row>
    <row r="8863" spans="1:15" x14ac:dyDescent="0.25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</row>
    <row r="8864" spans="1:15" x14ac:dyDescent="0.25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</row>
    <row r="8865" spans="1:15" x14ac:dyDescent="0.2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</row>
    <row r="8866" spans="1:15" x14ac:dyDescent="0.25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</row>
    <row r="8867" spans="1:15" x14ac:dyDescent="0.25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</row>
    <row r="8868" spans="1:15" x14ac:dyDescent="0.25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</row>
    <row r="8869" spans="1:15" x14ac:dyDescent="0.25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</row>
    <row r="8870" spans="1:15" x14ac:dyDescent="0.25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</row>
    <row r="8871" spans="1:15" x14ac:dyDescent="0.25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</row>
    <row r="8872" spans="1:15" x14ac:dyDescent="0.25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</row>
    <row r="8873" spans="1:15" x14ac:dyDescent="0.25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</row>
    <row r="8874" spans="1:15" x14ac:dyDescent="0.25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</row>
    <row r="8875" spans="1:15" x14ac:dyDescent="0.2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</row>
    <row r="8876" spans="1:15" x14ac:dyDescent="0.25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</row>
    <row r="8877" spans="1:15" x14ac:dyDescent="0.25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</row>
    <row r="8878" spans="1:15" x14ac:dyDescent="0.25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</row>
    <row r="8879" spans="1:15" x14ac:dyDescent="0.25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</row>
    <row r="8880" spans="1:15" x14ac:dyDescent="0.25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</row>
    <row r="8881" spans="1:15" x14ac:dyDescent="0.25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</row>
    <row r="8882" spans="1:15" x14ac:dyDescent="0.25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</row>
    <row r="8883" spans="1:15" x14ac:dyDescent="0.25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</row>
    <row r="8884" spans="1:15" x14ac:dyDescent="0.25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</row>
    <row r="8885" spans="1:15" x14ac:dyDescent="0.2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</row>
    <row r="8886" spans="1:15" x14ac:dyDescent="0.25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</row>
    <row r="8887" spans="1:15" x14ac:dyDescent="0.25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</row>
    <row r="8888" spans="1:15" x14ac:dyDescent="0.25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</row>
    <row r="8889" spans="1:15" x14ac:dyDescent="0.25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</row>
    <row r="8890" spans="1:15" x14ac:dyDescent="0.25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</row>
    <row r="8891" spans="1:15" x14ac:dyDescent="0.25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</row>
    <row r="8892" spans="1:15" x14ac:dyDescent="0.25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</row>
    <row r="8893" spans="1:15" x14ac:dyDescent="0.25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</row>
    <row r="8894" spans="1:15" x14ac:dyDescent="0.25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</row>
    <row r="8895" spans="1:15" x14ac:dyDescent="0.2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</row>
    <row r="8896" spans="1:15" x14ac:dyDescent="0.25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</row>
    <row r="8897" spans="1:15" x14ac:dyDescent="0.25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</row>
    <row r="8898" spans="1:15" x14ac:dyDescent="0.25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</row>
    <row r="8899" spans="1:15" x14ac:dyDescent="0.25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</row>
    <row r="8900" spans="1:15" x14ac:dyDescent="0.25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</row>
    <row r="8901" spans="1:15" x14ac:dyDescent="0.25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</row>
    <row r="8902" spans="1:15" x14ac:dyDescent="0.25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</row>
    <row r="8903" spans="1:15" x14ac:dyDescent="0.25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</row>
    <row r="8904" spans="1:15" x14ac:dyDescent="0.25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</row>
    <row r="8905" spans="1:15" x14ac:dyDescent="0.2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</row>
    <row r="8906" spans="1:15" x14ac:dyDescent="0.25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</row>
    <row r="8907" spans="1:15" x14ac:dyDescent="0.25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</row>
    <row r="8908" spans="1:15" x14ac:dyDescent="0.25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</row>
    <row r="8909" spans="1:15" x14ac:dyDescent="0.25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</row>
    <row r="8910" spans="1:15" x14ac:dyDescent="0.25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</row>
    <row r="8911" spans="1:15" x14ac:dyDescent="0.25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</row>
    <row r="8912" spans="1:15" x14ac:dyDescent="0.25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</row>
    <row r="8913" spans="1:15" x14ac:dyDescent="0.25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</row>
    <row r="8914" spans="1:15" x14ac:dyDescent="0.25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</row>
    <row r="8915" spans="1:15" x14ac:dyDescent="0.2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</row>
    <row r="8916" spans="1:15" x14ac:dyDescent="0.25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</row>
    <row r="8917" spans="1:15" x14ac:dyDescent="0.25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</row>
    <row r="8918" spans="1:15" x14ac:dyDescent="0.25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</row>
    <row r="8919" spans="1:15" x14ac:dyDescent="0.25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</row>
    <row r="8920" spans="1:15" x14ac:dyDescent="0.25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</row>
    <row r="8921" spans="1:15" x14ac:dyDescent="0.25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</row>
    <row r="8922" spans="1:15" x14ac:dyDescent="0.25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</row>
    <row r="8923" spans="1:15" x14ac:dyDescent="0.25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</row>
    <row r="8924" spans="1:15" x14ac:dyDescent="0.25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</row>
    <row r="8925" spans="1:15" x14ac:dyDescent="0.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</row>
    <row r="8926" spans="1:15" x14ac:dyDescent="0.25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</row>
    <row r="8927" spans="1:15" x14ac:dyDescent="0.25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</row>
    <row r="8928" spans="1:15" x14ac:dyDescent="0.25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</row>
    <row r="8929" spans="1:15" x14ac:dyDescent="0.25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</row>
    <row r="8930" spans="1:15" x14ac:dyDescent="0.25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</row>
    <row r="8931" spans="1:15" x14ac:dyDescent="0.25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</row>
    <row r="8932" spans="1:15" x14ac:dyDescent="0.25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</row>
    <row r="8933" spans="1:15" x14ac:dyDescent="0.25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</row>
    <row r="8934" spans="1:15" x14ac:dyDescent="0.25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</row>
    <row r="8935" spans="1:15" x14ac:dyDescent="0.2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</row>
    <row r="8936" spans="1:15" x14ac:dyDescent="0.25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</row>
    <row r="8937" spans="1:15" x14ac:dyDescent="0.25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</row>
    <row r="8938" spans="1:15" x14ac:dyDescent="0.25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</row>
    <row r="8939" spans="1:15" x14ac:dyDescent="0.25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</row>
    <row r="8940" spans="1:15" x14ac:dyDescent="0.25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</row>
    <row r="8941" spans="1:15" x14ac:dyDescent="0.25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</row>
    <row r="8942" spans="1:15" x14ac:dyDescent="0.25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</row>
    <row r="8943" spans="1:15" x14ac:dyDescent="0.25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</row>
    <row r="8944" spans="1:15" x14ac:dyDescent="0.25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</row>
    <row r="8945" spans="1:15" x14ac:dyDescent="0.2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</row>
    <row r="8946" spans="1:15" x14ac:dyDescent="0.25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</row>
    <row r="8947" spans="1:15" x14ac:dyDescent="0.25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</row>
    <row r="8948" spans="1:15" x14ac:dyDescent="0.25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</row>
    <row r="8949" spans="1:15" x14ac:dyDescent="0.25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</row>
    <row r="8950" spans="1:15" x14ac:dyDescent="0.25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</row>
    <row r="8951" spans="1:15" x14ac:dyDescent="0.25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</row>
    <row r="8952" spans="1:15" x14ac:dyDescent="0.25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</row>
    <row r="8953" spans="1:15" x14ac:dyDescent="0.25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</row>
    <row r="8954" spans="1:15" x14ac:dyDescent="0.25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</row>
    <row r="8955" spans="1:15" x14ac:dyDescent="0.2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</row>
    <row r="8956" spans="1:15" x14ac:dyDescent="0.25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</row>
    <row r="8957" spans="1:15" x14ac:dyDescent="0.25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</row>
    <row r="8958" spans="1:15" x14ac:dyDescent="0.25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</row>
    <row r="8959" spans="1:15" x14ac:dyDescent="0.25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</row>
    <row r="8960" spans="1:15" x14ac:dyDescent="0.25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</row>
    <row r="8961" spans="1:15" x14ac:dyDescent="0.25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</row>
    <row r="8962" spans="1:15" x14ac:dyDescent="0.25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</row>
    <row r="8963" spans="1:15" x14ac:dyDescent="0.25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</row>
    <row r="8964" spans="1:15" x14ac:dyDescent="0.25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</row>
    <row r="8965" spans="1:15" x14ac:dyDescent="0.2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</row>
    <row r="8966" spans="1:15" x14ac:dyDescent="0.25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</row>
    <row r="8967" spans="1:15" x14ac:dyDescent="0.25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</row>
    <row r="8968" spans="1:15" x14ac:dyDescent="0.25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</row>
    <row r="8969" spans="1:15" x14ac:dyDescent="0.25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</row>
    <row r="8970" spans="1:15" x14ac:dyDescent="0.25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</row>
    <row r="8971" spans="1:15" x14ac:dyDescent="0.25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</row>
    <row r="8972" spans="1:15" x14ac:dyDescent="0.25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</row>
    <row r="8973" spans="1:15" x14ac:dyDescent="0.25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</row>
    <row r="8974" spans="1:15" x14ac:dyDescent="0.25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</row>
    <row r="8975" spans="1:15" x14ac:dyDescent="0.2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</row>
    <row r="8976" spans="1:15" x14ac:dyDescent="0.25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</row>
    <row r="8977" spans="1:15" x14ac:dyDescent="0.25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</row>
    <row r="8978" spans="1:15" x14ac:dyDescent="0.25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</row>
    <row r="8979" spans="1:15" x14ac:dyDescent="0.25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</row>
    <row r="8980" spans="1:15" x14ac:dyDescent="0.25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</row>
    <row r="8981" spans="1:15" x14ac:dyDescent="0.25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</row>
    <row r="8982" spans="1:15" x14ac:dyDescent="0.25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</row>
    <row r="8983" spans="1:15" x14ac:dyDescent="0.25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</row>
    <row r="8984" spans="1:15" x14ac:dyDescent="0.25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</row>
    <row r="8985" spans="1:15" x14ac:dyDescent="0.2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</row>
    <row r="8986" spans="1:15" x14ac:dyDescent="0.25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</row>
    <row r="8987" spans="1:15" x14ac:dyDescent="0.25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</row>
    <row r="8988" spans="1:15" x14ac:dyDescent="0.25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</row>
    <row r="8989" spans="1:15" x14ac:dyDescent="0.25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</row>
    <row r="8990" spans="1:15" x14ac:dyDescent="0.25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</row>
    <row r="8991" spans="1:15" x14ac:dyDescent="0.25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</row>
    <row r="8992" spans="1:15" x14ac:dyDescent="0.25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</row>
    <row r="8993" spans="1:15" x14ac:dyDescent="0.25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</row>
    <row r="8994" spans="1:15" x14ac:dyDescent="0.25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</row>
    <row r="8995" spans="1:15" x14ac:dyDescent="0.2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</row>
    <row r="8996" spans="1:15" x14ac:dyDescent="0.25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</row>
    <row r="8997" spans="1:15" x14ac:dyDescent="0.25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</row>
    <row r="8998" spans="1:15" x14ac:dyDescent="0.25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</row>
    <row r="8999" spans="1:15" x14ac:dyDescent="0.25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</row>
    <row r="9000" spans="1:15" x14ac:dyDescent="0.25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</row>
    <row r="9001" spans="1:15" x14ac:dyDescent="0.25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</row>
    <row r="9002" spans="1:15" x14ac:dyDescent="0.25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</row>
    <row r="9003" spans="1:15" x14ac:dyDescent="0.25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</row>
    <row r="9004" spans="1:15" x14ac:dyDescent="0.25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</row>
    <row r="9005" spans="1:15" x14ac:dyDescent="0.2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</row>
    <row r="9006" spans="1:15" x14ac:dyDescent="0.25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</row>
    <row r="9007" spans="1:15" x14ac:dyDescent="0.25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</row>
    <row r="9008" spans="1:15" x14ac:dyDescent="0.25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</row>
    <row r="9009" spans="1:15" x14ac:dyDescent="0.25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</row>
    <row r="9010" spans="1:15" x14ac:dyDescent="0.25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</row>
    <row r="9011" spans="1:15" x14ac:dyDescent="0.25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</row>
    <row r="9012" spans="1:15" x14ac:dyDescent="0.25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</row>
    <row r="9013" spans="1:15" x14ac:dyDescent="0.25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</row>
    <row r="9014" spans="1:15" x14ac:dyDescent="0.25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</row>
    <row r="9015" spans="1:15" x14ac:dyDescent="0.2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</row>
    <row r="9016" spans="1:15" x14ac:dyDescent="0.25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</row>
    <row r="9017" spans="1:15" x14ac:dyDescent="0.25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</row>
    <row r="9018" spans="1:15" x14ac:dyDescent="0.25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</row>
    <row r="9019" spans="1:15" x14ac:dyDescent="0.25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</row>
    <row r="9020" spans="1:15" x14ac:dyDescent="0.25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</row>
    <row r="9021" spans="1:15" x14ac:dyDescent="0.25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</row>
    <row r="9022" spans="1:15" x14ac:dyDescent="0.25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</row>
    <row r="9023" spans="1:15" x14ac:dyDescent="0.25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</row>
    <row r="9024" spans="1:15" x14ac:dyDescent="0.25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</row>
    <row r="9025" spans="1:15" x14ac:dyDescent="0.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</row>
    <row r="9026" spans="1:15" x14ac:dyDescent="0.25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</row>
    <row r="9027" spans="1:15" x14ac:dyDescent="0.25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</row>
    <row r="9028" spans="1:15" x14ac:dyDescent="0.25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</row>
    <row r="9029" spans="1:15" x14ac:dyDescent="0.25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</row>
    <row r="9030" spans="1:15" x14ac:dyDescent="0.25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</row>
    <row r="9031" spans="1:15" x14ac:dyDescent="0.25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</row>
    <row r="9032" spans="1:15" x14ac:dyDescent="0.25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</row>
    <row r="9033" spans="1:15" x14ac:dyDescent="0.25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</row>
    <row r="9034" spans="1:15" x14ac:dyDescent="0.25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</row>
    <row r="9035" spans="1:15" x14ac:dyDescent="0.2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</row>
    <row r="9036" spans="1:15" x14ac:dyDescent="0.25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</row>
    <row r="9037" spans="1:15" x14ac:dyDescent="0.25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</row>
    <row r="9038" spans="1:15" x14ac:dyDescent="0.25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</row>
    <row r="9039" spans="1:15" x14ac:dyDescent="0.25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</row>
    <row r="9040" spans="1:15" x14ac:dyDescent="0.25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</row>
    <row r="9041" spans="1:15" x14ac:dyDescent="0.25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</row>
    <row r="9042" spans="1:15" x14ac:dyDescent="0.25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</row>
    <row r="9043" spans="1:15" x14ac:dyDescent="0.25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</row>
    <row r="9044" spans="1:15" x14ac:dyDescent="0.25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</row>
    <row r="9045" spans="1:15" x14ac:dyDescent="0.2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</row>
    <row r="9046" spans="1:15" x14ac:dyDescent="0.25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</row>
    <row r="9047" spans="1:15" x14ac:dyDescent="0.25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</row>
    <row r="9048" spans="1:15" x14ac:dyDescent="0.25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</row>
    <row r="9049" spans="1:15" x14ac:dyDescent="0.25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</row>
    <row r="9050" spans="1:15" x14ac:dyDescent="0.25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</row>
    <row r="9051" spans="1:15" x14ac:dyDescent="0.25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</row>
    <row r="9052" spans="1:15" x14ac:dyDescent="0.25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</row>
    <row r="9053" spans="1:15" x14ac:dyDescent="0.25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</row>
    <row r="9054" spans="1:15" x14ac:dyDescent="0.25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</row>
    <row r="9055" spans="1:15" x14ac:dyDescent="0.2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</row>
    <row r="9056" spans="1:15" x14ac:dyDescent="0.25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</row>
    <row r="9057" spans="1:15" x14ac:dyDescent="0.25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</row>
    <row r="9058" spans="1:15" x14ac:dyDescent="0.25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</row>
    <row r="9059" spans="1:15" x14ac:dyDescent="0.25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</row>
    <row r="9060" spans="1:15" x14ac:dyDescent="0.25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</row>
    <row r="9061" spans="1:15" x14ac:dyDescent="0.25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</row>
    <row r="9062" spans="1:15" x14ac:dyDescent="0.25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</row>
    <row r="9063" spans="1:15" x14ac:dyDescent="0.25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</row>
    <row r="9064" spans="1:15" x14ac:dyDescent="0.25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</row>
    <row r="9065" spans="1:15" x14ac:dyDescent="0.2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</row>
    <row r="9066" spans="1:15" x14ac:dyDescent="0.25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</row>
    <row r="9067" spans="1:15" x14ac:dyDescent="0.25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</row>
    <row r="9068" spans="1:15" x14ac:dyDescent="0.25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</row>
    <row r="9069" spans="1:15" x14ac:dyDescent="0.25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</row>
    <row r="9070" spans="1:15" x14ac:dyDescent="0.25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</row>
    <row r="9071" spans="1:15" x14ac:dyDescent="0.25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</row>
    <row r="9072" spans="1:15" x14ac:dyDescent="0.25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</row>
    <row r="9073" spans="1:15" x14ac:dyDescent="0.25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</row>
    <row r="9074" spans="1:15" x14ac:dyDescent="0.25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</row>
    <row r="9075" spans="1:15" x14ac:dyDescent="0.2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</row>
    <row r="9076" spans="1:15" x14ac:dyDescent="0.25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</row>
    <row r="9077" spans="1:15" x14ac:dyDescent="0.25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</row>
    <row r="9078" spans="1:15" x14ac:dyDescent="0.25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</row>
    <row r="9079" spans="1:15" x14ac:dyDescent="0.25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</row>
    <row r="9080" spans="1:15" x14ac:dyDescent="0.25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</row>
    <row r="9081" spans="1:15" x14ac:dyDescent="0.25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</row>
    <row r="9082" spans="1:15" x14ac:dyDescent="0.25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</row>
    <row r="9083" spans="1:15" x14ac:dyDescent="0.25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</row>
    <row r="9084" spans="1:15" x14ac:dyDescent="0.25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</row>
    <row r="9085" spans="1:15" x14ac:dyDescent="0.2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</row>
    <row r="9086" spans="1:15" x14ac:dyDescent="0.25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</row>
    <row r="9087" spans="1:15" x14ac:dyDescent="0.25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</row>
    <row r="9088" spans="1:15" x14ac:dyDescent="0.25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</row>
    <row r="9089" spans="1:15" x14ac:dyDescent="0.25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</row>
    <row r="9090" spans="1:15" x14ac:dyDescent="0.25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</row>
    <row r="9091" spans="1:15" x14ac:dyDescent="0.25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</row>
    <row r="9092" spans="1:15" x14ac:dyDescent="0.25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</row>
    <row r="9093" spans="1:15" x14ac:dyDescent="0.25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</row>
    <row r="9094" spans="1:15" x14ac:dyDescent="0.25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</row>
    <row r="9095" spans="1:15" x14ac:dyDescent="0.2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</row>
    <row r="9096" spans="1:15" x14ac:dyDescent="0.25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</row>
    <row r="9097" spans="1:15" x14ac:dyDescent="0.25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</row>
    <row r="9098" spans="1:15" x14ac:dyDescent="0.25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</row>
    <row r="9099" spans="1:15" x14ac:dyDescent="0.25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</row>
    <row r="9100" spans="1:15" x14ac:dyDescent="0.25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</row>
    <row r="9101" spans="1:15" x14ac:dyDescent="0.25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</row>
    <row r="9102" spans="1:15" x14ac:dyDescent="0.25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</row>
    <row r="9103" spans="1:15" x14ac:dyDescent="0.25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</row>
    <row r="9104" spans="1:15" x14ac:dyDescent="0.25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</row>
    <row r="9105" spans="1:15" x14ac:dyDescent="0.2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</row>
    <row r="9106" spans="1:15" x14ac:dyDescent="0.25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</row>
    <row r="9107" spans="1:15" x14ac:dyDescent="0.25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</row>
    <row r="9108" spans="1:15" x14ac:dyDescent="0.25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</row>
    <row r="9109" spans="1:15" x14ac:dyDescent="0.25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</row>
    <row r="9110" spans="1:15" x14ac:dyDescent="0.25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</row>
    <row r="9111" spans="1:15" x14ac:dyDescent="0.25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</row>
    <row r="9112" spans="1:15" x14ac:dyDescent="0.25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</row>
    <row r="9113" spans="1:15" x14ac:dyDescent="0.25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</row>
    <row r="9114" spans="1:15" x14ac:dyDescent="0.25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</row>
    <row r="9115" spans="1:15" x14ac:dyDescent="0.2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</row>
    <row r="9116" spans="1:15" x14ac:dyDescent="0.25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</row>
    <row r="9117" spans="1:15" x14ac:dyDescent="0.25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</row>
    <row r="9118" spans="1:15" x14ac:dyDescent="0.25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</row>
    <row r="9119" spans="1:15" x14ac:dyDescent="0.25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</row>
    <row r="9120" spans="1:15" x14ac:dyDescent="0.25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</row>
    <row r="9121" spans="1:15" x14ac:dyDescent="0.25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</row>
    <row r="9122" spans="1:15" x14ac:dyDescent="0.25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</row>
    <row r="9123" spans="1:15" x14ac:dyDescent="0.25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</row>
    <row r="9124" spans="1:15" x14ac:dyDescent="0.25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</row>
    <row r="9125" spans="1:15" x14ac:dyDescent="0.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</row>
    <row r="9126" spans="1:15" x14ac:dyDescent="0.25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</row>
    <row r="9127" spans="1:15" x14ac:dyDescent="0.25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</row>
    <row r="9128" spans="1:15" x14ac:dyDescent="0.25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</row>
    <row r="9129" spans="1:15" x14ac:dyDescent="0.25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</row>
    <row r="9130" spans="1:15" x14ac:dyDescent="0.25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</row>
    <row r="9131" spans="1:15" x14ac:dyDescent="0.25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</row>
    <row r="9132" spans="1:15" x14ac:dyDescent="0.25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</row>
    <row r="9133" spans="1:15" x14ac:dyDescent="0.25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</row>
    <row r="9134" spans="1:15" x14ac:dyDescent="0.25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</row>
    <row r="9135" spans="1:15" x14ac:dyDescent="0.2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</row>
    <row r="9136" spans="1:15" x14ac:dyDescent="0.25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</row>
    <row r="9137" spans="1:15" x14ac:dyDescent="0.25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</row>
    <row r="9138" spans="1:15" x14ac:dyDescent="0.25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</row>
    <row r="9139" spans="1:15" x14ac:dyDescent="0.25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</row>
    <row r="9140" spans="1:15" x14ac:dyDescent="0.25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</row>
    <row r="9141" spans="1:15" x14ac:dyDescent="0.25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</row>
    <row r="9142" spans="1:15" x14ac:dyDescent="0.25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</row>
    <row r="9143" spans="1:15" x14ac:dyDescent="0.25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</row>
    <row r="9144" spans="1:15" x14ac:dyDescent="0.25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</row>
    <row r="9145" spans="1:15" x14ac:dyDescent="0.2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</row>
    <row r="9146" spans="1:15" x14ac:dyDescent="0.25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</row>
    <row r="9147" spans="1:15" x14ac:dyDescent="0.25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</row>
    <row r="9148" spans="1:15" x14ac:dyDescent="0.25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</row>
    <row r="9149" spans="1:15" x14ac:dyDescent="0.25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</row>
    <row r="9150" spans="1:15" x14ac:dyDescent="0.25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</row>
    <row r="9151" spans="1:15" x14ac:dyDescent="0.25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</row>
    <row r="9152" spans="1:15" x14ac:dyDescent="0.25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</row>
    <row r="9153" spans="1:15" x14ac:dyDescent="0.25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</row>
    <row r="9154" spans="1:15" x14ac:dyDescent="0.25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</row>
    <row r="9155" spans="1:15" x14ac:dyDescent="0.2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</row>
    <row r="9156" spans="1:15" x14ac:dyDescent="0.25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</row>
    <row r="9157" spans="1:15" x14ac:dyDescent="0.25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</row>
    <row r="9158" spans="1:15" x14ac:dyDescent="0.25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</row>
    <row r="9159" spans="1:15" x14ac:dyDescent="0.25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</row>
    <row r="9160" spans="1:15" x14ac:dyDescent="0.25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</row>
    <row r="9161" spans="1:15" x14ac:dyDescent="0.25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</row>
    <row r="9162" spans="1:15" x14ac:dyDescent="0.25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</row>
    <row r="9163" spans="1:15" x14ac:dyDescent="0.25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</row>
    <row r="9164" spans="1:15" x14ac:dyDescent="0.25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</row>
    <row r="9165" spans="1:15" x14ac:dyDescent="0.2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</row>
    <row r="9166" spans="1:15" x14ac:dyDescent="0.25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</row>
    <row r="9167" spans="1:15" x14ac:dyDescent="0.25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</row>
    <row r="9168" spans="1:15" x14ac:dyDescent="0.25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</row>
    <row r="9169" spans="1:15" x14ac:dyDescent="0.25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</row>
    <row r="9170" spans="1:15" x14ac:dyDescent="0.25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</row>
    <row r="9171" spans="1:15" x14ac:dyDescent="0.25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</row>
    <row r="9172" spans="1:15" x14ac:dyDescent="0.25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</row>
    <row r="9173" spans="1:15" x14ac:dyDescent="0.25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</row>
    <row r="9174" spans="1:15" x14ac:dyDescent="0.25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</row>
    <row r="9175" spans="1:15" x14ac:dyDescent="0.2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</row>
    <row r="9176" spans="1:15" x14ac:dyDescent="0.25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</row>
    <row r="9177" spans="1:15" x14ac:dyDescent="0.25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</row>
    <row r="9178" spans="1:15" x14ac:dyDescent="0.25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</row>
    <row r="9179" spans="1:15" x14ac:dyDescent="0.25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</row>
    <row r="9180" spans="1:15" x14ac:dyDescent="0.25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</row>
    <row r="9181" spans="1:15" x14ac:dyDescent="0.25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</row>
    <row r="9182" spans="1:15" x14ac:dyDescent="0.25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</row>
    <row r="9183" spans="1:15" x14ac:dyDescent="0.25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</row>
    <row r="9184" spans="1:15" x14ac:dyDescent="0.25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</row>
    <row r="9185" spans="1:15" x14ac:dyDescent="0.2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</row>
    <row r="9186" spans="1:15" x14ac:dyDescent="0.25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</row>
    <row r="9187" spans="1:15" x14ac:dyDescent="0.25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</row>
    <row r="9188" spans="1:15" x14ac:dyDescent="0.25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</row>
    <row r="9189" spans="1:15" x14ac:dyDescent="0.25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</row>
    <row r="9190" spans="1:15" x14ac:dyDescent="0.25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</row>
    <row r="9191" spans="1:15" x14ac:dyDescent="0.25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</row>
    <row r="9192" spans="1:15" x14ac:dyDescent="0.25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</row>
    <row r="9193" spans="1:15" x14ac:dyDescent="0.25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</row>
    <row r="9194" spans="1:15" x14ac:dyDescent="0.25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</row>
    <row r="9195" spans="1:15" x14ac:dyDescent="0.2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</row>
    <row r="9196" spans="1:15" x14ac:dyDescent="0.25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</row>
    <row r="9197" spans="1:15" x14ac:dyDescent="0.25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</row>
    <row r="9198" spans="1:15" x14ac:dyDescent="0.25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</row>
    <row r="9199" spans="1:15" x14ac:dyDescent="0.25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</row>
    <row r="9200" spans="1:15" x14ac:dyDescent="0.25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</row>
    <row r="9201" spans="1:15" x14ac:dyDescent="0.25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</row>
    <row r="9202" spans="1:15" x14ac:dyDescent="0.25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</row>
    <row r="9203" spans="1:15" x14ac:dyDescent="0.25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</row>
    <row r="9204" spans="1:15" x14ac:dyDescent="0.25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</row>
    <row r="9205" spans="1:15" x14ac:dyDescent="0.2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</row>
    <row r="9206" spans="1:15" x14ac:dyDescent="0.25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</row>
    <row r="9207" spans="1:15" x14ac:dyDescent="0.25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</row>
    <row r="9208" spans="1:15" x14ac:dyDescent="0.25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</row>
    <row r="9209" spans="1:15" x14ac:dyDescent="0.25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</row>
    <row r="9210" spans="1:15" x14ac:dyDescent="0.25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</row>
    <row r="9211" spans="1:15" x14ac:dyDescent="0.25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</row>
    <row r="9212" spans="1:15" x14ac:dyDescent="0.25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</row>
    <row r="9213" spans="1:15" x14ac:dyDescent="0.25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</row>
    <row r="9214" spans="1:15" x14ac:dyDescent="0.25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</row>
    <row r="9215" spans="1:15" x14ac:dyDescent="0.2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</row>
    <row r="9216" spans="1:15" x14ac:dyDescent="0.25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</row>
    <row r="9217" spans="1:15" x14ac:dyDescent="0.25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</row>
    <row r="9218" spans="1:15" x14ac:dyDescent="0.25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</row>
    <row r="9219" spans="1:15" x14ac:dyDescent="0.25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</row>
    <row r="9220" spans="1:15" x14ac:dyDescent="0.25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</row>
    <row r="9221" spans="1:15" x14ac:dyDescent="0.25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</row>
    <row r="9222" spans="1:15" x14ac:dyDescent="0.25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</row>
    <row r="9223" spans="1:15" x14ac:dyDescent="0.25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</row>
    <row r="9224" spans="1:15" x14ac:dyDescent="0.25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</row>
    <row r="9225" spans="1:15" x14ac:dyDescent="0.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</row>
    <row r="9226" spans="1:15" x14ac:dyDescent="0.25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</row>
    <row r="9227" spans="1:15" x14ac:dyDescent="0.25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</row>
    <row r="9228" spans="1:15" x14ac:dyDescent="0.25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</row>
    <row r="9229" spans="1:15" x14ac:dyDescent="0.25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</row>
    <row r="9230" spans="1:15" x14ac:dyDescent="0.25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</row>
    <row r="9231" spans="1:15" x14ac:dyDescent="0.25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</row>
    <row r="9232" spans="1:15" x14ac:dyDescent="0.25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</row>
    <row r="9233" spans="1:15" x14ac:dyDescent="0.25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</row>
    <row r="9234" spans="1:15" x14ac:dyDescent="0.25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</row>
    <row r="9235" spans="1:15" x14ac:dyDescent="0.2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</row>
    <row r="9236" spans="1:15" x14ac:dyDescent="0.25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</row>
    <row r="9237" spans="1:15" x14ac:dyDescent="0.25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</row>
    <row r="9238" spans="1:15" x14ac:dyDescent="0.25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</row>
    <row r="9239" spans="1:15" x14ac:dyDescent="0.25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</row>
    <row r="9240" spans="1:15" x14ac:dyDescent="0.25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</row>
    <row r="9241" spans="1:15" x14ac:dyDescent="0.25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</row>
    <row r="9242" spans="1:15" x14ac:dyDescent="0.25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</row>
    <row r="9243" spans="1:15" x14ac:dyDescent="0.25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</row>
    <row r="9244" spans="1:15" x14ac:dyDescent="0.25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</row>
    <row r="9245" spans="1:15" x14ac:dyDescent="0.2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</row>
    <row r="9246" spans="1:15" x14ac:dyDescent="0.25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</row>
    <row r="9247" spans="1:15" x14ac:dyDescent="0.25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</row>
    <row r="9248" spans="1:15" x14ac:dyDescent="0.25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</row>
    <row r="9249" spans="1:15" x14ac:dyDescent="0.25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</row>
    <row r="9250" spans="1:15" x14ac:dyDescent="0.25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</row>
    <row r="9251" spans="1:15" x14ac:dyDescent="0.25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</row>
    <row r="9252" spans="1:15" x14ac:dyDescent="0.25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</row>
    <row r="9253" spans="1:15" x14ac:dyDescent="0.25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</row>
    <row r="9254" spans="1:15" x14ac:dyDescent="0.25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</row>
    <row r="9255" spans="1:15" x14ac:dyDescent="0.2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</row>
    <row r="9256" spans="1:15" x14ac:dyDescent="0.25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</row>
    <row r="9257" spans="1:15" x14ac:dyDescent="0.25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</row>
    <row r="9258" spans="1:15" x14ac:dyDescent="0.25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</row>
    <row r="9259" spans="1:15" x14ac:dyDescent="0.25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</row>
    <row r="9260" spans="1:15" x14ac:dyDescent="0.25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</row>
    <row r="9261" spans="1:15" x14ac:dyDescent="0.25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</row>
    <row r="9262" spans="1:15" x14ac:dyDescent="0.25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</row>
    <row r="9263" spans="1:15" x14ac:dyDescent="0.25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</row>
    <row r="9264" spans="1:15" x14ac:dyDescent="0.25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</row>
    <row r="9265" spans="1:15" x14ac:dyDescent="0.2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</row>
    <row r="9266" spans="1:15" x14ac:dyDescent="0.25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</row>
    <row r="9267" spans="1:15" x14ac:dyDescent="0.25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</row>
    <row r="9268" spans="1:15" x14ac:dyDescent="0.25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</row>
    <row r="9269" spans="1:15" x14ac:dyDescent="0.25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</row>
    <row r="9270" spans="1:15" x14ac:dyDescent="0.25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</row>
    <row r="9271" spans="1:15" x14ac:dyDescent="0.25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</row>
    <row r="9272" spans="1:15" x14ac:dyDescent="0.25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</row>
    <row r="9273" spans="1:15" x14ac:dyDescent="0.25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</row>
    <row r="9274" spans="1:15" x14ac:dyDescent="0.25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</row>
    <row r="9275" spans="1:15" x14ac:dyDescent="0.2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</row>
    <row r="9276" spans="1:15" x14ac:dyDescent="0.25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</row>
    <row r="9277" spans="1:15" x14ac:dyDescent="0.25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</row>
    <row r="9278" spans="1:15" x14ac:dyDescent="0.25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</row>
    <row r="9279" spans="1:15" x14ac:dyDescent="0.25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</row>
    <row r="9280" spans="1:15" x14ac:dyDescent="0.25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</row>
    <row r="9281" spans="1:15" x14ac:dyDescent="0.25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</row>
    <row r="9282" spans="1:15" x14ac:dyDescent="0.25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</row>
    <row r="9283" spans="1:15" x14ac:dyDescent="0.25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</row>
    <row r="9284" spans="1:15" x14ac:dyDescent="0.25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</row>
    <row r="9285" spans="1:15" x14ac:dyDescent="0.2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</row>
    <row r="9286" spans="1:15" x14ac:dyDescent="0.25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</row>
    <row r="9287" spans="1:15" x14ac:dyDescent="0.25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</row>
    <row r="9288" spans="1:15" x14ac:dyDescent="0.25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</row>
    <row r="9289" spans="1:15" x14ac:dyDescent="0.25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</row>
    <row r="9290" spans="1:15" x14ac:dyDescent="0.25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</row>
  </sheetData>
  <sheetProtection password="CAB3" sheet="1" objects="1" scenarios="1"/>
  <conditionalFormatting sqref="L1:XFD1048576">
    <cfRule type="cellIs" dxfId="20" priority="2" operator="equal">
      <formula>"iferror"</formula>
    </cfRule>
  </conditionalFormatting>
  <conditionalFormatting sqref="A1:K1048576">
    <cfRule type="cellIs" dxfId="19" priority="1" operator="equal">
      <formula>"iferror"</formula>
    </cfRule>
  </conditionalFormatting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33"/>
  <sheetViews>
    <sheetView workbookViewId="0">
      <selection activeCell="B8" sqref="B8"/>
    </sheetView>
  </sheetViews>
  <sheetFormatPr defaultRowHeight="15" x14ac:dyDescent="0.25"/>
  <cols>
    <col min="1" max="1" width="36" style="33" customWidth="1"/>
    <col min="2" max="2" width="16.85546875" style="33" customWidth="1"/>
    <col min="3" max="3" width="4" style="33" customWidth="1"/>
    <col min="4" max="5" width="3.7109375" style="33" customWidth="1"/>
    <col min="6" max="9" width="4.7109375" style="33" customWidth="1"/>
    <col min="10" max="10" width="4.42578125" style="33" customWidth="1"/>
    <col min="11" max="11" width="5.28515625" style="33" customWidth="1"/>
    <col min="12" max="13" width="4.7109375" style="33" customWidth="1"/>
    <col min="14" max="14" width="3.7109375" style="33" customWidth="1"/>
    <col min="15" max="19" width="4.7109375" style="33" customWidth="1"/>
    <col min="20" max="20" width="4.28515625" style="33" customWidth="1"/>
    <col min="21" max="22" width="5.28515625" style="33" customWidth="1"/>
    <col min="23" max="23" width="11.7109375" style="33" customWidth="1"/>
    <col min="24" max="24" width="4.28515625" style="33" customWidth="1"/>
    <col min="25" max="25" width="4" style="33" customWidth="1"/>
    <col min="26" max="30" width="4.7109375" style="33" customWidth="1"/>
    <col min="31" max="31" width="4.28515625" style="33" customWidth="1"/>
    <col min="32" max="33" width="5.28515625" style="33" customWidth="1"/>
    <col min="34" max="34" width="11.7109375" style="33" customWidth="1"/>
    <col min="35" max="36" width="10.7109375" style="33" customWidth="1"/>
    <col min="37" max="37" width="11.28515625" style="33" customWidth="1"/>
    <col min="38" max="38" width="11.28515625" style="33" bestFit="1" customWidth="1"/>
    <col min="39" max="16384" width="9.140625" style="33"/>
  </cols>
  <sheetData>
    <row r="1" spans="1:34" x14ac:dyDescent="0.25">
      <c r="A1" s="54" t="s">
        <v>166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179</v>
      </c>
      <c r="D2" t="s">
        <v>180</v>
      </c>
      <c r="E2" t="s">
        <v>181</v>
      </c>
      <c r="F2" t="s">
        <v>184</v>
      </c>
      <c r="G2" t="s">
        <v>185</v>
      </c>
      <c r="H2" t="s">
        <v>186</v>
      </c>
      <c r="I2" t="s">
        <v>189</v>
      </c>
      <c r="J2" t="s">
        <v>190</v>
      </c>
      <c r="K2" t="s">
        <v>191</v>
      </c>
      <c r="L2" t="s">
        <v>194</v>
      </c>
      <c r="M2" t="s">
        <v>195</v>
      </c>
      <c r="N2" t="s">
        <v>206</v>
      </c>
      <c r="O2" t="s">
        <v>207</v>
      </c>
      <c r="P2" t="s">
        <v>208</v>
      </c>
      <c r="Q2" t="s">
        <v>209</v>
      </c>
      <c r="R2" t="s">
        <v>210</v>
      </c>
      <c r="S2" t="s">
        <v>211</v>
      </c>
      <c r="T2" t="s">
        <v>224</v>
      </c>
      <c r="U2" t="s">
        <v>225</v>
      </c>
      <c r="V2" t="s">
        <v>226</v>
      </c>
      <c r="W2" t="s">
        <v>165</v>
      </c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0</v>
      </c>
      <c r="B3" s="56">
        <v>13</v>
      </c>
      <c r="C3" s="56">
        <v>56</v>
      </c>
      <c r="D3" s="56">
        <v>75</v>
      </c>
      <c r="E3" s="56">
        <v>27</v>
      </c>
      <c r="F3" s="56">
        <v>66</v>
      </c>
      <c r="G3" s="56">
        <v>36</v>
      </c>
      <c r="H3" s="56">
        <v>25</v>
      </c>
      <c r="I3" s="56">
        <v>68</v>
      </c>
      <c r="J3" s="56">
        <v>83</v>
      </c>
      <c r="K3" s="56">
        <v>49</v>
      </c>
      <c r="L3" s="56">
        <v>69</v>
      </c>
      <c r="M3" s="56">
        <v>31</v>
      </c>
      <c r="N3" s="56">
        <v>58</v>
      </c>
      <c r="O3" s="56">
        <v>79</v>
      </c>
      <c r="P3" s="56">
        <v>37</v>
      </c>
      <c r="Q3" s="56">
        <v>50</v>
      </c>
      <c r="R3" s="56">
        <v>86</v>
      </c>
      <c r="S3" s="56">
        <v>104</v>
      </c>
      <c r="T3" s="56">
        <v>45</v>
      </c>
      <c r="U3" s="56">
        <v>51</v>
      </c>
      <c r="V3" s="56">
        <v>25</v>
      </c>
      <c r="W3" s="56">
        <v>1133</v>
      </c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4</v>
      </c>
      <c r="B4" s="56">
        <v>8</v>
      </c>
      <c r="C4" s="56">
        <v>30</v>
      </c>
      <c r="D4" s="56">
        <v>64</v>
      </c>
      <c r="E4" s="56">
        <v>18</v>
      </c>
      <c r="F4" s="56">
        <v>44</v>
      </c>
      <c r="G4" s="56">
        <v>26</v>
      </c>
      <c r="H4" s="56">
        <v>19</v>
      </c>
      <c r="I4" s="56">
        <v>38</v>
      </c>
      <c r="J4" s="56">
        <v>59</v>
      </c>
      <c r="K4" s="56">
        <v>34</v>
      </c>
      <c r="L4" s="56">
        <v>40</v>
      </c>
      <c r="M4" s="56">
        <v>21</v>
      </c>
      <c r="N4" s="56">
        <v>33</v>
      </c>
      <c r="O4" s="56">
        <v>55</v>
      </c>
      <c r="P4" s="56">
        <v>28</v>
      </c>
      <c r="Q4" s="56">
        <v>41</v>
      </c>
      <c r="R4" s="56">
        <v>51</v>
      </c>
      <c r="S4" s="56">
        <v>17</v>
      </c>
      <c r="T4" s="56">
        <v>26</v>
      </c>
      <c r="U4" s="56">
        <v>36</v>
      </c>
      <c r="V4" s="56">
        <v>17</v>
      </c>
      <c r="W4" s="56">
        <v>705</v>
      </c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57" t="s">
        <v>3</v>
      </c>
      <c r="B5" s="56">
        <v>5</v>
      </c>
      <c r="C5" s="56">
        <v>26</v>
      </c>
      <c r="D5" s="56">
        <v>11</v>
      </c>
      <c r="E5" s="56">
        <v>9</v>
      </c>
      <c r="F5" s="56">
        <v>22</v>
      </c>
      <c r="G5" s="56">
        <v>10</v>
      </c>
      <c r="H5" s="56">
        <v>6</v>
      </c>
      <c r="I5" s="56">
        <v>30</v>
      </c>
      <c r="J5" s="56">
        <v>24</v>
      </c>
      <c r="K5" s="56">
        <v>15</v>
      </c>
      <c r="L5" s="56">
        <v>29</v>
      </c>
      <c r="M5" s="56">
        <v>10</v>
      </c>
      <c r="N5" s="56">
        <v>25</v>
      </c>
      <c r="O5" s="56">
        <v>24</v>
      </c>
      <c r="P5" s="56">
        <v>9</v>
      </c>
      <c r="Q5" s="56">
        <v>9</v>
      </c>
      <c r="R5" s="56">
        <v>35</v>
      </c>
      <c r="S5" s="56">
        <v>87</v>
      </c>
      <c r="T5" s="56">
        <v>19</v>
      </c>
      <c r="U5" s="56">
        <v>15</v>
      </c>
      <c r="V5" s="56">
        <v>8</v>
      </c>
      <c r="W5" s="56">
        <v>428</v>
      </c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5" t="s">
        <v>1</v>
      </c>
      <c r="B6" s="56">
        <v>9</v>
      </c>
      <c r="C6" s="56">
        <v>36</v>
      </c>
      <c r="D6" s="56">
        <v>14</v>
      </c>
      <c r="E6" s="56">
        <v>26</v>
      </c>
      <c r="F6" s="56">
        <v>38</v>
      </c>
      <c r="G6" s="56">
        <v>21</v>
      </c>
      <c r="H6" s="56">
        <v>12</v>
      </c>
      <c r="I6" s="56">
        <v>45</v>
      </c>
      <c r="J6" s="56">
        <v>21</v>
      </c>
      <c r="K6" s="56">
        <v>34</v>
      </c>
      <c r="L6" s="56">
        <v>29</v>
      </c>
      <c r="M6" s="56">
        <v>15</v>
      </c>
      <c r="N6" s="56">
        <v>26</v>
      </c>
      <c r="O6" s="56">
        <v>28</v>
      </c>
      <c r="P6" s="56">
        <v>44</v>
      </c>
      <c r="Q6" s="56">
        <v>27</v>
      </c>
      <c r="R6" s="56">
        <v>35</v>
      </c>
      <c r="S6" s="56">
        <v>18</v>
      </c>
      <c r="T6" s="56">
        <v>43</v>
      </c>
      <c r="U6" s="56">
        <v>35</v>
      </c>
      <c r="V6" s="56">
        <v>17</v>
      </c>
      <c r="W6" s="56">
        <v>573</v>
      </c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7" t="s">
        <v>4</v>
      </c>
      <c r="B7" s="56">
        <v>6</v>
      </c>
      <c r="C7" s="56">
        <v>25</v>
      </c>
      <c r="D7" s="56">
        <v>6</v>
      </c>
      <c r="E7" s="56">
        <v>17</v>
      </c>
      <c r="F7" s="56">
        <v>21</v>
      </c>
      <c r="G7" s="56">
        <v>13</v>
      </c>
      <c r="H7" s="56">
        <v>8</v>
      </c>
      <c r="I7" s="56">
        <v>27</v>
      </c>
      <c r="J7" s="56">
        <v>12</v>
      </c>
      <c r="K7" s="56">
        <v>23</v>
      </c>
      <c r="L7" s="56">
        <v>19</v>
      </c>
      <c r="M7" s="56">
        <v>9</v>
      </c>
      <c r="N7" s="56">
        <v>20</v>
      </c>
      <c r="O7" s="56">
        <v>22</v>
      </c>
      <c r="P7" s="56">
        <v>28</v>
      </c>
      <c r="Q7" s="56">
        <v>20</v>
      </c>
      <c r="R7" s="56">
        <v>20</v>
      </c>
      <c r="S7" s="56">
        <v>15</v>
      </c>
      <c r="T7" s="56">
        <v>28</v>
      </c>
      <c r="U7" s="56">
        <v>21</v>
      </c>
      <c r="V7" s="56">
        <v>11</v>
      </c>
      <c r="W7" s="56">
        <v>371</v>
      </c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57" t="s">
        <v>3</v>
      </c>
      <c r="B8" s="56">
        <v>3</v>
      </c>
      <c r="C8" s="56">
        <v>10</v>
      </c>
      <c r="D8" s="56">
        <v>8</v>
      </c>
      <c r="E8" s="56">
        <v>8</v>
      </c>
      <c r="F8" s="56">
        <v>13</v>
      </c>
      <c r="G8" s="56">
        <v>5</v>
      </c>
      <c r="H8" s="56">
        <v>4</v>
      </c>
      <c r="I8" s="56">
        <v>17</v>
      </c>
      <c r="J8" s="56">
        <v>9</v>
      </c>
      <c r="K8" s="56">
        <v>11</v>
      </c>
      <c r="L8" s="56">
        <v>10</v>
      </c>
      <c r="M8" s="56">
        <v>6</v>
      </c>
      <c r="N8" s="56">
        <v>6</v>
      </c>
      <c r="O8" s="56">
        <v>6</v>
      </c>
      <c r="P8" s="56">
        <v>16</v>
      </c>
      <c r="Q8" s="56">
        <v>7</v>
      </c>
      <c r="R8" s="56">
        <v>13</v>
      </c>
      <c r="S8" s="56">
        <v>1</v>
      </c>
      <c r="T8" s="56">
        <v>14</v>
      </c>
      <c r="U8" s="56">
        <v>12</v>
      </c>
      <c r="V8" s="56">
        <v>6</v>
      </c>
      <c r="W8" s="56">
        <v>185</v>
      </c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57" t="s">
        <v>233</v>
      </c>
      <c r="B9" s="56"/>
      <c r="C9" s="56"/>
      <c r="D9" s="56"/>
      <c r="E9" s="56">
        <v>1</v>
      </c>
      <c r="F9" s="56">
        <v>1</v>
      </c>
      <c r="G9" s="56">
        <v>1</v>
      </c>
      <c r="H9" s="56"/>
      <c r="I9" s="56"/>
      <c r="J9" s="56"/>
      <c r="K9" s="56"/>
      <c r="L9" s="56"/>
      <c r="M9" s="56"/>
      <c r="N9" s="56"/>
      <c r="O9" s="56"/>
      <c r="P9" s="56"/>
      <c r="Q9" s="56"/>
      <c r="R9" s="56">
        <v>2</v>
      </c>
      <c r="S9" s="56">
        <v>1</v>
      </c>
      <c r="T9" s="56"/>
      <c r="U9" s="56">
        <v>2</v>
      </c>
      <c r="V9" s="56"/>
      <c r="W9" s="56">
        <v>8</v>
      </c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57" t="s">
        <v>232</v>
      </c>
      <c r="B10" s="56"/>
      <c r="C10" s="56">
        <v>1</v>
      </c>
      <c r="D10" s="56"/>
      <c r="E10" s="56"/>
      <c r="F10" s="56">
        <v>3</v>
      </c>
      <c r="G10" s="56">
        <v>2</v>
      </c>
      <c r="H10" s="56"/>
      <c r="I10" s="56">
        <v>1</v>
      </c>
      <c r="J10" s="56"/>
      <c r="K10" s="56"/>
      <c r="L10" s="56"/>
      <c r="M10" s="56"/>
      <c r="N10" s="56"/>
      <c r="O10" s="56"/>
      <c r="P10" s="56"/>
      <c r="Q10" s="56"/>
      <c r="R10" s="56"/>
      <c r="S10" s="56">
        <v>1</v>
      </c>
      <c r="T10" s="56">
        <v>1</v>
      </c>
      <c r="U10" s="56"/>
      <c r="V10" s="56"/>
      <c r="W10" s="56">
        <v>9</v>
      </c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55" t="s">
        <v>22</v>
      </c>
      <c r="B11" s="56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>
        <v>30</v>
      </c>
      <c r="U11" s="56"/>
      <c r="V11" s="56"/>
      <c r="W11" s="56">
        <v>30</v>
      </c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57"/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>
        <v>30</v>
      </c>
      <c r="U12" s="56"/>
      <c r="V12" s="56"/>
      <c r="W12" s="56">
        <v>30</v>
      </c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5" t="s">
        <v>310</v>
      </c>
      <c r="B13" s="56">
        <v>1</v>
      </c>
      <c r="C13" s="56">
        <v>21</v>
      </c>
      <c r="D13" s="56"/>
      <c r="E13" s="56"/>
      <c r="F13" s="56">
        <v>2</v>
      </c>
      <c r="G13" s="56">
        <v>1</v>
      </c>
      <c r="H13" s="56"/>
      <c r="I13" s="56"/>
      <c r="J13" s="56"/>
      <c r="K13" s="56"/>
      <c r="L13" s="56"/>
      <c r="M13" s="56">
        <v>1</v>
      </c>
      <c r="N13" s="56"/>
      <c r="O13" s="56">
        <v>12</v>
      </c>
      <c r="P13" s="56"/>
      <c r="Q13" s="56"/>
      <c r="R13" s="56"/>
      <c r="S13" s="56">
        <v>1</v>
      </c>
      <c r="T13" s="56"/>
      <c r="U13" s="56"/>
      <c r="V13" s="56">
        <v>1</v>
      </c>
      <c r="W13" s="56">
        <v>40</v>
      </c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7"/>
      <c r="B14" s="56">
        <v>1</v>
      </c>
      <c r="C14" s="56">
        <v>21</v>
      </c>
      <c r="D14" s="56"/>
      <c r="E14" s="56"/>
      <c r="F14" s="56">
        <v>1</v>
      </c>
      <c r="G14" s="56"/>
      <c r="H14" s="56"/>
      <c r="I14" s="56"/>
      <c r="J14" s="56"/>
      <c r="K14" s="56"/>
      <c r="L14" s="56"/>
      <c r="M14" s="56">
        <v>1</v>
      </c>
      <c r="N14" s="56"/>
      <c r="O14" s="56">
        <v>10</v>
      </c>
      <c r="P14" s="56"/>
      <c r="Q14" s="56"/>
      <c r="R14" s="56"/>
      <c r="S14" s="56"/>
      <c r="T14" s="56"/>
      <c r="U14" s="56"/>
      <c r="V14" s="56"/>
      <c r="W14" s="56">
        <v>34</v>
      </c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57" t="s">
        <v>4</v>
      </c>
      <c r="B15" s="56"/>
      <c r="C15" s="56"/>
      <c r="D15" s="56"/>
      <c r="E15" s="56"/>
      <c r="F15" s="56">
        <v>1</v>
      </c>
      <c r="G15" s="56"/>
      <c r="H15" s="56"/>
      <c r="I15" s="56"/>
      <c r="J15" s="56"/>
      <c r="K15" s="56"/>
      <c r="L15" s="56"/>
      <c r="M15" s="56"/>
      <c r="N15" s="56"/>
      <c r="O15" s="56">
        <v>2</v>
      </c>
      <c r="P15" s="56"/>
      <c r="Q15" s="56"/>
      <c r="R15" s="56"/>
      <c r="S15" s="56">
        <v>1</v>
      </c>
      <c r="T15" s="56"/>
      <c r="U15" s="56"/>
      <c r="V15" s="56">
        <v>1</v>
      </c>
      <c r="W15" s="56">
        <v>5</v>
      </c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57" t="s">
        <v>3</v>
      </c>
      <c r="B16" s="56"/>
      <c r="C16" s="56"/>
      <c r="D16" s="56"/>
      <c r="E16" s="56"/>
      <c r="F16" s="56"/>
      <c r="G16" s="56">
        <v>1</v>
      </c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>
        <v>1</v>
      </c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55" t="s">
        <v>165</v>
      </c>
      <c r="B17" s="56">
        <v>23</v>
      </c>
      <c r="C17" s="56">
        <v>113</v>
      </c>
      <c r="D17" s="56">
        <v>89</v>
      </c>
      <c r="E17" s="56">
        <v>53</v>
      </c>
      <c r="F17" s="56">
        <v>106</v>
      </c>
      <c r="G17" s="56">
        <v>58</v>
      </c>
      <c r="H17" s="56">
        <v>37</v>
      </c>
      <c r="I17" s="56">
        <v>113</v>
      </c>
      <c r="J17" s="56">
        <v>104</v>
      </c>
      <c r="K17" s="56">
        <v>83</v>
      </c>
      <c r="L17" s="56">
        <v>98</v>
      </c>
      <c r="M17" s="56">
        <v>47</v>
      </c>
      <c r="N17" s="56">
        <v>84</v>
      </c>
      <c r="O17" s="56">
        <v>119</v>
      </c>
      <c r="P17" s="56">
        <v>81</v>
      </c>
      <c r="Q17" s="56">
        <v>77</v>
      </c>
      <c r="R17" s="56">
        <v>121</v>
      </c>
      <c r="S17" s="56">
        <v>123</v>
      </c>
      <c r="T17" s="56">
        <v>118</v>
      </c>
      <c r="U17" s="56">
        <v>86</v>
      </c>
      <c r="V17" s="56">
        <v>43</v>
      </c>
      <c r="W17" s="56">
        <v>1776</v>
      </c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</row>
    <row r="30" spans="1:34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</row>
    <row r="31" spans="1:34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</row>
    <row r="32" spans="1:34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</row>
    <row r="33" spans="1:33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135"/>
  <sheetViews>
    <sheetView workbookViewId="0">
      <selection activeCell="B11" sqref="B11"/>
    </sheetView>
  </sheetViews>
  <sheetFormatPr defaultRowHeight="15" x14ac:dyDescent="0.25"/>
  <cols>
    <col min="1" max="1" width="21.140625" style="33" customWidth="1"/>
    <col min="2" max="2" width="16.85546875" style="33" bestFit="1" customWidth="1"/>
    <col min="3" max="3" width="4" style="33" customWidth="1"/>
    <col min="4" max="5" width="3.7109375" style="33" customWidth="1"/>
    <col min="6" max="9" width="4.7109375" style="33" customWidth="1"/>
    <col min="10" max="10" width="4.42578125" style="33" customWidth="1"/>
    <col min="11" max="11" width="5.28515625" style="33" customWidth="1"/>
    <col min="12" max="13" width="4.7109375" style="33" customWidth="1"/>
    <col min="14" max="14" width="3.7109375" style="33" customWidth="1"/>
    <col min="15" max="19" width="4.7109375" style="33" customWidth="1"/>
    <col min="20" max="20" width="4.28515625" style="33" customWidth="1"/>
    <col min="21" max="21" width="5.28515625" style="33" bestFit="1" customWidth="1"/>
    <col min="22" max="22" width="5.28515625" style="33" customWidth="1"/>
    <col min="23" max="23" width="11.7109375" style="33" customWidth="1"/>
    <col min="24" max="24" width="4.28515625" style="33" customWidth="1"/>
    <col min="25" max="25" width="4" style="33" customWidth="1"/>
    <col min="26" max="27" width="4.7109375" style="33" customWidth="1"/>
    <col min="28" max="29" width="4.7109375" style="33" bestFit="1" customWidth="1"/>
    <col min="30" max="30" width="4.7109375" style="33" customWidth="1"/>
    <col min="31" max="31" width="4.28515625" style="33" customWidth="1"/>
    <col min="32" max="32" width="5.28515625" style="33" bestFit="1" customWidth="1"/>
    <col min="33" max="33" width="5.28515625" style="33" customWidth="1"/>
    <col min="34" max="34" width="11.7109375" style="33" bestFit="1" customWidth="1"/>
    <col min="35" max="36" width="10.7109375" style="33" bestFit="1" customWidth="1"/>
    <col min="37" max="37" width="7.28515625" style="33" bestFit="1" customWidth="1"/>
    <col min="38" max="38" width="11.28515625" style="33" bestFit="1" customWidth="1"/>
    <col min="39" max="16384" width="9.140625" style="33"/>
  </cols>
  <sheetData>
    <row r="1" spans="1:34" x14ac:dyDescent="0.25">
      <c r="A1" s="54" t="s">
        <v>212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179</v>
      </c>
      <c r="D2" t="s">
        <v>180</v>
      </c>
      <c r="E2" t="s">
        <v>181</v>
      </c>
      <c r="F2" t="s">
        <v>184</v>
      </c>
      <c r="G2" t="s">
        <v>185</v>
      </c>
      <c r="H2" t="s">
        <v>186</v>
      </c>
      <c r="I2" t="s">
        <v>189</v>
      </c>
      <c r="J2" t="s">
        <v>190</v>
      </c>
      <c r="K2" t="s">
        <v>191</v>
      </c>
      <c r="L2" t="s">
        <v>194</v>
      </c>
      <c r="M2" t="s">
        <v>195</v>
      </c>
      <c r="N2" t="s">
        <v>206</v>
      </c>
      <c r="O2" t="s">
        <v>207</v>
      </c>
      <c r="P2" t="s">
        <v>208</v>
      </c>
      <c r="Q2" t="s">
        <v>209</v>
      </c>
      <c r="R2" t="s">
        <v>210</v>
      </c>
      <c r="S2" t="s">
        <v>211</v>
      </c>
      <c r="T2" t="s">
        <v>224</v>
      </c>
      <c r="U2" t="s">
        <v>225</v>
      </c>
      <c r="V2" t="s">
        <v>226</v>
      </c>
      <c r="W2" t="s">
        <v>165</v>
      </c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115</v>
      </c>
      <c r="B3" s="56"/>
      <c r="C3" s="56"/>
      <c r="D3" s="56"/>
      <c r="E3" s="56"/>
      <c r="F3" s="56">
        <v>3</v>
      </c>
      <c r="G3" s="56"/>
      <c r="H3" s="56"/>
      <c r="I3" s="56">
        <v>9</v>
      </c>
      <c r="J3" s="56"/>
      <c r="K3" s="56"/>
      <c r="L3" s="56">
        <v>8</v>
      </c>
      <c r="M3" s="56"/>
      <c r="N3" s="56"/>
      <c r="O3" s="56">
        <v>4</v>
      </c>
      <c r="P3" s="56">
        <v>4</v>
      </c>
      <c r="Q3" s="56"/>
      <c r="R3" s="56">
        <v>7</v>
      </c>
      <c r="S3" s="56"/>
      <c r="T3" s="56"/>
      <c r="U3" s="56"/>
      <c r="V3" s="56"/>
      <c r="W3" s="56">
        <v>35</v>
      </c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17</v>
      </c>
      <c r="B4" s="56"/>
      <c r="C4" s="56"/>
      <c r="D4" s="56"/>
      <c r="E4" s="56"/>
      <c r="F4" s="56">
        <v>2</v>
      </c>
      <c r="G4" s="56"/>
      <c r="H4" s="56"/>
      <c r="I4" s="56"/>
      <c r="J4" s="56"/>
      <c r="K4" s="56"/>
      <c r="L4" s="56">
        <v>2</v>
      </c>
      <c r="M4" s="56"/>
      <c r="N4" s="56"/>
      <c r="O4" s="56"/>
      <c r="P4" s="56">
        <v>2</v>
      </c>
      <c r="Q4" s="56"/>
      <c r="R4" s="56">
        <v>4</v>
      </c>
      <c r="S4" s="56"/>
      <c r="T4" s="56"/>
      <c r="U4" s="56"/>
      <c r="V4" s="56"/>
      <c r="W4" s="56">
        <v>10</v>
      </c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57" t="s">
        <v>159</v>
      </c>
      <c r="B5" s="56"/>
      <c r="C5" s="56"/>
      <c r="D5" s="56"/>
      <c r="E5" s="56"/>
      <c r="F5" s="56"/>
      <c r="G5" s="56"/>
      <c r="H5" s="56"/>
      <c r="I5" s="56">
        <v>5</v>
      </c>
      <c r="J5" s="56"/>
      <c r="K5" s="56"/>
      <c r="L5" s="56">
        <v>3</v>
      </c>
      <c r="M5" s="56"/>
      <c r="N5" s="56"/>
      <c r="O5" s="56"/>
      <c r="P5" s="56"/>
      <c r="Q5" s="56"/>
      <c r="R5" s="56">
        <v>1</v>
      </c>
      <c r="S5" s="56"/>
      <c r="T5" s="56"/>
      <c r="U5" s="56"/>
      <c r="V5" s="56"/>
      <c r="W5" s="56">
        <v>9</v>
      </c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7" t="s">
        <v>19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>
        <v>1</v>
      </c>
      <c r="M6" s="56"/>
      <c r="N6" s="56"/>
      <c r="O6" s="56"/>
      <c r="P6" s="56"/>
      <c r="Q6" s="56"/>
      <c r="R6" s="56"/>
      <c r="S6" s="56"/>
      <c r="T6" s="56"/>
      <c r="U6" s="56"/>
      <c r="V6" s="56"/>
      <c r="W6" s="56">
        <v>1</v>
      </c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7" t="s">
        <v>18</v>
      </c>
      <c r="B7" s="56"/>
      <c r="C7" s="56"/>
      <c r="D7" s="56"/>
      <c r="E7" s="56"/>
      <c r="F7" s="56">
        <v>1</v>
      </c>
      <c r="G7" s="56"/>
      <c r="H7" s="56"/>
      <c r="I7" s="56">
        <v>4</v>
      </c>
      <c r="J7" s="56"/>
      <c r="K7" s="56"/>
      <c r="L7" s="56">
        <v>2</v>
      </c>
      <c r="M7" s="56"/>
      <c r="N7" s="56"/>
      <c r="O7" s="56">
        <v>4</v>
      </c>
      <c r="P7" s="56">
        <v>2</v>
      </c>
      <c r="Q7" s="56"/>
      <c r="R7" s="56">
        <v>2</v>
      </c>
      <c r="S7" s="56"/>
      <c r="T7" s="56"/>
      <c r="U7" s="56"/>
      <c r="V7" s="56"/>
      <c r="W7" s="56">
        <v>15</v>
      </c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55" t="s">
        <v>113</v>
      </c>
      <c r="B8" s="56">
        <v>12</v>
      </c>
      <c r="C8" s="56">
        <v>53</v>
      </c>
      <c r="D8" s="56">
        <v>78</v>
      </c>
      <c r="E8" s="56">
        <v>41</v>
      </c>
      <c r="F8" s="56">
        <v>36</v>
      </c>
      <c r="G8" s="56">
        <v>31</v>
      </c>
      <c r="H8" s="56">
        <v>26</v>
      </c>
      <c r="I8" s="56">
        <v>29</v>
      </c>
      <c r="J8" s="56">
        <v>31</v>
      </c>
      <c r="K8" s="56">
        <v>20</v>
      </c>
      <c r="L8" s="56">
        <v>37</v>
      </c>
      <c r="M8" s="56">
        <v>22</v>
      </c>
      <c r="N8" s="56">
        <v>23</v>
      </c>
      <c r="O8" s="56">
        <v>34</v>
      </c>
      <c r="P8" s="56">
        <v>17</v>
      </c>
      <c r="Q8" s="56">
        <v>17</v>
      </c>
      <c r="R8" s="56">
        <v>26</v>
      </c>
      <c r="S8" s="56">
        <v>21</v>
      </c>
      <c r="T8" s="56">
        <v>59</v>
      </c>
      <c r="U8" s="56">
        <v>41</v>
      </c>
      <c r="V8" s="56">
        <v>27</v>
      </c>
      <c r="W8" s="56">
        <v>681</v>
      </c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57"/>
      <c r="B9" s="56">
        <v>1</v>
      </c>
      <c r="C9" s="56">
        <v>21</v>
      </c>
      <c r="D9" s="56"/>
      <c r="E9" s="56"/>
      <c r="F9" s="56"/>
      <c r="G9" s="56"/>
      <c r="H9" s="56"/>
      <c r="I9" s="56"/>
      <c r="J9" s="56"/>
      <c r="K9" s="56"/>
      <c r="L9" s="56"/>
      <c r="M9" s="56">
        <v>1</v>
      </c>
      <c r="N9" s="56"/>
      <c r="O9" s="56">
        <v>2</v>
      </c>
      <c r="P9" s="56"/>
      <c r="Q9" s="56"/>
      <c r="R9" s="56"/>
      <c r="S9" s="56"/>
      <c r="T9" s="56"/>
      <c r="U9" s="56"/>
      <c r="V9" s="56">
        <v>1</v>
      </c>
      <c r="W9" s="56">
        <v>26</v>
      </c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57" t="s">
        <v>17</v>
      </c>
      <c r="B10" s="56">
        <v>1</v>
      </c>
      <c r="C10" s="56">
        <v>5</v>
      </c>
      <c r="D10" s="56">
        <v>6</v>
      </c>
      <c r="E10" s="56">
        <v>13</v>
      </c>
      <c r="F10" s="56">
        <v>7</v>
      </c>
      <c r="G10" s="56">
        <v>2</v>
      </c>
      <c r="H10" s="56">
        <v>3</v>
      </c>
      <c r="I10" s="56">
        <v>2</v>
      </c>
      <c r="J10" s="56">
        <v>8</v>
      </c>
      <c r="K10" s="56">
        <v>8</v>
      </c>
      <c r="L10" s="56">
        <v>9</v>
      </c>
      <c r="M10" s="56">
        <v>5</v>
      </c>
      <c r="N10" s="56">
        <v>6</v>
      </c>
      <c r="O10" s="56">
        <v>6</v>
      </c>
      <c r="P10" s="56">
        <v>5</v>
      </c>
      <c r="Q10" s="56">
        <v>6</v>
      </c>
      <c r="R10" s="56">
        <v>6</v>
      </c>
      <c r="S10" s="56">
        <v>9</v>
      </c>
      <c r="T10" s="56">
        <v>6</v>
      </c>
      <c r="U10" s="56">
        <v>9</v>
      </c>
      <c r="V10" s="56">
        <v>6</v>
      </c>
      <c r="W10" s="56">
        <v>128</v>
      </c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57" t="s">
        <v>159</v>
      </c>
      <c r="B11" s="56">
        <v>8</v>
      </c>
      <c r="C11" s="56">
        <v>19</v>
      </c>
      <c r="D11" s="56">
        <v>15</v>
      </c>
      <c r="E11" s="56">
        <v>28</v>
      </c>
      <c r="F11" s="56">
        <v>12</v>
      </c>
      <c r="G11" s="56">
        <v>7</v>
      </c>
      <c r="H11" s="56">
        <v>23</v>
      </c>
      <c r="I11" s="56">
        <v>15</v>
      </c>
      <c r="J11" s="56">
        <v>6</v>
      </c>
      <c r="K11" s="56">
        <v>10</v>
      </c>
      <c r="L11" s="56">
        <v>13</v>
      </c>
      <c r="M11" s="56">
        <v>11</v>
      </c>
      <c r="N11" s="56">
        <v>17</v>
      </c>
      <c r="O11" s="56">
        <v>8</v>
      </c>
      <c r="P11" s="56">
        <v>10</v>
      </c>
      <c r="Q11" s="56">
        <v>11</v>
      </c>
      <c r="R11" s="56">
        <v>7</v>
      </c>
      <c r="S11" s="56">
        <v>10</v>
      </c>
      <c r="T11" s="56">
        <v>18</v>
      </c>
      <c r="U11" s="56">
        <v>27</v>
      </c>
      <c r="V11" s="56">
        <v>19</v>
      </c>
      <c r="W11" s="56">
        <v>294</v>
      </c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57" t="s">
        <v>7</v>
      </c>
      <c r="B12" s="56"/>
      <c r="C12" s="56">
        <v>7</v>
      </c>
      <c r="D12" s="56">
        <v>57</v>
      </c>
      <c r="E12" s="56"/>
      <c r="F12" s="56">
        <v>17</v>
      </c>
      <c r="G12" s="56">
        <v>22</v>
      </c>
      <c r="H12" s="56"/>
      <c r="I12" s="56">
        <v>12</v>
      </c>
      <c r="J12" s="56">
        <v>16</v>
      </c>
      <c r="K12" s="56"/>
      <c r="L12" s="56">
        <v>15</v>
      </c>
      <c r="M12" s="56">
        <v>5</v>
      </c>
      <c r="N12" s="56"/>
      <c r="O12" s="56">
        <v>8</v>
      </c>
      <c r="P12" s="56">
        <v>2</v>
      </c>
      <c r="Q12" s="56"/>
      <c r="R12" s="56">
        <v>11</v>
      </c>
      <c r="S12" s="56"/>
      <c r="T12" s="56">
        <v>5</v>
      </c>
      <c r="U12" s="56">
        <v>5</v>
      </c>
      <c r="V12" s="56"/>
      <c r="W12" s="56">
        <v>182</v>
      </c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7" t="s">
        <v>18</v>
      </c>
      <c r="B13" s="56">
        <v>2</v>
      </c>
      <c r="C13" s="56">
        <v>1</v>
      </c>
      <c r="D13" s="56"/>
      <c r="E13" s="56"/>
      <c r="F13" s="56"/>
      <c r="G13" s="56"/>
      <c r="H13" s="56"/>
      <c r="I13" s="56"/>
      <c r="J13" s="56">
        <v>1</v>
      </c>
      <c r="K13" s="56">
        <v>2</v>
      </c>
      <c r="L13" s="56"/>
      <c r="M13" s="56"/>
      <c r="N13" s="56"/>
      <c r="O13" s="56"/>
      <c r="P13" s="56"/>
      <c r="Q13" s="56"/>
      <c r="R13" s="56">
        <v>2</v>
      </c>
      <c r="S13" s="56">
        <v>2</v>
      </c>
      <c r="T13" s="56"/>
      <c r="U13" s="56"/>
      <c r="V13" s="56">
        <v>1</v>
      </c>
      <c r="W13" s="56">
        <v>11</v>
      </c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7" t="s">
        <v>229</v>
      </c>
      <c r="B14" s="56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>
        <v>10</v>
      </c>
      <c r="P14" s="56"/>
      <c r="Q14" s="56"/>
      <c r="R14" s="56"/>
      <c r="S14" s="56"/>
      <c r="T14" s="56">
        <v>30</v>
      </c>
      <c r="U14" s="56"/>
      <c r="V14" s="56"/>
      <c r="W14" s="56">
        <v>40</v>
      </c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55" t="s">
        <v>114</v>
      </c>
      <c r="B15" s="56">
        <v>9</v>
      </c>
      <c r="C15" s="56">
        <v>14</v>
      </c>
      <c r="D15" s="56">
        <v>11</v>
      </c>
      <c r="E15" s="56">
        <v>11</v>
      </c>
      <c r="F15" s="56">
        <v>18</v>
      </c>
      <c r="G15" s="56">
        <v>7</v>
      </c>
      <c r="H15" s="56">
        <v>11</v>
      </c>
      <c r="I15" s="56">
        <v>16</v>
      </c>
      <c r="J15" s="56"/>
      <c r="K15" s="56">
        <v>20</v>
      </c>
      <c r="L15" s="56">
        <v>18</v>
      </c>
      <c r="M15" s="56">
        <v>11</v>
      </c>
      <c r="N15" s="56">
        <v>11</v>
      </c>
      <c r="O15" s="56">
        <v>11</v>
      </c>
      <c r="P15" s="56">
        <v>18</v>
      </c>
      <c r="Q15" s="56">
        <v>17</v>
      </c>
      <c r="R15" s="56">
        <v>17</v>
      </c>
      <c r="S15" s="56">
        <v>8</v>
      </c>
      <c r="T15" s="56">
        <v>16</v>
      </c>
      <c r="U15" s="56">
        <v>12</v>
      </c>
      <c r="V15" s="56">
        <v>16</v>
      </c>
      <c r="W15" s="56">
        <v>272</v>
      </c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57" t="s">
        <v>17</v>
      </c>
      <c r="B16" s="56">
        <v>5</v>
      </c>
      <c r="C16" s="56">
        <v>2</v>
      </c>
      <c r="D16" s="56">
        <v>4</v>
      </c>
      <c r="E16" s="56">
        <v>6</v>
      </c>
      <c r="F16" s="56">
        <v>6</v>
      </c>
      <c r="G16" s="56">
        <v>7</v>
      </c>
      <c r="H16" s="56">
        <v>5</v>
      </c>
      <c r="I16" s="56">
        <v>5</v>
      </c>
      <c r="J16" s="56"/>
      <c r="K16" s="56">
        <v>10</v>
      </c>
      <c r="L16" s="56">
        <v>9</v>
      </c>
      <c r="M16" s="56">
        <v>5</v>
      </c>
      <c r="N16" s="56">
        <v>5</v>
      </c>
      <c r="O16" s="56">
        <v>6</v>
      </c>
      <c r="P16" s="56">
        <v>8</v>
      </c>
      <c r="Q16" s="56">
        <v>5</v>
      </c>
      <c r="R16" s="56">
        <v>14</v>
      </c>
      <c r="S16" s="56">
        <v>2</v>
      </c>
      <c r="T16" s="56">
        <v>7</v>
      </c>
      <c r="U16" s="56">
        <v>7</v>
      </c>
      <c r="V16" s="56">
        <v>10</v>
      </c>
      <c r="W16" s="56">
        <v>128</v>
      </c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57" t="s">
        <v>159</v>
      </c>
      <c r="B17" s="56"/>
      <c r="C17" s="56"/>
      <c r="D17" s="56">
        <v>1</v>
      </c>
      <c r="E17" s="56"/>
      <c r="F17" s="56"/>
      <c r="G17" s="56"/>
      <c r="H17" s="56">
        <v>2</v>
      </c>
      <c r="I17" s="56">
        <v>1</v>
      </c>
      <c r="J17" s="56"/>
      <c r="K17" s="56">
        <v>2</v>
      </c>
      <c r="L17" s="56"/>
      <c r="M17" s="56"/>
      <c r="N17" s="56"/>
      <c r="O17" s="56"/>
      <c r="P17" s="56"/>
      <c r="Q17" s="56"/>
      <c r="R17" s="56"/>
      <c r="S17" s="56"/>
      <c r="T17" s="56">
        <v>1</v>
      </c>
      <c r="U17" s="56"/>
      <c r="V17" s="56"/>
      <c r="W17" s="56">
        <v>7</v>
      </c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57" t="s">
        <v>7</v>
      </c>
      <c r="B18" s="56">
        <v>4</v>
      </c>
      <c r="C18" s="56">
        <v>12</v>
      </c>
      <c r="D18" s="56">
        <v>6</v>
      </c>
      <c r="E18" s="56">
        <v>5</v>
      </c>
      <c r="F18" s="56">
        <v>12</v>
      </c>
      <c r="G18" s="56"/>
      <c r="H18" s="56">
        <v>4</v>
      </c>
      <c r="I18" s="56">
        <v>10</v>
      </c>
      <c r="J18" s="56"/>
      <c r="K18" s="56">
        <v>8</v>
      </c>
      <c r="L18" s="56">
        <v>9</v>
      </c>
      <c r="M18" s="56">
        <v>6</v>
      </c>
      <c r="N18" s="56">
        <v>6</v>
      </c>
      <c r="O18" s="56">
        <v>5</v>
      </c>
      <c r="P18" s="56">
        <v>10</v>
      </c>
      <c r="Q18" s="56">
        <v>12</v>
      </c>
      <c r="R18" s="56">
        <v>3</v>
      </c>
      <c r="S18" s="56">
        <v>6</v>
      </c>
      <c r="T18" s="56">
        <v>8</v>
      </c>
      <c r="U18" s="56">
        <v>5</v>
      </c>
      <c r="V18" s="56">
        <v>6</v>
      </c>
      <c r="W18" s="56">
        <v>137</v>
      </c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55" t="s">
        <v>116</v>
      </c>
      <c r="B19" s="56">
        <v>2</v>
      </c>
      <c r="C19" s="56">
        <v>16</v>
      </c>
      <c r="D19" s="56"/>
      <c r="E19" s="56">
        <v>1</v>
      </c>
      <c r="F19" s="56">
        <v>16</v>
      </c>
      <c r="G19" s="56">
        <v>6</v>
      </c>
      <c r="H19" s="56"/>
      <c r="I19" s="56">
        <v>16</v>
      </c>
      <c r="J19" s="56">
        <v>15</v>
      </c>
      <c r="K19" s="56"/>
      <c r="L19" s="56">
        <v>12</v>
      </c>
      <c r="M19" s="56"/>
      <c r="N19" s="56">
        <v>8</v>
      </c>
      <c r="O19" s="56">
        <v>16</v>
      </c>
      <c r="P19" s="56">
        <v>8</v>
      </c>
      <c r="Q19" s="56">
        <v>22</v>
      </c>
      <c r="R19" s="56">
        <v>24</v>
      </c>
      <c r="S19" s="56"/>
      <c r="T19" s="56"/>
      <c r="U19" s="56">
        <v>8</v>
      </c>
      <c r="V19" s="56"/>
      <c r="W19" s="56">
        <v>170</v>
      </c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57" t="s">
        <v>7</v>
      </c>
      <c r="B20" s="56">
        <v>2</v>
      </c>
      <c r="C20" s="56">
        <v>16</v>
      </c>
      <c r="D20" s="56"/>
      <c r="E20" s="56">
        <v>1</v>
      </c>
      <c r="F20" s="56">
        <v>16</v>
      </c>
      <c r="G20" s="56">
        <v>6</v>
      </c>
      <c r="H20" s="56"/>
      <c r="I20" s="56">
        <v>16</v>
      </c>
      <c r="J20" s="56">
        <v>15</v>
      </c>
      <c r="K20" s="56"/>
      <c r="L20" s="56">
        <v>12</v>
      </c>
      <c r="M20" s="56"/>
      <c r="N20" s="56">
        <v>8</v>
      </c>
      <c r="O20" s="56">
        <v>16</v>
      </c>
      <c r="P20" s="56">
        <v>8</v>
      </c>
      <c r="Q20" s="56">
        <v>22</v>
      </c>
      <c r="R20" s="56">
        <v>24</v>
      </c>
      <c r="S20" s="56"/>
      <c r="T20" s="56"/>
      <c r="U20" s="56">
        <v>8</v>
      </c>
      <c r="V20" s="56"/>
      <c r="W20" s="56">
        <v>170</v>
      </c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55" t="s">
        <v>112</v>
      </c>
      <c r="B21" s="56"/>
      <c r="C21" s="56">
        <v>30</v>
      </c>
      <c r="D21" s="56"/>
      <c r="E21" s="56"/>
      <c r="F21" s="56">
        <v>33</v>
      </c>
      <c r="G21" s="56">
        <v>14</v>
      </c>
      <c r="H21" s="56"/>
      <c r="I21" s="56">
        <v>43</v>
      </c>
      <c r="J21" s="56">
        <v>58</v>
      </c>
      <c r="K21" s="56">
        <v>43</v>
      </c>
      <c r="L21" s="56">
        <v>23</v>
      </c>
      <c r="M21" s="56">
        <v>14</v>
      </c>
      <c r="N21" s="56">
        <v>42</v>
      </c>
      <c r="O21" s="56">
        <v>54</v>
      </c>
      <c r="P21" s="56">
        <v>34</v>
      </c>
      <c r="Q21" s="56">
        <v>21</v>
      </c>
      <c r="R21" s="56">
        <v>47</v>
      </c>
      <c r="S21" s="56">
        <v>94</v>
      </c>
      <c r="T21" s="56">
        <v>43</v>
      </c>
      <c r="U21" s="56">
        <v>25</v>
      </c>
      <c r="V21" s="56"/>
      <c r="W21" s="56">
        <v>618</v>
      </c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57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>
        <v>80</v>
      </c>
      <c r="T22" s="56"/>
      <c r="U22" s="56"/>
      <c r="V22" s="56"/>
      <c r="W22" s="56">
        <v>80</v>
      </c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 s="57" t="s">
        <v>17</v>
      </c>
      <c r="B23" s="56"/>
      <c r="C23" s="56">
        <v>14</v>
      </c>
      <c r="D23" s="56"/>
      <c r="E23" s="56"/>
      <c r="F23" s="56">
        <v>11</v>
      </c>
      <c r="G23" s="56">
        <v>9</v>
      </c>
      <c r="H23" s="56"/>
      <c r="I23" s="56">
        <v>9</v>
      </c>
      <c r="J23" s="56">
        <v>11</v>
      </c>
      <c r="K23" s="56">
        <v>16</v>
      </c>
      <c r="L23" s="56">
        <v>4</v>
      </c>
      <c r="M23" s="56">
        <v>5</v>
      </c>
      <c r="N23" s="56"/>
      <c r="O23" s="56">
        <v>12</v>
      </c>
      <c r="P23" s="56">
        <v>5</v>
      </c>
      <c r="Q23" s="56">
        <v>3</v>
      </c>
      <c r="R23" s="56">
        <v>3</v>
      </c>
      <c r="S23" s="56">
        <v>10</v>
      </c>
      <c r="T23" s="56">
        <v>7</v>
      </c>
      <c r="U23" s="56">
        <v>5</v>
      </c>
      <c r="V23" s="56"/>
      <c r="W23" s="56">
        <v>124</v>
      </c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 s="57" t="s">
        <v>159</v>
      </c>
      <c r="B24" s="56"/>
      <c r="C24" s="56">
        <v>16</v>
      </c>
      <c r="D24" s="56"/>
      <c r="E24" s="56"/>
      <c r="F24" s="56">
        <v>22</v>
      </c>
      <c r="G24" s="56">
        <v>5</v>
      </c>
      <c r="H24" s="56"/>
      <c r="I24" s="56">
        <v>34</v>
      </c>
      <c r="J24" s="56">
        <v>13</v>
      </c>
      <c r="K24" s="56">
        <v>27</v>
      </c>
      <c r="L24" s="56">
        <v>19</v>
      </c>
      <c r="M24" s="56"/>
      <c r="N24" s="56">
        <v>18</v>
      </c>
      <c r="O24" s="56">
        <v>4</v>
      </c>
      <c r="P24" s="56">
        <v>3</v>
      </c>
      <c r="Q24" s="56">
        <v>18</v>
      </c>
      <c r="R24" s="56">
        <v>17</v>
      </c>
      <c r="S24" s="56">
        <v>4</v>
      </c>
      <c r="T24" s="56">
        <v>7</v>
      </c>
      <c r="U24" s="56">
        <v>20</v>
      </c>
      <c r="V24" s="56"/>
      <c r="W24" s="56">
        <v>227</v>
      </c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 s="57" t="s">
        <v>7</v>
      </c>
      <c r="B25" s="56"/>
      <c r="C25" s="56"/>
      <c r="D25" s="56"/>
      <c r="E25" s="56"/>
      <c r="F25" s="56"/>
      <c r="G25" s="56"/>
      <c r="H25" s="56"/>
      <c r="I25" s="56"/>
      <c r="J25" s="56">
        <v>34</v>
      </c>
      <c r="K25" s="56"/>
      <c r="L25" s="56"/>
      <c r="M25" s="56">
        <v>9</v>
      </c>
      <c r="N25" s="56">
        <v>24</v>
      </c>
      <c r="O25" s="56">
        <v>38</v>
      </c>
      <c r="P25" s="56">
        <v>26</v>
      </c>
      <c r="Q25" s="56"/>
      <c r="R25" s="56">
        <v>27</v>
      </c>
      <c r="S25" s="56"/>
      <c r="T25" s="56">
        <v>29</v>
      </c>
      <c r="U25" s="56"/>
      <c r="V25" s="56"/>
      <c r="W25" s="56">
        <v>187</v>
      </c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 s="55" t="s">
        <v>165</v>
      </c>
      <c r="B26" s="56">
        <v>23</v>
      </c>
      <c r="C26" s="56">
        <v>113</v>
      </c>
      <c r="D26" s="56">
        <v>89</v>
      </c>
      <c r="E26" s="56">
        <v>53</v>
      </c>
      <c r="F26" s="56">
        <v>106</v>
      </c>
      <c r="G26" s="56">
        <v>58</v>
      </c>
      <c r="H26" s="56">
        <v>37</v>
      </c>
      <c r="I26" s="56">
        <v>113</v>
      </c>
      <c r="J26" s="56">
        <v>104</v>
      </c>
      <c r="K26" s="56">
        <v>83</v>
      </c>
      <c r="L26" s="56">
        <v>98</v>
      </c>
      <c r="M26" s="56">
        <v>47</v>
      </c>
      <c r="N26" s="56">
        <v>84</v>
      </c>
      <c r="O26" s="56">
        <v>119</v>
      </c>
      <c r="P26" s="56">
        <v>81</v>
      </c>
      <c r="Q26" s="56">
        <v>77</v>
      </c>
      <c r="R26" s="56">
        <v>121</v>
      </c>
      <c r="S26" s="56">
        <v>123</v>
      </c>
      <c r="T26" s="56">
        <v>118</v>
      </c>
      <c r="U26" s="56">
        <v>86</v>
      </c>
      <c r="V26" s="56">
        <v>43</v>
      </c>
      <c r="W26" s="56">
        <v>1776</v>
      </c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</row>
    <row r="56" spans="1:34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</row>
    <row r="57" spans="1:34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</row>
    <row r="63" spans="1:34" x14ac:dyDescent="0.25"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</row>
    <row r="65" spans="3:34" x14ac:dyDescent="0.25"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</row>
    <row r="66" spans="3:34" x14ac:dyDescent="0.25"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</row>
    <row r="67" spans="3:34" x14ac:dyDescent="0.25"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</row>
    <row r="68" spans="3:34" x14ac:dyDescent="0.25"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</row>
    <row r="100" spans="1:2" x14ac:dyDescent="0.25">
      <c r="A100" t="s">
        <v>227</v>
      </c>
      <c r="B100" s="102"/>
    </row>
    <row r="101" spans="1:2" x14ac:dyDescent="0.25">
      <c r="A101" s="103" t="s">
        <v>115</v>
      </c>
      <c r="B101" s="104">
        <f>GETPIVOTDATA("Seen by",$A$1,"Seen by","Benefits Advisor")</f>
        <v>35</v>
      </c>
    </row>
    <row r="102" spans="1:2" x14ac:dyDescent="0.25">
      <c r="A102" s="105" t="s">
        <v>110</v>
      </c>
      <c r="B102" s="106" t="e">
        <f>GETPIVOTDATA("Seen by",$A$1,"Seen by","Benefits Advisor", "Nature of Visit", "")</f>
        <v>#REF!</v>
      </c>
    </row>
    <row r="103" spans="1:2" x14ac:dyDescent="0.25">
      <c r="A103" s="105" t="s">
        <v>17</v>
      </c>
      <c r="B103" s="106">
        <f>GETPIVOTDATA("Seen by",$A$1,"Seen by","Benefits Advisor", "Nature of Visit", "Booked")</f>
        <v>10</v>
      </c>
    </row>
    <row r="104" spans="1:2" x14ac:dyDescent="0.25">
      <c r="A104" s="105" t="s">
        <v>159</v>
      </c>
      <c r="B104" s="106">
        <f>GETPIVOTDATA("Seen by",$A$1,"Seen by","Benefits Advisor", "Nature of Visit", "Drop-in")</f>
        <v>9</v>
      </c>
    </row>
    <row r="105" spans="1:2" x14ac:dyDescent="0.25">
      <c r="A105" s="105" t="s">
        <v>19</v>
      </c>
      <c r="B105" s="106">
        <f>GETPIVOTDATA("Seen by",$A$1,"Seen by","Benefits Advisor", "Nature of Visit", "E-mail Support")</f>
        <v>1</v>
      </c>
    </row>
    <row r="106" spans="1:2" x14ac:dyDescent="0.25">
      <c r="A106" s="105" t="s">
        <v>7</v>
      </c>
      <c r="B106" s="106" t="e">
        <f>GETPIVOTDATA("Seen by",$A$1,"Seen by","Benefits Advisor", "Nature of Visit", "Programme")</f>
        <v>#REF!</v>
      </c>
    </row>
    <row r="107" spans="1:2" x14ac:dyDescent="0.25">
      <c r="A107" s="105" t="s">
        <v>18</v>
      </c>
      <c r="B107" s="106">
        <f>GETPIVOTDATA("Seen by",$A$1,"Seen by","Benefits Advisor", "Nature of Visit", "Telephone Support")</f>
        <v>15</v>
      </c>
    </row>
    <row r="108" spans="1:2" x14ac:dyDescent="0.25">
      <c r="A108" s="103" t="s">
        <v>112</v>
      </c>
      <c r="B108" s="104">
        <f>GETPIVOTDATA("Seen by",$A$1,"Seen by","Centre Head")</f>
        <v>618</v>
      </c>
    </row>
    <row r="109" spans="1:2" x14ac:dyDescent="0.25">
      <c r="A109" s="105" t="s">
        <v>110</v>
      </c>
      <c r="B109" s="106">
        <f>GETPIVOTDATA("Seen by",$A$1,"Seen by","Centre Head", "Nature of Visit", "")</f>
        <v>80</v>
      </c>
    </row>
    <row r="110" spans="1:2" x14ac:dyDescent="0.25">
      <c r="A110" s="105" t="s">
        <v>17</v>
      </c>
      <c r="B110" s="106">
        <f>GETPIVOTDATA("Seen by",$A$1,"Seen by","Centre Head", "Nature of Visit", "Booked")</f>
        <v>124</v>
      </c>
    </row>
    <row r="111" spans="1:2" x14ac:dyDescent="0.25">
      <c r="A111" s="105" t="s">
        <v>159</v>
      </c>
      <c r="B111" s="106">
        <f>GETPIVOTDATA("Seen by",$A$1,"Seen by","Centre Head", "Nature of Visit", "Drop-in")</f>
        <v>227</v>
      </c>
    </row>
    <row r="112" spans="1:2" x14ac:dyDescent="0.25">
      <c r="A112" s="105" t="s">
        <v>19</v>
      </c>
      <c r="B112" s="106" t="e">
        <f>GETPIVOTDATA("Seen by",$A$1,"Seen by","Centre Head", "Nature of Visit", "E-mail Support")</f>
        <v>#REF!</v>
      </c>
    </row>
    <row r="113" spans="1:2" x14ac:dyDescent="0.25">
      <c r="A113" s="105" t="s">
        <v>7</v>
      </c>
      <c r="B113" s="106">
        <f>GETPIVOTDATA("Seen by",$A$1,"Seen by","Centre Head", "Nature of Visit", "Programme")</f>
        <v>187</v>
      </c>
    </row>
    <row r="114" spans="1:2" x14ac:dyDescent="0.25">
      <c r="A114" s="105" t="s">
        <v>18</v>
      </c>
      <c r="B114" s="106" t="e">
        <f>GETPIVOTDATA("Seen by",$A$1,"Seen by","Centre Head", "Nature of Visit", "Telephone Support")</f>
        <v>#REF!</v>
      </c>
    </row>
    <row r="115" spans="1:2" x14ac:dyDescent="0.25">
      <c r="A115" s="103" t="s">
        <v>114</v>
      </c>
      <c r="B115" s="104">
        <f>GETPIVOTDATA("Seen by",$A$1,"Seen by","Psychologist")</f>
        <v>272</v>
      </c>
    </row>
    <row r="116" spans="1:2" x14ac:dyDescent="0.25">
      <c r="A116" s="105" t="s">
        <v>110</v>
      </c>
      <c r="B116" s="106" t="e">
        <f>GETPIVOTDATA("Seen by",$A$1,"Seen by","Psychologist", "Nature of Visit", "")</f>
        <v>#REF!</v>
      </c>
    </row>
    <row r="117" spans="1:2" x14ac:dyDescent="0.25">
      <c r="A117" s="105" t="s">
        <v>17</v>
      </c>
      <c r="B117" s="106">
        <f>GETPIVOTDATA("Seen by",$A$1,"Seen by","Psychologist", "Nature of Visit", "Booked")</f>
        <v>128</v>
      </c>
    </row>
    <row r="118" spans="1:2" x14ac:dyDescent="0.25">
      <c r="A118" s="105" t="s">
        <v>159</v>
      </c>
      <c r="B118" s="106">
        <f>GETPIVOTDATA("Seen by",$A$1,"Seen by","Psychologist", "Nature of Visit", "Drop-in")</f>
        <v>7</v>
      </c>
    </row>
    <row r="119" spans="1:2" x14ac:dyDescent="0.25">
      <c r="A119" s="105" t="s">
        <v>19</v>
      </c>
      <c r="B119" s="106" t="e">
        <f>GETPIVOTDATA("Seen by",$A$1,"Seen by","Psychologist", "Nature of Visit", "E-mail Support")</f>
        <v>#REF!</v>
      </c>
    </row>
    <row r="120" spans="1:2" x14ac:dyDescent="0.25">
      <c r="A120" s="105" t="s">
        <v>7</v>
      </c>
      <c r="B120" s="106">
        <f>GETPIVOTDATA("Seen by",$A$1,"Seen by","Psychologist", "Nature of Visit", "Programme")</f>
        <v>137</v>
      </c>
    </row>
    <row r="121" spans="1:2" x14ac:dyDescent="0.25">
      <c r="A121" s="105" t="s">
        <v>18</v>
      </c>
      <c r="B121" s="106" t="e">
        <f>GETPIVOTDATA("Seen by",$A$1,"Seen by","Psychologist", "Nature of Visit", "Telephone Support")</f>
        <v>#REF!</v>
      </c>
    </row>
    <row r="122" spans="1:2" x14ac:dyDescent="0.25">
      <c r="A122" s="103" t="s">
        <v>116</v>
      </c>
      <c r="B122" s="104">
        <f>GETPIVOTDATA("Seen by",$A$1,"Seen by","Sessional Staff")</f>
        <v>170</v>
      </c>
    </row>
    <row r="123" spans="1:2" x14ac:dyDescent="0.25">
      <c r="A123" s="105" t="s">
        <v>110</v>
      </c>
      <c r="B123" s="106" t="e">
        <f>GETPIVOTDATA("Seen by",$A$1,"Seen by","Sessional Staff", "Nature of Visit", "")</f>
        <v>#REF!</v>
      </c>
    </row>
    <row r="124" spans="1:2" x14ac:dyDescent="0.25">
      <c r="A124" s="105" t="s">
        <v>17</v>
      </c>
      <c r="B124" s="106" t="e">
        <f>GETPIVOTDATA("Seen by",$A$1,"Seen by","Sessional Staff", "Nature of Visit", "Booked")</f>
        <v>#REF!</v>
      </c>
    </row>
    <row r="125" spans="1:2" x14ac:dyDescent="0.25">
      <c r="A125" s="105" t="s">
        <v>159</v>
      </c>
      <c r="B125" s="106" t="e">
        <f>GETPIVOTDATA("Seen by",$A$1,"Seen by","Sessional Staff", "Nature of Visit", "Drop-in")</f>
        <v>#REF!</v>
      </c>
    </row>
    <row r="126" spans="1:2" x14ac:dyDescent="0.25">
      <c r="A126" s="105" t="s">
        <v>19</v>
      </c>
      <c r="B126" s="106" t="e">
        <f>GETPIVOTDATA("Seen by",$A$1,"Seen by","Sessional Staff", "Nature of Visit", "E-mail Support")</f>
        <v>#REF!</v>
      </c>
    </row>
    <row r="127" spans="1:2" x14ac:dyDescent="0.25">
      <c r="A127" s="105" t="s">
        <v>7</v>
      </c>
      <c r="B127" s="106">
        <f>GETPIVOTDATA("Seen by",$A$1,"Seen by","Sessional Staff", "Nature of Visit", "Programme")</f>
        <v>170</v>
      </c>
    </row>
    <row r="128" spans="1:2" x14ac:dyDescent="0.25">
      <c r="A128" s="105" t="s">
        <v>18</v>
      </c>
      <c r="B128" s="106" t="e">
        <f>GETPIVOTDATA("Seen by",$A$1,"Seen by","Sessional Staff", "Nature of Visit", "Telephone Support")</f>
        <v>#REF!</v>
      </c>
    </row>
    <row r="129" spans="1:2" x14ac:dyDescent="0.25">
      <c r="A129" s="103" t="s">
        <v>113</v>
      </c>
      <c r="B129" s="104">
        <f>GETPIVOTDATA("Seen by",$A$1,"Seen by","CSS")</f>
        <v>681</v>
      </c>
    </row>
    <row r="130" spans="1:2" x14ac:dyDescent="0.25">
      <c r="A130" s="105" t="s">
        <v>110</v>
      </c>
      <c r="B130" s="106">
        <f>GETPIVOTDATA("Seen by",$A$1,"Seen by","CSS", "Nature of Visit", "")</f>
        <v>26</v>
      </c>
    </row>
    <row r="131" spans="1:2" x14ac:dyDescent="0.25">
      <c r="A131" s="105" t="s">
        <v>17</v>
      </c>
      <c r="B131" s="106">
        <f>GETPIVOTDATA("Seen by",$A$1,"Seen by","CSS", "Nature of Visit", "Booked")</f>
        <v>128</v>
      </c>
    </row>
    <row r="132" spans="1:2" x14ac:dyDescent="0.25">
      <c r="A132" s="105" t="s">
        <v>159</v>
      </c>
      <c r="B132" s="106">
        <f>GETPIVOTDATA("Seen by",$A$1,"Seen by","CSS", "Nature of Visit", "Drop-in")</f>
        <v>294</v>
      </c>
    </row>
    <row r="133" spans="1:2" x14ac:dyDescent="0.25">
      <c r="A133" s="105" t="s">
        <v>19</v>
      </c>
      <c r="B133" s="106" t="e">
        <f>GETPIVOTDATA("Seen by",$A$1,"Seen by","CSS", "Nature of Visit", "E-mail Support")</f>
        <v>#REF!</v>
      </c>
    </row>
    <row r="134" spans="1:2" x14ac:dyDescent="0.25">
      <c r="A134" s="105" t="s">
        <v>7</v>
      </c>
      <c r="B134" s="106">
        <f>GETPIVOTDATA("Seen by",$A$1,"Seen by","CSS", "Nature of Visit", "Programme")</f>
        <v>182</v>
      </c>
    </row>
    <row r="135" spans="1:2" x14ac:dyDescent="0.25">
      <c r="A135" s="105" t="s">
        <v>18</v>
      </c>
      <c r="B135" s="106">
        <f>GETPIVOTDATA("Seen by",$A$1,"Seen by","CSS", "Nature of Visit", "Telephone Support")</f>
        <v>11</v>
      </c>
    </row>
  </sheetData>
  <conditionalFormatting sqref="B102:B107 B109:B114 B116:B121 B123:B128 B130:B135">
    <cfRule type="containsErrors" dxfId="18" priority="2">
      <formula>ISERROR(B102)</formula>
    </cfRule>
  </conditionalFormatting>
  <conditionalFormatting sqref="B101 B108 B115 B122 B129">
    <cfRule type="containsErrors" dxfId="17" priority="1">
      <formula>ISERROR(B101)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87"/>
  <sheetViews>
    <sheetView workbookViewId="0">
      <selection activeCell="B17" sqref="B17"/>
    </sheetView>
  </sheetViews>
  <sheetFormatPr defaultRowHeight="15" x14ac:dyDescent="0.25"/>
  <cols>
    <col min="1" max="1" width="21.140625" style="33" customWidth="1"/>
    <col min="2" max="2" width="16.85546875" style="33" bestFit="1" customWidth="1"/>
    <col min="3" max="5" width="3.7109375" style="33" customWidth="1"/>
    <col min="6" max="9" width="4.7109375" style="33" customWidth="1"/>
    <col min="10" max="10" width="4.42578125" style="33" customWidth="1"/>
    <col min="11" max="11" width="5.28515625" style="33" customWidth="1"/>
    <col min="12" max="13" width="4.7109375" style="33" customWidth="1"/>
    <col min="14" max="14" width="3.7109375" style="33" customWidth="1"/>
    <col min="15" max="19" width="4.7109375" style="33" customWidth="1"/>
    <col min="20" max="20" width="4.28515625" style="33" customWidth="1"/>
    <col min="21" max="22" width="5.28515625" style="33" customWidth="1"/>
    <col min="23" max="23" width="11.7109375" style="33" customWidth="1"/>
    <col min="24" max="24" width="4.28515625" style="33" customWidth="1"/>
    <col min="25" max="25" width="4" style="33" customWidth="1"/>
    <col min="26" max="30" width="4.7109375" style="33" customWidth="1"/>
    <col min="31" max="31" width="4.28515625" style="33" customWidth="1"/>
    <col min="32" max="33" width="5.28515625" style="33" customWidth="1"/>
    <col min="34" max="34" width="11.7109375" style="33" bestFit="1" customWidth="1"/>
    <col min="35" max="36" width="10.7109375" style="33" bestFit="1" customWidth="1"/>
    <col min="37" max="38" width="11.28515625" style="33" bestFit="1" customWidth="1"/>
    <col min="39" max="16384" width="9.140625" style="33"/>
  </cols>
  <sheetData>
    <row r="1" spans="1:34" x14ac:dyDescent="0.25">
      <c r="A1" s="54" t="s">
        <v>168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179</v>
      </c>
      <c r="D2" t="s">
        <v>180</v>
      </c>
      <c r="E2" t="s">
        <v>181</v>
      </c>
      <c r="F2" t="s">
        <v>184</v>
      </c>
      <c r="G2" t="s">
        <v>185</v>
      </c>
      <c r="H2" t="s">
        <v>186</v>
      </c>
      <c r="I2" t="s">
        <v>189</v>
      </c>
      <c r="J2" t="s">
        <v>190</v>
      </c>
      <c r="K2" t="s">
        <v>191</v>
      </c>
      <c r="L2" t="s">
        <v>194</v>
      </c>
      <c r="M2" t="s">
        <v>195</v>
      </c>
      <c r="N2" t="s">
        <v>206</v>
      </c>
      <c r="O2" t="s">
        <v>207</v>
      </c>
      <c r="P2" t="s">
        <v>208</v>
      </c>
      <c r="Q2" t="s">
        <v>209</v>
      </c>
      <c r="R2" t="s">
        <v>210</v>
      </c>
      <c r="S2" t="s">
        <v>211</v>
      </c>
      <c r="T2" t="s">
        <v>224</v>
      </c>
      <c r="U2" t="s">
        <v>225</v>
      </c>
      <c r="V2" t="s">
        <v>226</v>
      </c>
      <c r="W2" t="s">
        <v>165</v>
      </c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2</v>
      </c>
      <c r="B3" s="56"/>
      <c r="C3" s="56">
        <v>13</v>
      </c>
      <c r="D3" s="56">
        <v>44</v>
      </c>
      <c r="E3" s="56">
        <v>13</v>
      </c>
      <c r="F3" s="56">
        <v>21</v>
      </c>
      <c r="G3" s="56">
        <v>14</v>
      </c>
      <c r="H3" s="56">
        <v>9</v>
      </c>
      <c r="I3" s="56">
        <v>28</v>
      </c>
      <c r="J3" s="56">
        <v>21</v>
      </c>
      <c r="K3" s="56">
        <v>25</v>
      </c>
      <c r="L3" s="56">
        <v>12</v>
      </c>
      <c r="M3" s="56">
        <v>9</v>
      </c>
      <c r="N3" s="56">
        <v>13</v>
      </c>
      <c r="O3" s="56">
        <v>27</v>
      </c>
      <c r="P3" s="56">
        <v>4</v>
      </c>
      <c r="Q3" s="56">
        <v>35</v>
      </c>
      <c r="R3" s="56">
        <v>29</v>
      </c>
      <c r="S3" s="56">
        <v>10</v>
      </c>
      <c r="T3" s="56">
        <v>15</v>
      </c>
      <c r="U3" s="56">
        <v>28</v>
      </c>
      <c r="V3" s="56">
        <v>16</v>
      </c>
      <c r="W3" s="56">
        <v>386</v>
      </c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0</v>
      </c>
      <c r="B4" s="56"/>
      <c r="C4" s="56">
        <v>5</v>
      </c>
      <c r="D4" s="56">
        <v>39</v>
      </c>
      <c r="E4" s="56">
        <v>7</v>
      </c>
      <c r="F4" s="56">
        <v>8</v>
      </c>
      <c r="G4" s="56">
        <v>5</v>
      </c>
      <c r="H4" s="56">
        <v>4</v>
      </c>
      <c r="I4" s="56">
        <v>15</v>
      </c>
      <c r="J4" s="56">
        <v>16</v>
      </c>
      <c r="K4" s="56">
        <v>15</v>
      </c>
      <c r="L4" s="56">
        <v>6</v>
      </c>
      <c r="M4" s="56">
        <v>3</v>
      </c>
      <c r="N4" s="56">
        <v>5</v>
      </c>
      <c r="O4" s="56">
        <v>21</v>
      </c>
      <c r="P4" s="56">
        <v>2</v>
      </c>
      <c r="Q4" s="56">
        <v>25</v>
      </c>
      <c r="R4" s="56">
        <v>21</v>
      </c>
      <c r="S4" s="56">
        <v>3</v>
      </c>
      <c r="T4" s="56">
        <v>8</v>
      </c>
      <c r="U4" s="56">
        <v>16</v>
      </c>
      <c r="V4" s="56">
        <v>7</v>
      </c>
      <c r="W4" s="56">
        <v>231</v>
      </c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110" t="s">
        <v>4</v>
      </c>
      <c r="B5" s="56"/>
      <c r="C5" s="56">
        <v>2</v>
      </c>
      <c r="D5" s="56">
        <v>38</v>
      </c>
      <c r="E5" s="56">
        <v>4</v>
      </c>
      <c r="F5" s="56">
        <v>5</v>
      </c>
      <c r="G5" s="56">
        <v>3</v>
      </c>
      <c r="H5" s="56">
        <v>3</v>
      </c>
      <c r="I5" s="56">
        <v>8</v>
      </c>
      <c r="J5" s="56">
        <v>9</v>
      </c>
      <c r="K5" s="56">
        <v>9</v>
      </c>
      <c r="L5" s="56">
        <v>2</v>
      </c>
      <c r="M5" s="56">
        <v>2</v>
      </c>
      <c r="N5" s="56">
        <v>3</v>
      </c>
      <c r="O5" s="56">
        <v>18</v>
      </c>
      <c r="P5" s="56">
        <v>1</v>
      </c>
      <c r="Q5" s="56">
        <v>22</v>
      </c>
      <c r="R5" s="56">
        <v>19</v>
      </c>
      <c r="S5" s="56">
        <v>1</v>
      </c>
      <c r="T5" s="56">
        <v>6</v>
      </c>
      <c r="U5" s="56">
        <v>12</v>
      </c>
      <c r="V5" s="56">
        <v>4</v>
      </c>
      <c r="W5" s="56">
        <v>171</v>
      </c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110" t="s">
        <v>3</v>
      </c>
      <c r="B6" s="56"/>
      <c r="C6" s="56">
        <v>3</v>
      </c>
      <c r="D6" s="56">
        <v>1</v>
      </c>
      <c r="E6" s="56">
        <v>3</v>
      </c>
      <c r="F6" s="56">
        <v>3</v>
      </c>
      <c r="G6" s="56">
        <v>2</v>
      </c>
      <c r="H6" s="56">
        <v>1</v>
      </c>
      <c r="I6" s="56">
        <v>7</v>
      </c>
      <c r="J6" s="56">
        <v>7</v>
      </c>
      <c r="K6" s="56">
        <v>6</v>
      </c>
      <c r="L6" s="56">
        <v>4</v>
      </c>
      <c r="M6" s="56">
        <v>1</v>
      </c>
      <c r="N6" s="56">
        <v>2</v>
      </c>
      <c r="O6" s="56">
        <v>3</v>
      </c>
      <c r="P6" s="56">
        <v>1</v>
      </c>
      <c r="Q6" s="56">
        <v>3</v>
      </c>
      <c r="R6" s="56">
        <v>2</v>
      </c>
      <c r="S6" s="56">
        <v>2</v>
      </c>
      <c r="T6" s="56">
        <v>2</v>
      </c>
      <c r="U6" s="56">
        <v>4</v>
      </c>
      <c r="V6" s="56">
        <v>3</v>
      </c>
      <c r="W6" s="56">
        <v>60</v>
      </c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7" t="s">
        <v>1</v>
      </c>
      <c r="B7" s="56"/>
      <c r="C7" s="56">
        <v>8</v>
      </c>
      <c r="D7" s="56">
        <v>5</v>
      </c>
      <c r="E7" s="56">
        <v>6</v>
      </c>
      <c r="F7" s="56">
        <v>12</v>
      </c>
      <c r="G7" s="56">
        <v>8</v>
      </c>
      <c r="H7" s="56">
        <v>5</v>
      </c>
      <c r="I7" s="56">
        <v>13</v>
      </c>
      <c r="J7" s="56">
        <v>5</v>
      </c>
      <c r="K7" s="56">
        <v>10</v>
      </c>
      <c r="L7" s="56">
        <v>6</v>
      </c>
      <c r="M7" s="56">
        <v>6</v>
      </c>
      <c r="N7" s="56">
        <v>8</v>
      </c>
      <c r="O7" s="56">
        <v>6</v>
      </c>
      <c r="P7" s="56">
        <v>2</v>
      </c>
      <c r="Q7" s="56">
        <v>10</v>
      </c>
      <c r="R7" s="56">
        <v>8</v>
      </c>
      <c r="S7" s="56">
        <v>7</v>
      </c>
      <c r="T7" s="56">
        <v>7</v>
      </c>
      <c r="U7" s="56">
        <v>12</v>
      </c>
      <c r="V7" s="56">
        <v>9</v>
      </c>
      <c r="W7" s="56">
        <v>153</v>
      </c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110" t="s">
        <v>4</v>
      </c>
      <c r="B8" s="56"/>
      <c r="C8" s="56">
        <v>6</v>
      </c>
      <c r="D8" s="56">
        <v>3</v>
      </c>
      <c r="E8" s="56">
        <v>5</v>
      </c>
      <c r="F8" s="56">
        <v>8</v>
      </c>
      <c r="G8" s="56">
        <v>5</v>
      </c>
      <c r="H8" s="56">
        <v>5</v>
      </c>
      <c r="I8" s="56">
        <v>7</v>
      </c>
      <c r="J8" s="56">
        <v>2</v>
      </c>
      <c r="K8" s="56">
        <v>5</v>
      </c>
      <c r="L8" s="56">
        <v>2</v>
      </c>
      <c r="M8" s="56">
        <v>3</v>
      </c>
      <c r="N8" s="56">
        <v>7</v>
      </c>
      <c r="O8" s="56">
        <v>5</v>
      </c>
      <c r="P8" s="56">
        <v>1</v>
      </c>
      <c r="Q8" s="56">
        <v>9</v>
      </c>
      <c r="R8" s="56">
        <v>5</v>
      </c>
      <c r="S8" s="56">
        <v>6</v>
      </c>
      <c r="T8" s="56">
        <v>4</v>
      </c>
      <c r="U8" s="56">
        <v>7</v>
      </c>
      <c r="V8" s="56">
        <v>7</v>
      </c>
      <c r="W8" s="56">
        <v>102</v>
      </c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110" t="s">
        <v>3</v>
      </c>
      <c r="B9" s="56"/>
      <c r="C9" s="56">
        <v>2</v>
      </c>
      <c r="D9" s="56">
        <v>2</v>
      </c>
      <c r="E9" s="56">
        <v>1</v>
      </c>
      <c r="F9" s="56">
        <v>1</v>
      </c>
      <c r="G9" s="56">
        <v>1</v>
      </c>
      <c r="H9" s="56"/>
      <c r="I9" s="56">
        <v>6</v>
      </c>
      <c r="J9" s="56">
        <v>3</v>
      </c>
      <c r="K9" s="56">
        <v>5</v>
      </c>
      <c r="L9" s="56">
        <v>4</v>
      </c>
      <c r="M9" s="56">
        <v>3</v>
      </c>
      <c r="N9" s="56">
        <v>1</v>
      </c>
      <c r="O9" s="56">
        <v>1</v>
      </c>
      <c r="P9" s="56">
        <v>1</v>
      </c>
      <c r="Q9" s="56">
        <v>1</v>
      </c>
      <c r="R9" s="56">
        <v>3</v>
      </c>
      <c r="S9" s="56">
        <v>1</v>
      </c>
      <c r="T9" s="56">
        <v>2</v>
      </c>
      <c r="U9" s="56">
        <v>4</v>
      </c>
      <c r="V9" s="56">
        <v>2</v>
      </c>
      <c r="W9" s="56">
        <v>44</v>
      </c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110" t="s">
        <v>233</v>
      </c>
      <c r="B10" s="56"/>
      <c r="C10" s="56"/>
      <c r="D10" s="56"/>
      <c r="E10" s="56"/>
      <c r="F10" s="56"/>
      <c r="G10" s="56">
        <v>1</v>
      </c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>
        <v>1</v>
      </c>
      <c r="V10" s="56"/>
      <c r="W10" s="56">
        <v>2</v>
      </c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110" t="s">
        <v>232</v>
      </c>
      <c r="B11" s="56"/>
      <c r="C11" s="56"/>
      <c r="D11" s="56"/>
      <c r="E11" s="56"/>
      <c r="F11" s="56">
        <v>3</v>
      </c>
      <c r="G11" s="56">
        <v>1</v>
      </c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>
        <v>1</v>
      </c>
      <c r="U11" s="56"/>
      <c r="V11" s="56"/>
      <c r="W11" s="56">
        <v>5</v>
      </c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57" t="s">
        <v>310</v>
      </c>
      <c r="B12" s="56"/>
      <c r="C12" s="56"/>
      <c r="D12" s="56"/>
      <c r="E12" s="56"/>
      <c r="F12" s="56">
        <v>1</v>
      </c>
      <c r="G12" s="56">
        <v>1</v>
      </c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>
        <v>2</v>
      </c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110" t="s">
        <v>4</v>
      </c>
      <c r="B13" s="56"/>
      <c r="C13" s="56"/>
      <c r="D13" s="56"/>
      <c r="E13" s="56"/>
      <c r="F13" s="56">
        <v>1</v>
      </c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>
        <v>1</v>
      </c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110" t="s">
        <v>3</v>
      </c>
      <c r="B14" s="56"/>
      <c r="C14" s="56"/>
      <c r="D14" s="56"/>
      <c r="E14" s="56"/>
      <c r="F14" s="56"/>
      <c r="G14" s="56">
        <v>1</v>
      </c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>
        <v>1</v>
      </c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55" t="s">
        <v>311</v>
      </c>
      <c r="B15" s="56">
        <v>22</v>
      </c>
      <c r="C15" s="56">
        <v>79</v>
      </c>
      <c r="D15" s="56">
        <v>45</v>
      </c>
      <c r="E15" s="56">
        <v>40</v>
      </c>
      <c r="F15" s="56">
        <v>84</v>
      </c>
      <c r="G15" s="56">
        <v>44</v>
      </c>
      <c r="H15" s="56">
        <v>28</v>
      </c>
      <c r="I15" s="56">
        <v>85</v>
      </c>
      <c r="J15" s="56">
        <v>83</v>
      </c>
      <c r="K15" s="56">
        <v>58</v>
      </c>
      <c r="L15" s="56">
        <v>86</v>
      </c>
      <c r="M15" s="56">
        <v>37</v>
      </c>
      <c r="N15" s="56">
        <v>71</v>
      </c>
      <c r="O15" s="56">
        <v>80</v>
      </c>
      <c r="P15" s="56">
        <v>77</v>
      </c>
      <c r="Q15" s="56">
        <v>42</v>
      </c>
      <c r="R15" s="56">
        <v>92</v>
      </c>
      <c r="S15" s="56">
        <v>113</v>
      </c>
      <c r="T15" s="56">
        <v>73</v>
      </c>
      <c r="U15" s="56">
        <v>58</v>
      </c>
      <c r="V15" s="56">
        <v>26</v>
      </c>
      <c r="W15" s="56">
        <v>1323</v>
      </c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57" t="s">
        <v>0</v>
      </c>
      <c r="B16" s="56">
        <v>13</v>
      </c>
      <c r="C16" s="56">
        <v>51</v>
      </c>
      <c r="D16" s="56">
        <v>36</v>
      </c>
      <c r="E16" s="56">
        <v>20</v>
      </c>
      <c r="F16" s="56">
        <v>58</v>
      </c>
      <c r="G16" s="56">
        <v>31</v>
      </c>
      <c r="H16" s="56">
        <v>21</v>
      </c>
      <c r="I16" s="56">
        <v>53</v>
      </c>
      <c r="J16" s="56">
        <v>67</v>
      </c>
      <c r="K16" s="56">
        <v>34</v>
      </c>
      <c r="L16" s="56">
        <v>63</v>
      </c>
      <c r="M16" s="56">
        <v>28</v>
      </c>
      <c r="N16" s="56">
        <v>53</v>
      </c>
      <c r="O16" s="56">
        <v>58</v>
      </c>
      <c r="P16" s="56">
        <v>35</v>
      </c>
      <c r="Q16" s="56">
        <v>25</v>
      </c>
      <c r="R16" s="56">
        <v>65</v>
      </c>
      <c r="S16" s="56">
        <v>101</v>
      </c>
      <c r="T16" s="56">
        <v>37</v>
      </c>
      <c r="U16" s="56">
        <v>35</v>
      </c>
      <c r="V16" s="56">
        <v>18</v>
      </c>
      <c r="W16" s="56">
        <v>902</v>
      </c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110" t="s">
        <v>4</v>
      </c>
      <c r="B17" s="56">
        <v>8</v>
      </c>
      <c r="C17" s="56">
        <v>28</v>
      </c>
      <c r="D17" s="56">
        <v>26</v>
      </c>
      <c r="E17" s="56">
        <v>14</v>
      </c>
      <c r="F17" s="56">
        <v>39</v>
      </c>
      <c r="G17" s="56">
        <v>23</v>
      </c>
      <c r="H17" s="56">
        <v>16</v>
      </c>
      <c r="I17" s="56">
        <v>30</v>
      </c>
      <c r="J17" s="56">
        <v>50</v>
      </c>
      <c r="K17" s="56">
        <v>25</v>
      </c>
      <c r="L17" s="56">
        <v>38</v>
      </c>
      <c r="M17" s="56">
        <v>19</v>
      </c>
      <c r="N17" s="56">
        <v>30</v>
      </c>
      <c r="O17" s="56">
        <v>37</v>
      </c>
      <c r="P17" s="56">
        <v>27</v>
      </c>
      <c r="Q17" s="56">
        <v>19</v>
      </c>
      <c r="R17" s="56">
        <v>32</v>
      </c>
      <c r="S17" s="56">
        <v>16</v>
      </c>
      <c r="T17" s="56">
        <v>20</v>
      </c>
      <c r="U17" s="56">
        <v>24</v>
      </c>
      <c r="V17" s="56">
        <v>13</v>
      </c>
      <c r="W17" s="56">
        <v>534</v>
      </c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110" t="s">
        <v>3</v>
      </c>
      <c r="B18" s="56">
        <v>5</v>
      </c>
      <c r="C18" s="56">
        <v>23</v>
      </c>
      <c r="D18" s="56">
        <v>10</v>
      </c>
      <c r="E18" s="56">
        <v>6</v>
      </c>
      <c r="F18" s="56">
        <v>19</v>
      </c>
      <c r="G18" s="56">
        <v>8</v>
      </c>
      <c r="H18" s="56">
        <v>5</v>
      </c>
      <c r="I18" s="56">
        <v>23</v>
      </c>
      <c r="J18" s="56">
        <v>17</v>
      </c>
      <c r="K18" s="56">
        <v>9</v>
      </c>
      <c r="L18" s="56">
        <v>25</v>
      </c>
      <c r="M18" s="56">
        <v>9</v>
      </c>
      <c r="N18" s="56">
        <v>23</v>
      </c>
      <c r="O18" s="56">
        <v>21</v>
      </c>
      <c r="P18" s="56">
        <v>8</v>
      </c>
      <c r="Q18" s="56">
        <v>6</v>
      </c>
      <c r="R18" s="56">
        <v>33</v>
      </c>
      <c r="S18" s="56">
        <v>85</v>
      </c>
      <c r="T18" s="56">
        <v>17</v>
      </c>
      <c r="U18" s="56">
        <v>11</v>
      </c>
      <c r="V18" s="56">
        <v>5</v>
      </c>
      <c r="W18" s="56">
        <v>368</v>
      </c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57" t="s">
        <v>1</v>
      </c>
      <c r="B19" s="56">
        <v>9</v>
      </c>
      <c r="C19" s="56">
        <v>28</v>
      </c>
      <c r="D19" s="56">
        <v>9</v>
      </c>
      <c r="E19" s="56">
        <v>20</v>
      </c>
      <c r="F19" s="56">
        <v>26</v>
      </c>
      <c r="G19" s="56">
        <v>13</v>
      </c>
      <c r="H19" s="56">
        <v>7</v>
      </c>
      <c r="I19" s="56">
        <v>32</v>
      </c>
      <c r="J19" s="56">
        <v>16</v>
      </c>
      <c r="K19" s="56">
        <v>24</v>
      </c>
      <c r="L19" s="56">
        <v>23</v>
      </c>
      <c r="M19" s="56">
        <v>9</v>
      </c>
      <c r="N19" s="56">
        <v>18</v>
      </c>
      <c r="O19" s="56">
        <v>22</v>
      </c>
      <c r="P19" s="56">
        <v>42</v>
      </c>
      <c r="Q19" s="56">
        <v>17</v>
      </c>
      <c r="R19" s="56">
        <v>27</v>
      </c>
      <c r="S19" s="56">
        <v>11</v>
      </c>
      <c r="T19" s="56">
        <v>36</v>
      </c>
      <c r="U19" s="56">
        <v>23</v>
      </c>
      <c r="V19" s="56">
        <v>8</v>
      </c>
      <c r="W19" s="56">
        <v>420</v>
      </c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110" t="s">
        <v>4</v>
      </c>
      <c r="B20" s="56">
        <v>6</v>
      </c>
      <c r="C20" s="56">
        <v>19</v>
      </c>
      <c r="D20" s="56">
        <v>3</v>
      </c>
      <c r="E20" s="56">
        <v>12</v>
      </c>
      <c r="F20" s="56">
        <v>13</v>
      </c>
      <c r="G20" s="56">
        <v>8</v>
      </c>
      <c r="H20" s="56">
        <v>3</v>
      </c>
      <c r="I20" s="56">
        <v>20</v>
      </c>
      <c r="J20" s="56">
        <v>10</v>
      </c>
      <c r="K20" s="56">
        <v>18</v>
      </c>
      <c r="L20" s="56">
        <v>17</v>
      </c>
      <c r="M20" s="56">
        <v>6</v>
      </c>
      <c r="N20" s="56">
        <v>13</v>
      </c>
      <c r="O20" s="56">
        <v>17</v>
      </c>
      <c r="P20" s="56">
        <v>27</v>
      </c>
      <c r="Q20" s="56">
        <v>11</v>
      </c>
      <c r="R20" s="56">
        <v>15</v>
      </c>
      <c r="S20" s="56">
        <v>9</v>
      </c>
      <c r="T20" s="56">
        <v>24</v>
      </c>
      <c r="U20" s="56">
        <v>14</v>
      </c>
      <c r="V20" s="56">
        <v>4</v>
      </c>
      <c r="W20" s="56">
        <v>269</v>
      </c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110" t="s">
        <v>3</v>
      </c>
      <c r="B21" s="56">
        <v>3</v>
      </c>
      <c r="C21" s="56">
        <v>8</v>
      </c>
      <c r="D21" s="56">
        <v>6</v>
      </c>
      <c r="E21" s="56">
        <v>7</v>
      </c>
      <c r="F21" s="56">
        <v>12</v>
      </c>
      <c r="G21" s="56">
        <v>4</v>
      </c>
      <c r="H21" s="56">
        <v>4</v>
      </c>
      <c r="I21" s="56">
        <v>11</v>
      </c>
      <c r="J21" s="56">
        <v>6</v>
      </c>
      <c r="K21" s="56">
        <v>6</v>
      </c>
      <c r="L21" s="56">
        <v>6</v>
      </c>
      <c r="M21" s="56">
        <v>3</v>
      </c>
      <c r="N21" s="56">
        <v>5</v>
      </c>
      <c r="O21" s="56">
        <v>5</v>
      </c>
      <c r="P21" s="56">
        <v>15</v>
      </c>
      <c r="Q21" s="56">
        <v>6</v>
      </c>
      <c r="R21" s="56">
        <v>10</v>
      </c>
      <c r="S21" s="56"/>
      <c r="T21" s="56">
        <v>12</v>
      </c>
      <c r="U21" s="56">
        <v>8</v>
      </c>
      <c r="V21" s="56">
        <v>4</v>
      </c>
      <c r="W21" s="56">
        <v>141</v>
      </c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110" t="s">
        <v>233</v>
      </c>
      <c r="B22" s="56"/>
      <c r="C22" s="56"/>
      <c r="D22" s="56"/>
      <c r="E22" s="56">
        <v>1</v>
      </c>
      <c r="F22" s="56">
        <v>1</v>
      </c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>
        <v>2</v>
      </c>
      <c r="S22" s="56">
        <v>1</v>
      </c>
      <c r="T22" s="56"/>
      <c r="U22" s="56">
        <v>1</v>
      </c>
      <c r="V22" s="56"/>
      <c r="W22" s="56">
        <v>6</v>
      </c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 s="110" t="s">
        <v>232</v>
      </c>
      <c r="B23" s="56"/>
      <c r="C23" s="56">
        <v>1</v>
      </c>
      <c r="D23" s="56"/>
      <c r="E23" s="56"/>
      <c r="F23" s="56"/>
      <c r="G23" s="56">
        <v>1</v>
      </c>
      <c r="H23" s="56"/>
      <c r="I23" s="56">
        <v>1</v>
      </c>
      <c r="J23" s="56"/>
      <c r="K23" s="56"/>
      <c r="L23" s="56"/>
      <c r="M23" s="56"/>
      <c r="N23" s="56"/>
      <c r="O23" s="56"/>
      <c r="P23" s="56"/>
      <c r="Q23" s="56"/>
      <c r="R23" s="56"/>
      <c r="S23" s="56">
        <v>1</v>
      </c>
      <c r="T23" s="56"/>
      <c r="U23" s="56"/>
      <c r="V23" s="56"/>
      <c r="W23" s="56">
        <v>4</v>
      </c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 s="57" t="s">
        <v>310</v>
      </c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>
        <v>1</v>
      </c>
      <c r="T24" s="56"/>
      <c r="U24" s="56"/>
      <c r="V24" s="56"/>
      <c r="W24" s="56">
        <v>1</v>
      </c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 s="110" t="s">
        <v>4</v>
      </c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>
        <v>1</v>
      </c>
      <c r="T25" s="56"/>
      <c r="U25" s="56"/>
      <c r="V25" s="56"/>
      <c r="W25" s="56">
        <v>1</v>
      </c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 s="55" t="s">
        <v>165</v>
      </c>
      <c r="B26" s="56">
        <v>22</v>
      </c>
      <c r="C26" s="56">
        <v>92</v>
      </c>
      <c r="D26" s="56">
        <v>89</v>
      </c>
      <c r="E26" s="56">
        <v>53</v>
      </c>
      <c r="F26" s="56">
        <v>105</v>
      </c>
      <c r="G26" s="56">
        <v>58</v>
      </c>
      <c r="H26" s="56">
        <v>37</v>
      </c>
      <c r="I26" s="56">
        <v>113</v>
      </c>
      <c r="J26" s="56">
        <v>104</v>
      </c>
      <c r="K26" s="56">
        <v>83</v>
      </c>
      <c r="L26" s="56">
        <v>98</v>
      </c>
      <c r="M26" s="56">
        <v>46</v>
      </c>
      <c r="N26" s="56">
        <v>84</v>
      </c>
      <c r="O26" s="56">
        <v>107</v>
      </c>
      <c r="P26" s="56">
        <v>81</v>
      </c>
      <c r="Q26" s="56">
        <v>77</v>
      </c>
      <c r="R26" s="56">
        <v>121</v>
      </c>
      <c r="S26" s="56">
        <v>123</v>
      </c>
      <c r="T26" s="56">
        <v>88</v>
      </c>
      <c r="U26" s="56">
        <v>86</v>
      </c>
      <c r="V26" s="56">
        <v>42</v>
      </c>
      <c r="W26" s="56">
        <v>1709</v>
      </c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</row>
    <row r="71" spans="1:34" x14ac:dyDescent="0.25">
      <c r="A71" s="54" t="s">
        <v>168</v>
      </c>
      <c r="B71" s="54" t="s">
        <v>163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</row>
    <row r="72" spans="1:34" x14ac:dyDescent="0.25">
      <c r="A72" s="54" t="s">
        <v>164</v>
      </c>
      <c r="B72" t="s">
        <v>203</v>
      </c>
      <c r="C72" t="s">
        <v>179</v>
      </c>
      <c r="D72" t="s">
        <v>180</v>
      </c>
      <c r="E72" t="s">
        <v>181</v>
      </c>
      <c r="F72" t="s">
        <v>184</v>
      </c>
      <c r="G72" t="s">
        <v>185</v>
      </c>
      <c r="H72" t="s">
        <v>186</v>
      </c>
      <c r="I72" t="s">
        <v>189</v>
      </c>
      <c r="J72" t="s">
        <v>190</v>
      </c>
      <c r="K72" t="s">
        <v>191</v>
      </c>
      <c r="L72" t="s">
        <v>194</v>
      </c>
      <c r="M72" t="s">
        <v>195</v>
      </c>
      <c r="N72" t="s">
        <v>206</v>
      </c>
      <c r="O72" t="s">
        <v>207</v>
      </c>
      <c r="P72" t="s">
        <v>208</v>
      </c>
      <c r="Q72" t="s">
        <v>209</v>
      </c>
      <c r="R72" t="s">
        <v>210</v>
      </c>
      <c r="S72" t="s">
        <v>211</v>
      </c>
      <c r="T72" t="s">
        <v>224</v>
      </c>
      <c r="U72" t="s">
        <v>225</v>
      </c>
      <c r="V72" t="s">
        <v>226</v>
      </c>
      <c r="W72" t="s">
        <v>165</v>
      </c>
      <c r="X72"/>
      <c r="Y72"/>
      <c r="Z72"/>
      <c r="AA72"/>
      <c r="AB72"/>
      <c r="AC72"/>
      <c r="AD72"/>
      <c r="AE72"/>
      <c r="AF72"/>
      <c r="AG72"/>
      <c r="AH72"/>
    </row>
    <row r="73" spans="1:34" x14ac:dyDescent="0.25">
      <c r="A73" s="55" t="s">
        <v>2</v>
      </c>
      <c r="B73" s="56"/>
      <c r="C73" s="56">
        <v>13</v>
      </c>
      <c r="D73" s="56">
        <v>44</v>
      </c>
      <c r="E73" s="56">
        <v>13</v>
      </c>
      <c r="F73" s="56">
        <v>21</v>
      </c>
      <c r="G73" s="56">
        <v>14</v>
      </c>
      <c r="H73" s="56">
        <v>9</v>
      </c>
      <c r="I73" s="56">
        <v>28</v>
      </c>
      <c r="J73" s="56">
        <v>21</v>
      </c>
      <c r="K73" s="56">
        <v>25</v>
      </c>
      <c r="L73" s="56">
        <v>12</v>
      </c>
      <c r="M73" s="56">
        <v>9</v>
      </c>
      <c r="N73" s="56">
        <v>13</v>
      </c>
      <c r="O73" s="56">
        <v>27</v>
      </c>
      <c r="P73" s="56">
        <v>4</v>
      </c>
      <c r="Q73" s="56">
        <v>35</v>
      </c>
      <c r="R73" s="56">
        <v>29</v>
      </c>
      <c r="S73" s="56">
        <v>10</v>
      </c>
      <c r="T73" s="56">
        <v>15</v>
      </c>
      <c r="U73" s="56">
        <v>28</v>
      </c>
      <c r="V73" s="56">
        <v>16</v>
      </c>
      <c r="W73" s="56">
        <v>386</v>
      </c>
      <c r="X73"/>
      <c r="Y73"/>
      <c r="Z73"/>
      <c r="AA73"/>
      <c r="AB73"/>
      <c r="AC73"/>
      <c r="AD73"/>
      <c r="AE73"/>
      <c r="AF73"/>
      <c r="AG73"/>
      <c r="AH73"/>
    </row>
    <row r="74" spans="1:34" x14ac:dyDescent="0.25">
      <c r="A74" s="57" t="s">
        <v>4</v>
      </c>
      <c r="B74" s="56"/>
      <c r="C74" s="56">
        <v>8</v>
      </c>
      <c r="D74" s="56">
        <v>41</v>
      </c>
      <c r="E74" s="56">
        <v>9</v>
      </c>
      <c r="F74" s="56">
        <v>14</v>
      </c>
      <c r="G74" s="56">
        <v>8</v>
      </c>
      <c r="H74" s="56">
        <v>8</v>
      </c>
      <c r="I74" s="56">
        <v>15</v>
      </c>
      <c r="J74" s="56">
        <v>11</v>
      </c>
      <c r="K74" s="56">
        <v>14</v>
      </c>
      <c r="L74" s="56">
        <v>4</v>
      </c>
      <c r="M74" s="56">
        <v>5</v>
      </c>
      <c r="N74" s="56">
        <v>10</v>
      </c>
      <c r="O74" s="56">
        <v>23</v>
      </c>
      <c r="P74" s="56">
        <v>2</v>
      </c>
      <c r="Q74" s="56">
        <v>31</v>
      </c>
      <c r="R74" s="56">
        <v>24</v>
      </c>
      <c r="S74" s="56">
        <v>7</v>
      </c>
      <c r="T74" s="56">
        <v>10</v>
      </c>
      <c r="U74" s="56">
        <v>19</v>
      </c>
      <c r="V74" s="56">
        <v>11</v>
      </c>
      <c r="W74" s="56">
        <v>274</v>
      </c>
      <c r="X74"/>
      <c r="Y74"/>
      <c r="Z74"/>
      <c r="AA74"/>
      <c r="AB74"/>
      <c r="AC74"/>
      <c r="AD74"/>
      <c r="AE74"/>
      <c r="AF74"/>
      <c r="AG74"/>
      <c r="AH74"/>
    </row>
    <row r="75" spans="1:34" x14ac:dyDescent="0.25">
      <c r="A75" s="57" t="s">
        <v>3</v>
      </c>
      <c r="B75" s="56"/>
      <c r="C75" s="56">
        <v>5</v>
      </c>
      <c r="D75" s="56">
        <v>3</v>
      </c>
      <c r="E75" s="56">
        <v>4</v>
      </c>
      <c r="F75" s="56">
        <v>4</v>
      </c>
      <c r="G75" s="56">
        <v>4</v>
      </c>
      <c r="H75" s="56">
        <v>1</v>
      </c>
      <c r="I75" s="56">
        <v>13</v>
      </c>
      <c r="J75" s="56">
        <v>10</v>
      </c>
      <c r="K75" s="56">
        <v>11</v>
      </c>
      <c r="L75" s="56">
        <v>8</v>
      </c>
      <c r="M75" s="56">
        <v>4</v>
      </c>
      <c r="N75" s="56">
        <v>3</v>
      </c>
      <c r="O75" s="56">
        <v>4</v>
      </c>
      <c r="P75" s="56">
        <v>2</v>
      </c>
      <c r="Q75" s="56">
        <v>4</v>
      </c>
      <c r="R75" s="56">
        <v>5</v>
      </c>
      <c r="S75" s="56">
        <v>3</v>
      </c>
      <c r="T75" s="56">
        <v>4</v>
      </c>
      <c r="U75" s="56">
        <v>8</v>
      </c>
      <c r="V75" s="56">
        <v>5</v>
      </c>
      <c r="W75" s="56">
        <v>105</v>
      </c>
      <c r="X75"/>
      <c r="Y75"/>
      <c r="Z75"/>
      <c r="AA75"/>
      <c r="AB75"/>
      <c r="AC75"/>
      <c r="AD75"/>
      <c r="AE75"/>
      <c r="AF75"/>
      <c r="AG75"/>
      <c r="AH75"/>
    </row>
    <row r="76" spans="1:34" x14ac:dyDescent="0.25">
      <c r="A76" s="57" t="s">
        <v>233</v>
      </c>
      <c r="B76" s="56"/>
      <c r="C76" s="56"/>
      <c r="D76" s="56"/>
      <c r="E76" s="56"/>
      <c r="F76" s="56"/>
      <c r="G76" s="56">
        <v>1</v>
      </c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>
        <v>1</v>
      </c>
      <c r="V76" s="56"/>
      <c r="W76" s="56">
        <v>2</v>
      </c>
      <c r="X76"/>
      <c r="Y76"/>
      <c r="Z76"/>
      <c r="AA76"/>
      <c r="AB76"/>
      <c r="AC76"/>
      <c r="AD76"/>
      <c r="AE76"/>
      <c r="AF76"/>
      <c r="AG76"/>
      <c r="AH76"/>
    </row>
    <row r="77" spans="1:34" x14ac:dyDescent="0.25">
      <c r="A77" s="57" t="s">
        <v>232</v>
      </c>
      <c r="B77" s="56"/>
      <c r="C77" s="56"/>
      <c r="D77" s="56"/>
      <c r="E77" s="56"/>
      <c r="F77" s="56">
        <v>3</v>
      </c>
      <c r="G77" s="56">
        <v>1</v>
      </c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>
        <v>1</v>
      </c>
      <c r="U77" s="56"/>
      <c r="V77" s="56"/>
      <c r="W77" s="56">
        <v>5</v>
      </c>
      <c r="X77"/>
      <c r="Y77"/>
      <c r="Z77"/>
      <c r="AA77"/>
      <c r="AB77"/>
      <c r="AC77"/>
      <c r="AD77"/>
      <c r="AE77"/>
      <c r="AF77"/>
      <c r="AG77"/>
      <c r="AH77"/>
    </row>
    <row r="78" spans="1:34" x14ac:dyDescent="0.25">
      <c r="A78" s="55" t="s">
        <v>177</v>
      </c>
      <c r="B78" s="56">
        <v>22</v>
      </c>
      <c r="C78" s="56">
        <v>79</v>
      </c>
      <c r="D78" s="56">
        <v>45</v>
      </c>
      <c r="E78" s="56">
        <v>40</v>
      </c>
      <c r="F78" s="56">
        <v>84</v>
      </c>
      <c r="G78" s="56">
        <v>44</v>
      </c>
      <c r="H78" s="56">
        <v>28</v>
      </c>
      <c r="I78" s="56">
        <v>85</v>
      </c>
      <c r="J78" s="56">
        <v>83</v>
      </c>
      <c r="K78" s="56">
        <v>58</v>
      </c>
      <c r="L78" s="56">
        <v>86</v>
      </c>
      <c r="M78" s="56">
        <v>37</v>
      </c>
      <c r="N78" s="56">
        <v>71</v>
      </c>
      <c r="O78" s="56">
        <v>80</v>
      </c>
      <c r="P78" s="56">
        <v>77</v>
      </c>
      <c r="Q78" s="56">
        <v>42</v>
      </c>
      <c r="R78" s="56">
        <v>92</v>
      </c>
      <c r="S78" s="56">
        <v>113</v>
      </c>
      <c r="T78" s="56">
        <v>73</v>
      </c>
      <c r="U78" s="56">
        <v>58</v>
      </c>
      <c r="V78" s="56">
        <v>26</v>
      </c>
      <c r="W78" s="56">
        <v>1323</v>
      </c>
      <c r="X78"/>
      <c r="Y78"/>
      <c r="Z78"/>
      <c r="AA78"/>
      <c r="AB78"/>
      <c r="AC78"/>
      <c r="AD78"/>
      <c r="AE78"/>
      <c r="AF78"/>
      <c r="AG78"/>
      <c r="AH78"/>
    </row>
    <row r="79" spans="1:34" x14ac:dyDescent="0.25">
      <c r="A79" s="57" t="s">
        <v>4</v>
      </c>
      <c r="B79" s="56">
        <v>14</v>
      </c>
      <c r="C79" s="56">
        <v>47</v>
      </c>
      <c r="D79" s="56">
        <v>29</v>
      </c>
      <c r="E79" s="56">
        <v>26</v>
      </c>
      <c r="F79" s="56">
        <v>52</v>
      </c>
      <c r="G79" s="56">
        <v>31</v>
      </c>
      <c r="H79" s="56">
        <v>19</v>
      </c>
      <c r="I79" s="56">
        <v>50</v>
      </c>
      <c r="J79" s="56">
        <v>60</v>
      </c>
      <c r="K79" s="56">
        <v>43</v>
      </c>
      <c r="L79" s="56">
        <v>55</v>
      </c>
      <c r="M79" s="56">
        <v>25</v>
      </c>
      <c r="N79" s="56">
        <v>43</v>
      </c>
      <c r="O79" s="56">
        <v>54</v>
      </c>
      <c r="P79" s="56">
        <v>54</v>
      </c>
      <c r="Q79" s="56">
        <v>30</v>
      </c>
      <c r="R79" s="56">
        <v>47</v>
      </c>
      <c r="S79" s="56">
        <v>26</v>
      </c>
      <c r="T79" s="56">
        <v>44</v>
      </c>
      <c r="U79" s="56">
        <v>38</v>
      </c>
      <c r="V79" s="56">
        <v>17</v>
      </c>
      <c r="W79" s="56">
        <v>804</v>
      </c>
      <c r="X79"/>
      <c r="Y79"/>
      <c r="Z79"/>
      <c r="AA79"/>
      <c r="AB79"/>
      <c r="AC79"/>
      <c r="AD79"/>
      <c r="AE79"/>
      <c r="AF79"/>
      <c r="AG79"/>
      <c r="AH79"/>
    </row>
    <row r="80" spans="1:34" x14ac:dyDescent="0.25">
      <c r="A80" s="57" t="s">
        <v>3</v>
      </c>
      <c r="B80" s="56">
        <v>8</v>
      </c>
      <c r="C80" s="56">
        <v>31</v>
      </c>
      <c r="D80" s="56">
        <v>16</v>
      </c>
      <c r="E80" s="56">
        <v>13</v>
      </c>
      <c r="F80" s="56">
        <v>31</v>
      </c>
      <c r="G80" s="56">
        <v>12</v>
      </c>
      <c r="H80" s="56">
        <v>9</v>
      </c>
      <c r="I80" s="56">
        <v>34</v>
      </c>
      <c r="J80" s="56">
        <v>23</v>
      </c>
      <c r="K80" s="56">
        <v>15</v>
      </c>
      <c r="L80" s="56">
        <v>31</v>
      </c>
      <c r="M80" s="56">
        <v>12</v>
      </c>
      <c r="N80" s="56">
        <v>28</v>
      </c>
      <c r="O80" s="56">
        <v>26</v>
      </c>
      <c r="P80" s="56">
        <v>23</v>
      </c>
      <c r="Q80" s="56">
        <v>12</v>
      </c>
      <c r="R80" s="56">
        <v>43</v>
      </c>
      <c r="S80" s="56">
        <v>85</v>
      </c>
      <c r="T80" s="56">
        <v>29</v>
      </c>
      <c r="U80" s="56">
        <v>19</v>
      </c>
      <c r="V80" s="56">
        <v>9</v>
      </c>
      <c r="W80" s="56">
        <v>509</v>
      </c>
      <c r="X80"/>
      <c r="Y80"/>
      <c r="Z80"/>
      <c r="AA80"/>
      <c r="AB80"/>
      <c r="AC80"/>
      <c r="AD80"/>
      <c r="AE80"/>
      <c r="AF80"/>
      <c r="AG80"/>
      <c r="AH80"/>
    </row>
    <row r="81" spans="1:34" x14ac:dyDescent="0.25">
      <c r="A81" s="57" t="s">
        <v>233</v>
      </c>
      <c r="B81" s="56"/>
      <c r="C81" s="56"/>
      <c r="D81" s="56"/>
      <c r="E81" s="56">
        <v>1</v>
      </c>
      <c r="F81" s="56">
        <v>1</v>
      </c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>
        <v>2</v>
      </c>
      <c r="S81" s="56">
        <v>1</v>
      </c>
      <c r="T81" s="56"/>
      <c r="U81" s="56">
        <v>1</v>
      </c>
      <c r="V81" s="56"/>
      <c r="W81" s="56">
        <v>6</v>
      </c>
      <c r="X81"/>
      <c r="Y81"/>
      <c r="Z81"/>
      <c r="AA81"/>
      <c r="AB81"/>
      <c r="AC81"/>
      <c r="AD81"/>
      <c r="AE81"/>
      <c r="AF81"/>
      <c r="AG81"/>
      <c r="AH81"/>
    </row>
    <row r="82" spans="1:34" x14ac:dyDescent="0.25">
      <c r="A82" s="57" t="s">
        <v>232</v>
      </c>
      <c r="B82" s="56"/>
      <c r="C82" s="56">
        <v>1</v>
      </c>
      <c r="D82" s="56"/>
      <c r="E82" s="56"/>
      <c r="F82" s="56"/>
      <c r="G82" s="56">
        <v>1</v>
      </c>
      <c r="H82" s="56"/>
      <c r="I82" s="56">
        <v>1</v>
      </c>
      <c r="J82" s="56"/>
      <c r="K82" s="56"/>
      <c r="L82" s="56"/>
      <c r="M82" s="56"/>
      <c r="N82" s="56"/>
      <c r="O82" s="56"/>
      <c r="P82" s="56"/>
      <c r="Q82" s="56"/>
      <c r="R82" s="56"/>
      <c r="S82" s="56">
        <v>1</v>
      </c>
      <c r="T82" s="56"/>
      <c r="U82" s="56"/>
      <c r="V82" s="56"/>
      <c r="W82" s="56">
        <v>4</v>
      </c>
      <c r="X82"/>
      <c r="Y82"/>
      <c r="Z82"/>
      <c r="AA82"/>
      <c r="AB82"/>
      <c r="AC82"/>
      <c r="AD82"/>
      <c r="AE82"/>
      <c r="AF82"/>
      <c r="AG82"/>
      <c r="AH82"/>
    </row>
    <row r="83" spans="1:34" x14ac:dyDescent="0.25">
      <c r="A83" s="55" t="s">
        <v>165</v>
      </c>
      <c r="B83" s="56">
        <v>22</v>
      </c>
      <c r="C83" s="56">
        <v>92</v>
      </c>
      <c r="D83" s="56">
        <v>89</v>
      </c>
      <c r="E83" s="56">
        <v>53</v>
      </c>
      <c r="F83" s="56">
        <v>105</v>
      </c>
      <c r="G83" s="56">
        <v>58</v>
      </c>
      <c r="H83" s="56">
        <v>37</v>
      </c>
      <c r="I83" s="56">
        <v>113</v>
      </c>
      <c r="J83" s="56">
        <v>104</v>
      </c>
      <c r="K83" s="56">
        <v>83</v>
      </c>
      <c r="L83" s="56">
        <v>98</v>
      </c>
      <c r="M83" s="56">
        <v>46</v>
      </c>
      <c r="N83" s="56">
        <v>84</v>
      </c>
      <c r="O83" s="56">
        <v>107</v>
      </c>
      <c r="P83" s="56">
        <v>81</v>
      </c>
      <c r="Q83" s="56">
        <v>77</v>
      </c>
      <c r="R83" s="56">
        <v>121</v>
      </c>
      <c r="S83" s="56">
        <v>123</v>
      </c>
      <c r="T83" s="56">
        <v>88</v>
      </c>
      <c r="U83" s="56">
        <v>86</v>
      </c>
      <c r="V83" s="56">
        <v>42</v>
      </c>
      <c r="W83" s="56">
        <v>1709</v>
      </c>
      <c r="X83"/>
      <c r="Y83"/>
      <c r="Z83"/>
      <c r="AA83"/>
      <c r="AB83"/>
      <c r="AC83"/>
      <c r="AD83"/>
      <c r="AE83"/>
      <c r="AF83"/>
      <c r="AG83"/>
      <c r="AH83"/>
    </row>
    <row r="84" spans="1:34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</row>
    <row r="85" spans="1:34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</row>
    <row r="86" spans="1:34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</row>
    <row r="87" spans="1:34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</sheetData>
  <pageMargins left="0.7" right="0.7" top="0.75" bottom="0.75" header="0.3" footer="0.3"/>
  <pageSetup paperSize="9" orientation="portrait" verticalDpi="0"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22"/>
  <sheetViews>
    <sheetView workbookViewId="0">
      <selection activeCell="B9" sqref="B9"/>
    </sheetView>
  </sheetViews>
  <sheetFormatPr defaultRowHeight="15" x14ac:dyDescent="0.25"/>
  <cols>
    <col min="1" max="1" width="19" style="33" customWidth="1"/>
    <col min="2" max="2" width="16.85546875" style="33" bestFit="1" customWidth="1"/>
    <col min="3" max="5" width="3.7109375" style="33" customWidth="1"/>
    <col min="6" max="9" width="4.7109375" style="33" customWidth="1"/>
    <col min="10" max="10" width="4.42578125" style="33" customWidth="1"/>
    <col min="11" max="11" width="5.28515625" style="33" customWidth="1"/>
    <col min="12" max="13" width="4.7109375" style="33" customWidth="1"/>
    <col min="14" max="14" width="3.7109375" style="33" customWidth="1"/>
    <col min="15" max="19" width="4.7109375" style="33" customWidth="1"/>
    <col min="20" max="20" width="4.28515625" style="33" customWidth="1"/>
    <col min="21" max="21" width="5.28515625" style="33" bestFit="1" customWidth="1"/>
    <col min="22" max="22" width="5.28515625" style="33" customWidth="1"/>
    <col min="23" max="23" width="11.7109375" style="33" customWidth="1"/>
    <col min="24" max="24" width="4.28515625" style="33" customWidth="1"/>
    <col min="25" max="25" width="4" style="33" customWidth="1"/>
    <col min="26" max="30" width="4.7109375" style="33" customWidth="1"/>
    <col min="31" max="31" width="4.28515625" style="33" customWidth="1"/>
    <col min="32" max="33" width="5.28515625" style="33" customWidth="1"/>
    <col min="34" max="34" width="11.7109375" style="33" bestFit="1" customWidth="1"/>
    <col min="35" max="36" width="10.7109375" style="33" bestFit="1" customWidth="1"/>
    <col min="37" max="38" width="11.28515625" style="33" bestFit="1" customWidth="1"/>
    <col min="39" max="16384" width="9.140625" style="33"/>
  </cols>
  <sheetData>
    <row r="1" spans="1:34" x14ac:dyDescent="0.25">
      <c r="A1" s="54" t="s">
        <v>169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179</v>
      </c>
      <c r="D2" t="s">
        <v>180</v>
      </c>
      <c r="E2" t="s">
        <v>181</v>
      </c>
      <c r="F2" t="s">
        <v>184</v>
      </c>
      <c r="G2" t="s">
        <v>185</v>
      </c>
      <c r="H2" t="s">
        <v>186</v>
      </c>
      <c r="I2" t="s">
        <v>189</v>
      </c>
      <c r="J2" t="s">
        <v>190</v>
      </c>
      <c r="K2" t="s">
        <v>191</v>
      </c>
      <c r="L2" t="s">
        <v>194</v>
      </c>
      <c r="M2" t="s">
        <v>195</v>
      </c>
      <c r="N2" t="s">
        <v>206</v>
      </c>
      <c r="O2" t="s">
        <v>207</v>
      </c>
      <c r="P2" t="s">
        <v>208</v>
      </c>
      <c r="Q2" t="s">
        <v>209</v>
      </c>
      <c r="R2" t="s">
        <v>210</v>
      </c>
      <c r="S2" t="s">
        <v>211</v>
      </c>
      <c r="T2" t="s">
        <v>224</v>
      </c>
      <c r="U2" t="s">
        <v>225</v>
      </c>
      <c r="V2" t="s">
        <v>226</v>
      </c>
      <c r="W2" t="s">
        <v>165</v>
      </c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4</v>
      </c>
      <c r="B3" s="56">
        <v>14</v>
      </c>
      <c r="C3" s="56">
        <v>55</v>
      </c>
      <c r="D3" s="56">
        <v>70</v>
      </c>
      <c r="E3" s="56">
        <v>35</v>
      </c>
      <c r="F3" s="56">
        <v>66</v>
      </c>
      <c r="G3" s="56">
        <v>39</v>
      </c>
      <c r="H3" s="56">
        <v>27</v>
      </c>
      <c r="I3" s="56">
        <v>65</v>
      </c>
      <c r="J3" s="56">
        <v>71</v>
      </c>
      <c r="K3" s="56">
        <v>57</v>
      </c>
      <c r="L3" s="56">
        <v>59</v>
      </c>
      <c r="M3" s="56">
        <v>30</v>
      </c>
      <c r="N3" s="56">
        <v>53</v>
      </c>
      <c r="O3" s="56">
        <v>79</v>
      </c>
      <c r="P3" s="56">
        <v>56</v>
      </c>
      <c r="Q3" s="56">
        <v>61</v>
      </c>
      <c r="R3" s="56">
        <v>71</v>
      </c>
      <c r="S3" s="56">
        <v>33</v>
      </c>
      <c r="T3" s="56">
        <v>54</v>
      </c>
      <c r="U3" s="56">
        <v>57</v>
      </c>
      <c r="V3" s="56">
        <v>29</v>
      </c>
      <c r="W3" s="56">
        <v>1081</v>
      </c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0</v>
      </c>
      <c r="B4" s="56">
        <v>8</v>
      </c>
      <c r="C4" s="56">
        <v>30</v>
      </c>
      <c r="D4" s="56">
        <v>64</v>
      </c>
      <c r="E4" s="56">
        <v>18</v>
      </c>
      <c r="F4" s="56">
        <v>44</v>
      </c>
      <c r="G4" s="56">
        <v>26</v>
      </c>
      <c r="H4" s="56">
        <v>19</v>
      </c>
      <c r="I4" s="56">
        <v>38</v>
      </c>
      <c r="J4" s="56">
        <v>59</v>
      </c>
      <c r="K4" s="56">
        <v>34</v>
      </c>
      <c r="L4" s="56">
        <v>40</v>
      </c>
      <c r="M4" s="56">
        <v>21</v>
      </c>
      <c r="N4" s="56">
        <v>33</v>
      </c>
      <c r="O4" s="56">
        <v>55</v>
      </c>
      <c r="P4" s="56">
        <v>28</v>
      </c>
      <c r="Q4" s="56">
        <v>41</v>
      </c>
      <c r="R4" s="56">
        <v>51</v>
      </c>
      <c r="S4" s="56">
        <v>17</v>
      </c>
      <c r="T4" s="56">
        <v>26</v>
      </c>
      <c r="U4" s="56">
        <v>36</v>
      </c>
      <c r="V4" s="56">
        <v>17</v>
      </c>
      <c r="W4" s="56">
        <v>705</v>
      </c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57" t="s">
        <v>1</v>
      </c>
      <c r="B5" s="56">
        <v>6</v>
      </c>
      <c r="C5" s="56">
        <v>25</v>
      </c>
      <c r="D5" s="56">
        <v>6</v>
      </c>
      <c r="E5" s="56">
        <v>17</v>
      </c>
      <c r="F5" s="56">
        <v>21</v>
      </c>
      <c r="G5" s="56">
        <v>13</v>
      </c>
      <c r="H5" s="56">
        <v>8</v>
      </c>
      <c r="I5" s="56">
        <v>27</v>
      </c>
      <c r="J5" s="56">
        <v>12</v>
      </c>
      <c r="K5" s="56">
        <v>23</v>
      </c>
      <c r="L5" s="56">
        <v>19</v>
      </c>
      <c r="M5" s="56">
        <v>9</v>
      </c>
      <c r="N5" s="56">
        <v>20</v>
      </c>
      <c r="O5" s="56">
        <v>22</v>
      </c>
      <c r="P5" s="56">
        <v>28</v>
      </c>
      <c r="Q5" s="56">
        <v>20</v>
      </c>
      <c r="R5" s="56">
        <v>20</v>
      </c>
      <c r="S5" s="56">
        <v>15</v>
      </c>
      <c r="T5" s="56">
        <v>28</v>
      </c>
      <c r="U5" s="56">
        <v>21</v>
      </c>
      <c r="V5" s="56">
        <v>11</v>
      </c>
      <c r="W5" s="56">
        <v>371</v>
      </c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7" t="s">
        <v>310</v>
      </c>
      <c r="B6" s="56"/>
      <c r="C6" s="56"/>
      <c r="D6" s="56"/>
      <c r="E6" s="56"/>
      <c r="F6" s="56">
        <v>1</v>
      </c>
      <c r="G6" s="56"/>
      <c r="H6" s="56"/>
      <c r="I6" s="56"/>
      <c r="J6" s="56"/>
      <c r="K6" s="56"/>
      <c r="L6" s="56"/>
      <c r="M6" s="56"/>
      <c r="N6" s="56"/>
      <c r="O6" s="56">
        <v>2</v>
      </c>
      <c r="P6" s="56"/>
      <c r="Q6" s="56"/>
      <c r="R6" s="56"/>
      <c r="S6" s="56">
        <v>1</v>
      </c>
      <c r="T6" s="56"/>
      <c r="U6" s="56"/>
      <c r="V6" s="56">
        <v>1</v>
      </c>
      <c r="W6" s="56">
        <v>5</v>
      </c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5" t="s">
        <v>3</v>
      </c>
      <c r="B7" s="56">
        <v>8</v>
      </c>
      <c r="C7" s="56">
        <v>36</v>
      </c>
      <c r="D7" s="56">
        <v>19</v>
      </c>
      <c r="E7" s="56">
        <v>17</v>
      </c>
      <c r="F7" s="56">
        <v>35</v>
      </c>
      <c r="G7" s="56">
        <v>16</v>
      </c>
      <c r="H7" s="56">
        <v>10</v>
      </c>
      <c r="I7" s="56">
        <v>47</v>
      </c>
      <c r="J7" s="56">
        <v>33</v>
      </c>
      <c r="K7" s="56">
        <v>26</v>
      </c>
      <c r="L7" s="56">
        <v>39</v>
      </c>
      <c r="M7" s="56">
        <v>16</v>
      </c>
      <c r="N7" s="56">
        <v>31</v>
      </c>
      <c r="O7" s="56">
        <v>30</v>
      </c>
      <c r="P7" s="56">
        <v>25</v>
      </c>
      <c r="Q7" s="56">
        <v>16</v>
      </c>
      <c r="R7" s="56">
        <v>48</v>
      </c>
      <c r="S7" s="56">
        <v>88</v>
      </c>
      <c r="T7" s="56">
        <v>33</v>
      </c>
      <c r="U7" s="56">
        <v>27</v>
      </c>
      <c r="V7" s="56">
        <v>14</v>
      </c>
      <c r="W7" s="56">
        <v>614</v>
      </c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57" t="s">
        <v>0</v>
      </c>
      <c r="B8" s="56">
        <v>5</v>
      </c>
      <c r="C8" s="56">
        <v>26</v>
      </c>
      <c r="D8" s="56">
        <v>11</v>
      </c>
      <c r="E8" s="56">
        <v>9</v>
      </c>
      <c r="F8" s="56">
        <v>22</v>
      </c>
      <c r="G8" s="56">
        <v>10</v>
      </c>
      <c r="H8" s="56">
        <v>6</v>
      </c>
      <c r="I8" s="56">
        <v>30</v>
      </c>
      <c r="J8" s="56">
        <v>24</v>
      </c>
      <c r="K8" s="56">
        <v>15</v>
      </c>
      <c r="L8" s="56">
        <v>29</v>
      </c>
      <c r="M8" s="56">
        <v>10</v>
      </c>
      <c r="N8" s="56">
        <v>25</v>
      </c>
      <c r="O8" s="56">
        <v>24</v>
      </c>
      <c r="P8" s="56">
        <v>9</v>
      </c>
      <c r="Q8" s="56">
        <v>9</v>
      </c>
      <c r="R8" s="56">
        <v>35</v>
      </c>
      <c r="S8" s="56">
        <v>87</v>
      </c>
      <c r="T8" s="56">
        <v>19</v>
      </c>
      <c r="U8" s="56">
        <v>15</v>
      </c>
      <c r="V8" s="56">
        <v>8</v>
      </c>
      <c r="W8" s="56">
        <v>428</v>
      </c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57" t="s">
        <v>1</v>
      </c>
      <c r="B9" s="56">
        <v>3</v>
      </c>
      <c r="C9" s="56">
        <v>10</v>
      </c>
      <c r="D9" s="56">
        <v>8</v>
      </c>
      <c r="E9" s="56">
        <v>8</v>
      </c>
      <c r="F9" s="56">
        <v>13</v>
      </c>
      <c r="G9" s="56">
        <v>5</v>
      </c>
      <c r="H9" s="56">
        <v>4</v>
      </c>
      <c r="I9" s="56">
        <v>17</v>
      </c>
      <c r="J9" s="56">
        <v>9</v>
      </c>
      <c r="K9" s="56">
        <v>11</v>
      </c>
      <c r="L9" s="56">
        <v>10</v>
      </c>
      <c r="M9" s="56">
        <v>6</v>
      </c>
      <c r="N9" s="56">
        <v>6</v>
      </c>
      <c r="O9" s="56">
        <v>6</v>
      </c>
      <c r="P9" s="56">
        <v>16</v>
      </c>
      <c r="Q9" s="56">
        <v>7</v>
      </c>
      <c r="R9" s="56">
        <v>13</v>
      </c>
      <c r="S9" s="56">
        <v>1</v>
      </c>
      <c r="T9" s="56">
        <v>14</v>
      </c>
      <c r="U9" s="56">
        <v>12</v>
      </c>
      <c r="V9" s="56">
        <v>6</v>
      </c>
      <c r="W9" s="56">
        <v>185</v>
      </c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57" t="s">
        <v>310</v>
      </c>
      <c r="B10" s="56"/>
      <c r="C10" s="56"/>
      <c r="D10" s="56"/>
      <c r="E10" s="56"/>
      <c r="F10" s="56"/>
      <c r="G10" s="56">
        <v>1</v>
      </c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>
        <v>1</v>
      </c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55" t="s">
        <v>233</v>
      </c>
      <c r="B11" s="56"/>
      <c r="C11" s="56"/>
      <c r="D11" s="56"/>
      <c r="E11" s="56">
        <v>1</v>
      </c>
      <c r="F11" s="56">
        <v>1</v>
      </c>
      <c r="G11" s="56">
        <v>1</v>
      </c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>
        <v>2</v>
      </c>
      <c r="S11" s="56">
        <v>1</v>
      </c>
      <c r="T11" s="56"/>
      <c r="U11" s="56">
        <v>2</v>
      </c>
      <c r="V11" s="56"/>
      <c r="W11" s="56">
        <v>8</v>
      </c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57" t="s">
        <v>1</v>
      </c>
      <c r="B12" s="56"/>
      <c r="C12" s="56"/>
      <c r="D12" s="56"/>
      <c r="E12" s="56">
        <v>1</v>
      </c>
      <c r="F12" s="56">
        <v>1</v>
      </c>
      <c r="G12" s="56">
        <v>1</v>
      </c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>
        <v>2</v>
      </c>
      <c r="S12" s="56">
        <v>1</v>
      </c>
      <c r="T12" s="56"/>
      <c r="U12" s="56">
        <v>2</v>
      </c>
      <c r="V12" s="56"/>
      <c r="W12" s="56">
        <v>8</v>
      </c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5" t="s">
        <v>232</v>
      </c>
      <c r="B13" s="56"/>
      <c r="C13" s="56">
        <v>1</v>
      </c>
      <c r="D13" s="56"/>
      <c r="E13" s="56"/>
      <c r="F13" s="56">
        <v>3</v>
      </c>
      <c r="G13" s="56">
        <v>2</v>
      </c>
      <c r="H13" s="56"/>
      <c r="I13" s="56">
        <v>1</v>
      </c>
      <c r="J13" s="56"/>
      <c r="K13" s="56"/>
      <c r="L13" s="56"/>
      <c r="M13" s="56"/>
      <c r="N13" s="56"/>
      <c r="O13" s="56"/>
      <c r="P13" s="56"/>
      <c r="Q13" s="56"/>
      <c r="R13" s="56"/>
      <c r="S13" s="56">
        <v>1</v>
      </c>
      <c r="T13" s="56">
        <v>1</v>
      </c>
      <c r="U13" s="56"/>
      <c r="V13" s="56"/>
      <c r="W13" s="56">
        <v>9</v>
      </c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7" t="s">
        <v>1</v>
      </c>
      <c r="B14" s="56"/>
      <c r="C14" s="56">
        <v>1</v>
      </c>
      <c r="D14" s="56"/>
      <c r="E14" s="56"/>
      <c r="F14" s="56">
        <v>3</v>
      </c>
      <c r="G14" s="56">
        <v>2</v>
      </c>
      <c r="H14" s="56"/>
      <c r="I14" s="56">
        <v>1</v>
      </c>
      <c r="J14" s="56"/>
      <c r="K14" s="56"/>
      <c r="L14" s="56"/>
      <c r="M14" s="56"/>
      <c r="N14" s="56"/>
      <c r="O14" s="56"/>
      <c r="P14" s="56"/>
      <c r="Q14" s="56"/>
      <c r="R14" s="56"/>
      <c r="S14" s="56">
        <v>1</v>
      </c>
      <c r="T14" s="56">
        <v>1</v>
      </c>
      <c r="U14" s="56"/>
      <c r="V14" s="56"/>
      <c r="W14" s="56">
        <v>9</v>
      </c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55" t="s">
        <v>165</v>
      </c>
      <c r="B15" s="56">
        <v>22</v>
      </c>
      <c r="C15" s="56">
        <v>92</v>
      </c>
      <c r="D15" s="56">
        <v>89</v>
      </c>
      <c r="E15" s="56">
        <v>53</v>
      </c>
      <c r="F15" s="56">
        <v>105</v>
      </c>
      <c r="G15" s="56">
        <v>58</v>
      </c>
      <c r="H15" s="56">
        <v>37</v>
      </c>
      <c r="I15" s="56">
        <v>113</v>
      </c>
      <c r="J15" s="56">
        <v>104</v>
      </c>
      <c r="K15" s="56">
        <v>83</v>
      </c>
      <c r="L15" s="56">
        <v>98</v>
      </c>
      <c r="M15" s="56">
        <v>46</v>
      </c>
      <c r="N15" s="56">
        <v>84</v>
      </c>
      <c r="O15" s="56">
        <v>109</v>
      </c>
      <c r="P15" s="56">
        <v>81</v>
      </c>
      <c r="Q15" s="56">
        <v>77</v>
      </c>
      <c r="R15" s="56">
        <v>121</v>
      </c>
      <c r="S15" s="56">
        <v>123</v>
      </c>
      <c r="T15" s="56">
        <v>88</v>
      </c>
      <c r="U15" s="56">
        <v>86</v>
      </c>
      <c r="V15" s="56">
        <v>43</v>
      </c>
      <c r="W15" s="56">
        <v>1712</v>
      </c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192"/>
  <sheetViews>
    <sheetView workbookViewId="0"/>
  </sheetViews>
  <sheetFormatPr defaultRowHeight="15" x14ac:dyDescent="0.25"/>
  <cols>
    <col min="1" max="1" width="20.7109375" style="33" customWidth="1"/>
    <col min="2" max="2" width="16.85546875" style="33" bestFit="1" customWidth="1"/>
    <col min="3" max="5" width="3.7109375" style="33" customWidth="1"/>
    <col min="6" max="9" width="4.7109375" style="33" customWidth="1"/>
    <col min="10" max="10" width="4.42578125" style="33" customWidth="1"/>
    <col min="11" max="11" width="5.28515625" style="33" customWidth="1"/>
    <col min="12" max="13" width="4.7109375" style="33" customWidth="1"/>
    <col min="14" max="14" width="3.7109375" style="33" customWidth="1"/>
    <col min="15" max="19" width="4.7109375" style="33" customWidth="1"/>
    <col min="20" max="20" width="4.28515625" style="33" customWidth="1"/>
    <col min="21" max="22" width="5.28515625" style="33" customWidth="1"/>
    <col min="23" max="23" width="11.7109375" style="33" customWidth="1"/>
    <col min="24" max="24" width="4.28515625" style="33" customWidth="1"/>
    <col min="25" max="25" width="4" style="33" customWidth="1"/>
    <col min="26" max="30" width="4.7109375" style="33" customWidth="1"/>
    <col min="31" max="31" width="4.28515625" style="33" customWidth="1"/>
    <col min="32" max="33" width="5.28515625" style="33" customWidth="1"/>
    <col min="34" max="34" width="11.7109375" style="33" bestFit="1" customWidth="1"/>
    <col min="35" max="36" width="10.7109375" style="33" bestFit="1" customWidth="1"/>
    <col min="37" max="38" width="11.28515625" style="33" bestFit="1" customWidth="1"/>
    <col min="39" max="16384" width="9.140625" style="33"/>
  </cols>
  <sheetData>
    <row r="1" spans="1:34" x14ac:dyDescent="0.25">
      <c r="A1" s="54" t="s">
        <v>170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179</v>
      </c>
      <c r="D2" t="s">
        <v>180</v>
      </c>
      <c r="E2" t="s">
        <v>181</v>
      </c>
      <c r="F2" t="s">
        <v>184</v>
      </c>
      <c r="G2" t="s">
        <v>185</v>
      </c>
      <c r="H2" t="s">
        <v>186</v>
      </c>
      <c r="I2" t="s">
        <v>189</v>
      </c>
      <c r="J2" t="s">
        <v>190</v>
      </c>
      <c r="K2" t="s">
        <v>191</v>
      </c>
      <c r="L2" t="s">
        <v>194</v>
      </c>
      <c r="M2" t="s">
        <v>195</v>
      </c>
      <c r="N2" t="s">
        <v>206</v>
      </c>
      <c r="O2" t="s">
        <v>207</v>
      </c>
      <c r="P2" t="s">
        <v>208</v>
      </c>
      <c r="Q2" t="s">
        <v>209</v>
      </c>
      <c r="R2" t="s">
        <v>210</v>
      </c>
      <c r="S2" t="s">
        <v>211</v>
      </c>
      <c r="T2" t="s">
        <v>224</v>
      </c>
      <c r="U2" t="s">
        <v>225</v>
      </c>
      <c r="V2" t="s">
        <v>226</v>
      </c>
      <c r="W2" t="s">
        <v>165</v>
      </c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18</v>
      </c>
      <c r="B3" s="56">
        <v>2</v>
      </c>
      <c r="C3" s="56">
        <v>1</v>
      </c>
      <c r="D3" s="56"/>
      <c r="E3" s="56"/>
      <c r="F3" s="56">
        <v>1</v>
      </c>
      <c r="G3" s="56"/>
      <c r="H3" s="56"/>
      <c r="I3" s="56">
        <v>4</v>
      </c>
      <c r="J3" s="56">
        <v>1</v>
      </c>
      <c r="K3" s="56">
        <v>2</v>
      </c>
      <c r="L3" s="56">
        <v>2</v>
      </c>
      <c r="M3" s="56"/>
      <c r="N3" s="56"/>
      <c r="O3" s="56">
        <v>4</v>
      </c>
      <c r="P3" s="56">
        <v>2</v>
      </c>
      <c r="Q3" s="56"/>
      <c r="R3" s="56">
        <v>4</v>
      </c>
      <c r="S3" s="56">
        <v>2</v>
      </c>
      <c r="T3" s="56"/>
      <c r="U3" s="56"/>
      <c r="V3" s="56">
        <v>1</v>
      </c>
      <c r="W3" s="56">
        <v>26</v>
      </c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0</v>
      </c>
      <c r="B4" s="56">
        <v>1</v>
      </c>
      <c r="C4" s="56"/>
      <c r="D4" s="56"/>
      <c r="E4" s="56"/>
      <c r="F4" s="56">
        <v>1</v>
      </c>
      <c r="G4" s="56"/>
      <c r="H4" s="56"/>
      <c r="I4" s="56">
        <v>2</v>
      </c>
      <c r="J4" s="56"/>
      <c r="K4" s="56"/>
      <c r="L4" s="56">
        <v>2</v>
      </c>
      <c r="M4" s="56"/>
      <c r="N4" s="56"/>
      <c r="O4" s="56">
        <v>2</v>
      </c>
      <c r="P4" s="56">
        <v>1</v>
      </c>
      <c r="Q4" s="56"/>
      <c r="R4" s="56">
        <v>2</v>
      </c>
      <c r="S4" s="56">
        <v>1</v>
      </c>
      <c r="T4" s="56"/>
      <c r="U4" s="56"/>
      <c r="V4" s="56">
        <v>1</v>
      </c>
      <c r="W4" s="56">
        <v>13</v>
      </c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57" t="s">
        <v>1</v>
      </c>
      <c r="B5" s="56">
        <v>1</v>
      </c>
      <c r="C5" s="56">
        <v>1</v>
      </c>
      <c r="D5" s="56"/>
      <c r="E5" s="56"/>
      <c r="F5" s="56"/>
      <c r="G5" s="56"/>
      <c r="H5" s="56"/>
      <c r="I5" s="56">
        <v>2</v>
      </c>
      <c r="J5" s="56">
        <v>1</v>
      </c>
      <c r="K5" s="56">
        <v>2</v>
      </c>
      <c r="L5" s="56"/>
      <c r="M5" s="56"/>
      <c r="N5" s="56"/>
      <c r="O5" s="56">
        <v>2</v>
      </c>
      <c r="P5" s="56">
        <v>1</v>
      </c>
      <c r="Q5" s="56"/>
      <c r="R5" s="56">
        <v>2</v>
      </c>
      <c r="S5" s="56">
        <v>1</v>
      </c>
      <c r="T5" s="56"/>
      <c r="U5" s="56"/>
      <c r="V5" s="56"/>
      <c r="W5" s="56">
        <v>13</v>
      </c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5" t="s">
        <v>19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>
        <v>1</v>
      </c>
      <c r="M6" s="56"/>
      <c r="N6" s="56"/>
      <c r="O6" s="56"/>
      <c r="P6" s="56"/>
      <c r="Q6" s="56"/>
      <c r="R6" s="56"/>
      <c r="S6" s="56"/>
      <c r="T6" s="56"/>
      <c r="U6" s="56"/>
      <c r="V6" s="56"/>
      <c r="W6" s="56">
        <v>1</v>
      </c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7" t="s">
        <v>0</v>
      </c>
      <c r="B7" s="56"/>
      <c r="C7" s="56"/>
      <c r="D7" s="56"/>
      <c r="E7" s="56"/>
      <c r="F7" s="56"/>
      <c r="G7" s="56"/>
      <c r="H7" s="56"/>
      <c r="I7" s="56"/>
      <c r="J7" s="56"/>
      <c r="K7" s="56"/>
      <c r="L7" s="56">
        <v>1</v>
      </c>
      <c r="M7" s="56"/>
      <c r="N7" s="56"/>
      <c r="O7" s="56"/>
      <c r="P7" s="56"/>
      <c r="Q7" s="56"/>
      <c r="R7" s="56"/>
      <c r="S7" s="56"/>
      <c r="T7" s="56"/>
      <c r="U7" s="56"/>
      <c r="V7" s="56"/>
      <c r="W7" s="56">
        <v>1</v>
      </c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55" t="s">
        <v>17</v>
      </c>
      <c r="B8" s="56">
        <v>6</v>
      </c>
      <c r="C8" s="56">
        <v>21</v>
      </c>
      <c r="D8" s="56">
        <v>10</v>
      </c>
      <c r="E8" s="56">
        <v>19</v>
      </c>
      <c r="F8" s="56">
        <v>26</v>
      </c>
      <c r="G8" s="56">
        <v>18</v>
      </c>
      <c r="H8" s="56">
        <v>8</v>
      </c>
      <c r="I8" s="56">
        <v>16</v>
      </c>
      <c r="J8" s="56">
        <v>19</v>
      </c>
      <c r="K8" s="56">
        <v>34</v>
      </c>
      <c r="L8" s="56">
        <v>24</v>
      </c>
      <c r="M8" s="56">
        <v>15</v>
      </c>
      <c r="N8" s="56">
        <v>11</v>
      </c>
      <c r="O8" s="56">
        <v>24</v>
      </c>
      <c r="P8" s="56">
        <v>20</v>
      </c>
      <c r="Q8" s="56">
        <v>14</v>
      </c>
      <c r="R8" s="56">
        <v>27</v>
      </c>
      <c r="S8" s="56">
        <v>21</v>
      </c>
      <c r="T8" s="56">
        <v>20</v>
      </c>
      <c r="U8" s="56">
        <v>21</v>
      </c>
      <c r="V8" s="56">
        <v>16</v>
      </c>
      <c r="W8" s="56">
        <v>390</v>
      </c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57" t="s">
        <v>0</v>
      </c>
      <c r="B9" s="56">
        <v>5</v>
      </c>
      <c r="C9" s="56">
        <v>12</v>
      </c>
      <c r="D9" s="56">
        <v>5</v>
      </c>
      <c r="E9" s="56">
        <v>10</v>
      </c>
      <c r="F9" s="56">
        <v>16</v>
      </c>
      <c r="G9" s="56">
        <v>7</v>
      </c>
      <c r="H9" s="56">
        <v>4</v>
      </c>
      <c r="I9" s="56">
        <v>7</v>
      </c>
      <c r="J9" s="56">
        <v>10</v>
      </c>
      <c r="K9" s="56">
        <v>17</v>
      </c>
      <c r="L9" s="56">
        <v>16</v>
      </c>
      <c r="M9" s="56">
        <v>5</v>
      </c>
      <c r="N9" s="56">
        <v>4</v>
      </c>
      <c r="O9" s="56">
        <v>11</v>
      </c>
      <c r="P9" s="56">
        <v>15</v>
      </c>
      <c r="Q9" s="56">
        <v>8</v>
      </c>
      <c r="R9" s="56">
        <v>16</v>
      </c>
      <c r="S9" s="56">
        <v>7</v>
      </c>
      <c r="T9" s="56">
        <v>11</v>
      </c>
      <c r="U9" s="56">
        <v>7</v>
      </c>
      <c r="V9" s="56">
        <v>8</v>
      </c>
      <c r="W9" s="56">
        <v>201</v>
      </c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57" t="s">
        <v>1</v>
      </c>
      <c r="B10" s="56">
        <v>1</v>
      </c>
      <c r="C10" s="56">
        <v>9</v>
      </c>
      <c r="D10" s="56">
        <v>5</v>
      </c>
      <c r="E10" s="56">
        <v>9</v>
      </c>
      <c r="F10" s="56">
        <v>9</v>
      </c>
      <c r="G10" s="56">
        <v>10</v>
      </c>
      <c r="H10" s="56">
        <v>4</v>
      </c>
      <c r="I10" s="56">
        <v>9</v>
      </c>
      <c r="J10" s="56">
        <v>9</v>
      </c>
      <c r="K10" s="56">
        <v>17</v>
      </c>
      <c r="L10" s="56">
        <v>8</v>
      </c>
      <c r="M10" s="56">
        <v>10</v>
      </c>
      <c r="N10" s="56">
        <v>7</v>
      </c>
      <c r="O10" s="56">
        <v>13</v>
      </c>
      <c r="P10" s="56">
        <v>5</v>
      </c>
      <c r="Q10" s="56">
        <v>6</v>
      </c>
      <c r="R10" s="56">
        <v>11</v>
      </c>
      <c r="S10" s="56">
        <v>13</v>
      </c>
      <c r="T10" s="56">
        <v>9</v>
      </c>
      <c r="U10" s="56">
        <v>14</v>
      </c>
      <c r="V10" s="56">
        <v>8</v>
      </c>
      <c r="W10" s="56">
        <v>186</v>
      </c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57" t="s">
        <v>310</v>
      </c>
      <c r="B11" s="56"/>
      <c r="C11" s="56"/>
      <c r="D11" s="56"/>
      <c r="E11" s="56"/>
      <c r="F11" s="56">
        <v>1</v>
      </c>
      <c r="G11" s="56">
        <v>1</v>
      </c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>
        <v>1</v>
      </c>
      <c r="T11" s="56"/>
      <c r="U11" s="56"/>
      <c r="V11" s="56"/>
      <c r="W11" s="56">
        <v>3</v>
      </c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55" t="s">
        <v>7</v>
      </c>
      <c r="B12" s="56">
        <v>6</v>
      </c>
      <c r="C12" s="56">
        <v>35</v>
      </c>
      <c r="D12" s="56">
        <v>63</v>
      </c>
      <c r="E12" s="56">
        <v>6</v>
      </c>
      <c r="F12" s="56">
        <v>45</v>
      </c>
      <c r="G12" s="56">
        <v>28</v>
      </c>
      <c r="H12" s="56">
        <v>4</v>
      </c>
      <c r="I12" s="56">
        <v>38</v>
      </c>
      <c r="J12" s="56">
        <v>65</v>
      </c>
      <c r="K12" s="56">
        <v>8</v>
      </c>
      <c r="L12" s="56">
        <v>36</v>
      </c>
      <c r="M12" s="56">
        <v>20</v>
      </c>
      <c r="N12" s="56">
        <v>38</v>
      </c>
      <c r="O12" s="56">
        <v>67</v>
      </c>
      <c r="P12" s="56">
        <v>46</v>
      </c>
      <c r="Q12" s="56">
        <v>34</v>
      </c>
      <c r="R12" s="56">
        <v>65</v>
      </c>
      <c r="S12" s="56">
        <v>6</v>
      </c>
      <c r="T12" s="56">
        <v>42</v>
      </c>
      <c r="U12" s="56">
        <v>18</v>
      </c>
      <c r="V12" s="56">
        <v>6</v>
      </c>
      <c r="W12" s="56">
        <v>676</v>
      </c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7" t="s">
        <v>0</v>
      </c>
      <c r="B13" s="56">
        <v>3</v>
      </c>
      <c r="C13" s="56">
        <v>29</v>
      </c>
      <c r="D13" s="56">
        <v>62</v>
      </c>
      <c r="E13" s="56">
        <v>4</v>
      </c>
      <c r="F13" s="56">
        <v>37</v>
      </c>
      <c r="G13" s="56">
        <v>26</v>
      </c>
      <c r="H13" s="56">
        <v>2</v>
      </c>
      <c r="I13" s="56">
        <v>31</v>
      </c>
      <c r="J13" s="56">
        <v>63</v>
      </c>
      <c r="K13" s="56">
        <v>7</v>
      </c>
      <c r="L13" s="56">
        <v>31</v>
      </c>
      <c r="M13" s="56">
        <v>18</v>
      </c>
      <c r="N13" s="56">
        <v>34</v>
      </c>
      <c r="O13" s="56">
        <v>59</v>
      </c>
      <c r="P13" s="56">
        <v>15</v>
      </c>
      <c r="Q13" s="56">
        <v>31</v>
      </c>
      <c r="R13" s="56">
        <v>54</v>
      </c>
      <c r="S13" s="56">
        <v>6</v>
      </c>
      <c r="T13" s="56">
        <v>18</v>
      </c>
      <c r="U13" s="56">
        <v>16</v>
      </c>
      <c r="V13" s="56">
        <v>5</v>
      </c>
      <c r="W13" s="56">
        <v>551</v>
      </c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7" t="s">
        <v>1</v>
      </c>
      <c r="B14" s="56">
        <v>3</v>
      </c>
      <c r="C14" s="56">
        <v>6</v>
      </c>
      <c r="D14" s="56">
        <v>1</v>
      </c>
      <c r="E14" s="56">
        <v>2</v>
      </c>
      <c r="F14" s="56">
        <v>7</v>
      </c>
      <c r="G14" s="56">
        <v>2</v>
      </c>
      <c r="H14" s="56">
        <v>2</v>
      </c>
      <c r="I14" s="56">
        <v>7</v>
      </c>
      <c r="J14" s="56">
        <v>2</v>
      </c>
      <c r="K14" s="56">
        <v>1</v>
      </c>
      <c r="L14" s="56">
        <v>5</v>
      </c>
      <c r="M14" s="56">
        <v>2</v>
      </c>
      <c r="N14" s="56">
        <v>4</v>
      </c>
      <c r="O14" s="56">
        <v>8</v>
      </c>
      <c r="P14" s="56">
        <v>31</v>
      </c>
      <c r="Q14" s="56">
        <v>3</v>
      </c>
      <c r="R14" s="56">
        <v>11</v>
      </c>
      <c r="S14" s="56"/>
      <c r="T14" s="56">
        <v>24</v>
      </c>
      <c r="U14" s="56">
        <v>2</v>
      </c>
      <c r="V14" s="56">
        <v>1</v>
      </c>
      <c r="W14" s="56">
        <v>124</v>
      </c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57" t="s">
        <v>310</v>
      </c>
      <c r="B15" s="56"/>
      <c r="C15" s="56"/>
      <c r="D15" s="56"/>
      <c r="E15" s="56"/>
      <c r="F15" s="56">
        <v>1</v>
      </c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>
        <v>1</v>
      </c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55" t="s">
        <v>312</v>
      </c>
      <c r="B16" s="56">
        <v>8</v>
      </c>
      <c r="C16" s="56">
        <v>35</v>
      </c>
      <c r="D16" s="56">
        <v>16</v>
      </c>
      <c r="E16" s="56">
        <v>28</v>
      </c>
      <c r="F16" s="56">
        <v>34</v>
      </c>
      <c r="G16" s="56">
        <v>12</v>
      </c>
      <c r="H16" s="56">
        <v>25</v>
      </c>
      <c r="I16" s="56">
        <v>55</v>
      </c>
      <c r="J16" s="56">
        <v>19</v>
      </c>
      <c r="K16" s="56">
        <v>39</v>
      </c>
      <c r="L16" s="56">
        <v>35</v>
      </c>
      <c r="M16" s="56">
        <v>11</v>
      </c>
      <c r="N16" s="56">
        <v>35</v>
      </c>
      <c r="O16" s="56">
        <v>12</v>
      </c>
      <c r="P16" s="56">
        <v>13</v>
      </c>
      <c r="Q16" s="56">
        <v>29</v>
      </c>
      <c r="R16" s="56">
        <v>25</v>
      </c>
      <c r="S16" s="56">
        <v>14</v>
      </c>
      <c r="T16" s="56">
        <v>26</v>
      </c>
      <c r="U16" s="56">
        <v>47</v>
      </c>
      <c r="V16" s="56">
        <v>19</v>
      </c>
      <c r="W16" s="56">
        <v>537</v>
      </c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57" t="s">
        <v>0</v>
      </c>
      <c r="B17" s="56">
        <v>4</v>
      </c>
      <c r="C17" s="56">
        <v>15</v>
      </c>
      <c r="D17" s="56">
        <v>8</v>
      </c>
      <c r="E17" s="56">
        <v>13</v>
      </c>
      <c r="F17" s="56">
        <v>12</v>
      </c>
      <c r="G17" s="56">
        <v>3</v>
      </c>
      <c r="H17" s="56">
        <v>19</v>
      </c>
      <c r="I17" s="56">
        <v>28</v>
      </c>
      <c r="J17" s="56">
        <v>10</v>
      </c>
      <c r="K17" s="56">
        <v>25</v>
      </c>
      <c r="L17" s="56">
        <v>19</v>
      </c>
      <c r="M17" s="56">
        <v>8</v>
      </c>
      <c r="N17" s="56">
        <v>20</v>
      </c>
      <c r="O17" s="56">
        <v>7</v>
      </c>
      <c r="P17" s="56">
        <v>6</v>
      </c>
      <c r="Q17" s="56">
        <v>11</v>
      </c>
      <c r="R17" s="56">
        <v>14</v>
      </c>
      <c r="S17" s="56">
        <v>10</v>
      </c>
      <c r="T17" s="56">
        <v>16</v>
      </c>
      <c r="U17" s="56">
        <v>28</v>
      </c>
      <c r="V17" s="56">
        <v>11</v>
      </c>
      <c r="W17" s="56">
        <v>287</v>
      </c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57" t="s">
        <v>1</v>
      </c>
      <c r="B18" s="56">
        <v>4</v>
      </c>
      <c r="C18" s="56">
        <v>20</v>
      </c>
      <c r="D18" s="56">
        <v>8</v>
      </c>
      <c r="E18" s="56">
        <v>15</v>
      </c>
      <c r="F18" s="56">
        <v>22</v>
      </c>
      <c r="G18" s="56">
        <v>9</v>
      </c>
      <c r="H18" s="56">
        <v>6</v>
      </c>
      <c r="I18" s="56">
        <v>27</v>
      </c>
      <c r="J18" s="56">
        <v>9</v>
      </c>
      <c r="K18" s="56">
        <v>14</v>
      </c>
      <c r="L18" s="56">
        <v>16</v>
      </c>
      <c r="M18" s="56">
        <v>3</v>
      </c>
      <c r="N18" s="56">
        <v>15</v>
      </c>
      <c r="O18" s="56">
        <v>5</v>
      </c>
      <c r="P18" s="56">
        <v>7</v>
      </c>
      <c r="Q18" s="56">
        <v>18</v>
      </c>
      <c r="R18" s="56">
        <v>11</v>
      </c>
      <c r="S18" s="56">
        <v>4</v>
      </c>
      <c r="T18" s="56">
        <v>10</v>
      </c>
      <c r="U18" s="56">
        <v>19</v>
      </c>
      <c r="V18" s="56">
        <v>8</v>
      </c>
      <c r="W18" s="56">
        <v>250</v>
      </c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55" t="s">
        <v>229</v>
      </c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>
        <v>10</v>
      </c>
      <c r="P19" s="56"/>
      <c r="Q19" s="56"/>
      <c r="R19" s="56"/>
      <c r="S19" s="56"/>
      <c r="T19" s="56">
        <v>30</v>
      </c>
      <c r="U19" s="56"/>
      <c r="V19" s="56"/>
      <c r="W19" s="56">
        <v>40</v>
      </c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57" t="s">
        <v>22</v>
      </c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>
        <v>30</v>
      </c>
      <c r="U20" s="56"/>
      <c r="V20" s="56"/>
      <c r="W20" s="56">
        <v>30</v>
      </c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57" t="s">
        <v>310</v>
      </c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>
        <v>10</v>
      </c>
      <c r="P21" s="56"/>
      <c r="Q21" s="56"/>
      <c r="R21" s="56"/>
      <c r="S21" s="56"/>
      <c r="T21" s="56"/>
      <c r="U21" s="56"/>
      <c r="V21" s="56"/>
      <c r="W21" s="56">
        <v>10</v>
      </c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55" t="s">
        <v>165</v>
      </c>
      <c r="B22" s="56">
        <v>22</v>
      </c>
      <c r="C22" s="56">
        <v>92</v>
      </c>
      <c r="D22" s="56">
        <v>89</v>
      </c>
      <c r="E22" s="56">
        <v>53</v>
      </c>
      <c r="F22" s="56">
        <v>106</v>
      </c>
      <c r="G22" s="56">
        <v>58</v>
      </c>
      <c r="H22" s="56">
        <v>37</v>
      </c>
      <c r="I22" s="56">
        <v>113</v>
      </c>
      <c r="J22" s="56">
        <v>104</v>
      </c>
      <c r="K22" s="56">
        <v>83</v>
      </c>
      <c r="L22" s="56">
        <v>98</v>
      </c>
      <c r="M22" s="56">
        <v>46</v>
      </c>
      <c r="N22" s="56">
        <v>84</v>
      </c>
      <c r="O22" s="56">
        <v>117</v>
      </c>
      <c r="P22" s="56">
        <v>81</v>
      </c>
      <c r="Q22" s="56">
        <v>77</v>
      </c>
      <c r="R22" s="56">
        <v>121</v>
      </c>
      <c r="S22" s="56">
        <v>43</v>
      </c>
      <c r="T22" s="56">
        <v>118</v>
      </c>
      <c r="U22" s="56">
        <v>86</v>
      </c>
      <c r="V22" s="56">
        <v>42</v>
      </c>
      <c r="W22" s="56">
        <v>1670</v>
      </c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 spans="1:34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 spans="1:34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 spans="1:34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 spans="1:34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 spans="1:34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 spans="1:34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6" spans="1:34" x14ac:dyDescent="0.25">
      <c r="AH56"/>
    </row>
    <row r="57" spans="1:34" x14ac:dyDescent="0.25">
      <c r="AH57"/>
    </row>
    <row r="58" spans="1:34" x14ac:dyDescent="0.25">
      <c r="AH58"/>
    </row>
    <row r="59" spans="1:34" x14ac:dyDescent="0.25">
      <c r="AH59"/>
    </row>
    <row r="60" spans="1:34" x14ac:dyDescent="0.25">
      <c r="A60" s="54" t="s">
        <v>170</v>
      </c>
      <c r="B60" s="54" t="s">
        <v>163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 s="54" t="s">
        <v>164</v>
      </c>
      <c r="B61" t="s">
        <v>167</v>
      </c>
      <c r="C61" t="s">
        <v>203</v>
      </c>
      <c r="D61" t="s">
        <v>178</v>
      </c>
      <c r="E61" t="s">
        <v>179</v>
      </c>
      <c r="F61" t="s">
        <v>180</v>
      </c>
      <c r="G61" t="s">
        <v>181</v>
      </c>
      <c r="H61" t="s">
        <v>182</v>
      </c>
      <c r="I61" t="s">
        <v>183</v>
      </c>
      <c r="J61" t="s">
        <v>184</v>
      </c>
      <c r="K61" t="s">
        <v>185</v>
      </c>
      <c r="L61" t="s">
        <v>186</v>
      </c>
      <c r="M61" t="s">
        <v>187</v>
      </c>
      <c r="N61" t="s">
        <v>188</v>
      </c>
      <c r="O61" t="s">
        <v>189</v>
      </c>
      <c r="P61" t="s">
        <v>190</v>
      </c>
      <c r="Q61" t="s">
        <v>191</v>
      </c>
      <c r="R61" t="s">
        <v>192</v>
      </c>
      <c r="S61" t="s">
        <v>193</v>
      </c>
      <c r="T61" t="s">
        <v>194</v>
      </c>
      <c r="U61" t="s">
        <v>195</v>
      </c>
      <c r="V61" t="s">
        <v>196</v>
      </c>
      <c r="W61" t="s">
        <v>197</v>
      </c>
      <c r="X61" t="s">
        <v>204</v>
      </c>
      <c r="Y61" t="s">
        <v>206</v>
      </c>
      <c r="Z61" t="s">
        <v>207</v>
      </c>
      <c r="AA61" t="s">
        <v>208</v>
      </c>
      <c r="AB61" t="s">
        <v>209</v>
      </c>
      <c r="AC61" t="s">
        <v>210</v>
      </c>
      <c r="AD61" t="s">
        <v>211</v>
      </c>
      <c r="AE61" t="s">
        <v>224</v>
      </c>
      <c r="AF61" t="s">
        <v>225</v>
      </c>
      <c r="AG61" t="s">
        <v>226</v>
      </c>
      <c r="AH61" t="s">
        <v>165</v>
      </c>
    </row>
    <row r="62" spans="1:34" x14ac:dyDescent="0.25">
      <c r="A62" s="55" t="s">
        <v>167</v>
      </c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</row>
    <row r="63" spans="1:34" x14ac:dyDescent="0.25">
      <c r="A63" s="57" t="s">
        <v>167</v>
      </c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</row>
    <row r="64" spans="1:34" x14ac:dyDescent="0.25">
      <c r="A64" s="55" t="s">
        <v>307</v>
      </c>
      <c r="B64" s="56"/>
      <c r="C64" s="56">
        <v>228</v>
      </c>
      <c r="D64" s="56">
        <v>250</v>
      </c>
      <c r="E64" s="56">
        <v>158</v>
      </c>
      <c r="F64" s="56">
        <v>161</v>
      </c>
      <c r="G64" s="56">
        <v>197</v>
      </c>
      <c r="H64" s="56">
        <v>250</v>
      </c>
      <c r="I64" s="56">
        <v>250</v>
      </c>
      <c r="J64" s="56">
        <v>144</v>
      </c>
      <c r="K64" s="56">
        <v>192</v>
      </c>
      <c r="L64" s="56">
        <v>213</v>
      </c>
      <c r="M64" s="56">
        <v>250</v>
      </c>
      <c r="N64" s="56">
        <v>250</v>
      </c>
      <c r="O64" s="56">
        <v>137</v>
      </c>
      <c r="P64" s="56">
        <v>146</v>
      </c>
      <c r="Q64" s="56">
        <v>167</v>
      </c>
      <c r="R64" s="56">
        <v>250</v>
      </c>
      <c r="S64" s="56">
        <v>250</v>
      </c>
      <c r="T64" s="56">
        <v>152</v>
      </c>
      <c r="U64" s="56">
        <v>204</v>
      </c>
      <c r="V64" s="56">
        <v>250</v>
      </c>
      <c r="W64" s="56">
        <v>250</v>
      </c>
      <c r="X64" s="56">
        <v>250</v>
      </c>
      <c r="Y64" s="56">
        <v>166</v>
      </c>
      <c r="Z64" s="56">
        <v>133</v>
      </c>
      <c r="AA64" s="56">
        <v>169</v>
      </c>
      <c r="AB64" s="56">
        <v>173</v>
      </c>
      <c r="AC64" s="56">
        <v>129</v>
      </c>
      <c r="AD64" s="56">
        <v>207</v>
      </c>
      <c r="AE64" s="56">
        <v>132</v>
      </c>
      <c r="AF64" s="56">
        <v>164</v>
      </c>
      <c r="AG64" s="56">
        <v>208</v>
      </c>
      <c r="AH64" s="56">
        <v>6080</v>
      </c>
    </row>
    <row r="65" spans="1:34" x14ac:dyDescent="0.25">
      <c r="A65" s="57"/>
      <c r="B65" s="56"/>
      <c r="C65" s="56">
        <v>228</v>
      </c>
      <c r="D65" s="56">
        <v>250</v>
      </c>
      <c r="E65" s="56">
        <v>158</v>
      </c>
      <c r="F65" s="56">
        <v>161</v>
      </c>
      <c r="G65" s="56">
        <v>197</v>
      </c>
      <c r="H65" s="56">
        <v>250</v>
      </c>
      <c r="I65" s="56">
        <v>250</v>
      </c>
      <c r="J65" s="56">
        <v>144</v>
      </c>
      <c r="K65" s="56">
        <v>192</v>
      </c>
      <c r="L65" s="56">
        <v>213</v>
      </c>
      <c r="M65" s="56">
        <v>250</v>
      </c>
      <c r="N65" s="56">
        <v>250</v>
      </c>
      <c r="O65" s="56">
        <v>137</v>
      </c>
      <c r="P65" s="56">
        <v>146</v>
      </c>
      <c r="Q65" s="56">
        <v>167</v>
      </c>
      <c r="R65" s="56">
        <v>250</v>
      </c>
      <c r="S65" s="56">
        <v>250</v>
      </c>
      <c r="T65" s="56">
        <v>152</v>
      </c>
      <c r="U65" s="56">
        <v>204</v>
      </c>
      <c r="V65" s="56">
        <v>250</v>
      </c>
      <c r="W65" s="56">
        <v>250</v>
      </c>
      <c r="X65" s="56">
        <v>250</v>
      </c>
      <c r="Y65" s="56">
        <v>166</v>
      </c>
      <c r="Z65" s="56">
        <v>131</v>
      </c>
      <c r="AA65" s="56">
        <v>169</v>
      </c>
      <c r="AB65" s="56">
        <v>173</v>
      </c>
      <c r="AC65" s="56">
        <v>129</v>
      </c>
      <c r="AD65" s="56">
        <v>127</v>
      </c>
      <c r="AE65" s="56">
        <v>132</v>
      </c>
      <c r="AF65" s="56">
        <v>164</v>
      </c>
      <c r="AG65" s="56">
        <v>207</v>
      </c>
      <c r="AH65" s="56">
        <v>5997</v>
      </c>
    </row>
    <row r="66" spans="1:34" x14ac:dyDescent="0.25">
      <c r="A66" s="57" t="s">
        <v>4</v>
      </c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>
        <v>2</v>
      </c>
      <c r="AA66" s="56"/>
      <c r="AB66" s="56"/>
      <c r="AC66" s="56"/>
      <c r="AD66" s="56"/>
      <c r="AE66" s="56"/>
      <c r="AF66" s="56"/>
      <c r="AG66" s="56">
        <v>1</v>
      </c>
      <c r="AH66" s="56">
        <v>3</v>
      </c>
    </row>
    <row r="67" spans="1:34" x14ac:dyDescent="0.25">
      <c r="A67" s="57" t="s">
        <v>3</v>
      </c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>
        <v>80</v>
      </c>
      <c r="AE67" s="56"/>
      <c r="AF67" s="56"/>
      <c r="AG67" s="56"/>
      <c r="AH67" s="56">
        <v>80</v>
      </c>
    </row>
    <row r="68" spans="1:34" x14ac:dyDescent="0.25">
      <c r="A68" s="55" t="s">
        <v>18</v>
      </c>
      <c r="B68" s="56"/>
      <c r="C68" s="56">
        <v>2</v>
      </c>
      <c r="D68" s="56"/>
      <c r="E68" s="56">
        <v>1</v>
      </c>
      <c r="F68" s="56"/>
      <c r="G68" s="56"/>
      <c r="H68" s="56"/>
      <c r="I68" s="56"/>
      <c r="J68" s="56">
        <v>1</v>
      </c>
      <c r="K68" s="56"/>
      <c r="L68" s="56"/>
      <c r="M68" s="56"/>
      <c r="N68" s="56"/>
      <c r="O68" s="56">
        <v>4</v>
      </c>
      <c r="P68" s="56">
        <v>1</v>
      </c>
      <c r="Q68" s="56">
        <v>2</v>
      </c>
      <c r="R68" s="56"/>
      <c r="S68" s="56"/>
      <c r="T68" s="56">
        <v>2</v>
      </c>
      <c r="U68" s="56"/>
      <c r="V68" s="56"/>
      <c r="W68" s="56"/>
      <c r="X68" s="56"/>
      <c r="Y68" s="56"/>
      <c r="Z68" s="56">
        <v>4</v>
      </c>
      <c r="AA68" s="56">
        <v>2</v>
      </c>
      <c r="AB68" s="56"/>
      <c r="AC68" s="56">
        <v>4</v>
      </c>
      <c r="AD68" s="56">
        <v>2</v>
      </c>
      <c r="AE68" s="56"/>
      <c r="AF68" s="56"/>
      <c r="AG68" s="56">
        <v>1</v>
      </c>
      <c r="AH68" s="56">
        <v>26</v>
      </c>
    </row>
    <row r="69" spans="1:34" x14ac:dyDescent="0.25">
      <c r="A69" s="57" t="s">
        <v>4</v>
      </c>
      <c r="B69" s="56"/>
      <c r="C69" s="56">
        <v>2</v>
      </c>
      <c r="D69" s="56"/>
      <c r="E69" s="56">
        <v>1</v>
      </c>
      <c r="F69" s="56"/>
      <c r="G69" s="56"/>
      <c r="H69" s="56"/>
      <c r="I69" s="56"/>
      <c r="J69" s="56">
        <v>1</v>
      </c>
      <c r="K69" s="56"/>
      <c r="L69" s="56"/>
      <c r="M69" s="56"/>
      <c r="N69" s="56"/>
      <c r="O69" s="56">
        <v>2</v>
      </c>
      <c r="P69" s="56">
        <v>1</v>
      </c>
      <c r="Q69" s="56"/>
      <c r="R69" s="56"/>
      <c r="S69" s="56"/>
      <c r="T69" s="56">
        <v>2</v>
      </c>
      <c r="U69" s="56"/>
      <c r="V69" s="56"/>
      <c r="W69" s="56"/>
      <c r="X69" s="56"/>
      <c r="Y69" s="56"/>
      <c r="Z69" s="56">
        <v>4</v>
      </c>
      <c r="AA69" s="56">
        <v>2</v>
      </c>
      <c r="AB69" s="56"/>
      <c r="AC69" s="56">
        <v>2</v>
      </c>
      <c r="AD69" s="56">
        <v>1</v>
      </c>
      <c r="AE69" s="56"/>
      <c r="AF69" s="56"/>
      <c r="AG69" s="56">
        <v>1</v>
      </c>
      <c r="AH69" s="56">
        <v>19</v>
      </c>
    </row>
    <row r="70" spans="1:34" x14ac:dyDescent="0.25">
      <c r="A70" s="57" t="s">
        <v>3</v>
      </c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>
        <v>2</v>
      </c>
      <c r="P70" s="56"/>
      <c r="Q70" s="56">
        <v>2</v>
      </c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>
        <v>2</v>
      </c>
      <c r="AD70" s="56">
        <v>1</v>
      </c>
      <c r="AE70" s="56"/>
      <c r="AF70" s="56"/>
      <c r="AG70" s="56"/>
      <c r="AH70" s="56">
        <v>7</v>
      </c>
    </row>
    <row r="71" spans="1:34" x14ac:dyDescent="0.25">
      <c r="A71" s="55" t="s">
        <v>19</v>
      </c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>
        <v>1</v>
      </c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>
        <v>1</v>
      </c>
    </row>
    <row r="72" spans="1:34" x14ac:dyDescent="0.25">
      <c r="A72" s="57" t="s">
        <v>3</v>
      </c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>
        <v>1</v>
      </c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>
        <v>1</v>
      </c>
    </row>
    <row r="73" spans="1:34" x14ac:dyDescent="0.25">
      <c r="A73" s="55" t="s">
        <v>17</v>
      </c>
      <c r="B73" s="56"/>
      <c r="C73" s="56">
        <v>6</v>
      </c>
      <c r="D73" s="56"/>
      <c r="E73" s="56">
        <v>21</v>
      </c>
      <c r="F73" s="56">
        <v>10</v>
      </c>
      <c r="G73" s="56">
        <v>19</v>
      </c>
      <c r="H73" s="56"/>
      <c r="I73" s="56"/>
      <c r="J73" s="56">
        <v>26</v>
      </c>
      <c r="K73" s="56">
        <v>18</v>
      </c>
      <c r="L73" s="56">
        <v>8</v>
      </c>
      <c r="M73" s="56"/>
      <c r="N73" s="56"/>
      <c r="O73" s="56">
        <v>16</v>
      </c>
      <c r="P73" s="56">
        <v>19</v>
      </c>
      <c r="Q73" s="56">
        <v>34</v>
      </c>
      <c r="R73" s="56"/>
      <c r="S73" s="56"/>
      <c r="T73" s="56">
        <v>24</v>
      </c>
      <c r="U73" s="56">
        <v>15</v>
      </c>
      <c r="V73" s="56"/>
      <c r="W73" s="56"/>
      <c r="X73" s="56"/>
      <c r="Y73" s="56">
        <v>11</v>
      </c>
      <c r="Z73" s="56">
        <v>24</v>
      </c>
      <c r="AA73" s="56">
        <v>20</v>
      </c>
      <c r="AB73" s="56">
        <v>14</v>
      </c>
      <c r="AC73" s="56">
        <v>27</v>
      </c>
      <c r="AD73" s="56">
        <v>21</v>
      </c>
      <c r="AE73" s="56">
        <v>20</v>
      </c>
      <c r="AF73" s="56">
        <v>21</v>
      </c>
      <c r="AG73" s="56">
        <v>16</v>
      </c>
      <c r="AH73" s="56">
        <v>390</v>
      </c>
    </row>
    <row r="74" spans="1:34" x14ac:dyDescent="0.25">
      <c r="A74" s="57" t="s">
        <v>4</v>
      </c>
      <c r="B74" s="56"/>
      <c r="C74" s="56">
        <v>3</v>
      </c>
      <c r="D74" s="56"/>
      <c r="E74" s="56">
        <v>11</v>
      </c>
      <c r="F74" s="56">
        <v>4</v>
      </c>
      <c r="G74" s="56">
        <v>16</v>
      </c>
      <c r="H74" s="56"/>
      <c r="I74" s="56"/>
      <c r="J74" s="56">
        <v>18</v>
      </c>
      <c r="K74" s="56">
        <v>12</v>
      </c>
      <c r="L74" s="56">
        <v>6</v>
      </c>
      <c r="M74" s="56"/>
      <c r="N74" s="56"/>
      <c r="O74" s="56">
        <v>11</v>
      </c>
      <c r="P74" s="56">
        <v>12</v>
      </c>
      <c r="Q74" s="56">
        <v>28</v>
      </c>
      <c r="R74" s="56"/>
      <c r="S74" s="56"/>
      <c r="T74" s="56">
        <v>18</v>
      </c>
      <c r="U74" s="56">
        <v>11</v>
      </c>
      <c r="V74" s="56"/>
      <c r="W74" s="56"/>
      <c r="X74" s="56"/>
      <c r="Y74" s="56">
        <v>9</v>
      </c>
      <c r="Z74" s="56">
        <v>17</v>
      </c>
      <c r="AA74" s="56">
        <v>16</v>
      </c>
      <c r="AB74" s="56">
        <v>8</v>
      </c>
      <c r="AC74" s="56">
        <v>19</v>
      </c>
      <c r="AD74" s="56">
        <v>14</v>
      </c>
      <c r="AE74" s="56">
        <v>14</v>
      </c>
      <c r="AF74" s="56">
        <v>14</v>
      </c>
      <c r="AG74" s="56">
        <v>11</v>
      </c>
      <c r="AH74" s="56">
        <v>272</v>
      </c>
    </row>
    <row r="75" spans="1:34" x14ac:dyDescent="0.25">
      <c r="A75" s="57" t="s">
        <v>3</v>
      </c>
      <c r="B75" s="56"/>
      <c r="C75" s="56">
        <v>3</v>
      </c>
      <c r="D75" s="56"/>
      <c r="E75" s="56">
        <v>9</v>
      </c>
      <c r="F75" s="56">
        <v>6</v>
      </c>
      <c r="G75" s="56">
        <v>3</v>
      </c>
      <c r="H75" s="56"/>
      <c r="I75" s="56"/>
      <c r="J75" s="56">
        <v>8</v>
      </c>
      <c r="K75" s="56">
        <v>5</v>
      </c>
      <c r="L75" s="56">
        <v>2</v>
      </c>
      <c r="M75" s="56"/>
      <c r="N75" s="56"/>
      <c r="O75" s="56">
        <v>4</v>
      </c>
      <c r="P75" s="56">
        <v>7</v>
      </c>
      <c r="Q75" s="56">
        <v>6</v>
      </c>
      <c r="R75" s="56"/>
      <c r="S75" s="56"/>
      <c r="T75" s="56">
        <v>6</v>
      </c>
      <c r="U75" s="56">
        <v>4</v>
      </c>
      <c r="V75" s="56"/>
      <c r="W75" s="56"/>
      <c r="X75" s="56"/>
      <c r="Y75" s="56">
        <v>2</v>
      </c>
      <c r="Z75" s="56">
        <v>7</v>
      </c>
      <c r="AA75" s="56">
        <v>4</v>
      </c>
      <c r="AB75" s="56">
        <v>6</v>
      </c>
      <c r="AC75" s="56">
        <v>8</v>
      </c>
      <c r="AD75" s="56">
        <v>5</v>
      </c>
      <c r="AE75" s="56">
        <v>6</v>
      </c>
      <c r="AF75" s="56">
        <v>6</v>
      </c>
      <c r="AG75" s="56">
        <v>5</v>
      </c>
      <c r="AH75" s="56">
        <v>112</v>
      </c>
    </row>
    <row r="76" spans="1:34" x14ac:dyDescent="0.25">
      <c r="A76" s="57" t="s">
        <v>233</v>
      </c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>
        <v>1</v>
      </c>
      <c r="AE76" s="56"/>
      <c r="AF76" s="56">
        <v>1</v>
      </c>
      <c r="AG76" s="56"/>
      <c r="AH76" s="56">
        <v>2</v>
      </c>
    </row>
    <row r="77" spans="1:34" x14ac:dyDescent="0.25">
      <c r="A77" s="57" t="s">
        <v>232</v>
      </c>
      <c r="B77" s="56"/>
      <c r="C77" s="56"/>
      <c r="D77" s="56"/>
      <c r="E77" s="56">
        <v>1</v>
      </c>
      <c r="F77" s="56"/>
      <c r="G77" s="56"/>
      <c r="H77" s="56"/>
      <c r="I77" s="56"/>
      <c r="J77" s="56"/>
      <c r="K77" s="56">
        <v>1</v>
      </c>
      <c r="L77" s="56"/>
      <c r="M77" s="56"/>
      <c r="N77" s="56"/>
      <c r="O77" s="56">
        <v>1</v>
      </c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>
        <v>1</v>
      </c>
      <c r="AE77" s="56"/>
      <c r="AF77" s="56"/>
      <c r="AG77" s="56"/>
      <c r="AH77" s="56">
        <v>4</v>
      </c>
    </row>
    <row r="78" spans="1:34" x14ac:dyDescent="0.25">
      <c r="A78" s="55" t="s">
        <v>7</v>
      </c>
      <c r="B78" s="56"/>
      <c r="C78" s="56">
        <v>6</v>
      </c>
      <c r="D78" s="56"/>
      <c r="E78" s="56">
        <v>35</v>
      </c>
      <c r="F78" s="56">
        <v>63</v>
      </c>
      <c r="G78" s="56">
        <v>6</v>
      </c>
      <c r="H78" s="56"/>
      <c r="I78" s="56"/>
      <c r="J78" s="56">
        <v>45</v>
      </c>
      <c r="K78" s="56">
        <v>28</v>
      </c>
      <c r="L78" s="56">
        <v>4</v>
      </c>
      <c r="M78" s="56"/>
      <c r="N78" s="56"/>
      <c r="O78" s="56">
        <v>38</v>
      </c>
      <c r="P78" s="56">
        <v>65</v>
      </c>
      <c r="Q78" s="56">
        <v>8</v>
      </c>
      <c r="R78" s="56"/>
      <c r="S78" s="56"/>
      <c r="T78" s="56">
        <v>36</v>
      </c>
      <c r="U78" s="56">
        <v>20</v>
      </c>
      <c r="V78" s="56"/>
      <c r="W78" s="56"/>
      <c r="X78" s="56"/>
      <c r="Y78" s="56">
        <v>38</v>
      </c>
      <c r="Z78" s="56">
        <v>67</v>
      </c>
      <c r="AA78" s="56">
        <v>46</v>
      </c>
      <c r="AB78" s="56">
        <v>34</v>
      </c>
      <c r="AC78" s="56">
        <v>65</v>
      </c>
      <c r="AD78" s="56">
        <v>6</v>
      </c>
      <c r="AE78" s="56">
        <v>42</v>
      </c>
      <c r="AF78" s="56">
        <v>18</v>
      </c>
      <c r="AG78" s="56">
        <v>6</v>
      </c>
      <c r="AH78" s="56">
        <v>676</v>
      </c>
    </row>
    <row r="79" spans="1:34" x14ac:dyDescent="0.25">
      <c r="A79" s="57"/>
      <c r="B79" s="56"/>
      <c r="C79" s="56"/>
      <c r="D79" s="56"/>
      <c r="E79" s="56"/>
      <c r="F79" s="56"/>
      <c r="G79" s="56"/>
      <c r="H79" s="56"/>
      <c r="I79" s="56"/>
      <c r="J79" s="56">
        <v>1</v>
      </c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>
        <v>1</v>
      </c>
    </row>
    <row r="80" spans="1:34" x14ac:dyDescent="0.25">
      <c r="A80" s="57" t="s">
        <v>4</v>
      </c>
      <c r="B80" s="56"/>
      <c r="C80" s="56">
        <v>4</v>
      </c>
      <c r="D80" s="56"/>
      <c r="E80" s="56">
        <v>21</v>
      </c>
      <c r="F80" s="56">
        <v>55</v>
      </c>
      <c r="G80" s="56">
        <v>4</v>
      </c>
      <c r="H80" s="56"/>
      <c r="I80" s="56"/>
      <c r="J80" s="56">
        <v>27</v>
      </c>
      <c r="K80" s="56">
        <v>21</v>
      </c>
      <c r="L80" s="56">
        <v>3</v>
      </c>
      <c r="M80" s="56"/>
      <c r="N80" s="56"/>
      <c r="O80" s="56">
        <v>22</v>
      </c>
      <c r="P80" s="56">
        <v>47</v>
      </c>
      <c r="Q80" s="56">
        <v>7</v>
      </c>
      <c r="R80" s="56"/>
      <c r="S80" s="56"/>
      <c r="T80" s="56">
        <v>23</v>
      </c>
      <c r="U80" s="56">
        <v>13</v>
      </c>
      <c r="V80" s="56"/>
      <c r="W80" s="56"/>
      <c r="X80" s="56"/>
      <c r="Y80" s="56">
        <v>22</v>
      </c>
      <c r="Z80" s="56">
        <v>51</v>
      </c>
      <c r="AA80" s="56">
        <v>30</v>
      </c>
      <c r="AB80" s="56">
        <v>33</v>
      </c>
      <c r="AC80" s="56">
        <v>42</v>
      </c>
      <c r="AD80" s="56">
        <v>6</v>
      </c>
      <c r="AE80" s="56">
        <v>23</v>
      </c>
      <c r="AF80" s="56">
        <v>15</v>
      </c>
      <c r="AG80" s="56">
        <v>5</v>
      </c>
      <c r="AH80" s="56">
        <v>474</v>
      </c>
    </row>
    <row r="81" spans="1:34" x14ac:dyDescent="0.25">
      <c r="A81" s="57" t="s">
        <v>3</v>
      </c>
      <c r="B81" s="56"/>
      <c r="C81" s="56">
        <v>2</v>
      </c>
      <c r="D81" s="56"/>
      <c r="E81" s="56">
        <v>14</v>
      </c>
      <c r="F81" s="56">
        <v>8</v>
      </c>
      <c r="G81" s="56">
        <v>2</v>
      </c>
      <c r="H81" s="56"/>
      <c r="I81" s="56"/>
      <c r="J81" s="56">
        <v>17</v>
      </c>
      <c r="K81" s="56">
        <v>7</v>
      </c>
      <c r="L81" s="56">
        <v>1</v>
      </c>
      <c r="M81" s="56"/>
      <c r="N81" s="56"/>
      <c r="O81" s="56">
        <v>16</v>
      </c>
      <c r="P81" s="56">
        <v>18</v>
      </c>
      <c r="Q81" s="56">
        <v>1</v>
      </c>
      <c r="R81" s="56"/>
      <c r="S81" s="56"/>
      <c r="T81" s="56">
        <v>13</v>
      </c>
      <c r="U81" s="56">
        <v>7</v>
      </c>
      <c r="V81" s="56"/>
      <c r="W81" s="56"/>
      <c r="X81" s="56"/>
      <c r="Y81" s="56">
        <v>16</v>
      </c>
      <c r="Z81" s="56">
        <v>16</v>
      </c>
      <c r="AA81" s="56">
        <v>16</v>
      </c>
      <c r="AB81" s="56">
        <v>1</v>
      </c>
      <c r="AC81" s="56">
        <v>23</v>
      </c>
      <c r="AD81" s="56"/>
      <c r="AE81" s="56">
        <v>19</v>
      </c>
      <c r="AF81" s="56">
        <v>3</v>
      </c>
      <c r="AG81" s="56">
        <v>1</v>
      </c>
      <c r="AH81" s="56">
        <v>201</v>
      </c>
    </row>
    <row r="82" spans="1:34" x14ac:dyDescent="0.25">
      <c r="A82" s="55" t="s">
        <v>159</v>
      </c>
      <c r="B82" s="56"/>
      <c r="C82" s="56">
        <v>8</v>
      </c>
      <c r="D82" s="56"/>
      <c r="E82" s="56">
        <v>35</v>
      </c>
      <c r="F82" s="56">
        <v>16</v>
      </c>
      <c r="G82" s="56">
        <v>28</v>
      </c>
      <c r="H82" s="56"/>
      <c r="I82" s="56"/>
      <c r="J82" s="56">
        <v>34</v>
      </c>
      <c r="K82" s="56">
        <v>12</v>
      </c>
      <c r="L82" s="56">
        <v>25</v>
      </c>
      <c r="M82" s="56"/>
      <c r="N82" s="56"/>
      <c r="O82" s="56">
        <v>55</v>
      </c>
      <c r="P82" s="56">
        <v>19</v>
      </c>
      <c r="Q82" s="56">
        <v>39</v>
      </c>
      <c r="R82" s="56"/>
      <c r="S82" s="56"/>
      <c r="T82" s="56">
        <v>35</v>
      </c>
      <c r="U82" s="56">
        <v>11</v>
      </c>
      <c r="V82" s="56"/>
      <c r="W82" s="56"/>
      <c r="X82" s="56"/>
      <c r="Y82" s="56">
        <v>35</v>
      </c>
      <c r="Z82" s="56">
        <v>12</v>
      </c>
      <c r="AA82" s="56">
        <v>13</v>
      </c>
      <c r="AB82" s="56">
        <v>29</v>
      </c>
      <c r="AC82" s="56">
        <v>25</v>
      </c>
      <c r="AD82" s="56">
        <v>14</v>
      </c>
      <c r="AE82" s="56">
        <v>26</v>
      </c>
      <c r="AF82" s="56">
        <v>47</v>
      </c>
      <c r="AG82" s="56">
        <v>19</v>
      </c>
      <c r="AH82" s="56">
        <v>537</v>
      </c>
    </row>
    <row r="83" spans="1:34" x14ac:dyDescent="0.25">
      <c r="A83" s="57" t="s">
        <v>4</v>
      </c>
      <c r="B83" s="56"/>
      <c r="C83" s="56">
        <v>5</v>
      </c>
      <c r="D83" s="56"/>
      <c r="E83" s="56">
        <v>22</v>
      </c>
      <c r="F83" s="56">
        <v>11</v>
      </c>
      <c r="G83" s="56">
        <v>15</v>
      </c>
      <c r="H83" s="56"/>
      <c r="I83" s="56"/>
      <c r="J83" s="56">
        <v>20</v>
      </c>
      <c r="K83" s="56">
        <v>6</v>
      </c>
      <c r="L83" s="56">
        <v>18</v>
      </c>
      <c r="M83" s="56"/>
      <c r="N83" s="56"/>
      <c r="O83" s="56">
        <v>30</v>
      </c>
      <c r="P83" s="56">
        <v>11</v>
      </c>
      <c r="Q83" s="56">
        <v>22</v>
      </c>
      <c r="R83" s="56"/>
      <c r="S83" s="56"/>
      <c r="T83" s="56">
        <v>16</v>
      </c>
      <c r="U83" s="56">
        <v>6</v>
      </c>
      <c r="V83" s="56"/>
      <c r="W83" s="56"/>
      <c r="X83" s="56"/>
      <c r="Y83" s="56">
        <v>22</v>
      </c>
      <c r="Z83" s="56">
        <v>5</v>
      </c>
      <c r="AA83" s="56">
        <v>8</v>
      </c>
      <c r="AB83" s="56">
        <v>20</v>
      </c>
      <c r="AC83" s="56">
        <v>8</v>
      </c>
      <c r="AD83" s="56">
        <v>12</v>
      </c>
      <c r="AE83" s="56">
        <v>17</v>
      </c>
      <c r="AF83" s="56">
        <v>28</v>
      </c>
      <c r="AG83" s="56">
        <v>11</v>
      </c>
      <c r="AH83" s="56">
        <v>313</v>
      </c>
    </row>
    <row r="84" spans="1:34" x14ac:dyDescent="0.25">
      <c r="A84" s="57" t="s">
        <v>3</v>
      </c>
      <c r="B84" s="56"/>
      <c r="C84" s="56">
        <v>3</v>
      </c>
      <c r="D84" s="56"/>
      <c r="E84" s="56">
        <v>13</v>
      </c>
      <c r="F84" s="56">
        <v>5</v>
      </c>
      <c r="G84" s="56">
        <v>12</v>
      </c>
      <c r="H84" s="56"/>
      <c r="I84" s="56"/>
      <c r="J84" s="56">
        <v>10</v>
      </c>
      <c r="K84" s="56">
        <v>4</v>
      </c>
      <c r="L84" s="56">
        <v>7</v>
      </c>
      <c r="M84" s="56"/>
      <c r="N84" s="56"/>
      <c r="O84" s="56">
        <v>25</v>
      </c>
      <c r="P84" s="56">
        <v>8</v>
      </c>
      <c r="Q84" s="56">
        <v>17</v>
      </c>
      <c r="R84" s="56"/>
      <c r="S84" s="56"/>
      <c r="T84" s="56">
        <v>19</v>
      </c>
      <c r="U84" s="56">
        <v>5</v>
      </c>
      <c r="V84" s="56"/>
      <c r="W84" s="56"/>
      <c r="X84" s="56"/>
      <c r="Y84" s="56">
        <v>13</v>
      </c>
      <c r="Z84" s="56">
        <v>7</v>
      </c>
      <c r="AA84" s="56">
        <v>5</v>
      </c>
      <c r="AB84" s="56">
        <v>9</v>
      </c>
      <c r="AC84" s="56">
        <v>15</v>
      </c>
      <c r="AD84" s="56">
        <v>2</v>
      </c>
      <c r="AE84" s="56">
        <v>8</v>
      </c>
      <c r="AF84" s="56">
        <v>18</v>
      </c>
      <c r="AG84" s="56">
        <v>8</v>
      </c>
      <c r="AH84" s="56">
        <v>213</v>
      </c>
    </row>
    <row r="85" spans="1:34" x14ac:dyDescent="0.25">
      <c r="A85" s="57" t="s">
        <v>233</v>
      </c>
      <c r="B85" s="56"/>
      <c r="C85" s="56"/>
      <c r="D85" s="56"/>
      <c r="E85" s="56"/>
      <c r="F85" s="56"/>
      <c r="G85" s="56">
        <v>1</v>
      </c>
      <c r="H85" s="56"/>
      <c r="I85" s="56"/>
      <c r="J85" s="56">
        <v>1</v>
      </c>
      <c r="K85" s="56">
        <v>1</v>
      </c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>
        <v>2</v>
      </c>
      <c r="AD85" s="56"/>
      <c r="AE85" s="56"/>
      <c r="AF85" s="56">
        <v>1</v>
      </c>
      <c r="AG85" s="56"/>
      <c r="AH85" s="56">
        <v>6</v>
      </c>
    </row>
    <row r="86" spans="1:34" x14ac:dyDescent="0.25">
      <c r="A86" s="57" t="s">
        <v>232</v>
      </c>
      <c r="B86" s="56"/>
      <c r="C86" s="56"/>
      <c r="D86" s="56"/>
      <c r="E86" s="56"/>
      <c r="F86" s="56"/>
      <c r="G86" s="56"/>
      <c r="H86" s="56"/>
      <c r="I86" s="56"/>
      <c r="J86" s="56">
        <v>3</v>
      </c>
      <c r="K86" s="56">
        <v>1</v>
      </c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>
        <v>1</v>
      </c>
      <c r="AF86" s="56"/>
      <c r="AG86" s="56"/>
      <c r="AH86" s="56">
        <v>5</v>
      </c>
    </row>
    <row r="87" spans="1:34" x14ac:dyDescent="0.25">
      <c r="A87" s="55" t="s">
        <v>229</v>
      </c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>
        <v>10</v>
      </c>
      <c r="AA87" s="56"/>
      <c r="AB87" s="56"/>
      <c r="AC87" s="56"/>
      <c r="AD87" s="56"/>
      <c r="AE87" s="56">
        <v>30</v>
      </c>
      <c r="AF87" s="56"/>
      <c r="AG87" s="56"/>
      <c r="AH87" s="56">
        <v>40</v>
      </c>
    </row>
    <row r="88" spans="1:34" x14ac:dyDescent="0.25">
      <c r="A88" s="57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>
        <v>10</v>
      </c>
      <c r="AA88" s="56"/>
      <c r="AB88" s="56"/>
      <c r="AC88" s="56"/>
      <c r="AD88" s="56"/>
      <c r="AE88" s="56">
        <v>30</v>
      </c>
      <c r="AF88" s="56"/>
      <c r="AG88" s="56"/>
      <c r="AH88" s="56">
        <v>40</v>
      </c>
    </row>
    <row r="89" spans="1:34" x14ac:dyDescent="0.25">
      <c r="A89" s="55" t="s">
        <v>165</v>
      </c>
      <c r="B89" s="56"/>
      <c r="C89" s="56">
        <v>250</v>
      </c>
      <c r="D89" s="56">
        <v>250</v>
      </c>
      <c r="E89" s="56">
        <v>250</v>
      </c>
      <c r="F89" s="56">
        <v>250</v>
      </c>
      <c r="G89" s="56">
        <v>250</v>
      </c>
      <c r="H89" s="56">
        <v>250</v>
      </c>
      <c r="I89" s="56">
        <v>250</v>
      </c>
      <c r="J89" s="56">
        <v>250</v>
      </c>
      <c r="K89" s="56">
        <v>250</v>
      </c>
      <c r="L89" s="56">
        <v>250</v>
      </c>
      <c r="M89" s="56">
        <v>250</v>
      </c>
      <c r="N89" s="56">
        <v>250</v>
      </c>
      <c r="O89" s="56">
        <v>250</v>
      </c>
      <c r="P89" s="56">
        <v>250</v>
      </c>
      <c r="Q89" s="56">
        <v>250</v>
      </c>
      <c r="R89" s="56">
        <v>250</v>
      </c>
      <c r="S89" s="56">
        <v>250</v>
      </c>
      <c r="T89" s="56">
        <v>250</v>
      </c>
      <c r="U89" s="56">
        <v>250</v>
      </c>
      <c r="V89" s="56">
        <v>250</v>
      </c>
      <c r="W89" s="56">
        <v>250</v>
      </c>
      <c r="X89" s="56">
        <v>250</v>
      </c>
      <c r="Y89" s="56">
        <v>250</v>
      </c>
      <c r="Z89" s="56">
        <v>250</v>
      </c>
      <c r="AA89" s="56">
        <v>250</v>
      </c>
      <c r="AB89" s="56">
        <v>250</v>
      </c>
      <c r="AC89" s="56">
        <v>250</v>
      </c>
      <c r="AD89" s="56">
        <v>250</v>
      </c>
      <c r="AE89" s="56">
        <v>250</v>
      </c>
      <c r="AF89" s="56">
        <v>250</v>
      </c>
      <c r="AG89" s="56">
        <v>250</v>
      </c>
      <c r="AH89" s="56">
        <v>7750</v>
      </c>
    </row>
    <row r="90" spans="1:34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:34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:34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:34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:34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r="101" spans="1:34" x14ac:dyDescent="0.25">
      <c r="A101" s="55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/>
    </row>
    <row r="102" spans="1:34" x14ac:dyDescent="0.25">
      <c r="AH102"/>
    </row>
    <row r="103" spans="1:34" x14ac:dyDescent="0.25">
      <c r="AH103"/>
    </row>
    <row r="104" spans="1:34" x14ac:dyDescent="0.25">
      <c r="AH104"/>
    </row>
    <row r="105" spans="1:34" x14ac:dyDescent="0.25">
      <c r="AH105"/>
    </row>
    <row r="106" spans="1:34" x14ac:dyDescent="0.25">
      <c r="AH106"/>
    </row>
    <row r="107" spans="1:34" x14ac:dyDescent="0.25">
      <c r="AH107"/>
    </row>
    <row r="108" spans="1:34" x14ac:dyDescent="0.25">
      <c r="A108" s="54" t="s">
        <v>170</v>
      </c>
      <c r="B108" s="54" t="s">
        <v>163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</row>
    <row r="109" spans="1:34" x14ac:dyDescent="0.25">
      <c r="A109" s="54" t="s">
        <v>164</v>
      </c>
      <c r="B109" t="s">
        <v>167</v>
      </c>
      <c r="C109" t="s">
        <v>203</v>
      </c>
      <c r="D109" t="s">
        <v>178</v>
      </c>
      <c r="E109" t="s">
        <v>179</v>
      </c>
      <c r="F109" t="s">
        <v>180</v>
      </c>
      <c r="G109" t="s">
        <v>181</v>
      </c>
      <c r="H109" t="s">
        <v>182</v>
      </c>
      <c r="I109" t="s">
        <v>183</v>
      </c>
      <c r="J109" t="s">
        <v>184</v>
      </c>
      <c r="K109" t="s">
        <v>185</v>
      </c>
      <c r="L109" t="s">
        <v>186</v>
      </c>
      <c r="M109" t="s">
        <v>187</v>
      </c>
      <c r="N109" t="s">
        <v>188</v>
      </c>
      <c r="O109" t="s">
        <v>189</v>
      </c>
      <c r="P109" t="s">
        <v>190</v>
      </c>
      <c r="Q109" t="s">
        <v>191</v>
      </c>
      <c r="R109" t="s">
        <v>192</v>
      </c>
      <c r="S109" t="s">
        <v>193</v>
      </c>
      <c r="T109" t="s">
        <v>194</v>
      </c>
      <c r="U109" t="s">
        <v>195</v>
      </c>
      <c r="V109" t="s">
        <v>196</v>
      </c>
      <c r="W109" t="s">
        <v>197</v>
      </c>
      <c r="X109" t="s">
        <v>204</v>
      </c>
      <c r="Y109" t="s">
        <v>206</v>
      </c>
      <c r="Z109" t="s">
        <v>207</v>
      </c>
      <c r="AA109" t="s">
        <v>208</v>
      </c>
      <c r="AB109" t="s">
        <v>209</v>
      </c>
      <c r="AC109" t="s">
        <v>210</v>
      </c>
      <c r="AD109" t="s">
        <v>211</v>
      </c>
      <c r="AE109" t="s">
        <v>224</v>
      </c>
      <c r="AF109" t="s">
        <v>225</v>
      </c>
      <c r="AG109" t="s">
        <v>226</v>
      </c>
      <c r="AH109" t="s">
        <v>165</v>
      </c>
    </row>
    <row r="110" spans="1:34" x14ac:dyDescent="0.25">
      <c r="A110" s="55" t="s">
        <v>167</v>
      </c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</row>
    <row r="111" spans="1:34" x14ac:dyDescent="0.25">
      <c r="A111" s="57" t="s">
        <v>167</v>
      </c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</row>
    <row r="112" spans="1:34" x14ac:dyDescent="0.25">
      <c r="A112" s="55" t="s">
        <v>307</v>
      </c>
      <c r="B112" s="56"/>
      <c r="C112" s="56">
        <v>228</v>
      </c>
      <c r="D112" s="56">
        <v>250</v>
      </c>
      <c r="E112" s="56">
        <v>158</v>
      </c>
      <c r="F112" s="56">
        <v>161</v>
      </c>
      <c r="G112" s="56">
        <v>197</v>
      </c>
      <c r="H112" s="56">
        <v>250</v>
      </c>
      <c r="I112" s="56">
        <v>250</v>
      </c>
      <c r="J112" s="56">
        <v>145</v>
      </c>
      <c r="K112" s="56">
        <v>192</v>
      </c>
      <c r="L112" s="56">
        <v>213</v>
      </c>
      <c r="M112" s="56">
        <v>250</v>
      </c>
      <c r="N112" s="56">
        <v>250</v>
      </c>
      <c r="O112" s="56">
        <v>137</v>
      </c>
      <c r="P112" s="56">
        <v>146</v>
      </c>
      <c r="Q112" s="56">
        <v>167</v>
      </c>
      <c r="R112" s="56">
        <v>250</v>
      </c>
      <c r="S112" s="56">
        <v>250</v>
      </c>
      <c r="T112" s="56">
        <v>152</v>
      </c>
      <c r="U112" s="56">
        <v>204</v>
      </c>
      <c r="V112" s="56">
        <v>250</v>
      </c>
      <c r="W112" s="56">
        <v>250</v>
      </c>
      <c r="X112" s="56">
        <v>250</v>
      </c>
      <c r="Y112" s="56">
        <v>166</v>
      </c>
      <c r="Z112" s="56">
        <v>143</v>
      </c>
      <c r="AA112" s="56">
        <v>169</v>
      </c>
      <c r="AB112" s="56">
        <v>173</v>
      </c>
      <c r="AC112" s="56">
        <v>129</v>
      </c>
      <c r="AD112" s="56">
        <v>127</v>
      </c>
      <c r="AE112" s="56">
        <v>162</v>
      </c>
      <c r="AF112" s="56">
        <v>164</v>
      </c>
      <c r="AG112" s="56">
        <v>208</v>
      </c>
      <c r="AH112" s="56">
        <v>6041</v>
      </c>
    </row>
    <row r="113" spans="1:34" x14ac:dyDescent="0.25">
      <c r="A113" s="55" t="s">
        <v>2</v>
      </c>
      <c r="B113" s="56"/>
      <c r="C113" s="56"/>
      <c r="D113" s="56"/>
      <c r="E113" s="56">
        <v>13</v>
      </c>
      <c r="F113" s="56">
        <v>44</v>
      </c>
      <c r="G113" s="56">
        <v>13</v>
      </c>
      <c r="H113" s="56"/>
      <c r="I113" s="56"/>
      <c r="J113" s="56">
        <v>21</v>
      </c>
      <c r="K113" s="56">
        <v>14</v>
      </c>
      <c r="L113" s="56">
        <v>9</v>
      </c>
      <c r="M113" s="56"/>
      <c r="N113" s="56"/>
      <c r="O113" s="56">
        <v>28</v>
      </c>
      <c r="P113" s="56">
        <v>21</v>
      </c>
      <c r="Q113" s="56">
        <v>25</v>
      </c>
      <c r="R113" s="56"/>
      <c r="S113" s="56"/>
      <c r="T113" s="56">
        <v>12</v>
      </c>
      <c r="U113" s="56">
        <v>9</v>
      </c>
      <c r="V113" s="56"/>
      <c r="W113" s="56"/>
      <c r="X113" s="56"/>
      <c r="Y113" s="56">
        <v>13</v>
      </c>
      <c r="Z113" s="56">
        <v>27</v>
      </c>
      <c r="AA113" s="56">
        <v>4</v>
      </c>
      <c r="AB113" s="56">
        <v>35</v>
      </c>
      <c r="AC113" s="56">
        <v>29</v>
      </c>
      <c r="AD113" s="56">
        <v>10</v>
      </c>
      <c r="AE113" s="56">
        <v>15</v>
      </c>
      <c r="AF113" s="56">
        <v>28</v>
      </c>
      <c r="AG113" s="56">
        <v>16</v>
      </c>
      <c r="AH113" s="56">
        <v>386</v>
      </c>
    </row>
    <row r="114" spans="1:34" x14ac:dyDescent="0.25">
      <c r="A114" s="57" t="s">
        <v>18</v>
      </c>
      <c r="B114" s="56"/>
      <c r="C114" s="56"/>
      <c r="D114" s="56"/>
      <c r="E114" s="56"/>
      <c r="F114" s="56"/>
      <c r="G114" s="56"/>
      <c r="H114" s="56"/>
      <c r="I114" s="56"/>
      <c r="J114" s="56">
        <v>1</v>
      </c>
      <c r="K114" s="56"/>
      <c r="L114" s="56"/>
      <c r="M114" s="56"/>
      <c r="N114" s="56"/>
      <c r="O114" s="56">
        <v>2</v>
      </c>
      <c r="P114" s="56"/>
      <c r="Q114" s="56"/>
      <c r="R114" s="56"/>
      <c r="S114" s="56"/>
      <c r="T114" s="56">
        <v>1</v>
      </c>
      <c r="U114" s="56"/>
      <c r="V114" s="56"/>
      <c r="W114" s="56"/>
      <c r="X114" s="56"/>
      <c r="Y114" s="56"/>
      <c r="Z114" s="56">
        <v>4</v>
      </c>
      <c r="AA114" s="56"/>
      <c r="AB114" s="56"/>
      <c r="AC114" s="56"/>
      <c r="AD114" s="56"/>
      <c r="AE114" s="56"/>
      <c r="AF114" s="56"/>
      <c r="AG114" s="56"/>
      <c r="AH114" s="56">
        <v>8</v>
      </c>
    </row>
    <row r="115" spans="1:34" x14ac:dyDescent="0.25">
      <c r="A115" s="57" t="s">
        <v>17</v>
      </c>
      <c r="B115" s="56"/>
      <c r="C115" s="56"/>
      <c r="D115" s="56"/>
      <c r="E115" s="56"/>
      <c r="F115" s="56">
        <v>1</v>
      </c>
      <c r="G115" s="56">
        <v>1</v>
      </c>
      <c r="H115" s="56"/>
      <c r="I115" s="56"/>
      <c r="J115" s="56">
        <v>3</v>
      </c>
      <c r="K115" s="56">
        <v>2</v>
      </c>
      <c r="L115" s="56">
        <v>1</v>
      </c>
      <c r="M115" s="56"/>
      <c r="N115" s="56"/>
      <c r="O115" s="56">
        <v>1</v>
      </c>
      <c r="P115" s="56">
        <v>4</v>
      </c>
      <c r="Q115" s="56">
        <v>5</v>
      </c>
      <c r="R115" s="56"/>
      <c r="S115" s="56"/>
      <c r="T115" s="56">
        <v>2</v>
      </c>
      <c r="U115" s="56">
        <v>4</v>
      </c>
      <c r="V115" s="56"/>
      <c r="W115" s="56"/>
      <c r="X115" s="56"/>
      <c r="Y115" s="56">
        <v>2</v>
      </c>
      <c r="Z115" s="56">
        <v>3</v>
      </c>
      <c r="AA115" s="56"/>
      <c r="AB115" s="56"/>
      <c r="AC115" s="56">
        <v>6</v>
      </c>
      <c r="AD115" s="56">
        <v>6</v>
      </c>
      <c r="AE115" s="56"/>
      <c r="AF115" s="56">
        <v>3</v>
      </c>
      <c r="AG115" s="56">
        <v>4</v>
      </c>
      <c r="AH115" s="56">
        <v>48</v>
      </c>
    </row>
    <row r="116" spans="1:34" x14ac:dyDescent="0.25">
      <c r="A116" s="57" t="s">
        <v>7</v>
      </c>
      <c r="B116" s="56"/>
      <c r="C116" s="56"/>
      <c r="D116" s="56"/>
      <c r="E116" s="56">
        <v>1</v>
      </c>
      <c r="F116" s="56">
        <v>35</v>
      </c>
      <c r="G116" s="56"/>
      <c r="H116" s="56"/>
      <c r="I116" s="56"/>
      <c r="J116" s="56">
        <v>1</v>
      </c>
      <c r="K116" s="56">
        <v>2</v>
      </c>
      <c r="L116" s="56"/>
      <c r="M116" s="56"/>
      <c r="N116" s="56"/>
      <c r="O116" s="56"/>
      <c r="P116" s="56">
        <v>13</v>
      </c>
      <c r="Q116" s="56">
        <v>2</v>
      </c>
      <c r="R116" s="56"/>
      <c r="S116" s="56"/>
      <c r="T116" s="56"/>
      <c r="U116" s="56"/>
      <c r="V116" s="56"/>
      <c r="W116" s="56"/>
      <c r="X116" s="56"/>
      <c r="Y116" s="56">
        <v>3</v>
      </c>
      <c r="Z116" s="56">
        <v>16</v>
      </c>
      <c r="AA116" s="56"/>
      <c r="AB116" s="56">
        <v>21</v>
      </c>
      <c r="AC116" s="56">
        <v>14</v>
      </c>
      <c r="AD116" s="56"/>
      <c r="AE116" s="56"/>
      <c r="AF116" s="56">
        <v>1</v>
      </c>
      <c r="AG116" s="56"/>
      <c r="AH116" s="56">
        <v>109</v>
      </c>
    </row>
    <row r="117" spans="1:34" x14ac:dyDescent="0.25">
      <c r="A117" s="57" t="s">
        <v>159</v>
      </c>
      <c r="B117" s="56"/>
      <c r="C117" s="56"/>
      <c r="D117" s="56"/>
      <c r="E117" s="56">
        <v>12</v>
      </c>
      <c r="F117" s="56">
        <v>8</v>
      </c>
      <c r="G117" s="56">
        <v>12</v>
      </c>
      <c r="H117" s="56"/>
      <c r="I117" s="56"/>
      <c r="J117" s="56">
        <v>16</v>
      </c>
      <c r="K117" s="56">
        <v>10</v>
      </c>
      <c r="L117" s="56">
        <v>8</v>
      </c>
      <c r="M117" s="56"/>
      <c r="N117" s="56"/>
      <c r="O117" s="56">
        <v>25</v>
      </c>
      <c r="P117" s="56">
        <v>4</v>
      </c>
      <c r="Q117" s="56">
        <v>18</v>
      </c>
      <c r="R117" s="56"/>
      <c r="S117" s="56"/>
      <c r="T117" s="56">
        <v>9</v>
      </c>
      <c r="U117" s="56">
        <v>5</v>
      </c>
      <c r="V117" s="56"/>
      <c r="W117" s="56"/>
      <c r="X117" s="56"/>
      <c r="Y117" s="56">
        <v>8</v>
      </c>
      <c r="Z117" s="56">
        <v>4</v>
      </c>
      <c r="AA117" s="56">
        <v>4</v>
      </c>
      <c r="AB117" s="56">
        <v>14</v>
      </c>
      <c r="AC117" s="56">
        <v>9</v>
      </c>
      <c r="AD117" s="56">
        <v>4</v>
      </c>
      <c r="AE117" s="56">
        <v>15</v>
      </c>
      <c r="AF117" s="56">
        <v>24</v>
      </c>
      <c r="AG117" s="56">
        <v>12</v>
      </c>
      <c r="AH117" s="56">
        <v>221</v>
      </c>
    </row>
    <row r="118" spans="1:34" x14ac:dyDescent="0.25">
      <c r="A118" s="55" t="s">
        <v>177</v>
      </c>
      <c r="B118" s="56"/>
      <c r="C118" s="56">
        <v>22</v>
      </c>
      <c r="D118" s="56"/>
      <c r="E118" s="56">
        <v>79</v>
      </c>
      <c r="F118" s="56">
        <v>45</v>
      </c>
      <c r="G118" s="56">
        <v>40</v>
      </c>
      <c r="H118" s="56"/>
      <c r="I118" s="56"/>
      <c r="J118" s="56">
        <v>84</v>
      </c>
      <c r="K118" s="56">
        <v>44</v>
      </c>
      <c r="L118" s="56">
        <v>28</v>
      </c>
      <c r="M118" s="56"/>
      <c r="N118" s="56"/>
      <c r="O118" s="56">
        <v>85</v>
      </c>
      <c r="P118" s="56">
        <v>83</v>
      </c>
      <c r="Q118" s="56">
        <v>58</v>
      </c>
      <c r="R118" s="56"/>
      <c r="S118" s="56"/>
      <c r="T118" s="56">
        <v>86</v>
      </c>
      <c r="U118" s="56">
        <v>37</v>
      </c>
      <c r="V118" s="56"/>
      <c r="W118" s="56"/>
      <c r="X118" s="56"/>
      <c r="Y118" s="56">
        <v>71</v>
      </c>
      <c r="Z118" s="56">
        <v>80</v>
      </c>
      <c r="AA118" s="56">
        <v>77</v>
      </c>
      <c r="AB118" s="56">
        <v>42</v>
      </c>
      <c r="AC118" s="56">
        <v>92</v>
      </c>
      <c r="AD118" s="56">
        <v>113</v>
      </c>
      <c r="AE118" s="56">
        <v>73</v>
      </c>
      <c r="AF118" s="56">
        <v>58</v>
      </c>
      <c r="AG118" s="56">
        <v>26</v>
      </c>
      <c r="AH118" s="56">
        <v>1323</v>
      </c>
    </row>
    <row r="119" spans="1:34" x14ac:dyDescent="0.25">
      <c r="A119" s="57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>
        <v>80</v>
      </c>
      <c r="AE119" s="56"/>
      <c r="AF119" s="56"/>
      <c r="AG119" s="56"/>
      <c r="AH119" s="56">
        <v>80</v>
      </c>
    </row>
    <row r="120" spans="1:34" x14ac:dyDescent="0.25">
      <c r="A120" s="57" t="s">
        <v>18</v>
      </c>
      <c r="B120" s="56"/>
      <c r="C120" s="56">
        <v>2</v>
      </c>
      <c r="D120" s="56"/>
      <c r="E120" s="56">
        <v>1</v>
      </c>
      <c r="F120" s="56"/>
      <c r="G120" s="56"/>
      <c r="H120" s="56"/>
      <c r="I120" s="56"/>
      <c r="J120" s="56"/>
      <c r="K120" s="56"/>
      <c r="L120" s="56"/>
      <c r="M120" s="56"/>
      <c r="N120" s="56"/>
      <c r="O120" s="56">
        <v>2</v>
      </c>
      <c r="P120" s="56">
        <v>1</v>
      </c>
      <c r="Q120" s="56">
        <v>2</v>
      </c>
      <c r="R120" s="56"/>
      <c r="S120" s="56"/>
      <c r="T120" s="56">
        <v>1</v>
      </c>
      <c r="U120" s="56"/>
      <c r="V120" s="56"/>
      <c r="W120" s="56"/>
      <c r="X120" s="56"/>
      <c r="Y120" s="56"/>
      <c r="Z120" s="56"/>
      <c r="AA120" s="56">
        <v>2</v>
      </c>
      <c r="AB120" s="56"/>
      <c r="AC120" s="56">
        <v>4</v>
      </c>
      <c r="AD120" s="56">
        <v>2</v>
      </c>
      <c r="AE120" s="56"/>
      <c r="AF120" s="56"/>
      <c r="AG120" s="56">
        <v>1</v>
      </c>
      <c r="AH120" s="56">
        <v>18</v>
      </c>
    </row>
    <row r="121" spans="1:34" x14ac:dyDescent="0.25">
      <c r="A121" s="57" t="s">
        <v>19</v>
      </c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>
        <v>1</v>
      </c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>
        <v>1</v>
      </c>
    </row>
    <row r="122" spans="1:34" x14ac:dyDescent="0.25">
      <c r="A122" s="57" t="s">
        <v>17</v>
      </c>
      <c r="B122" s="56"/>
      <c r="C122" s="56">
        <v>6</v>
      </c>
      <c r="D122" s="56"/>
      <c r="E122" s="56">
        <v>21</v>
      </c>
      <c r="F122" s="56">
        <v>9</v>
      </c>
      <c r="G122" s="56">
        <v>18</v>
      </c>
      <c r="H122" s="56"/>
      <c r="I122" s="56"/>
      <c r="J122" s="56">
        <v>23</v>
      </c>
      <c r="K122" s="56">
        <v>16</v>
      </c>
      <c r="L122" s="56">
        <v>7</v>
      </c>
      <c r="M122" s="56"/>
      <c r="N122" s="56"/>
      <c r="O122" s="56">
        <v>15</v>
      </c>
      <c r="P122" s="56">
        <v>15</v>
      </c>
      <c r="Q122" s="56">
        <v>29</v>
      </c>
      <c r="R122" s="56"/>
      <c r="S122" s="56"/>
      <c r="T122" s="56">
        <v>22</v>
      </c>
      <c r="U122" s="56">
        <v>11</v>
      </c>
      <c r="V122" s="56"/>
      <c r="W122" s="56"/>
      <c r="X122" s="56"/>
      <c r="Y122" s="56">
        <v>9</v>
      </c>
      <c r="Z122" s="56">
        <v>21</v>
      </c>
      <c r="AA122" s="56">
        <v>20</v>
      </c>
      <c r="AB122" s="56">
        <v>14</v>
      </c>
      <c r="AC122" s="56">
        <v>21</v>
      </c>
      <c r="AD122" s="56">
        <v>15</v>
      </c>
      <c r="AE122" s="56">
        <v>20</v>
      </c>
      <c r="AF122" s="56">
        <v>18</v>
      </c>
      <c r="AG122" s="56">
        <v>12</v>
      </c>
      <c r="AH122" s="56">
        <v>342</v>
      </c>
    </row>
    <row r="123" spans="1:34" x14ac:dyDescent="0.25">
      <c r="A123" s="57" t="s">
        <v>7</v>
      </c>
      <c r="B123" s="56"/>
      <c r="C123" s="56">
        <v>6</v>
      </c>
      <c r="D123" s="56"/>
      <c r="E123" s="56">
        <v>34</v>
      </c>
      <c r="F123" s="56">
        <v>28</v>
      </c>
      <c r="G123" s="56">
        <v>6</v>
      </c>
      <c r="H123" s="56"/>
      <c r="I123" s="56"/>
      <c r="J123" s="56">
        <v>43</v>
      </c>
      <c r="K123" s="56">
        <v>26</v>
      </c>
      <c r="L123" s="56">
        <v>4</v>
      </c>
      <c r="M123" s="56"/>
      <c r="N123" s="56"/>
      <c r="O123" s="56">
        <v>38</v>
      </c>
      <c r="P123" s="56">
        <v>52</v>
      </c>
      <c r="Q123" s="56">
        <v>6</v>
      </c>
      <c r="R123" s="56"/>
      <c r="S123" s="56"/>
      <c r="T123" s="56">
        <v>36</v>
      </c>
      <c r="U123" s="56">
        <v>20</v>
      </c>
      <c r="V123" s="56"/>
      <c r="W123" s="56"/>
      <c r="X123" s="56"/>
      <c r="Y123" s="56">
        <v>35</v>
      </c>
      <c r="Z123" s="56">
        <v>51</v>
      </c>
      <c r="AA123" s="56">
        <v>46</v>
      </c>
      <c r="AB123" s="56">
        <v>13</v>
      </c>
      <c r="AC123" s="56">
        <v>51</v>
      </c>
      <c r="AD123" s="56">
        <v>6</v>
      </c>
      <c r="AE123" s="56">
        <v>42</v>
      </c>
      <c r="AF123" s="56">
        <v>17</v>
      </c>
      <c r="AG123" s="56">
        <v>6</v>
      </c>
      <c r="AH123" s="56">
        <v>566</v>
      </c>
    </row>
    <row r="124" spans="1:34" x14ac:dyDescent="0.25">
      <c r="A124" s="57" t="s">
        <v>159</v>
      </c>
      <c r="B124" s="56"/>
      <c r="C124" s="56">
        <v>8</v>
      </c>
      <c r="D124" s="56"/>
      <c r="E124" s="56">
        <v>23</v>
      </c>
      <c r="F124" s="56">
        <v>8</v>
      </c>
      <c r="G124" s="56">
        <v>16</v>
      </c>
      <c r="H124" s="56"/>
      <c r="I124" s="56"/>
      <c r="J124" s="56">
        <v>18</v>
      </c>
      <c r="K124" s="56">
        <v>2</v>
      </c>
      <c r="L124" s="56">
        <v>17</v>
      </c>
      <c r="M124" s="56"/>
      <c r="N124" s="56"/>
      <c r="O124" s="56">
        <v>30</v>
      </c>
      <c r="P124" s="56">
        <v>15</v>
      </c>
      <c r="Q124" s="56">
        <v>21</v>
      </c>
      <c r="R124" s="56"/>
      <c r="S124" s="56"/>
      <c r="T124" s="56">
        <v>26</v>
      </c>
      <c r="U124" s="56">
        <v>6</v>
      </c>
      <c r="V124" s="56"/>
      <c r="W124" s="56"/>
      <c r="X124" s="56"/>
      <c r="Y124" s="56">
        <v>27</v>
      </c>
      <c r="Z124" s="56">
        <v>8</v>
      </c>
      <c r="AA124" s="56">
        <v>9</v>
      </c>
      <c r="AB124" s="56">
        <v>15</v>
      </c>
      <c r="AC124" s="56">
        <v>16</v>
      </c>
      <c r="AD124" s="56">
        <v>10</v>
      </c>
      <c r="AE124" s="56">
        <v>11</v>
      </c>
      <c r="AF124" s="56">
        <v>23</v>
      </c>
      <c r="AG124" s="56">
        <v>7</v>
      </c>
      <c r="AH124" s="56">
        <v>316</v>
      </c>
    </row>
    <row r="125" spans="1:34" x14ac:dyDescent="0.25">
      <c r="A125" s="55" t="s">
        <v>165</v>
      </c>
      <c r="B125" s="56"/>
      <c r="C125" s="56">
        <v>250</v>
      </c>
      <c r="D125" s="56">
        <v>250</v>
      </c>
      <c r="E125" s="56">
        <v>250</v>
      </c>
      <c r="F125" s="56">
        <v>250</v>
      </c>
      <c r="G125" s="56">
        <v>250</v>
      </c>
      <c r="H125" s="56">
        <v>250</v>
      </c>
      <c r="I125" s="56">
        <v>250</v>
      </c>
      <c r="J125" s="56">
        <v>250</v>
      </c>
      <c r="K125" s="56">
        <v>250</v>
      </c>
      <c r="L125" s="56">
        <v>250</v>
      </c>
      <c r="M125" s="56">
        <v>250</v>
      </c>
      <c r="N125" s="56">
        <v>250</v>
      </c>
      <c r="O125" s="56">
        <v>250</v>
      </c>
      <c r="P125" s="56">
        <v>250</v>
      </c>
      <c r="Q125" s="56">
        <v>250</v>
      </c>
      <c r="R125" s="56">
        <v>250</v>
      </c>
      <c r="S125" s="56">
        <v>250</v>
      </c>
      <c r="T125" s="56">
        <v>250</v>
      </c>
      <c r="U125" s="56">
        <v>250</v>
      </c>
      <c r="V125" s="56">
        <v>250</v>
      </c>
      <c r="W125" s="56">
        <v>250</v>
      </c>
      <c r="X125" s="56">
        <v>250</v>
      </c>
      <c r="Y125" s="56">
        <v>250</v>
      </c>
      <c r="Z125" s="56">
        <v>250</v>
      </c>
      <c r="AA125" s="56">
        <v>250</v>
      </c>
      <c r="AB125" s="56">
        <v>250</v>
      </c>
      <c r="AC125" s="56">
        <v>250</v>
      </c>
      <c r="AD125" s="56">
        <v>250</v>
      </c>
      <c r="AE125" s="56">
        <v>250</v>
      </c>
      <c r="AF125" s="56">
        <v>250</v>
      </c>
      <c r="AG125" s="56">
        <v>250</v>
      </c>
      <c r="AH125" s="56">
        <v>7750</v>
      </c>
    </row>
    <row r="126" spans="1:34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</row>
    <row r="127" spans="1:34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</row>
    <row r="128" spans="1:34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</row>
    <row r="129" spans="1:34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</row>
    <row r="130" spans="1:34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</row>
    <row r="131" spans="1:34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</row>
    <row r="132" spans="1:34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</row>
    <row r="133" spans="1:34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</row>
    <row r="134" spans="1:34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</row>
    <row r="135" spans="1:34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</row>
    <row r="136" spans="1:34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</row>
    <row r="137" spans="1:34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</row>
    <row r="138" spans="1:34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</row>
    <row r="139" spans="1:34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</row>
    <row r="140" spans="1:34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</row>
    <row r="141" spans="1:34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</row>
    <row r="142" spans="1:34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</row>
    <row r="143" spans="1:34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</row>
    <row r="148" spans="1:34" x14ac:dyDescent="0.25">
      <c r="A148" s="54" t="s">
        <v>170</v>
      </c>
      <c r="B148" s="54" t="s">
        <v>163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</row>
    <row r="149" spans="1:34" x14ac:dyDescent="0.25">
      <c r="A149" s="54" t="s">
        <v>164</v>
      </c>
      <c r="B149" t="s">
        <v>203</v>
      </c>
      <c r="C149" t="s">
        <v>179</v>
      </c>
      <c r="D149" t="s">
        <v>180</v>
      </c>
      <c r="E149" t="s">
        <v>181</v>
      </c>
      <c r="F149" t="s">
        <v>184</v>
      </c>
      <c r="G149" t="s">
        <v>185</v>
      </c>
      <c r="H149" t="s">
        <v>186</v>
      </c>
      <c r="I149" t="s">
        <v>189</v>
      </c>
      <c r="J149" t="s">
        <v>190</v>
      </c>
      <c r="K149" t="s">
        <v>191</v>
      </c>
      <c r="L149" t="s">
        <v>194</v>
      </c>
      <c r="M149" t="s">
        <v>195</v>
      </c>
      <c r="N149" t="s">
        <v>206</v>
      </c>
      <c r="O149" t="s">
        <v>207</v>
      </c>
      <c r="P149" t="s">
        <v>208</v>
      </c>
      <c r="Q149" t="s">
        <v>209</v>
      </c>
      <c r="R149" t="s">
        <v>210</v>
      </c>
      <c r="S149" t="s">
        <v>211</v>
      </c>
      <c r="T149" t="s">
        <v>224</v>
      </c>
      <c r="U149" t="s">
        <v>225</v>
      </c>
      <c r="V149" t="s">
        <v>226</v>
      </c>
      <c r="W149" t="s">
        <v>165</v>
      </c>
      <c r="X149"/>
      <c r="Y149"/>
      <c r="Z149"/>
      <c r="AA149"/>
      <c r="AB149"/>
      <c r="AC149"/>
      <c r="AD149"/>
      <c r="AE149"/>
      <c r="AF149"/>
      <c r="AG149"/>
      <c r="AH149"/>
    </row>
    <row r="150" spans="1:34" x14ac:dyDescent="0.25">
      <c r="A150" s="55" t="s">
        <v>18</v>
      </c>
      <c r="B150" s="56">
        <v>2</v>
      </c>
      <c r="C150" s="56">
        <v>1</v>
      </c>
      <c r="D150" s="56"/>
      <c r="E150" s="56"/>
      <c r="F150" s="56">
        <v>1</v>
      </c>
      <c r="G150" s="56"/>
      <c r="H150" s="56"/>
      <c r="I150" s="56">
        <v>4</v>
      </c>
      <c r="J150" s="56">
        <v>1</v>
      </c>
      <c r="K150" s="56">
        <v>2</v>
      </c>
      <c r="L150" s="56">
        <v>2</v>
      </c>
      <c r="M150" s="56"/>
      <c r="N150" s="56"/>
      <c r="O150" s="56">
        <v>4</v>
      </c>
      <c r="P150" s="56">
        <v>2</v>
      </c>
      <c r="Q150" s="56"/>
      <c r="R150" s="56">
        <v>4</v>
      </c>
      <c r="S150" s="56">
        <v>2</v>
      </c>
      <c r="T150" s="56"/>
      <c r="U150" s="56"/>
      <c r="V150" s="56">
        <v>1</v>
      </c>
      <c r="W150" s="56">
        <v>26</v>
      </c>
      <c r="X150"/>
      <c r="Y150"/>
      <c r="Z150"/>
      <c r="AA150"/>
      <c r="AB150"/>
      <c r="AC150"/>
      <c r="AD150"/>
      <c r="AE150"/>
      <c r="AF150"/>
      <c r="AG150"/>
      <c r="AH150"/>
    </row>
    <row r="151" spans="1:34" x14ac:dyDescent="0.25">
      <c r="A151" s="57" t="s">
        <v>115</v>
      </c>
      <c r="B151" s="56"/>
      <c r="C151" s="56"/>
      <c r="D151" s="56"/>
      <c r="E151" s="56"/>
      <c r="F151" s="56">
        <v>1</v>
      </c>
      <c r="G151" s="56"/>
      <c r="H151" s="56"/>
      <c r="I151" s="56">
        <v>4</v>
      </c>
      <c r="J151" s="56"/>
      <c r="K151" s="56"/>
      <c r="L151" s="56">
        <v>2</v>
      </c>
      <c r="M151" s="56"/>
      <c r="N151" s="56"/>
      <c r="O151" s="56">
        <v>4</v>
      </c>
      <c r="P151" s="56">
        <v>2</v>
      </c>
      <c r="Q151" s="56"/>
      <c r="R151" s="56">
        <v>2</v>
      </c>
      <c r="S151" s="56"/>
      <c r="T151" s="56"/>
      <c r="U151" s="56"/>
      <c r="V151" s="56"/>
      <c r="W151" s="56">
        <v>15</v>
      </c>
      <c r="X151"/>
      <c r="Y151"/>
      <c r="Z151"/>
      <c r="AA151"/>
      <c r="AB151"/>
      <c r="AC151"/>
      <c r="AD151"/>
      <c r="AE151"/>
      <c r="AF151"/>
      <c r="AG151"/>
      <c r="AH151"/>
    </row>
    <row r="152" spans="1:34" x14ac:dyDescent="0.25">
      <c r="A152" s="57" t="s">
        <v>113</v>
      </c>
      <c r="B152" s="56">
        <v>2</v>
      </c>
      <c r="C152" s="56">
        <v>1</v>
      </c>
      <c r="D152" s="56"/>
      <c r="E152" s="56"/>
      <c r="F152" s="56"/>
      <c r="G152" s="56"/>
      <c r="H152" s="56"/>
      <c r="I152" s="56"/>
      <c r="J152" s="56">
        <v>1</v>
      </c>
      <c r="K152" s="56">
        <v>2</v>
      </c>
      <c r="L152" s="56"/>
      <c r="M152" s="56"/>
      <c r="N152" s="56"/>
      <c r="O152" s="56"/>
      <c r="P152" s="56"/>
      <c r="Q152" s="56"/>
      <c r="R152" s="56">
        <v>2</v>
      </c>
      <c r="S152" s="56">
        <v>2</v>
      </c>
      <c r="T152" s="56"/>
      <c r="U152" s="56"/>
      <c r="V152" s="56">
        <v>1</v>
      </c>
      <c r="W152" s="56">
        <v>11</v>
      </c>
      <c r="X152"/>
      <c r="Y152"/>
      <c r="Z152"/>
      <c r="AA152"/>
      <c r="AB152"/>
      <c r="AC152"/>
      <c r="AD152"/>
      <c r="AE152"/>
      <c r="AF152"/>
      <c r="AG152"/>
      <c r="AH152"/>
    </row>
    <row r="153" spans="1:34" x14ac:dyDescent="0.25">
      <c r="A153" s="55" t="s">
        <v>19</v>
      </c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>
        <v>1</v>
      </c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>
        <v>1</v>
      </c>
      <c r="X153"/>
      <c r="Y153"/>
      <c r="Z153"/>
      <c r="AA153"/>
      <c r="AB153"/>
      <c r="AC153"/>
      <c r="AD153"/>
      <c r="AE153"/>
      <c r="AF153"/>
      <c r="AG153"/>
      <c r="AH153"/>
    </row>
    <row r="154" spans="1:34" x14ac:dyDescent="0.25">
      <c r="A154" s="57" t="s">
        <v>115</v>
      </c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>
        <v>1</v>
      </c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>
        <v>1</v>
      </c>
      <c r="X154"/>
      <c r="Y154"/>
      <c r="Z154"/>
      <c r="AA154"/>
      <c r="AB154"/>
      <c r="AC154"/>
      <c r="AD154"/>
      <c r="AE154"/>
      <c r="AF154"/>
      <c r="AG154"/>
      <c r="AH154"/>
    </row>
    <row r="155" spans="1:34" x14ac:dyDescent="0.25">
      <c r="A155" s="55" t="s">
        <v>17</v>
      </c>
      <c r="B155" s="56">
        <v>6</v>
      </c>
      <c r="C155" s="56">
        <v>21</v>
      </c>
      <c r="D155" s="56">
        <v>10</v>
      </c>
      <c r="E155" s="56">
        <v>19</v>
      </c>
      <c r="F155" s="56">
        <v>26</v>
      </c>
      <c r="G155" s="56">
        <v>18</v>
      </c>
      <c r="H155" s="56">
        <v>8</v>
      </c>
      <c r="I155" s="56">
        <v>16</v>
      </c>
      <c r="J155" s="56">
        <v>19</v>
      </c>
      <c r="K155" s="56">
        <v>34</v>
      </c>
      <c r="L155" s="56">
        <v>24</v>
      </c>
      <c r="M155" s="56">
        <v>15</v>
      </c>
      <c r="N155" s="56">
        <v>11</v>
      </c>
      <c r="O155" s="56">
        <v>24</v>
      </c>
      <c r="P155" s="56">
        <v>20</v>
      </c>
      <c r="Q155" s="56">
        <v>14</v>
      </c>
      <c r="R155" s="56">
        <v>27</v>
      </c>
      <c r="S155" s="56">
        <v>21</v>
      </c>
      <c r="T155" s="56">
        <v>20</v>
      </c>
      <c r="U155" s="56">
        <v>21</v>
      </c>
      <c r="V155" s="56">
        <v>16</v>
      </c>
      <c r="W155" s="56">
        <v>390</v>
      </c>
      <c r="X155"/>
      <c r="Y155"/>
      <c r="Z155"/>
      <c r="AA155"/>
      <c r="AB155"/>
      <c r="AC155"/>
      <c r="AD155"/>
      <c r="AE155"/>
      <c r="AF155"/>
      <c r="AG155"/>
      <c r="AH155"/>
    </row>
    <row r="156" spans="1:34" x14ac:dyDescent="0.25">
      <c r="A156" s="57" t="s">
        <v>115</v>
      </c>
      <c r="B156" s="56"/>
      <c r="C156" s="56"/>
      <c r="D156" s="56"/>
      <c r="E156" s="56"/>
      <c r="F156" s="56">
        <v>2</v>
      </c>
      <c r="G156" s="56"/>
      <c r="H156" s="56"/>
      <c r="I156" s="56"/>
      <c r="J156" s="56"/>
      <c r="K156" s="56"/>
      <c r="L156" s="56">
        <v>2</v>
      </c>
      <c r="M156" s="56"/>
      <c r="N156" s="56"/>
      <c r="O156" s="56"/>
      <c r="P156" s="56">
        <v>2</v>
      </c>
      <c r="Q156" s="56"/>
      <c r="R156" s="56">
        <v>4</v>
      </c>
      <c r="S156" s="56"/>
      <c r="T156" s="56"/>
      <c r="U156" s="56"/>
      <c r="V156" s="56"/>
      <c r="W156" s="56">
        <v>10</v>
      </c>
      <c r="X156"/>
      <c r="Y156"/>
      <c r="Z156"/>
      <c r="AA156"/>
      <c r="AB156"/>
      <c r="AC156"/>
      <c r="AD156"/>
      <c r="AE156"/>
      <c r="AF156"/>
      <c r="AG156"/>
      <c r="AH156"/>
    </row>
    <row r="157" spans="1:34" x14ac:dyDescent="0.25">
      <c r="A157" s="57" t="s">
        <v>113</v>
      </c>
      <c r="B157" s="56">
        <v>1</v>
      </c>
      <c r="C157" s="56">
        <v>5</v>
      </c>
      <c r="D157" s="56">
        <v>6</v>
      </c>
      <c r="E157" s="56">
        <v>13</v>
      </c>
      <c r="F157" s="56">
        <v>7</v>
      </c>
      <c r="G157" s="56">
        <v>2</v>
      </c>
      <c r="H157" s="56">
        <v>3</v>
      </c>
      <c r="I157" s="56">
        <v>2</v>
      </c>
      <c r="J157" s="56">
        <v>8</v>
      </c>
      <c r="K157" s="56">
        <v>8</v>
      </c>
      <c r="L157" s="56">
        <v>9</v>
      </c>
      <c r="M157" s="56">
        <v>5</v>
      </c>
      <c r="N157" s="56">
        <v>6</v>
      </c>
      <c r="O157" s="56">
        <v>6</v>
      </c>
      <c r="P157" s="56">
        <v>5</v>
      </c>
      <c r="Q157" s="56">
        <v>6</v>
      </c>
      <c r="R157" s="56">
        <v>6</v>
      </c>
      <c r="S157" s="56">
        <v>9</v>
      </c>
      <c r="T157" s="56">
        <v>6</v>
      </c>
      <c r="U157" s="56">
        <v>9</v>
      </c>
      <c r="V157" s="56">
        <v>6</v>
      </c>
      <c r="W157" s="56">
        <v>128</v>
      </c>
      <c r="X157"/>
      <c r="Y157"/>
      <c r="Z157"/>
      <c r="AA157"/>
      <c r="AB157"/>
      <c r="AC157"/>
      <c r="AD157"/>
      <c r="AE157"/>
      <c r="AF157"/>
      <c r="AG157"/>
      <c r="AH157"/>
    </row>
    <row r="158" spans="1:34" x14ac:dyDescent="0.25">
      <c r="A158" s="57" t="s">
        <v>114</v>
      </c>
      <c r="B158" s="56">
        <v>5</v>
      </c>
      <c r="C158" s="56">
        <v>2</v>
      </c>
      <c r="D158" s="56">
        <v>4</v>
      </c>
      <c r="E158" s="56">
        <v>6</v>
      </c>
      <c r="F158" s="56">
        <v>6</v>
      </c>
      <c r="G158" s="56">
        <v>7</v>
      </c>
      <c r="H158" s="56">
        <v>5</v>
      </c>
      <c r="I158" s="56">
        <v>5</v>
      </c>
      <c r="J158" s="56"/>
      <c r="K158" s="56">
        <v>10</v>
      </c>
      <c r="L158" s="56">
        <v>9</v>
      </c>
      <c r="M158" s="56">
        <v>5</v>
      </c>
      <c r="N158" s="56">
        <v>5</v>
      </c>
      <c r="O158" s="56">
        <v>6</v>
      </c>
      <c r="P158" s="56">
        <v>8</v>
      </c>
      <c r="Q158" s="56">
        <v>5</v>
      </c>
      <c r="R158" s="56">
        <v>14</v>
      </c>
      <c r="S158" s="56">
        <v>2</v>
      </c>
      <c r="T158" s="56">
        <v>7</v>
      </c>
      <c r="U158" s="56">
        <v>7</v>
      </c>
      <c r="V158" s="56">
        <v>10</v>
      </c>
      <c r="W158" s="56">
        <v>128</v>
      </c>
      <c r="X158"/>
      <c r="Y158"/>
      <c r="Z158"/>
      <c r="AA158"/>
      <c r="AB158"/>
      <c r="AC158"/>
      <c r="AD158"/>
      <c r="AE158"/>
      <c r="AF158"/>
      <c r="AG158"/>
      <c r="AH158"/>
    </row>
    <row r="159" spans="1:34" x14ac:dyDescent="0.25">
      <c r="A159" s="57" t="s">
        <v>112</v>
      </c>
      <c r="B159" s="56"/>
      <c r="C159" s="56">
        <v>14</v>
      </c>
      <c r="D159" s="56"/>
      <c r="E159" s="56"/>
      <c r="F159" s="56">
        <v>11</v>
      </c>
      <c r="G159" s="56">
        <v>9</v>
      </c>
      <c r="H159" s="56"/>
      <c r="I159" s="56">
        <v>9</v>
      </c>
      <c r="J159" s="56">
        <v>11</v>
      </c>
      <c r="K159" s="56">
        <v>16</v>
      </c>
      <c r="L159" s="56">
        <v>4</v>
      </c>
      <c r="M159" s="56">
        <v>5</v>
      </c>
      <c r="N159" s="56"/>
      <c r="O159" s="56">
        <v>12</v>
      </c>
      <c r="P159" s="56">
        <v>5</v>
      </c>
      <c r="Q159" s="56">
        <v>3</v>
      </c>
      <c r="R159" s="56">
        <v>3</v>
      </c>
      <c r="S159" s="56">
        <v>10</v>
      </c>
      <c r="T159" s="56">
        <v>7</v>
      </c>
      <c r="U159" s="56">
        <v>5</v>
      </c>
      <c r="V159" s="56"/>
      <c r="W159" s="56">
        <v>124</v>
      </c>
      <c r="X159"/>
      <c r="Y159"/>
      <c r="Z159"/>
      <c r="AA159"/>
      <c r="AB159"/>
      <c r="AC159"/>
      <c r="AD159"/>
      <c r="AE159"/>
      <c r="AF159"/>
      <c r="AG159"/>
      <c r="AH159"/>
    </row>
    <row r="160" spans="1:34" x14ac:dyDescent="0.25">
      <c r="A160" s="55" t="s">
        <v>7</v>
      </c>
      <c r="B160" s="56">
        <v>6</v>
      </c>
      <c r="C160" s="56">
        <v>35</v>
      </c>
      <c r="D160" s="56">
        <v>63</v>
      </c>
      <c r="E160" s="56">
        <v>6</v>
      </c>
      <c r="F160" s="56">
        <v>45</v>
      </c>
      <c r="G160" s="56">
        <v>28</v>
      </c>
      <c r="H160" s="56">
        <v>4</v>
      </c>
      <c r="I160" s="56">
        <v>38</v>
      </c>
      <c r="J160" s="56">
        <v>65</v>
      </c>
      <c r="K160" s="56">
        <v>8</v>
      </c>
      <c r="L160" s="56">
        <v>36</v>
      </c>
      <c r="M160" s="56">
        <v>20</v>
      </c>
      <c r="N160" s="56">
        <v>38</v>
      </c>
      <c r="O160" s="56">
        <v>67</v>
      </c>
      <c r="P160" s="56">
        <v>46</v>
      </c>
      <c r="Q160" s="56">
        <v>34</v>
      </c>
      <c r="R160" s="56">
        <v>65</v>
      </c>
      <c r="S160" s="56">
        <v>6</v>
      </c>
      <c r="T160" s="56">
        <v>42</v>
      </c>
      <c r="U160" s="56">
        <v>18</v>
      </c>
      <c r="V160" s="56">
        <v>6</v>
      </c>
      <c r="W160" s="56">
        <v>676</v>
      </c>
      <c r="X160"/>
      <c r="Y160"/>
      <c r="Z160"/>
      <c r="AA160"/>
      <c r="AB160"/>
      <c r="AC160"/>
      <c r="AD160"/>
      <c r="AE160"/>
      <c r="AF160"/>
      <c r="AG160"/>
      <c r="AH160"/>
    </row>
    <row r="161" spans="1:34" x14ac:dyDescent="0.25">
      <c r="A161" s="57" t="s">
        <v>113</v>
      </c>
      <c r="B161" s="56"/>
      <c r="C161" s="56">
        <v>7</v>
      </c>
      <c r="D161" s="56">
        <v>57</v>
      </c>
      <c r="E161" s="56"/>
      <c r="F161" s="56">
        <v>17</v>
      </c>
      <c r="G161" s="56">
        <v>22</v>
      </c>
      <c r="H161" s="56"/>
      <c r="I161" s="56">
        <v>12</v>
      </c>
      <c r="J161" s="56">
        <v>16</v>
      </c>
      <c r="K161" s="56"/>
      <c r="L161" s="56">
        <v>15</v>
      </c>
      <c r="M161" s="56">
        <v>5</v>
      </c>
      <c r="N161" s="56"/>
      <c r="O161" s="56">
        <v>8</v>
      </c>
      <c r="P161" s="56">
        <v>2</v>
      </c>
      <c r="Q161" s="56"/>
      <c r="R161" s="56">
        <v>11</v>
      </c>
      <c r="S161" s="56"/>
      <c r="T161" s="56">
        <v>5</v>
      </c>
      <c r="U161" s="56">
        <v>5</v>
      </c>
      <c r="V161" s="56"/>
      <c r="W161" s="56">
        <v>182</v>
      </c>
      <c r="X161"/>
      <c r="Y161"/>
      <c r="Z161"/>
      <c r="AA161"/>
      <c r="AB161"/>
      <c r="AC161"/>
      <c r="AD161"/>
      <c r="AE161"/>
      <c r="AF161"/>
      <c r="AG161"/>
      <c r="AH161"/>
    </row>
    <row r="162" spans="1:34" x14ac:dyDescent="0.25">
      <c r="A162" s="57" t="s">
        <v>114</v>
      </c>
      <c r="B162" s="56">
        <v>4</v>
      </c>
      <c r="C162" s="56">
        <v>12</v>
      </c>
      <c r="D162" s="56">
        <v>6</v>
      </c>
      <c r="E162" s="56">
        <v>5</v>
      </c>
      <c r="F162" s="56">
        <v>12</v>
      </c>
      <c r="G162" s="56"/>
      <c r="H162" s="56">
        <v>4</v>
      </c>
      <c r="I162" s="56">
        <v>10</v>
      </c>
      <c r="J162" s="56"/>
      <c r="K162" s="56">
        <v>8</v>
      </c>
      <c r="L162" s="56">
        <v>9</v>
      </c>
      <c r="M162" s="56">
        <v>6</v>
      </c>
      <c r="N162" s="56">
        <v>6</v>
      </c>
      <c r="O162" s="56">
        <v>5</v>
      </c>
      <c r="P162" s="56">
        <v>10</v>
      </c>
      <c r="Q162" s="56">
        <v>12</v>
      </c>
      <c r="R162" s="56">
        <v>3</v>
      </c>
      <c r="S162" s="56">
        <v>6</v>
      </c>
      <c r="T162" s="56">
        <v>8</v>
      </c>
      <c r="U162" s="56">
        <v>5</v>
      </c>
      <c r="V162" s="56">
        <v>6</v>
      </c>
      <c r="W162" s="56">
        <v>137</v>
      </c>
      <c r="X162"/>
      <c r="Y162"/>
      <c r="Z162"/>
      <c r="AA162"/>
      <c r="AB162"/>
      <c r="AC162"/>
      <c r="AD162"/>
      <c r="AE162"/>
      <c r="AF162"/>
      <c r="AG162"/>
      <c r="AH162"/>
    </row>
    <row r="163" spans="1:34" x14ac:dyDescent="0.25">
      <c r="A163" s="57" t="s">
        <v>116</v>
      </c>
      <c r="B163" s="56">
        <v>2</v>
      </c>
      <c r="C163" s="56">
        <v>16</v>
      </c>
      <c r="D163" s="56"/>
      <c r="E163" s="56">
        <v>1</v>
      </c>
      <c r="F163" s="56">
        <v>16</v>
      </c>
      <c r="G163" s="56">
        <v>6</v>
      </c>
      <c r="H163" s="56"/>
      <c r="I163" s="56">
        <v>16</v>
      </c>
      <c r="J163" s="56">
        <v>15</v>
      </c>
      <c r="K163" s="56"/>
      <c r="L163" s="56">
        <v>12</v>
      </c>
      <c r="M163" s="56"/>
      <c r="N163" s="56">
        <v>8</v>
      </c>
      <c r="O163" s="56">
        <v>16</v>
      </c>
      <c r="P163" s="56">
        <v>8</v>
      </c>
      <c r="Q163" s="56">
        <v>22</v>
      </c>
      <c r="R163" s="56">
        <v>24</v>
      </c>
      <c r="S163" s="56"/>
      <c r="T163" s="56"/>
      <c r="U163" s="56">
        <v>8</v>
      </c>
      <c r="V163" s="56"/>
      <c r="W163" s="56">
        <v>170</v>
      </c>
      <c r="X163"/>
      <c r="Y163"/>
      <c r="Z163"/>
      <c r="AA163"/>
      <c r="AB163"/>
      <c r="AC163"/>
      <c r="AD163"/>
      <c r="AE163"/>
      <c r="AF163"/>
      <c r="AG163"/>
      <c r="AH163"/>
    </row>
    <row r="164" spans="1:34" x14ac:dyDescent="0.25">
      <c r="A164" s="57" t="s">
        <v>112</v>
      </c>
      <c r="B164" s="56"/>
      <c r="C164" s="56"/>
      <c r="D164" s="56"/>
      <c r="E164" s="56"/>
      <c r="F164" s="56"/>
      <c r="G164" s="56"/>
      <c r="H164" s="56"/>
      <c r="I164" s="56"/>
      <c r="J164" s="56">
        <v>34</v>
      </c>
      <c r="K164" s="56"/>
      <c r="L164" s="56"/>
      <c r="M164" s="56">
        <v>9</v>
      </c>
      <c r="N164" s="56">
        <v>24</v>
      </c>
      <c r="O164" s="56">
        <v>38</v>
      </c>
      <c r="P164" s="56">
        <v>26</v>
      </c>
      <c r="Q164" s="56"/>
      <c r="R164" s="56">
        <v>27</v>
      </c>
      <c r="S164" s="56"/>
      <c r="T164" s="56">
        <v>29</v>
      </c>
      <c r="U164" s="56"/>
      <c r="V164" s="56"/>
      <c r="W164" s="56">
        <v>187</v>
      </c>
      <c r="X164"/>
      <c r="Y164"/>
      <c r="Z164"/>
      <c r="AA164"/>
      <c r="AB164"/>
      <c r="AC164"/>
      <c r="AD164"/>
      <c r="AE164"/>
      <c r="AF164"/>
      <c r="AG164"/>
      <c r="AH164"/>
    </row>
    <row r="165" spans="1:34" x14ac:dyDescent="0.25">
      <c r="A165" s="55" t="s">
        <v>159</v>
      </c>
      <c r="B165" s="56">
        <v>8</v>
      </c>
      <c r="C165" s="56">
        <v>35</v>
      </c>
      <c r="D165" s="56">
        <v>16</v>
      </c>
      <c r="E165" s="56">
        <v>28</v>
      </c>
      <c r="F165" s="56">
        <v>34</v>
      </c>
      <c r="G165" s="56">
        <v>12</v>
      </c>
      <c r="H165" s="56">
        <v>25</v>
      </c>
      <c r="I165" s="56">
        <v>55</v>
      </c>
      <c r="J165" s="56">
        <v>19</v>
      </c>
      <c r="K165" s="56">
        <v>39</v>
      </c>
      <c r="L165" s="56">
        <v>35</v>
      </c>
      <c r="M165" s="56">
        <v>11</v>
      </c>
      <c r="N165" s="56">
        <v>35</v>
      </c>
      <c r="O165" s="56">
        <v>12</v>
      </c>
      <c r="P165" s="56">
        <v>13</v>
      </c>
      <c r="Q165" s="56">
        <v>29</v>
      </c>
      <c r="R165" s="56">
        <v>25</v>
      </c>
      <c r="S165" s="56">
        <v>14</v>
      </c>
      <c r="T165" s="56">
        <v>26</v>
      </c>
      <c r="U165" s="56">
        <v>47</v>
      </c>
      <c r="V165" s="56">
        <v>19</v>
      </c>
      <c r="W165" s="56">
        <v>537</v>
      </c>
      <c r="X165"/>
      <c r="Y165"/>
      <c r="Z165"/>
      <c r="AA165"/>
      <c r="AB165"/>
      <c r="AC165"/>
      <c r="AD165"/>
      <c r="AE165"/>
      <c r="AF165"/>
      <c r="AG165"/>
      <c r="AH165"/>
    </row>
    <row r="166" spans="1:34" x14ac:dyDescent="0.25">
      <c r="A166" s="57" t="s">
        <v>115</v>
      </c>
      <c r="B166" s="56"/>
      <c r="C166" s="56"/>
      <c r="D166" s="56"/>
      <c r="E166" s="56"/>
      <c r="F166" s="56"/>
      <c r="G166" s="56"/>
      <c r="H166" s="56"/>
      <c r="I166" s="56">
        <v>5</v>
      </c>
      <c r="J166" s="56"/>
      <c r="K166" s="56"/>
      <c r="L166" s="56">
        <v>3</v>
      </c>
      <c r="M166" s="56"/>
      <c r="N166" s="56"/>
      <c r="O166" s="56"/>
      <c r="P166" s="56"/>
      <c r="Q166" s="56"/>
      <c r="R166" s="56">
        <v>1</v>
      </c>
      <c r="S166" s="56"/>
      <c r="T166" s="56"/>
      <c r="U166" s="56"/>
      <c r="V166" s="56"/>
      <c r="W166" s="56">
        <v>9</v>
      </c>
      <c r="X166"/>
      <c r="Y166"/>
      <c r="Z166"/>
      <c r="AA166"/>
      <c r="AB166"/>
      <c r="AC166"/>
      <c r="AD166"/>
      <c r="AE166"/>
      <c r="AF166"/>
      <c r="AG166"/>
      <c r="AH166"/>
    </row>
    <row r="167" spans="1:34" x14ac:dyDescent="0.25">
      <c r="A167" s="57" t="s">
        <v>113</v>
      </c>
      <c r="B167" s="56">
        <v>8</v>
      </c>
      <c r="C167" s="56">
        <v>19</v>
      </c>
      <c r="D167" s="56">
        <v>15</v>
      </c>
      <c r="E167" s="56">
        <v>28</v>
      </c>
      <c r="F167" s="56">
        <v>12</v>
      </c>
      <c r="G167" s="56">
        <v>7</v>
      </c>
      <c r="H167" s="56">
        <v>23</v>
      </c>
      <c r="I167" s="56">
        <v>15</v>
      </c>
      <c r="J167" s="56">
        <v>6</v>
      </c>
      <c r="K167" s="56">
        <v>10</v>
      </c>
      <c r="L167" s="56">
        <v>13</v>
      </c>
      <c r="M167" s="56">
        <v>11</v>
      </c>
      <c r="N167" s="56">
        <v>17</v>
      </c>
      <c r="O167" s="56">
        <v>8</v>
      </c>
      <c r="P167" s="56">
        <v>10</v>
      </c>
      <c r="Q167" s="56">
        <v>11</v>
      </c>
      <c r="R167" s="56">
        <v>7</v>
      </c>
      <c r="S167" s="56">
        <v>10</v>
      </c>
      <c r="T167" s="56">
        <v>18</v>
      </c>
      <c r="U167" s="56">
        <v>27</v>
      </c>
      <c r="V167" s="56">
        <v>19</v>
      </c>
      <c r="W167" s="56">
        <v>294</v>
      </c>
      <c r="X167"/>
      <c r="Y167"/>
      <c r="Z167"/>
      <c r="AA167"/>
      <c r="AB167"/>
      <c r="AC167"/>
      <c r="AD167"/>
      <c r="AE167"/>
      <c r="AF167"/>
      <c r="AG167"/>
      <c r="AH167"/>
    </row>
    <row r="168" spans="1:34" x14ac:dyDescent="0.25">
      <c r="A168" s="57" t="s">
        <v>114</v>
      </c>
      <c r="B168" s="56"/>
      <c r="C168" s="56"/>
      <c r="D168" s="56">
        <v>1</v>
      </c>
      <c r="E168" s="56"/>
      <c r="F168" s="56"/>
      <c r="G168" s="56"/>
      <c r="H168" s="56">
        <v>2</v>
      </c>
      <c r="I168" s="56">
        <v>1</v>
      </c>
      <c r="J168" s="56"/>
      <c r="K168" s="56">
        <v>2</v>
      </c>
      <c r="L168" s="56"/>
      <c r="M168" s="56"/>
      <c r="N168" s="56"/>
      <c r="O168" s="56"/>
      <c r="P168" s="56"/>
      <c r="Q168" s="56"/>
      <c r="R168" s="56"/>
      <c r="S168" s="56"/>
      <c r="T168" s="56">
        <v>1</v>
      </c>
      <c r="U168" s="56"/>
      <c r="V168" s="56"/>
      <c r="W168" s="56">
        <v>7</v>
      </c>
      <c r="X168"/>
      <c r="Y168"/>
      <c r="Z168"/>
      <c r="AA168"/>
      <c r="AB168"/>
      <c r="AC168"/>
      <c r="AD168"/>
      <c r="AE168"/>
      <c r="AF168"/>
      <c r="AG168"/>
      <c r="AH168"/>
    </row>
    <row r="169" spans="1:34" x14ac:dyDescent="0.25">
      <c r="A169" s="57" t="s">
        <v>112</v>
      </c>
      <c r="B169" s="56"/>
      <c r="C169" s="56">
        <v>16</v>
      </c>
      <c r="D169" s="56"/>
      <c r="E169" s="56"/>
      <c r="F169" s="56">
        <v>22</v>
      </c>
      <c r="G169" s="56">
        <v>5</v>
      </c>
      <c r="H169" s="56"/>
      <c r="I169" s="56">
        <v>34</v>
      </c>
      <c r="J169" s="56">
        <v>13</v>
      </c>
      <c r="K169" s="56">
        <v>27</v>
      </c>
      <c r="L169" s="56">
        <v>19</v>
      </c>
      <c r="M169" s="56"/>
      <c r="N169" s="56">
        <v>18</v>
      </c>
      <c r="O169" s="56">
        <v>4</v>
      </c>
      <c r="P169" s="56">
        <v>3</v>
      </c>
      <c r="Q169" s="56">
        <v>18</v>
      </c>
      <c r="R169" s="56">
        <v>17</v>
      </c>
      <c r="S169" s="56">
        <v>4</v>
      </c>
      <c r="T169" s="56">
        <v>7</v>
      </c>
      <c r="U169" s="56">
        <v>20</v>
      </c>
      <c r="V169" s="56"/>
      <c r="W169" s="56">
        <v>227</v>
      </c>
      <c r="X169"/>
      <c r="Y169"/>
      <c r="Z169"/>
      <c r="AA169"/>
      <c r="AB169"/>
      <c r="AC169"/>
      <c r="AD169"/>
      <c r="AE169"/>
      <c r="AF169"/>
      <c r="AG169"/>
      <c r="AH169"/>
    </row>
    <row r="170" spans="1:34" x14ac:dyDescent="0.25">
      <c r="A170" s="55" t="s">
        <v>165</v>
      </c>
      <c r="B170" s="56">
        <v>22</v>
      </c>
      <c r="C170" s="56">
        <v>92</v>
      </c>
      <c r="D170" s="56">
        <v>89</v>
      </c>
      <c r="E170" s="56">
        <v>53</v>
      </c>
      <c r="F170" s="56">
        <v>106</v>
      </c>
      <c r="G170" s="56">
        <v>58</v>
      </c>
      <c r="H170" s="56">
        <v>37</v>
      </c>
      <c r="I170" s="56">
        <v>113</v>
      </c>
      <c r="J170" s="56">
        <v>104</v>
      </c>
      <c r="K170" s="56">
        <v>83</v>
      </c>
      <c r="L170" s="56">
        <v>98</v>
      </c>
      <c r="M170" s="56">
        <v>46</v>
      </c>
      <c r="N170" s="56">
        <v>84</v>
      </c>
      <c r="O170" s="56">
        <v>107</v>
      </c>
      <c r="P170" s="56">
        <v>81</v>
      </c>
      <c r="Q170" s="56">
        <v>77</v>
      </c>
      <c r="R170" s="56">
        <v>121</v>
      </c>
      <c r="S170" s="56">
        <v>43</v>
      </c>
      <c r="T170" s="56">
        <v>88</v>
      </c>
      <c r="U170" s="56">
        <v>86</v>
      </c>
      <c r="V170" s="56">
        <v>42</v>
      </c>
      <c r="W170" s="56">
        <v>1630</v>
      </c>
      <c r="X170"/>
      <c r="Y170"/>
      <c r="Z170"/>
      <c r="AA170"/>
      <c r="AB170"/>
      <c r="AC170"/>
      <c r="AD170"/>
      <c r="AE170"/>
      <c r="AF170"/>
      <c r="AG170"/>
      <c r="AH170"/>
    </row>
    <row r="171" spans="1:34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</row>
    <row r="172" spans="1:34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</row>
    <row r="173" spans="1:34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</row>
    <row r="174" spans="1:34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</row>
    <row r="175" spans="1:34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</row>
    <row r="176" spans="1:34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</row>
    <row r="177" spans="1:34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</row>
    <row r="178" spans="1:34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</row>
    <row r="179" spans="1:34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</row>
    <row r="180" spans="1:34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</row>
    <row r="181" spans="1:34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</row>
    <row r="182" spans="1:34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</row>
    <row r="183" spans="1:34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</row>
    <row r="184" spans="1:34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</row>
    <row r="185" spans="1:34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</row>
    <row r="186" spans="1:34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</row>
    <row r="187" spans="1:34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</row>
    <row r="188" spans="1:34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</row>
    <row r="189" spans="1:34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</row>
    <row r="190" spans="1:34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</row>
    <row r="191" spans="1:34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</row>
    <row r="192" spans="1:34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108"/>
  <sheetViews>
    <sheetView workbookViewId="0"/>
  </sheetViews>
  <sheetFormatPr defaultRowHeight="15" x14ac:dyDescent="0.25"/>
  <cols>
    <col min="1" max="1" width="19.42578125" style="33" customWidth="1"/>
    <col min="2" max="2" width="16.85546875" style="33" customWidth="1"/>
    <col min="3" max="5" width="3.7109375" style="33" customWidth="1"/>
    <col min="6" max="9" width="4.7109375" style="33" customWidth="1"/>
    <col min="10" max="10" width="4.42578125" style="33" customWidth="1"/>
    <col min="11" max="11" width="5.28515625" style="33" customWidth="1"/>
    <col min="12" max="13" width="4.7109375" style="33" customWidth="1"/>
    <col min="14" max="14" width="3.7109375" style="33" customWidth="1"/>
    <col min="15" max="19" width="4.7109375" style="33" customWidth="1"/>
    <col min="20" max="20" width="4.28515625" style="33" customWidth="1"/>
    <col min="21" max="22" width="5.28515625" style="33" customWidth="1"/>
    <col min="23" max="23" width="11.7109375" style="33" customWidth="1"/>
    <col min="24" max="24" width="3.7109375" style="33" customWidth="1"/>
    <col min="25" max="29" width="4.7109375" style="33" customWidth="1"/>
    <col min="30" max="30" width="4.28515625" style="33" customWidth="1"/>
    <col min="31" max="32" width="5.28515625" style="33" customWidth="1"/>
    <col min="33" max="33" width="11.7109375" style="33" customWidth="1"/>
    <col min="34" max="34" width="11.7109375" style="33" bestFit="1" customWidth="1"/>
    <col min="35" max="16384" width="9.140625" style="33"/>
  </cols>
  <sheetData>
    <row r="1" spans="1:34" x14ac:dyDescent="0.25">
      <c r="A1" s="54" t="s">
        <v>171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179</v>
      </c>
      <c r="D2" t="s">
        <v>180</v>
      </c>
      <c r="E2" t="s">
        <v>181</v>
      </c>
      <c r="F2" t="s">
        <v>184</v>
      </c>
      <c r="G2" t="s">
        <v>185</v>
      </c>
      <c r="H2" t="s">
        <v>186</v>
      </c>
      <c r="I2" t="s">
        <v>189</v>
      </c>
      <c r="J2" t="s">
        <v>190</v>
      </c>
      <c r="K2" t="s">
        <v>191</v>
      </c>
      <c r="L2" t="s">
        <v>194</v>
      </c>
      <c r="M2" t="s">
        <v>195</v>
      </c>
      <c r="N2" t="s">
        <v>206</v>
      </c>
      <c r="O2" t="s">
        <v>207</v>
      </c>
      <c r="P2" t="s">
        <v>208</v>
      </c>
      <c r="Q2" t="s">
        <v>209</v>
      </c>
      <c r="R2" t="s">
        <v>210</v>
      </c>
      <c r="S2" t="s">
        <v>211</v>
      </c>
      <c r="T2" t="s">
        <v>224</v>
      </c>
      <c r="U2" t="s">
        <v>225</v>
      </c>
      <c r="V2" t="s">
        <v>226</v>
      </c>
      <c r="W2" t="s">
        <v>165</v>
      </c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10</v>
      </c>
      <c r="B3" s="56">
        <v>4</v>
      </c>
      <c r="C3" s="56">
        <v>12</v>
      </c>
      <c r="D3" s="56">
        <v>51</v>
      </c>
      <c r="E3" s="56">
        <v>12</v>
      </c>
      <c r="F3" s="56">
        <v>18</v>
      </c>
      <c r="G3" s="56">
        <v>11</v>
      </c>
      <c r="H3" s="56">
        <v>4</v>
      </c>
      <c r="I3" s="56">
        <v>16</v>
      </c>
      <c r="J3" s="56">
        <v>13</v>
      </c>
      <c r="K3" s="56">
        <v>21</v>
      </c>
      <c r="L3" s="56">
        <v>14</v>
      </c>
      <c r="M3" s="56">
        <v>12</v>
      </c>
      <c r="N3" s="56">
        <v>15</v>
      </c>
      <c r="O3" s="56">
        <v>7</v>
      </c>
      <c r="P3" s="56">
        <v>14</v>
      </c>
      <c r="Q3" s="56">
        <v>37</v>
      </c>
      <c r="R3" s="56">
        <v>11</v>
      </c>
      <c r="S3" s="56">
        <v>11</v>
      </c>
      <c r="T3" s="56">
        <v>11</v>
      </c>
      <c r="U3" s="56">
        <v>17</v>
      </c>
      <c r="V3" s="56">
        <v>11</v>
      </c>
      <c r="W3" s="56">
        <v>322</v>
      </c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2</v>
      </c>
      <c r="B4" s="56"/>
      <c r="C4" s="56">
        <v>1</v>
      </c>
      <c r="D4" s="56">
        <v>36</v>
      </c>
      <c r="E4" s="56">
        <v>2</v>
      </c>
      <c r="F4" s="56">
        <v>3</v>
      </c>
      <c r="G4" s="56">
        <v>2</v>
      </c>
      <c r="H4" s="56"/>
      <c r="I4" s="56">
        <v>2</v>
      </c>
      <c r="J4" s="56">
        <v>1</v>
      </c>
      <c r="K4" s="56">
        <v>8</v>
      </c>
      <c r="L4" s="56">
        <v>1</v>
      </c>
      <c r="M4" s="56"/>
      <c r="N4" s="56">
        <v>2</v>
      </c>
      <c r="O4" s="56"/>
      <c r="P4" s="56"/>
      <c r="Q4" s="56">
        <v>22</v>
      </c>
      <c r="R4" s="56">
        <v>3</v>
      </c>
      <c r="S4" s="56"/>
      <c r="T4" s="56">
        <v>3</v>
      </c>
      <c r="U4" s="56">
        <v>2</v>
      </c>
      <c r="V4" s="56">
        <v>3</v>
      </c>
      <c r="W4" s="56">
        <v>91</v>
      </c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110" t="s">
        <v>0</v>
      </c>
      <c r="B5" s="56"/>
      <c r="C5" s="56">
        <v>1</v>
      </c>
      <c r="D5" s="56">
        <v>36</v>
      </c>
      <c r="E5" s="56">
        <v>2</v>
      </c>
      <c r="F5" s="56">
        <v>3</v>
      </c>
      <c r="G5" s="56">
        <v>2</v>
      </c>
      <c r="H5" s="56"/>
      <c r="I5" s="56">
        <v>2</v>
      </c>
      <c r="J5" s="56">
        <v>1</v>
      </c>
      <c r="K5" s="56">
        <v>8</v>
      </c>
      <c r="L5" s="56">
        <v>1</v>
      </c>
      <c r="M5" s="56"/>
      <c r="N5" s="56">
        <v>2</v>
      </c>
      <c r="O5" s="56"/>
      <c r="P5" s="56"/>
      <c r="Q5" s="56">
        <v>22</v>
      </c>
      <c r="R5" s="56">
        <v>3</v>
      </c>
      <c r="S5" s="56"/>
      <c r="T5" s="56">
        <v>3</v>
      </c>
      <c r="U5" s="56">
        <v>2</v>
      </c>
      <c r="V5" s="56">
        <v>3</v>
      </c>
      <c r="W5" s="56">
        <v>91</v>
      </c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7" t="s">
        <v>311</v>
      </c>
      <c r="B6" s="56">
        <v>4</v>
      </c>
      <c r="C6" s="56">
        <v>11</v>
      </c>
      <c r="D6" s="56">
        <v>15</v>
      </c>
      <c r="E6" s="56">
        <v>10</v>
      </c>
      <c r="F6" s="56">
        <v>15</v>
      </c>
      <c r="G6" s="56">
        <v>9</v>
      </c>
      <c r="H6" s="56">
        <v>4</v>
      </c>
      <c r="I6" s="56">
        <v>14</v>
      </c>
      <c r="J6" s="56">
        <v>12</v>
      </c>
      <c r="K6" s="56">
        <v>13</v>
      </c>
      <c r="L6" s="56">
        <v>13</v>
      </c>
      <c r="M6" s="56">
        <v>12</v>
      </c>
      <c r="N6" s="56">
        <v>13</v>
      </c>
      <c r="O6" s="56">
        <v>7</v>
      </c>
      <c r="P6" s="56">
        <v>14</v>
      </c>
      <c r="Q6" s="56">
        <v>15</v>
      </c>
      <c r="R6" s="56">
        <v>8</v>
      </c>
      <c r="S6" s="56">
        <v>11</v>
      </c>
      <c r="T6" s="56">
        <v>8</v>
      </c>
      <c r="U6" s="56">
        <v>15</v>
      </c>
      <c r="V6" s="56">
        <v>8</v>
      </c>
      <c r="W6" s="56">
        <v>231</v>
      </c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110" t="s">
        <v>0</v>
      </c>
      <c r="B7" s="56">
        <v>4</v>
      </c>
      <c r="C7" s="56">
        <v>11</v>
      </c>
      <c r="D7" s="56">
        <v>15</v>
      </c>
      <c r="E7" s="56">
        <v>10</v>
      </c>
      <c r="F7" s="56">
        <v>15</v>
      </c>
      <c r="G7" s="56">
        <v>9</v>
      </c>
      <c r="H7" s="56">
        <v>4</v>
      </c>
      <c r="I7" s="56">
        <v>14</v>
      </c>
      <c r="J7" s="56">
        <v>12</v>
      </c>
      <c r="K7" s="56">
        <v>13</v>
      </c>
      <c r="L7" s="56">
        <v>13</v>
      </c>
      <c r="M7" s="56">
        <v>12</v>
      </c>
      <c r="N7" s="56">
        <v>13</v>
      </c>
      <c r="O7" s="56">
        <v>7</v>
      </c>
      <c r="P7" s="56">
        <v>14</v>
      </c>
      <c r="Q7" s="56">
        <v>15</v>
      </c>
      <c r="R7" s="56">
        <v>8</v>
      </c>
      <c r="S7" s="56">
        <v>11</v>
      </c>
      <c r="T7" s="56">
        <v>8</v>
      </c>
      <c r="U7" s="56">
        <v>15</v>
      </c>
      <c r="V7" s="56">
        <v>8</v>
      </c>
      <c r="W7" s="56">
        <v>231</v>
      </c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55" t="s">
        <v>9</v>
      </c>
      <c r="B8" s="56">
        <v>1</v>
      </c>
      <c r="C8" s="56">
        <v>5</v>
      </c>
      <c r="D8" s="56">
        <v>2</v>
      </c>
      <c r="E8" s="56">
        <v>3</v>
      </c>
      <c r="F8" s="56">
        <v>2</v>
      </c>
      <c r="G8" s="56">
        <v>2</v>
      </c>
      <c r="H8" s="56">
        <v>1</v>
      </c>
      <c r="I8" s="56">
        <v>1</v>
      </c>
      <c r="J8" s="56">
        <v>2</v>
      </c>
      <c r="K8" s="56"/>
      <c r="L8" s="56">
        <v>3</v>
      </c>
      <c r="M8" s="56">
        <v>3</v>
      </c>
      <c r="N8" s="56">
        <v>2</v>
      </c>
      <c r="O8" s="56">
        <v>6</v>
      </c>
      <c r="P8" s="56">
        <v>2</v>
      </c>
      <c r="Q8" s="56">
        <v>3</v>
      </c>
      <c r="R8" s="56">
        <v>10</v>
      </c>
      <c r="S8" s="56">
        <v>1</v>
      </c>
      <c r="T8" s="56">
        <v>8</v>
      </c>
      <c r="U8" s="56">
        <v>1</v>
      </c>
      <c r="V8" s="56"/>
      <c r="W8" s="56">
        <v>58</v>
      </c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57" t="s">
        <v>2</v>
      </c>
      <c r="B9" s="56"/>
      <c r="C9" s="56"/>
      <c r="D9" s="56">
        <v>1</v>
      </c>
      <c r="E9" s="56"/>
      <c r="F9" s="56">
        <v>1</v>
      </c>
      <c r="G9" s="56"/>
      <c r="H9" s="56"/>
      <c r="I9" s="56">
        <v>1</v>
      </c>
      <c r="J9" s="56"/>
      <c r="K9" s="56"/>
      <c r="L9" s="56"/>
      <c r="M9" s="56">
        <v>2</v>
      </c>
      <c r="N9" s="56"/>
      <c r="O9" s="56"/>
      <c r="P9" s="56"/>
      <c r="Q9" s="56"/>
      <c r="R9" s="56"/>
      <c r="S9" s="56"/>
      <c r="T9" s="56"/>
      <c r="U9" s="56"/>
      <c r="V9" s="56"/>
      <c r="W9" s="56">
        <v>5</v>
      </c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110" t="s">
        <v>0</v>
      </c>
      <c r="B10" s="56"/>
      <c r="C10" s="56"/>
      <c r="D10" s="56">
        <v>1</v>
      </c>
      <c r="E10" s="56"/>
      <c r="F10" s="56">
        <v>1</v>
      </c>
      <c r="G10" s="56"/>
      <c r="H10" s="56"/>
      <c r="I10" s="56">
        <v>1</v>
      </c>
      <c r="J10" s="56"/>
      <c r="K10" s="56"/>
      <c r="L10" s="56"/>
      <c r="M10" s="56">
        <v>2</v>
      </c>
      <c r="N10" s="56"/>
      <c r="O10" s="56"/>
      <c r="P10" s="56"/>
      <c r="Q10" s="56"/>
      <c r="R10" s="56"/>
      <c r="S10" s="56"/>
      <c r="T10" s="56"/>
      <c r="U10" s="56"/>
      <c r="V10" s="56"/>
      <c r="W10" s="56">
        <v>5</v>
      </c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57" t="s">
        <v>311</v>
      </c>
      <c r="B11" s="56">
        <v>1</v>
      </c>
      <c r="C11" s="56">
        <v>5</v>
      </c>
      <c r="D11" s="56">
        <v>1</v>
      </c>
      <c r="E11" s="56">
        <v>3</v>
      </c>
      <c r="F11" s="56">
        <v>1</v>
      </c>
      <c r="G11" s="56">
        <v>2</v>
      </c>
      <c r="H11" s="56">
        <v>1</v>
      </c>
      <c r="I11" s="56"/>
      <c r="J11" s="56">
        <v>2</v>
      </c>
      <c r="K11" s="56"/>
      <c r="L11" s="56">
        <v>3</v>
      </c>
      <c r="M11" s="56">
        <v>1</v>
      </c>
      <c r="N11" s="56">
        <v>2</v>
      </c>
      <c r="O11" s="56">
        <v>6</v>
      </c>
      <c r="P11" s="56">
        <v>2</v>
      </c>
      <c r="Q11" s="56">
        <v>3</v>
      </c>
      <c r="R11" s="56">
        <v>10</v>
      </c>
      <c r="S11" s="56">
        <v>1</v>
      </c>
      <c r="T11" s="56">
        <v>8</v>
      </c>
      <c r="U11" s="56">
        <v>1</v>
      </c>
      <c r="V11" s="56"/>
      <c r="W11" s="56">
        <v>53</v>
      </c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110" t="s">
        <v>0</v>
      </c>
      <c r="B12" s="56">
        <v>1</v>
      </c>
      <c r="C12" s="56">
        <v>5</v>
      </c>
      <c r="D12" s="56">
        <v>1</v>
      </c>
      <c r="E12" s="56">
        <v>3</v>
      </c>
      <c r="F12" s="56">
        <v>1</v>
      </c>
      <c r="G12" s="56">
        <v>2</v>
      </c>
      <c r="H12" s="56">
        <v>1</v>
      </c>
      <c r="I12" s="56"/>
      <c r="J12" s="56">
        <v>2</v>
      </c>
      <c r="K12" s="56"/>
      <c r="L12" s="56">
        <v>3</v>
      </c>
      <c r="M12" s="56">
        <v>1</v>
      </c>
      <c r="N12" s="56">
        <v>2</v>
      </c>
      <c r="O12" s="56">
        <v>6</v>
      </c>
      <c r="P12" s="56">
        <v>2</v>
      </c>
      <c r="Q12" s="56">
        <v>3</v>
      </c>
      <c r="R12" s="56">
        <v>10</v>
      </c>
      <c r="S12" s="56">
        <v>1</v>
      </c>
      <c r="T12" s="56">
        <v>8</v>
      </c>
      <c r="U12" s="56">
        <v>1</v>
      </c>
      <c r="V12" s="56"/>
      <c r="W12" s="56">
        <v>53</v>
      </c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5" t="s">
        <v>13</v>
      </c>
      <c r="B13" s="56">
        <v>3</v>
      </c>
      <c r="C13" s="56">
        <v>5</v>
      </c>
      <c r="D13" s="56">
        <v>4</v>
      </c>
      <c r="E13" s="56">
        <v>6</v>
      </c>
      <c r="F13" s="56">
        <v>2</v>
      </c>
      <c r="G13" s="56">
        <v>4</v>
      </c>
      <c r="H13" s="56">
        <v>4</v>
      </c>
      <c r="I13" s="56">
        <v>6</v>
      </c>
      <c r="J13" s="56">
        <v>10</v>
      </c>
      <c r="K13" s="56">
        <v>4</v>
      </c>
      <c r="L13" s="56">
        <v>9</v>
      </c>
      <c r="M13" s="56">
        <v>4</v>
      </c>
      <c r="N13" s="56">
        <v>3</v>
      </c>
      <c r="O13" s="56">
        <v>3</v>
      </c>
      <c r="P13" s="56"/>
      <c r="Q13" s="56">
        <v>2</v>
      </c>
      <c r="R13" s="56">
        <v>5</v>
      </c>
      <c r="S13" s="56">
        <v>2</v>
      </c>
      <c r="T13" s="56">
        <v>3</v>
      </c>
      <c r="U13" s="56">
        <v>5</v>
      </c>
      <c r="V13" s="56">
        <v>3</v>
      </c>
      <c r="W13" s="56">
        <v>87</v>
      </c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7" t="s">
        <v>2</v>
      </c>
      <c r="B14" s="56"/>
      <c r="C14" s="56">
        <v>1</v>
      </c>
      <c r="D14" s="56">
        <v>1</v>
      </c>
      <c r="E14" s="56">
        <v>2</v>
      </c>
      <c r="F14" s="56"/>
      <c r="G14" s="56">
        <v>1</v>
      </c>
      <c r="H14" s="56"/>
      <c r="I14" s="56">
        <v>1</v>
      </c>
      <c r="J14" s="56">
        <v>1</v>
      </c>
      <c r="K14" s="56"/>
      <c r="L14" s="56">
        <v>1</v>
      </c>
      <c r="M14" s="56">
        <v>1</v>
      </c>
      <c r="N14" s="56"/>
      <c r="O14" s="56">
        <v>2</v>
      </c>
      <c r="P14" s="56"/>
      <c r="Q14" s="56">
        <v>1</v>
      </c>
      <c r="R14" s="56">
        <v>3</v>
      </c>
      <c r="S14" s="56">
        <v>1</v>
      </c>
      <c r="T14" s="56">
        <v>2</v>
      </c>
      <c r="U14" s="56">
        <v>3</v>
      </c>
      <c r="V14" s="56">
        <v>2</v>
      </c>
      <c r="W14" s="56">
        <v>23</v>
      </c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110" t="s">
        <v>0</v>
      </c>
      <c r="B15" s="56"/>
      <c r="C15" s="56">
        <v>1</v>
      </c>
      <c r="D15" s="56">
        <v>1</v>
      </c>
      <c r="E15" s="56">
        <v>2</v>
      </c>
      <c r="F15" s="56"/>
      <c r="G15" s="56">
        <v>1</v>
      </c>
      <c r="H15" s="56"/>
      <c r="I15" s="56">
        <v>1</v>
      </c>
      <c r="J15" s="56">
        <v>1</v>
      </c>
      <c r="K15" s="56"/>
      <c r="L15" s="56">
        <v>1</v>
      </c>
      <c r="M15" s="56">
        <v>1</v>
      </c>
      <c r="N15" s="56"/>
      <c r="O15" s="56">
        <v>2</v>
      </c>
      <c r="P15" s="56"/>
      <c r="Q15" s="56">
        <v>1</v>
      </c>
      <c r="R15" s="56">
        <v>3</v>
      </c>
      <c r="S15" s="56">
        <v>1</v>
      </c>
      <c r="T15" s="56">
        <v>2</v>
      </c>
      <c r="U15" s="56">
        <v>3</v>
      </c>
      <c r="V15" s="56">
        <v>2</v>
      </c>
      <c r="W15" s="56">
        <v>23</v>
      </c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57" t="s">
        <v>311</v>
      </c>
      <c r="B16" s="56">
        <v>3</v>
      </c>
      <c r="C16" s="56">
        <v>4</v>
      </c>
      <c r="D16" s="56">
        <v>3</v>
      </c>
      <c r="E16" s="56">
        <v>4</v>
      </c>
      <c r="F16" s="56">
        <v>2</v>
      </c>
      <c r="G16" s="56">
        <v>3</v>
      </c>
      <c r="H16" s="56">
        <v>4</v>
      </c>
      <c r="I16" s="56">
        <v>5</v>
      </c>
      <c r="J16" s="56">
        <v>9</v>
      </c>
      <c r="K16" s="56">
        <v>4</v>
      </c>
      <c r="L16" s="56">
        <v>8</v>
      </c>
      <c r="M16" s="56">
        <v>3</v>
      </c>
      <c r="N16" s="56">
        <v>3</v>
      </c>
      <c r="O16" s="56">
        <v>1</v>
      </c>
      <c r="P16" s="56"/>
      <c r="Q16" s="56">
        <v>1</v>
      </c>
      <c r="R16" s="56">
        <v>2</v>
      </c>
      <c r="S16" s="56">
        <v>1</v>
      </c>
      <c r="T16" s="56">
        <v>1</v>
      </c>
      <c r="U16" s="56">
        <v>2</v>
      </c>
      <c r="V16" s="56">
        <v>1</v>
      </c>
      <c r="W16" s="56">
        <v>64</v>
      </c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110" t="s">
        <v>0</v>
      </c>
      <c r="B17" s="56">
        <v>3</v>
      </c>
      <c r="C17" s="56">
        <v>4</v>
      </c>
      <c r="D17" s="56">
        <v>3</v>
      </c>
      <c r="E17" s="56">
        <v>4</v>
      </c>
      <c r="F17" s="56">
        <v>2</v>
      </c>
      <c r="G17" s="56">
        <v>3</v>
      </c>
      <c r="H17" s="56">
        <v>4</v>
      </c>
      <c r="I17" s="56">
        <v>5</v>
      </c>
      <c r="J17" s="56">
        <v>9</v>
      </c>
      <c r="K17" s="56">
        <v>4</v>
      </c>
      <c r="L17" s="56">
        <v>8</v>
      </c>
      <c r="M17" s="56">
        <v>3</v>
      </c>
      <c r="N17" s="56">
        <v>3</v>
      </c>
      <c r="O17" s="56">
        <v>1</v>
      </c>
      <c r="P17" s="56"/>
      <c r="Q17" s="56">
        <v>1</v>
      </c>
      <c r="R17" s="56">
        <v>2</v>
      </c>
      <c r="S17" s="56">
        <v>1</v>
      </c>
      <c r="T17" s="56">
        <v>1</v>
      </c>
      <c r="U17" s="56">
        <v>2</v>
      </c>
      <c r="V17" s="56">
        <v>1</v>
      </c>
      <c r="W17" s="56">
        <v>64</v>
      </c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55" t="s">
        <v>23</v>
      </c>
      <c r="B18" s="56">
        <v>1</v>
      </c>
      <c r="C18" s="56">
        <v>6</v>
      </c>
      <c r="D18" s="56"/>
      <c r="E18" s="56"/>
      <c r="F18" s="56">
        <v>4</v>
      </c>
      <c r="G18" s="56">
        <v>1</v>
      </c>
      <c r="H18" s="56">
        <v>2</v>
      </c>
      <c r="I18" s="56">
        <v>5</v>
      </c>
      <c r="J18" s="56">
        <v>1</v>
      </c>
      <c r="K18" s="56">
        <v>1</v>
      </c>
      <c r="L18" s="56">
        <v>3</v>
      </c>
      <c r="M18" s="56"/>
      <c r="N18" s="56">
        <v>3</v>
      </c>
      <c r="O18" s="56"/>
      <c r="P18" s="56"/>
      <c r="Q18" s="56">
        <v>2</v>
      </c>
      <c r="R18" s="56"/>
      <c r="S18" s="56"/>
      <c r="T18" s="56">
        <v>1</v>
      </c>
      <c r="U18" s="56">
        <v>3</v>
      </c>
      <c r="V18" s="56">
        <v>1</v>
      </c>
      <c r="W18" s="56">
        <v>34</v>
      </c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57" t="s">
        <v>2</v>
      </c>
      <c r="B19" s="56"/>
      <c r="C19" s="56">
        <v>2</v>
      </c>
      <c r="D19" s="56"/>
      <c r="E19" s="56"/>
      <c r="F19" s="56"/>
      <c r="G19" s="56"/>
      <c r="H19" s="56">
        <v>1</v>
      </c>
      <c r="I19" s="56">
        <v>1</v>
      </c>
      <c r="J19" s="56"/>
      <c r="K19" s="56">
        <v>1</v>
      </c>
      <c r="L19" s="56"/>
      <c r="M19" s="56"/>
      <c r="N19" s="56">
        <v>2</v>
      </c>
      <c r="O19" s="56"/>
      <c r="P19" s="56"/>
      <c r="Q19" s="56">
        <v>1</v>
      </c>
      <c r="R19" s="56"/>
      <c r="S19" s="56"/>
      <c r="T19" s="56"/>
      <c r="U19" s="56">
        <v>1</v>
      </c>
      <c r="V19" s="56"/>
      <c r="W19" s="56">
        <v>9</v>
      </c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110" t="s">
        <v>0</v>
      </c>
      <c r="B20" s="56"/>
      <c r="C20" s="56">
        <v>2</v>
      </c>
      <c r="D20" s="56"/>
      <c r="E20" s="56"/>
      <c r="F20" s="56"/>
      <c r="G20" s="56"/>
      <c r="H20" s="56">
        <v>1</v>
      </c>
      <c r="I20" s="56">
        <v>1</v>
      </c>
      <c r="J20" s="56"/>
      <c r="K20" s="56">
        <v>1</v>
      </c>
      <c r="L20" s="56"/>
      <c r="M20" s="56"/>
      <c r="N20" s="56">
        <v>2</v>
      </c>
      <c r="O20" s="56"/>
      <c r="P20" s="56"/>
      <c r="Q20" s="56">
        <v>1</v>
      </c>
      <c r="R20" s="56"/>
      <c r="S20" s="56"/>
      <c r="T20" s="56"/>
      <c r="U20" s="56">
        <v>1</v>
      </c>
      <c r="V20" s="56"/>
      <c r="W20" s="56">
        <v>9</v>
      </c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57" t="s">
        <v>311</v>
      </c>
      <c r="B21" s="56">
        <v>1</v>
      </c>
      <c r="C21" s="56">
        <v>4</v>
      </c>
      <c r="D21" s="56"/>
      <c r="E21" s="56"/>
      <c r="F21" s="56">
        <v>4</v>
      </c>
      <c r="G21" s="56">
        <v>1</v>
      </c>
      <c r="H21" s="56">
        <v>1</v>
      </c>
      <c r="I21" s="56">
        <v>4</v>
      </c>
      <c r="J21" s="56">
        <v>1</v>
      </c>
      <c r="K21" s="56"/>
      <c r="L21" s="56">
        <v>3</v>
      </c>
      <c r="M21" s="56"/>
      <c r="N21" s="56">
        <v>1</v>
      </c>
      <c r="O21" s="56"/>
      <c r="P21" s="56"/>
      <c r="Q21" s="56">
        <v>1</v>
      </c>
      <c r="R21" s="56"/>
      <c r="S21" s="56"/>
      <c r="T21" s="56">
        <v>1</v>
      </c>
      <c r="U21" s="56">
        <v>2</v>
      </c>
      <c r="V21" s="56">
        <v>1</v>
      </c>
      <c r="W21" s="56">
        <v>25</v>
      </c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110" t="s">
        <v>0</v>
      </c>
      <c r="B22" s="56">
        <v>1</v>
      </c>
      <c r="C22" s="56">
        <v>4</v>
      </c>
      <c r="D22" s="56"/>
      <c r="E22" s="56"/>
      <c r="F22" s="56">
        <v>4</v>
      </c>
      <c r="G22" s="56">
        <v>1</v>
      </c>
      <c r="H22" s="56">
        <v>1</v>
      </c>
      <c r="I22" s="56">
        <v>4</v>
      </c>
      <c r="J22" s="56">
        <v>1</v>
      </c>
      <c r="K22" s="56"/>
      <c r="L22" s="56">
        <v>3</v>
      </c>
      <c r="M22" s="56"/>
      <c r="N22" s="56">
        <v>1</v>
      </c>
      <c r="O22" s="56"/>
      <c r="P22" s="56"/>
      <c r="Q22" s="56">
        <v>1</v>
      </c>
      <c r="R22" s="56"/>
      <c r="S22" s="56"/>
      <c r="T22" s="56">
        <v>1</v>
      </c>
      <c r="U22" s="56">
        <v>2</v>
      </c>
      <c r="V22" s="56">
        <v>1</v>
      </c>
      <c r="W22" s="56">
        <v>25</v>
      </c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 s="55" t="s">
        <v>15</v>
      </c>
      <c r="B23" s="56">
        <v>1</v>
      </c>
      <c r="C23" s="56">
        <v>1</v>
      </c>
      <c r="D23" s="56">
        <v>1</v>
      </c>
      <c r="E23" s="56"/>
      <c r="F23" s="56">
        <v>3</v>
      </c>
      <c r="G23" s="56"/>
      <c r="H23" s="56"/>
      <c r="I23" s="56">
        <v>1</v>
      </c>
      <c r="J23" s="56"/>
      <c r="K23" s="56"/>
      <c r="L23" s="56">
        <v>2</v>
      </c>
      <c r="M23" s="56"/>
      <c r="N23" s="56"/>
      <c r="O23" s="56">
        <v>4</v>
      </c>
      <c r="P23" s="56"/>
      <c r="Q23" s="56"/>
      <c r="R23" s="56"/>
      <c r="S23" s="56">
        <v>2</v>
      </c>
      <c r="T23" s="56"/>
      <c r="U23" s="56">
        <v>3</v>
      </c>
      <c r="V23" s="56">
        <v>1</v>
      </c>
      <c r="W23" s="56">
        <v>19</v>
      </c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 s="57" t="s">
        <v>2</v>
      </c>
      <c r="B24" s="56"/>
      <c r="C24" s="56"/>
      <c r="D24" s="56">
        <v>1</v>
      </c>
      <c r="E24" s="56"/>
      <c r="F24" s="56"/>
      <c r="G24" s="56"/>
      <c r="H24" s="56"/>
      <c r="I24" s="56">
        <v>1</v>
      </c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>
        <v>2</v>
      </c>
      <c r="V24" s="56"/>
      <c r="W24" s="56">
        <v>4</v>
      </c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 s="110" t="s">
        <v>0</v>
      </c>
      <c r="B25" s="56"/>
      <c r="C25" s="56"/>
      <c r="D25" s="56">
        <v>1</v>
      </c>
      <c r="E25" s="56"/>
      <c r="F25" s="56"/>
      <c r="G25" s="56"/>
      <c r="H25" s="56"/>
      <c r="I25" s="56">
        <v>1</v>
      </c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>
        <v>2</v>
      </c>
      <c r="V25" s="56"/>
      <c r="W25" s="56">
        <v>4</v>
      </c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 s="57" t="s">
        <v>311</v>
      </c>
      <c r="B26" s="56">
        <v>1</v>
      </c>
      <c r="C26" s="56">
        <v>1</v>
      </c>
      <c r="D26" s="56"/>
      <c r="E26" s="56"/>
      <c r="F26" s="56">
        <v>3</v>
      </c>
      <c r="G26" s="56"/>
      <c r="H26" s="56"/>
      <c r="I26" s="56"/>
      <c r="J26" s="56"/>
      <c r="K26" s="56"/>
      <c r="L26" s="56">
        <v>2</v>
      </c>
      <c r="M26" s="56"/>
      <c r="N26" s="56"/>
      <c r="O26" s="56">
        <v>4</v>
      </c>
      <c r="P26" s="56"/>
      <c r="Q26" s="56"/>
      <c r="R26" s="56"/>
      <c r="S26" s="56">
        <v>2</v>
      </c>
      <c r="T26" s="56"/>
      <c r="U26" s="56">
        <v>1</v>
      </c>
      <c r="V26" s="56">
        <v>1</v>
      </c>
      <c r="W26" s="56">
        <v>15</v>
      </c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 s="110" t="s">
        <v>0</v>
      </c>
      <c r="B27" s="56">
        <v>1</v>
      </c>
      <c r="C27" s="56">
        <v>1</v>
      </c>
      <c r="D27" s="56"/>
      <c r="E27" s="56"/>
      <c r="F27" s="56">
        <v>3</v>
      </c>
      <c r="G27" s="56"/>
      <c r="H27" s="56"/>
      <c r="I27" s="56"/>
      <c r="J27" s="56"/>
      <c r="K27" s="56"/>
      <c r="L27" s="56">
        <v>2</v>
      </c>
      <c r="M27" s="56"/>
      <c r="N27" s="56"/>
      <c r="O27" s="56">
        <v>4</v>
      </c>
      <c r="P27" s="56"/>
      <c r="Q27" s="56"/>
      <c r="R27" s="56"/>
      <c r="S27" s="56">
        <v>2</v>
      </c>
      <c r="T27" s="56"/>
      <c r="U27" s="56">
        <v>1</v>
      </c>
      <c r="V27" s="56">
        <v>1</v>
      </c>
      <c r="W27" s="56">
        <v>15</v>
      </c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 s="55" t="s">
        <v>56</v>
      </c>
      <c r="B28" s="56">
        <v>1</v>
      </c>
      <c r="C28" s="56">
        <v>3</v>
      </c>
      <c r="D28" s="56">
        <v>3</v>
      </c>
      <c r="E28" s="56">
        <v>2</v>
      </c>
      <c r="F28" s="56">
        <v>4</v>
      </c>
      <c r="G28" s="56">
        <v>3</v>
      </c>
      <c r="H28" s="56">
        <v>3</v>
      </c>
      <c r="I28" s="56">
        <v>11</v>
      </c>
      <c r="J28" s="56">
        <v>1</v>
      </c>
      <c r="K28" s="56"/>
      <c r="L28" s="56">
        <v>6</v>
      </c>
      <c r="M28" s="56">
        <v>2</v>
      </c>
      <c r="N28" s="56"/>
      <c r="O28" s="56">
        <v>1</v>
      </c>
      <c r="P28" s="56">
        <v>1</v>
      </c>
      <c r="Q28" s="56"/>
      <c r="R28" s="56">
        <v>4</v>
      </c>
      <c r="S28" s="56">
        <v>81</v>
      </c>
      <c r="T28" s="56"/>
      <c r="U28" s="56">
        <v>2</v>
      </c>
      <c r="V28" s="56">
        <v>2</v>
      </c>
      <c r="W28" s="56">
        <v>130</v>
      </c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 s="57" t="s">
        <v>2</v>
      </c>
      <c r="B29" s="56"/>
      <c r="C29" s="56"/>
      <c r="D29" s="56"/>
      <c r="E29" s="56">
        <v>2</v>
      </c>
      <c r="F29" s="56"/>
      <c r="G29" s="56">
        <v>1</v>
      </c>
      <c r="H29" s="56"/>
      <c r="I29" s="56">
        <v>4</v>
      </c>
      <c r="J29" s="56"/>
      <c r="K29" s="56"/>
      <c r="L29" s="56">
        <v>1</v>
      </c>
      <c r="M29" s="56"/>
      <c r="N29" s="56"/>
      <c r="O29" s="56"/>
      <c r="P29" s="56"/>
      <c r="Q29" s="56"/>
      <c r="R29" s="56"/>
      <c r="S29" s="56"/>
      <c r="T29" s="56"/>
      <c r="U29" s="56">
        <v>1</v>
      </c>
      <c r="V29" s="56"/>
      <c r="W29" s="56">
        <v>9</v>
      </c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 s="110" t="s">
        <v>0</v>
      </c>
      <c r="B30" s="56"/>
      <c r="C30" s="56"/>
      <c r="D30" s="56"/>
      <c r="E30" s="56">
        <v>2</v>
      </c>
      <c r="F30" s="56"/>
      <c r="G30" s="56">
        <v>1</v>
      </c>
      <c r="H30" s="56"/>
      <c r="I30" s="56">
        <v>4</v>
      </c>
      <c r="J30" s="56"/>
      <c r="K30" s="56"/>
      <c r="L30" s="56">
        <v>1</v>
      </c>
      <c r="M30" s="56"/>
      <c r="N30" s="56"/>
      <c r="O30" s="56"/>
      <c r="P30" s="56"/>
      <c r="Q30" s="56"/>
      <c r="R30" s="56"/>
      <c r="S30" s="56"/>
      <c r="T30" s="56"/>
      <c r="U30" s="56">
        <v>1</v>
      </c>
      <c r="V30" s="56"/>
      <c r="W30" s="56">
        <v>9</v>
      </c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 s="57" t="s">
        <v>311</v>
      </c>
      <c r="B31" s="56">
        <v>1</v>
      </c>
      <c r="C31" s="56">
        <v>3</v>
      </c>
      <c r="D31" s="56">
        <v>3</v>
      </c>
      <c r="E31" s="56"/>
      <c r="F31" s="56">
        <v>4</v>
      </c>
      <c r="G31" s="56">
        <v>2</v>
      </c>
      <c r="H31" s="56">
        <v>3</v>
      </c>
      <c r="I31" s="56">
        <v>7</v>
      </c>
      <c r="J31" s="56">
        <v>1</v>
      </c>
      <c r="K31" s="56"/>
      <c r="L31" s="56">
        <v>5</v>
      </c>
      <c r="M31" s="56">
        <v>2</v>
      </c>
      <c r="N31" s="56"/>
      <c r="O31" s="56">
        <v>1</v>
      </c>
      <c r="P31" s="56">
        <v>1</v>
      </c>
      <c r="Q31" s="56"/>
      <c r="R31" s="56">
        <v>4</v>
      </c>
      <c r="S31" s="56">
        <v>81</v>
      </c>
      <c r="T31" s="56"/>
      <c r="U31" s="56">
        <v>1</v>
      </c>
      <c r="V31" s="56">
        <v>2</v>
      </c>
      <c r="W31" s="56">
        <v>121</v>
      </c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 s="110" t="s">
        <v>0</v>
      </c>
      <c r="B32" s="56">
        <v>1</v>
      </c>
      <c r="C32" s="56">
        <v>3</v>
      </c>
      <c r="D32" s="56">
        <v>3</v>
      </c>
      <c r="E32" s="56"/>
      <c r="F32" s="56">
        <v>4</v>
      </c>
      <c r="G32" s="56">
        <v>2</v>
      </c>
      <c r="H32" s="56">
        <v>3</v>
      </c>
      <c r="I32" s="56">
        <v>7</v>
      </c>
      <c r="J32" s="56">
        <v>1</v>
      </c>
      <c r="K32" s="56"/>
      <c r="L32" s="56">
        <v>5</v>
      </c>
      <c r="M32" s="56">
        <v>2</v>
      </c>
      <c r="N32" s="56"/>
      <c r="O32" s="56">
        <v>1</v>
      </c>
      <c r="P32" s="56">
        <v>1</v>
      </c>
      <c r="Q32" s="56"/>
      <c r="R32" s="56">
        <v>4</v>
      </c>
      <c r="S32" s="56">
        <v>81</v>
      </c>
      <c r="T32" s="56"/>
      <c r="U32" s="56">
        <v>1</v>
      </c>
      <c r="V32" s="56">
        <v>2</v>
      </c>
      <c r="W32" s="56">
        <v>121</v>
      </c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 s="55" t="s">
        <v>11</v>
      </c>
      <c r="B33" s="56">
        <v>1</v>
      </c>
      <c r="C33" s="56"/>
      <c r="D33" s="56"/>
      <c r="E33" s="56">
        <v>1</v>
      </c>
      <c r="F33" s="56">
        <v>4</v>
      </c>
      <c r="G33" s="56">
        <v>3</v>
      </c>
      <c r="H33" s="56">
        <v>3</v>
      </c>
      <c r="I33" s="56">
        <v>6</v>
      </c>
      <c r="J33" s="56">
        <v>2</v>
      </c>
      <c r="K33" s="56">
        <v>7</v>
      </c>
      <c r="L33" s="56">
        <v>4</v>
      </c>
      <c r="M33" s="56">
        <v>3</v>
      </c>
      <c r="N33" s="56">
        <v>2</v>
      </c>
      <c r="O33" s="56">
        <v>2</v>
      </c>
      <c r="P33" s="56">
        <v>1</v>
      </c>
      <c r="Q33" s="56">
        <v>2</v>
      </c>
      <c r="R33" s="56">
        <v>3</v>
      </c>
      <c r="S33" s="56">
        <v>3</v>
      </c>
      <c r="T33" s="56">
        <v>1</v>
      </c>
      <c r="U33" s="56">
        <v>5</v>
      </c>
      <c r="V33" s="56">
        <v>2</v>
      </c>
      <c r="W33" s="56">
        <v>55</v>
      </c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 s="57" t="s">
        <v>2</v>
      </c>
      <c r="B34" s="56"/>
      <c r="C34" s="56"/>
      <c r="D34" s="56"/>
      <c r="E34" s="56">
        <v>1</v>
      </c>
      <c r="F34" s="56">
        <v>1</v>
      </c>
      <c r="G34" s="56"/>
      <c r="H34" s="56">
        <v>2</v>
      </c>
      <c r="I34" s="56">
        <v>3</v>
      </c>
      <c r="J34" s="56"/>
      <c r="K34" s="56"/>
      <c r="L34" s="56"/>
      <c r="M34" s="56"/>
      <c r="N34" s="56">
        <v>1</v>
      </c>
      <c r="O34" s="56">
        <v>1</v>
      </c>
      <c r="P34" s="56"/>
      <c r="Q34" s="56"/>
      <c r="R34" s="56">
        <v>1</v>
      </c>
      <c r="S34" s="56">
        <v>1</v>
      </c>
      <c r="T34" s="56"/>
      <c r="U34" s="56">
        <v>1</v>
      </c>
      <c r="V34" s="56"/>
      <c r="W34" s="56">
        <v>12</v>
      </c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 s="110" t="s">
        <v>0</v>
      </c>
      <c r="B35" s="56"/>
      <c r="C35" s="56"/>
      <c r="D35" s="56"/>
      <c r="E35" s="56">
        <v>1</v>
      </c>
      <c r="F35" s="56">
        <v>1</v>
      </c>
      <c r="G35" s="56"/>
      <c r="H35" s="56">
        <v>2</v>
      </c>
      <c r="I35" s="56">
        <v>3</v>
      </c>
      <c r="J35" s="56"/>
      <c r="K35" s="56"/>
      <c r="L35" s="56"/>
      <c r="M35" s="56"/>
      <c r="N35" s="56">
        <v>1</v>
      </c>
      <c r="O35" s="56">
        <v>1</v>
      </c>
      <c r="P35" s="56"/>
      <c r="Q35" s="56"/>
      <c r="R35" s="56">
        <v>1</v>
      </c>
      <c r="S35" s="56">
        <v>1</v>
      </c>
      <c r="T35" s="56"/>
      <c r="U35" s="56">
        <v>1</v>
      </c>
      <c r="V35" s="56"/>
      <c r="W35" s="56">
        <v>12</v>
      </c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 s="57" t="s">
        <v>311</v>
      </c>
      <c r="B36" s="56">
        <v>1</v>
      </c>
      <c r="C36" s="56"/>
      <c r="D36" s="56"/>
      <c r="E36" s="56"/>
      <c r="F36" s="56">
        <v>3</v>
      </c>
      <c r="G36" s="56">
        <v>3</v>
      </c>
      <c r="H36" s="56">
        <v>1</v>
      </c>
      <c r="I36" s="56">
        <v>3</v>
      </c>
      <c r="J36" s="56">
        <v>2</v>
      </c>
      <c r="K36" s="56">
        <v>7</v>
      </c>
      <c r="L36" s="56">
        <v>4</v>
      </c>
      <c r="M36" s="56">
        <v>3</v>
      </c>
      <c r="N36" s="56">
        <v>1</v>
      </c>
      <c r="O36" s="56">
        <v>1</v>
      </c>
      <c r="P36" s="56">
        <v>1</v>
      </c>
      <c r="Q36" s="56">
        <v>2</v>
      </c>
      <c r="R36" s="56">
        <v>2</v>
      </c>
      <c r="S36" s="56">
        <v>2</v>
      </c>
      <c r="T36" s="56">
        <v>1</v>
      </c>
      <c r="U36" s="56">
        <v>4</v>
      </c>
      <c r="V36" s="56">
        <v>2</v>
      </c>
      <c r="W36" s="56">
        <v>43</v>
      </c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 s="110" t="s">
        <v>0</v>
      </c>
      <c r="B37" s="56">
        <v>1</v>
      </c>
      <c r="C37" s="56"/>
      <c r="D37" s="56"/>
      <c r="E37" s="56"/>
      <c r="F37" s="56">
        <v>3</v>
      </c>
      <c r="G37" s="56">
        <v>3</v>
      </c>
      <c r="H37" s="56">
        <v>1</v>
      </c>
      <c r="I37" s="56">
        <v>3</v>
      </c>
      <c r="J37" s="56">
        <v>2</v>
      </c>
      <c r="K37" s="56">
        <v>7</v>
      </c>
      <c r="L37" s="56">
        <v>4</v>
      </c>
      <c r="M37" s="56">
        <v>3</v>
      </c>
      <c r="N37" s="56">
        <v>1</v>
      </c>
      <c r="O37" s="56">
        <v>1</v>
      </c>
      <c r="P37" s="56">
        <v>1</v>
      </c>
      <c r="Q37" s="56">
        <v>2</v>
      </c>
      <c r="R37" s="56">
        <v>2</v>
      </c>
      <c r="S37" s="56">
        <v>2</v>
      </c>
      <c r="T37" s="56">
        <v>1</v>
      </c>
      <c r="U37" s="56">
        <v>4</v>
      </c>
      <c r="V37" s="56">
        <v>2</v>
      </c>
      <c r="W37" s="56">
        <v>43</v>
      </c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 s="55" t="s">
        <v>12</v>
      </c>
      <c r="B38" s="56">
        <v>1</v>
      </c>
      <c r="C38" s="56">
        <v>1</v>
      </c>
      <c r="D38" s="56">
        <v>2</v>
      </c>
      <c r="E38" s="56"/>
      <c r="F38" s="56">
        <v>3</v>
      </c>
      <c r="G38" s="56">
        <v>2</v>
      </c>
      <c r="H38" s="56">
        <v>3</v>
      </c>
      <c r="I38" s="56">
        <v>1</v>
      </c>
      <c r="J38" s="56">
        <v>27</v>
      </c>
      <c r="K38" s="56">
        <v>3</v>
      </c>
      <c r="L38" s="56">
        <v>3</v>
      </c>
      <c r="M38" s="56">
        <v>1</v>
      </c>
      <c r="N38" s="56">
        <v>5</v>
      </c>
      <c r="O38" s="56">
        <v>2</v>
      </c>
      <c r="P38" s="56">
        <v>7</v>
      </c>
      <c r="Q38" s="56">
        <v>1</v>
      </c>
      <c r="R38" s="56">
        <v>2</v>
      </c>
      <c r="S38" s="56">
        <v>1</v>
      </c>
      <c r="T38" s="56">
        <v>16</v>
      </c>
      <c r="U38" s="56">
        <v>1</v>
      </c>
      <c r="V38" s="56">
        <v>1</v>
      </c>
      <c r="W38" s="56">
        <v>83</v>
      </c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 s="57" t="s">
        <v>2</v>
      </c>
      <c r="B39" s="56"/>
      <c r="C39" s="56"/>
      <c r="D39" s="56"/>
      <c r="E39" s="56"/>
      <c r="F39" s="56">
        <v>1</v>
      </c>
      <c r="G39" s="56">
        <v>1</v>
      </c>
      <c r="H39" s="56"/>
      <c r="I39" s="56"/>
      <c r="J39" s="56">
        <v>13</v>
      </c>
      <c r="K39" s="56">
        <v>3</v>
      </c>
      <c r="L39" s="56">
        <v>1</v>
      </c>
      <c r="M39" s="56"/>
      <c r="N39" s="56"/>
      <c r="O39" s="56"/>
      <c r="P39" s="56"/>
      <c r="Q39" s="56"/>
      <c r="R39" s="56">
        <v>1</v>
      </c>
      <c r="S39" s="56"/>
      <c r="T39" s="56">
        <v>1</v>
      </c>
      <c r="U39" s="56"/>
      <c r="V39" s="56"/>
      <c r="W39" s="56">
        <v>21</v>
      </c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 s="110" t="s">
        <v>0</v>
      </c>
      <c r="B40" s="56"/>
      <c r="C40" s="56"/>
      <c r="D40" s="56"/>
      <c r="E40" s="56"/>
      <c r="F40" s="56">
        <v>1</v>
      </c>
      <c r="G40" s="56">
        <v>1</v>
      </c>
      <c r="H40" s="56"/>
      <c r="I40" s="56"/>
      <c r="J40" s="56">
        <v>13</v>
      </c>
      <c r="K40" s="56">
        <v>3</v>
      </c>
      <c r="L40" s="56">
        <v>1</v>
      </c>
      <c r="M40" s="56"/>
      <c r="N40" s="56"/>
      <c r="O40" s="56"/>
      <c r="P40" s="56"/>
      <c r="Q40" s="56"/>
      <c r="R40" s="56">
        <v>1</v>
      </c>
      <c r="S40" s="56"/>
      <c r="T40" s="56">
        <v>1</v>
      </c>
      <c r="U40" s="56"/>
      <c r="V40" s="56"/>
      <c r="W40" s="56">
        <v>21</v>
      </c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 s="57" t="s">
        <v>311</v>
      </c>
      <c r="B41" s="56">
        <v>1</v>
      </c>
      <c r="C41" s="56">
        <v>1</v>
      </c>
      <c r="D41" s="56">
        <v>2</v>
      </c>
      <c r="E41" s="56"/>
      <c r="F41" s="56">
        <v>2</v>
      </c>
      <c r="G41" s="56">
        <v>1</v>
      </c>
      <c r="H41" s="56">
        <v>3</v>
      </c>
      <c r="I41" s="56">
        <v>1</v>
      </c>
      <c r="J41" s="56">
        <v>14</v>
      </c>
      <c r="K41" s="56"/>
      <c r="L41" s="56">
        <v>2</v>
      </c>
      <c r="M41" s="56">
        <v>1</v>
      </c>
      <c r="N41" s="56">
        <v>5</v>
      </c>
      <c r="O41" s="56">
        <v>2</v>
      </c>
      <c r="P41" s="56">
        <v>7</v>
      </c>
      <c r="Q41" s="56">
        <v>1</v>
      </c>
      <c r="R41" s="56">
        <v>1</v>
      </c>
      <c r="S41" s="56">
        <v>1</v>
      </c>
      <c r="T41" s="56">
        <v>15</v>
      </c>
      <c r="U41" s="56">
        <v>1</v>
      </c>
      <c r="V41" s="56">
        <v>1</v>
      </c>
      <c r="W41" s="56">
        <v>62</v>
      </c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 s="110" t="s">
        <v>0</v>
      </c>
      <c r="B42" s="56">
        <v>1</v>
      </c>
      <c r="C42" s="56">
        <v>1</v>
      </c>
      <c r="D42" s="56">
        <v>2</v>
      </c>
      <c r="E42" s="56"/>
      <c r="F42" s="56">
        <v>2</v>
      </c>
      <c r="G42" s="56">
        <v>1</v>
      </c>
      <c r="H42" s="56">
        <v>3</v>
      </c>
      <c r="I42" s="56">
        <v>1</v>
      </c>
      <c r="J42" s="56">
        <v>14</v>
      </c>
      <c r="K42" s="56"/>
      <c r="L42" s="56">
        <v>2</v>
      </c>
      <c r="M42" s="56">
        <v>1</v>
      </c>
      <c r="N42" s="56">
        <v>5</v>
      </c>
      <c r="O42" s="56">
        <v>2</v>
      </c>
      <c r="P42" s="56">
        <v>7</v>
      </c>
      <c r="Q42" s="56">
        <v>1</v>
      </c>
      <c r="R42" s="56">
        <v>1</v>
      </c>
      <c r="S42" s="56">
        <v>1</v>
      </c>
      <c r="T42" s="56">
        <v>15</v>
      </c>
      <c r="U42" s="56">
        <v>1</v>
      </c>
      <c r="V42" s="56">
        <v>1</v>
      </c>
      <c r="W42" s="56">
        <v>62</v>
      </c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 s="55" t="s">
        <v>16</v>
      </c>
      <c r="B43" s="56"/>
      <c r="C43" s="56">
        <v>2</v>
      </c>
      <c r="D43" s="56">
        <v>1</v>
      </c>
      <c r="E43" s="56"/>
      <c r="F43" s="56">
        <v>2</v>
      </c>
      <c r="G43" s="56"/>
      <c r="H43" s="56">
        <v>2</v>
      </c>
      <c r="I43" s="56">
        <v>4</v>
      </c>
      <c r="J43" s="56"/>
      <c r="K43" s="56">
        <v>2</v>
      </c>
      <c r="L43" s="56">
        <v>2</v>
      </c>
      <c r="M43" s="56"/>
      <c r="N43" s="56">
        <v>2</v>
      </c>
      <c r="O43" s="56">
        <v>1</v>
      </c>
      <c r="P43" s="56"/>
      <c r="Q43" s="56"/>
      <c r="R43" s="56">
        <v>8</v>
      </c>
      <c r="S43" s="56"/>
      <c r="T43" s="56"/>
      <c r="U43" s="56">
        <v>1</v>
      </c>
      <c r="V43" s="56"/>
      <c r="W43" s="56">
        <v>27</v>
      </c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 s="57" t="s">
        <v>2</v>
      </c>
      <c r="B44" s="56"/>
      <c r="C44" s="56"/>
      <c r="D44" s="56"/>
      <c r="E44" s="56"/>
      <c r="F44" s="56">
        <v>1</v>
      </c>
      <c r="G44" s="56"/>
      <c r="H44" s="56">
        <v>1</v>
      </c>
      <c r="I44" s="56">
        <v>1</v>
      </c>
      <c r="J44" s="56"/>
      <c r="K44" s="56"/>
      <c r="L44" s="56"/>
      <c r="M44" s="56"/>
      <c r="N44" s="56"/>
      <c r="O44" s="56"/>
      <c r="P44" s="56"/>
      <c r="Q44" s="56"/>
      <c r="R44" s="56">
        <v>1</v>
      </c>
      <c r="S44" s="56"/>
      <c r="T44" s="56"/>
      <c r="U44" s="56">
        <v>1</v>
      </c>
      <c r="V44" s="56"/>
      <c r="W44" s="56">
        <v>5</v>
      </c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 s="110" t="s">
        <v>0</v>
      </c>
      <c r="B45" s="56"/>
      <c r="C45" s="56"/>
      <c r="D45" s="56"/>
      <c r="E45" s="56"/>
      <c r="F45" s="56">
        <v>1</v>
      </c>
      <c r="G45" s="56"/>
      <c r="H45" s="56">
        <v>1</v>
      </c>
      <c r="I45" s="56">
        <v>1</v>
      </c>
      <c r="J45" s="56"/>
      <c r="K45" s="56"/>
      <c r="L45" s="56"/>
      <c r="M45" s="56"/>
      <c r="N45" s="56"/>
      <c r="O45" s="56"/>
      <c r="P45" s="56"/>
      <c r="Q45" s="56"/>
      <c r="R45" s="56">
        <v>1</v>
      </c>
      <c r="S45" s="56"/>
      <c r="T45" s="56"/>
      <c r="U45" s="56">
        <v>1</v>
      </c>
      <c r="V45" s="56"/>
      <c r="W45" s="56">
        <v>5</v>
      </c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 s="57" t="s">
        <v>311</v>
      </c>
      <c r="B46" s="56"/>
      <c r="C46" s="56">
        <v>2</v>
      </c>
      <c r="D46" s="56">
        <v>1</v>
      </c>
      <c r="E46" s="56"/>
      <c r="F46" s="56">
        <v>1</v>
      </c>
      <c r="G46" s="56"/>
      <c r="H46" s="56">
        <v>1</v>
      </c>
      <c r="I46" s="56">
        <v>3</v>
      </c>
      <c r="J46" s="56"/>
      <c r="K46" s="56">
        <v>2</v>
      </c>
      <c r="L46" s="56">
        <v>2</v>
      </c>
      <c r="M46" s="56"/>
      <c r="N46" s="56">
        <v>2</v>
      </c>
      <c r="O46" s="56">
        <v>1</v>
      </c>
      <c r="P46" s="56"/>
      <c r="Q46" s="56"/>
      <c r="R46" s="56">
        <v>7</v>
      </c>
      <c r="S46" s="56"/>
      <c r="T46" s="56"/>
      <c r="U46" s="56"/>
      <c r="V46" s="56"/>
      <c r="W46" s="56">
        <v>22</v>
      </c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 s="110" t="s">
        <v>0</v>
      </c>
      <c r="B47" s="56"/>
      <c r="C47" s="56">
        <v>2</v>
      </c>
      <c r="D47" s="56">
        <v>1</v>
      </c>
      <c r="E47" s="56"/>
      <c r="F47" s="56">
        <v>1</v>
      </c>
      <c r="G47" s="56"/>
      <c r="H47" s="56">
        <v>1</v>
      </c>
      <c r="I47" s="56">
        <v>3</v>
      </c>
      <c r="J47" s="56"/>
      <c r="K47" s="56">
        <v>2</v>
      </c>
      <c r="L47" s="56">
        <v>2</v>
      </c>
      <c r="M47" s="56"/>
      <c r="N47" s="56">
        <v>2</v>
      </c>
      <c r="O47" s="56">
        <v>1</v>
      </c>
      <c r="P47" s="56"/>
      <c r="Q47" s="56"/>
      <c r="R47" s="56">
        <v>7</v>
      </c>
      <c r="S47" s="56"/>
      <c r="T47" s="56"/>
      <c r="U47" s="56"/>
      <c r="V47" s="56"/>
      <c r="W47" s="56">
        <v>22</v>
      </c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 s="55" t="s">
        <v>106</v>
      </c>
      <c r="B48" s="56"/>
      <c r="C48" s="56">
        <v>4</v>
      </c>
      <c r="D48" s="56">
        <v>4</v>
      </c>
      <c r="E48" s="56">
        <v>3</v>
      </c>
      <c r="F48" s="56">
        <v>7</v>
      </c>
      <c r="G48" s="56">
        <v>3</v>
      </c>
      <c r="H48" s="56">
        <v>2</v>
      </c>
      <c r="I48" s="56">
        <v>2</v>
      </c>
      <c r="J48" s="56">
        <v>5</v>
      </c>
      <c r="K48" s="56">
        <v>3</v>
      </c>
      <c r="L48" s="56">
        <v>6</v>
      </c>
      <c r="M48" s="56">
        <v>3</v>
      </c>
      <c r="N48" s="56">
        <v>26</v>
      </c>
      <c r="O48" s="56">
        <v>30</v>
      </c>
      <c r="P48" s="56">
        <v>4</v>
      </c>
      <c r="Q48" s="56">
        <v>1</v>
      </c>
      <c r="R48" s="56">
        <v>7</v>
      </c>
      <c r="S48" s="56"/>
      <c r="T48" s="56">
        <v>2</v>
      </c>
      <c r="U48" s="56">
        <v>9</v>
      </c>
      <c r="V48" s="56">
        <v>2</v>
      </c>
      <c r="W48" s="56">
        <v>123</v>
      </c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 s="57" t="s">
        <v>2</v>
      </c>
      <c r="B49" s="56"/>
      <c r="C49" s="56"/>
      <c r="D49" s="56"/>
      <c r="E49" s="56"/>
      <c r="F49" s="56">
        <v>1</v>
      </c>
      <c r="G49" s="56"/>
      <c r="H49" s="56"/>
      <c r="I49" s="56">
        <v>1</v>
      </c>
      <c r="J49" s="56"/>
      <c r="K49" s="56">
        <v>1</v>
      </c>
      <c r="L49" s="56"/>
      <c r="M49" s="56"/>
      <c r="N49" s="56"/>
      <c r="O49" s="56"/>
      <c r="P49" s="56">
        <v>2</v>
      </c>
      <c r="Q49" s="56"/>
      <c r="R49" s="56"/>
      <c r="S49" s="56"/>
      <c r="T49" s="56"/>
      <c r="U49" s="56">
        <v>2</v>
      </c>
      <c r="V49" s="56">
        <v>1</v>
      </c>
      <c r="W49" s="56">
        <v>8</v>
      </c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 s="110" t="s">
        <v>0</v>
      </c>
      <c r="B50" s="56"/>
      <c r="C50" s="56"/>
      <c r="D50" s="56"/>
      <c r="E50" s="56"/>
      <c r="F50" s="56">
        <v>1</v>
      </c>
      <c r="G50" s="56"/>
      <c r="H50" s="56"/>
      <c r="I50" s="56">
        <v>1</v>
      </c>
      <c r="J50" s="56"/>
      <c r="K50" s="56">
        <v>1</v>
      </c>
      <c r="L50" s="56"/>
      <c r="M50" s="56"/>
      <c r="N50" s="56"/>
      <c r="O50" s="56"/>
      <c r="P50" s="56">
        <v>2</v>
      </c>
      <c r="Q50" s="56"/>
      <c r="R50" s="56"/>
      <c r="S50" s="56"/>
      <c r="T50" s="56"/>
      <c r="U50" s="56">
        <v>2</v>
      </c>
      <c r="V50" s="56">
        <v>1</v>
      </c>
      <c r="W50" s="56">
        <v>8</v>
      </c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 s="57" t="s">
        <v>311</v>
      </c>
      <c r="B51" s="56"/>
      <c r="C51" s="56">
        <v>4</v>
      </c>
      <c r="D51" s="56">
        <v>4</v>
      </c>
      <c r="E51" s="56">
        <v>3</v>
      </c>
      <c r="F51" s="56">
        <v>6</v>
      </c>
      <c r="G51" s="56">
        <v>3</v>
      </c>
      <c r="H51" s="56">
        <v>2</v>
      </c>
      <c r="I51" s="56">
        <v>1</v>
      </c>
      <c r="J51" s="56">
        <v>5</v>
      </c>
      <c r="K51" s="56">
        <v>2</v>
      </c>
      <c r="L51" s="56">
        <v>6</v>
      </c>
      <c r="M51" s="56">
        <v>3</v>
      </c>
      <c r="N51" s="56">
        <v>26</v>
      </c>
      <c r="O51" s="56">
        <v>30</v>
      </c>
      <c r="P51" s="56">
        <v>2</v>
      </c>
      <c r="Q51" s="56">
        <v>1</v>
      </c>
      <c r="R51" s="56">
        <v>7</v>
      </c>
      <c r="S51" s="56"/>
      <c r="T51" s="56">
        <v>2</v>
      </c>
      <c r="U51" s="56">
        <v>7</v>
      </c>
      <c r="V51" s="56">
        <v>1</v>
      </c>
      <c r="W51" s="56">
        <v>115</v>
      </c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 s="110" t="s">
        <v>0</v>
      </c>
      <c r="B52" s="56"/>
      <c r="C52" s="56">
        <v>4</v>
      </c>
      <c r="D52" s="56">
        <v>4</v>
      </c>
      <c r="E52" s="56">
        <v>3</v>
      </c>
      <c r="F52" s="56">
        <v>6</v>
      </c>
      <c r="G52" s="56">
        <v>3</v>
      </c>
      <c r="H52" s="56">
        <v>2</v>
      </c>
      <c r="I52" s="56">
        <v>1</v>
      </c>
      <c r="J52" s="56">
        <v>5</v>
      </c>
      <c r="K52" s="56">
        <v>2</v>
      </c>
      <c r="L52" s="56">
        <v>6</v>
      </c>
      <c r="M52" s="56">
        <v>3</v>
      </c>
      <c r="N52" s="56">
        <v>26</v>
      </c>
      <c r="O52" s="56">
        <v>30</v>
      </c>
      <c r="P52" s="56">
        <v>2</v>
      </c>
      <c r="Q52" s="56">
        <v>1</v>
      </c>
      <c r="R52" s="56">
        <v>7</v>
      </c>
      <c r="S52" s="56"/>
      <c r="T52" s="56">
        <v>2</v>
      </c>
      <c r="U52" s="56">
        <v>7</v>
      </c>
      <c r="V52" s="56">
        <v>1</v>
      </c>
      <c r="W52" s="56">
        <v>115</v>
      </c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 s="55" t="s">
        <v>110</v>
      </c>
      <c r="B53" s="56"/>
      <c r="C53" s="56">
        <v>16</v>
      </c>
      <c r="D53" s="56">
        <v>2</v>
      </c>
      <c r="E53" s="56"/>
      <c r="F53" s="56">
        <v>14</v>
      </c>
      <c r="G53" s="56">
        <v>6</v>
      </c>
      <c r="H53" s="56">
        <v>1</v>
      </c>
      <c r="I53" s="56">
        <v>14</v>
      </c>
      <c r="J53" s="56">
        <v>15</v>
      </c>
      <c r="K53" s="56"/>
      <c r="L53" s="56">
        <v>12</v>
      </c>
      <c r="M53" s="56"/>
      <c r="N53" s="56"/>
      <c r="O53" s="56">
        <v>19</v>
      </c>
      <c r="P53" s="56">
        <v>4</v>
      </c>
      <c r="Q53" s="56"/>
      <c r="R53" s="56">
        <v>23</v>
      </c>
      <c r="S53" s="56"/>
      <c r="T53" s="56"/>
      <c r="U53" s="56"/>
      <c r="V53" s="56"/>
      <c r="W53" s="56">
        <v>126</v>
      </c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 s="57" t="s">
        <v>2</v>
      </c>
      <c r="B54" s="56"/>
      <c r="C54" s="56">
        <v>1</v>
      </c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>
        <v>17</v>
      </c>
      <c r="P54" s="56"/>
      <c r="Q54" s="56"/>
      <c r="R54" s="56">
        <v>12</v>
      </c>
      <c r="S54" s="56"/>
      <c r="T54" s="56"/>
      <c r="U54" s="56"/>
      <c r="V54" s="56"/>
      <c r="W54" s="56">
        <v>30</v>
      </c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 s="110" t="s">
        <v>0</v>
      </c>
      <c r="B55" s="56"/>
      <c r="C55" s="56">
        <v>1</v>
      </c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>
        <v>17</v>
      </c>
      <c r="P55" s="56"/>
      <c r="Q55" s="56"/>
      <c r="R55" s="56">
        <v>12</v>
      </c>
      <c r="S55" s="56"/>
      <c r="T55" s="56"/>
      <c r="U55" s="56"/>
      <c r="V55" s="56"/>
      <c r="W55" s="56">
        <v>30</v>
      </c>
      <c r="X55"/>
      <c r="Y55"/>
      <c r="Z55"/>
      <c r="AA55"/>
      <c r="AB55"/>
      <c r="AC55"/>
      <c r="AD55"/>
      <c r="AE55"/>
      <c r="AF55"/>
      <c r="AG55"/>
      <c r="AH55"/>
    </row>
    <row r="56" spans="1:34" x14ac:dyDescent="0.25">
      <c r="A56" s="57" t="s">
        <v>311</v>
      </c>
      <c r="B56" s="56"/>
      <c r="C56" s="56">
        <v>15</v>
      </c>
      <c r="D56" s="56">
        <v>2</v>
      </c>
      <c r="E56" s="56"/>
      <c r="F56" s="56">
        <v>14</v>
      </c>
      <c r="G56" s="56">
        <v>6</v>
      </c>
      <c r="H56" s="56">
        <v>1</v>
      </c>
      <c r="I56" s="56">
        <v>14</v>
      </c>
      <c r="J56" s="56">
        <v>15</v>
      </c>
      <c r="K56" s="56"/>
      <c r="L56" s="56">
        <v>12</v>
      </c>
      <c r="M56" s="56"/>
      <c r="N56" s="56"/>
      <c r="O56" s="56">
        <v>2</v>
      </c>
      <c r="P56" s="56">
        <v>4</v>
      </c>
      <c r="Q56" s="56"/>
      <c r="R56" s="56">
        <v>11</v>
      </c>
      <c r="S56" s="56"/>
      <c r="T56" s="56"/>
      <c r="U56" s="56"/>
      <c r="V56" s="56"/>
      <c r="W56" s="56">
        <v>96</v>
      </c>
      <c r="X56"/>
      <c r="Y56"/>
      <c r="Z56"/>
      <c r="AA56"/>
      <c r="AB56"/>
      <c r="AC56"/>
      <c r="AD56"/>
      <c r="AE56"/>
      <c r="AF56"/>
      <c r="AG56"/>
      <c r="AH56"/>
    </row>
    <row r="57" spans="1:34" x14ac:dyDescent="0.25">
      <c r="A57" s="110" t="s">
        <v>0</v>
      </c>
      <c r="B57" s="56"/>
      <c r="C57" s="56">
        <v>15</v>
      </c>
      <c r="D57" s="56">
        <v>2</v>
      </c>
      <c r="E57" s="56"/>
      <c r="F57" s="56">
        <v>14</v>
      </c>
      <c r="G57" s="56">
        <v>6</v>
      </c>
      <c r="H57" s="56">
        <v>1</v>
      </c>
      <c r="I57" s="56">
        <v>14</v>
      </c>
      <c r="J57" s="56">
        <v>15</v>
      </c>
      <c r="K57" s="56"/>
      <c r="L57" s="56">
        <v>12</v>
      </c>
      <c r="M57" s="56"/>
      <c r="N57" s="56"/>
      <c r="O57" s="56">
        <v>2</v>
      </c>
      <c r="P57" s="56">
        <v>4</v>
      </c>
      <c r="Q57" s="56"/>
      <c r="R57" s="56">
        <v>11</v>
      </c>
      <c r="S57" s="56"/>
      <c r="T57" s="56"/>
      <c r="U57" s="56"/>
      <c r="V57" s="56"/>
      <c r="W57" s="56">
        <v>96</v>
      </c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 s="55" t="s">
        <v>14</v>
      </c>
      <c r="B58" s="56"/>
      <c r="C58" s="56"/>
      <c r="D58" s="56"/>
      <c r="E58" s="56"/>
      <c r="F58" s="56"/>
      <c r="G58" s="56"/>
      <c r="H58" s="56"/>
      <c r="I58" s="56">
        <v>1</v>
      </c>
      <c r="J58" s="56"/>
      <c r="K58" s="56">
        <v>2</v>
      </c>
      <c r="L58" s="56">
        <v>1</v>
      </c>
      <c r="M58" s="56">
        <v>1</v>
      </c>
      <c r="N58" s="56"/>
      <c r="O58" s="56"/>
      <c r="P58" s="56">
        <v>2</v>
      </c>
      <c r="Q58" s="56"/>
      <c r="R58" s="56">
        <v>3</v>
      </c>
      <c r="S58" s="56">
        <v>3</v>
      </c>
      <c r="T58" s="56">
        <v>1</v>
      </c>
      <c r="U58" s="56">
        <v>2</v>
      </c>
      <c r="V58" s="56"/>
      <c r="W58" s="56">
        <v>16</v>
      </c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 s="57" t="s">
        <v>2</v>
      </c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>
        <v>1</v>
      </c>
      <c r="T59" s="56"/>
      <c r="U59" s="56">
        <v>2</v>
      </c>
      <c r="V59" s="56"/>
      <c r="W59" s="56">
        <v>3</v>
      </c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A60" s="110" t="s">
        <v>0</v>
      </c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>
        <v>1</v>
      </c>
      <c r="T60" s="56"/>
      <c r="U60" s="56">
        <v>2</v>
      </c>
      <c r="V60" s="56"/>
      <c r="W60" s="56">
        <v>3</v>
      </c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 s="57" t="s">
        <v>311</v>
      </c>
      <c r="B61" s="56"/>
      <c r="C61" s="56"/>
      <c r="D61" s="56"/>
      <c r="E61" s="56"/>
      <c r="F61" s="56"/>
      <c r="G61" s="56"/>
      <c r="H61" s="56"/>
      <c r="I61" s="56">
        <v>1</v>
      </c>
      <c r="J61" s="56"/>
      <c r="K61" s="56">
        <v>2</v>
      </c>
      <c r="L61" s="56">
        <v>1</v>
      </c>
      <c r="M61" s="56">
        <v>1</v>
      </c>
      <c r="N61" s="56"/>
      <c r="O61" s="56"/>
      <c r="P61" s="56">
        <v>2</v>
      </c>
      <c r="Q61" s="56"/>
      <c r="R61" s="56">
        <v>3</v>
      </c>
      <c r="S61" s="56">
        <v>2</v>
      </c>
      <c r="T61" s="56">
        <v>1</v>
      </c>
      <c r="U61" s="56"/>
      <c r="V61" s="56"/>
      <c r="W61" s="56">
        <v>13</v>
      </c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A62" s="110" t="s">
        <v>0</v>
      </c>
      <c r="B62" s="56"/>
      <c r="C62" s="56"/>
      <c r="D62" s="56"/>
      <c r="E62" s="56"/>
      <c r="F62" s="56"/>
      <c r="G62" s="56"/>
      <c r="H62" s="56"/>
      <c r="I62" s="56">
        <v>1</v>
      </c>
      <c r="J62" s="56"/>
      <c r="K62" s="56">
        <v>2</v>
      </c>
      <c r="L62" s="56">
        <v>1</v>
      </c>
      <c r="M62" s="56">
        <v>1</v>
      </c>
      <c r="N62" s="56"/>
      <c r="O62" s="56"/>
      <c r="P62" s="56">
        <v>2</v>
      </c>
      <c r="Q62" s="56"/>
      <c r="R62" s="56">
        <v>3</v>
      </c>
      <c r="S62" s="56">
        <v>2</v>
      </c>
      <c r="T62" s="56">
        <v>1</v>
      </c>
      <c r="U62" s="56"/>
      <c r="V62" s="56"/>
      <c r="W62" s="56">
        <v>13</v>
      </c>
      <c r="X62"/>
      <c r="Y62"/>
      <c r="Z62"/>
      <c r="AA62"/>
      <c r="AB62"/>
      <c r="AC62"/>
      <c r="AD62"/>
      <c r="AE62"/>
      <c r="AF62"/>
      <c r="AG62"/>
      <c r="AH62"/>
    </row>
    <row r="63" spans="1:34" x14ac:dyDescent="0.25">
      <c r="A63" s="55" t="s">
        <v>153</v>
      </c>
      <c r="B63" s="56"/>
      <c r="C63" s="56"/>
      <c r="D63" s="56">
        <v>2</v>
      </c>
      <c r="E63" s="56"/>
      <c r="F63" s="56"/>
      <c r="G63" s="56"/>
      <c r="H63" s="56"/>
      <c r="I63" s="56"/>
      <c r="J63" s="56">
        <v>4</v>
      </c>
      <c r="K63" s="56">
        <v>2</v>
      </c>
      <c r="L63" s="56">
        <v>1</v>
      </c>
      <c r="M63" s="56">
        <v>2</v>
      </c>
      <c r="N63" s="56"/>
      <c r="O63" s="56">
        <v>3</v>
      </c>
      <c r="P63" s="56">
        <v>1</v>
      </c>
      <c r="Q63" s="56"/>
      <c r="R63" s="56">
        <v>5</v>
      </c>
      <c r="S63" s="56"/>
      <c r="T63" s="56"/>
      <c r="U63" s="56"/>
      <c r="V63" s="56">
        <v>2</v>
      </c>
      <c r="W63" s="56">
        <v>22</v>
      </c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A64" s="57" t="s">
        <v>2</v>
      </c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>
        <v>1</v>
      </c>
      <c r="W64" s="56">
        <v>1</v>
      </c>
      <c r="X64"/>
      <c r="Y64"/>
      <c r="Z64"/>
      <c r="AA64"/>
      <c r="AB64"/>
      <c r="AC64"/>
      <c r="AD64"/>
      <c r="AE64"/>
      <c r="AF64"/>
      <c r="AG64"/>
      <c r="AH64"/>
    </row>
    <row r="65" spans="1:34" x14ac:dyDescent="0.25">
      <c r="A65" s="110" t="s">
        <v>0</v>
      </c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>
        <v>1</v>
      </c>
      <c r="W65" s="56">
        <v>1</v>
      </c>
      <c r="X65"/>
      <c r="Y65"/>
      <c r="Z65"/>
      <c r="AA65"/>
      <c r="AB65"/>
      <c r="AC65"/>
      <c r="AD65"/>
      <c r="AE65"/>
      <c r="AF65"/>
      <c r="AG65"/>
      <c r="AH65"/>
    </row>
    <row r="66" spans="1:34" x14ac:dyDescent="0.25">
      <c r="A66" s="57" t="s">
        <v>311</v>
      </c>
      <c r="B66" s="56"/>
      <c r="C66" s="56"/>
      <c r="D66" s="56">
        <v>2</v>
      </c>
      <c r="E66" s="56"/>
      <c r="F66" s="56"/>
      <c r="G66" s="56"/>
      <c r="H66" s="56"/>
      <c r="I66" s="56"/>
      <c r="J66" s="56">
        <v>4</v>
      </c>
      <c r="K66" s="56">
        <v>2</v>
      </c>
      <c r="L66" s="56">
        <v>1</v>
      </c>
      <c r="M66" s="56">
        <v>2</v>
      </c>
      <c r="N66" s="56"/>
      <c r="O66" s="56">
        <v>3</v>
      </c>
      <c r="P66" s="56">
        <v>1</v>
      </c>
      <c r="Q66" s="56"/>
      <c r="R66" s="56">
        <v>5</v>
      </c>
      <c r="S66" s="56"/>
      <c r="T66" s="56"/>
      <c r="U66" s="56"/>
      <c r="V66" s="56">
        <v>1</v>
      </c>
      <c r="W66" s="56">
        <v>21</v>
      </c>
      <c r="X66"/>
      <c r="Y66"/>
      <c r="Z66"/>
      <c r="AA66"/>
      <c r="AB66"/>
      <c r="AC66"/>
      <c r="AD66"/>
      <c r="AE66"/>
      <c r="AF66"/>
      <c r="AG66"/>
    </row>
    <row r="67" spans="1:34" x14ac:dyDescent="0.25">
      <c r="A67" s="110" t="s">
        <v>0</v>
      </c>
      <c r="B67" s="56"/>
      <c r="C67" s="56"/>
      <c r="D67" s="56">
        <v>2</v>
      </c>
      <c r="E67" s="56"/>
      <c r="F67" s="56"/>
      <c r="G67" s="56"/>
      <c r="H67" s="56"/>
      <c r="I67" s="56"/>
      <c r="J67" s="56">
        <v>4</v>
      </c>
      <c r="K67" s="56">
        <v>2</v>
      </c>
      <c r="L67" s="56">
        <v>1</v>
      </c>
      <c r="M67" s="56">
        <v>2</v>
      </c>
      <c r="N67" s="56"/>
      <c r="O67" s="56">
        <v>3</v>
      </c>
      <c r="P67" s="56">
        <v>1</v>
      </c>
      <c r="Q67" s="56"/>
      <c r="R67" s="56">
        <v>5</v>
      </c>
      <c r="S67" s="56"/>
      <c r="T67" s="56"/>
      <c r="U67" s="56"/>
      <c r="V67" s="56">
        <v>1</v>
      </c>
      <c r="W67" s="56">
        <v>21</v>
      </c>
      <c r="X67"/>
      <c r="Y67"/>
      <c r="Z67"/>
      <c r="AA67"/>
      <c r="AB67"/>
      <c r="AC67"/>
      <c r="AD67"/>
      <c r="AE67"/>
      <c r="AF67"/>
      <c r="AG67"/>
    </row>
    <row r="68" spans="1:34" x14ac:dyDescent="0.25">
      <c r="A68" s="55" t="s">
        <v>236</v>
      </c>
      <c r="B68" s="56"/>
      <c r="C68" s="56"/>
      <c r="D68" s="56"/>
      <c r="E68" s="56"/>
      <c r="F68" s="56">
        <v>1</v>
      </c>
      <c r="G68" s="56">
        <v>1</v>
      </c>
      <c r="H68" s="56"/>
      <c r="I68" s="56"/>
      <c r="J68" s="56"/>
      <c r="K68" s="56"/>
      <c r="L68" s="56">
        <v>1</v>
      </c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>
        <v>3</v>
      </c>
      <c r="X68"/>
      <c r="Y68"/>
      <c r="Z68"/>
      <c r="AA68"/>
      <c r="AB68"/>
      <c r="AC68"/>
      <c r="AD68"/>
      <c r="AE68"/>
      <c r="AF68"/>
      <c r="AG68"/>
    </row>
    <row r="69" spans="1:34" x14ac:dyDescent="0.25">
      <c r="A69" s="57" t="s">
        <v>2</v>
      </c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>
        <v>1</v>
      </c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>
        <v>1</v>
      </c>
      <c r="X69"/>
      <c r="Y69"/>
      <c r="Z69"/>
      <c r="AA69"/>
      <c r="AB69"/>
      <c r="AC69"/>
      <c r="AD69"/>
      <c r="AE69"/>
      <c r="AF69"/>
      <c r="AG69"/>
    </row>
    <row r="70" spans="1:34" x14ac:dyDescent="0.25">
      <c r="A70" s="110" t="s">
        <v>0</v>
      </c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>
        <v>1</v>
      </c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>
        <v>1</v>
      </c>
      <c r="X70"/>
      <c r="Y70"/>
      <c r="Z70"/>
      <c r="AA70"/>
      <c r="AB70"/>
      <c r="AC70"/>
      <c r="AD70"/>
      <c r="AE70"/>
      <c r="AF70"/>
      <c r="AG70"/>
    </row>
    <row r="71" spans="1:34" x14ac:dyDescent="0.25">
      <c r="A71" s="57" t="s">
        <v>311</v>
      </c>
      <c r="B71" s="56"/>
      <c r="C71" s="56"/>
      <c r="D71" s="56"/>
      <c r="E71" s="56"/>
      <c r="F71" s="56">
        <v>1</v>
      </c>
      <c r="G71" s="56">
        <v>1</v>
      </c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>
        <v>2</v>
      </c>
      <c r="X71"/>
      <c r="Y71"/>
      <c r="Z71"/>
      <c r="AA71"/>
      <c r="AB71"/>
      <c r="AC71"/>
      <c r="AD71"/>
      <c r="AE71"/>
      <c r="AF71"/>
      <c r="AG71"/>
    </row>
    <row r="72" spans="1:34" x14ac:dyDescent="0.25">
      <c r="A72" s="110" t="s">
        <v>0</v>
      </c>
      <c r="B72" s="56"/>
      <c r="C72" s="56"/>
      <c r="D72" s="56"/>
      <c r="E72" s="56"/>
      <c r="F72" s="56">
        <v>1</v>
      </c>
      <c r="G72" s="56">
        <v>1</v>
      </c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>
        <v>2</v>
      </c>
      <c r="X72"/>
      <c r="Y72"/>
      <c r="Z72"/>
      <c r="AA72"/>
      <c r="AB72"/>
      <c r="AC72"/>
      <c r="AD72"/>
      <c r="AE72"/>
      <c r="AF72"/>
      <c r="AG72"/>
    </row>
    <row r="73" spans="1:34" x14ac:dyDescent="0.25">
      <c r="A73" s="55" t="s">
        <v>234</v>
      </c>
      <c r="B73" s="56"/>
      <c r="C73" s="56">
        <v>1</v>
      </c>
      <c r="D73" s="56"/>
      <c r="E73" s="56"/>
      <c r="F73" s="56">
        <v>2</v>
      </c>
      <c r="G73" s="56"/>
      <c r="H73" s="56"/>
      <c r="I73" s="56"/>
      <c r="J73" s="56"/>
      <c r="K73" s="56"/>
      <c r="L73" s="56">
        <v>2</v>
      </c>
      <c r="M73" s="56"/>
      <c r="N73" s="56"/>
      <c r="O73" s="56"/>
      <c r="P73" s="56"/>
      <c r="Q73" s="56">
        <v>2</v>
      </c>
      <c r="R73" s="56">
        <v>4</v>
      </c>
      <c r="S73" s="56"/>
      <c r="T73" s="56"/>
      <c r="U73" s="56">
        <v>1</v>
      </c>
      <c r="V73" s="56"/>
      <c r="W73" s="56">
        <v>12</v>
      </c>
      <c r="X73"/>
      <c r="Y73"/>
      <c r="Z73"/>
      <c r="AA73"/>
      <c r="AB73"/>
      <c r="AC73"/>
      <c r="AD73"/>
      <c r="AE73"/>
      <c r="AF73"/>
      <c r="AG73"/>
    </row>
    <row r="74" spans="1:34" x14ac:dyDescent="0.25">
      <c r="A74" s="57" t="s">
        <v>2</v>
      </c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>
        <v>1</v>
      </c>
      <c r="M74" s="56"/>
      <c r="N74" s="56"/>
      <c r="O74" s="56"/>
      <c r="P74" s="56"/>
      <c r="Q74" s="56">
        <v>1</v>
      </c>
      <c r="R74" s="56"/>
      <c r="S74" s="56"/>
      <c r="T74" s="56"/>
      <c r="U74" s="56">
        <v>1</v>
      </c>
      <c r="V74" s="56"/>
      <c r="W74" s="56">
        <v>3</v>
      </c>
      <c r="X74"/>
      <c r="Y74"/>
      <c r="Z74"/>
      <c r="AA74"/>
      <c r="AB74"/>
      <c r="AC74"/>
      <c r="AD74"/>
      <c r="AE74"/>
      <c r="AF74"/>
      <c r="AG74"/>
    </row>
    <row r="75" spans="1:34" x14ac:dyDescent="0.25">
      <c r="A75" s="110" t="s">
        <v>0</v>
      </c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>
        <v>1</v>
      </c>
      <c r="M75" s="56"/>
      <c r="N75" s="56"/>
      <c r="O75" s="56"/>
      <c r="P75" s="56"/>
      <c r="Q75" s="56">
        <v>1</v>
      </c>
      <c r="R75" s="56"/>
      <c r="S75" s="56"/>
      <c r="T75" s="56"/>
      <c r="U75" s="56">
        <v>1</v>
      </c>
      <c r="V75" s="56"/>
      <c r="W75" s="56">
        <v>3</v>
      </c>
      <c r="X75"/>
      <c r="Y75"/>
      <c r="Z75"/>
      <c r="AA75"/>
      <c r="AB75"/>
      <c r="AC75"/>
      <c r="AD75"/>
      <c r="AE75"/>
      <c r="AF75"/>
      <c r="AG75"/>
    </row>
    <row r="76" spans="1:34" x14ac:dyDescent="0.25">
      <c r="A76" s="57" t="s">
        <v>311</v>
      </c>
      <c r="B76" s="56"/>
      <c r="C76" s="56">
        <v>1</v>
      </c>
      <c r="D76" s="56"/>
      <c r="E76" s="56"/>
      <c r="F76" s="56">
        <v>2</v>
      </c>
      <c r="G76" s="56"/>
      <c r="H76" s="56"/>
      <c r="I76" s="56"/>
      <c r="J76" s="56"/>
      <c r="K76" s="56"/>
      <c r="L76" s="56">
        <v>1</v>
      </c>
      <c r="M76" s="56"/>
      <c r="N76" s="56"/>
      <c r="O76" s="56"/>
      <c r="P76" s="56"/>
      <c r="Q76" s="56">
        <v>1</v>
      </c>
      <c r="R76" s="56">
        <v>4</v>
      </c>
      <c r="S76" s="56"/>
      <c r="T76" s="56"/>
      <c r="U76" s="56"/>
      <c r="V76" s="56"/>
      <c r="W76" s="56">
        <v>9</v>
      </c>
      <c r="X76"/>
      <c r="Y76"/>
      <c r="Z76"/>
      <c r="AA76"/>
      <c r="AB76"/>
      <c r="AC76"/>
      <c r="AD76"/>
      <c r="AE76"/>
      <c r="AF76"/>
      <c r="AG76"/>
    </row>
    <row r="77" spans="1:34" x14ac:dyDescent="0.25">
      <c r="A77" s="110" t="s">
        <v>0</v>
      </c>
      <c r="B77" s="56"/>
      <c r="C77" s="56">
        <v>1</v>
      </c>
      <c r="D77" s="56"/>
      <c r="E77" s="56"/>
      <c r="F77" s="56">
        <v>2</v>
      </c>
      <c r="G77" s="56"/>
      <c r="H77" s="56"/>
      <c r="I77" s="56"/>
      <c r="J77" s="56"/>
      <c r="K77" s="56"/>
      <c r="L77" s="56">
        <v>1</v>
      </c>
      <c r="M77" s="56"/>
      <c r="N77" s="56"/>
      <c r="O77" s="56"/>
      <c r="P77" s="56"/>
      <c r="Q77" s="56">
        <v>1</v>
      </c>
      <c r="R77" s="56">
        <v>4</v>
      </c>
      <c r="S77" s="56"/>
      <c r="T77" s="56"/>
      <c r="U77" s="56"/>
      <c r="V77" s="56"/>
      <c r="W77" s="56">
        <v>9</v>
      </c>
      <c r="X77"/>
      <c r="Y77"/>
      <c r="Z77"/>
      <c r="AA77"/>
      <c r="AB77"/>
      <c r="AC77"/>
      <c r="AD77"/>
      <c r="AE77"/>
      <c r="AF77"/>
      <c r="AG77"/>
    </row>
    <row r="78" spans="1:34" x14ac:dyDescent="0.25">
      <c r="A78" s="55" t="s">
        <v>277</v>
      </c>
      <c r="B78" s="56"/>
      <c r="C78" s="56"/>
      <c r="D78" s="56">
        <v>2</v>
      </c>
      <c r="E78" s="56"/>
      <c r="F78" s="56"/>
      <c r="G78" s="56"/>
      <c r="H78" s="56"/>
      <c r="I78" s="56"/>
      <c r="J78" s="56">
        <v>3</v>
      </c>
      <c r="K78" s="56">
        <v>4</v>
      </c>
      <c r="L78" s="56"/>
      <c r="M78" s="56"/>
      <c r="N78" s="56"/>
      <c r="O78" s="56">
        <v>1</v>
      </c>
      <c r="P78" s="56">
        <v>1</v>
      </c>
      <c r="Q78" s="56"/>
      <c r="R78" s="56">
        <v>1</v>
      </c>
      <c r="S78" s="56"/>
      <c r="T78" s="56">
        <v>2</v>
      </c>
      <c r="U78" s="56"/>
      <c r="V78" s="56"/>
      <c r="W78" s="56">
        <v>14</v>
      </c>
      <c r="X78"/>
      <c r="Y78"/>
      <c r="Z78"/>
      <c r="AA78"/>
      <c r="AB78"/>
      <c r="AC78"/>
      <c r="AD78"/>
      <c r="AE78"/>
      <c r="AF78"/>
      <c r="AG78"/>
    </row>
    <row r="79" spans="1:34" x14ac:dyDescent="0.25">
      <c r="A79" s="57" t="s">
        <v>2</v>
      </c>
      <c r="B79" s="56"/>
      <c r="C79" s="56"/>
      <c r="D79" s="56"/>
      <c r="E79" s="56"/>
      <c r="F79" s="56"/>
      <c r="G79" s="56"/>
      <c r="H79" s="56"/>
      <c r="I79" s="56"/>
      <c r="J79" s="56">
        <v>1</v>
      </c>
      <c r="K79" s="56">
        <v>2</v>
      </c>
      <c r="L79" s="56"/>
      <c r="M79" s="56"/>
      <c r="N79" s="56"/>
      <c r="O79" s="56">
        <v>1</v>
      </c>
      <c r="P79" s="56"/>
      <c r="Q79" s="56"/>
      <c r="R79" s="56"/>
      <c r="S79" s="56"/>
      <c r="T79" s="56">
        <v>2</v>
      </c>
      <c r="U79" s="56"/>
      <c r="V79" s="56"/>
      <c r="W79" s="56">
        <v>6</v>
      </c>
      <c r="X79"/>
      <c r="Y79"/>
      <c r="Z79"/>
      <c r="AA79"/>
      <c r="AB79"/>
      <c r="AC79"/>
      <c r="AD79"/>
      <c r="AE79"/>
      <c r="AF79"/>
      <c r="AG79"/>
    </row>
    <row r="80" spans="1:34" x14ac:dyDescent="0.25">
      <c r="A80" s="110" t="s">
        <v>0</v>
      </c>
      <c r="B80" s="56"/>
      <c r="C80" s="56"/>
      <c r="D80" s="56"/>
      <c r="E80" s="56"/>
      <c r="F80" s="56"/>
      <c r="G80" s="56"/>
      <c r="H80" s="56"/>
      <c r="I80" s="56"/>
      <c r="J80" s="56">
        <v>1</v>
      </c>
      <c r="K80" s="56">
        <v>2</v>
      </c>
      <c r="L80" s="56"/>
      <c r="M80" s="56"/>
      <c r="N80" s="56"/>
      <c r="O80" s="56">
        <v>1</v>
      </c>
      <c r="P80" s="56"/>
      <c r="Q80" s="56"/>
      <c r="R80" s="56"/>
      <c r="S80" s="56"/>
      <c r="T80" s="56">
        <v>2</v>
      </c>
      <c r="U80" s="56"/>
      <c r="V80" s="56"/>
      <c r="W80" s="56">
        <v>6</v>
      </c>
      <c r="X80"/>
      <c r="Y80"/>
      <c r="Z80"/>
      <c r="AA80"/>
      <c r="AB80"/>
      <c r="AC80"/>
      <c r="AD80"/>
      <c r="AE80"/>
      <c r="AF80"/>
      <c r="AG80"/>
    </row>
    <row r="81" spans="1:33" x14ac:dyDescent="0.25">
      <c r="A81" s="57" t="s">
        <v>311</v>
      </c>
      <c r="B81" s="56"/>
      <c r="C81" s="56"/>
      <c r="D81" s="56">
        <v>2</v>
      </c>
      <c r="E81" s="56"/>
      <c r="F81" s="56"/>
      <c r="G81" s="56"/>
      <c r="H81" s="56"/>
      <c r="I81" s="56"/>
      <c r="J81" s="56">
        <v>2</v>
      </c>
      <c r="K81" s="56">
        <v>2</v>
      </c>
      <c r="L81" s="56"/>
      <c r="M81" s="56"/>
      <c r="N81" s="56"/>
      <c r="O81" s="56"/>
      <c r="P81" s="56">
        <v>1</v>
      </c>
      <c r="Q81" s="56"/>
      <c r="R81" s="56">
        <v>1</v>
      </c>
      <c r="S81" s="56"/>
      <c r="T81" s="56"/>
      <c r="U81" s="56"/>
      <c r="V81" s="56"/>
      <c r="W81" s="56">
        <v>8</v>
      </c>
      <c r="X81"/>
      <c r="Y81"/>
      <c r="Z81"/>
      <c r="AA81"/>
      <c r="AB81"/>
      <c r="AC81"/>
      <c r="AD81"/>
      <c r="AE81"/>
      <c r="AF81"/>
      <c r="AG81"/>
    </row>
    <row r="82" spans="1:33" x14ac:dyDescent="0.25">
      <c r="A82" s="110" t="s">
        <v>0</v>
      </c>
      <c r="B82" s="56"/>
      <c r="C82" s="56"/>
      <c r="D82" s="56">
        <v>2</v>
      </c>
      <c r="E82" s="56"/>
      <c r="F82" s="56"/>
      <c r="G82" s="56"/>
      <c r="H82" s="56"/>
      <c r="I82" s="56"/>
      <c r="J82" s="56">
        <v>2</v>
      </c>
      <c r="K82" s="56">
        <v>2</v>
      </c>
      <c r="L82" s="56"/>
      <c r="M82" s="56"/>
      <c r="N82" s="56"/>
      <c r="O82" s="56"/>
      <c r="P82" s="56">
        <v>1</v>
      </c>
      <c r="Q82" s="56"/>
      <c r="R82" s="56">
        <v>1</v>
      </c>
      <c r="S82" s="56"/>
      <c r="T82" s="56"/>
      <c r="U82" s="56"/>
      <c r="V82" s="56"/>
      <c r="W82" s="56">
        <v>8</v>
      </c>
      <c r="X82"/>
      <c r="Y82"/>
      <c r="Z82"/>
      <c r="AA82"/>
      <c r="AB82"/>
      <c r="AC82"/>
      <c r="AD82"/>
      <c r="AE82"/>
      <c r="AF82"/>
      <c r="AG82"/>
    </row>
    <row r="83" spans="1:33" x14ac:dyDescent="0.25">
      <c r="A83" s="55" t="s">
        <v>235</v>
      </c>
      <c r="B83" s="56"/>
      <c r="C83" s="56"/>
      <c r="D83" s="56">
        <v>1</v>
      </c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>
        <v>1</v>
      </c>
      <c r="X83"/>
      <c r="Y83"/>
      <c r="Z83"/>
      <c r="AA83"/>
      <c r="AB83"/>
      <c r="AC83"/>
      <c r="AD83"/>
      <c r="AE83"/>
      <c r="AF83"/>
      <c r="AG83"/>
    </row>
    <row r="84" spans="1:33" x14ac:dyDescent="0.25">
      <c r="A84" s="57" t="s">
        <v>311</v>
      </c>
      <c r="B84" s="56"/>
      <c r="C84" s="56"/>
      <c r="D84" s="56">
        <v>1</v>
      </c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>
        <v>1</v>
      </c>
      <c r="X84"/>
      <c r="Y84"/>
      <c r="Z84"/>
      <c r="AA84"/>
      <c r="AB84"/>
      <c r="AC84"/>
      <c r="AD84"/>
      <c r="AE84"/>
      <c r="AF84"/>
      <c r="AG84"/>
    </row>
    <row r="85" spans="1:33" x14ac:dyDescent="0.25">
      <c r="A85" s="110" t="s">
        <v>0</v>
      </c>
      <c r="B85" s="56"/>
      <c r="C85" s="56"/>
      <c r="D85" s="56">
        <v>1</v>
      </c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>
        <v>1</v>
      </c>
      <c r="X85"/>
      <c r="Y85"/>
      <c r="Z85"/>
      <c r="AA85"/>
      <c r="AB85"/>
      <c r="AC85"/>
      <c r="AD85"/>
      <c r="AE85"/>
      <c r="AF85"/>
      <c r="AG85"/>
    </row>
    <row r="86" spans="1:33" x14ac:dyDescent="0.25">
      <c r="A86" s="55" t="s">
        <v>237</v>
      </c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>
        <v>1</v>
      </c>
      <c r="V86" s="56"/>
      <c r="W86" s="56">
        <v>1</v>
      </c>
      <c r="X86"/>
      <c r="Y86"/>
      <c r="Z86"/>
      <c r="AA86"/>
      <c r="AB86"/>
      <c r="AC86"/>
      <c r="AD86"/>
      <c r="AE86"/>
      <c r="AF86"/>
      <c r="AG86"/>
    </row>
    <row r="87" spans="1:33" x14ac:dyDescent="0.25">
      <c r="A87" s="57" t="s">
        <v>311</v>
      </c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>
        <v>1</v>
      </c>
      <c r="V87" s="56"/>
      <c r="W87" s="56">
        <v>1</v>
      </c>
      <c r="X87"/>
      <c r="Y87"/>
      <c r="Z87"/>
      <c r="AA87"/>
      <c r="AB87"/>
      <c r="AC87"/>
      <c r="AD87"/>
      <c r="AE87"/>
      <c r="AF87"/>
      <c r="AG87"/>
    </row>
    <row r="88" spans="1:33" x14ac:dyDescent="0.25">
      <c r="A88" s="110" t="s">
        <v>0</v>
      </c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>
        <v>1</v>
      </c>
      <c r="V88" s="56"/>
      <c r="W88" s="56">
        <v>1</v>
      </c>
      <c r="X88"/>
      <c r="Y88"/>
      <c r="Z88"/>
      <c r="AA88"/>
      <c r="AB88"/>
      <c r="AC88"/>
      <c r="AD88"/>
      <c r="AE88"/>
      <c r="AF88"/>
      <c r="AG88"/>
    </row>
    <row r="89" spans="1:33" x14ac:dyDescent="0.25">
      <c r="A89" s="55" t="s">
        <v>165</v>
      </c>
      <c r="B89" s="56">
        <v>13</v>
      </c>
      <c r="C89" s="56">
        <v>56</v>
      </c>
      <c r="D89" s="56">
        <v>75</v>
      </c>
      <c r="E89" s="56">
        <v>27</v>
      </c>
      <c r="F89" s="56">
        <v>66</v>
      </c>
      <c r="G89" s="56">
        <v>36</v>
      </c>
      <c r="H89" s="56">
        <v>25</v>
      </c>
      <c r="I89" s="56">
        <v>68</v>
      </c>
      <c r="J89" s="56">
        <v>83</v>
      </c>
      <c r="K89" s="56">
        <v>49</v>
      </c>
      <c r="L89" s="56">
        <v>69</v>
      </c>
      <c r="M89" s="56">
        <v>31</v>
      </c>
      <c r="N89" s="56">
        <v>58</v>
      </c>
      <c r="O89" s="56">
        <v>79</v>
      </c>
      <c r="P89" s="56">
        <v>37</v>
      </c>
      <c r="Q89" s="56">
        <v>50</v>
      </c>
      <c r="R89" s="56">
        <v>86</v>
      </c>
      <c r="S89" s="56">
        <v>104</v>
      </c>
      <c r="T89" s="56">
        <v>45</v>
      </c>
      <c r="U89" s="56">
        <v>51</v>
      </c>
      <c r="V89" s="56">
        <v>25</v>
      </c>
      <c r="W89" s="56">
        <v>1133</v>
      </c>
      <c r="X89"/>
      <c r="Y89"/>
      <c r="Z89"/>
      <c r="AA89"/>
      <c r="AB89"/>
      <c r="AC89"/>
      <c r="AD89"/>
      <c r="AE89"/>
      <c r="AF89"/>
      <c r="AG89"/>
    </row>
    <row r="90" spans="1:33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 spans="1:33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 spans="1:33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 spans="1:33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 spans="1:33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</row>
    <row r="95" spans="1:33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</row>
    <row r="96" spans="1:33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</row>
    <row r="97" spans="1:24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</row>
    <row r="98" spans="1:24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</row>
    <row r="99" spans="1:24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</row>
    <row r="100" spans="1:24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</row>
    <row r="101" spans="1:24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</row>
    <row r="102" spans="1:24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</row>
    <row r="103" spans="1:24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</row>
    <row r="104" spans="1:24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</row>
    <row r="105" spans="1:24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</row>
    <row r="106" spans="1:24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</row>
    <row r="107" spans="1:24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</row>
    <row r="108" spans="1:24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66"/>
  <sheetViews>
    <sheetView workbookViewId="0"/>
  </sheetViews>
  <sheetFormatPr defaultRowHeight="15" x14ac:dyDescent="0.25"/>
  <cols>
    <col min="1" max="1" width="32.42578125" style="33" customWidth="1"/>
    <col min="2" max="2" width="16.85546875" style="33" bestFit="1" customWidth="1"/>
    <col min="3" max="5" width="3.7109375" style="33" customWidth="1"/>
    <col min="6" max="8" width="4.7109375" style="33" bestFit="1" customWidth="1"/>
    <col min="9" max="9" width="4.7109375" style="33" customWidth="1"/>
    <col min="10" max="10" width="4.42578125" style="33" customWidth="1"/>
    <col min="11" max="11" width="5.28515625" style="33" customWidth="1"/>
    <col min="12" max="13" width="4.7109375" style="33" customWidth="1"/>
    <col min="14" max="14" width="3.7109375" style="33" customWidth="1"/>
    <col min="15" max="16" width="4.7109375" style="33" bestFit="1" customWidth="1"/>
    <col min="17" max="19" width="4.7109375" style="33" customWidth="1"/>
    <col min="20" max="20" width="4.28515625" style="33" customWidth="1"/>
    <col min="21" max="22" width="5.28515625" style="33" bestFit="1" customWidth="1"/>
    <col min="23" max="23" width="11.7109375" style="33" bestFit="1" customWidth="1"/>
    <col min="24" max="24" width="4.28515625" style="33" bestFit="1" customWidth="1"/>
    <col min="25" max="25" width="4" style="33" bestFit="1" customWidth="1"/>
    <col min="26" max="26" width="4.7109375" style="33" bestFit="1" customWidth="1"/>
    <col min="27" max="29" width="4.7109375" style="33" customWidth="1"/>
    <col min="30" max="30" width="4.7109375" style="33" bestFit="1" customWidth="1"/>
    <col min="31" max="31" width="4.28515625" style="33" bestFit="1" customWidth="1"/>
    <col min="32" max="32" width="5.28515625" style="33" customWidth="1"/>
    <col min="33" max="33" width="5.28515625" style="33" bestFit="1" customWidth="1"/>
    <col min="34" max="34" width="11.7109375" style="33" bestFit="1" customWidth="1"/>
    <col min="35" max="36" width="10.7109375" style="33" bestFit="1" customWidth="1"/>
    <col min="37" max="38" width="11.28515625" style="33" bestFit="1" customWidth="1"/>
    <col min="39" max="16384" width="9.140625" style="33"/>
  </cols>
  <sheetData>
    <row r="1" spans="1:34" x14ac:dyDescent="0.25">
      <c r="A1" s="54" t="s">
        <v>172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179</v>
      </c>
      <c r="D2" t="s">
        <v>180</v>
      </c>
      <c r="E2" t="s">
        <v>181</v>
      </c>
      <c r="F2" t="s">
        <v>184</v>
      </c>
      <c r="G2" t="s">
        <v>185</v>
      </c>
      <c r="H2" t="s">
        <v>186</v>
      </c>
      <c r="I2" t="s">
        <v>189</v>
      </c>
      <c r="J2" t="s">
        <v>190</v>
      </c>
      <c r="K2" t="s">
        <v>191</v>
      </c>
      <c r="L2" t="s">
        <v>194</v>
      </c>
      <c r="M2" t="s">
        <v>195</v>
      </c>
      <c r="N2" t="s">
        <v>206</v>
      </c>
      <c r="O2" t="s">
        <v>207</v>
      </c>
      <c r="P2" t="s">
        <v>208</v>
      </c>
      <c r="Q2" t="s">
        <v>209</v>
      </c>
      <c r="R2" t="s">
        <v>210</v>
      </c>
      <c r="S2" t="s">
        <v>211</v>
      </c>
      <c r="T2" t="s">
        <v>224</v>
      </c>
      <c r="U2" t="s">
        <v>225</v>
      </c>
      <c r="V2" t="s">
        <v>226</v>
      </c>
      <c r="W2" t="s">
        <v>165</v>
      </c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157</v>
      </c>
      <c r="B3" s="56"/>
      <c r="C3" s="56"/>
      <c r="D3" s="56">
        <v>1</v>
      </c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>
        <v>1</v>
      </c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177</v>
      </c>
      <c r="B4" s="56"/>
      <c r="C4" s="56"/>
      <c r="D4" s="56">
        <v>1</v>
      </c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>
        <v>1</v>
      </c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110" t="s">
        <v>1</v>
      </c>
      <c r="B5" s="56"/>
      <c r="C5" s="56"/>
      <c r="D5" s="56">
        <v>1</v>
      </c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>
        <v>1</v>
      </c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5" t="s">
        <v>155</v>
      </c>
      <c r="B6" s="56">
        <v>2</v>
      </c>
      <c r="C6" s="56">
        <v>19</v>
      </c>
      <c r="D6" s="56">
        <v>21</v>
      </c>
      <c r="E6" s="56">
        <v>18</v>
      </c>
      <c r="F6" s="56">
        <v>11</v>
      </c>
      <c r="G6" s="56">
        <v>9</v>
      </c>
      <c r="H6" s="56">
        <v>16</v>
      </c>
      <c r="I6" s="56">
        <v>32</v>
      </c>
      <c r="J6" s="56">
        <v>15</v>
      </c>
      <c r="K6" s="56">
        <v>43</v>
      </c>
      <c r="L6" s="56">
        <v>16</v>
      </c>
      <c r="M6" s="56">
        <v>16</v>
      </c>
      <c r="N6" s="56">
        <v>11</v>
      </c>
      <c r="O6" s="56">
        <v>11</v>
      </c>
      <c r="P6" s="56">
        <v>12</v>
      </c>
      <c r="Q6" s="56">
        <v>18</v>
      </c>
      <c r="R6" s="56">
        <v>15</v>
      </c>
      <c r="S6" s="56">
        <v>7</v>
      </c>
      <c r="T6" s="56">
        <v>32</v>
      </c>
      <c r="U6" s="56">
        <v>26</v>
      </c>
      <c r="V6" s="56">
        <v>11</v>
      </c>
      <c r="W6" s="56">
        <v>361</v>
      </c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7" t="s">
        <v>2</v>
      </c>
      <c r="B7" s="56"/>
      <c r="C7" s="56">
        <v>7</v>
      </c>
      <c r="D7" s="56">
        <v>8</v>
      </c>
      <c r="E7" s="56">
        <v>8</v>
      </c>
      <c r="F7" s="56">
        <v>6</v>
      </c>
      <c r="G7" s="56">
        <v>6</v>
      </c>
      <c r="H7" s="56">
        <v>6</v>
      </c>
      <c r="I7" s="56">
        <v>12</v>
      </c>
      <c r="J7" s="56">
        <v>5</v>
      </c>
      <c r="K7" s="56">
        <v>17</v>
      </c>
      <c r="L7" s="56">
        <v>3</v>
      </c>
      <c r="M7" s="56">
        <v>8</v>
      </c>
      <c r="N7" s="56">
        <v>3</v>
      </c>
      <c r="O7" s="56">
        <v>4</v>
      </c>
      <c r="P7" s="56"/>
      <c r="Q7" s="56">
        <v>7</v>
      </c>
      <c r="R7" s="56">
        <v>7</v>
      </c>
      <c r="S7" s="56">
        <v>1</v>
      </c>
      <c r="T7" s="56">
        <v>3</v>
      </c>
      <c r="U7" s="56">
        <v>14</v>
      </c>
      <c r="V7" s="56">
        <v>6</v>
      </c>
      <c r="W7" s="56">
        <v>131</v>
      </c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110" t="s">
        <v>1</v>
      </c>
      <c r="B8" s="56"/>
      <c r="C8" s="56">
        <v>5</v>
      </c>
      <c r="D8" s="56">
        <v>5</v>
      </c>
      <c r="E8" s="56">
        <v>3</v>
      </c>
      <c r="F8" s="56">
        <v>2</v>
      </c>
      <c r="G8" s="56">
        <v>2</v>
      </c>
      <c r="H8" s="56">
        <v>4</v>
      </c>
      <c r="I8" s="56">
        <v>5</v>
      </c>
      <c r="J8" s="56">
        <v>3</v>
      </c>
      <c r="K8" s="56">
        <v>6</v>
      </c>
      <c r="L8" s="56">
        <v>1</v>
      </c>
      <c r="M8" s="56">
        <v>5</v>
      </c>
      <c r="N8" s="56">
        <v>3</v>
      </c>
      <c r="O8" s="56">
        <v>3</v>
      </c>
      <c r="P8" s="56"/>
      <c r="Q8" s="56">
        <v>5</v>
      </c>
      <c r="R8" s="56">
        <v>3</v>
      </c>
      <c r="S8" s="56"/>
      <c r="T8" s="56"/>
      <c r="U8" s="56">
        <v>6</v>
      </c>
      <c r="V8" s="56">
        <v>3</v>
      </c>
      <c r="W8" s="56">
        <v>64</v>
      </c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110" t="s">
        <v>0</v>
      </c>
      <c r="B9" s="56"/>
      <c r="C9" s="56">
        <v>2</v>
      </c>
      <c r="D9" s="56">
        <v>3</v>
      </c>
      <c r="E9" s="56">
        <v>5</v>
      </c>
      <c r="F9" s="56">
        <v>4</v>
      </c>
      <c r="G9" s="56">
        <v>4</v>
      </c>
      <c r="H9" s="56">
        <v>2</v>
      </c>
      <c r="I9" s="56">
        <v>7</v>
      </c>
      <c r="J9" s="56">
        <v>2</v>
      </c>
      <c r="K9" s="56">
        <v>11</v>
      </c>
      <c r="L9" s="56">
        <v>2</v>
      </c>
      <c r="M9" s="56">
        <v>3</v>
      </c>
      <c r="N9" s="56"/>
      <c r="O9" s="56">
        <v>1</v>
      </c>
      <c r="P9" s="56"/>
      <c r="Q9" s="56">
        <v>2</v>
      </c>
      <c r="R9" s="56">
        <v>4</v>
      </c>
      <c r="S9" s="56">
        <v>1</v>
      </c>
      <c r="T9" s="56">
        <v>3</v>
      </c>
      <c r="U9" s="56">
        <v>8</v>
      </c>
      <c r="V9" s="56">
        <v>3</v>
      </c>
      <c r="W9" s="56">
        <v>67</v>
      </c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57" t="s">
        <v>177</v>
      </c>
      <c r="B10" s="56">
        <v>2</v>
      </c>
      <c r="C10" s="56">
        <v>12</v>
      </c>
      <c r="D10" s="56">
        <v>13</v>
      </c>
      <c r="E10" s="56">
        <v>10</v>
      </c>
      <c r="F10" s="56">
        <v>5</v>
      </c>
      <c r="G10" s="56">
        <v>3</v>
      </c>
      <c r="H10" s="56">
        <v>10</v>
      </c>
      <c r="I10" s="56">
        <v>20</v>
      </c>
      <c r="J10" s="56">
        <v>10</v>
      </c>
      <c r="K10" s="56">
        <v>26</v>
      </c>
      <c r="L10" s="56">
        <v>13</v>
      </c>
      <c r="M10" s="56">
        <v>8</v>
      </c>
      <c r="N10" s="56">
        <v>8</v>
      </c>
      <c r="O10" s="56">
        <v>7</v>
      </c>
      <c r="P10" s="56">
        <v>12</v>
      </c>
      <c r="Q10" s="56">
        <v>11</v>
      </c>
      <c r="R10" s="56">
        <v>8</v>
      </c>
      <c r="S10" s="56">
        <v>6</v>
      </c>
      <c r="T10" s="56">
        <v>29</v>
      </c>
      <c r="U10" s="56">
        <v>12</v>
      </c>
      <c r="V10" s="56">
        <v>5</v>
      </c>
      <c r="W10" s="56">
        <v>230</v>
      </c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110" t="s">
        <v>1</v>
      </c>
      <c r="B11" s="56">
        <v>1</v>
      </c>
      <c r="C11" s="56">
        <v>5</v>
      </c>
      <c r="D11" s="56">
        <v>1</v>
      </c>
      <c r="E11" s="56">
        <v>4</v>
      </c>
      <c r="F11" s="56">
        <v>3</v>
      </c>
      <c r="G11" s="56">
        <v>1</v>
      </c>
      <c r="H11" s="56">
        <v>2</v>
      </c>
      <c r="I11" s="56">
        <v>7</v>
      </c>
      <c r="J11" s="56">
        <v>2</v>
      </c>
      <c r="K11" s="56">
        <v>8</v>
      </c>
      <c r="L11" s="56">
        <v>3</v>
      </c>
      <c r="M11" s="56"/>
      <c r="N11" s="56">
        <v>2</v>
      </c>
      <c r="O11" s="56">
        <v>1</v>
      </c>
      <c r="P11" s="56">
        <v>5</v>
      </c>
      <c r="Q11" s="56">
        <v>6</v>
      </c>
      <c r="R11" s="56">
        <v>2</v>
      </c>
      <c r="S11" s="56">
        <v>2</v>
      </c>
      <c r="T11" s="56">
        <v>10</v>
      </c>
      <c r="U11" s="56">
        <v>1</v>
      </c>
      <c r="V11" s="56">
        <v>1</v>
      </c>
      <c r="W11" s="56">
        <v>67</v>
      </c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110" t="s">
        <v>0</v>
      </c>
      <c r="B12" s="56">
        <v>1</v>
      </c>
      <c r="C12" s="56">
        <v>7</v>
      </c>
      <c r="D12" s="56">
        <v>12</v>
      </c>
      <c r="E12" s="56">
        <v>6</v>
      </c>
      <c r="F12" s="56">
        <v>2</v>
      </c>
      <c r="G12" s="56">
        <v>2</v>
      </c>
      <c r="H12" s="56">
        <v>8</v>
      </c>
      <c r="I12" s="56">
        <v>13</v>
      </c>
      <c r="J12" s="56">
        <v>8</v>
      </c>
      <c r="K12" s="56">
        <v>18</v>
      </c>
      <c r="L12" s="56">
        <v>10</v>
      </c>
      <c r="M12" s="56">
        <v>8</v>
      </c>
      <c r="N12" s="56">
        <v>6</v>
      </c>
      <c r="O12" s="56">
        <v>6</v>
      </c>
      <c r="P12" s="56">
        <v>7</v>
      </c>
      <c r="Q12" s="56">
        <v>5</v>
      </c>
      <c r="R12" s="56">
        <v>6</v>
      </c>
      <c r="S12" s="56">
        <v>4</v>
      </c>
      <c r="T12" s="56">
        <v>19</v>
      </c>
      <c r="U12" s="56">
        <v>11</v>
      </c>
      <c r="V12" s="56">
        <v>4</v>
      </c>
      <c r="W12" s="56">
        <v>163</v>
      </c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5" t="s">
        <v>156</v>
      </c>
      <c r="B13" s="56">
        <v>9</v>
      </c>
      <c r="C13" s="56">
        <v>28</v>
      </c>
      <c r="D13" s="56">
        <v>20</v>
      </c>
      <c r="E13" s="56">
        <v>14</v>
      </c>
      <c r="F13" s="56">
        <v>53</v>
      </c>
      <c r="G13" s="56">
        <v>19</v>
      </c>
      <c r="H13" s="56">
        <v>6</v>
      </c>
      <c r="I13" s="56">
        <v>49</v>
      </c>
      <c r="J13" s="56">
        <v>29</v>
      </c>
      <c r="K13" s="56">
        <v>11</v>
      </c>
      <c r="L13" s="56">
        <v>47</v>
      </c>
      <c r="M13" s="56">
        <v>14</v>
      </c>
      <c r="N13" s="56">
        <v>33</v>
      </c>
      <c r="O13" s="56">
        <v>42</v>
      </c>
      <c r="P13" s="56">
        <v>16</v>
      </c>
      <c r="Q13" s="56">
        <v>21</v>
      </c>
      <c r="R13" s="56">
        <v>49</v>
      </c>
      <c r="S13" s="56">
        <v>21</v>
      </c>
      <c r="T13" s="56">
        <v>29</v>
      </c>
      <c r="U13" s="56">
        <v>27</v>
      </c>
      <c r="V13" s="56">
        <v>15</v>
      </c>
      <c r="W13" s="56">
        <v>552</v>
      </c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7" t="s">
        <v>2</v>
      </c>
      <c r="B14" s="56"/>
      <c r="C14" s="56">
        <v>1</v>
      </c>
      <c r="D14" s="56">
        <v>1</v>
      </c>
      <c r="E14" s="56">
        <v>4</v>
      </c>
      <c r="F14" s="56">
        <v>13</v>
      </c>
      <c r="G14" s="56">
        <v>6</v>
      </c>
      <c r="H14" s="56"/>
      <c r="I14" s="56">
        <v>14</v>
      </c>
      <c r="J14" s="56">
        <v>3</v>
      </c>
      <c r="K14" s="56">
        <v>1</v>
      </c>
      <c r="L14" s="56">
        <v>6</v>
      </c>
      <c r="M14" s="56"/>
      <c r="N14" s="56">
        <v>5</v>
      </c>
      <c r="O14" s="56">
        <v>3</v>
      </c>
      <c r="P14" s="56">
        <v>4</v>
      </c>
      <c r="Q14" s="56">
        <v>6</v>
      </c>
      <c r="R14" s="56">
        <v>8</v>
      </c>
      <c r="S14" s="56">
        <v>9</v>
      </c>
      <c r="T14" s="56">
        <v>9</v>
      </c>
      <c r="U14" s="56">
        <v>10</v>
      </c>
      <c r="V14" s="56">
        <v>7</v>
      </c>
      <c r="W14" s="56">
        <v>110</v>
      </c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110" t="s">
        <v>1</v>
      </c>
      <c r="B15" s="56"/>
      <c r="C15" s="56"/>
      <c r="D15" s="56"/>
      <c r="E15" s="56">
        <v>3</v>
      </c>
      <c r="F15" s="56">
        <v>9</v>
      </c>
      <c r="G15" s="56">
        <v>5</v>
      </c>
      <c r="H15" s="56"/>
      <c r="I15" s="56">
        <v>7</v>
      </c>
      <c r="J15" s="56">
        <v>2</v>
      </c>
      <c r="K15" s="56"/>
      <c r="L15" s="56">
        <v>3</v>
      </c>
      <c r="M15" s="56"/>
      <c r="N15" s="56">
        <v>3</v>
      </c>
      <c r="O15" s="56">
        <v>2</v>
      </c>
      <c r="P15" s="56">
        <v>2</v>
      </c>
      <c r="Q15" s="56">
        <v>4</v>
      </c>
      <c r="R15" s="56">
        <v>4</v>
      </c>
      <c r="S15" s="56">
        <v>7</v>
      </c>
      <c r="T15" s="56">
        <v>6</v>
      </c>
      <c r="U15" s="56">
        <v>4</v>
      </c>
      <c r="V15" s="56">
        <v>4</v>
      </c>
      <c r="W15" s="56">
        <v>65</v>
      </c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110" t="s">
        <v>0</v>
      </c>
      <c r="B16" s="56"/>
      <c r="C16" s="56">
        <v>1</v>
      </c>
      <c r="D16" s="56">
        <v>1</v>
      </c>
      <c r="E16" s="56">
        <v>1</v>
      </c>
      <c r="F16" s="56">
        <v>4</v>
      </c>
      <c r="G16" s="56">
        <v>1</v>
      </c>
      <c r="H16" s="56"/>
      <c r="I16" s="56">
        <v>7</v>
      </c>
      <c r="J16" s="56">
        <v>1</v>
      </c>
      <c r="K16" s="56">
        <v>1</v>
      </c>
      <c r="L16" s="56">
        <v>3</v>
      </c>
      <c r="M16" s="56"/>
      <c r="N16" s="56">
        <v>2</v>
      </c>
      <c r="O16" s="56">
        <v>1</v>
      </c>
      <c r="P16" s="56">
        <v>2</v>
      </c>
      <c r="Q16" s="56">
        <v>2</v>
      </c>
      <c r="R16" s="56">
        <v>4</v>
      </c>
      <c r="S16" s="56">
        <v>2</v>
      </c>
      <c r="T16" s="56">
        <v>3</v>
      </c>
      <c r="U16" s="56">
        <v>6</v>
      </c>
      <c r="V16" s="56">
        <v>3</v>
      </c>
      <c r="W16" s="56">
        <v>45</v>
      </c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57" t="s">
        <v>177</v>
      </c>
      <c r="B17" s="56">
        <v>9</v>
      </c>
      <c r="C17" s="56">
        <v>27</v>
      </c>
      <c r="D17" s="56">
        <v>19</v>
      </c>
      <c r="E17" s="56">
        <v>10</v>
      </c>
      <c r="F17" s="56">
        <v>40</v>
      </c>
      <c r="G17" s="56">
        <v>13</v>
      </c>
      <c r="H17" s="56">
        <v>6</v>
      </c>
      <c r="I17" s="56">
        <v>35</v>
      </c>
      <c r="J17" s="56">
        <v>26</v>
      </c>
      <c r="K17" s="56">
        <v>10</v>
      </c>
      <c r="L17" s="56">
        <v>41</v>
      </c>
      <c r="M17" s="56">
        <v>14</v>
      </c>
      <c r="N17" s="56">
        <v>28</v>
      </c>
      <c r="O17" s="56">
        <v>39</v>
      </c>
      <c r="P17" s="56">
        <v>12</v>
      </c>
      <c r="Q17" s="56">
        <v>15</v>
      </c>
      <c r="R17" s="56">
        <v>41</v>
      </c>
      <c r="S17" s="56">
        <v>12</v>
      </c>
      <c r="T17" s="56">
        <v>20</v>
      </c>
      <c r="U17" s="56">
        <v>17</v>
      </c>
      <c r="V17" s="56">
        <v>8</v>
      </c>
      <c r="W17" s="56">
        <v>442</v>
      </c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110" t="s">
        <v>1</v>
      </c>
      <c r="B18" s="56">
        <v>4</v>
      </c>
      <c r="C18" s="56">
        <v>11</v>
      </c>
      <c r="D18" s="56">
        <v>3</v>
      </c>
      <c r="E18" s="56">
        <v>5</v>
      </c>
      <c r="F18" s="56">
        <v>15</v>
      </c>
      <c r="G18" s="56">
        <v>3</v>
      </c>
      <c r="H18" s="56"/>
      <c r="I18" s="56">
        <v>16</v>
      </c>
      <c r="J18" s="56">
        <v>7</v>
      </c>
      <c r="K18" s="56">
        <v>4</v>
      </c>
      <c r="L18" s="56">
        <v>15</v>
      </c>
      <c r="M18" s="56">
        <v>3</v>
      </c>
      <c r="N18" s="56">
        <v>7</v>
      </c>
      <c r="O18" s="56">
        <v>5</v>
      </c>
      <c r="P18" s="56">
        <v>7</v>
      </c>
      <c r="Q18" s="56">
        <v>7</v>
      </c>
      <c r="R18" s="56">
        <v>14</v>
      </c>
      <c r="S18" s="56">
        <v>4</v>
      </c>
      <c r="T18" s="56">
        <v>11</v>
      </c>
      <c r="U18" s="56">
        <v>8</v>
      </c>
      <c r="V18" s="56">
        <v>3</v>
      </c>
      <c r="W18" s="56">
        <v>152</v>
      </c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110" t="s">
        <v>0</v>
      </c>
      <c r="B19" s="56">
        <v>5</v>
      </c>
      <c r="C19" s="56">
        <v>16</v>
      </c>
      <c r="D19" s="56">
        <v>16</v>
      </c>
      <c r="E19" s="56">
        <v>5</v>
      </c>
      <c r="F19" s="56">
        <v>25</v>
      </c>
      <c r="G19" s="56">
        <v>10</v>
      </c>
      <c r="H19" s="56">
        <v>6</v>
      </c>
      <c r="I19" s="56">
        <v>19</v>
      </c>
      <c r="J19" s="56">
        <v>19</v>
      </c>
      <c r="K19" s="56">
        <v>6</v>
      </c>
      <c r="L19" s="56">
        <v>26</v>
      </c>
      <c r="M19" s="56">
        <v>11</v>
      </c>
      <c r="N19" s="56">
        <v>21</v>
      </c>
      <c r="O19" s="56">
        <v>34</v>
      </c>
      <c r="P19" s="56">
        <v>5</v>
      </c>
      <c r="Q19" s="56">
        <v>8</v>
      </c>
      <c r="R19" s="56">
        <v>27</v>
      </c>
      <c r="S19" s="56">
        <v>8</v>
      </c>
      <c r="T19" s="56">
        <v>9</v>
      </c>
      <c r="U19" s="56">
        <v>9</v>
      </c>
      <c r="V19" s="56">
        <v>5</v>
      </c>
      <c r="W19" s="56">
        <v>290</v>
      </c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55" t="s">
        <v>154</v>
      </c>
      <c r="B20" s="56">
        <v>2</v>
      </c>
      <c r="C20" s="56"/>
      <c r="D20" s="56"/>
      <c r="E20" s="56"/>
      <c r="F20" s="56"/>
      <c r="G20" s="56"/>
      <c r="H20" s="56"/>
      <c r="I20" s="56"/>
      <c r="J20" s="56"/>
      <c r="K20" s="56">
        <v>6</v>
      </c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>
        <v>8</v>
      </c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57" t="s">
        <v>2</v>
      </c>
      <c r="B21" s="56"/>
      <c r="C21" s="56"/>
      <c r="D21" s="56"/>
      <c r="E21" s="56"/>
      <c r="F21" s="56"/>
      <c r="G21" s="56"/>
      <c r="H21" s="56"/>
      <c r="I21" s="56"/>
      <c r="J21" s="56"/>
      <c r="K21" s="56">
        <v>6</v>
      </c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>
        <v>6</v>
      </c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110" t="s">
        <v>1</v>
      </c>
      <c r="B22" s="56"/>
      <c r="C22" s="56"/>
      <c r="D22" s="56"/>
      <c r="E22" s="56"/>
      <c r="F22" s="56"/>
      <c r="G22" s="56"/>
      <c r="H22" s="56"/>
      <c r="I22" s="56"/>
      <c r="J22" s="56"/>
      <c r="K22" s="56">
        <v>4</v>
      </c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>
        <v>4</v>
      </c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 s="110" t="s">
        <v>0</v>
      </c>
      <c r="B23" s="56"/>
      <c r="C23" s="56"/>
      <c r="D23" s="56"/>
      <c r="E23" s="56"/>
      <c r="F23" s="56"/>
      <c r="G23" s="56"/>
      <c r="H23" s="56"/>
      <c r="I23" s="56"/>
      <c r="J23" s="56"/>
      <c r="K23" s="56">
        <v>2</v>
      </c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>
        <v>2</v>
      </c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 s="57" t="s">
        <v>177</v>
      </c>
      <c r="B24" s="56">
        <v>2</v>
      </c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>
        <v>2</v>
      </c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 s="110" t="s">
        <v>1</v>
      </c>
      <c r="B25" s="56">
        <v>2</v>
      </c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>
        <v>2</v>
      </c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 s="55" t="s">
        <v>158</v>
      </c>
      <c r="B26" s="56">
        <v>2</v>
      </c>
      <c r="C26" s="56">
        <v>10</v>
      </c>
      <c r="D26" s="56">
        <v>3</v>
      </c>
      <c r="E26" s="56">
        <v>7</v>
      </c>
      <c r="F26" s="56">
        <v>7</v>
      </c>
      <c r="G26" s="56">
        <v>8</v>
      </c>
      <c r="H26" s="56">
        <v>4</v>
      </c>
      <c r="I26" s="56">
        <v>6</v>
      </c>
      <c r="J26" s="56">
        <v>7</v>
      </c>
      <c r="K26" s="56">
        <v>12</v>
      </c>
      <c r="L26" s="56">
        <v>6</v>
      </c>
      <c r="M26" s="56">
        <v>8</v>
      </c>
      <c r="N26" s="56">
        <v>5</v>
      </c>
      <c r="O26" s="56">
        <v>11</v>
      </c>
      <c r="P26" s="56">
        <v>13</v>
      </c>
      <c r="Q26" s="56">
        <v>5</v>
      </c>
      <c r="R26" s="56">
        <v>8</v>
      </c>
      <c r="S26" s="56">
        <v>5</v>
      </c>
      <c r="T26" s="56">
        <v>13</v>
      </c>
      <c r="U26" s="56">
        <v>10</v>
      </c>
      <c r="V26" s="56">
        <v>4</v>
      </c>
      <c r="W26" s="56">
        <v>154</v>
      </c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 s="57" t="s">
        <v>2</v>
      </c>
      <c r="B27" s="56"/>
      <c r="C27" s="56">
        <v>1</v>
      </c>
      <c r="D27" s="56"/>
      <c r="E27" s="56"/>
      <c r="F27" s="56">
        <v>1</v>
      </c>
      <c r="G27" s="56"/>
      <c r="H27" s="56">
        <v>1</v>
      </c>
      <c r="I27" s="56"/>
      <c r="J27" s="56"/>
      <c r="K27" s="56"/>
      <c r="L27" s="56">
        <v>2</v>
      </c>
      <c r="M27" s="56">
        <v>1</v>
      </c>
      <c r="N27" s="56"/>
      <c r="O27" s="56">
        <v>1</v>
      </c>
      <c r="P27" s="56"/>
      <c r="Q27" s="56">
        <v>1</v>
      </c>
      <c r="R27" s="56"/>
      <c r="S27" s="56"/>
      <c r="T27" s="56"/>
      <c r="U27" s="56">
        <v>2</v>
      </c>
      <c r="V27" s="56">
        <v>2</v>
      </c>
      <c r="W27" s="56">
        <v>12</v>
      </c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 s="110" t="s">
        <v>1</v>
      </c>
      <c r="B28" s="56"/>
      <c r="C28" s="56">
        <v>1</v>
      </c>
      <c r="D28" s="56"/>
      <c r="E28" s="56"/>
      <c r="F28" s="56">
        <v>1</v>
      </c>
      <c r="G28" s="56"/>
      <c r="H28" s="56">
        <v>1</v>
      </c>
      <c r="I28" s="56"/>
      <c r="J28" s="56"/>
      <c r="K28" s="56"/>
      <c r="L28" s="56">
        <v>2</v>
      </c>
      <c r="M28" s="56">
        <v>1</v>
      </c>
      <c r="N28" s="56"/>
      <c r="O28" s="56">
        <v>1</v>
      </c>
      <c r="P28" s="56"/>
      <c r="Q28" s="56">
        <v>1</v>
      </c>
      <c r="R28" s="56"/>
      <c r="S28" s="56"/>
      <c r="T28" s="56"/>
      <c r="U28" s="56">
        <v>2</v>
      </c>
      <c r="V28" s="56">
        <v>1</v>
      </c>
      <c r="W28" s="56">
        <v>11</v>
      </c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 s="110" t="s">
        <v>0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>
        <v>1</v>
      </c>
      <c r="W29" s="56">
        <v>1</v>
      </c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 s="57" t="s">
        <v>177</v>
      </c>
      <c r="B30" s="56">
        <v>2</v>
      </c>
      <c r="C30" s="56">
        <v>9</v>
      </c>
      <c r="D30" s="56">
        <v>3</v>
      </c>
      <c r="E30" s="56">
        <v>7</v>
      </c>
      <c r="F30" s="56">
        <v>6</v>
      </c>
      <c r="G30" s="56">
        <v>8</v>
      </c>
      <c r="H30" s="56">
        <v>3</v>
      </c>
      <c r="I30" s="56">
        <v>6</v>
      </c>
      <c r="J30" s="56">
        <v>7</v>
      </c>
      <c r="K30" s="56">
        <v>12</v>
      </c>
      <c r="L30" s="56">
        <v>4</v>
      </c>
      <c r="M30" s="56">
        <v>7</v>
      </c>
      <c r="N30" s="56">
        <v>5</v>
      </c>
      <c r="O30" s="56">
        <v>10</v>
      </c>
      <c r="P30" s="56">
        <v>13</v>
      </c>
      <c r="Q30" s="56">
        <v>4</v>
      </c>
      <c r="R30" s="56">
        <v>8</v>
      </c>
      <c r="S30" s="56">
        <v>5</v>
      </c>
      <c r="T30" s="56">
        <v>13</v>
      </c>
      <c r="U30" s="56">
        <v>8</v>
      </c>
      <c r="V30" s="56">
        <v>2</v>
      </c>
      <c r="W30" s="56">
        <v>142</v>
      </c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 s="110" t="s">
        <v>1</v>
      </c>
      <c r="B31" s="56">
        <v>2</v>
      </c>
      <c r="C31" s="56">
        <v>9</v>
      </c>
      <c r="D31" s="56">
        <v>3</v>
      </c>
      <c r="E31" s="56">
        <v>7</v>
      </c>
      <c r="F31" s="56">
        <v>5</v>
      </c>
      <c r="G31" s="56">
        <v>8</v>
      </c>
      <c r="H31" s="56">
        <v>3</v>
      </c>
      <c r="I31" s="56">
        <v>6</v>
      </c>
      <c r="J31" s="56">
        <v>6</v>
      </c>
      <c r="K31" s="56">
        <v>11</v>
      </c>
      <c r="L31" s="56">
        <v>4</v>
      </c>
      <c r="M31" s="56">
        <v>6</v>
      </c>
      <c r="N31" s="56">
        <v>4</v>
      </c>
      <c r="O31" s="56">
        <v>10</v>
      </c>
      <c r="P31" s="56">
        <v>13</v>
      </c>
      <c r="Q31" s="56">
        <v>4</v>
      </c>
      <c r="R31" s="56">
        <v>8</v>
      </c>
      <c r="S31" s="56">
        <v>4</v>
      </c>
      <c r="T31" s="56">
        <v>13</v>
      </c>
      <c r="U31" s="56">
        <v>8</v>
      </c>
      <c r="V31" s="56">
        <v>2</v>
      </c>
      <c r="W31" s="56">
        <v>136</v>
      </c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 s="110" t="s">
        <v>202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>
        <v>1</v>
      </c>
      <c r="T32" s="56"/>
      <c r="U32" s="56"/>
      <c r="V32" s="56"/>
      <c r="W32" s="56">
        <v>1</v>
      </c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 s="110" t="s">
        <v>0</v>
      </c>
      <c r="B33" s="56"/>
      <c r="C33" s="56"/>
      <c r="D33" s="56"/>
      <c r="E33" s="56"/>
      <c r="F33" s="56">
        <v>1</v>
      </c>
      <c r="G33" s="56"/>
      <c r="H33" s="56"/>
      <c r="I33" s="56"/>
      <c r="J33" s="56">
        <v>1</v>
      </c>
      <c r="K33" s="56">
        <v>1</v>
      </c>
      <c r="L33" s="56"/>
      <c r="M33" s="56">
        <v>1</v>
      </c>
      <c r="N33" s="56">
        <v>1</v>
      </c>
      <c r="O33" s="56"/>
      <c r="P33" s="56"/>
      <c r="Q33" s="56"/>
      <c r="R33" s="56"/>
      <c r="S33" s="56"/>
      <c r="T33" s="56"/>
      <c r="U33" s="56"/>
      <c r="V33" s="56"/>
      <c r="W33" s="56">
        <v>5</v>
      </c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 s="55" t="s">
        <v>110</v>
      </c>
      <c r="B34" s="56"/>
      <c r="C34" s="56">
        <v>23</v>
      </c>
      <c r="D34" s="56">
        <v>2</v>
      </c>
      <c r="E34" s="56"/>
      <c r="F34" s="56">
        <v>14</v>
      </c>
      <c r="G34" s="56">
        <v>6</v>
      </c>
      <c r="H34" s="56">
        <v>3</v>
      </c>
      <c r="I34" s="56">
        <v>16</v>
      </c>
      <c r="J34" s="56">
        <v>15</v>
      </c>
      <c r="K34" s="56"/>
      <c r="L34" s="56">
        <v>13</v>
      </c>
      <c r="M34" s="56"/>
      <c r="N34" s="56">
        <v>12</v>
      </c>
      <c r="O34" s="56">
        <v>20</v>
      </c>
      <c r="P34" s="56">
        <v>5</v>
      </c>
      <c r="Q34" s="56"/>
      <c r="R34" s="56">
        <v>23</v>
      </c>
      <c r="S34" s="56"/>
      <c r="T34" s="56"/>
      <c r="U34" s="56">
        <v>6</v>
      </c>
      <c r="V34" s="56"/>
      <c r="W34" s="56">
        <v>158</v>
      </c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 s="57" t="s">
        <v>2</v>
      </c>
      <c r="B35" s="56"/>
      <c r="C35" s="56">
        <v>3</v>
      </c>
      <c r="D35" s="56"/>
      <c r="E35" s="56"/>
      <c r="F35" s="56"/>
      <c r="G35" s="56"/>
      <c r="H35" s="56"/>
      <c r="I35" s="56">
        <v>1</v>
      </c>
      <c r="J35" s="56"/>
      <c r="K35" s="56"/>
      <c r="L35" s="56"/>
      <c r="M35" s="56"/>
      <c r="N35" s="56">
        <v>3</v>
      </c>
      <c r="O35" s="56">
        <v>17</v>
      </c>
      <c r="P35" s="56"/>
      <c r="Q35" s="56"/>
      <c r="R35" s="56">
        <v>12</v>
      </c>
      <c r="S35" s="56"/>
      <c r="T35" s="56"/>
      <c r="U35" s="56">
        <v>1</v>
      </c>
      <c r="V35" s="56"/>
      <c r="W35" s="56">
        <v>37</v>
      </c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 s="110" t="s">
        <v>1</v>
      </c>
      <c r="B36" s="56"/>
      <c r="C36" s="56">
        <v>2</v>
      </c>
      <c r="D36" s="56"/>
      <c r="E36" s="56"/>
      <c r="F36" s="56"/>
      <c r="G36" s="56"/>
      <c r="H36" s="56"/>
      <c r="I36" s="56">
        <v>1</v>
      </c>
      <c r="J36" s="56"/>
      <c r="K36" s="56"/>
      <c r="L36" s="56"/>
      <c r="M36" s="56"/>
      <c r="N36" s="56">
        <v>2</v>
      </c>
      <c r="O36" s="56"/>
      <c r="P36" s="56"/>
      <c r="Q36" s="56"/>
      <c r="R36" s="56"/>
      <c r="S36" s="56"/>
      <c r="T36" s="56"/>
      <c r="U36" s="56"/>
      <c r="V36" s="56"/>
      <c r="W36" s="56">
        <v>5</v>
      </c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 s="110" t="s">
        <v>0</v>
      </c>
      <c r="B37" s="56"/>
      <c r="C37" s="56">
        <v>1</v>
      </c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>
        <v>1</v>
      </c>
      <c r="O37" s="56">
        <v>17</v>
      </c>
      <c r="P37" s="56"/>
      <c r="Q37" s="56"/>
      <c r="R37" s="56">
        <v>12</v>
      </c>
      <c r="S37" s="56"/>
      <c r="T37" s="56"/>
      <c r="U37" s="56">
        <v>1</v>
      </c>
      <c r="V37" s="56"/>
      <c r="W37" s="56">
        <v>32</v>
      </c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 s="57" t="s">
        <v>177</v>
      </c>
      <c r="B38" s="56"/>
      <c r="C38" s="56">
        <v>20</v>
      </c>
      <c r="D38" s="56">
        <v>2</v>
      </c>
      <c r="E38" s="56"/>
      <c r="F38" s="56">
        <v>14</v>
      </c>
      <c r="G38" s="56">
        <v>6</v>
      </c>
      <c r="H38" s="56">
        <v>3</v>
      </c>
      <c r="I38" s="56">
        <v>15</v>
      </c>
      <c r="J38" s="56">
        <v>15</v>
      </c>
      <c r="K38" s="56"/>
      <c r="L38" s="56">
        <v>13</v>
      </c>
      <c r="M38" s="56"/>
      <c r="N38" s="56">
        <v>9</v>
      </c>
      <c r="O38" s="56">
        <v>3</v>
      </c>
      <c r="P38" s="56">
        <v>5</v>
      </c>
      <c r="Q38" s="56"/>
      <c r="R38" s="56">
        <v>11</v>
      </c>
      <c r="S38" s="56"/>
      <c r="T38" s="56"/>
      <c r="U38" s="56">
        <v>5</v>
      </c>
      <c r="V38" s="56"/>
      <c r="W38" s="56">
        <v>121</v>
      </c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 s="110" t="s">
        <v>1</v>
      </c>
      <c r="B39" s="56"/>
      <c r="C39" s="56">
        <v>3</v>
      </c>
      <c r="D39" s="56"/>
      <c r="E39" s="56"/>
      <c r="F39" s="56"/>
      <c r="G39" s="56"/>
      <c r="H39" s="56">
        <v>1</v>
      </c>
      <c r="I39" s="56">
        <v>1</v>
      </c>
      <c r="J39" s="56"/>
      <c r="K39" s="56"/>
      <c r="L39" s="56"/>
      <c r="M39" s="56"/>
      <c r="N39" s="56">
        <v>4</v>
      </c>
      <c r="O39" s="56">
        <v>1</v>
      </c>
      <c r="P39" s="56">
        <v>1</v>
      </c>
      <c r="Q39" s="56"/>
      <c r="R39" s="56"/>
      <c r="S39" s="56"/>
      <c r="T39" s="56"/>
      <c r="U39" s="56">
        <v>1</v>
      </c>
      <c r="V39" s="56"/>
      <c r="W39" s="56">
        <v>12</v>
      </c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 s="110" t="s">
        <v>0</v>
      </c>
      <c r="B40" s="56"/>
      <c r="C40" s="56">
        <v>17</v>
      </c>
      <c r="D40" s="56">
        <v>2</v>
      </c>
      <c r="E40" s="56"/>
      <c r="F40" s="56">
        <v>14</v>
      </c>
      <c r="G40" s="56">
        <v>6</v>
      </c>
      <c r="H40" s="56">
        <v>2</v>
      </c>
      <c r="I40" s="56">
        <v>14</v>
      </c>
      <c r="J40" s="56">
        <v>15</v>
      </c>
      <c r="K40" s="56"/>
      <c r="L40" s="56">
        <v>13</v>
      </c>
      <c r="M40" s="56"/>
      <c r="N40" s="56">
        <v>5</v>
      </c>
      <c r="O40" s="56">
        <v>2</v>
      </c>
      <c r="P40" s="56">
        <v>4</v>
      </c>
      <c r="Q40" s="56"/>
      <c r="R40" s="56">
        <v>11</v>
      </c>
      <c r="S40" s="56"/>
      <c r="T40" s="56"/>
      <c r="U40" s="56">
        <v>4</v>
      </c>
      <c r="V40" s="56"/>
      <c r="W40" s="56">
        <v>109</v>
      </c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 s="55" t="s">
        <v>228</v>
      </c>
      <c r="B41" s="56">
        <v>7</v>
      </c>
      <c r="C41" s="56">
        <v>12</v>
      </c>
      <c r="D41" s="56">
        <v>42</v>
      </c>
      <c r="E41" s="56">
        <v>14</v>
      </c>
      <c r="F41" s="56">
        <v>19</v>
      </c>
      <c r="G41" s="56">
        <v>15</v>
      </c>
      <c r="H41" s="56">
        <v>8</v>
      </c>
      <c r="I41" s="56">
        <v>9</v>
      </c>
      <c r="J41" s="56">
        <v>38</v>
      </c>
      <c r="K41" s="56">
        <v>11</v>
      </c>
      <c r="L41" s="56">
        <v>16</v>
      </c>
      <c r="M41" s="56">
        <v>8</v>
      </c>
      <c r="N41" s="56">
        <v>23</v>
      </c>
      <c r="O41" s="56">
        <v>23</v>
      </c>
      <c r="P41" s="56">
        <v>35</v>
      </c>
      <c r="Q41" s="56">
        <v>33</v>
      </c>
      <c r="R41" s="56">
        <v>26</v>
      </c>
      <c r="S41" s="56">
        <v>90</v>
      </c>
      <c r="T41" s="56">
        <v>14</v>
      </c>
      <c r="U41" s="56">
        <v>17</v>
      </c>
      <c r="V41" s="56">
        <v>12</v>
      </c>
      <c r="W41" s="56">
        <v>472</v>
      </c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 s="57" t="s">
        <v>2</v>
      </c>
      <c r="B42" s="56"/>
      <c r="C42" s="56">
        <v>1</v>
      </c>
      <c r="D42" s="56">
        <v>35</v>
      </c>
      <c r="E42" s="56">
        <v>1</v>
      </c>
      <c r="F42" s="56"/>
      <c r="G42" s="56">
        <v>1</v>
      </c>
      <c r="H42" s="56">
        <v>2</v>
      </c>
      <c r="I42" s="56"/>
      <c r="J42" s="56">
        <v>13</v>
      </c>
      <c r="K42" s="56">
        <v>1</v>
      </c>
      <c r="L42" s="56">
        <v>1</v>
      </c>
      <c r="M42" s="56"/>
      <c r="N42" s="56">
        <v>2</v>
      </c>
      <c r="O42" s="56">
        <v>2</v>
      </c>
      <c r="P42" s="56"/>
      <c r="Q42" s="56">
        <v>21</v>
      </c>
      <c r="R42" s="56">
        <v>2</v>
      </c>
      <c r="S42" s="56"/>
      <c r="T42" s="56">
        <v>3</v>
      </c>
      <c r="U42" s="56">
        <v>1</v>
      </c>
      <c r="V42" s="56">
        <v>1</v>
      </c>
      <c r="W42" s="56">
        <v>87</v>
      </c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 s="110" t="s">
        <v>1</v>
      </c>
      <c r="B43" s="56"/>
      <c r="C43" s="56"/>
      <c r="D43" s="56"/>
      <c r="E43" s="56"/>
      <c r="F43" s="56"/>
      <c r="G43" s="56">
        <v>1</v>
      </c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>
        <v>1</v>
      </c>
      <c r="S43" s="56"/>
      <c r="T43" s="56">
        <v>1</v>
      </c>
      <c r="U43" s="56"/>
      <c r="V43" s="56">
        <v>1</v>
      </c>
      <c r="W43" s="56">
        <v>4</v>
      </c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 s="110" t="s">
        <v>0</v>
      </c>
      <c r="B44" s="56"/>
      <c r="C44" s="56">
        <v>1</v>
      </c>
      <c r="D44" s="56">
        <v>35</v>
      </c>
      <c r="E44" s="56">
        <v>1</v>
      </c>
      <c r="F44" s="56"/>
      <c r="G44" s="56"/>
      <c r="H44" s="56">
        <v>2</v>
      </c>
      <c r="I44" s="56"/>
      <c r="J44" s="56">
        <v>13</v>
      </c>
      <c r="K44" s="56">
        <v>1</v>
      </c>
      <c r="L44" s="56">
        <v>1</v>
      </c>
      <c r="M44" s="56"/>
      <c r="N44" s="56">
        <v>2</v>
      </c>
      <c r="O44" s="56">
        <v>2</v>
      </c>
      <c r="P44" s="56"/>
      <c r="Q44" s="56">
        <v>21</v>
      </c>
      <c r="R44" s="56">
        <v>1</v>
      </c>
      <c r="S44" s="56"/>
      <c r="T44" s="56">
        <v>2</v>
      </c>
      <c r="U44" s="56">
        <v>1</v>
      </c>
      <c r="V44" s="56"/>
      <c r="W44" s="56">
        <v>83</v>
      </c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 s="57" t="s">
        <v>177</v>
      </c>
      <c r="B45" s="56">
        <v>7</v>
      </c>
      <c r="C45" s="56">
        <v>11</v>
      </c>
      <c r="D45" s="56">
        <v>7</v>
      </c>
      <c r="E45" s="56">
        <v>13</v>
      </c>
      <c r="F45" s="56">
        <v>19</v>
      </c>
      <c r="G45" s="56">
        <v>14</v>
      </c>
      <c r="H45" s="56">
        <v>6</v>
      </c>
      <c r="I45" s="56">
        <v>9</v>
      </c>
      <c r="J45" s="56">
        <v>25</v>
      </c>
      <c r="K45" s="56">
        <v>10</v>
      </c>
      <c r="L45" s="56">
        <v>15</v>
      </c>
      <c r="M45" s="56">
        <v>8</v>
      </c>
      <c r="N45" s="56">
        <v>21</v>
      </c>
      <c r="O45" s="56">
        <v>21</v>
      </c>
      <c r="P45" s="56">
        <v>35</v>
      </c>
      <c r="Q45" s="56">
        <v>12</v>
      </c>
      <c r="R45" s="56">
        <v>24</v>
      </c>
      <c r="S45" s="56">
        <v>90</v>
      </c>
      <c r="T45" s="56">
        <v>11</v>
      </c>
      <c r="U45" s="56">
        <v>16</v>
      </c>
      <c r="V45" s="56">
        <v>11</v>
      </c>
      <c r="W45" s="56">
        <v>385</v>
      </c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 s="110" t="s">
        <v>1</v>
      </c>
      <c r="B46" s="56"/>
      <c r="C46" s="56"/>
      <c r="D46" s="56">
        <v>1</v>
      </c>
      <c r="E46" s="56">
        <v>4</v>
      </c>
      <c r="F46" s="56">
        <v>3</v>
      </c>
      <c r="G46" s="56">
        <v>1</v>
      </c>
      <c r="H46" s="56">
        <v>1</v>
      </c>
      <c r="I46" s="56">
        <v>2</v>
      </c>
      <c r="J46" s="56">
        <v>1</v>
      </c>
      <c r="K46" s="56">
        <v>1</v>
      </c>
      <c r="L46" s="56">
        <v>1</v>
      </c>
      <c r="M46" s="56"/>
      <c r="N46" s="56">
        <v>1</v>
      </c>
      <c r="O46" s="56">
        <v>5</v>
      </c>
      <c r="P46" s="56">
        <v>16</v>
      </c>
      <c r="Q46" s="56"/>
      <c r="R46" s="56">
        <v>3</v>
      </c>
      <c r="S46" s="56">
        <v>1</v>
      </c>
      <c r="T46" s="56">
        <v>2</v>
      </c>
      <c r="U46" s="56">
        <v>5</v>
      </c>
      <c r="V46" s="56">
        <v>2</v>
      </c>
      <c r="W46" s="56">
        <v>50</v>
      </c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 s="110" t="s">
        <v>0</v>
      </c>
      <c r="B47" s="56">
        <v>7</v>
      </c>
      <c r="C47" s="56">
        <v>11</v>
      </c>
      <c r="D47" s="56">
        <v>6</v>
      </c>
      <c r="E47" s="56">
        <v>9</v>
      </c>
      <c r="F47" s="56">
        <v>16</v>
      </c>
      <c r="G47" s="56">
        <v>13</v>
      </c>
      <c r="H47" s="56">
        <v>5</v>
      </c>
      <c r="I47" s="56">
        <v>7</v>
      </c>
      <c r="J47" s="56">
        <v>24</v>
      </c>
      <c r="K47" s="56">
        <v>9</v>
      </c>
      <c r="L47" s="56">
        <v>14</v>
      </c>
      <c r="M47" s="56">
        <v>8</v>
      </c>
      <c r="N47" s="56">
        <v>20</v>
      </c>
      <c r="O47" s="56">
        <v>16</v>
      </c>
      <c r="P47" s="56">
        <v>19</v>
      </c>
      <c r="Q47" s="56">
        <v>12</v>
      </c>
      <c r="R47" s="56">
        <v>21</v>
      </c>
      <c r="S47" s="56">
        <v>89</v>
      </c>
      <c r="T47" s="56">
        <v>9</v>
      </c>
      <c r="U47" s="56">
        <v>11</v>
      </c>
      <c r="V47" s="56">
        <v>9</v>
      </c>
      <c r="W47" s="56">
        <v>335</v>
      </c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 s="55" t="s">
        <v>165</v>
      </c>
      <c r="B48" s="56">
        <v>22</v>
      </c>
      <c r="C48" s="56">
        <v>92</v>
      </c>
      <c r="D48" s="56">
        <v>89</v>
      </c>
      <c r="E48" s="56">
        <v>53</v>
      </c>
      <c r="F48" s="56">
        <v>104</v>
      </c>
      <c r="G48" s="56">
        <v>57</v>
      </c>
      <c r="H48" s="56">
        <v>37</v>
      </c>
      <c r="I48" s="56">
        <v>112</v>
      </c>
      <c r="J48" s="56">
        <v>104</v>
      </c>
      <c r="K48" s="56">
        <v>83</v>
      </c>
      <c r="L48" s="56">
        <v>98</v>
      </c>
      <c r="M48" s="56">
        <v>46</v>
      </c>
      <c r="N48" s="56">
        <v>84</v>
      </c>
      <c r="O48" s="56">
        <v>107</v>
      </c>
      <c r="P48" s="56">
        <v>81</v>
      </c>
      <c r="Q48" s="56">
        <v>77</v>
      </c>
      <c r="R48" s="56">
        <v>121</v>
      </c>
      <c r="S48" s="56">
        <v>123</v>
      </c>
      <c r="T48" s="56">
        <v>88</v>
      </c>
      <c r="U48" s="56">
        <v>86</v>
      </c>
      <c r="V48" s="56">
        <v>42</v>
      </c>
      <c r="W48" s="56">
        <v>1706</v>
      </c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</row>
    <row r="56" spans="1:34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</row>
    <row r="57" spans="1:34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</row>
    <row r="63" spans="1:34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</row>
    <row r="65" spans="1:34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</row>
    <row r="66" spans="1:34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T64"/>
  <sheetViews>
    <sheetView workbookViewId="0"/>
  </sheetViews>
  <sheetFormatPr defaultRowHeight="15" x14ac:dyDescent="0.25"/>
  <cols>
    <col min="1" max="1" width="17.140625" style="33" customWidth="1"/>
    <col min="2" max="2" width="16.85546875" style="33" customWidth="1"/>
    <col min="3" max="3" width="14.42578125" style="33" customWidth="1"/>
    <col min="4" max="4" width="30.42578125" style="33" customWidth="1"/>
    <col min="5" max="5" width="18.7109375" style="33" customWidth="1"/>
    <col min="6" max="6" width="9.7109375" style="33" customWidth="1"/>
    <col min="7" max="7" width="10.42578125" style="33" customWidth="1"/>
    <col min="8" max="10" width="11.7109375" style="33" customWidth="1"/>
    <col min="11" max="11" width="14.5703125" style="33" customWidth="1"/>
    <col min="12" max="12" width="14.42578125" style="33" customWidth="1"/>
    <col min="13" max="13" width="18.7109375" style="33" customWidth="1"/>
    <col min="14" max="14" width="13.5703125" style="33" customWidth="1"/>
    <col min="15" max="15" width="9.7109375" style="33" customWidth="1"/>
    <col min="16" max="16" width="10.7109375" style="33" customWidth="1"/>
    <col min="17" max="17" width="10.42578125" style="33" customWidth="1"/>
    <col min="18" max="18" width="30.42578125" style="33" customWidth="1"/>
    <col min="19" max="19" width="9" style="33" customWidth="1"/>
    <col min="20" max="20" width="14.5703125" style="33" bestFit="1" customWidth="1"/>
    <col min="21" max="21" width="14.42578125" style="33" bestFit="1" customWidth="1"/>
    <col min="22" max="22" width="18.7109375" style="33" customWidth="1"/>
    <col min="23" max="23" width="13.5703125" style="33" customWidth="1"/>
    <col min="24" max="24" width="9.7109375" style="33" customWidth="1"/>
    <col min="25" max="25" width="10.7109375" style="33" customWidth="1"/>
    <col min="26" max="26" width="10.42578125" style="33" bestFit="1" customWidth="1"/>
    <col min="27" max="27" width="30.42578125" style="33" customWidth="1"/>
    <col min="28" max="28" width="8.85546875" style="33" customWidth="1"/>
    <col min="29" max="29" width="14.5703125" style="33" customWidth="1"/>
    <col min="30" max="30" width="14.42578125" style="33" customWidth="1"/>
    <col min="31" max="31" width="18.7109375" style="33" customWidth="1"/>
    <col min="32" max="32" width="13.5703125" style="33" customWidth="1"/>
    <col min="33" max="33" width="9.7109375" style="33" customWidth="1"/>
    <col min="34" max="34" width="10.7109375" style="33" customWidth="1"/>
    <col min="35" max="35" width="10.42578125" style="33" customWidth="1"/>
    <col min="36" max="36" width="30.42578125" style="33" bestFit="1" customWidth="1"/>
    <col min="37" max="37" width="8.85546875" style="33" customWidth="1"/>
    <col min="38" max="38" width="14.5703125" style="33" bestFit="1" customWidth="1"/>
    <col min="39" max="39" width="14.42578125" style="33" bestFit="1" customWidth="1"/>
    <col min="40" max="40" width="18.7109375" style="33" bestFit="1" customWidth="1"/>
    <col min="41" max="41" width="13.5703125" style="33" bestFit="1" customWidth="1"/>
    <col min="42" max="42" width="9.7109375" style="33" bestFit="1" customWidth="1"/>
    <col min="43" max="43" width="10.7109375" style="33" bestFit="1" customWidth="1"/>
    <col min="44" max="44" width="10.42578125" style="33" bestFit="1" customWidth="1"/>
    <col min="45" max="45" width="30.42578125" style="33" bestFit="1" customWidth="1"/>
    <col min="46" max="46" width="8.85546875" style="33" customWidth="1"/>
    <col min="47" max="47" width="14.5703125" style="33" bestFit="1" customWidth="1"/>
    <col min="48" max="48" width="14.42578125" style="33" bestFit="1" customWidth="1"/>
    <col min="49" max="49" width="18.7109375" style="33" bestFit="1" customWidth="1"/>
    <col min="50" max="50" width="13.5703125" style="33" bestFit="1" customWidth="1"/>
    <col min="51" max="51" width="9.7109375" style="33" bestFit="1" customWidth="1"/>
    <col min="52" max="52" width="10.7109375" style="33" bestFit="1" customWidth="1"/>
    <col min="53" max="53" width="10.42578125" style="33" bestFit="1" customWidth="1"/>
    <col min="54" max="54" width="30.42578125" style="33" bestFit="1" customWidth="1"/>
    <col min="55" max="55" width="8.85546875" style="33" customWidth="1"/>
    <col min="56" max="56" width="14.5703125" style="33" bestFit="1" customWidth="1"/>
    <col min="57" max="57" width="14.42578125" style="33" bestFit="1" customWidth="1"/>
    <col min="58" max="58" width="18.7109375" style="33" bestFit="1" customWidth="1"/>
    <col min="59" max="59" width="13.5703125" style="33" bestFit="1" customWidth="1"/>
    <col min="60" max="60" width="9.7109375" style="33" bestFit="1" customWidth="1"/>
    <col min="61" max="61" width="10.7109375" style="33" bestFit="1" customWidth="1"/>
    <col min="62" max="62" width="10.42578125" style="33" bestFit="1" customWidth="1"/>
    <col min="63" max="63" width="30.42578125" style="33" bestFit="1" customWidth="1"/>
    <col min="64" max="64" width="9.85546875" style="33" bestFit="1" customWidth="1"/>
    <col min="65" max="65" width="14.5703125" style="33" bestFit="1" customWidth="1"/>
    <col min="66" max="66" width="14.42578125" style="33" bestFit="1" customWidth="1"/>
    <col min="67" max="67" width="18.7109375" style="33" bestFit="1" customWidth="1"/>
    <col min="68" max="68" width="13.5703125" style="33" bestFit="1" customWidth="1"/>
    <col min="69" max="69" width="9.7109375" style="33" bestFit="1" customWidth="1"/>
    <col min="70" max="70" width="10.7109375" style="33" bestFit="1" customWidth="1"/>
    <col min="71" max="71" width="10.42578125" style="33" bestFit="1" customWidth="1"/>
    <col min="72" max="72" width="30.42578125" style="33" bestFit="1" customWidth="1"/>
    <col min="73" max="73" width="9.85546875" style="33" bestFit="1" customWidth="1"/>
    <col min="74" max="74" width="14.5703125" style="33" bestFit="1" customWidth="1"/>
    <col min="75" max="75" width="14.42578125" style="33" bestFit="1" customWidth="1"/>
    <col min="76" max="76" width="18.7109375" style="33" bestFit="1" customWidth="1"/>
    <col min="77" max="77" width="13.5703125" style="33" bestFit="1" customWidth="1"/>
    <col min="78" max="78" width="9.7109375" style="33" bestFit="1" customWidth="1"/>
    <col min="79" max="79" width="10.7109375" style="33" bestFit="1" customWidth="1"/>
    <col min="80" max="80" width="10.42578125" style="33" bestFit="1" customWidth="1"/>
    <col min="81" max="81" width="30.42578125" style="33" bestFit="1" customWidth="1"/>
    <col min="82" max="82" width="9.85546875" style="33" bestFit="1" customWidth="1"/>
    <col min="83" max="83" width="14.5703125" style="33" bestFit="1" customWidth="1"/>
    <col min="84" max="84" width="14.42578125" style="33" bestFit="1" customWidth="1"/>
    <col min="85" max="85" width="18.7109375" style="33" bestFit="1" customWidth="1"/>
    <col min="86" max="86" width="13.5703125" style="33" bestFit="1" customWidth="1"/>
    <col min="87" max="87" width="9.7109375" style="33" bestFit="1" customWidth="1"/>
    <col min="88" max="88" width="10.7109375" style="33" bestFit="1" customWidth="1"/>
    <col min="89" max="89" width="10.42578125" style="33" bestFit="1" customWidth="1"/>
    <col min="90" max="90" width="30.42578125" style="33" bestFit="1" customWidth="1"/>
    <col min="91" max="91" width="9.85546875" style="33" bestFit="1" customWidth="1"/>
    <col min="92" max="92" width="14.5703125" style="33" bestFit="1" customWidth="1"/>
    <col min="93" max="93" width="14.42578125" style="33" bestFit="1" customWidth="1"/>
    <col min="94" max="94" width="18.7109375" style="33" bestFit="1" customWidth="1"/>
    <col min="95" max="95" width="13.5703125" style="33" bestFit="1" customWidth="1"/>
    <col min="96" max="96" width="9.7109375" style="33" bestFit="1" customWidth="1"/>
    <col min="97" max="97" width="10.7109375" style="33" bestFit="1" customWidth="1"/>
    <col min="98" max="98" width="10.42578125" style="33" bestFit="1" customWidth="1"/>
    <col min="99" max="99" width="30.42578125" style="33" bestFit="1" customWidth="1"/>
    <col min="100" max="100" width="9.85546875" style="33" bestFit="1" customWidth="1"/>
    <col min="101" max="101" width="14.5703125" style="33" bestFit="1" customWidth="1"/>
    <col min="102" max="102" width="14.42578125" style="33" bestFit="1" customWidth="1"/>
    <col min="103" max="103" width="18.7109375" style="33" bestFit="1" customWidth="1"/>
    <col min="104" max="104" width="13.5703125" style="33" bestFit="1" customWidth="1"/>
    <col min="105" max="105" width="9.7109375" style="33" bestFit="1" customWidth="1"/>
    <col min="106" max="106" width="10.7109375" style="33" bestFit="1" customWidth="1"/>
    <col min="107" max="107" width="10.42578125" style="33" bestFit="1" customWidth="1"/>
    <col min="108" max="108" width="30.42578125" style="33" bestFit="1" customWidth="1"/>
    <col min="109" max="109" width="9.85546875" style="33" bestFit="1" customWidth="1"/>
    <col min="110" max="110" width="14.5703125" style="33" bestFit="1" customWidth="1"/>
    <col min="111" max="111" width="14.42578125" style="33" bestFit="1" customWidth="1"/>
    <col min="112" max="112" width="18.7109375" style="33" bestFit="1" customWidth="1"/>
    <col min="113" max="113" width="13.5703125" style="33" bestFit="1" customWidth="1"/>
    <col min="114" max="114" width="9.7109375" style="33" bestFit="1" customWidth="1"/>
    <col min="115" max="115" width="10.7109375" style="33" bestFit="1" customWidth="1"/>
    <col min="116" max="116" width="10.42578125" style="33" bestFit="1" customWidth="1"/>
    <col min="117" max="117" width="30.42578125" style="33" bestFit="1" customWidth="1"/>
    <col min="118" max="118" width="9.85546875" style="33" bestFit="1" customWidth="1"/>
    <col min="119" max="119" width="14.5703125" style="33" bestFit="1" customWidth="1"/>
    <col min="120" max="120" width="14.42578125" style="33" bestFit="1" customWidth="1"/>
    <col min="121" max="121" width="18.7109375" style="33" bestFit="1" customWidth="1"/>
    <col min="122" max="122" width="13.5703125" style="33" bestFit="1" customWidth="1"/>
    <col min="123" max="123" width="9.7109375" style="33" bestFit="1" customWidth="1"/>
    <col min="124" max="124" width="10.7109375" style="33" bestFit="1" customWidth="1"/>
    <col min="125" max="125" width="10.42578125" style="33" bestFit="1" customWidth="1"/>
    <col min="126" max="126" width="30.42578125" style="33" bestFit="1" customWidth="1"/>
    <col min="127" max="127" width="9.5703125" style="33" bestFit="1" customWidth="1"/>
    <col min="128" max="128" width="14.5703125" style="33" bestFit="1" customWidth="1"/>
    <col min="129" max="129" width="14.42578125" style="33" bestFit="1" customWidth="1"/>
    <col min="130" max="130" width="18.7109375" style="33" bestFit="1" customWidth="1"/>
    <col min="131" max="131" width="13.5703125" style="33" bestFit="1" customWidth="1"/>
    <col min="132" max="132" width="9.7109375" style="33" bestFit="1" customWidth="1"/>
    <col min="133" max="133" width="10.7109375" style="33" bestFit="1" customWidth="1"/>
    <col min="134" max="134" width="10.42578125" style="33" bestFit="1" customWidth="1"/>
    <col min="135" max="135" width="30.42578125" style="33" bestFit="1" customWidth="1"/>
    <col min="136" max="136" width="10.42578125" style="33" bestFit="1" customWidth="1"/>
    <col min="137" max="137" width="14.5703125" style="33" bestFit="1" customWidth="1"/>
    <col min="138" max="138" width="14.42578125" style="33" bestFit="1" customWidth="1"/>
    <col min="139" max="139" width="18.7109375" style="33" bestFit="1" customWidth="1"/>
    <col min="140" max="140" width="13.5703125" style="33" bestFit="1" customWidth="1"/>
    <col min="141" max="141" width="9.7109375" style="33" bestFit="1" customWidth="1"/>
    <col min="142" max="142" width="10.7109375" style="33" bestFit="1" customWidth="1"/>
    <col min="143" max="143" width="10.42578125" style="33" bestFit="1" customWidth="1"/>
    <col min="144" max="144" width="30.42578125" style="33" bestFit="1" customWidth="1"/>
    <col min="145" max="145" width="10" style="33" bestFit="1" customWidth="1"/>
    <col min="146" max="146" width="14.5703125" style="33" bestFit="1" customWidth="1"/>
    <col min="147" max="147" width="14.42578125" style="33" bestFit="1" customWidth="1"/>
    <col min="148" max="148" width="18.7109375" style="33" bestFit="1" customWidth="1"/>
    <col min="149" max="149" width="13.5703125" style="33" bestFit="1" customWidth="1"/>
    <col min="150" max="150" width="9.7109375" style="33" bestFit="1" customWidth="1"/>
    <col min="151" max="151" width="10.7109375" style="33" bestFit="1" customWidth="1"/>
    <col min="152" max="152" width="10.42578125" style="33" bestFit="1" customWidth="1"/>
    <col min="153" max="153" width="30.42578125" style="33" bestFit="1" customWidth="1"/>
    <col min="154" max="154" width="9.85546875" style="33" bestFit="1" customWidth="1"/>
    <col min="155" max="155" width="14.5703125" style="33" bestFit="1" customWidth="1"/>
    <col min="156" max="156" width="14.42578125" style="33" bestFit="1" customWidth="1"/>
    <col min="157" max="157" width="18.7109375" style="33" bestFit="1" customWidth="1"/>
    <col min="158" max="158" width="9.7109375" style="33" bestFit="1" customWidth="1"/>
    <col min="159" max="159" width="10.7109375" style="33" bestFit="1" customWidth="1"/>
    <col min="160" max="160" width="10.42578125" style="33" bestFit="1" customWidth="1"/>
    <col min="161" max="161" width="30.42578125" style="33" bestFit="1" customWidth="1"/>
    <col min="162" max="162" width="9.85546875" style="33" bestFit="1" customWidth="1"/>
    <col min="163" max="163" width="14.5703125" style="33" bestFit="1" customWidth="1"/>
    <col min="164" max="164" width="14.42578125" style="33" bestFit="1" customWidth="1"/>
    <col min="165" max="165" width="18.7109375" style="33" bestFit="1" customWidth="1"/>
    <col min="166" max="166" width="13.5703125" style="33" bestFit="1" customWidth="1"/>
    <col min="167" max="167" width="9.7109375" style="33" bestFit="1" customWidth="1"/>
    <col min="168" max="168" width="10.7109375" style="33" bestFit="1" customWidth="1"/>
    <col min="169" max="169" width="10.42578125" style="33" bestFit="1" customWidth="1"/>
    <col min="170" max="170" width="30.42578125" style="33" bestFit="1" customWidth="1"/>
    <col min="171" max="171" width="9.85546875" style="33" bestFit="1" customWidth="1"/>
    <col min="172" max="172" width="14.5703125" style="33" bestFit="1" customWidth="1"/>
    <col min="173" max="173" width="14.42578125" style="33" bestFit="1" customWidth="1"/>
    <col min="174" max="174" width="18.7109375" style="33" bestFit="1" customWidth="1"/>
    <col min="175" max="175" width="13.5703125" style="33" bestFit="1" customWidth="1"/>
    <col min="176" max="176" width="9.7109375" style="33" bestFit="1" customWidth="1"/>
    <col min="177" max="177" width="10.7109375" style="33" bestFit="1" customWidth="1"/>
    <col min="178" max="178" width="10.42578125" style="33" bestFit="1" customWidth="1"/>
    <col min="179" max="179" width="30.42578125" style="33" bestFit="1" customWidth="1"/>
    <col min="180" max="180" width="9.85546875" style="33" bestFit="1" customWidth="1"/>
    <col min="181" max="181" width="14.5703125" style="33" bestFit="1" customWidth="1"/>
    <col min="182" max="182" width="14.42578125" style="33" bestFit="1" customWidth="1"/>
    <col min="183" max="183" width="18.7109375" style="33" bestFit="1" customWidth="1"/>
    <col min="184" max="184" width="13.5703125" style="33" bestFit="1" customWidth="1"/>
    <col min="185" max="185" width="9.7109375" style="33" bestFit="1" customWidth="1"/>
    <col min="186" max="186" width="10.7109375" style="33" bestFit="1" customWidth="1"/>
    <col min="187" max="187" width="10.42578125" style="33" bestFit="1" customWidth="1"/>
    <col min="188" max="188" width="30.42578125" style="33" bestFit="1" customWidth="1"/>
    <col min="189" max="189" width="9.5703125" style="33" bestFit="1" customWidth="1"/>
    <col min="190" max="190" width="14.5703125" style="33" bestFit="1" customWidth="1"/>
    <col min="191" max="191" width="14.42578125" style="33" bestFit="1" customWidth="1"/>
    <col min="192" max="192" width="18.7109375" style="33" bestFit="1" customWidth="1"/>
    <col min="193" max="193" width="13.5703125" style="33" bestFit="1" customWidth="1"/>
    <col min="194" max="194" width="9.7109375" style="33" bestFit="1" customWidth="1"/>
    <col min="195" max="195" width="10.7109375" style="33" bestFit="1" customWidth="1"/>
    <col min="196" max="196" width="10.42578125" style="33" bestFit="1" customWidth="1"/>
    <col min="197" max="197" width="30.42578125" style="33" bestFit="1" customWidth="1"/>
    <col min="198" max="198" width="9.42578125" style="33" bestFit="1" customWidth="1"/>
    <col min="199" max="199" width="14.5703125" style="33" bestFit="1" customWidth="1"/>
    <col min="200" max="200" width="14.42578125" style="33" bestFit="1" customWidth="1"/>
    <col min="201" max="201" width="18.7109375" style="33" bestFit="1" customWidth="1"/>
    <col min="202" max="202" width="13.5703125" style="33" bestFit="1" customWidth="1"/>
    <col min="203" max="203" width="9.7109375" style="33" bestFit="1" customWidth="1"/>
    <col min="204" max="204" width="10.7109375" style="33" bestFit="1" customWidth="1"/>
    <col min="205" max="205" width="10.42578125" style="33" bestFit="1" customWidth="1"/>
    <col min="206" max="206" width="30.42578125" style="33" bestFit="1" customWidth="1"/>
    <col min="207" max="207" width="8.85546875" style="33" customWidth="1"/>
    <col min="208" max="208" width="14.5703125" style="33" bestFit="1" customWidth="1"/>
    <col min="209" max="209" width="14.42578125" style="33" bestFit="1" customWidth="1"/>
    <col min="210" max="210" width="18.7109375" style="33" bestFit="1" customWidth="1"/>
    <col min="211" max="211" width="13.5703125" style="33" bestFit="1" customWidth="1"/>
    <col min="212" max="212" width="9.7109375" style="33" bestFit="1" customWidth="1"/>
    <col min="213" max="213" width="10.7109375" style="33" bestFit="1" customWidth="1"/>
    <col min="214" max="214" width="10.42578125" style="33" bestFit="1" customWidth="1"/>
    <col min="215" max="215" width="30.42578125" style="33" bestFit="1" customWidth="1"/>
    <col min="216" max="216" width="9.85546875" style="33" bestFit="1" customWidth="1"/>
    <col min="217" max="217" width="14.5703125" style="33" bestFit="1" customWidth="1"/>
    <col min="218" max="218" width="14.42578125" style="33" bestFit="1" customWidth="1"/>
    <col min="219" max="219" width="18.7109375" style="33" bestFit="1" customWidth="1"/>
    <col min="220" max="220" width="13.5703125" style="33" bestFit="1" customWidth="1"/>
    <col min="221" max="221" width="9.7109375" style="33" bestFit="1" customWidth="1"/>
    <col min="222" max="222" width="10.7109375" style="33" bestFit="1" customWidth="1"/>
    <col min="223" max="223" width="10.42578125" style="33" bestFit="1" customWidth="1"/>
    <col min="224" max="224" width="30.42578125" style="33" bestFit="1" customWidth="1"/>
    <col min="225" max="225" width="9.85546875" style="33" bestFit="1" customWidth="1"/>
    <col min="226" max="226" width="14.5703125" style="33" bestFit="1" customWidth="1"/>
    <col min="227" max="227" width="14.42578125" style="33" bestFit="1" customWidth="1"/>
    <col min="228" max="228" width="18.7109375" style="33" bestFit="1" customWidth="1"/>
    <col min="229" max="229" width="13.5703125" style="33" bestFit="1" customWidth="1"/>
    <col min="230" max="230" width="9.7109375" style="33" bestFit="1" customWidth="1"/>
    <col min="231" max="231" width="10.7109375" style="33" bestFit="1" customWidth="1"/>
    <col min="232" max="232" width="10.42578125" style="33" bestFit="1" customWidth="1"/>
    <col min="233" max="233" width="30.42578125" style="33" bestFit="1" customWidth="1"/>
    <col min="234" max="234" width="9.85546875" style="33" bestFit="1" customWidth="1"/>
    <col min="235" max="235" width="14.5703125" style="33" bestFit="1" customWidth="1"/>
    <col min="236" max="236" width="14.42578125" style="33" bestFit="1" customWidth="1"/>
    <col min="237" max="237" width="18.7109375" style="33" bestFit="1" customWidth="1"/>
    <col min="238" max="238" width="13.5703125" style="33" bestFit="1" customWidth="1"/>
    <col min="239" max="239" width="9.7109375" style="33" bestFit="1" customWidth="1"/>
    <col min="240" max="240" width="10.7109375" style="33" bestFit="1" customWidth="1"/>
    <col min="241" max="241" width="10.42578125" style="33" bestFit="1" customWidth="1"/>
    <col min="242" max="242" width="30.42578125" style="33" bestFit="1" customWidth="1"/>
    <col min="243" max="243" width="9.85546875" style="33" bestFit="1" customWidth="1"/>
    <col min="244" max="244" width="14.5703125" style="33" bestFit="1" customWidth="1"/>
    <col min="245" max="245" width="14.42578125" style="33" bestFit="1" customWidth="1"/>
    <col min="246" max="246" width="18.7109375" style="33" bestFit="1" customWidth="1"/>
    <col min="247" max="247" width="13.5703125" style="33" bestFit="1" customWidth="1"/>
    <col min="248" max="248" width="9.7109375" style="33" bestFit="1" customWidth="1"/>
    <col min="249" max="249" width="10.7109375" style="33" bestFit="1" customWidth="1"/>
    <col min="250" max="250" width="10.42578125" style="33" bestFit="1" customWidth="1"/>
    <col min="251" max="251" width="30.42578125" style="33" bestFit="1" customWidth="1"/>
    <col min="252" max="252" width="9.85546875" style="33" bestFit="1" customWidth="1"/>
    <col min="253" max="253" width="14.5703125" style="33" bestFit="1" customWidth="1"/>
    <col min="254" max="254" width="14.42578125" style="33" bestFit="1" customWidth="1"/>
    <col min="255" max="255" width="18.7109375" style="33" bestFit="1" customWidth="1"/>
    <col min="256" max="256" width="13.5703125" style="33" bestFit="1" customWidth="1"/>
    <col min="257" max="257" width="9.7109375" style="33" bestFit="1" customWidth="1"/>
    <col min="258" max="258" width="10.7109375" style="33" bestFit="1" customWidth="1"/>
    <col min="259" max="259" width="10.42578125" style="33" bestFit="1" customWidth="1"/>
    <col min="260" max="260" width="30.42578125" style="33" bestFit="1" customWidth="1"/>
    <col min="261" max="261" width="9.42578125" style="33" bestFit="1" customWidth="1"/>
    <col min="262" max="262" width="14.5703125" style="33" bestFit="1" customWidth="1"/>
    <col min="263" max="263" width="14.42578125" style="33" bestFit="1" customWidth="1"/>
    <col min="264" max="264" width="18.7109375" style="33" bestFit="1" customWidth="1"/>
    <col min="265" max="265" width="13.5703125" style="33" bestFit="1" customWidth="1"/>
    <col min="266" max="266" width="9.7109375" style="33" bestFit="1" customWidth="1"/>
    <col min="267" max="267" width="10.7109375" style="33" bestFit="1" customWidth="1"/>
    <col min="268" max="268" width="10.42578125" style="33" bestFit="1" customWidth="1"/>
    <col min="269" max="269" width="30.42578125" style="33" bestFit="1" customWidth="1"/>
    <col min="270" max="270" width="10.42578125" style="33" bestFit="1" customWidth="1"/>
    <col min="271" max="271" width="14.5703125" style="33" bestFit="1" customWidth="1"/>
    <col min="272" max="272" width="14.42578125" style="33" bestFit="1" customWidth="1"/>
    <col min="273" max="273" width="18.7109375" style="33" bestFit="1" customWidth="1"/>
    <col min="274" max="274" width="13.5703125" style="33" bestFit="1" customWidth="1"/>
    <col min="275" max="275" width="9.7109375" style="33" bestFit="1" customWidth="1"/>
    <col min="276" max="276" width="10.7109375" style="33" bestFit="1" customWidth="1"/>
    <col min="277" max="277" width="10.42578125" style="33" bestFit="1" customWidth="1"/>
    <col min="278" max="278" width="30.42578125" style="33" bestFit="1" customWidth="1"/>
    <col min="279" max="279" width="10.42578125" style="33" bestFit="1" customWidth="1"/>
    <col min="280" max="280" width="11.7109375" style="33" bestFit="1" customWidth="1"/>
    <col min="281" max="16384" width="9.140625" style="33"/>
  </cols>
  <sheetData>
    <row r="1" spans="1:280" x14ac:dyDescent="0.25">
      <c r="A1" s="54" t="s">
        <v>294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</row>
    <row r="2" spans="1:280" x14ac:dyDescent="0.25">
      <c r="A2" s="54" t="s">
        <v>164</v>
      </c>
      <c r="B2" t="s">
        <v>154</v>
      </c>
      <c r="C2" t="s">
        <v>155</v>
      </c>
      <c r="D2" t="s">
        <v>228</v>
      </c>
      <c r="E2" t="s">
        <v>156</v>
      </c>
      <c r="F2" t="s">
        <v>158</v>
      </c>
      <c r="G2" t="s">
        <v>110</v>
      </c>
      <c r="H2" t="s">
        <v>165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</row>
    <row r="3" spans="1:280" x14ac:dyDescent="0.25">
      <c r="A3" s="55" t="s">
        <v>2</v>
      </c>
      <c r="B3" s="56">
        <v>2</v>
      </c>
      <c r="C3" s="56">
        <v>67</v>
      </c>
      <c r="D3" s="56">
        <v>83</v>
      </c>
      <c r="E3" s="56">
        <v>45</v>
      </c>
      <c r="F3" s="56">
        <v>1</v>
      </c>
      <c r="G3" s="56">
        <v>32</v>
      </c>
      <c r="H3" s="56">
        <v>230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</row>
    <row r="4" spans="1:280" x14ac:dyDescent="0.25">
      <c r="A4" s="57" t="s">
        <v>0</v>
      </c>
      <c r="B4" s="56">
        <v>2</v>
      </c>
      <c r="C4" s="56">
        <v>67</v>
      </c>
      <c r="D4" s="56">
        <v>83</v>
      </c>
      <c r="E4" s="56">
        <v>45</v>
      </c>
      <c r="F4" s="56">
        <v>1</v>
      </c>
      <c r="G4" s="56">
        <v>32</v>
      </c>
      <c r="H4" s="56">
        <v>230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</row>
    <row r="5" spans="1:280" x14ac:dyDescent="0.25">
      <c r="A5" s="110" t="s">
        <v>9</v>
      </c>
      <c r="B5" s="56"/>
      <c r="C5" s="56">
        <v>4</v>
      </c>
      <c r="D5" s="56"/>
      <c r="E5" s="56">
        <v>1</v>
      </c>
      <c r="F5" s="56"/>
      <c r="G5" s="56"/>
      <c r="H5" s="56">
        <v>5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</row>
    <row r="6" spans="1:280" x14ac:dyDescent="0.25">
      <c r="A6" s="110" t="s">
        <v>10</v>
      </c>
      <c r="B6" s="56"/>
      <c r="C6" s="56">
        <v>27</v>
      </c>
      <c r="D6" s="56">
        <v>59</v>
      </c>
      <c r="E6" s="56">
        <v>5</v>
      </c>
      <c r="F6" s="56"/>
      <c r="G6" s="56"/>
      <c r="H6" s="56">
        <v>91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</row>
    <row r="7" spans="1:280" x14ac:dyDescent="0.25">
      <c r="A7" s="110" t="s">
        <v>11</v>
      </c>
      <c r="B7" s="56"/>
      <c r="C7" s="56">
        <v>3</v>
      </c>
      <c r="D7" s="56">
        <v>3</v>
      </c>
      <c r="E7" s="56">
        <v>6</v>
      </c>
      <c r="F7" s="56"/>
      <c r="G7" s="56"/>
      <c r="H7" s="56">
        <v>12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</row>
    <row r="8" spans="1:280" x14ac:dyDescent="0.25">
      <c r="A8" s="110" t="s">
        <v>106</v>
      </c>
      <c r="B8" s="56"/>
      <c r="C8" s="56">
        <v>3</v>
      </c>
      <c r="D8" s="56"/>
      <c r="E8" s="56">
        <v>4</v>
      </c>
      <c r="F8" s="56">
        <v>1</v>
      </c>
      <c r="G8" s="56"/>
      <c r="H8" s="56">
        <v>8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280" x14ac:dyDescent="0.25">
      <c r="A9" s="110" t="s">
        <v>12</v>
      </c>
      <c r="B9" s="56">
        <v>2</v>
      </c>
      <c r="C9" s="56">
        <v>2</v>
      </c>
      <c r="D9" s="56">
        <v>13</v>
      </c>
      <c r="E9" s="56">
        <v>4</v>
      </c>
      <c r="F9" s="56"/>
      <c r="G9" s="56"/>
      <c r="H9" s="56">
        <v>21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280" x14ac:dyDescent="0.25">
      <c r="A10" s="110" t="s">
        <v>236</v>
      </c>
      <c r="B10" s="56"/>
      <c r="C10" s="56"/>
      <c r="D10" s="56"/>
      <c r="E10" s="56">
        <v>1</v>
      </c>
      <c r="F10" s="56"/>
      <c r="G10" s="56"/>
      <c r="H10" s="56">
        <v>1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280" x14ac:dyDescent="0.25">
      <c r="A11" s="110" t="s">
        <v>13</v>
      </c>
      <c r="B11" s="56"/>
      <c r="C11" s="56">
        <v>7</v>
      </c>
      <c r="D11" s="56">
        <v>5</v>
      </c>
      <c r="E11" s="56">
        <v>10</v>
      </c>
      <c r="F11" s="56"/>
      <c r="G11" s="56"/>
      <c r="H11" s="56">
        <v>22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280" x14ac:dyDescent="0.25">
      <c r="A12" s="110" t="s">
        <v>23</v>
      </c>
      <c r="B12" s="56"/>
      <c r="C12" s="56">
        <v>2</v>
      </c>
      <c r="D12" s="56"/>
      <c r="E12" s="56">
        <v>5</v>
      </c>
      <c r="F12" s="56"/>
      <c r="G12" s="56">
        <v>2</v>
      </c>
      <c r="H12" s="56">
        <v>9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280" x14ac:dyDescent="0.25">
      <c r="A13" s="110" t="s">
        <v>110</v>
      </c>
      <c r="B13" s="56"/>
      <c r="C13" s="56">
        <v>1</v>
      </c>
      <c r="D13" s="56"/>
      <c r="E13" s="56"/>
      <c r="F13" s="56"/>
      <c r="G13" s="56">
        <v>29</v>
      </c>
      <c r="H13" s="56">
        <v>30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280" x14ac:dyDescent="0.25">
      <c r="A14" s="110" t="s">
        <v>56</v>
      </c>
      <c r="B14" s="56"/>
      <c r="C14" s="56">
        <v>6</v>
      </c>
      <c r="D14" s="56"/>
      <c r="E14" s="56">
        <v>3</v>
      </c>
      <c r="F14" s="56"/>
      <c r="G14" s="56"/>
      <c r="H14" s="56">
        <v>9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280" x14ac:dyDescent="0.25">
      <c r="A15" s="110" t="s">
        <v>234</v>
      </c>
      <c r="B15" s="56"/>
      <c r="C15" s="56"/>
      <c r="D15" s="56"/>
      <c r="E15" s="56">
        <v>3</v>
      </c>
      <c r="F15" s="56"/>
      <c r="G15" s="56"/>
      <c r="H15" s="56">
        <v>3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280" x14ac:dyDescent="0.25">
      <c r="A16" s="110" t="s">
        <v>153</v>
      </c>
      <c r="B16" s="56"/>
      <c r="C16" s="56">
        <v>1</v>
      </c>
      <c r="D16" s="56"/>
      <c r="E16" s="56"/>
      <c r="F16" s="56"/>
      <c r="G16" s="56"/>
      <c r="H16" s="56">
        <v>1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110" t="s">
        <v>14</v>
      </c>
      <c r="B17" s="56"/>
      <c r="C17" s="56">
        <v>3</v>
      </c>
      <c r="D17" s="56"/>
      <c r="E17" s="56"/>
      <c r="F17" s="56"/>
      <c r="G17" s="56"/>
      <c r="H17" s="56">
        <v>3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110" t="s">
        <v>277</v>
      </c>
      <c r="B18" s="56"/>
      <c r="C18" s="56">
        <v>3</v>
      </c>
      <c r="D18" s="56">
        <v>3</v>
      </c>
      <c r="E18" s="56"/>
      <c r="F18" s="56"/>
      <c r="G18" s="56"/>
      <c r="H18" s="56">
        <v>6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110" t="s">
        <v>15</v>
      </c>
      <c r="B19" s="56"/>
      <c r="C19" s="56">
        <v>2</v>
      </c>
      <c r="D19" s="56"/>
      <c r="E19" s="56">
        <v>1</v>
      </c>
      <c r="F19" s="56"/>
      <c r="G19" s="56">
        <v>1</v>
      </c>
      <c r="H19" s="56">
        <v>4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110" t="s">
        <v>16</v>
      </c>
      <c r="B20" s="56"/>
      <c r="C20" s="56">
        <v>3</v>
      </c>
      <c r="D20" s="56"/>
      <c r="E20" s="56">
        <v>2</v>
      </c>
      <c r="F20" s="56"/>
      <c r="G20" s="56"/>
      <c r="H20" s="56">
        <v>5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55" t="s">
        <v>165</v>
      </c>
      <c r="B21" s="56">
        <v>2</v>
      </c>
      <c r="C21" s="56">
        <v>67</v>
      </c>
      <c r="D21" s="56">
        <v>83</v>
      </c>
      <c r="E21" s="56">
        <v>45</v>
      </c>
      <c r="F21" s="56">
        <v>1</v>
      </c>
      <c r="G21" s="56">
        <v>32</v>
      </c>
      <c r="H21" s="56">
        <v>230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</row>
    <row r="56" spans="1:34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</row>
    <row r="57" spans="1:34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 s="55"/>
      <c r="B61" s="56"/>
      <c r="C61" s="56"/>
      <c r="D61" s="56"/>
      <c r="E61" s="56"/>
      <c r="F61" s="56"/>
      <c r="G61" s="56"/>
      <c r="H61" s="56"/>
      <c r="I61"/>
      <c r="J61"/>
      <c r="K61"/>
      <c r="L61"/>
      <c r="M61"/>
      <c r="N61"/>
      <c r="O61"/>
      <c r="P61"/>
      <c r="Q61"/>
    </row>
    <row r="62" spans="1:34" x14ac:dyDescent="0.25">
      <c r="A62" s="55"/>
      <c r="B62" s="56"/>
      <c r="C62" s="56"/>
      <c r="D62" s="56"/>
      <c r="E62" s="56"/>
      <c r="F62" s="56"/>
      <c r="G62" s="56"/>
      <c r="H62" s="56"/>
      <c r="I62"/>
      <c r="J62"/>
      <c r="K62"/>
      <c r="L62"/>
      <c r="M62"/>
      <c r="N62"/>
      <c r="O62"/>
      <c r="P62"/>
      <c r="Q62"/>
    </row>
    <row r="63" spans="1:34" x14ac:dyDescent="0.25">
      <c r="A63" s="55"/>
      <c r="B63" s="56"/>
      <c r="C63" s="56"/>
      <c r="D63" s="56"/>
      <c r="E63" s="56"/>
      <c r="F63" s="56"/>
      <c r="G63" s="56"/>
      <c r="H63" s="56"/>
      <c r="I63"/>
      <c r="J63"/>
      <c r="K63"/>
      <c r="L63"/>
      <c r="M63"/>
      <c r="N63"/>
      <c r="O63"/>
      <c r="P63"/>
      <c r="Q63"/>
    </row>
    <row r="64" spans="1:34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799"/>
  <sheetViews>
    <sheetView topLeftCell="A37" workbookViewId="0"/>
  </sheetViews>
  <sheetFormatPr defaultRowHeight="15" x14ac:dyDescent="0.25"/>
  <cols>
    <col min="1" max="1" width="36.7109375" style="33" customWidth="1"/>
    <col min="2" max="2" width="16.85546875" style="33" bestFit="1" customWidth="1"/>
    <col min="3" max="5" width="3.7109375" style="33" customWidth="1"/>
    <col min="6" max="9" width="4.7109375" style="33" customWidth="1"/>
    <col min="10" max="10" width="4.42578125" style="33" customWidth="1"/>
    <col min="11" max="11" width="5.28515625" style="33" customWidth="1"/>
    <col min="12" max="13" width="4.7109375" style="33" customWidth="1"/>
    <col min="14" max="14" width="3.7109375" style="33" customWidth="1"/>
    <col min="15" max="19" width="4.7109375" style="33" customWidth="1"/>
    <col min="20" max="20" width="4.28515625" style="33" customWidth="1"/>
    <col min="21" max="21" width="5.28515625" style="33" bestFit="1" customWidth="1"/>
    <col min="22" max="22" width="5.28515625" style="33" customWidth="1"/>
    <col min="23" max="23" width="11.7109375" style="33" customWidth="1"/>
    <col min="24" max="24" width="4.28515625" style="33" customWidth="1"/>
    <col min="25" max="25" width="4" style="33" customWidth="1"/>
    <col min="26" max="29" width="4.7109375" style="33" bestFit="1" customWidth="1"/>
    <col min="30" max="30" width="4.7109375" style="33" customWidth="1"/>
    <col min="31" max="31" width="4.28515625" style="33" customWidth="1"/>
    <col min="32" max="32" width="5.28515625" style="33" bestFit="1" customWidth="1"/>
    <col min="33" max="33" width="5.28515625" style="33" customWidth="1"/>
    <col min="34" max="34" width="11.7109375" style="33" bestFit="1" customWidth="1"/>
    <col min="35" max="36" width="10.7109375" style="33" bestFit="1" customWidth="1"/>
    <col min="37" max="37" width="7.28515625" style="33" bestFit="1" customWidth="1"/>
    <col min="38" max="38" width="11.28515625" style="33" bestFit="1" customWidth="1"/>
    <col min="39" max="16384" width="9.140625" style="33"/>
  </cols>
  <sheetData>
    <row r="1" spans="1:34" x14ac:dyDescent="0.25">
      <c r="A1" s="54" t="s">
        <v>173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179</v>
      </c>
      <c r="D2" t="s">
        <v>180</v>
      </c>
      <c r="E2" t="s">
        <v>181</v>
      </c>
      <c r="F2" t="s">
        <v>184</v>
      </c>
      <c r="G2" t="s">
        <v>185</v>
      </c>
      <c r="H2" t="s">
        <v>186</v>
      </c>
      <c r="I2" t="s">
        <v>189</v>
      </c>
      <c r="J2" t="s">
        <v>190</v>
      </c>
      <c r="K2" t="s">
        <v>191</v>
      </c>
      <c r="L2" t="s">
        <v>194</v>
      </c>
      <c r="M2" t="s">
        <v>195</v>
      </c>
      <c r="N2" t="s">
        <v>206</v>
      </c>
      <c r="O2" t="s">
        <v>207</v>
      </c>
      <c r="P2" t="s">
        <v>208</v>
      </c>
      <c r="Q2" t="s">
        <v>209</v>
      </c>
      <c r="R2" t="s">
        <v>210</v>
      </c>
      <c r="S2" t="s">
        <v>211</v>
      </c>
      <c r="T2" t="s">
        <v>224</v>
      </c>
      <c r="U2" t="s">
        <v>225</v>
      </c>
      <c r="V2" t="s">
        <v>226</v>
      </c>
      <c r="W2" t="s">
        <v>165</v>
      </c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137</v>
      </c>
      <c r="B3" s="56"/>
      <c r="C3" s="56"/>
      <c r="D3" s="56"/>
      <c r="E3" s="56"/>
      <c r="F3" s="56">
        <v>1</v>
      </c>
      <c r="G3" s="56"/>
      <c r="H3" s="56"/>
      <c r="I3" s="56">
        <v>5</v>
      </c>
      <c r="J3" s="56"/>
      <c r="K3" s="56"/>
      <c r="L3" s="56">
        <v>4</v>
      </c>
      <c r="M3" s="56">
        <v>1</v>
      </c>
      <c r="N3" s="56"/>
      <c r="O3" s="56">
        <v>5</v>
      </c>
      <c r="P3" s="56">
        <v>2</v>
      </c>
      <c r="Q3" s="56"/>
      <c r="R3" s="56">
        <v>2</v>
      </c>
      <c r="S3" s="56"/>
      <c r="T3" s="56"/>
      <c r="U3" s="56"/>
      <c r="V3" s="56"/>
      <c r="W3" s="56">
        <v>20</v>
      </c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0</v>
      </c>
      <c r="B4" s="56"/>
      <c r="C4" s="56"/>
      <c r="D4" s="56"/>
      <c r="E4" s="56"/>
      <c r="F4" s="56">
        <v>1</v>
      </c>
      <c r="G4" s="56"/>
      <c r="H4" s="56"/>
      <c r="I4" s="56">
        <v>3</v>
      </c>
      <c r="J4" s="56"/>
      <c r="K4" s="56"/>
      <c r="L4" s="56">
        <v>4</v>
      </c>
      <c r="M4" s="56"/>
      <c r="N4" s="56"/>
      <c r="O4" s="56">
        <v>2</v>
      </c>
      <c r="P4" s="56">
        <v>1</v>
      </c>
      <c r="Q4" s="56"/>
      <c r="R4" s="56">
        <v>1</v>
      </c>
      <c r="S4" s="56"/>
      <c r="T4" s="56"/>
      <c r="U4" s="56"/>
      <c r="V4" s="56"/>
      <c r="W4" s="56">
        <v>12</v>
      </c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57" t="s">
        <v>1</v>
      </c>
      <c r="B5" s="56"/>
      <c r="C5" s="56"/>
      <c r="D5" s="56"/>
      <c r="E5" s="56"/>
      <c r="F5" s="56"/>
      <c r="G5" s="56"/>
      <c r="H5" s="56"/>
      <c r="I5" s="56">
        <v>2</v>
      </c>
      <c r="J5" s="56"/>
      <c r="K5" s="56"/>
      <c r="L5" s="56"/>
      <c r="M5" s="56">
        <v>1</v>
      </c>
      <c r="N5" s="56"/>
      <c r="O5" s="56">
        <v>3</v>
      </c>
      <c r="P5" s="56">
        <v>1</v>
      </c>
      <c r="Q5" s="56"/>
      <c r="R5" s="56">
        <v>1</v>
      </c>
      <c r="S5" s="56"/>
      <c r="T5" s="56"/>
      <c r="U5" s="56"/>
      <c r="V5" s="56"/>
      <c r="W5" s="56">
        <v>8</v>
      </c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5" t="s">
        <v>130</v>
      </c>
      <c r="B6" s="56">
        <v>5</v>
      </c>
      <c r="C6" s="56">
        <v>20</v>
      </c>
      <c r="D6" s="56">
        <v>10</v>
      </c>
      <c r="E6" s="56">
        <v>19</v>
      </c>
      <c r="F6" s="56">
        <v>21</v>
      </c>
      <c r="G6" s="56">
        <v>18</v>
      </c>
      <c r="H6" s="56">
        <v>3</v>
      </c>
      <c r="I6" s="56">
        <v>16</v>
      </c>
      <c r="J6" s="56">
        <v>16</v>
      </c>
      <c r="K6" s="56">
        <v>36</v>
      </c>
      <c r="L6" s="56">
        <v>18</v>
      </c>
      <c r="M6" s="56">
        <v>9</v>
      </c>
      <c r="N6" s="56">
        <v>8</v>
      </c>
      <c r="O6" s="56">
        <v>22</v>
      </c>
      <c r="P6" s="56">
        <v>18</v>
      </c>
      <c r="Q6" s="56">
        <v>13</v>
      </c>
      <c r="R6" s="56">
        <v>23</v>
      </c>
      <c r="S6" s="56">
        <v>18</v>
      </c>
      <c r="T6" s="56">
        <v>19</v>
      </c>
      <c r="U6" s="56">
        <v>21</v>
      </c>
      <c r="V6" s="56">
        <v>11</v>
      </c>
      <c r="W6" s="56">
        <v>344</v>
      </c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7" t="s">
        <v>0</v>
      </c>
      <c r="B7" s="56">
        <v>4</v>
      </c>
      <c r="C7" s="56">
        <v>12</v>
      </c>
      <c r="D7" s="56">
        <v>6</v>
      </c>
      <c r="E7" s="56">
        <v>10</v>
      </c>
      <c r="F7" s="56">
        <v>14</v>
      </c>
      <c r="G7" s="56">
        <v>7</v>
      </c>
      <c r="H7" s="56">
        <v>3</v>
      </c>
      <c r="I7" s="56">
        <v>7</v>
      </c>
      <c r="J7" s="56">
        <v>9</v>
      </c>
      <c r="K7" s="56">
        <v>21</v>
      </c>
      <c r="L7" s="56">
        <v>13</v>
      </c>
      <c r="M7" s="56">
        <v>4</v>
      </c>
      <c r="N7" s="56">
        <v>3</v>
      </c>
      <c r="O7" s="56">
        <v>11</v>
      </c>
      <c r="P7" s="56">
        <v>14</v>
      </c>
      <c r="Q7" s="56">
        <v>7</v>
      </c>
      <c r="R7" s="56">
        <v>15</v>
      </c>
      <c r="S7" s="56">
        <v>7</v>
      </c>
      <c r="T7" s="56">
        <v>11</v>
      </c>
      <c r="U7" s="56">
        <v>7</v>
      </c>
      <c r="V7" s="56">
        <v>6</v>
      </c>
      <c r="W7" s="56">
        <v>191</v>
      </c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57" t="s">
        <v>1</v>
      </c>
      <c r="B8" s="56">
        <v>1</v>
      </c>
      <c r="C8" s="56">
        <v>8</v>
      </c>
      <c r="D8" s="56">
        <v>4</v>
      </c>
      <c r="E8" s="56">
        <v>9</v>
      </c>
      <c r="F8" s="56">
        <v>7</v>
      </c>
      <c r="G8" s="56">
        <v>10</v>
      </c>
      <c r="H8" s="56"/>
      <c r="I8" s="56">
        <v>9</v>
      </c>
      <c r="J8" s="56">
        <v>7</v>
      </c>
      <c r="K8" s="56">
        <v>15</v>
      </c>
      <c r="L8" s="56">
        <v>5</v>
      </c>
      <c r="M8" s="56">
        <v>5</v>
      </c>
      <c r="N8" s="56">
        <v>5</v>
      </c>
      <c r="O8" s="56">
        <v>11</v>
      </c>
      <c r="P8" s="56">
        <v>4</v>
      </c>
      <c r="Q8" s="56">
        <v>6</v>
      </c>
      <c r="R8" s="56">
        <v>8</v>
      </c>
      <c r="S8" s="56">
        <v>10</v>
      </c>
      <c r="T8" s="56">
        <v>8</v>
      </c>
      <c r="U8" s="56">
        <v>14</v>
      </c>
      <c r="V8" s="56">
        <v>5</v>
      </c>
      <c r="W8" s="56">
        <v>151</v>
      </c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57" t="s">
        <v>310</v>
      </c>
      <c r="B9" s="56"/>
      <c r="C9" s="56"/>
      <c r="D9" s="56"/>
      <c r="E9" s="56"/>
      <c r="F9" s="56"/>
      <c r="G9" s="56">
        <v>1</v>
      </c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>
        <v>1</v>
      </c>
      <c r="T9" s="56"/>
      <c r="U9" s="56"/>
      <c r="V9" s="56"/>
      <c r="W9" s="56">
        <v>2</v>
      </c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55" t="s">
        <v>150</v>
      </c>
      <c r="B10" s="56"/>
      <c r="C10" s="56"/>
      <c r="D10" s="56"/>
      <c r="E10" s="56"/>
      <c r="F10" s="56">
        <v>2</v>
      </c>
      <c r="G10" s="56"/>
      <c r="H10" s="56"/>
      <c r="I10" s="56">
        <v>4</v>
      </c>
      <c r="J10" s="56"/>
      <c r="K10" s="56"/>
      <c r="L10" s="56">
        <v>4</v>
      </c>
      <c r="M10" s="56"/>
      <c r="N10" s="56"/>
      <c r="O10" s="56"/>
      <c r="P10" s="56">
        <v>2</v>
      </c>
      <c r="Q10" s="56"/>
      <c r="R10" s="56"/>
      <c r="S10" s="56"/>
      <c r="T10" s="56"/>
      <c r="U10" s="56"/>
      <c r="V10" s="56"/>
      <c r="W10" s="56">
        <v>12</v>
      </c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57" t="s">
        <v>0</v>
      </c>
      <c r="B11" s="56"/>
      <c r="C11" s="56"/>
      <c r="D11" s="56"/>
      <c r="E11" s="56"/>
      <c r="F11" s="56">
        <v>1</v>
      </c>
      <c r="G11" s="56"/>
      <c r="H11" s="56"/>
      <c r="I11" s="56">
        <v>2</v>
      </c>
      <c r="J11" s="56"/>
      <c r="K11" s="56"/>
      <c r="L11" s="56">
        <v>1</v>
      </c>
      <c r="M11" s="56"/>
      <c r="N11" s="56"/>
      <c r="O11" s="56"/>
      <c r="P11" s="56">
        <v>1</v>
      </c>
      <c r="Q11" s="56"/>
      <c r="R11" s="56"/>
      <c r="S11" s="56"/>
      <c r="T11" s="56"/>
      <c r="U11" s="56"/>
      <c r="V11" s="56"/>
      <c r="W11" s="56">
        <v>5</v>
      </c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57" t="s">
        <v>1</v>
      </c>
      <c r="B12" s="56"/>
      <c r="C12" s="56"/>
      <c r="D12" s="56"/>
      <c r="E12" s="56"/>
      <c r="F12" s="56">
        <v>1</v>
      </c>
      <c r="G12" s="56"/>
      <c r="H12" s="56"/>
      <c r="I12" s="56">
        <v>2</v>
      </c>
      <c r="J12" s="56"/>
      <c r="K12" s="56"/>
      <c r="L12" s="56">
        <v>3</v>
      </c>
      <c r="M12" s="56"/>
      <c r="N12" s="56"/>
      <c r="O12" s="56"/>
      <c r="P12" s="56">
        <v>1</v>
      </c>
      <c r="Q12" s="56"/>
      <c r="R12" s="56"/>
      <c r="S12" s="56"/>
      <c r="T12" s="56"/>
      <c r="U12" s="56"/>
      <c r="V12" s="56"/>
      <c r="W12" s="56">
        <v>7</v>
      </c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5" t="s">
        <v>118</v>
      </c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>
        <v>5</v>
      </c>
      <c r="V13" s="56"/>
      <c r="W13" s="56">
        <v>5</v>
      </c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7" t="s">
        <v>0</v>
      </c>
      <c r="B14" s="56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>
        <v>5</v>
      </c>
      <c r="V14" s="56"/>
      <c r="W14" s="56">
        <v>5</v>
      </c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55" t="s">
        <v>119</v>
      </c>
      <c r="B15" s="56"/>
      <c r="C15" s="56">
        <v>4</v>
      </c>
      <c r="D15" s="56"/>
      <c r="E15" s="56"/>
      <c r="F15" s="56">
        <v>5</v>
      </c>
      <c r="G15" s="56"/>
      <c r="H15" s="56"/>
      <c r="I15" s="56">
        <v>4</v>
      </c>
      <c r="J15" s="56"/>
      <c r="K15" s="56"/>
      <c r="L15" s="56">
        <v>5</v>
      </c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>
        <v>18</v>
      </c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57" t="s">
        <v>0</v>
      </c>
      <c r="B16" s="56"/>
      <c r="C16" s="56">
        <v>4</v>
      </c>
      <c r="D16" s="56"/>
      <c r="E16" s="56"/>
      <c r="F16" s="56">
        <v>5</v>
      </c>
      <c r="G16" s="56"/>
      <c r="H16" s="56"/>
      <c r="I16" s="56">
        <v>4</v>
      </c>
      <c r="J16" s="56"/>
      <c r="K16" s="56"/>
      <c r="L16" s="56">
        <v>5</v>
      </c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>
        <v>18</v>
      </c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55" t="s">
        <v>132</v>
      </c>
      <c r="B17" s="56"/>
      <c r="C17" s="56">
        <v>2</v>
      </c>
      <c r="D17" s="56"/>
      <c r="E17" s="56"/>
      <c r="F17" s="56"/>
      <c r="G17" s="56"/>
      <c r="H17" s="56">
        <v>2</v>
      </c>
      <c r="I17" s="56"/>
      <c r="J17" s="56"/>
      <c r="K17" s="56"/>
      <c r="L17" s="56">
        <v>4</v>
      </c>
      <c r="M17" s="56">
        <v>2</v>
      </c>
      <c r="N17" s="56"/>
      <c r="O17" s="56">
        <v>4</v>
      </c>
      <c r="P17" s="56"/>
      <c r="Q17" s="56">
        <v>2</v>
      </c>
      <c r="R17" s="56"/>
      <c r="S17" s="56">
        <v>2</v>
      </c>
      <c r="T17" s="56">
        <v>2</v>
      </c>
      <c r="U17" s="56"/>
      <c r="V17" s="56">
        <v>4</v>
      </c>
      <c r="W17" s="56">
        <v>24</v>
      </c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57" t="s">
        <v>0</v>
      </c>
      <c r="B18" s="56"/>
      <c r="C18" s="56">
        <v>1</v>
      </c>
      <c r="D18" s="56"/>
      <c r="E18" s="56"/>
      <c r="F18" s="56"/>
      <c r="G18" s="56"/>
      <c r="H18" s="56"/>
      <c r="I18" s="56"/>
      <c r="J18" s="56"/>
      <c r="K18" s="56"/>
      <c r="L18" s="56">
        <v>2</v>
      </c>
      <c r="M18" s="56"/>
      <c r="N18" s="56"/>
      <c r="O18" s="56"/>
      <c r="P18" s="56"/>
      <c r="Q18" s="56">
        <v>1</v>
      </c>
      <c r="R18" s="56"/>
      <c r="S18" s="56">
        <v>1</v>
      </c>
      <c r="T18" s="56">
        <v>1</v>
      </c>
      <c r="U18" s="56"/>
      <c r="V18" s="56">
        <v>2</v>
      </c>
      <c r="W18" s="56">
        <v>8</v>
      </c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57" t="s">
        <v>1</v>
      </c>
      <c r="B19" s="56"/>
      <c r="C19" s="56">
        <v>1</v>
      </c>
      <c r="D19" s="56"/>
      <c r="E19" s="56"/>
      <c r="F19" s="56"/>
      <c r="G19" s="56"/>
      <c r="H19" s="56">
        <v>2</v>
      </c>
      <c r="I19" s="56"/>
      <c r="J19" s="56"/>
      <c r="K19" s="56"/>
      <c r="L19" s="56">
        <v>2</v>
      </c>
      <c r="M19" s="56">
        <v>2</v>
      </c>
      <c r="N19" s="56"/>
      <c r="O19" s="56">
        <v>2</v>
      </c>
      <c r="P19" s="56"/>
      <c r="Q19" s="56">
        <v>1</v>
      </c>
      <c r="R19" s="56"/>
      <c r="S19" s="56">
        <v>1</v>
      </c>
      <c r="T19" s="56">
        <v>1</v>
      </c>
      <c r="U19" s="56"/>
      <c r="V19" s="56">
        <v>2</v>
      </c>
      <c r="W19" s="56">
        <v>14</v>
      </c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57" t="s">
        <v>310</v>
      </c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>
        <v>2</v>
      </c>
      <c r="P20" s="56"/>
      <c r="Q20" s="56"/>
      <c r="R20" s="56"/>
      <c r="S20" s="56"/>
      <c r="T20" s="56"/>
      <c r="U20" s="56"/>
      <c r="V20" s="56"/>
      <c r="W20" s="56">
        <v>2</v>
      </c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55" t="s">
        <v>151</v>
      </c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>
        <v>4</v>
      </c>
      <c r="S21" s="56"/>
      <c r="T21" s="56"/>
      <c r="U21" s="56"/>
      <c r="V21" s="56"/>
      <c r="W21" s="56">
        <v>4</v>
      </c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57" t="s">
        <v>0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>
        <v>1</v>
      </c>
      <c r="S22" s="56"/>
      <c r="T22" s="56"/>
      <c r="U22" s="56"/>
      <c r="V22" s="56"/>
      <c r="W22" s="56">
        <v>1</v>
      </c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 s="57" t="s">
        <v>1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>
        <v>3</v>
      </c>
      <c r="S23" s="56"/>
      <c r="T23" s="56"/>
      <c r="U23" s="56"/>
      <c r="V23" s="56"/>
      <c r="W23" s="56">
        <v>3</v>
      </c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 s="55" t="s">
        <v>120</v>
      </c>
      <c r="B24" s="56"/>
      <c r="C24" s="56">
        <v>4</v>
      </c>
      <c r="D24" s="56"/>
      <c r="E24" s="56"/>
      <c r="F24" s="56">
        <v>4</v>
      </c>
      <c r="G24" s="56"/>
      <c r="H24" s="56"/>
      <c r="I24" s="56">
        <v>4</v>
      </c>
      <c r="J24" s="56"/>
      <c r="K24" s="56"/>
      <c r="L24" s="56">
        <v>4</v>
      </c>
      <c r="M24" s="56"/>
      <c r="N24" s="56"/>
      <c r="O24" s="56"/>
      <c r="P24" s="56">
        <v>6</v>
      </c>
      <c r="Q24" s="56"/>
      <c r="R24" s="56">
        <v>5</v>
      </c>
      <c r="S24" s="56"/>
      <c r="T24" s="56">
        <v>7</v>
      </c>
      <c r="U24" s="56"/>
      <c r="V24" s="56"/>
      <c r="W24" s="56">
        <v>34</v>
      </c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 s="57" t="s">
        <v>1</v>
      </c>
      <c r="B25" s="56"/>
      <c r="C25" s="56">
        <v>4</v>
      </c>
      <c r="D25" s="56"/>
      <c r="E25" s="56"/>
      <c r="F25" s="56">
        <v>4</v>
      </c>
      <c r="G25" s="56"/>
      <c r="H25" s="56"/>
      <c r="I25" s="56">
        <v>4</v>
      </c>
      <c r="J25" s="56"/>
      <c r="K25" s="56"/>
      <c r="L25" s="56">
        <v>4</v>
      </c>
      <c r="M25" s="56"/>
      <c r="N25" s="56"/>
      <c r="O25" s="56"/>
      <c r="P25" s="56">
        <v>6</v>
      </c>
      <c r="Q25" s="56"/>
      <c r="R25" s="56">
        <v>5</v>
      </c>
      <c r="S25" s="56"/>
      <c r="T25" s="56">
        <v>7</v>
      </c>
      <c r="U25" s="56"/>
      <c r="V25" s="56"/>
      <c r="W25" s="56">
        <v>34</v>
      </c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 s="55" t="s">
        <v>123</v>
      </c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>
        <v>20</v>
      </c>
      <c r="Q26" s="56"/>
      <c r="R26" s="56"/>
      <c r="S26" s="56"/>
      <c r="T26" s="56">
        <v>22</v>
      </c>
      <c r="U26" s="56"/>
      <c r="V26" s="56"/>
      <c r="W26" s="56">
        <v>42</v>
      </c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 s="57" t="s">
        <v>0</v>
      </c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>
        <v>6</v>
      </c>
      <c r="Q27" s="56"/>
      <c r="R27" s="56"/>
      <c r="S27" s="56"/>
      <c r="T27" s="56">
        <v>14</v>
      </c>
      <c r="U27" s="56"/>
      <c r="V27" s="56"/>
      <c r="W27" s="56">
        <v>20</v>
      </c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 s="57" t="s">
        <v>1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>
        <v>14</v>
      </c>
      <c r="Q28" s="56"/>
      <c r="R28" s="56"/>
      <c r="S28" s="56"/>
      <c r="T28" s="56">
        <v>8</v>
      </c>
      <c r="U28" s="56"/>
      <c r="V28" s="56"/>
      <c r="W28" s="56">
        <v>22</v>
      </c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 s="55" t="s">
        <v>128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>
        <v>24</v>
      </c>
      <c r="O29" s="56">
        <v>24</v>
      </c>
      <c r="P29" s="56"/>
      <c r="Q29" s="56"/>
      <c r="R29" s="56"/>
      <c r="S29" s="56"/>
      <c r="T29" s="56"/>
      <c r="U29" s="56"/>
      <c r="V29" s="56"/>
      <c r="W29" s="56">
        <v>48</v>
      </c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 s="57" t="s">
        <v>0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>
        <v>24</v>
      </c>
      <c r="O30" s="56">
        <v>24</v>
      </c>
      <c r="P30" s="56"/>
      <c r="Q30" s="56"/>
      <c r="R30" s="56"/>
      <c r="S30" s="56"/>
      <c r="T30" s="56"/>
      <c r="U30" s="56"/>
      <c r="V30" s="56"/>
      <c r="W30" s="56">
        <v>48</v>
      </c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 s="55" t="s">
        <v>131</v>
      </c>
      <c r="B31" s="56"/>
      <c r="C31" s="56"/>
      <c r="D31" s="56"/>
      <c r="E31" s="56"/>
      <c r="F31" s="56"/>
      <c r="G31" s="56"/>
      <c r="H31" s="56"/>
      <c r="I31" s="56"/>
      <c r="J31" s="56">
        <v>3</v>
      </c>
      <c r="K31" s="56"/>
      <c r="L31" s="56"/>
      <c r="M31" s="56">
        <v>3</v>
      </c>
      <c r="N31" s="56">
        <v>3</v>
      </c>
      <c r="O31" s="56"/>
      <c r="P31" s="56"/>
      <c r="Q31" s="56"/>
      <c r="R31" s="56"/>
      <c r="S31" s="56"/>
      <c r="T31" s="56"/>
      <c r="U31" s="56"/>
      <c r="V31" s="56">
        <v>1</v>
      </c>
      <c r="W31" s="56">
        <v>10</v>
      </c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 s="57" t="s">
        <v>0</v>
      </c>
      <c r="B32" s="56"/>
      <c r="C32" s="56"/>
      <c r="D32" s="56"/>
      <c r="E32" s="56"/>
      <c r="F32" s="56"/>
      <c r="G32" s="56"/>
      <c r="H32" s="56"/>
      <c r="I32" s="56"/>
      <c r="J32" s="56">
        <v>1</v>
      </c>
      <c r="K32" s="56"/>
      <c r="L32" s="56"/>
      <c r="M32" s="56">
        <v>1</v>
      </c>
      <c r="N32" s="56">
        <v>1</v>
      </c>
      <c r="O32" s="56"/>
      <c r="P32" s="56"/>
      <c r="Q32" s="56"/>
      <c r="R32" s="56"/>
      <c r="S32" s="56"/>
      <c r="T32" s="56"/>
      <c r="U32" s="56"/>
      <c r="V32" s="56"/>
      <c r="W32" s="56">
        <v>3</v>
      </c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 s="57" t="s">
        <v>1</v>
      </c>
      <c r="B33" s="56"/>
      <c r="C33" s="56"/>
      <c r="D33" s="56"/>
      <c r="E33" s="56"/>
      <c r="F33" s="56"/>
      <c r="G33" s="56"/>
      <c r="H33" s="56"/>
      <c r="I33" s="56"/>
      <c r="J33" s="56">
        <v>2</v>
      </c>
      <c r="K33" s="56"/>
      <c r="L33" s="56"/>
      <c r="M33" s="56">
        <v>2</v>
      </c>
      <c r="N33" s="56">
        <v>2</v>
      </c>
      <c r="O33" s="56"/>
      <c r="P33" s="56"/>
      <c r="Q33" s="56"/>
      <c r="R33" s="56"/>
      <c r="S33" s="56"/>
      <c r="T33" s="56"/>
      <c r="U33" s="56"/>
      <c r="V33" s="56">
        <v>1</v>
      </c>
      <c r="W33" s="56">
        <v>7</v>
      </c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 s="55" t="s">
        <v>262</v>
      </c>
      <c r="B34" s="56"/>
      <c r="C34" s="56"/>
      <c r="D34" s="56">
        <v>5</v>
      </c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>
        <v>5</v>
      </c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 s="57" t="s">
        <v>0</v>
      </c>
      <c r="B35" s="56"/>
      <c r="C35" s="56"/>
      <c r="D35" s="56">
        <v>5</v>
      </c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>
        <v>5</v>
      </c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 s="55" t="s">
        <v>103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>
        <v>3</v>
      </c>
      <c r="P36" s="56"/>
      <c r="Q36" s="56"/>
      <c r="R36" s="56">
        <v>3</v>
      </c>
      <c r="S36" s="56"/>
      <c r="T36" s="56"/>
      <c r="U36" s="56"/>
      <c r="V36" s="56"/>
      <c r="W36" s="56">
        <v>6</v>
      </c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 s="57" t="s">
        <v>0</v>
      </c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>
        <v>3</v>
      </c>
      <c r="P37" s="56"/>
      <c r="Q37" s="56"/>
      <c r="R37" s="56">
        <v>2</v>
      </c>
      <c r="S37" s="56"/>
      <c r="T37" s="56"/>
      <c r="U37" s="56"/>
      <c r="V37" s="56"/>
      <c r="W37" s="56">
        <v>5</v>
      </c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 s="57" t="s">
        <v>1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>
        <v>1</v>
      </c>
      <c r="S38" s="56"/>
      <c r="T38" s="56"/>
      <c r="U38" s="56"/>
      <c r="V38" s="56"/>
      <c r="W38" s="56">
        <v>1</v>
      </c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 s="55" t="s">
        <v>239</v>
      </c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>
        <v>4</v>
      </c>
      <c r="P39" s="56">
        <v>10</v>
      </c>
      <c r="Q39" s="56"/>
      <c r="R39" s="56">
        <v>3</v>
      </c>
      <c r="S39" s="56"/>
      <c r="T39" s="56">
        <v>5</v>
      </c>
      <c r="U39" s="56"/>
      <c r="V39" s="56"/>
      <c r="W39" s="56">
        <v>22</v>
      </c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 s="57" t="s">
        <v>1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>
        <v>4</v>
      </c>
      <c r="P40" s="56">
        <v>10</v>
      </c>
      <c r="Q40" s="56"/>
      <c r="R40" s="56">
        <v>3</v>
      </c>
      <c r="S40" s="56"/>
      <c r="T40" s="56">
        <v>5</v>
      </c>
      <c r="U40" s="56"/>
      <c r="V40" s="56"/>
      <c r="W40" s="56">
        <v>22</v>
      </c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 s="55" t="s">
        <v>251</v>
      </c>
      <c r="B41" s="56">
        <v>4</v>
      </c>
      <c r="C41" s="56"/>
      <c r="D41" s="56">
        <v>6</v>
      </c>
      <c r="E41" s="56">
        <v>5</v>
      </c>
      <c r="F41" s="56"/>
      <c r="G41" s="56">
        <v>7</v>
      </c>
      <c r="H41" s="56">
        <v>4</v>
      </c>
      <c r="I41" s="56"/>
      <c r="J41" s="56">
        <v>7</v>
      </c>
      <c r="K41" s="56">
        <v>8</v>
      </c>
      <c r="L41" s="56"/>
      <c r="M41" s="56">
        <v>6</v>
      </c>
      <c r="N41" s="56"/>
      <c r="O41" s="56"/>
      <c r="P41" s="56"/>
      <c r="Q41" s="56">
        <v>4</v>
      </c>
      <c r="R41" s="56"/>
      <c r="S41" s="56"/>
      <c r="T41" s="56"/>
      <c r="U41" s="56"/>
      <c r="V41" s="56">
        <v>6</v>
      </c>
      <c r="W41" s="56">
        <v>57</v>
      </c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 s="57" t="s">
        <v>0</v>
      </c>
      <c r="B42" s="56">
        <v>2</v>
      </c>
      <c r="C42" s="56"/>
      <c r="D42" s="56">
        <v>6</v>
      </c>
      <c r="E42" s="56">
        <v>3</v>
      </c>
      <c r="F42" s="56"/>
      <c r="G42" s="56">
        <v>7</v>
      </c>
      <c r="H42" s="56">
        <v>2</v>
      </c>
      <c r="I42" s="56"/>
      <c r="J42" s="56">
        <v>7</v>
      </c>
      <c r="K42" s="56">
        <v>7</v>
      </c>
      <c r="L42" s="56"/>
      <c r="M42" s="56">
        <v>6</v>
      </c>
      <c r="N42" s="56"/>
      <c r="O42" s="56"/>
      <c r="P42" s="56"/>
      <c r="Q42" s="56">
        <v>3</v>
      </c>
      <c r="R42" s="56"/>
      <c r="S42" s="56"/>
      <c r="T42" s="56"/>
      <c r="U42" s="56"/>
      <c r="V42" s="56">
        <v>5</v>
      </c>
      <c r="W42" s="56">
        <v>48</v>
      </c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 s="57" t="s">
        <v>1</v>
      </c>
      <c r="B43" s="56">
        <v>2</v>
      </c>
      <c r="C43" s="56"/>
      <c r="D43" s="56"/>
      <c r="E43" s="56">
        <v>2</v>
      </c>
      <c r="F43" s="56"/>
      <c r="G43" s="56"/>
      <c r="H43" s="56">
        <v>2</v>
      </c>
      <c r="I43" s="56"/>
      <c r="J43" s="56"/>
      <c r="K43" s="56">
        <v>1</v>
      </c>
      <c r="L43" s="56"/>
      <c r="M43" s="56"/>
      <c r="N43" s="56"/>
      <c r="O43" s="56"/>
      <c r="P43" s="56"/>
      <c r="Q43" s="56">
        <v>1</v>
      </c>
      <c r="R43" s="56"/>
      <c r="S43" s="56"/>
      <c r="T43" s="56"/>
      <c r="U43" s="56"/>
      <c r="V43" s="56">
        <v>1</v>
      </c>
      <c r="W43" s="56">
        <v>9</v>
      </c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 s="55" t="s">
        <v>242</v>
      </c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>
        <v>8</v>
      </c>
      <c r="U44" s="56"/>
      <c r="V44" s="56"/>
      <c r="W44" s="56">
        <v>8</v>
      </c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 s="57" t="s">
        <v>0</v>
      </c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>
        <v>4</v>
      </c>
      <c r="U45" s="56"/>
      <c r="V45" s="56"/>
      <c r="W45" s="56">
        <v>4</v>
      </c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 s="57" t="s">
        <v>1</v>
      </c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>
        <v>4</v>
      </c>
      <c r="U46" s="56"/>
      <c r="V46" s="56"/>
      <c r="W46" s="56">
        <v>4</v>
      </c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 s="55" t="s">
        <v>133</v>
      </c>
      <c r="B47" s="56"/>
      <c r="C47" s="56">
        <v>7</v>
      </c>
      <c r="D47" s="56">
        <v>11</v>
      </c>
      <c r="E47" s="56"/>
      <c r="F47" s="56">
        <v>17</v>
      </c>
      <c r="G47" s="56">
        <v>15</v>
      </c>
      <c r="H47" s="56"/>
      <c r="I47" s="56">
        <v>12</v>
      </c>
      <c r="J47" s="56">
        <v>9</v>
      </c>
      <c r="K47" s="56"/>
      <c r="L47" s="56">
        <v>15</v>
      </c>
      <c r="M47" s="56">
        <v>9</v>
      </c>
      <c r="N47" s="56"/>
      <c r="O47" s="56"/>
      <c r="P47" s="56"/>
      <c r="Q47" s="56"/>
      <c r="R47" s="56"/>
      <c r="S47" s="56"/>
      <c r="T47" s="56"/>
      <c r="U47" s="56"/>
      <c r="V47" s="56"/>
      <c r="W47" s="56">
        <v>95</v>
      </c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 s="57" t="s">
        <v>0</v>
      </c>
      <c r="B48" s="56"/>
      <c r="C48" s="56">
        <v>6</v>
      </c>
      <c r="D48" s="56">
        <v>10</v>
      </c>
      <c r="E48" s="56"/>
      <c r="F48" s="56">
        <v>13</v>
      </c>
      <c r="G48" s="56">
        <v>13</v>
      </c>
      <c r="H48" s="56"/>
      <c r="I48" s="56">
        <v>10</v>
      </c>
      <c r="J48" s="56">
        <v>7</v>
      </c>
      <c r="K48" s="56"/>
      <c r="L48" s="56">
        <v>14</v>
      </c>
      <c r="M48" s="56">
        <v>7</v>
      </c>
      <c r="N48" s="56"/>
      <c r="O48" s="56"/>
      <c r="P48" s="56"/>
      <c r="Q48" s="56"/>
      <c r="R48" s="56"/>
      <c r="S48" s="56"/>
      <c r="T48" s="56"/>
      <c r="U48" s="56"/>
      <c r="V48" s="56"/>
      <c r="W48" s="56">
        <v>80</v>
      </c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 s="57" t="s">
        <v>1</v>
      </c>
      <c r="B49" s="56"/>
      <c r="C49" s="56">
        <v>1</v>
      </c>
      <c r="D49" s="56">
        <v>1</v>
      </c>
      <c r="E49" s="56"/>
      <c r="F49" s="56">
        <v>3</v>
      </c>
      <c r="G49" s="56">
        <v>2</v>
      </c>
      <c r="H49" s="56"/>
      <c r="I49" s="56">
        <v>2</v>
      </c>
      <c r="J49" s="56">
        <v>2</v>
      </c>
      <c r="K49" s="56"/>
      <c r="L49" s="56">
        <v>1</v>
      </c>
      <c r="M49" s="56">
        <v>2</v>
      </c>
      <c r="N49" s="56"/>
      <c r="O49" s="56"/>
      <c r="P49" s="56"/>
      <c r="Q49" s="56"/>
      <c r="R49" s="56"/>
      <c r="S49" s="56"/>
      <c r="T49" s="56"/>
      <c r="U49" s="56"/>
      <c r="V49" s="56"/>
      <c r="W49" s="56">
        <v>14</v>
      </c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 s="57" t="s">
        <v>310</v>
      </c>
      <c r="B50" s="56"/>
      <c r="C50" s="56"/>
      <c r="D50" s="56"/>
      <c r="E50" s="56"/>
      <c r="F50" s="56">
        <v>1</v>
      </c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>
        <v>1</v>
      </c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 s="55" t="s">
        <v>263</v>
      </c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>
        <v>5</v>
      </c>
      <c r="P51" s="56">
        <v>8</v>
      </c>
      <c r="Q51" s="56"/>
      <c r="R51" s="56">
        <v>11</v>
      </c>
      <c r="S51" s="56"/>
      <c r="T51" s="56"/>
      <c r="U51" s="56"/>
      <c r="V51" s="56"/>
      <c r="W51" s="56">
        <v>24</v>
      </c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 s="57" t="s">
        <v>0</v>
      </c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>
        <v>5</v>
      </c>
      <c r="P52" s="56">
        <v>7</v>
      </c>
      <c r="Q52" s="56"/>
      <c r="R52" s="56">
        <v>11</v>
      </c>
      <c r="S52" s="56"/>
      <c r="T52" s="56"/>
      <c r="U52" s="56"/>
      <c r="V52" s="56"/>
      <c r="W52" s="56">
        <v>23</v>
      </c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 s="57" t="s">
        <v>1</v>
      </c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>
        <v>1</v>
      </c>
      <c r="Q53" s="56"/>
      <c r="R53" s="56"/>
      <c r="S53" s="56"/>
      <c r="T53" s="56"/>
      <c r="U53" s="56"/>
      <c r="V53" s="56"/>
      <c r="W53" s="56">
        <v>1</v>
      </c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 s="55" t="s">
        <v>254</v>
      </c>
      <c r="B54" s="56"/>
      <c r="C54" s="56">
        <v>3</v>
      </c>
      <c r="D54" s="56"/>
      <c r="E54" s="56"/>
      <c r="F54" s="56">
        <v>3</v>
      </c>
      <c r="G54" s="56"/>
      <c r="H54" s="56"/>
      <c r="I54" s="56">
        <v>2</v>
      </c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>
        <v>8</v>
      </c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 s="57" t="s">
        <v>0</v>
      </c>
      <c r="B55" s="56"/>
      <c r="C55" s="56">
        <v>3</v>
      </c>
      <c r="D55" s="56"/>
      <c r="E55" s="56"/>
      <c r="F55" s="56">
        <v>3</v>
      </c>
      <c r="G55" s="56"/>
      <c r="H55" s="56"/>
      <c r="I55" s="56">
        <v>2</v>
      </c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>
        <v>8</v>
      </c>
      <c r="X55"/>
      <c r="Y55"/>
      <c r="Z55"/>
      <c r="AA55"/>
      <c r="AB55"/>
      <c r="AC55"/>
      <c r="AD55"/>
      <c r="AE55"/>
      <c r="AF55"/>
      <c r="AG55"/>
      <c r="AH55"/>
    </row>
    <row r="56" spans="1:34" x14ac:dyDescent="0.25">
      <c r="A56" s="55" t="s">
        <v>255</v>
      </c>
      <c r="B56" s="56"/>
      <c r="C56" s="56"/>
      <c r="D56" s="56"/>
      <c r="E56" s="56">
        <v>1</v>
      </c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>
        <v>1</v>
      </c>
      <c r="X56"/>
      <c r="Y56"/>
      <c r="Z56"/>
      <c r="AA56"/>
      <c r="AB56"/>
      <c r="AC56"/>
      <c r="AD56"/>
      <c r="AE56"/>
      <c r="AF56"/>
      <c r="AG56"/>
      <c r="AH56"/>
    </row>
    <row r="57" spans="1:34" x14ac:dyDescent="0.25">
      <c r="A57" s="57" t="s">
        <v>0</v>
      </c>
      <c r="B57" s="56"/>
      <c r="C57" s="56"/>
      <c r="D57" s="56"/>
      <c r="E57" s="56">
        <v>1</v>
      </c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>
        <v>1</v>
      </c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 s="55" t="s">
        <v>265</v>
      </c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>
        <v>14</v>
      </c>
      <c r="P58" s="56"/>
      <c r="Q58" s="56"/>
      <c r="R58" s="56">
        <v>22</v>
      </c>
      <c r="S58" s="56"/>
      <c r="T58" s="56"/>
      <c r="U58" s="56"/>
      <c r="V58" s="56"/>
      <c r="W58" s="56">
        <v>36</v>
      </c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 s="57" t="s">
        <v>0</v>
      </c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>
        <v>11</v>
      </c>
      <c r="P59" s="56"/>
      <c r="Q59" s="56"/>
      <c r="R59" s="56">
        <v>22</v>
      </c>
      <c r="S59" s="56"/>
      <c r="T59" s="56"/>
      <c r="U59" s="56"/>
      <c r="V59" s="56"/>
      <c r="W59" s="56">
        <v>33</v>
      </c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A60" s="57" t="s">
        <v>1</v>
      </c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>
        <v>3</v>
      </c>
      <c r="P60" s="56"/>
      <c r="Q60" s="56"/>
      <c r="R60" s="56"/>
      <c r="S60" s="56"/>
      <c r="T60" s="56"/>
      <c r="U60" s="56"/>
      <c r="V60" s="56"/>
      <c r="W60" s="56">
        <v>3</v>
      </c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 s="55" t="s">
        <v>105</v>
      </c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>
        <v>6</v>
      </c>
      <c r="O61" s="56"/>
      <c r="P61" s="56"/>
      <c r="Q61" s="56">
        <v>7</v>
      </c>
      <c r="R61" s="56"/>
      <c r="S61" s="56">
        <v>6</v>
      </c>
      <c r="T61" s="56"/>
      <c r="U61" s="56">
        <v>5</v>
      </c>
      <c r="V61" s="56"/>
      <c r="W61" s="56">
        <v>24</v>
      </c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A62" s="57" t="s">
        <v>0</v>
      </c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>
        <v>6</v>
      </c>
      <c r="O62" s="56"/>
      <c r="P62" s="56"/>
      <c r="Q62" s="56">
        <v>7</v>
      </c>
      <c r="R62" s="56"/>
      <c r="S62" s="56">
        <v>6</v>
      </c>
      <c r="T62" s="56"/>
      <c r="U62" s="56">
        <v>5</v>
      </c>
      <c r="V62" s="56"/>
      <c r="W62" s="56">
        <v>24</v>
      </c>
      <c r="X62"/>
      <c r="Y62"/>
      <c r="Z62"/>
      <c r="AA62"/>
      <c r="AB62"/>
      <c r="AC62"/>
      <c r="AD62"/>
      <c r="AE62"/>
      <c r="AF62"/>
      <c r="AG62"/>
      <c r="AH62"/>
    </row>
    <row r="63" spans="1:34" x14ac:dyDescent="0.25">
      <c r="A63" s="55" t="s">
        <v>250</v>
      </c>
      <c r="B63" s="56"/>
      <c r="C63" s="56"/>
      <c r="D63" s="56">
        <v>35</v>
      </c>
      <c r="E63" s="56"/>
      <c r="F63" s="56"/>
      <c r="G63" s="56"/>
      <c r="H63" s="56"/>
      <c r="I63" s="56"/>
      <c r="J63" s="56">
        <v>24</v>
      </c>
      <c r="K63" s="56"/>
      <c r="L63" s="56"/>
      <c r="M63" s="56"/>
      <c r="N63" s="56"/>
      <c r="O63" s="56"/>
      <c r="P63" s="56"/>
      <c r="Q63" s="56"/>
      <c r="R63" s="56"/>
      <c r="S63" s="56">
        <v>80</v>
      </c>
      <c r="T63" s="56"/>
      <c r="U63" s="56"/>
      <c r="V63" s="56"/>
      <c r="W63" s="56">
        <v>139</v>
      </c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A64" s="57" t="s">
        <v>0</v>
      </c>
      <c r="B64" s="56"/>
      <c r="C64" s="56"/>
      <c r="D64" s="56">
        <v>35</v>
      </c>
      <c r="E64" s="56"/>
      <c r="F64" s="56"/>
      <c r="G64" s="56"/>
      <c r="H64" s="56"/>
      <c r="I64" s="56"/>
      <c r="J64" s="56">
        <v>24</v>
      </c>
      <c r="K64" s="56"/>
      <c r="L64" s="56"/>
      <c r="M64" s="56"/>
      <c r="N64" s="56"/>
      <c r="O64" s="56"/>
      <c r="P64" s="56"/>
      <c r="Q64" s="56"/>
      <c r="R64" s="56"/>
      <c r="S64" s="56">
        <v>80</v>
      </c>
      <c r="T64" s="56"/>
      <c r="U64" s="56"/>
      <c r="V64" s="56"/>
      <c r="W64" s="56">
        <v>139</v>
      </c>
      <c r="X64"/>
      <c r="Y64"/>
      <c r="Z64"/>
      <c r="AA64"/>
      <c r="AB64"/>
      <c r="AC64"/>
      <c r="AD64"/>
      <c r="AE64"/>
      <c r="AF64"/>
      <c r="AG64"/>
      <c r="AH64"/>
    </row>
    <row r="65" spans="1:34" x14ac:dyDescent="0.25">
      <c r="A65" s="55" t="s">
        <v>20</v>
      </c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>
        <v>16</v>
      </c>
      <c r="P65" s="56"/>
      <c r="Q65" s="56"/>
      <c r="R65" s="56">
        <v>12</v>
      </c>
      <c r="S65" s="56"/>
      <c r="T65" s="56"/>
      <c r="U65" s="56"/>
      <c r="V65" s="56"/>
      <c r="W65" s="56">
        <v>28</v>
      </c>
      <c r="X65"/>
      <c r="Y65"/>
      <c r="Z65"/>
      <c r="AA65"/>
      <c r="AB65"/>
      <c r="AC65"/>
      <c r="AD65"/>
      <c r="AE65"/>
      <c r="AF65"/>
      <c r="AG65"/>
      <c r="AH65"/>
    </row>
    <row r="66" spans="1:34" x14ac:dyDescent="0.25">
      <c r="A66" s="57" t="s">
        <v>0</v>
      </c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>
        <v>16</v>
      </c>
      <c r="P66" s="56"/>
      <c r="Q66" s="56"/>
      <c r="R66" s="56">
        <v>12</v>
      </c>
      <c r="S66" s="56"/>
      <c r="T66" s="56"/>
      <c r="U66" s="56"/>
      <c r="V66" s="56"/>
      <c r="W66" s="56">
        <v>28</v>
      </c>
      <c r="X66"/>
      <c r="Y66"/>
      <c r="Z66"/>
      <c r="AA66"/>
      <c r="AB66"/>
      <c r="AC66"/>
      <c r="AD66"/>
      <c r="AE66"/>
      <c r="AF66"/>
      <c r="AG66"/>
      <c r="AH66"/>
    </row>
    <row r="67" spans="1:34" x14ac:dyDescent="0.25">
      <c r="A67" s="55" t="s">
        <v>134</v>
      </c>
      <c r="B67" s="56"/>
      <c r="C67" s="56">
        <v>14</v>
      </c>
      <c r="D67" s="56"/>
      <c r="E67" s="56"/>
      <c r="F67" s="56">
        <v>14</v>
      </c>
      <c r="G67" s="56"/>
      <c r="H67" s="56"/>
      <c r="I67" s="56">
        <v>14</v>
      </c>
      <c r="J67" s="56"/>
      <c r="K67" s="56"/>
      <c r="L67" s="56">
        <v>12</v>
      </c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>
        <v>54</v>
      </c>
      <c r="X67"/>
      <c r="Y67"/>
      <c r="Z67"/>
      <c r="AA67"/>
      <c r="AB67"/>
      <c r="AC67"/>
      <c r="AD67"/>
      <c r="AE67"/>
      <c r="AF67"/>
      <c r="AG67"/>
      <c r="AH67"/>
    </row>
    <row r="68" spans="1:34" x14ac:dyDescent="0.25">
      <c r="A68" s="57" t="s">
        <v>0</v>
      </c>
      <c r="B68" s="56"/>
      <c r="C68" s="56">
        <v>14</v>
      </c>
      <c r="D68" s="56"/>
      <c r="E68" s="56"/>
      <c r="F68" s="56">
        <v>14</v>
      </c>
      <c r="G68" s="56"/>
      <c r="H68" s="56"/>
      <c r="I68" s="56">
        <v>14</v>
      </c>
      <c r="J68" s="56"/>
      <c r="K68" s="56"/>
      <c r="L68" s="56">
        <v>12</v>
      </c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>
        <v>54</v>
      </c>
      <c r="X68"/>
      <c r="Y68"/>
      <c r="Z68"/>
      <c r="AA68"/>
      <c r="AB68"/>
      <c r="AC68"/>
      <c r="AD68"/>
      <c r="AE68"/>
      <c r="AF68"/>
      <c r="AG68"/>
      <c r="AH68"/>
    </row>
    <row r="69" spans="1:34" x14ac:dyDescent="0.25">
      <c r="A69" s="55" t="s">
        <v>240</v>
      </c>
      <c r="B69" s="56"/>
      <c r="C69" s="56"/>
      <c r="D69" s="56">
        <v>6</v>
      </c>
      <c r="E69" s="56"/>
      <c r="F69" s="56"/>
      <c r="G69" s="56"/>
      <c r="H69" s="56"/>
      <c r="I69" s="56"/>
      <c r="J69" s="56">
        <v>10</v>
      </c>
      <c r="K69" s="56"/>
      <c r="L69" s="56"/>
      <c r="M69" s="56">
        <v>5</v>
      </c>
      <c r="N69" s="56"/>
      <c r="O69" s="56"/>
      <c r="P69" s="56"/>
      <c r="Q69" s="56"/>
      <c r="R69" s="56">
        <v>8</v>
      </c>
      <c r="S69" s="56"/>
      <c r="T69" s="56"/>
      <c r="U69" s="56"/>
      <c r="V69" s="56"/>
      <c r="W69" s="56">
        <v>29</v>
      </c>
      <c r="X69"/>
      <c r="Y69"/>
      <c r="Z69"/>
      <c r="AA69"/>
      <c r="AB69"/>
      <c r="AC69"/>
      <c r="AD69"/>
      <c r="AE69"/>
      <c r="AF69"/>
      <c r="AG69"/>
      <c r="AH69"/>
    </row>
    <row r="70" spans="1:34" x14ac:dyDescent="0.25">
      <c r="A70" s="57" t="s">
        <v>0</v>
      </c>
      <c r="B70" s="56"/>
      <c r="C70" s="56"/>
      <c r="D70" s="56">
        <v>6</v>
      </c>
      <c r="E70" s="56"/>
      <c r="F70" s="56"/>
      <c r="G70" s="56"/>
      <c r="H70" s="56"/>
      <c r="I70" s="56"/>
      <c r="J70" s="56">
        <v>10</v>
      </c>
      <c r="K70" s="56"/>
      <c r="L70" s="56"/>
      <c r="M70" s="56">
        <v>5</v>
      </c>
      <c r="N70" s="56"/>
      <c r="O70" s="56"/>
      <c r="P70" s="56"/>
      <c r="Q70" s="56"/>
      <c r="R70" s="56">
        <v>6</v>
      </c>
      <c r="S70" s="56"/>
      <c r="T70" s="56"/>
      <c r="U70" s="56"/>
      <c r="V70" s="56"/>
      <c r="W70" s="56">
        <v>27</v>
      </c>
      <c r="X70"/>
      <c r="Y70"/>
      <c r="Z70"/>
      <c r="AA70"/>
      <c r="AB70"/>
      <c r="AC70"/>
      <c r="AD70"/>
      <c r="AE70"/>
      <c r="AF70"/>
      <c r="AG70"/>
      <c r="AH70"/>
    </row>
    <row r="71" spans="1:34" x14ac:dyDescent="0.25">
      <c r="A71" s="57" t="s">
        <v>1</v>
      </c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>
        <v>2</v>
      </c>
      <c r="S71" s="56"/>
      <c r="T71" s="56"/>
      <c r="U71" s="56"/>
      <c r="V71" s="56"/>
      <c r="W71" s="56">
        <v>2</v>
      </c>
      <c r="X71"/>
      <c r="Y71"/>
      <c r="Z71"/>
      <c r="AA71"/>
      <c r="AB71"/>
      <c r="AC71"/>
      <c r="AD71"/>
      <c r="AE71"/>
      <c r="AF71"/>
      <c r="AG71"/>
      <c r="AH71"/>
    </row>
    <row r="72" spans="1:34" x14ac:dyDescent="0.25">
      <c r="A72" s="55" t="s">
        <v>143</v>
      </c>
      <c r="B72" s="56">
        <v>2</v>
      </c>
      <c r="C72" s="56">
        <v>2</v>
      </c>
      <c r="D72" s="56"/>
      <c r="E72" s="56"/>
      <c r="F72" s="56">
        <v>3</v>
      </c>
      <c r="G72" s="56"/>
      <c r="H72" s="56"/>
      <c r="I72" s="56">
        <v>2</v>
      </c>
      <c r="J72" s="56"/>
      <c r="K72" s="56"/>
      <c r="L72" s="56"/>
      <c r="M72" s="56"/>
      <c r="N72" s="56">
        <v>8</v>
      </c>
      <c r="O72" s="56"/>
      <c r="P72" s="56"/>
      <c r="Q72" s="56">
        <v>22</v>
      </c>
      <c r="R72" s="56">
        <v>1</v>
      </c>
      <c r="S72" s="56"/>
      <c r="T72" s="56"/>
      <c r="U72" s="56">
        <v>8</v>
      </c>
      <c r="V72" s="56"/>
      <c r="W72" s="56">
        <v>48</v>
      </c>
      <c r="X72"/>
      <c r="Y72"/>
      <c r="Z72"/>
      <c r="AA72"/>
      <c r="AB72"/>
      <c r="AC72"/>
      <c r="AD72"/>
      <c r="AE72"/>
      <c r="AF72"/>
      <c r="AG72"/>
      <c r="AH72"/>
    </row>
    <row r="73" spans="1:34" x14ac:dyDescent="0.25">
      <c r="A73" s="57" t="s">
        <v>0</v>
      </c>
      <c r="B73" s="56">
        <v>1</v>
      </c>
      <c r="C73" s="56">
        <v>1</v>
      </c>
      <c r="D73" s="56"/>
      <c r="E73" s="56"/>
      <c r="F73" s="56">
        <v>2</v>
      </c>
      <c r="G73" s="56"/>
      <c r="H73" s="56"/>
      <c r="I73" s="56">
        <v>1</v>
      </c>
      <c r="J73" s="56"/>
      <c r="K73" s="56"/>
      <c r="L73" s="56"/>
      <c r="M73" s="56"/>
      <c r="N73" s="56">
        <v>4</v>
      </c>
      <c r="O73" s="56"/>
      <c r="P73" s="56"/>
      <c r="Q73" s="56">
        <v>21</v>
      </c>
      <c r="R73" s="56">
        <v>1</v>
      </c>
      <c r="S73" s="56"/>
      <c r="T73" s="56"/>
      <c r="U73" s="56">
        <v>6</v>
      </c>
      <c r="V73" s="56"/>
      <c r="W73" s="56">
        <v>37</v>
      </c>
      <c r="X73"/>
      <c r="Y73"/>
      <c r="Z73"/>
      <c r="AA73"/>
      <c r="AB73"/>
      <c r="AC73"/>
      <c r="AD73"/>
      <c r="AE73"/>
      <c r="AF73"/>
      <c r="AG73"/>
      <c r="AH73"/>
    </row>
    <row r="74" spans="1:34" x14ac:dyDescent="0.25">
      <c r="A74" s="57" t="s">
        <v>1</v>
      </c>
      <c r="B74" s="56">
        <v>1</v>
      </c>
      <c r="C74" s="56">
        <v>1</v>
      </c>
      <c r="D74" s="56"/>
      <c r="E74" s="56"/>
      <c r="F74" s="56">
        <v>1</v>
      </c>
      <c r="G74" s="56"/>
      <c r="H74" s="56"/>
      <c r="I74" s="56">
        <v>1</v>
      </c>
      <c r="J74" s="56"/>
      <c r="K74" s="56"/>
      <c r="L74" s="56"/>
      <c r="M74" s="56"/>
      <c r="N74" s="56">
        <v>4</v>
      </c>
      <c r="O74" s="56"/>
      <c r="P74" s="56"/>
      <c r="Q74" s="56">
        <v>1</v>
      </c>
      <c r="R74" s="56"/>
      <c r="S74" s="56"/>
      <c r="T74" s="56"/>
      <c r="U74" s="56">
        <v>2</v>
      </c>
      <c r="V74" s="56"/>
      <c r="W74" s="56">
        <v>11</v>
      </c>
      <c r="X74"/>
      <c r="Y74"/>
      <c r="Z74"/>
      <c r="AA74"/>
      <c r="AB74"/>
      <c r="AC74"/>
      <c r="AD74"/>
      <c r="AE74"/>
      <c r="AF74"/>
      <c r="AG74"/>
      <c r="AH74"/>
    </row>
    <row r="75" spans="1:34" x14ac:dyDescent="0.25">
      <c r="A75" s="55" t="s">
        <v>317</v>
      </c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>
        <v>2</v>
      </c>
      <c r="Q75" s="56"/>
      <c r="R75" s="56"/>
      <c r="S75" s="56"/>
      <c r="T75" s="56"/>
      <c r="U75" s="56"/>
      <c r="V75" s="56"/>
      <c r="W75" s="56">
        <v>2</v>
      </c>
      <c r="X75"/>
      <c r="Y75"/>
      <c r="Z75"/>
      <c r="AA75"/>
      <c r="AB75"/>
      <c r="AC75"/>
      <c r="AD75"/>
      <c r="AE75"/>
      <c r="AF75"/>
      <c r="AG75"/>
      <c r="AH75"/>
    </row>
    <row r="76" spans="1:34" x14ac:dyDescent="0.25">
      <c r="A76" s="57" t="s">
        <v>0</v>
      </c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>
        <v>2</v>
      </c>
      <c r="Q76" s="56"/>
      <c r="R76" s="56"/>
      <c r="S76" s="56"/>
      <c r="T76" s="56"/>
      <c r="U76" s="56"/>
      <c r="V76" s="56"/>
      <c r="W76" s="56">
        <v>2</v>
      </c>
      <c r="X76"/>
      <c r="Y76"/>
      <c r="Z76"/>
      <c r="AA76"/>
      <c r="AB76"/>
      <c r="AC76"/>
      <c r="AD76"/>
      <c r="AE76"/>
      <c r="AF76"/>
      <c r="AG76"/>
      <c r="AH76"/>
    </row>
    <row r="77" spans="1:34" x14ac:dyDescent="0.25">
      <c r="A77" s="55" t="s">
        <v>318</v>
      </c>
      <c r="B77" s="56"/>
      <c r="C77" s="56"/>
      <c r="D77" s="56"/>
      <c r="E77" s="56"/>
      <c r="F77" s="56"/>
      <c r="G77" s="56">
        <v>6</v>
      </c>
      <c r="H77" s="56"/>
      <c r="I77" s="56"/>
      <c r="J77" s="56">
        <v>15</v>
      </c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>
        <v>21</v>
      </c>
      <c r="X77"/>
      <c r="Y77"/>
      <c r="Z77"/>
      <c r="AA77"/>
      <c r="AB77"/>
      <c r="AC77"/>
      <c r="AD77"/>
      <c r="AE77"/>
      <c r="AF77"/>
      <c r="AG77"/>
      <c r="AH77"/>
    </row>
    <row r="78" spans="1:34" x14ac:dyDescent="0.25">
      <c r="A78" s="57" t="s">
        <v>0</v>
      </c>
      <c r="B78" s="56"/>
      <c r="C78" s="56"/>
      <c r="D78" s="56"/>
      <c r="E78" s="56"/>
      <c r="F78" s="56"/>
      <c r="G78" s="56">
        <v>6</v>
      </c>
      <c r="H78" s="56"/>
      <c r="I78" s="56"/>
      <c r="J78" s="56">
        <v>15</v>
      </c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>
        <v>21</v>
      </c>
      <c r="X78"/>
      <c r="Y78"/>
      <c r="Z78"/>
      <c r="AA78"/>
      <c r="AB78"/>
      <c r="AC78"/>
      <c r="AD78"/>
      <c r="AE78"/>
      <c r="AF78"/>
      <c r="AG78"/>
      <c r="AH78"/>
    </row>
    <row r="79" spans="1:34" x14ac:dyDescent="0.25">
      <c r="A79" s="55" t="s">
        <v>165</v>
      </c>
      <c r="B79" s="56">
        <v>11</v>
      </c>
      <c r="C79" s="56">
        <v>56</v>
      </c>
      <c r="D79" s="56">
        <v>73</v>
      </c>
      <c r="E79" s="56">
        <v>25</v>
      </c>
      <c r="F79" s="56">
        <v>70</v>
      </c>
      <c r="G79" s="56">
        <v>46</v>
      </c>
      <c r="H79" s="56">
        <v>9</v>
      </c>
      <c r="I79" s="56">
        <v>63</v>
      </c>
      <c r="J79" s="56">
        <v>84</v>
      </c>
      <c r="K79" s="56">
        <v>44</v>
      </c>
      <c r="L79" s="56">
        <v>66</v>
      </c>
      <c r="M79" s="56">
        <v>35</v>
      </c>
      <c r="N79" s="56">
        <v>49</v>
      </c>
      <c r="O79" s="56">
        <v>97</v>
      </c>
      <c r="P79" s="56">
        <v>68</v>
      </c>
      <c r="Q79" s="56">
        <v>48</v>
      </c>
      <c r="R79" s="56">
        <v>94</v>
      </c>
      <c r="S79" s="56">
        <v>106</v>
      </c>
      <c r="T79" s="56">
        <v>63</v>
      </c>
      <c r="U79" s="56">
        <v>39</v>
      </c>
      <c r="V79" s="56">
        <v>22</v>
      </c>
      <c r="W79" s="56">
        <v>1168</v>
      </c>
      <c r="X79"/>
      <c r="Y79"/>
      <c r="Z79"/>
      <c r="AA79"/>
      <c r="AB79"/>
      <c r="AC79"/>
      <c r="AD79"/>
      <c r="AE79"/>
      <c r="AF79"/>
      <c r="AG79"/>
      <c r="AH79"/>
    </row>
    <row r="80" spans="1:34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</row>
    <row r="81" spans="1:34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</row>
    <row r="82" spans="1:34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</row>
    <row r="83" spans="1:34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</row>
    <row r="84" spans="1:34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</row>
    <row r="85" spans="1:34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</row>
    <row r="86" spans="1:34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</row>
    <row r="87" spans="1:34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  <row r="88" spans="1:34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</row>
    <row r="89" spans="1:34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</row>
    <row r="90" spans="1:34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:34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:34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:34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:34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r="101" spans="1:34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</row>
    <row r="102" spans="1:34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</row>
    <row r="103" spans="1:34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</row>
    <row r="104" spans="1:34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</row>
    <row r="105" spans="1:34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</row>
    <row r="106" spans="1:34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</row>
    <row r="107" spans="1:34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</row>
    <row r="108" spans="1:34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</row>
    <row r="109" spans="1:34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 spans="1:34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</row>
    <row r="111" spans="1:34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</row>
    <row r="112" spans="1:34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</row>
    <row r="113" spans="1:34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</row>
    <row r="114" spans="1:34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</row>
    <row r="115" spans="1:34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</row>
    <row r="116" spans="1:34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</row>
    <row r="117" spans="1:34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</row>
    <row r="118" spans="1:34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</row>
    <row r="119" spans="1:34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</row>
    <row r="120" spans="1:34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</row>
    <row r="121" spans="1:34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</row>
    <row r="122" spans="1:34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</row>
    <row r="123" spans="1:34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</row>
    <row r="124" spans="1:34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</row>
    <row r="125" spans="1:34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</row>
    <row r="126" spans="1:34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</row>
    <row r="127" spans="1:34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</row>
    <row r="128" spans="1:34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</row>
    <row r="129" spans="1:34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</row>
    <row r="130" spans="1:34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</row>
    <row r="131" spans="1:34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</row>
    <row r="132" spans="1:34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</row>
    <row r="133" spans="1:34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</row>
    <row r="134" spans="1:34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</row>
    <row r="135" spans="1:34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</row>
    <row r="136" spans="1:34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</row>
    <row r="137" spans="1:34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</row>
    <row r="138" spans="1:34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</row>
    <row r="139" spans="1:34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</row>
    <row r="140" spans="1:34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</row>
    <row r="141" spans="1:34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</row>
    <row r="142" spans="1:34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</row>
    <row r="143" spans="1:34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</row>
    <row r="144" spans="1:34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</row>
    <row r="145" spans="1:34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</row>
    <row r="146" spans="1:34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</row>
    <row r="147" spans="1:34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</row>
    <row r="148" spans="1:34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</row>
    <row r="149" spans="1:34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</row>
    <row r="150" spans="1:34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</row>
    <row r="151" spans="1:34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</row>
    <row r="152" spans="1:34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</row>
    <row r="153" spans="1:34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</row>
    <row r="154" spans="1:34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</row>
    <row r="155" spans="1:34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</row>
    <row r="156" spans="1:34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</row>
    <row r="157" spans="1:34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</row>
    <row r="158" spans="1:34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 spans="1:34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</row>
    <row r="160" spans="1:34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</row>
    <row r="161" spans="1:34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</row>
    <row r="162" spans="1:34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</row>
    <row r="163" spans="1:34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</row>
    <row r="164" spans="1:34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</row>
    <row r="165" spans="1:34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</row>
    <row r="166" spans="1:34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</row>
    <row r="167" spans="1:34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</row>
    <row r="168" spans="1:34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</row>
    <row r="169" spans="1:34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</row>
    <row r="170" spans="1:34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</row>
    <row r="171" spans="1:34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</row>
    <row r="172" spans="1:34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</row>
    <row r="173" spans="1:34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</row>
    <row r="174" spans="1:34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</row>
    <row r="175" spans="1:34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</row>
    <row r="176" spans="1:34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</row>
    <row r="177" spans="1:34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</row>
    <row r="178" spans="1:34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</row>
    <row r="179" spans="1:34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</row>
    <row r="180" spans="1:34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</row>
    <row r="181" spans="1:34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</row>
    <row r="182" spans="1:34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</row>
    <row r="183" spans="1:34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</row>
    <row r="184" spans="1:34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</row>
    <row r="185" spans="1:34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</row>
    <row r="186" spans="1:34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</row>
    <row r="187" spans="1:34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</row>
    <row r="188" spans="1:34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</row>
    <row r="189" spans="1:34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</row>
    <row r="190" spans="1:34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</row>
    <row r="191" spans="1:34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</row>
    <row r="192" spans="1:34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</row>
    <row r="193" spans="1:33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 spans="1:33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 spans="1:33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 spans="1:33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 spans="1:33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 spans="1:33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 spans="1:33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 spans="1:33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 spans="1:33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 spans="1:33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 spans="1:33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 spans="1:33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 spans="1:33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 spans="1:33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 spans="1:33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 spans="1:33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 spans="1:33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 spans="1:33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 spans="1:33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 spans="1:33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 spans="1:33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 spans="1:33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 spans="1:33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 spans="1:33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 spans="1:33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 spans="1:33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 spans="1:33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 spans="1:33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 spans="1:33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 spans="1:33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 spans="1:33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 spans="1:33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 spans="1:33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 spans="1:33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 spans="1:33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 spans="1:33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 spans="1:33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 spans="1:33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 spans="1:33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 spans="1:33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 spans="1:33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 spans="1:33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 spans="1:33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 spans="1:33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 spans="1:33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 spans="1:33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 spans="1:33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 spans="1:33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 spans="1:33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 spans="1:33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 spans="1:33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 spans="1:33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 spans="1:33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 spans="1:33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 spans="1:33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 spans="1:33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 spans="1:33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 spans="1:33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 spans="1:33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 spans="1:33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 spans="1:33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 spans="1:33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 spans="1:33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 spans="1:33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 spans="1:33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 spans="1:33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 spans="1:33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 spans="1:33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 spans="1:33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 spans="1:33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 spans="1:33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 spans="1:33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 spans="1:33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 spans="1:33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 spans="1:33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 spans="1:33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 spans="1:33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 spans="1:33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  <row r="271" spans="1:33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</row>
    <row r="272" spans="1:33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</row>
    <row r="273" spans="1:33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</row>
    <row r="274" spans="1:33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</row>
    <row r="275" spans="1:33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</row>
    <row r="276" spans="1:33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</row>
    <row r="277" spans="1:33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</row>
    <row r="278" spans="1:33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</row>
    <row r="279" spans="1:33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</row>
    <row r="280" spans="1:33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</row>
    <row r="281" spans="1:33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</row>
    <row r="282" spans="1:33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</row>
    <row r="283" spans="1:33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</row>
    <row r="284" spans="1:33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</row>
    <row r="285" spans="1:33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</row>
    <row r="286" spans="1:33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</row>
    <row r="287" spans="1:33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</row>
    <row r="288" spans="1:33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</row>
    <row r="289" spans="1:33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</row>
    <row r="290" spans="1:33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</row>
    <row r="291" spans="1:33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</row>
    <row r="292" spans="1:33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</row>
    <row r="293" spans="1:33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</row>
    <row r="294" spans="1:33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</row>
    <row r="295" spans="1:33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</row>
    <row r="296" spans="1:33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</row>
    <row r="297" spans="1:33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</row>
    <row r="298" spans="1:33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</row>
    <row r="299" spans="1:33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</row>
    <row r="300" spans="1:33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</row>
    <row r="301" spans="1:33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</row>
    <row r="302" spans="1:33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</row>
    <row r="303" spans="1:33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</row>
    <row r="304" spans="1:33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</row>
    <row r="305" spans="1:33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</row>
    <row r="306" spans="1:33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</row>
    <row r="307" spans="1:33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</row>
    <row r="308" spans="1:33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</row>
    <row r="309" spans="1:33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</row>
    <row r="310" spans="1:33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</row>
    <row r="311" spans="1:33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</row>
    <row r="312" spans="1:33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</row>
    <row r="313" spans="1:33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</row>
    <row r="314" spans="1:33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</row>
    <row r="315" spans="1:33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</row>
    <row r="316" spans="1:33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</row>
    <row r="317" spans="1:33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</row>
    <row r="318" spans="1:33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</row>
    <row r="319" spans="1:33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</row>
    <row r="320" spans="1:33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</row>
    <row r="321" spans="1:33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</row>
    <row r="322" spans="1:33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</row>
    <row r="323" spans="1:33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</row>
    <row r="324" spans="1:33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</row>
    <row r="325" spans="1:33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</row>
    <row r="326" spans="1:33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</row>
    <row r="327" spans="1:33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</row>
    <row r="328" spans="1:33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</row>
    <row r="329" spans="1:33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</row>
    <row r="330" spans="1:33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</row>
    <row r="331" spans="1:33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</row>
    <row r="332" spans="1:33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</row>
    <row r="333" spans="1:33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</row>
    <row r="334" spans="1:33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</row>
    <row r="335" spans="1:33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</row>
    <row r="336" spans="1:33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</row>
    <row r="337" spans="1:33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</row>
    <row r="338" spans="1:33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</row>
    <row r="339" spans="1:33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</row>
    <row r="340" spans="1:33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</row>
    <row r="341" spans="1:33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</row>
    <row r="342" spans="1:33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</row>
    <row r="343" spans="1:33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</row>
    <row r="344" spans="1:33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</row>
    <row r="345" spans="1:33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</row>
    <row r="346" spans="1:33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</row>
    <row r="347" spans="1:33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</row>
    <row r="348" spans="1:33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</row>
    <row r="349" spans="1:33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</row>
    <row r="350" spans="1:33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</row>
    <row r="351" spans="1:33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</row>
    <row r="352" spans="1:33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</row>
    <row r="353" spans="1:33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</row>
    <row r="354" spans="1:33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</row>
    <row r="355" spans="1:33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</row>
    <row r="356" spans="1:33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</row>
    <row r="357" spans="1:33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</row>
    <row r="358" spans="1:33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</row>
    <row r="359" spans="1:33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</row>
    <row r="360" spans="1:33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</row>
    <row r="361" spans="1:33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</row>
    <row r="362" spans="1:33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</row>
    <row r="363" spans="1:33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</row>
    <row r="364" spans="1:33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</row>
    <row r="365" spans="1:33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</row>
    <row r="366" spans="1:33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</row>
    <row r="367" spans="1:33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</row>
    <row r="368" spans="1:33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</row>
    <row r="369" spans="1:33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</row>
    <row r="370" spans="1:33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</row>
    <row r="371" spans="1:33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</row>
    <row r="372" spans="1:33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</row>
    <row r="373" spans="1:33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</row>
    <row r="374" spans="1:33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</row>
    <row r="375" spans="1:33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</row>
    <row r="376" spans="1:33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</row>
    <row r="377" spans="1:33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</row>
    <row r="378" spans="1:33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</row>
    <row r="379" spans="1:33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</row>
    <row r="380" spans="1:33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</row>
    <row r="381" spans="1:33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</row>
    <row r="382" spans="1:33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</row>
    <row r="383" spans="1:33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</row>
    <row r="384" spans="1:33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</row>
    <row r="385" spans="1:33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</row>
    <row r="386" spans="1:33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</row>
    <row r="387" spans="1:33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</row>
    <row r="388" spans="1:33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</row>
    <row r="389" spans="1:33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</row>
    <row r="390" spans="1:33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</row>
    <row r="391" spans="1:33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</row>
    <row r="392" spans="1:33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</row>
    <row r="393" spans="1:33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</row>
    <row r="394" spans="1:33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</row>
    <row r="395" spans="1:33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</row>
    <row r="396" spans="1:33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</row>
    <row r="397" spans="1:33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</row>
    <row r="398" spans="1:33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</row>
    <row r="399" spans="1:33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</row>
    <row r="400" spans="1:33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</row>
    <row r="401" spans="1:33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</row>
    <row r="402" spans="1:33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</row>
    <row r="403" spans="1:33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</row>
    <row r="404" spans="1:33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</row>
    <row r="405" spans="1:33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</row>
    <row r="406" spans="1:33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</row>
    <row r="407" spans="1:33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</row>
    <row r="408" spans="1:33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</row>
    <row r="409" spans="1:33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</row>
    <row r="410" spans="1:33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</row>
    <row r="411" spans="1:33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</row>
    <row r="412" spans="1:33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</row>
    <row r="413" spans="1:33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</row>
    <row r="414" spans="1:33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</row>
    <row r="415" spans="1:33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</row>
    <row r="416" spans="1:33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</row>
    <row r="417" spans="1:33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</row>
    <row r="418" spans="1:33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</row>
    <row r="419" spans="1:33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</row>
    <row r="420" spans="1:33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</row>
    <row r="421" spans="1:33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</row>
    <row r="422" spans="1:33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</row>
    <row r="423" spans="1:33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</row>
    <row r="424" spans="1:33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</row>
    <row r="425" spans="1:33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</row>
    <row r="426" spans="1:33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</row>
    <row r="427" spans="1:33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</row>
    <row r="428" spans="1:33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</row>
    <row r="429" spans="1:33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</row>
    <row r="430" spans="1:33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</row>
    <row r="431" spans="1:33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</row>
    <row r="432" spans="1:33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</row>
    <row r="433" spans="1:33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</row>
    <row r="434" spans="1:33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</row>
    <row r="435" spans="1:33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</row>
    <row r="436" spans="1:33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</row>
    <row r="437" spans="1:33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</row>
    <row r="438" spans="1:33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</row>
    <row r="439" spans="1:33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</row>
    <row r="440" spans="1:33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</row>
    <row r="441" spans="1:33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</row>
    <row r="442" spans="1:33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</row>
    <row r="443" spans="1:33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</row>
    <row r="444" spans="1:33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</row>
    <row r="445" spans="1:33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</row>
    <row r="446" spans="1:33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</row>
    <row r="447" spans="1:33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</row>
    <row r="448" spans="1:33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</row>
    <row r="449" spans="1:33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</row>
    <row r="450" spans="1:33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</row>
    <row r="451" spans="1:33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</row>
    <row r="452" spans="1:33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</row>
    <row r="453" spans="1:33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</row>
    <row r="454" spans="1:33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</row>
    <row r="455" spans="1:33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</row>
    <row r="456" spans="1:33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</row>
    <row r="457" spans="1:33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</row>
    <row r="458" spans="1:33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</row>
    <row r="459" spans="1:33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</row>
    <row r="460" spans="1:33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</row>
    <row r="461" spans="1:33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</row>
    <row r="462" spans="1:33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</row>
    <row r="463" spans="1:33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</row>
    <row r="464" spans="1:33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</row>
    <row r="465" spans="1:33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</row>
    <row r="466" spans="1:33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</row>
    <row r="467" spans="1:33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</row>
    <row r="468" spans="1:33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</row>
    <row r="469" spans="1:33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</row>
    <row r="470" spans="1:33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</row>
    <row r="471" spans="1:33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</row>
    <row r="472" spans="1:33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</row>
    <row r="473" spans="1:33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</row>
    <row r="474" spans="1:33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</row>
    <row r="475" spans="1:33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</row>
    <row r="476" spans="1:33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</row>
    <row r="477" spans="1:33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</row>
    <row r="478" spans="1:33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</row>
    <row r="479" spans="1:33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</row>
    <row r="480" spans="1:33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</row>
    <row r="481" spans="1:33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</row>
    <row r="482" spans="1:33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</row>
    <row r="483" spans="1:33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</row>
    <row r="484" spans="1:33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</row>
    <row r="485" spans="1:33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</row>
    <row r="486" spans="1:33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</row>
    <row r="487" spans="1:33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</row>
    <row r="488" spans="1:33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</row>
    <row r="489" spans="1:33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</row>
    <row r="490" spans="1:33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</row>
    <row r="491" spans="1:33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</row>
    <row r="492" spans="1:33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</row>
    <row r="493" spans="1:33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</row>
    <row r="494" spans="1:33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</row>
    <row r="495" spans="1:33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</row>
    <row r="496" spans="1:33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</row>
    <row r="497" spans="1:33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</row>
    <row r="498" spans="1:33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</row>
    <row r="499" spans="1:33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</row>
    <row r="500" spans="1:33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</row>
    <row r="501" spans="1:33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</row>
    <row r="502" spans="1:33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</row>
    <row r="503" spans="1:33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</row>
    <row r="504" spans="1:33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</row>
    <row r="505" spans="1:33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</row>
    <row r="506" spans="1:33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</row>
    <row r="507" spans="1:33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</row>
    <row r="508" spans="1:33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</row>
    <row r="509" spans="1:33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</row>
    <row r="510" spans="1:33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</row>
    <row r="511" spans="1:33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</row>
    <row r="512" spans="1:33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</row>
    <row r="513" spans="1:33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</row>
    <row r="514" spans="1:33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</row>
    <row r="515" spans="1:33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</row>
    <row r="516" spans="1:33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</row>
    <row r="517" spans="1:33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</row>
    <row r="518" spans="1:33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</row>
    <row r="519" spans="1:33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</row>
    <row r="520" spans="1:33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</row>
    <row r="521" spans="1:33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</row>
    <row r="522" spans="1:33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</row>
    <row r="523" spans="1:33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</row>
    <row r="524" spans="1:33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</row>
    <row r="525" spans="1:33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</row>
    <row r="526" spans="1:33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</row>
    <row r="527" spans="1:33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</row>
    <row r="528" spans="1:33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</row>
    <row r="529" spans="1:33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</row>
    <row r="530" spans="1:33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</row>
    <row r="531" spans="1:33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</row>
    <row r="532" spans="1:33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</row>
    <row r="533" spans="1:33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</row>
    <row r="534" spans="1:33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</row>
    <row r="535" spans="1:33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</row>
    <row r="536" spans="1:33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</row>
    <row r="537" spans="1:33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</row>
    <row r="538" spans="1:33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</row>
    <row r="539" spans="1:33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</row>
    <row r="540" spans="1:33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</row>
    <row r="541" spans="1:33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</row>
    <row r="542" spans="1:33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</row>
    <row r="543" spans="1:33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</row>
    <row r="544" spans="1:33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</row>
    <row r="545" spans="1:33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</row>
    <row r="546" spans="1:33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</row>
    <row r="547" spans="1:33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</row>
    <row r="548" spans="1:33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</row>
    <row r="549" spans="1:33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</row>
    <row r="550" spans="1:33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</row>
    <row r="551" spans="1:33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</row>
    <row r="552" spans="1:33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</row>
    <row r="553" spans="1:33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</row>
    <row r="554" spans="1:33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</row>
    <row r="555" spans="1:33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</row>
    <row r="556" spans="1:33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</row>
    <row r="557" spans="1:33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</row>
    <row r="558" spans="1:33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</row>
    <row r="559" spans="1:33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</row>
    <row r="560" spans="1:33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</row>
    <row r="561" spans="1:33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</row>
    <row r="562" spans="1:33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</row>
    <row r="563" spans="1:33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</row>
    <row r="564" spans="1:33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</row>
    <row r="565" spans="1:33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</row>
    <row r="566" spans="1:33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</row>
    <row r="567" spans="1:33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</row>
    <row r="568" spans="1:33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</row>
    <row r="569" spans="1:33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</row>
    <row r="570" spans="1:33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</row>
    <row r="571" spans="1:33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</row>
    <row r="572" spans="1:33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</row>
    <row r="573" spans="1:33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</row>
    <row r="574" spans="1:33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</row>
    <row r="575" spans="1:33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</row>
    <row r="576" spans="1:33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</row>
    <row r="577" spans="1:33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</row>
    <row r="578" spans="1:33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</row>
    <row r="579" spans="1:33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</row>
    <row r="580" spans="1:33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</row>
    <row r="581" spans="1:33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</row>
    <row r="582" spans="1:33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</row>
    <row r="583" spans="1:33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</row>
    <row r="584" spans="1:33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</row>
    <row r="585" spans="1:33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</row>
    <row r="586" spans="1:33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</row>
    <row r="587" spans="1:33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</row>
    <row r="588" spans="1:33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</row>
    <row r="589" spans="1:33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</row>
    <row r="590" spans="1:33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</row>
    <row r="591" spans="1:33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</row>
    <row r="592" spans="1:33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</row>
    <row r="593" spans="1:33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</row>
    <row r="594" spans="1:33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</row>
    <row r="595" spans="1:33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</row>
    <row r="596" spans="1:33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</row>
    <row r="597" spans="1:33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</row>
    <row r="598" spans="1:33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</row>
    <row r="599" spans="1:33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</row>
    <row r="600" spans="1:33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</row>
    <row r="601" spans="1:33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</row>
    <row r="602" spans="1:33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</row>
    <row r="603" spans="1:33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</row>
    <row r="604" spans="1:33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</row>
    <row r="605" spans="1:33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</row>
    <row r="606" spans="1:33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</row>
    <row r="607" spans="1:33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</row>
    <row r="608" spans="1:33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</row>
    <row r="609" spans="1:33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</row>
    <row r="610" spans="1:33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</row>
    <row r="611" spans="1:33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</row>
    <row r="612" spans="1:33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</row>
    <row r="613" spans="1:33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</row>
    <row r="614" spans="1:33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</row>
    <row r="615" spans="1:33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</row>
    <row r="616" spans="1:33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</row>
    <row r="617" spans="1:33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</row>
    <row r="618" spans="1:33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</row>
    <row r="619" spans="1:33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</row>
    <row r="620" spans="1:33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</row>
    <row r="621" spans="1:33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</row>
    <row r="622" spans="1:33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</row>
    <row r="623" spans="1:33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</row>
    <row r="624" spans="1:33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</row>
    <row r="625" spans="1:33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</row>
    <row r="626" spans="1:33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</row>
    <row r="627" spans="1:33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</row>
    <row r="628" spans="1:33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</row>
    <row r="629" spans="1:33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</row>
    <row r="630" spans="1:33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</row>
    <row r="631" spans="1:33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</row>
    <row r="632" spans="1:33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</row>
    <row r="633" spans="1:33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</row>
    <row r="634" spans="1:33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</row>
    <row r="635" spans="1:33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</row>
    <row r="636" spans="1:33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</row>
    <row r="637" spans="1:33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</row>
    <row r="638" spans="1:33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</row>
    <row r="639" spans="1:33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</row>
    <row r="640" spans="1:33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</row>
    <row r="641" spans="1:33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</row>
    <row r="642" spans="1:33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</row>
    <row r="643" spans="1:33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</row>
    <row r="644" spans="1:33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</row>
    <row r="645" spans="1:33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</row>
    <row r="646" spans="1:33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</row>
    <row r="647" spans="1:33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</row>
    <row r="648" spans="1:33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</row>
    <row r="649" spans="1:33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</row>
    <row r="650" spans="1:33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</row>
    <row r="651" spans="1:33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</row>
    <row r="652" spans="1:33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</row>
    <row r="653" spans="1:33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</row>
    <row r="654" spans="1:33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</row>
    <row r="655" spans="1:33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</row>
    <row r="656" spans="1:33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</row>
    <row r="657" spans="1:33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</row>
    <row r="658" spans="1:33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</row>
    <row r="659" spans="1:33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</row>
    <row r="660" spans="1:33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</row>
    <row r="661" spans="1:33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</row>
    <row r="662" spans="1:33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</row>
    <row r="663" spans="1:33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</row>
    <row r="664" spans="1:33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</row>
    <row r="665" spans="1:33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</row>
    <row r="666" spans="1:33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</row>
    <row r="667" spans="1:33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</row>
    <row r="668" spans="1:33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</row>
    <row r="669" spans="1:33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</row>
    <row r="670" spans="1:33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</row>
    <row r="671" spans="1:33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</row>
    <row r="672" spans="1:33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</row>
    <row r="673" spans="1:33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</row>
    <row r="674" spans="1:33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</row>
    <row r="675" spans="1:33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</row>
    <row r="676" spans="1:33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</row>
    <row r="677" spans="1:33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</row>
    <row r="678" spans="1:33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</row>
    <row r="679" spans="1:33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</row>
    <row r="680" spans="1:33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</row>
    <row r="681" spans="1:33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</row>
    <row r="682" spans="1:33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</row>
    <row r="683" spans="1:33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</row>
    <row r="684" spans="1:33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</row>
    <row r="685" spans="1:33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</row>
    <row r="686" spans="1:33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</row>
    <row r="687" spans="1:33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</row>
    <row r="688" spans="1:33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</row>
    <row r="689" spans="1:33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</row>
    <row r="690" spans="1:33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</row>
    <row r="691" spans="1:33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</row>
    <row r="692" spans="1:33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</row>
    <row r="693" spans="1:33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</row>
    <row r="694" spans="1:33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</row>
    <row r="695" spans="1:33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</row>
    <row r="696" spans="1:33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</row>
    <row r="697" spans="1:33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</row>
    <row r="698" spans="1:33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</row>
    <row r="699" spans="1:33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</row>
    <row r="700" spans="1:33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</row>
    <row r="701" spans="1:33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</row>
    <row r="702" spans="1:33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</row>
    <row r="703" spans="1:33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</row>
    <row r="704" spans="1:33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</row>
    <row r="705" spans="1:33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</row>
    <row r="706" spans="1:33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</row>
    <row r="707" spans="1:33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</row>
    <row r="708" spans="1:33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</row>
    <row r="709" spans="1:33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</row>
    <row r="710" spans="1:33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</row>
    <row r="711" spans="1:33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</row>
    <row r="712" spans="1:33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</row>
    <row r="713" spans="1:33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</row>
    <row r="714" spans="1:33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</row>
    <row r="715" spans="1:33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</row>
    <row r="716" spans="1:33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</row>
    <row r="717" spans="1:33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</row>
    <row r="718" spans="1:33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</row>
    <row r="719" spans="1:33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</row>
    <row r="720" spans="1:33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</row>
    <row r="721" spans="1:33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</row>
    <row r="722" spans="1:33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</row>
    <row r="723" spans="1:33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</row>
    <row r="724" spans="1:33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</row>
    <row r="725" spans="1:33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</row>
    <row r="726" spans="1:33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</row>
    <row r="727" spans="1:33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</row>
    <row r="728" spans="1:33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</row>
    <row r="729" spans="1:33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</row>
    <row r="730" spans="1:33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</row>
    <row r="731" spans="1:33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</row>
    <row r="732" spans="1:33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</row>
    <row r="733" spans="1:33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</row>
    <row r="734" spans="1:33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</row>
    <row r="735" spans="1:33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</row>
    <row r="736" spans="1:33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</row>
    <row r="737" spans="1:33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</row>
    <row r="738" spans="1:33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</row>
    <row r="739" spans="1:33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</row>
    <row r="740" spans="1:33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</row>
    <row r="741" spans="1:33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</row>
    <row r="742" spans="1:33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</row>
    <row r="743" spans="1:33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</row>
    <row r="744" spans="1:33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</row>
    <row r="745" spans="1:33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</row>
    <row r="746" spans="1:33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</row>
    <row r="747" spans="1:33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</row>
    <row r="748" spans="1:33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</row>
    <row r="749" spans="1:33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</row>
    <row r="750" spans="1:33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</row>
    <row r="751" spans="1:33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</row>
    <row r="752" spans="1:33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</row>
    <row r="753" spans="1:33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</row>
    <row r="754" spans="1:33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</row>
    <row r="755" spans="1:33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</row>
    <row r="756" spans="1:33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</row>
    <row r="757" spans="1:33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</row>
    <row r="758" spans="1:33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</row>
    <row r="759" spans="1:33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</row>
    <row r="760" spans="1:33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</row>
    <row r="761" spans="1:33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</row>
    <row r="762" spans="1:33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</row>
    <row r="763" spans="1:33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</row>
    <row r="764" spans="1:33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</row>
    <row r="765" spans="1:33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</row>
    <row r="766" spans="1:33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</row>
    <row r="767" spans="1:33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</row>
    <row r="768" spans="1:33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</row>
    <row r="769" spans="1:33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</row>
    <row r="770" spans="1:33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</row>
    <row r="771" spans="1:33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</row>
    <row r="772" spans="1:33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</row>
    <row r="773" spans="1:33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</row>
    <row r="774" spans="1:33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</row>
    <row r="775" spans="1:33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</row>
    <row r="776" spans="1:33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</row>
    <row r="777" spans="1:33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</row>
    <row r="778" spans="1:33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</row>
    <row r="779" spans="1:33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</row>
    <row r="780" spans="1:33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</row>
    <row r="781" spans="1:33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</row>
    <row r="782" spans="1:33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</row>
    <row r="783" spans="1:33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</row>
    <row r="784" spans="1:33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</row>
    <row r="785" spans="1:33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</row>
    <row r="786" spans="1:33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</row>
    <row r="787" spans="1:33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</row>
    <row r="788" spans="1:33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</row>
    <row r="789" spans="1:33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</row>
    <row r="790" spans="1:33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</row>
    <row r="791" spans="1:33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</row>
    <row r="792" spans="1:33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</row>
    <row r="793" spans="1:33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</row>
    <row r="794" spans="1:33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</row>
    <row r="795" spans="1:33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</row>
    <row r="796" spans="1:33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</row>
    <row r="797" spans="1:33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</row>
    <row r="798" spans="1:33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</row>
    <row r="799" spans="1:33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310"/>
  <sheetViews>
    <sheetView topLeftCell="A46" workbookViewId="0">
      <selection activeCell="G66" sqref="G66"/>
    </sheetView>
  </sheetViews>
  <sheetFormatPr defaultRowHeight="15" x14ac:dyDescent="0.25"/>
  <cols>
    <col min="1" max="1" width="36.7109375" style="33" customWidth="1"/>
    <col min="2" max="2" width="16.85546875" style="33" bestFit="1" customWidth="1"/>
    <col min="3" max="5" width="3.7109375" style="33" customWidth="1"/>
    <col min="6" max="8" width="4.7109375" style="33" customWidth="1"/>
    <col min="9" max="9" width="4.7109375" style="33" bestFit="1" customWidth="1"/>
    <col min="10" max="10" width="4.42578125" style="33" customWidth="1"/>
    <col min="11" max="11" width="5.28515625" style="33" customWidth="1"/>
    <col min="12" max="13" width="4.7109375" style="33" customWidth="1"/>
    <col min="14" max="14" width="3.7109375" style="33" customWidth="1"/>
    <col min="15" max="15" width="4.7109375" style="33" bestFit="1" customWidth="1"/>
    <col min="16" max="18" width="4.7109375" style="33" customWidth="1"/>
    <col min="19" max="19" width="4.7109375" style="33" bestFit="1" customWidth="1"/>
    <col min="20" max="20" width="4.28515625" style="33" customWidth="1"/>
    <col min="21" max="22" width="5.28515625" style="33" bestFit="1" customWidth="1"/>
    <col min="23" max="23" width="11.7109375" style="33" customWidth="1"/>
    <col min="24" max="24" width="4.28515625" style="33" customWidth="1"/>
    <col min="25" max="25" width="4" style="33" customWidth="1"/>
    <col min="26" max="30" width="4.7109375" style="33" customWidth="1"/>
    <col min="31" max="31" width="4.28515625" style="33" customWidth="1"/>
    <col min="32" max="33" width="5.28515625" style="33" customWidth="1"/>
    <col min="34" max="34" width="11.7109375" style="33" bestFit="1" customWidth="1"/>
    <col min="35" max="36" width="10.7109375" style="33" bestFit="1" customWidth="1"/>
    <col min="37" max="37" width="7.28515625" style="33" bestFit="1" customWidth="1"/>
    <col min="38" max="38" width="11.28515625" style="33" bestFit="1" customWidth="1"/>
    <col min="39" max="16384" width="9.140625" style="33"/>
  </cols>
  <sheetData>
    <row r="1" spans="1:34" x14ac:dyDescent="0.25">
      <c r="A1" s="54" t="s">
        <v>173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179</v>
      </c>
      <c r="D2" t="s">
        <v>180</v>
      </c>
      <c r="E2" t="s">
        <v>181</v>
      </c>
      <c r="F2" t="s">
        <v>184</v>
      </c>
      <c r="G2" t="s">
        <v>185</v>
      </c>
      <c r="H2" t="s">
        <v>186</v>
      </c>
      <c r="I2" t="s">
        <v>189</v>
      </c>
      <c r="J2" t="s">
        <v>190</v>
      </c>
      <c r="K2" t="s">
        <v>191</v>
      </c>
      <c r="L2" t="s">
        <v>194</v>
      </c>
      <c r="M2" t="s">
        <v>195</v>
      </c>
      <c r="N2" t="s">
        <v>206</v>
      </c>
      <c r="O2" t="s">
        <v>207</v>
      </c>
      <c r="P2" t="s">
        <v>208</v>
      </c>
      <c r="Q2" t="s">
        <v>209</v>
      </c>
      <c r="R2" t="s">
        <v>210</v>
      </c>
      <c r="S2" t="s">
        <v>211</v>
      </c>
      <c r="T2" t="s">
        <v>224</v>
      </c>
      <c r="U2" t="s">
        <v>225</v>
      </c>
      <c r="V2" t="s">
        <v>226</v>
      </c>
      <c r="W2" t="s">
        <v>165</v>
      </c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137</v>
      </c>
      <c r="B3" s="56"/>
      <c r="C3" s="56"/>
      <c r="D3" s="56"/>
      <c r="E3" s="56"/>
      <c r="F3" s="56">
        <v>1</v>
      </c>
      <c r="G3" s="56"/>
      <c r="H3" s="56"/>
      <c r="I3" s="56">
        <v>5</v>
      </c>
      <c r="J3" s="56"/>
      <c r="K3" s="56"/>
      <c r="L3" s="56">
        <v>4</v>
      </c>
      <c r="M3" s="56">
        <v>1</v>
      </c>
      <c r="N3" s="56"/>
      <c r="O3" s="56">
        <v>5</v>
      </c>
      <c r="P3" s="56">
        <v>2</v>
      </c>
      <c r="Q3" s="56"/>
      <c r="R3" s="56">
        <v>2</v>
      </c>
      <c r="S3" s="56"/>
      <c r="T3" s="56"/>
      <c r="U3" s="56"/>
      <c r="V3" s="56"/>
      <c r="W3" s="56">
        <v>20</v>
      </c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4</v>
      </c>
      <c r="B4" s="56"/>
      <c r="C4" s="56"/>
      <c r="D4" s="56"/>
      <c r="E4" s="56"/>
      <c r="F4" s="56">
        <v>1</v>
      </c>
      <c r="G4" s="56"/>
      <c r="H4" s="56"/>
      <c r="I4" s="56">
        <v>2</v>
      </c>
      <c r="J4" s="56"/>
      <c r="K4" s="56"/>
      <c r="L4" s="56">
        <v>2</v>
      </c>
      <c r="M4" s="56">
        <v>1</v>
      </c>
      <c r="N4" s="56"/>
      <c r="O4" s="56">
        <v>5</v>
      </c>
      <c r="P4" s="56">
        <v>2</v>
      </c>
      <c r="Q4" s="56"/>
      <c r="R4" s="56">
        <v>1</v>
      </c>
      <c r="S4" s="56"/>
      <c r="T4" s="56"/>
      <c r="U4" s="56"/>
      <c r="V4" s="56"/>
      <c r="W4" s="56">
        <v>14</v>
      </c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57" t="s">
        <v>3</v>
      </c>
      <c r="B5" s="56"/>
      <c r="C5" s="56"/>
      <c r="D5" s="56"/>
      <c r="E5" s="56"/>
      <c r="F5" s="56"/>
      <c r="G5" s="56"/>
      <c r="H5" s="56"/>
      <c r="I5" s="56">
        <v>3</v>
      </c>
      <c r="J5" s="56"/>
      <c r="K5" s="56"/>
      <c r="L5" s="56">
        <v>2</v>
      </c>
      <c r="M5" s="56"/>
      <c r="N5" s="56"/>
      <c r="O5" s="56"/>
      <c r="P5" s="56"/>
      <c r="Q5" s="56"/>
      <c r="R5" s="56">
        <v>1</v>
      </c>
      <c r="S5" s="56"/>
      <c r="T5" s="56"/>
      <c r="U5" s="56"/>
      <c r="V5" s="56"/>
      <c r="W5" s="56">
        <v>6</v>
      </c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5" t="s">
        <v>130</v>
      </c>
      <c r="B6" s="56">
        <v>5</v>
      </c>
      <c r="C6" s="56">
        <v>20</v>
      </c>
      <c r="D6" s="56">
        <v>10</v>
      </c>
      <c r="E6" s="56">
        <v>19</v>
      </c>
      <c r="F6" s="56">
        <v>21</v>
      </c>
      <c r="G6" s="56">
        <v>18</v>
      </c>
      <c r="H6" s="56">
        <v>3</v>
      </c>
      <c r="I6" s="56">
        <v>16</v>
      </c>
      <c r="J6" s="56">
        <v>16</v>
      </c>
      <c r="K6" s="56">
        <v>36</v>
      </c>
      <c r="L6" s="56">
        <v>18</v>
      </c>
      <c r="M6" s="56">
        <v>9</v>
      </c>
      <c r="N6" s="56">
        <v>8</v>
      </c>
      <c r="O6" s="56">
        <v>22</v>
      </c>
      <c r="P6" s="56">
        <v>18</v>
      </c>
      <c r="Q6" s="56">
        <v>13</v>
      </c>
      <c r="R6" s="56">
        <v>23</v>
      </c>
      <c r="S6" s="56">
        <v>18</v>
      </c>
      <c r="T6" s="56">
        <v>19</v>
      </c>
      <c r="U6" s="56">
        <v>21</v>
      </c>
      <c r="V6" s="56">
        <v>11</v>
      </c>
      <c r="W6" s="56">
        <v>344</v>
      </c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7" t="s">
        <v>4</v>
      </c>
      <c r="B7" s="56">
        <v>2</v>
      </c>
      <c r="C7" s="56">
        <v>11</v>
      </c>
      <c r="D7" s="56">
        <v>4</v>
      </c>
      <c r="E7" s="56">
        <v>16</v>
      </c>
      <c r="F7" s="56">
        <v>16</v>
      </c>
      <c r="G7" s="56">
        <v>12</v>
      </c>
      <c r="H7" s="56">
        <v>3</v>
      </c>
      <c r="I7" s="56">
        <v>11</v>
      </c>
      <c r="J7" s="56">
        <v>11</v>
      </c>
      <c r="K7" s="56">
        <v>27</v>
      </c>
      <c r="L7" s="56">
        <v>13</v>
      </c>
      <c r="M7" s="56">
        <v>7</v>
      </c>
      <c r="N7" s="56">
        <v>7</v>
      </c>
      <c r="O7" s="56">
        <v>15</v>
      </c>
      <c r="P7" s="56">
        <v>15</v>
      </c>
      <c r="Q7" s="56">
        <v>8</v>
      </c>
      <c r="R7" s="56">
        <v>16</v>
      </c>
      <c r="S7" s="56">
        <v>11</v>
      </c>
      <c r="T7" s="56">
        <v>13</v>
      </c>
      <c r="U7" s="56">
        <v>14</v>
      </c>
      <c r="V7" s="56">
        <v>8</v>
      </c>
      <c r="W7" s="56">
        <v>240</v>
      </c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57" t="s">
        <v>3</v>
      </c>
      <c r="B8" s="56">
        <v>3</v>
      </c>
      <c r="C8" s="56">
        <v>8</v>
      </c>
      <c r="D8" s="56">
        <v>6</v>
      </c>
      <c r="E8" s="56">
        <v>3</v>
      </c>
      <c r="F8" s="56">
        <v>5</v>
      </c>
      <c r="G8" s="56">
        <v>5</v>
      </c>
      <c r="H8" s="56"/>
      <c r="I8" s="56">
        <v>4</v>
      </c>
      <c r="J8" s="56">
        <v>5</v>
      </c>
      <c r="K8" s="56">
        <v>9</v>
      </c>
      <c r="L8" s="56">
        <v>5</v>
      </c>
      <c r="M8" s="56">
        <v>2</v>
      </c>
      <c r="N8" s="56">
        <v>1</v>
      </c>
      <c r="O8" s="56">
        <v>7</v>
      </c>
      <c r="P8" s="56">
        <v>3</v>
      </c>
      <c r="Q8" s="56">
        <v>5</v>
      </c>
      <c r="R8" s="56">
        <v>7</v>
      </c>
      <c r="S8" s="56">
        <v>5</v>
      </c>
      <c r="T8" s="56">
        <v>6</v>
      </c>
      <c r="U8" s="56">
        <v>6</v>
      </c>
      <c r="V8" s="56">
        <v>3</v>
      </c>
      <c r="W8" s="56">
        <v>98</v>
      </c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57" t="s">
        <v>233</v>
      </c>
      <c r="B9" s="56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>
        <v>1</v>
      </c>
      <c r="T9" s="56"/>
      <c r="U9" s="56">
        <v>1</v>
      </c>
      <c r="V9" s="56"/>
      <c r="W9" s="56">
        <v>2</v>
      </c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57" t="s">
        <v>232</v>
      </c>
      <c r="B10" s="56"/>
      <c r="C10" s="56">
        <v>1</v>
      </c>
      <c r="D10" s="56"/>
      <c r="E10" s="56"/>
      <c r="F10" s="56"/>
      <c r="G10" s="56">
        <v>1</v>
      </c>
      <c r="H10" s="56"/>
      <c r="I10" s="56">
        <v>1</v>
      </c>
      <c r="J10" s="56"/>
      <c r="K10" s="56"/>
      <c r="L10" s="56"/>
      <c r="M10" s="56"/>
      <c r="N10" s="56"/>
      <c r="O10" s="56"/>
      <c r="P10" s="56"/>
      <c r="Q10" s="56"/>
      <c r="R10" s="56"/>
      <c r="S10" s="56">
        <v>1</v>
      </c>
      <c r="T10" s="56"/>
      <c r="U10" s="56"/>
      <c r="V10" s="56"/>
      <c r="W10" s="56">
        <v>4</v>
      </c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55" t="s">
        <v>150</v>
      </c>
      <c r="B11" s="56"/>
      <c r="C11" s="56"/>
      <c r="D11" s="56"/>
      <c r="E11" s="56"/>
      <c r="F11" s="56">
        <v>2</v>
      </c>
      <c r="G11" s="56"/>
      <c r="H11" s="56"/>
      <c r="I11" s="56">
        <v>4</v>
      </c>
      <c r="J11" s="56"/>
      <c r="K11" s="56"/>
      <c r="L11" s="56">
        <v>4</v>
      </c>
      <c r="M11" s="56"/>
      <c r="N11" s="56"/>
      <c r="O11" s="56"/>
      <c r="P11" s="56">
        <v>2</v>
      </c>
      <c r="Q11" s="56"/>
      <c r="R11" s="56"/>
      <c r="S11" s="56"/>
      <c r="T11" s="56"/>
      <c r="U11" s="56"/>
      <c r="V11" s="56"/>
      <c r="W11" s="56">
        <v>12</v>
      </c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57" t="s">
        <v>4</v>
      </c>
      <c r="B12" s="56"/>
      <c r="C12" s="56"/>
      <c r="D12" s="56"/>
      <c r="E12" s="56"/>
      <c r="F12" s="56">
        <v>1</v>
      </c>
      <c r="G12" s="56"/>
      <c r="H12" s="56"/>
      <c r="I12" s="56">
        <v>2</v>
      </c>
      <c r="J12" s="56"/>
      <c r="K12" s="56"/>
      <c r="L12" s="56">
        <v>2</v>
      </c>
      <c r="M12" s="56"/>
      <c r="N12" s="56"/>
      <c r="O12" s="56"/>
      <c r="P12" s="56">
        <v>1</v>
      </c>
      <c r="Q12" s="56"/>
      <c r="R12" s="56"/>
      <c r="S12" s="56"/>
      <c r="T12" s="56"/>
      <c r="U12" s="56"/>
      <c r="V12" s="56"/>
      <c r="W12" s="56">
        <v>6</v>
      </c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7" t="s">
        <v>3</v>
      </c>
      <c r="B13" s="56"/>
      <c r="C13" s="56"/>
      <c r="D13" s="56"/>
      <c r="E13" s="56"/>
      <c r="F13" s="56">
        <v>1</v>
      </c>
      <c r="G13" s="56"/>
      <c r="H13" s="56"/>
      <c r="I13" s="56">
        <v>2</v>
      </c>
      <c r="J13" s="56"/>
      <c r="K13" s="56"/>
      <c r="L13" s="56">
        <v>2</v>
      </c>
      <c r="M13" s="56"/>
      <c r="N13" s="56"/>
      <c r="O13" s="56"/>
      <c r="P13" s="56">
        <v>1</v>
      </c>
      <c r="Q13" s="56"/>
      <c r="R13" s="56"/>
      <c r="S13" s="56"/>
      <c r="T13" s="56"/>
      <c r="U13" s="56"/>
      <c r="V13" s="56"/>
      <c r="W13" s="56">
        <v>6</v>
      </c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5" t="s">
        <v>118</v>
      </c>
      <c r="B14" s="56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>
        <v>5</v>
      </c>
      <c r="V14" s="56"/>
      <c r="W14" s="56">
        <v>5</v>
      </c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57" t="s">
        <v>4</v>
      </c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>
        <v>5</v>
      </c>
      <c r="V15" s="56"/>
      <c r="W15" s="56">
        <v>5</v>
      </c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55" t="s">
        <v>119</v>
      </c>
      <c r="B16" s="56"/>
      <c r="C16" s="56">
        <v>4</v>
      </c>
      <c r="D16" s="56"/>
      <c r="E16" s="56"/>
      <c r="F16" s="56">
        <v>5</v>
      </c>
      <c r="G16" s="56"/>
      <c r="H16" s="56"/>
      <c r="I16" s="56">
        <v>4</v>
      </c>
      <c r="J16" s="56"/>
      <c r="K16" s="56"/>
      <c r="L16" s="56">
        <v>5</v>
      </c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>
        <v>18</v>
      </c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57" t="s">
        <v>3</v>
      </c>
      <c r="B17" s="56"/>
      <c r="C17" s="56">
        <v>4</v>
      </c>
      <c r="D17" s="56"/>
      <c r="E17" s="56"/>
      <c r="F17" s="56">
        <v>5</v>
      </c>
      <c r="G17" s="56"/>
      <c r="H17" s="56"/>
      <c r="I17" s="56">
        <v>4</v>
      </c>
      <c r="J17" s="56"/>
      <c r="K17" s="56"/>
      <c r="L17" s="56">
        <v>5</v>
      </c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>
        <v>18</v>
      </c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55" t="s">
        <v>132</v>
      </c>
      <c r="B18" s="56"/>
      <c r="C18" s="56">
        <v>2</v>
      </c>
      <c r="D18" s="56"/>
      <c r="E18" s="56"/>
      <c r="F18" s="56"/>
      <c r="G18" s="56"/>
      <c r="H18" s="56">
        <v>2</v>
      </c>
      <c r="I18" s="56"/>
      <c r="J18" s="56"/>
      <c r="K18" s="56"/>
      <c r="L18" s="56">
        <v>4</v>
      </c>
      <c r="M18" s="56">
        <v>2</v>
      </c>
      <c r="N18" s="56"/>
      <c r="O18" s="56">
        <v>4</v>
      </c>
      <c r="P18" s="56"/>
      <c r="Q18" s="56">
        <v>2</v>
      </c>
      <c r="R18" s="56"/>
      <c r="S18" s="56">
        <v>2</v>
      </c>
      <c r="T18" s="56">
        <v>2</v>
      </c>
      <c r="U18" s="56"/>
      <c r="V18" s="56">
        <v>4</v>
      </c>
      <c r="W18" s="56">
        <v>24</v>
      </c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57" t="s">
        <v>4</v>
      </c>
      <c r="B19" s="56"/>
      <c r="C19" s="56">
        <v>1</v>
      </c>
      <c r="D19" s="56"/>
      <c r="E19" s="56"/>
      <c r="F19" s="56"/>
      <c r="G19" s="56"/>
      <c r="H19" s="56">
        <v>2</v>
      </c>
      <c r="I19" s="56"/>
      <c r="J19" s="56"/>
      <c r="K19" s="56"/>
      <c r="L19" s="56">
        <v>4</v>
      </c>
      <c r="M19" s="56">
        <v>2</v>
      </c>
      <c r="N19" s="56"/>
      <c r="O19" s="56">
        <v>4</v>
      </c>
      <c r="P19" s="56"/>
      <c r="Q19" s="56">
        <v>1</v>
      </c>
      <c r="R19" s="56"/>
      <c r="S19" s="56">
        <v>1</v>
      </c>
      <c r="T19" s="56">
        <v>1</v>
      </c>
      <c r="U19" s="56"/>
      <c r="V19" s="56">
        <v>2</v>
      </c>
      <c r="W19" s="56">
        <v>18</v>
      </c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57" t="s">
        <v>3</v>
      </c>
      <c r="B20" s="56"/>
      <c r="C20" s="56">
        <v>1</v>
      </c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>
        <v>1</v>
      </c>
      <c r="R20" s="56"/>
      <c r="S20" s="56">
        <v>1</v>
      </c>
      <c r="T20" s="56">
        <v>1</v>
      </c>
      <c r="U20" s="56"/>
      <c r="V20" s="56">
        <v>2</v>
      </c>
      <c r="W20" s="56">
        <v>6</v>
      </c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55" t="s">
        <v>151</v>
      </c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>
        <v>4</v>
      </c>
      <c r="S21" s="56"/>
      <c r="T21" s="56"/>
      <c r="U21" s="56"/>
      <c r="V21" s="56"/>
      <c r="W21" s="56">
        <v>4</v>
      </c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57" t="s">
        <v>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>
        <v>3</v>
      </c>
      <c r="S22" s="56"/>
      <c r="T22" s="56"/>
      <c r="U22" s="56"/>
      <c r="V22" s="56"/>
      <c r="W22" s="56">
        <v>3</v>
      </c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 s="57" t="s">
        <v>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>
        <v>1</v>
      </c>
      <c r="S23" s="56"/>
      <c r="T23" s="56"/>
      <c r="U23" s="56"/>
      <c r="V23" s="56"/>
      <c r="W23" s="56">
        <v>1</v>
      </c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 s="55" t="s">
        <v>120</v>
      </c>
      <c r="B24" s="56"/>
      <c r="C24" s="56">
        <v>4</v>
      </c>
      <c r="D24" s="56"/>
      <c r="E24" s="56"/>
      <c r="F24" s="56">
        <v>4</v>
      </c>
      <c r="G24" s="56"/>
      <c r="H24" s="56"/>
      <c r="I24" s="56">
        <v>4</v>
      </c>
      <c r="J24" s="56"/>
      <c r="K24" s="56"/>
      <c r="L24" s="56">
        <v>4</v>
      </c>
      <c r="M24" s="56"/>
      <c r="N24" s="56"/>
      <c r="O24" s="56"/>
      <c r="P24" s="56">
        <v>6</v>
      </c>
      <c r="Q24" s="56"/>
      <c r="R24" s="56">
        <v>5</v>
      </c>
      <c r="S24" s="56"/>
      <c r="T24" s="56">
        <v>7</v>
      </c>
      <c r="U24" s="56"/>
      <c r="V24" s="56"/>
      <c r="W24" s="56">
        <v>34</v>
      </c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 s="57" t="s">
        <v>4</v>
      </c>
      <c r="B25" s="56"/>
      <c r="C25" s="56">
        <v>2</v>
      </c>
      <c r="D25" s="56"/>
      <c r="E25" s="56"/>
      <c r="F25" s="56">
        <v>2</v>
      </c>
      <c r="G25" s="56"/>
      <c r="H25" s="56"/>
      <c r="I25" s="56">
        <v>2</v>
      </c>
      <c r="J25" s="56"/>
      <c r="K25" s="56"/>
      <c r="L25" s="56">
        <v>3</v>
      </c>
      <c r="M25" s="56"/>
      <c r="N25" s="56"/>
      <c r="O25" s="56"/>
      <c r="P25" s="56">
        <v>5</v>
      </c>
      <c r="Q25" s="56"/>
      <c r="R25" s="56">
        <v>5</v>
      </c>
      <c r="S25" s="56"/>
      <c r="T25" s="56">
        <v>5</v>
      </c>
      <c r="U25" s="56"/>
      <c r="V25" s="56"/>
      <c r="W25" s="56">
        <v>24</v>
      </c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 s="57" t="s">
        <v>3</v>
      </c>
      <c r="B26" s="56"/>
      <c r="C26" s="56">
        <v>2</v>
      </c>
      <c r="D26" s="56"/>
      <c r="E26" s="56"/>
      <c r="F26" s="56">
        <v>2</v>
      </c>
      <c r="G26" s="56"/>
      <c r="H26" s="56"/>
      <c r="I26" s="56">
        <v>2</v>
      </c>
      <c r="J26" s="56"/>
      <c r="K26" s="56"/>
      <c r="L26" s="56">
        <v>1</v>
      </c>
      <c r="M26" s="56"/>
      <c r="N26" s="56"/>
      <c r="O26" s="56"/>
      <c r="P26" s="56">
        <v>1</v>
      </c>
      <c r="Q26" s="56"/>
      <c r="R26" s="56"/>
      <c r="S26" s="56"/>
      <c r="T26" s="56">
        <v>2</v>
      </c>
      <c r="U26" s="56"/>
      <c r="V26" s="56"/>
      <c r="W26" s="56">
        <v>10</v>
      </c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 s="55" t="s">
        <v>123</v>
      </c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>
        <v>20</v>
      </c>
      <c r="Q27" s="56"/>
      <c r="R27" s="56"/>
      <c r="S27" s="56"/>
      <c r="T27" s="56">
        <v>22</v>
      </c>
      <c r="U27" s="56"/>
      <c r="V27" s="56"/>
      <c r="W27" s="56">
        <v>42</v>
      </c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 s="57" t="s">
        <v>4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>
        <v>11</v>
      </c>
      <c r="Q28" s="56"/>
      <c r="R28" s="56"/>
      <c r="S28" s="56"/>
      <c r="T28" s="56">
        <v>9</v>
      </c>
      <c r="U28" s="56"/>
      <c r="V28" s="56"/>
      <c r="W28" s="56">
        <v>20</v>
      </c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 s="57" t="s">
        <v>3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>
        <v>9</v>
      </c>
      <c r="Q29" s="56"/>
      <c r="R29" s="56"/>
      <c r="S29" s="56"/>
      <c r="T29" s="56">
        <v>13</v>
      </c>
      <c r="U29" s="56"/>
      <c r="V29" s="56"/>
      <c r="W29" s="56">
        <v>22</v>
      </c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 s="55" t="s">
        <v>128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>
        <v>24</v>
      </c>
      <c r="O30" s="56">
        <v>24</v>
      </c>
      <c r="P30" s="56"/>
      <c r="Q30" s="56"/>
      <c r="R30" s="56"/>
      <c r="S30" s="56"/>
      <c r="T30" s="56"/>
      <c r="U30" s="56"/>
      <c r="V30" s="56"/>
      <c r="W30" s="56">
        <v>48</v>
      </c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 s="57" t="s">
        <v>4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>
        <v>11</v>
      </c>
      <c r="O31" s="56">
        <v>13</v>
      </c>
      <c r="P31" s="56"/>
      <c r="Q31" s="56"/>
      <c r="R31" s="56"/>
      <c r="S31" s="56"/>
      <c r="T31" s="56"/>
      <c r="U31" s="56"/>
      <c r="V31" s="56"/>
      <c r="W31" s="56">
        <v>24</v>
      </c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 s="57" t="s">
        <v>3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>
        <v>13</v>
      </c>
      <c r="O32" s="56">
        <v>11</v>
      </c>
      <c r="P32" s="56"/>
      <c r="Q32" s="56"/>
      <c r="R32" s="56"/>
      <c r="S32" s="56"/>
      <c r="T32" s="56"/>
      <c r="U32" s="56"/>
      <c r="V32" s="56"/>
      <c r="W32" s="56">
        <v>24</v>
      </c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 s="55" t="s">
        <v>131</v>
      </c>
      <c r="B33" s="56"/>
      <c r="C33" s="56"/>
      <c r="D33" s="56"/>
      <c r="E33" s="56"/>
      <c r="F33" s="56"/>
      <c r="G33" s="56"/>
      <c r="H33" s="56"/>
      <c r="I33" s="56"/>
      <c r="J33" s="56">
        <v>3</v>
      </c>
      <c r="K33" s="56"/>
      <c r="L33" s="56"/>
      <c r="M33" s="56">
        <v>3</v>
      </c>
      <c r="N33" s="56">
        <v>3</v>
      </c>
      <c r="O33" s="56"/>
      <c r="P33" s="56"/>
      <c r="Q33" s="56"/>
      <c r="R33" s="56"/>
      <c r="S33" s="56"/>
      <c r="T33" s="56"/>
      <c r="U33" s="56"/>
      <c r="V33" s="56">
        <v>1</v>
      </c>
      <c r="W33" s="56">
        <v>10</v>
      </c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 s="57" t="s">
        <v>4</v>
      </c>
      <c r="B34" s="56"/>
      <c r="C34" s="56"/>
      <c r="D34" s="56"/>
      <c r="E34" s="56"/>
      <c r="F34" s="56"/>
      <c r="G34" s="56"/>
      <c r="H34" s="56"/>
      <c r="I34" s="56"/>
      <c r="J34" s="56">
        <v>1</v>
      </c>
      <c r="K34" s="56"/>
      <c r="L34" s="56"/>
      <c r="M34" s="56">
        <v>1</v>
      </c>
      <c r="N34" s="56">
        <v>2</v>
      </c>
      <c r="O34" s="56"/>
      <c r="P34" s="56"/>
      <c r="Q34" s="56"/>
      <c r="R34" s="56"/>
      <c r="S34" s="56"/>
      <c r="T34" s="56"/>
      <c r="U34" s="56"/>
      <c r="V34" s="56">
        <v>1</v>
      </c>
      <c r="W34" s="56">
        <v>5</v>
      </c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 s="57" t="s">
        <v>3</v>
      </c>
      <c r="B35" s="56"/>
      <c r="C35" s="56"/>
      <c r="D35" s="56"/>
      <c r="E35" s="56"/>
      <c r="F35" s="56"/>
      <c r="G35" s="56"/>
      <c r="H35" s="56"/>
      <c r="I35" s="56"/>
      <c r="J35" s="56">
        <v>2</v>
      </c>
      <c r="K35" s="56"/>
      <c r="L35" s="56"/>
      <c r="M35" s="56">
        <v>2</v>
      </c>
      <c r="N35" s="56">
        <v>1</v>
      </c>
      <c r="O35" s="56"/>
      <c r="P35" s="56"/>
      <c r="Q35" s="56"/>
      <c r="R35" s="56"/>
      <c r="S35" s="56"/>
      <c r="T35" s="56"/>
      <c r="U35" s="56"/>
      <c r="V35" s="56"/>
      <c r="W35" s="56">
        <v>5</v>
      </c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 s="55" t="s">
        <v>262</v>
      </c>
      <c r="B36" s="56"/>
      <c r="C36" s="56"/>
      <c r="D36" s="56">
        <v>5</v>
      </c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>
        <v>5</v>
      </c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 s="57" t="s">
        <v>4</v>
      </c>
      <c r="B37" s="56"/>
      <c r="C37" s="56"/>
      <c r="D37" s="56">
        <v>5</v>
      </c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>
        <v>5</v>
      </c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 s="55" t="s">
        <v>103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>
        <v>3</v>
      </c>
      <c r="P38" s="56"/>
      <c r="Q38" s="56"/>
      <c r="R38" s="56">
        <v>3</v>
      </c>
      <c r="S38" s="56"/>
      <c r="T38" s="56"/>
      <c r="U38" s="56"/>
      <c r="V38" s="56"/>
      <c r="W38" s="56">
        <v>6</v>
      </c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 s="57" t="s">
        <v>4</v>
      </c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>
        <v>2</v>
      </c>
      <c r="P39" s="56"/>
      <c r="Q39" s="56"/>
      <c r="R39" s="56">
        <v>1</v>
      </c>
      <c r="S39" s="56"/>
      <c r="T39" s="56"/>
      <c r="U39" s="56"/>
      <c r="V39" s="56"/>
      <c r="W39" s="56">
        <v>3</v>
      </c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 s="57" t="s">
        <v>3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>
        <v>1</v>
      </c>
      <c r="P40" s="56"/>
      <c r="Q40" s="56"/>
      <c r="R40" s="56">
        <v>2</v>
      </c>
      <c r="S40" s="56"/>
      <c r="T40" s="56"/>
      <c r="U40" s="56"/>
      <c r="V40" s="56"/>
      <c r="W40" s="56">
        <v>3</v>
      </c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 s="55" t="s">
        <v>239</v>
      </c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>
        <v>4</v>
      </c>
      <c r="P41" s="56">
        <v>10</v>
      </c>
      <c r="Q41" s="56"/>
      <c r="R41" s="56">
        <v>3</v>
      </c>
      <c r="S41" s="56"/>
      <c r="T41" s="56">
        <v>5</v>
      </c>
      <c r="U41" s="56"/>
      <c r="V41" s="56"/>
      <c r="W41" s="56">
        <v>22</v>
      </c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 s="57" t="s">
        <v>4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>
        <v>4</v>
      </c>
      <c r="P42" s="56">
        <v>6</v>
      </c>
      <c r="Q42" s="56"/>
      <c r="R42" s="56">
        <v>2</v>
      </c>
      <c r="S42" s="56"/>
      <c r="T42" s="56">
        <v>4</v>
      </c>
      <c r="U42" s="56"/>
      <c r="V42" s="56"/>
      <c r="W42" s="56">
        <v>16</v>
      </c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 s="57" t="s">
        <v>3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>
        <v>4</v>
      </c>
      <c r="Q43" s="56"/>
      <c r="R43" s="56">
        <v>1</v>
      </c>
      <c r="S43" s="56"/>
      <c r="T43" s="56">
        <v>1</v>
      </c>
      <c r="U43" s="56"/>
      <c r="V43" s="56"/>
      <c r="W43" s="56">
        <v>6</v>
      </c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 s="55" t="s">
        <v>251</v>
      </c>
      <c r="B44" s="56">
        <v>4</v>
      </c>
      <c r="C44" s="56"/>
      <c r="D44" s="56">
        <v>6</v>
      </c>
      <c r="E44" s="56">
        <v>5</v>
      </c>
      <c r="F44" s="56"/>
      <c r="G44" s="56">
        <v>7</v>
      </c>
      <c r="H44" s="56">
        <v>4</v>
      </c>
      <c r="I44" s="56"/>
      <c r="J44" s="56">
        <v>7</v>
      </c>
      <c r="K44" s="56">
        <v>8</v>
      </c>
      <c r="L44" s="56"/>
      <c r="M44" s="56">
        <v>6</v>
      </c>
      <c r="N44" s="56"/>
      <c r="O44" s="56"/>
      <c r="P44" s="56"/>
      <c r="Q44" s="56">
        <v>4</v>
      </c>
      <c r="R44" s="56"/>
      <c r="S44" s="56"/>
      <c r="T44" s="56"/>
      <c r="U44" s="56"/>
      <c r="V44" s="56">
        <v>6</v>
      </c>
      <c r="W44" s="56">
        <v>57</v>
      </c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 s="57" t="s">
        <v>4</v>
      </c>
      <c r="B45" s="56">
        <v>3</v>
      </c>
      <c r="C45" s="56"/>
      <c r="D45" s="56">
        <v>4</v>
      </c>
      <c r="E45" s="56">
        <v>4</v>
      </c>
      <c r="F45" s="56"/>
      <c r="G45" s="56">
        <v>4</v>
      </c>
      <c r="H45" s="56">
        <v>3</v>
      </c>
      <c r="I45" s="56"/>
      <c r="J45" s="56">
        <v>4</v>
      </c>
      <c r="K45" s="56">
        <v>7</v>
      </c>
      <c r="L45" s="56"/>
      <c r="M45" s="56">
        <v>4</v>
      </c>
      <c r="N45" s="56"/>
      <c r="O45" s="56"/>
      <c r="P45" s="56"/>
      <c r="Q45" s="56">
        <v>4</v>
      </c>
      <c r="R45" s="56"/>
      <c r="S45" s="56"/>
      <c r="T45" s="56"/>
      <c r="U45" s="56"/>
      <c r="V45" s="56">
        <v>5</v>
      </c>
      <c r="W45" s="56">
        <v>42</v>
      </c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 s="57" t="s">
        <v>3</v>
      </c>
      <c r="B46" s="56">
        <v>1</v>
      </c>
      <c r="C46" s="56"/>
      <c r="D46" s="56">
        <v>2</v>
      </c>
      <c r="E46" s="56">
        <v>1</v>
      </c>
      <c r="F46" s="56"/>
      <c r="G46" s="56">
        <v>3</v>
      </c>
      <c r="H46" s="56">
        <v>1</v>
      </c>
      <c r="I46" s="56"/>
      <c r="J46" s="56">
        <v>3</v>
      </c>
      <c r="K46" s="56">
        <v>1</v>
      </c>
      <c r="L46" s="56"/>
      <c r="M46" s="56">
        <v>2</v>
      </c>
      <c r="N46" s="56"/>
      <c r="O46" s="56"/>
      <c r="P46" s="56"/>
      <c r="Q46" s="56"/>
      <c r="R46" s="56"/>
      <c r="S46" s="56"/>
      <c r="T46" s="56"/>
      <c r="U46" s="56"/>
      <c r="V46" s="56">
        <v>1</v>
      </c>
      <c r="W46" s="56">
        <v>15</v>
      </c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 s="55" t="s">
        <v>242</v>
      </c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>
        <v>8</v>
      </c>
      <c r="U47" s="56"/>
      <c r="V47" s="56"/>
      <c r="W47" s="56">
        <v>8</v>
      </c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 s="57" t="s">
        <v>4</v>
      </c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>
        <v>5</v>
      </c>
      <c r="U48" s="56"/>
      <c r="V48" s="56"/>
      <c r="W48" s="56">
        <v>5</v>
      </c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 s="57" t="s">
        <v>3</v>
      </c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>
        <v>3</v>
      </c>
      <c r="U49" s="56"/>
      <c r="V49" s="56"/>
      <c r="W49" s="56">
        <v>3</v>
      </c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 s="55" t="s">
        <v>133</v>
      </c>
      <c r="B50" s="56"/>
      <c r="C50" s="56">
        <v>7</v>
      </c>
      <c r="D50" s="56">
        <v>11</v>
      </c>
      <c r="E50" s="56"/>
      <c r="F50" s="56">
        <v>17</v>
      </c>
      <c r="G50" s="56">
        <v>15</v>
      </c>
      <c r="H50" s="56"/>
      <c r="I50" s="56">
        <v>12</v>
      </c>
      <c r="J50" s="56">
        <v>9</v>
      </c>
      <c r="K50" s="56"/>
      <c r="L50" s="56">
        <v>15</v>
      </c>
      <c r="M50" s="56">
        <v>9</v>
      </c>
      <c r="N50" s="56"/>
      <c r="O50" s="56"/>
      <c r="P50" s="56"/>
      <c r="Q50" s="56"/>
      <c r="R50" s="56"/>
      <c r="S50" s="56"/>
      <c r="T50" s="56"/>
      <c r="U50" s="56"/>
      <c r="V50" s="56"/>
      <c r="W50" s="56">
        <v>95</v>
      </c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 s="57"/>
      <c r="B51" s="56"/>
      <c r="C51" s="56"/>
      <c r="D51" s="56"/>
      <c r="E51" s="56"/>
      <c r="F51" s="56">
        <v>1</v>
      </c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>
        <v>1</v>
      </c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 s="57" t="s">
        <v>4</v>
      </c>
      <c r="B52" s="56"/>
      <c r="C52" s="56">
        <v>6</v>
      </c>
      <c r="D52" s="56">
        <v>7</v>
      </c>
      <c r="E52" s="56"/>
      <c r="F52" s="56">
        <v>13</v>
      </c>
      <c r="G52" s="56">
        <v>11</v>
      </c>
      <c r="H52" s="56"/>
      <c r="I52" s="56">
        <v>10</v>
      </c>
      <c r="J52" s="56">
        <v>6</v>
      </c>
      <c r="K52" s="56"/>
      <c r="L52" s="56">
        <v>12</v>
      </c>
      <c r="M52" s="56">
        <v>6</v>
      </c>
      <c r="N52" s="56"/>
      <c r="O52" s="56"/>
      <c r="P52" s="56"/>
      <c r="Q52" s="56"/>
      <c r="R52" s="56"/>
      <c r="S52" s="56"/>
      <c r="T52" s="56"/>
      <c r="U52" s="56"/>
      <c r="V52" s="56"/>
      <c r="W52" s="56">
        <v>71</v>
      </c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 s="57" t="s">
        <v>3</v>
      </c>
      <c r="B53" s="56"/>
      <c r="C53" s="56">
        <v>1</v>
      </c>
      <c r="D53" s="56">
        <v>4</v>
      </c>
      <c r="E53" s="56"/>
      <c r="F53" s="56">
        <v>3</v>
      </c>
      <c r="G53" s="56">
        <v>4</v>
      </c>
      <c r="H53" s="56"/>
      <c r="I53" s="56">
        <v>2</v>
      </c>
      <c r="J53" s="56">
        <v>3</v>
      </c>
      <c r="K53" s="56"/>
      <c r="L53" s="56">
        <v>3</v>
      </c>
      <c r="M53" s="56">
        <v>3</v>
      </c>
      <c r="N53" s="56"/>
      <c r="O53" s="56"/>
      <c r="P53" s="56"/>
      <c r="Q53" s="56"/>
      <c r="R53" s="56"/>
      <c r="S53" s="56"/>
      <c r="T53" s="56"/>
      <c r="U53" s="56"/>
      <c r="V53" s="56"/>
      <c r="W53" s="56">
        <v>23</v>
      </c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 s="55" t="s">
        <v>263</v>
      </c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>
        <v>5</v>
      </c>
      <c r="P54" s="56">
        <v>8</v>
      </c>
      <c r="Q54" s="56"/>
      <c r="R54" s="56">
        <v>11</v>
      </c>
      <c r="S54" s="56"/>
      <c r="T54" s="56"/>
      <c r="U54" s="56"/>
      <c r="V54" s="56"/>
      <c r="W54" s="56">
        <v>24</v>
      </c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 s="57" t="s">
        <v>4</v>
      </c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>
        <v>5</v>
      </c>
      <c r="P55" s="56">
        <v>6</v>
      </c>
      <c r="Q55" s="56"/>
      <c r="R55" s="56">
        <v>8</v>
      </c>
      <c r="S55" s="56"/>
      <c r="T55" s="56"/>
      <c r="U55" s="56"/>
      <c r="V55" s="56"/>
      <c r="W55" s="56">
        <v>19</v>
      </c>
      <c r="X55"/>
      <c r="Y55"/>
      <c r="Z55"/>
      <c r="AA55"/>
      <c r="AB55"/>
      <c r="AC55"/>
      <c r="AD55"/>
      <c r="AE55"/>
      <c r="AF55"/>
      <c r="AG55"/>
      <c r="AH55"/>
    </row>
    <row r="56" spans="1:34" x14ac:dyDescent="0.25">
      <c r="A56" s="57" t="s">
        <v>3</v>
      </c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>
        <v>2</v>
      </c>
      <c r="Q56" s="56"/>
      <c r="R56" s="56">
        <v>3</v>
      </c>
      <c r="S56" s="56"/>
      <c r="T56" s="56"/>
      <c r="U56" s="56"/>
      <c r="V56" s="56"/>
      <c r="W56" s="56">
        <v>5</v>
      </c>
      <c r="X56"/>
      <c r="Y56"/>
      <c r="Z56"/>
      <c r="AA56"/>
      <c r="AB56"/>
      <c r="AC56"/>
      <c r="AD56"/>
      <c r="AE56"/>
      <c r="AF56"/>
      <c r="AG56"/>
      <c r="AH56"/>
    </row>
    <row r="57" spans="1:34" x14ac:dyDescent="0.25">
      <c r="A57" s="55" t="s">
        <v>254</v>
      </c>
      <c r="B57" s="56"/>
      <c r="C57" s="56">
        <v>3</v>
      </c>
      <c r="D57" s="56"/>
      <c r="E57" s="56"/>
      <c r="F57" s="56">
        <v>3</v>
      </c>
      <c r="G57" s="56"/>
      <c r="H57" s="56"/>
      <c r="I57" s="56">
        <v>2</v>
      </c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>
        <v>8</v>
      </c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 s="57" t="s">
        <v>4</v>
      </c>
      <c r="B58" s="56"/>
      <c r="C58" s="56">
        <v>2</v>
      </c>
      <c r="D58" s="56"/>
      <c r="E58" s="56"/>
      <c r="F58" s="56">
        <v>2</v>
      </c>
      <c r="G58" s="56"/>
      <c r="H58" s="56"/>
      <c r="I58" s="56">
        <v>1</v>
      </c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>
        <v>5</v>
      </c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 s="57" t="s">
        <v>3</v>
      </c>
      <c r="B59" s="56"/>
      <c r="C59" s="56">
        <v>1</v>
      </c>
      <c r="D59" s="56"/>
      <c r="E59" s="56"/>
      <c r="F59" s="56">
        <v>1</v>
      </c>
      <c r="G59" s="56"/>
      <c r="H59" s="56"/>
      <c r="I59" s="56">
        <v>1</v>
      </c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>
        <v>3</v>
      </c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A60" s="55" t="s">
        <v>255</v>
      </c>
      <c r="B60" s="56"/>
      <c r="C60" s="56"/>
      <c r="D60" s="56"/>
      <c r="E60" s="56">
        <v>1</v>
      </c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>
        <v>1</v>
      </c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 s="57" t="s">
        <v>3</v>
      </c>
      <c r="B61" s="56"/>
      <c r="C61" s="56"/>
      <c r="D61" s="56"/>
      <c r="E61" s="56">
        <v>1</v>
      </c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>
        <v>1</v>
      </c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A62" s="55" t="s">
        <v>265</v>
      </c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>
        <v>14</v>
      </c>
      <c r="P62" s="56"/>
      <c r="Q62" s="56"/>
      <c r="R62" s="56">
        <v>22</v>
      </c>
      <c r="S62" s="56"/>
      <c r="T62" s="56"/>
      <c r="U62" s="56"/>
      <c r="V62" s="56"/>
      <c r="W62" s="56">
        <v>36</v>
      </c>
      <c r="X62"/>
      <c r="Y62"/>
      <c r="Z62"/>
      <c r="AA62"/>
      <c r="AB62"/>
      <c r="AC62"/>
      <c r="AD62"/>
      <c r="AE62"/>
      <c r="AF62"/>
      <c r="AG62"/>
      <c r="AH62"/>
    </row>
    <row r="63" spans="1:34" x14ac:dyDescent="0.25">
      <c r="A63" s="57" t="s">
        <v>4</v>
      </c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>
        <v>10</v>
      </c>
      <c r="P63" s="56"/>
      <c r="Q63" s="56"/>
      <c r="R63" s="56">
        <v>10</v>
      </c>
      <c r="S63" s="56"/>
      <c r="T63" s="56"/>
      <c r="U63" s="56"/>
      <c r="V63" s="56"/>
      <c r="W63" s="56">
        <v>20</v>
      </c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A64" s="57" t="s">
        <v>3</v>
      </c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>
        <v>4</v>
      </c>
      <c r="P64" s="56"/>
      <c r="Q64" s="56"/>
      <c r="R64" s="56">
        <v>12</v>
      </c>
      <c r="S64" s="56"/>
      <c r="T64" s="56"/>
      <c r="U64" s="56"/>
      <c r="V64" s="56"/>
      <c r="W64" s="56">
        <v>16</v>
      </c>
      <c r="X64"/>
      <c r="Y64"/>
      <c r="Z64"/>
      <c r="AA64"/>
      <c r="AB64"/>
      <c r="AC64"/>
      <c r="AD64"/>
      <c r="AE64"/>
      <c r="AF64"/>
      <c r="AG64"/>
      <c r="AH64"/>
    </row>
    <row r="65" spans="1:34" x14ac:dyDescent="0.25">
      <c r="A65" s="55" t="s">
        <v>105</v>
      </c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>
        <v>6</v>
      </c>
      <c r="O65" s="56"/>
      <c r="P65" s="56"/>
      <c r="Q65" s="56">
        <v>7</v>
      </c>
      <c r="R65" s="56"/>
      <c r="S65" s="56">
        <v>6</v>
      </c>
      <c r="T65" s="56"/>
      <c r="U65" s="56">
        <v>5</v>
      </c>
      <c r="V65" s="56"/>
      <c r="W65" s="56">
        <v>24</v>
      </c>
      <c r="X65"/>
      <c r="Y65"/>
      <c r="Z65"/>
      <c r="AA65"/>
      <c r="AB65"/>
      <c r="AC65"/>
      <c r="AD65"/>
      <c r="AE65"/>
      <c r="AF65"/>
      <c r="AG65"/>
      <c r="AH65"/>
    </row>
    <row r="66" spans="1:34" x14ac:dyDescent="0.25">
      <c r="A66" s="57" t="s">
        <v>4</v>
      </c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>
        <v>6</v>
      </c>
      <c r="O66" s="56"/>
      <c r="P66" s="56"/>
      <c r="Q66" s="56">
        <v>7</v>
      </c>
      <c r="R66" s="56"/>
      <c r="S66" s="56">
        <v>6</v>
      </c>
      <c r="T66" s="56"/>
      <c r="U66" s="56">
        <v>5</v>
      </c>
      <c r="V66" s="56"/>
      <c r="W66" s="56">
        <v>24</v>
      </c>
      <c r="X66"/>
      <c r="Y66"/>
      <c r="Z66"/>
      <c r="AA66"/>
      <c r="AB66"/>
      <c r="AC66"/>
      <c r="AD66"/>
      <c r="AE66"/>
      <c r="AF66"/>
      <c r="AG66"/>
      <c r="AH66"/>
    </row>
    <row r="67" spans="1:34" x14ac:dyDescent="0.25">
      <c r="A67" s="55" t="s">
        <v>250</v>
      </c>
      <c r="B67" s="56"/>
      <c r="C67" s="56"/>
      <c r="D67" s="56">
        <v>35</v>
      </c>
      <c r="E67" s="56"/>
      <c r="F67" s="56"/>
      <c r="G67" s="56"/>
      <c r="H67" s="56"/>
      <c r="I67" s="56"/>
      <c r="J67" s="56">
        <v>24</v>
      </c>
      <c r="K67" s="56"/>
      <c r="L67" s="56"/>
      <c r="M67" s="56"/>
      <c r="N67" s="56"/>
      <c r="O67" s="56"/>
      <c r="P67" s="56"/>
      <c r="Q67" s="56"/>
      <c r="R67" s="56"/>
      <c r="S67" s="56">
        <v>80</v>
      </c>
      <c r="T67" s="56"/>
      <c r="U67" s="56"/>
      <c r="V67" s="56"/>
      <c r="W67" s="56">
        <v>139</v>
      </c>
      <c r="X67"/>
      <c r="Y67"/>
      <c r="Z67"/>
      <c r="AA67"/>
      <c r="AB67"/>
      <c r="AC67"/>
      <c r="AD67"/>
      <c r="AE67"/>
      <c r="AF67"/>
      <c r="AG67"/>
      <c r="AH67"/>
    </row>
    <row r="68" spans="1:34" x14ac:dyDescent="0.25">
      <c r="A68" s="57" t="s">
        <v>4</v>
      </c>
      <c r="B68" s="56"/>
      <c r="C68" s="56"/>
      <c r="D68" s="56">
        <v>35</v>
      </c>
      <c r="E68" s="56"/>
      <c r="F68" s="56"/>
      <c r="G68" s="56"/>
      <c r="H68" s="56"/>
      <c r="I68" s="56"/>
      <c r="J68" s="56">
        <v>15</v>
      </c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>
        <v>50</v>
      </c>
      <c r="X68"/>
      <c r="Y68"/>
      <c r="Z68"/>
      <c r="AA68"/>
      <c r="AB68"/>
      <c r="AC68"/>
      <c r="AD68"/>
      <c r="AE68"/>
      <c r="AF68"/>
      <c r="AG68"/>
      <c r="AH68"/>
    </row>
    <row r="69" spans="1:34" x14ac:dyDescent="0.25">
      <c r="A69" s="57" t="s">
        <v>3</v>
      </c>
      <c r="B69" s="56"/>
      <c r="C69" s="56"/>
      <c r="D69" s="56"/>
      <c r="E69" s="56"/>
      <c r="F69" s="56"/>
      <c r="G69" s="56"/>
      <c r="H69" s="56"/>
      <c r="I69" s="56"/>
      <c r="J69" s="56">
        <v>9</v>
      </c>
      <c r="K69" s="56"/>
      <c r="L69" s="56"/>
      <c r="M69" s="56"/>
      <c r="N69" s="56"/>
      <c r="O69" s="56"/>
      <c r="P69" s="56"/>
      <c r="Q69" s="56"/>
      <c r="R69" s="56"/>
      <c r="S69" s="56">
        <v>80</v>
      </c>
      <c r="T69" s="56"/>
      <c r="U69" s="56"/>
      <c r="V69" s="56"/>
      <c r="W69" s="56">
        <v>89</v>
      </c>
      <c r="X69"/>
      <c r="Y69"/>
      <c r="Z69"/>
      <c r="AA69"/>
      <c r="AB69"/>
      <c r="AC69"/>
      <c r="AD69"/>
      <c r="AE69"/>
      <c r="AF69"/>
      <c r="AG69"/>
      <c r="AH69"/>
    </row>
    <row r="70" spans="1:34" x14ac:dyDescent="0.25">
      <c r="A70" s="55" t="s">
        <v>20</v>
      </c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>
        <v>16</v>
      </c>
      <c r="P70" s="56"/>
      <c r="Q70" s="56"/>
      <c r="R70" s="56">
        <v>12</v>
      </c>
      <c r="S70" s="56"/>
      <c r="T70" s="56"/>
      <c r="U70" s="56"/>
      <c r="V70" s="56"/>
      <c r="W70" s="56">
        <v>28</v>
      </c>
      <c r="X70"/>
      <c r="Y70"/>
      <c r="Z70"/>
      <c r="AA70"/>
      <c r="AB70"/>
      <c r="AC70"/>
      <c r="AD70"/>
      <c r="AE70"/>
      <c r="AF70"/>
      <c r="AG70"/>
      <c r="AH70"/>
    </row>
    <row r="71" spans="1:34" x14ac:dyDescent="0.25">
      <c r="A71" s="57" t="s">
        <v>4</v>
      </c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>
        <v>16</v>
      </c>
      <c r="P71" s="56"/>
      <c r="Q71" s="56"/>
      <c r="R71" s="56">
        <v>12</v>
      </c>
      <c r="S71" s="56"/>
      <c r="T71" s="56"/>
      <c r="U71" s="56"/>
      <c r="V71" s="56"/>
      <c r="W71" s="56">
        <v>28</v>
      </c>
      <c r="X71"/>
      <c r="Y71"/>
      <c r="Z71"/>
      <c r="AA71"/>
      <c r="AB71"/>
      <c r="AC71"/>
      <c r="AD71"/>
      <c r="AE71"/>
      <c r="AF71"/>
      <c r="AG71"/>
      <c r="AH71"/>
    </row>
    <row r="72" spans="1:34" x14ac:dyDescent="0.25">
      <c r="A72" s="55" t="s">
        <v>134</v>
      </c>
      <c r="B72" s="56"/>
      <c r="C72" s="56">
        <v>14</v>
      </c>
      <c r="D72" s="56"/>
      <c r="E72" s="56"/>
      <c r="F72" s="56">
        <v>14</v>
      </c>
      <c r="G72" s="56"/>
      <c r="H72" s="56"/>
      <c r="I72" s="56">
        <v>14</v>
      </c>
      <c r="J72" s="56"/>
      <c r="K72" s="56"/>
      <c r="L72" s="56">
        <v>12</v>
      </c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>
        <v>54</v>
      </c>
      <c r="X72"/>
      <c r="Y72"/>
      <c r="Z72"/>
      <c r="AA72"/>
      <c r="AB72"/>
      <c r="AC72"/>
      <c r="AD72"/>
      <c r="AE72"/>
      <c r="AF72"/>
      <c r="AG72"/>
      <c r="AH72"/>
    </row>
    <row r="73" spans="1:34" x14ac:dyDescent="0.25">
      <c r="A73" s="57" t="s">
        <v>4</v>
      </c>
      <c r="B73" s="56"/>
      <c r="C73" s="56">
        <v>8</v>
      </c>
      <c r="D73" s="56"/>
      <c r="E73" s="56"/>
      <c r="F73" s="56">
        <v>8</v>
      </c>
      <c r="G73" s="56"/>
      <c r="H73" s="56"/>
      <c r="I73" s="56">
        <v>8</v>
      </c>
      <c r="J73" s="56"/>
      <c r="K73" s="56"/>
      <c r="L73" s="56">
        <v>8</v>
      </c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>
        <v>32</v>
      </c>
      <c r="X73"/>
      <c r="Y73"/>
      <c r="Z73"/>
      <c r="AA73"/>
      <c r="AB73"/>
      <c r="AC73"/>
      <c r="AD73"/>
      <c r="AE73"/>
      <c r="AF73"/>
      <c r="AG73"/>
      <c r="AH73"/>
    </row>
    <row r="74" spans="1:34" x14ac:dyDescent="0.25">
      <c r="A74" s="57" t="s">
        <v>3</v>
      </c>
      <c r="B74" s="56"/>
      <c r="C74" s="56">
        <v>6</v>
      </c>
      <c r="D74" s="56"/>
      <c r="E74" s="56"/>
      <c r="F74" s="56">
        <v>6</v>
      </c>
      <c r="G74" s="56"/>
      <c r="H74" s="56"/>
      <c r="I74" s="56">
        <v>6</v>
      </c>
      <c r="J74" s="56"/>
      <c r="K74" s="56"/>
      <c r="L74" s="56">
        <v>4</v>
      </c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>
        <v>22</v>
      </c>
      <c r="X74"/>
      <c r="Y74"/>
      <c r="Z74"/>
      <c r="AA74"/>
      <c r="AB74"/>
      <c r="AC74"/>
      <c r="AD74"/>
      <c r="AE74"/>
      <c r="AF74"/>
      <c r="AG74"/>
      <c r="AH74"/>
    </row>
    <row r="75" spans="1:34" x14ac:dyDescent="0.25">
      <c r="A75" s="55" t="s">
        <v>240</v>
      </c>
      <c r="B75" s="56"/>
      <c r="C75" s="56"/>
      <c r="D75" s="56">
        <v>6</v>
      </c>
      <c r="E75" s="56"/>
      <c r="F75" s="56"/>
      <c r="G75" s="56"/>
      <c r="H75" s="56"/>
      <c r="I75" s="56"/>
      <c r="J75" s="56">
        <v>10</v>
      </c>
      <c r="K75" s="56"/>
      <c r="L75" s="56"/>
      <c r="M75" s="56">
        <v>5</v>
      </c>
      <c r="N75" s="56"/>
      <c r="O75" s="56"/>
      <c r="P75" s="56"/>
      <c r="Q75" s="56"/>
      <c r="R75" s="56">
        <v>8</v>
      </c>
      <c r="S75" s="56"/>
      <c r="T75" s="56"/>
      <c r="U75" s="56"/>
      <c r="V75" s="56"/>
      <c r="W75" s="56">
        <v>29</v>
      </c>
      <c r="X75"/>
      <c r="Y75"/>
      <c r="Z75"/>
      <c r="AA75"/>
      <c r="AB75"/>
      <c r="AC75"/>
      <c r="AD75"/>
      <c r="AE75"/>
      <c r="AF75"/>
      <c r="AG75"/>
      <c r="AH75"/>
    </row>
    <row r="76" spans="1:34" x14ac:dyDescent="0.25">
      <c r="A76" s="57" t="s">
        <v>4</v>
      </c>
      <c r="B76" s="56"/>
      <c r="C76" s="56"/>
      <c r="D76" s="56">
        <v>4</v>
      </c>
      <c r="E76" s="56"/>
      <c r="F76" s="56"/>
      <c r="G76" s="56"/>
      <c r="H76" s="56"/>
      <c r="I76" s="56"/>
      <c r="J76" s="56">
        <v>9</v>
      </c>
      <c r="K76" s="56"/>
      <c r="L76" s="56"/>
      <c r="M76" s="56">
        <v>3</v>
      </c>
      <c r="N76" s="56"/>
      <c r="O76" s="56"/>
      <c r="P76" s="56"/>
      <c r="Q76" s="56"/>
      <c r="R76" s="56">
        <v>3</v>
      </c>
      <c r="S76" s="56"/>
      <c r="T76" s="56"/>
      <c r="U76" s="56"/>
      <c r="V76" s="56"/>
      <c r="W76" s="56">
        <v>19</v>
      </c>
      <c r="X76"/>
      <c r="Y76"/>
      <c r="Z76"/>
      <c r="AA76"/>
      <c r="AB76"/>
      <c r="AC76"/>
      <c r="AD76"/>
      <c r="AE76"/>
      <c r="AF76"/>
      <c r="AG76"/>
      <c r="AH76"/>
    </row>
    <row r="77" spans="1:34" x14ac:dyDescent="0.25">
      <c r="A77" s="57" t="s">
        <v>3</v>
      </c>
      <c r="B77" s="56"/>
      <c r="C77" s="56"/>
      <c r="D77" s="56">
        <v>2</v>
      </c>
      <c r="E77" s="56"/>
      <c r="F77" s="56"/>
      <c r="G77" s="56"/>
      <c r="H77" s="56"/>
      <c r="I77" s="56"/>
      <c r="J77" s="56">
        <v>1</v>
      </c>
      <c r="K77" s="56"/>
      <c r="L77" s="56"/>
      <c r="M77" s="56">
        <v>2</v>
      </c>
      <c r="N77" s="56"/>
      <c r="O77" s="56"/>
      <c r="P77" s="56"/>
      <c r="Q77" s="56"/>
      <c r="R77" s="56">
        <v>5</v>
      </c>
      <c r="S77" s="56"/>
      <c r="T77" s="56"/>
      <c r="U77" s="56"/>
      <c r="V77" s="56"/>
      <c r="W77" s="56">
        <v>10</v>
      </c>
      <c r="X77"/>
      <c r="Y77"/>
      <c r="Z77"/>
      <c r="AA77"/>
      <c r="AB77"/>
      <c r="AC77"/>
      <c r="AD77"/>
      <c r="AE77"/>
      <c r="AF77"/>
      <c r="AG77"/>
      <c r="AH77"/>
    </row>
    <row r="78" spans="1:34" x14ac:dyDescent="0.25">
      <c r="A78" s="55" t="s">
        <v>143</v>
      </c>
      <c r="B78" s="56">
        <v>2</v>
      </c>
      <c r="C78" s="56">
        <v>2</v>
      </c>
      <c r="D78" s="56"/>
      <c r="E78" s="56"/>
      <c r="F78" s="56">
        <v>3</v>
      </c>
      <c r="G78" s="56"/>
      <c r="H78" s="56"/>
      <c r="I78" s="56">
        <v>2</v>
      </c>
      <c r="J78" s="56"/>
      <c r="K78" s="56"/>
      <c r="L78" s="56"/>
      <c r="M78" s="56"/>
      <c r="N78" s="56">
        <v>8</v>
      </c>
      <c r="O78" s="56"/>
      <c r="P78" s="56"/>
      <c r="Q78" s="56">
        <v>22</v>
      </c>
      <c r="R78" s="56">
        <v>1</v>
      </c>
      <c r="S78" s="56"/>
      <c r="T78" s="56"/>
      <c r="U78" s="56">
        <v>8</v>
      </c>
      <c r="V78" s="56"/>
      <c r="W78" s="56">
        <v>48</v>
      </c>
      <c r="X78"/>
      <c r="Y78"/>
      <c r="Z78"/>
      <c r="AA78"/>
      <c r="AB78"/>
      <c r="AC78"/>
      <c r="AD78"/>
      <c r="AE78"/>
      <c r="AF78"/>
      <c r="AG78"/>
      <c r="AH78"/>
    </row>
    <row r="79" spans="1:34" x14ac:dyDescent="0.25">
      <c r="A79" s="57" t="s">
        <v>4</v>
      </c>
      <c r="B79" s="56">
        <v>1</v>
      </c>
      <c r="C79" s="56">
        <v>2</v>
      </c>
      <c r="D79" s="56"/>
      <c r="E79" s="56"/>
      <c r="F79" s="56">
        <v>2</v>
      </c>
      <c r="G79" s="56"/>
      <c r="H79" s="56"/>
      <c r="I79" s="56">
        <v>1</v>
      </c>
      <c r="J79" s="56"/>
      <c r="K79" s="56"/>
      <c r="L79" s="56"/>
      <c r="M79" s="56"/>
      <c r="N79" s="56">
        <v>5</v>
      </c>
      <c r="O79" s="56"/>
      <c r="P79" s="56"/>
      <c r="Q79" s="56">
        <v>21</v>
      </c>
      <c r="R79" s="56">
        <v>1</v>
      </c>
      <c r="S79" s="56"/>
      <c r="T79" s="56"/>
      <c r="U79" s="56">
        <v>5</v>
      </c>
      <c r="V79" s="56"/>
      <c r="W79" s="56">
        <v>38</v>
      </c>
      <c r="X79"/>
      <c r="Y79"/>
      <c r="Z79"/>
      <c r="AA79"/>
      <c r="AB79"/>
      <c r="AC79"/>
      <c r="AD79"/>
      <c r="AE79"/>
      <c r="AF79"/>
      <c r="AG79"/>
      <c r="AH79"/>
    </row>
    <row r="80" spans="1:34" x14ac:dyDescent="0.25">
      <c r="A80" s="57" t="s">
        <v>3</v>
      </c>
      <c r="B80" s="56">
        <v>1</v>
      </c>
      <c r="C80" s="56"/>
      <c r="D80" s="56"/>
      <c r="E80" s="56"/>
      <c r="F80" s="56">
        <v>1</v>
      </c>
      <c r="G80" s="56"/>
      <c r="H80" s="56"/>
      <c r="I80" s="56">
        <v>1</v>
      </c>
      <c r="J80" s="56"/>
      <c r="K80" s="56"/>
      <c r="L80" s="56"/>
      <c r="M80" s="56"/>
      <c r="N80" s="56">
        <v>3</v>
      </c>
      <c r="O80" s="56"/>
      <c r="P80" s="56"/>
      <c r="Q80" s="56">
        <v>1</v>
      </c>
      <c r="R80" s="56"/>
      <c r="S80" s="56"/>
      <c r="T80" s="56"/>
      <c r="U80" s="56">
        <v>3</v>
      </c>
      <c r="V80" s="56"/>
      <c r="W80" s="56">
        <v>10</v>
      </c>
      <c r="X80"/>
      <c r="Y80"/>
      <c r="Z80"/>
      <c r="AA80"/>
      <c r="AB80"/>
      <c r="AC80"/>
      <c r="AD80"/>
      <c r="AE80"/>
      <c r="AF80"/>
      <c r="AG80"/>
      <c r="AH80"/>
    </row>
    <row r="81" spans="1:34" x14ac:dyDescent="0.25">
      <c r="A81" s="55" t="s">
        <v>317</v>
      </c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>
        <v>2</v>
      </c>
      <c r="Q81" s="56"/>
      <c r="R81" s="56"/>
      <c r="S81" s="56"/>
      <c r="T81" s="56"/>
      <c r="U81" s="56"/>
      <c r="V81" s="56"/>
      <c r="W81" s="56">
        <v>2</v>
      </c>
      <c r="X81"/>
      <c r="Y81"/>
      <c r="Z81"/>
      <c r="AA81"/>
      <c r="AB81"/>
      <c r="AC81"/>
      <c r="AD81"/>
      <c r="AE81"/>
      <c r="AF81"/>
      <c r="AG81"/>
      <c r="AH81"/>
    </row>
    <row r="82" spans="1:34" x14ac:dyDescent="0.25">
      <c r="A82" s="57" t="s">
        <v>4</v>
      </c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>
        <v>2</v>
      </c>
      <c r="Q82" s="56"/>
      <c r="R82" s="56"/>
      <c r="S82" s="56"/>
      <c r="T82" s="56"/>
      <c r="U82" s="56"/>
      <c r="V82" s="56"/>
      <c r="W82" s="56">
        <v>2</v>
      </c>
      <c r="X82"/>
      <c r="Y82"/>
      <c r="Z82"/>
      <c r="AA82"/>
      <c r="AB82"/>
      <c r="AC82"/>
      <c r="AD82"/>
      <c r="AE82"/>
      <c r="AF82"/>
      <c r="AG82"/>
      <c r="AH82"/>
    </row>
    <row r="83" spans="1:34" x14ac:dyDescent="0.25">
      <c r="A83" s="55" t="s">
        <v>318</v>
      </c>
      <c r="B83" s="56"/>
      <c r="C83" s="56"/>
      <c r="D83" s="56"/>
      <c r="E83" s="56"/>
      <c r="F83" s="56"/>
      <c r="G83" s="56">
        <v>6</v>
      </c>
      <c r="H83" s="56"/>
      <c r="I83" s="56"/>
      <c r="J83" s="56">
        <v>15</v>
      </c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>
        <v>21</v>
      </c>
      <c r="X83"/>
      <c r="Y83"/>
      <c r="Z83"/>
      <c r="AA83"/>
      <c r="AB83"/>
      <c r="AC83"/>
      <c r="AD83"/>
      <c r="AE83"/>
      <c r="AF83"/>
      <c r="AG83"/>
      <c r="AH83"/>
    </row>
    <row r="84" spans="1:34" x14ac:dyDescent="0.25">
      <c r="A84" s="57" t="s">
        <v>4</v>
      </c>
      <c r="B84" s="56"/>
      <c r="C84" s="56"/>
      <c r="D84" s="56"/>
      <c r="E84" s="56"/>
      <c r="F84" s="56"/>
      <c r="G84" s="56">
        <v>6</v>
      </c>
      <c r="H84" s="56"/>
      <c r="I84" s="56"/>
      <c r="J84" s="56">
        <v>13</v>
      </c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>
        <v>19</v>
      </c>
      <c r="X84"/>
      <c r="Y84"/>
      <c r="Z84"/>
      <c r="AA84"/>
      <c r="AB84"/>
      <c r="AC84"/>
      <c r="AD84"/>
      <c r="AE84"/>
      <c r="AF84"/>
      <c r="AG84"/>
      <c r="AH84"/>
    </row>
    <row r="85" spans="1:34" x14ac:dyDescent="0.25">
      <c r="A85" s="57" t="s">
        <v>3</v>
      </c>
      <c r="B85" s="56"/>
      <c r="C85" s="56"/>
      <c r="D85" s="56"/>
      <c r="E85" s="56"/>
      <c r="F85" s="56"/>
      <c r="G85" s="56"/>
      <c r="H85" s="56"/>
      <c r="I85" s="56"/>
      <c r="J85" s="56">
        <v>2</v>
      </c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>
        <v>2</v>
      </c>
      <c r="X85"/>
      <c r="Y85"/>
      <c r="Z85"/>
      <c r="AA85"/>
      <c r="AB85"/>
      <c r="AC85"/>
      <c r="AD85"/>
      <c r="AE85"/>
      <c r="AF85"/>
      <c r="AG85"/>
      <c r="AH85"/>
    </row>
    <row r="86" spans="1:34" x14ac:dyDescent="0.25">
      <c r="A86" s="55" t="s">
        <v>165</v>
      </c>
      <c r="B86" s="56">
        <v>11</v>
      </c>
      <c r="C86" s="56">
        <v>56</v>
      </c>
      <c r="D86" s="56">
        <v>73</v>
      </c>
      <c r="E86" s="56">
        <v>25</v>
      </c>
      <c r="F86" s="56">
        <v>70</v>
      </c>
      <c r="G86" s="56">
        <v>46</v>
      </c>
      <c r="H86" s="56">
        <v>9</v>
      </c>
      <c r="I86" s="56">
        <v>63</v>
      </c>
      <c r="J86" s="56">
        <v>84</v>
      </c>
      <c r="K86" s="56">
        <v>44</v>
      </c>
      <c r="L86" s="56">
        <v>66</v>
      </c>
      <c r="M86" s="56">
        <v>35</v>
      </c>
      <c r="N86" s="56">
        <v>49</v>
      </c>
      <c r="O86" s="56">
        <v>97</v>
      </c>
      <c r="P86" s="56">
        <v>68</v>
      </c>
      <c r="Q86" s="56">
        <v>48</v>
      </c>
      <c r="R86" s="56">
        <v>94</v>
      </c>
      <c r="S86" s="56">
        <v>106</v>
      </c>
      <c r="T86" s="56">
        <v>63</v>
      </c>
      <c r="U86" s="56">
        <v>39</v>
      </c>
      <c r="V86" s="56">
        <v>22</v>
      </c>
      <c r="W86" s="56">
        <v>1168</v>
      </c>
      <c r="X86"/>
      <c r="Y86"/>
      <c r="Z86"/>
      <c r="AA86"/>
      <c r="AB86"/>
      <c r="AC86"/>
      <c r="AD86"/>
      <c r="AE86"/>
      <c r="AF86"/>
      <c r="AG86"/>
      <c r="AH86"/>
    </row>
    <row r="87" spans="1:34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  <row r="88" spans="1:34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</row>
    <row r="89" spans="1:34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</row>
    <row r="90" spans="1:34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:34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:34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:34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:34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r="101" spans="1:34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</row>
    <row r="102" spans="1:34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</row>
    <row r="103" spans="1:34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</row>
    <row r="104" spans="1:34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</row>
    <row r="105" spans="1:34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</row>
    <row r="106" spans="1:34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</row>
    <row r="107" spans="1:34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</row>
    <row r="108" spans="1:34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</row>
    <row r="109" spans="1:34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 spans="1:34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</row>
    <row r="111" spans="1:34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</row>
    <row r="112" spans="1:34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</row>
    <row r="113" spans="1:34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</row>
    <row r="114" spans="1:34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</row>
    <row r="115" spans="1:34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</row>
    <row r="116" spans="1:34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</row>
    <row r="117" spans="1:34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</row>
    <row r="118" spans="1:34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</row>
    <row r="119" spans="1:34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</row>
    <row r="120" spans="1:34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</row>
    <row r="121" spans="1:34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</row>
    <row r="122" spans="1:34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</row>
    <row r="123" spans="1:34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</row>
    <row r="124" spans="1:34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</row>
    <row r="125" spans="1:34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</row>
    <row r="126" spans="1:34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</row>
    <row r="127" spans="1:34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</row>
    <row r="128" spans="1:34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</row>
    <row r="129" spans="1:34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</row>
    <row r="130" spans="1:34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</row>
    <row r="131" spans="1:34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</row>
    <row r="132" spans="1:34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</row>
    <row r="133" spans="1:34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</row>
    <row r="134" spans="1:34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</row>
    <row r="135" spans="1:34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</row>
    <row r="136" spans="1:34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</row>
    <row r="137" spans="1:34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</row>
    <row r="138" spans="1:34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</row>
    <row r="139" spans="1:34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</row>
    <row r="140" spans="1:34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</row>
    <row r="141" spans="1:34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</row>
    <row r="142" spans="1:34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</row>
    <row r="143" spans="1:34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</row>
    <row r="144" spans="1:34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</row>
    <row r="145" spans="1:34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</row>
    <row r="146" spans="1:34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</row>
    <row r="147" spans="1:34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</row>
    <row r="148" spans="1:34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</row>
    <row r="149" spans="1:34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</row>
    <row r="150" spans="1:34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</row>
    <row r="151" spans="1:34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</row>
    <row r="152" spans="1:34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</row>
    <row r="153" spans="1:34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</row>
    <row r="154" spans="1:34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</row>
    <row r="155" spans="1:34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</row>
    <row r="156" spans="1:34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</row>
    <row r="157" spans="1:34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</row>
    <row r="158" spans="1:34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 spans="1:34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</row>
    <row r="160" spans="1:34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</row>
    <row r="161" spans="1:34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</row>
    <row r="162" spans="1:34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</row>
    <row r="163" spans="1:34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</row>
    <row r="164" spans="1:34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</row>
    <row r="165" spans="1:34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</row>
    <row r="166" spans="1:34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</row>
    <row r="167" spans="1:34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</row>
    <row r="168" spans="1:34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</row>
    <row r="169" spans="1:34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</row>
    <row r="170" spans="1:34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</row>
    <row r="171" spans="1:34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</row>
    <row r="172" spans="1:34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</row>
    <row r="173" spans="1:34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</row>
    <row r="174" spans="1:34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</row>
    <row r="175" spans="1:34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</row>
    <row r="176" spans="1:34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</row>
    <row r="177" spans="1:34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</row>
    <row r="178" spans="1:34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</row>
    <row r="179" spans="1:34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</row>
    <row r="180" spans="1:34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</row>
    <row r="181" spans="1:34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</row>
    <row r="182" spans="1:34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</row>
    <row r="183" spans="1:34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</row>
    <row r="184" spans="1:34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</row>
    <row r="185" spans="1:34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</row>
    <row r="186" spans="1:34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</row>
    <row r="187" spans="1:34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</row>
    <row r="188" spans="1:34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</row>
    <row r="189" spans="1:34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</row>
    <row r="190" spans="1:34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</row>
    <row r="191" spans="1:34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</row>
    <row r="192" spans="1:34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</row>
    <row r="193" spans="1:34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</row>
    <row r="194" spans="1:34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</row>
    <row r="195" spans="1:34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</row>
    <row r="196" spans="1:34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</row>
    <row r="197" spans="1:34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</row>
    <row r="198" spans="1:34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</row>
    <row r="199" spans="1:34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</row>
    <row r="200" spans="1:34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</row>
    <row r="201" spans="1:34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</row>
    <row r="202" spans="1:34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</row>
    <row r="203" spans="1:34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</row>
    <row r="204" spans="1:34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</row>
    <row r="205" spans="1:34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</row>
    <row r="206" spans="1:34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</row>
    <row r="207" spans="1:34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</row>
    <row r="208" spans="1:34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</row>
    <row r="209" spans="1:34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</row>
    <row r="210" spans="1:34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</row>
    <row r="211" spans="1:34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</row>
    <row r="212" spans="1:34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</row>
    <row r="213" spans="1:34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</row>
    <row r="214" spans="1:34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</row>
    <row r="215" spans="1:34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</row>
    <row r="216" spans="1:34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</row>
    <row r="217" spans="1:34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</row>
    <row r="218" spans="1:34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</row>
    <row r="219" spans="1:34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</row>
    <row r="220" spans="1:34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</row>
    <row r="221" spans="1:34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</row>
    <row r="222" spans="1:34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</row>
    <row r="223" spans="1:34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</row>
    <row r="224" spans="1:34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</row>
    <row r="225" spans="1:34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</row>
    <row r="226" spans="1:34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</row>
    <row r="227" spans="1:34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</row>
    <row r="228" spans="1:34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</row>
    <row r="229" spans="1:34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</row>
    <row r="230" spans="1:34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</row>
    <row r="231" spans="1:34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</row>
    <row r="232" spans="1:34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</row>
    <row r="233" spans="1:34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</row>
    <row r="234" spans="1:34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</row>
    <row r="235" spans="1:34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</row>
    <row r="236" spans="1:34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</row>
    <row r="237" spans="1:34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</row>
    <row r="238" spans="1:34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</row>
    <row r="239" spans="1:34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</row>
    <row r="240" spans="1:34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</row>
    <row r="241" spans="1:34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</row>
    <row r="242" spans="1:34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</row>
    <row r="243" spans="1:34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</row>
    <row r="244" spans="1:34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</row>
    <row r="245" spans="1:34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</row>
    <row r="246" spans="1:34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</row>
    <row r="247" spans="1:34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</row>
    <row r="248" spans="1:34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</row>
    <row r="249" spans="1:34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</row>
    <row r="250" spans="1:34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</row>
    <row r="251" spans="1:34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</row>
    <row r="252" spans="1:34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</row>
    <row r="253" spans="1:34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</row>
    <row r="254" spans="1:34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</row>
    <row r="255" spans="1:34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</row>
    <row r="256" spans="1:34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</row>
    <row r="257" spans="1:34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</row>
    <row r="258" spans="1:34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</row>
    <row r="259" spans="1:34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</row>
    <row r="260" spans="1:34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</row>
    <row r="261" spans="1:34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</row>
    <row r="262" spans="1:34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</row>
    <row r="263" spans="1:34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</row>
    <row r="264" spans="1:34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</row>
    <row r="265" spans="1:34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</row>
    <row r="266" spans="1:34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</row>
    <row r="267" spans="1:34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</row>
    <row r="268" spans="1:34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</row>
    <row r="269" spans="1:34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</row>
    <row r="270" spans="1:34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</row>
    <row r="271" spans="1:34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</row>
    <row r="272" spans="1:34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</row>
    <row r="273" spans="1:34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</row>
    <row r="274" spans="1:34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</row>
    <row r="275" spans="1:34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</row>
    <row r="276" spans="1:34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</row>
    <row r="277" spans="1:34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</row>
    <row r="278" spans="1:34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</row>
    <row r="279" spans="1:34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</row>
    <row r="280" spans="1:34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</row>
    <row r="281" spans="1:34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</row>
    <row r="282" spans="1:34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</row>
    <row r="283" spans="1:34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</row>
    <row r="284" spans="1:34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</row>
    <row r="285" spans="1:34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</row>
    <row r="286" spans="1:34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</row>
    <row r="287" spans="1:34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</row>
    <row r="288" spans="1:34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</row>
    <row r="289" spans="1:34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</row>
    <row r="290" spans="1:34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</row>
    <row r="291" spans="1:34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</row>
    <row r="292" spans="1:34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</row>
    <row r="293" spans="1:3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</row>
    <row r="294" spans="1:34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</row>
    <row r="295" spans="1:34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</row>
    <row r="296" spans="1:34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</row>
    <row r="297" spans="1:34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</row>
    <row r="298" spans="1:34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</row>
    <row r="299" spans="1:34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</row>
    <row r="300" spans="1:34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</row>
    <row r="301" spans="1:34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</row>
    <row r="302" spans="1:34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</row>
    <row r="303" spans="1:34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</row>
    <row r="304" spans="1:34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</row>
    <row r="305" spans="1:34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</row>
    <row r="306" spans="1:34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</row>
    <row r="307" spans="1:34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</row>
    <row r="308" spans="1:34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</row>
    <row r="309" spans="1:34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</row>
    <row r="310" spans="1:34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435"/>
  <sheetViews>
    <sheetView workbookViewId="0">
      <selection activeCell="A34" sqref="A34"/>
    </sheetView>
  </sheetViews>
  <sheetFormatPr defaultRowHeight="15" x14ac:dyDescent="0.25"/>
  <cols>
    <col min="1" max="1" width="36.7109375" style="33" customWidth="1"/>
    <col min="2" max="2" width="16.85546875" style="33" bestFit="1" customWidth="1"/>
    <col min="3" max="3" width="4" style="33" bestFit="1" customWidth="1"/>
    <col min="4" max="5" width="3.7109375" style="33" customWidth="1"/>
    <col min="6" max="9" width="4.7109375" style="33" bestFit="1" customWidth="1"/>
    <col min="10" max="10" width="4.42578125" style="33" customWidth="1"/>
    <col min="11" max="11" width="5.28515625" style="33" customWidth="1"/>
    <col min="12" max="13" width="4.7109375" style="33" customWidth="1"/>
    <col min="14" max="14" width="3.7109375" style="33" customWidth="1"/>
    <col min="15" max="16" width="4.7109375" style="33" bestFit="1" customWidth="1"/>
    <col min="17" max="18" width="4.7109375" style="33" customWidth="1"/>
    <col min="19" max="19" width="4.7109375" style="33" bestFit="1" customWidth="1"/>
    <col min="20" max="20" width="4.28515625" style="33" customWidth="1"/>
    <col min="21" max="22" width="5.28515625" style="33" bestFit="1" customWidth="1"/>
    <col min="23" max="23" width="11.7109375" style="33" bestFit="1" customWidth="1"/>
    <col min="24" max="24" width="4.28515625" style="33" bestFit="1" customWidth="1"/>
    <col min="25" max="25" width="4" style="33" bestFit="1" customWidth="1"/>
    <col min="26" max="30" width="4.7109375" style="33" bestFit="1" customWidth="1"/>
    <col min="31" max="31" width="4.28515625" style="33" bestFit="1" customWidth="1"/>
    <col min="32" max="33" width="5.28515625" style="33" bestFit="1" customWidth="1"/>
    <col min="34" max="34" width="11.7109375" style="33" bestFit="1" customWidth="1"/>
    <col min="35" max="36" width="10.7109375" style="33" bestFit="1" customWidth="1"/>
    <col min="37" max="37" width="7.28515625" style="33" bestFit="1" customWidth="1"/>
    <col min="38" max="38" width="11.28515625" style="33" bestFit="1" customWidth="1"/>
    <col min="39" max="16384" width="9.140625" style="33"/>
  </cols>
  <sheetData>
    <row r="1" spans="1:34" x14ac:dyDescent="0.25">
      <c r="A1" s="54" t="s">
        <v>173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179</v>
      </c>
      <c r="D2" t="s">
        <v>180</v>
      </c>
      <c r="E2" t="s">
        <v>181</v>
      </c>
      <c r="F2" t="s">
        <v>184</v>
      </c>
      <c r="G2" t="s">
        <v>185</v>
      </c>
      <c r="H2" t="s">
        <v>186</v>
      </c>
      <c r="I2" t="s">
        <v>189</v>
      </c>
      <c r="J2" t="s">
        <v>190</v>
      </c>
      <c r="K2" t="s">
        <v>191</v>
      </c>
      <c r="L2" t="s">
        <v>194</v>
      </c>
      <c r="M2" t="s">
        <v>195</v>
      </c>
      <c r="N2" t="s">
        <v>206</v>
      </c>
      <c r="O2" t="s">
        <v>207</v>
      </c>
      <c r="P2" t="s">
        <v>208</v>
      </c>
      <c r="Q2" t="s">
        <v>209</v>
      </c>
      <c r="R2" t="s">
        <v>210</v>
      </c>
      <c r="S2" t="s">
        <v>211</v>
      </c>
      <c r="T2" t="s">
        <v>224</v>
      </c>
      <c r="U2" t="s">
        <v>225</v>
      </c>
      <c r="V2" t="s">
        <v>226</v>
      </c>
      <c r="W2" t="s">
        <v>165</v>
      </c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307</v>
      </c>
      <c r="B3" s="56">
        <v>12</v>
      </c>
      <c r="C3" s="56">
        <v>57</v>
      </c>
      <c r="D3" s="56">
        <v>16</v>
      </c>
      <c r="E3" s="56">
        <v>28</v>
      </c>
      <c r="F3" s="56">
        <v>36</v>
      </c>
      <c r="G3" s="56">
        <v>12</v>
      </c>
      <c r="H3" s="56">
        <v>28</v>
      </c>
      <c r="I3" s="56">
        <v>50</v>
      </c>
      <c r="J3" s="56">
        <v>20</v>
      </c>
      <c r="K3" s="56">
        <v>39</v>
      </c>
      <c r="L3" s="56">
        <v>32</v>
      </c>
      <c r="M3" s="56">
        <v>12</v>
      </c>
      <c r="N3" s="56">
        <v>35</v>
      </c>
      <c r="O3" s="56">
        <v>22</v>
      </c>
      <c r="P3" s="56">
        <v>13</v>
      </c>
      <c r="Q3" s="56">
        <v>29</v>
      </c>
      <c r="R3" s="56">
        <v>27</v>
      </c>
      <c r="S3" s="56">
        <v>17</v>
      </c>
      <c r="T3" s="56">
        <v>55</v>
      </c>
      <c r="U3" s="56">
        <v>47</v>
      </c>
      <c r="V3" s="56">
        <v>21</v>
      </c>
      <c r="W3" s="56">
        <v>608</v>
      </c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115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>
        <v>1</v>
      </c>
      <c r="S4" s="56"/>
      <c r="T4" s="56"/>
      <c r="U4" s="56"/>
      <c r="V4" s="56"/>
      <c r="W4" s="56">
        <v>1</v>
      </c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57" t="s">
        <v>113</v>
      </c>
      <c r="B5" s="56">
        <v>11</v>
      </c>
      <c r="C5" s="56">
        <v>41</v>
      </c>
      <c r="D5" s="56">
        <v>16</v>
      </c>
      <c r="E5" s="56">
        <v>28</v>
      </c>
      <c r="F5" s="56">
        <v>15</v>
      </c>
      <c r="G5" s="56">
        <v>7</v>
      </c>
      <c r="H5" s="56">
        <v>23</v>
      </c>
      <c r="I5" s="56">
        <v>15</v>
      </c>
      <c r="J5" s="56">
        <v>7</v>
      </c>
      <c r="K5" s="56">
        <v>12</v>
      </c>
      <c r="L5" s="56">
        <v>13</v>
      </c>
      <c r="M5" s="56">
        <v>12</v>
      </c>
      <c r="N5" s="56">
        <v>17</v>
      </c>
      <c r="O5" s="56">
        <v>18</v>
      </c>
      <c r="P5" s="56">
        <v>10</v>
      </c>
      <c r="Q5" s="56">
        <v>11</v>
      </c>
      <c r="R5" s="56">
        <v>9</v>
      </c>
      <c r="S5" s="56">
        <v>13</v>
      </c>
      <c r="T5" s="56">
        <v>48</v>
      </c>
      <c r="U5" s="56">
        <v>27</v>
      </c>
      <c r="V5" s="56">
        <v>21</v>
      </c>
      <c r="W5" s="56">
        <v>374</v>
      </c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7" t="s">
        <v>114</v>
      </c>
      <c r="B6" s="56">
        <v>1</v>
      </c>
      <c r="C6" s="56"/>
      <c r="D6" s="56"/>
      <c r="E6" s="56"/>
      <c r="F6" s="56"/>
      <c r="G6" s="56"/>
      <c r="H6" s="56">
        <v>5</v>
      </c>
      <c r="I6" s="56">
        <v>1</v>
      </c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>
        <v>7</v>
      </c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7" t="s">
        <v>112</v>
      </c>
      <c r="B7" s="56"/>
      <c r="C7" s="56">
        <v>16</v>
      </c>
      <c r="D7" s="56"/>
      <c r="E7" s="56"/>
      <c r="F7" s="56">
        <v>21</v>
      </c>
      <c r="G7" s="56">
        <v>5</v>
      </c>
      <c r="H7" s="56"/>
      <c r="I7" s="56">
        <v>34</v>
      </c>
      <c r="J7" s="56">
        <v>13</v>
      </c>
      <c r="K7" s="56">
        <v>27</v>
      </c>
      <c r="L7" s="56">
        <v>19</v>
      </c>
      <c r="M7" s="56"/>
      <c r="N7" s="56">
        <v>18</v>
      </c>
      <c r="O7" s="56">
        <v>4</v>
      </c>
      <c r="P7" s="56">
        <v>3</v>
      </c>
      <c r="Q7" s="56">
        <v>18</v>
      </c>
      <c r="R7" s="56">
        <v>17</v>
      </c>
      <c r="S7" s="56">
        <v>4</v>
      </c>
      <c r="T7" s="56">
        <v>7</v>
      </c>
      <c r="U7" s="56">
        <v>20</v>
      </c>
      <c r="V7" s="56"/>
      <c r="W7" s="56">
        <v>226</v>
      </c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55" t="s">
        <v>137</v>
      </c>
      <c r="B8" s="56"/>
      <c r="C8" s="56"/>
      <c r="D8" s="56"/>
      <c r="E8" s="56"/>
      <c r="F8" s="56">
        <v>1</v>
      </c>
      <c r="G8" s="56"/>
      <c r="H8" s="56"/>
      <c r="I8" s="56">
        <v>5</v>
      </c>
      <c r="J8" s="56"/>
      <c r="K8" s="56"/>
      <c r="L8" s="56">
        <v>4</v>
      </c>
      <c r="M8" s="56">
        <v>1</v>
      </c>
      <c r="N8" s="56"/>
      <c r="O8" s="56">
        <v>5</v>
      </c>
      <c r="P8" s="56">
        <v>2</v>
      </c>
      <c r="Q8" s="56"/>
      <c r="R8" s="56">
        <v>2</v>
      </c>
      <c r="S8" s="56"/>
      <c r="T8" s="56"/>
      <c r="U8" s="56"/>
      <c r="V8" s="56"/>
      <c r="W8" s="56">
        <v>20</v>
      </c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57" t="s">
        <v>115</v>
      </c>
      <c r="B9" s="56"/>
      <c r="C9" s="56"/>
      <c r="D9" s="56"/>
      <c r="E9" s="56"/>
      <c r="F9" s="56">
        <v>1</v>
      </c>
      <c r="G9" s="56"/>
      <c r="H9" s="56"/>
      <c r="I9" s="56">
        <v>5</v>
      </c>
      <c r="J9" s="56"/>
      <c r="K9" s="56"/>
      <c r="L9" s="56">
        <v>4</v>
      </c>
      <c r="M9" s="56"/>
      <c r="N9" s="56"/>
      <c r="O9" s="56">
        <v>4</v>
      </c>
      <c r="P9" s="56">
        <v>2</v>
      </c>
      <c r="Q9" s="56"/>
      <c r="R9" s="56">
        <v>2</v>
      </c>
      <c r="S9" s="56"/>
      <c r="T9" s="56"/>
      <c r="U9" s="56"/>
      <c r="V9" s="56"/>
      <c r="W9" s="56">
        <v>18</v>
      </c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57" t="s">
        <v>113</v>
      </c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>
        <v>1</v>
      </c>
      <c r="N10" s="56"/>
      <c r="O10" s="56"/>
      <c r="P10" s="56"/>
      <c r="Q10" s="56"/>
      <c r="R10" s="56"/>
      <c r="S10" s="56"/>
      <c r="T10" s="56"/>
      <c r="U10" s="56"/>
      <c r="V10" s="56"/>
      <c r="W10" s="56">
        <v>1</v>
      </c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57" t="s">
        <v>114</v>
      </c>
      <c r="B11" s="56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>
        <v>1</v>
      </c>
      <c r="P11" s="56"/>
      <c r="Q11" s="56"/>
      <c r="R11" s="56"/>
      <c r="S11" s="56"/>
      <c r="T11" s="56"/>
      <c r="U11" s="56"/>
      <c r="V11" s="56"/>
      <c r="W11" s="56">
        <v>1</v>
      </c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55" t="s">
        <v>130</v>
      </c>
      <c r="B12" s="56">
        <v>5</v>
      </c>
      <c r="C12" s="56">
        <v>20</v>
      </c>
      <c r="D12" s="56">
        <v>10</v>
      </c>
      <c r="E12" s="56">
        <v>19</v>
      </c>
      <c r="F12" s="56">
        <v>21</v>
      </c>
      <c r="G12" s="56">
        <v>18</v>
      </c>
      <c r="H12" s="56">
        <v>3</v>
      </c>
      <c r="I12" s="56">
        <v>16</v>
      </c>
      <c r="J12" s="56">
        <v>16</v>
      </c>
      <c r="K12" s="56">
        <v>36</v>
      </c>
      <c r="L12" s="56">
        <v>18</v>
      </c>
      <c r="M12" s="56">
        <v>9</v>
      </c>
      <c r="N12" s="56">
        <v>8</v>
      </c>
      <c r="O12" s="56">
        <v>22</v>
      </c>
      <c r="P12" s="56">
        <v>18</v>
      </c>
      <c r="Q12" s="56">
        <v>13</v>
      </c>
      <c r="R12" s="56">
        <v>23</v>
      </c>
      <c r="S12" s="56">
        <v>18</v>
      </c>
      <c r="T12" s="56">
        <v>19</v>
      </c>
      <c r="U12" s="56">
        <v>21</v>
      </c>
      <c r="V12" s="56">
        <v>11</v>
      </c>
      <c r="W12" s="56">
        <v>344</v>
      </c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7" t="s">
        <v>113</v>
      </c>
      <c r="B13" s="56">
        <v>1</v>
      </c>
      <c r="C13" s="56">
        <v>3</v>
      </c>
      <c r="D13" s="56">
        <v>5</v>
      </c>
      <c r="E13" s="56">
        <v>13</v>
      </c>
      <c r="F13" s="56">
        <v>4</v>
      </c>
      <c r="G13" s="56">
        <v>2</v>
      </c>
      <c r="H13" s="56">
        <v>1</v>
      </c>
      <c r="I13" s="56">
        <v>2</v>
      </c>
      <c r="J13" s="56">
        <v>5</v>
      </c>
      <c r="K13" s="56">
        <v>8</v>
      </c>
      <c r="L13" s="56">
        <v>5</v>
      </c>
      <c r="M13" s="56">
        <v>2</v>
      </c>
      <c r="N13" s="56">
        <v>3</v>
      </c>
      <c r="O13" s="56">
        <v>4</v>
      </c>
      <c r="P13" s="56">
        <v>5</v>
      </c>
      <c r="Q13" s="56">
        <v>4</v>
      </c>
      <c r="R13" s="56">
        <v>6</v>
      </c>
      <c r="S13" s="56">
        <v>6</v>
      </c>
      <c r="T13" s="56">
        <v>4</v>
      </c>
      <c r="U13" s="56">
        <v>9</v>
      </c>
      <c r="V13" s="56">
        <v>4</v>
      </c>
      <c r="W13" s="56">
        <v>96</v>
      </c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7" t="s">
        <v>114</v>
      </c>
      <c r="B14" s="56">
        <v>4</v>
      </c>
      <c r="C14" s="56">
        <v>3</v>
      </c>
      <c r="D14" s="56">
        <v>5</v>
      </c>
      <c r="E14" s="56">
        <v>6</v>
      </c>
      <c r="F14" s="56">
        <v>6</v>
      </c>
      <c r="G14" s="56">
        <v>7</v>
      </c>
      <c r="H14" s="56">
        <v>2</v>
      </c>
      <c r="I14" s="56">
        <v>5</v>
      </c>
      <c r="J14" s="56"/>
      <c r="K14" s="56">
        <v>12</v>
      </c>
      <c r="L14" s="56">
        <v>9</v>
      </c>
      <c r="M14" s="56">
        <v>5</v>
      </c>
      <c r="N14" s="56">
        <v>5</v>
      </c>
      <c r="O14" s="56">
        <v>6</v>
      </c>
      <c r="P14" s="56">
        <v>8</v>
      </c>
      <c r="Q14" s="56">
        <v>6</v>
      </c>
      <c r="R14" s="56">
        <v>14</v>
      </c>
      <c r="S14" s="56">
        <v>2</v>
      </c>
      <c r="T14" s="56">
        <v>8</v>
      </c>
      <c r="U14" s="56">
        <v>7</v>
      </c>
      <c r="V14" s="56">
        <v>7</v>
      </c>
      <c r="W14" s="56">
        <v>127</v>
      </c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57" t="s">
        <v>112</v>
      </c>
      <c r="B15" s="56"/>
      <c r="C15" s="56">
        <v>14</v>
      </c>
      <c r="D15" s="56"/>
      <c r="E15" s="56"/>
      <c r="F15" s="56">
        <v>11</v>
      </c>
      <c r="G15" s="56">
        <v>9</v>
      </c>
      <c r="H15" s="56"/>
      <c r="I15" s="56">
        <v>9</v>
      </c>
      <c r="J15" s="56">
        <v>11</v>
      </c>
      <c r="K15" s="56">
        <v>16</v>
      </c>
      <c r="L15" s="56">
        <v>4</v>
      </c>
      <c r="M15" s="56">
        <v>2</v>
      </c>
      <c r="N15" s="56"/>
      <c r="O15" s="56">
        <v>12</v>
      </c>
      <c r="P15" s="56">
        <v>5</v>
      </c>
      <c r="Q15" s="56">
        <v>3</v>
      </c>
      <c r="R15" s="56">
        <v>3</v>
      </c>
      <c r="S15" s="56">
        <v>10</v>
      </c>
      <c r="T15" s="56">
        <v>7</v>
      </c>
      <c r="U15" s="56">
        <v>5</v>
      </c>
      <c r="V15" s="56"/>
      <c r="W15" s="56">
        <v>121</v>
      </c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55" t="s">
        <v>150</v>
      </c>
      <c r="B16" s="56"/>
      <c r="C16" s="56"/>
      <c r="D16" s="56"/>
      <c r="E16" s="56"/>
      <c r="F16" s="56">
        <v>2</v>
      </c>
      <c r="G16" s="56"/>
      <c r="H16" s="56"/>
      <c r="I16" s="56">
        <v>4</v>
      </c>
      <c r="J16" s="56"/>
      <c r="K16" s="56"/>
      <c r="L16" s="56">
        <v>4</v>
      </c>
      <c r="M16" s="56"/>
      <c r="N16" s="56"/>
      <c r="O16" s="56"/>
      <c r="P16" s="56">
        <v>2</v>
      </c>
      <c r="Q16" s="56"/>
      <c r="R16" s="56"/>
      <c r="S16" s="56"/>
      <c r="T16" s="56"/>
      <c r="U16" s="56"/>
      <c r="V16" s="56"/>
      <c r="W16" s="56">
        <v>12</v>
      </c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57" t="s">
        <v>115</v>
      </c>
      <c r="B17" s="56"/>
      <c r="C17" s="56"/>
      <c r="D17" s="56"/>
      <c r="E17" s="56"/>
      <c r="F17" s="56">
        <v>2</v>
      </c>
      <c r="G17" s="56"/>
      <c r="H17" s="56"/>
      <c r="I17" s="56">
        <v>4</v>
      </c>
      <c r="J17" s="56"/>
      <c r="K17" s="56"/>
      <c r="L17" s="56">
        <v>4</v>
      </c>
      <c r="M17" s="56"/>
      <c r="N17" s="56"/>
      <c r="O17" s="56"/>
      <c r="P17" s="56">
        <v>2</v>
      </c>
      <c r="Q17" s="56"/>
      <c r="R17" s="56"/>
      <c r="S17" s="56"/>
      <c r="T17" s="56"/>
      <c r="U17" s="56"/>
      <c r="V17" s="56"/>
      <c r="W17" s="56">
        <v>12</v>
      </c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55" t="s">
        <v>118</v>
      </c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>
        <v>5</v>
      </c>
      <c r="V18" s="56"/>
      <c r="W18" s="56">
        <v>5</v>
      </c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57" t="s">
        <v>113</v>
      </c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>
        <v>5</v>
      </c>
      <c r="V19" s="56"/>
      <c r="W19" s="56">
        <v>5</v>
      </c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55" t="s">
        <v>119</v>
      </c>
      <c r="B20" s="56"/>
      <c r="C20" s="56">
        <v>4</v>
      </c>
      <c r="D20" s="56"/>
      <c r="E20" s="56"/>
      <c r="F20" s="56">
        <v>5</v>
      </c>
      <c r="G20" s="56"/>
      <c r="H20" s="56"/>
      <c r="I20" s="56">
        <v>4</v>
      </c>
      <c r="J20" s="56"/>
      <c r="K20" s="56"/>
      <c r="L20" s="56">
        <v>5</v>
      </c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>
        <v>18</v>
      </c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57" t="s">
        <v>114</v>
      </c>
      <c r="B21" s="56"/>
      <c r="C21" s="56">
        <v>4</v>
      </c>
      <c r="D21" s="56"/>
      <c r="E21" s="56"/>
      <c r="F21" s="56">
        <v>5</v>
      </c>
      <c r="G21" s="56"/>
      <c r="H21" s="56"/>
      <c r="I21" s="56">
        <v>4</v>
      </c>
      <c r="J21" s="56"/>
      <c r="K21" s="56"/>
      <c r="L21" s="56">
        <v>5</v>
      </c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>
        <v>18</v>
      </c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55" t="s">
        <v>132</v>
      </c>
      <c r="B22" s="56"/>
      <c r="C22" s="56">
        <v>2</v>
      </c>
      <c r="D22" s="56"/>
      <c r="E22" s="56"/>
      <c r="F22" s="56"/>
      <c r="G22" s="56"/>
      <c r="H22" s="56">
        <v>2</v>
      </c>
      <c r="I22" s="56"/>
      <c r="J22" s="56"/>
      <c r="K22" s="56"/>
      <c r="L22" s="56">
        <v>4</v>
      </c>
      <c r="M22" s="56">
        <v>2</v>
      </c>
      <c r="N22" s="56"/>
      <c r="O22" s="56">
        <v>4</v>
      </c>
      <c r="P22" s="56"/>
      <c r="Q22" s="56">
        <v>2</v>
      </c>
      <c r="R22" s="56"/>
      <c r="S22" s="56">
        <v>2</v>
      </c>
      <c r="T22" s="56">
        <v>2</v>
      </c>
      <c r="U22" s="56"/>
      <c r="V22" s="56">
        <v>4</v>
      </c>
      <c r="W22" s="56">
        <v>24</v>
      </c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 s="57" t="s">
        <v>113</v>
      </c>
      <c r="B23" s="56"/>
      <c r="C23" s="56">
        <v>2</v>
      </c>
      <c r="D23" s="56"/>
      <c r="E23" s="56"/>
      <c r="F23" s="56"/>
      <c r="G23" s="56"/>
      <c r="H23" s="56">
        <v>2</v>
      </c>
      <c r="I23" s="56"/>
      <c r="J23" s="56"/>
      <c r="K23" s="56"/>
      <c r="L23" s="56">
        <v>4</v>
      </c>
      <c r="M23" s="56">
        <v>2</v>
      </c>
      <c r="N23" s="56"/>
      <c r="O23" s="56">
        <v>4</v>
      </c>
      <c r="P23" s="56"/>
      <c r="Q23" s="56">
        <v>2</v>
      </c>
      <c r="R23" s="56"/>
      <c r="S23" s="56">
        <v>2</v>
      </c>
      <c r="T23" s="56">
        <v>2</v>
      </c>
      <c r="U23" s="56"/>
      <c r="V23" s="56">
        <v>2</v>
      </c>
      <c r="W23" s="56">
        <v>22</v>
      </c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 s="57" t="s">
        <v>114</v>
      </c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>
        <v>2</v>
      </c>
      <c r="W24" s="56">
        <v>2</v>
      </c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 s="55" t="s">
        <v>151</v>
      </c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>
        <v>4</v>
      </c>
      <c r="S25" s="56"/>
      <c r="T25" s="56"/>
      <c r="U25" s="56"/>
      <c r="V25" s="56"/>
      <c r="W25" s="56">
        <v>4</v>
      </c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 s="57" t="s">
        <v>115</v>
      </c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>
        <v>4</v>
      </c>
      <c r="S26" s="56"/>
      <c r="T26" s="56"/>
      <c r="U26" s="56"/>
      <c r="V26" s="56"/>
      <c r="W26" s="56">
        <v>4</v>
      </c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 s="55" t="s">
        <v>120</v>
      </c>
      <c r="B27" s="56"/>
      <c r="C27" s="56">
        <v>4</v>
      </c>
      <c r="D27" s="56"/>
      <c r="E27" s="56"/>
      <c r="F27" s="56">
        <v>4</v>
      </c>
      <c r="G27" s="56"/>
      <c r="H27" s="56"/>
      <c r="I27" s="56">
        <v>4</v>
      </c>
      <c r="J27" s="56"/>
      <c r="K27" s="56"/>
      <c r="L27" s="56">
        <v>4</v>
      </c>
      <c r="M27" s="56"/>
      <c r="N27" s="56"/>
      <c r="O27" s="56"/>
      <c r="P27" s="56">
        <v>6</v>
      </c>
      <c r="Q27" s="56"/>
      <c r="R27" s="56">
        <v>5</v>
      </c>
      <c r="S27" s="56"/>
      <c r="T27" s="56">
        <v>7</v>
      </c>
      <c r="U27" s="56"/>
      <c r="V27" s="56"/>
      <c r="W27" s="56">
        <v>34</v>
      </c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 s="57" t="s">
        <v>114</v>
      </c>
      <c r="B28" s="56"/>
      <c r="C28" s="56">
        <v>4</v>
      </c>
      <c r="D28" s="56"/>
      <c r="E28" s="56"/>
      <c r="F28" s="56">
        <v>4</v>
      </c>
      <c r="G28" s="56"/>
      <c r="H28" s="56"/>
      <c r="I28" s="56">
        <v>4</v>
      </c>
      <c r="J28" s="56"/>
      <c r="K28" s="56"/>
      <c r="L28" s="56">
        <v>4</v>
      </c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>
        <v>16</v>
      </c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 s="57" t="s">
        <v>112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>
        <v>6</v>
      </c>
      <c r="Q29" s="56"/>
      <c r="R29" s="56">
        <v>5</v>
      </c>
      <c r="S29" s="56"/>
      <c r="T29" s="56">
        <v>7</v>
      </c>
      <c r="U29" s="56"/>
      <c r="V29" s="56"/>
      <c r="W29" s="56">
        <v>18</v>
      </c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 s="55" t="s">
        <v>123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>
        <v>20</v>
      </c>
      <c r="Q30" s="56"/>
      <c r="R30" s="56"/>
      <c r="S30" s="56"/>
      <c r="T30" s="56">
        <v>22</v>
      </c>
      <c r="U30" s="56"/>
      <c r="V30" s="56"/>
      <c r="W30" s="56">
        <v>42</v>
      </c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 s="57" t="s">
        <v>112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>
        <v>20</v>
      </c>
      <c r="Q31" s="56"/>
      <c r="R31" s="56"/>
      <c r="S31" s="56"/>
      <c r="T31" s="56">
        <v>22</v>
      </c>
      <c r="U31" s="56"/>
      <c r="V31" s="56"/>
      <c r="W31" s="56">
        <v>42</v>
      </c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 s="55" t="s">
        <v>128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>
        <v>24</v>
      </c>
      <c r="O32" s="56">
        <v>24</v>
      </c>
      <c r="P32" s="56"/>
      <c r="Q32" s="56"/>
      <c r="R32" s="56"/>
      <c r="S32" s="56"/>
      <c r="T32" s="56"/>
      <c r="U32" s="56"/>
      <c r="V32" s="56"/>
      <c r="W32" s="56">
        <v>48</v>
      </c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 s="57" t="s">
        <v>112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>
        <v>24</v>
      </c>
      <c r="O33" s="56">
        <v>24</v>
      </c>
      <c r="P33" s="56"/>
      <c r="Q33" s="56"/>
      <c r="R33" s="56"/>
      <c r="S33" s="56"/>
      <c r="T33" s="56"/>
      <c r="U33" s="56"/>
      <c r="V33" s="56"/>
      <c r="W33" s="56">
        <v>48</v>
      </c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 s="55" t="s">
        <v>131</v>
      </c>
      <c r="B34" s="56"/>
      <c r="C34" s="56"/>
      <c r="D34" s="56"/>
      <c r="E34" s="56"/>
      <c r="F34" s="56"/>
      <c r="G34" s="56"/>
      <c r="H34" s="56"/>
      <c r="I34" s="56"/>
      <c r="J34" s="56">
        <v>3</v>
      </c>
      <c r="K34" s="56"/>
      <c r="L34" s="56"/>
      <c r="M34" s="56">
        <v>3</v>
      </c>
      <c r="N34" s="56">
        <v>3</v>
      </c>
      <c r="O34" s="56"/>
      <c r="P34" s="56"/>
      <c r="Q34" s="56"/>
      <c r="R34" s="56"/>
      <c r="S34" s="56"/>
      <c r="T34" s="56"/>
      <c r="U34" s="56"/>
      <c r="V34" s="56">
        <v>1</v>
      </c>
      <c r="W34" s="56">
        <v>10</v>
      </c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 s="57" t="s">
        <v>113</v>
      </c>
      <c r="B35" s="56"/>
      <c r="C35" s="56"/>
      <c r="D35" s="56"/>
      <c r="E35" s="56"/>
      <c r="F35" s="56"/>
      <c r="G35" s="56"/>
      <c r="H35" s="56"/>
      <c r="I35" s="56"/>
      <c r="J35" s="56">
        <v>3</v>
      </c>
      <c r="K35" s="56"/>
      <c r="L35" s="56"/>
      <c r="M35" s="56"/>
      <c r="N35" s="56">
        <v>3</v>
      </c>
      <c r="O35" s="56"/>
      <c r="P35" s="56"/>
      <c r="Q35" s="56"/>
      <c r="R35" s="56"/>
      <c r="S35" s="56"/>
      <c r="T35" s="56"/>
      <c r="U35" s="56"/>
      <c r="V35" s="56"/>
      <c r="W35" s="56">
        <v>6</v>
      </c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 s="57" t="s">
        <v>114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>
        <v>1</v>
      </c>
      <c r="W36" s="56">
        <v>1</v>
      </c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 s="57" t="s">
        <v>112</v>
      </c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>
        <v>3</v>
      </c>
      <c r="N37" s="56"/>
      <c r="O37" s="56"/>
      <c r="P37" s="56"/>
      <c r="Q37" s="56"/>
      <c r="R37" s="56"/>
      <c r="S37" s="56"/>
      <c r="T37" s="56"/>
      <c r="U37" s="56"/>
      <c r="V37" s="56"/>
      <c r="W37" s="56">
        <v>3</v>
      </c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 s="55" t="s">
        <v>262</v>
      </c>
      <c r="B38" s="56"/>
      <c r="C38" s="56"/>
      <c r="D38" s="56">
        <v>5</v>
      </c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>
        <v>5</v>
      </c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 s="57" t="s">
        <v>113</v>
      </c>
      <c r="B39" s="56"/>
      <c r="C39" s="56"/>
      <c r="D39" s="56">
        <v>5</v>
      </c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>
        <v>5</v>
      </c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 s="55" t="s">
        <v>103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>
        <v>3</v>
      </c>
      <c r="P40" s="56"/>
      <c r="Q40" s="56"/>
      <c r="R40" s="56">
        <v>3</v>
      </c>
      <c r="S40" s="56"/>
      <c r="T40" s="56"/>
      <c r="U40" s="56"/>
      <c r="V40" s="56"/>
      <c r="W40" s="56">
        <v>6</v>
      </c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 s="57" t="s">
        <v>113</v>
      </c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>
        <v>3</v>
      </c>
      <c r="P41" s="56"/>
      <c r="Q41" s="56"/>
      <c r="R41" s="56">
        <v>3</v>
      </c>
      <c r="S41" s="56"/>
      <c r="T41" s="56"/>
      <c r="U41" s="56"/>
      <c r="V41" s="56"/>
      <c r="W41" s="56">
        <v>6</v>
      </c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 s="55" t="s">
        <v>239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>
        <v>4</v>
      </c>
      <c r="P42" s="56">
        <v>10</v>
      </c>
      <c r="Q42" s="56"/>
      <c r="R42" s="56">
        <v>3</v>
      </c>
      <c r="S42" s="56"/>
      <c r="T42" s="56">
        <v>5</v>
      </c>
      <c r="U42" s="56"/>
      <c r="V42" s="56"/>
      <c r="W42" s="56">
        <v>22</v>
      </c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 s="57" t="s">
        <v>113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>
        <v>5</v>
      </c>
      <c r="U43" s="56"/>
      <c r="V43" s="56"/>
      <c r="W43" s="56">
        <v>5</v>
      </c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 s="57" t="s">
        <v>114</v>
      </c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>
        <v>4</v>
      </c>
      <c r="P44" s="56">
        <v>10</v>
      </c>
      <c r="Q44" s="56"/>
      <c r="R44" s="56">
        <v>3</v>
      </c>
      <c r="S44" s="56"/>
      <c r="T44" s="56"/>
      <c r="U44" s="56"/>
      <c r="V44" s="56"/>
      <c r="W44" s="56">
        <v>17</v>
      </c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 s="55" t="s">
        <v>251</v>
      </c>
      <c r="B45" s="56">
        <v>4</v>
      </c>
      <c r="C45" s="56"/>
      <c r="D45" s="56">
        <v>6</v>
      </c>
      <c r="E45" s="56">
        <v>5</v>
      </c>
      <c r="F45" s="56"/>
      <c r="G45" s="56">
        <v>7</v>
      </c>
      <c r="H45" s="56">
        <v>4</v>
      </c>
      <c r="I45" s="56"/>
      <c r="J45" s="56">
        <v>7</v>
      </c>
      <c r="K45" s="56">
        <v>8</v>
      </c>
      <c r="L45" s="56"/>
      <c r="M45" s="56">
        <v>6</v>
      </c>
      <c r="N45" s="56"/>
      <c r="O45" s="56"/>
      <c r="P45" s="56"/>
      <c r="Q45" s="56">
        <v>4</v>
      </c>
      <c r="R45" s="56"/>
      <c r="S45" s="56"/>
      <c r="T45" s="56"/>
      <c r="U45" s="56"/>
      <c r="V45" s="56">
        <v>6</v>
      </c>
      <c r="W45" s="56">
        <v>57</v>
      </c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 s="57" t="s">
        <v>113</v>
      </c>
      <c r="B46" s="56"/>
      <c r="C46" s="56"/>
      <c r="D46" s="56"/>
      <c r="E46" s="56"/>
      <c r="F46" s="56"/>
      <c r="G46" s="56">
        <v>7</v>
      </c>
      <c r="H46" s="56"/>
      <c r="I46" s="56"/>
      <c r="J46" s="56">
        <v>7</v>
      </c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>
        <v>14</v>
      </c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 s="57" t="s">
        <v>114</v>
      </c>
      <c r="B47" s="56">
        <v>4</v>
      </c>
      <c r="C47" s="56"/>
      <c r="D47" s="56">
        <v>6</v>
      </c>
      <c r="E47" s="56">
        <v>5</v>
      </c>
      <c r="F47" s="56"/>
      <c r="G47" s="56"/>
      <c r="H47" s="56">
        <v>4</v>
      </c>
      <c r="I47" s="56"/>
      <c r="J47" s="56"/>
      <c r="K47" s="56">
        <v>8</v>
      </c>
      <c r="L47" s="56"/>
      <c r="M47" s="56">
        <v>6</v>
      </c>
      <c r="N47" s="56"/>
      <c r="O47" s="56"/>
      <c r="P47" s="56"/>
      <c r="Q47" s="56">
        <v>4</v>
      </c>
      <c r="R47" s="56"/>
      <c r="S47" s="56"/>
      <c r="T47" s="56"/>
      <c r="U47" s="56"/>
      <c r="V47" s="56">
        <v>6</v>
      </c>
      <c r="W47" s="56">
        <v>43</v>
      </c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 s="55" t="s">
        <v>242</v>
      </c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>
        <v>8</v>
      </c>
      <c r="U48" s="56"/>
      <c r="V48" s="56"/>
      <c r="W48" s="56">
        <v>8</v>
      </c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 s="57" t="s">
        <v>114</v>
      </c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>
        <v>8</v>
      </c>
      <c r="U49" s="56"/>
      <c r="V49" s="56"/>
      <c r="W49" s="56">
        <v>8</v>
      </c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 s="55" t="s">
        <v>133</v>
      </c>
      <c r="B50" s="56"/>
      <c r="C50" s="56">
        <v>7</v>
      </c>
      <c r="D50" s="56">
        <v>11</v>
      </c>
      <c r="E50" s="56"/>
      <c r="F50" s="56">
        <v>17</v>
      </c>
      <c r="G50" s="56">
        <v>15</v>
      </c>
      <c r="H50" s="56"/>
      <c r="I50" s="56">
        <v>12</v>
      </c>
      <c r="J50" s="56">
        <v>9</v>
      </c>
      <c r="K50" s="56"/>
      <c r="L50" s="56">
        <v>15</v>
      </c>
      <c r="M50" s="56">
        <v>9</v>
      </c>
      <c r="N50" s="56"/>
      <c r="O50" s="56"/>
      <c r="P50" s="56"/>
      <c r="Q50" s="56"/>
      <c r="R50" s="56"/>
      <c r="S50" s="56"/>
      <c r="T50" s="56"/>
      <c r="U50" s="56"/>
      <c r="V50" s="56"/>
      <c r="W50" s="56">
        <v>95</v>
      </c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 s="57" t="s">
        <v>113</v>
      </c>
      <c r="B51" s="56"/>
      <c r="C51" s="56">
        <v>7</v>
      </c>
      <c r="D51" s="56">
        <v>11</v>
      </c>
      <c r="E51" s="56"/>
      <c r="F51" s="56">
        <v>17</v>
      </c>
      <c r="G51" s="56">
        <v>15</v>
      </c>
      <c r="H51" s="56"/>
      <c r="I51" s="56">
        <v>12</v>
      </c>
      <c r="J51" s="56">
        <v>9</v>
      </c>
      <c r="K51" s="56"/>
      <c r="L51" s="56">
        <v>15</v>
      </c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>
        <v>86</v>
      </c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 s="57" t="s">
        <v>112</v>
      </c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>
        <v>9</v>
      </c>
      <c r="N52" s="56"/>
      <c r="O52" s="56"/>
      <c r="P52" s="56"/>
      <c r="Q52" s="56"/>
      <c r="R52" s="56"/>
      <c r="S52" s="56"/>
      <c r="T52" s="56"/>
      <c r="U52" s="56"/>
      <c r="V52" s="56"/>
      <c r="W52" s="56">
        <v>9</v>
      </c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 s="55" t="s">
        <v>263</v>
      </c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>
        <v>5</v>
      </c>
      <c r="P53" s="56">
        <v>8</v>
      </c>
      <c r="Q53" s="56"/>
      <c r="R53" s="56">
        <v>11</v>
      </c>
      <c r="S53" s="56"/>
      <c r="T53" s="56"/>
      <c r="U53" s="56"/>
      <c r="V53" s="56"/>
      <c r="W53" s="56">
        <v>24</v>
      </c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 s="57" t="s">
        <v>113</v>
      </c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>
        <v>5</v>
      </c>
      <c r="P54" s="56"/>
      <c r="Q54" s="56"/>
      <c r="R54" s="56"/>
      <c r="S54" s="56"/>
      <c r="T54" s="56"/>
      <c r="U54" s="56"/>
      <c r="V54" s="56"/>
      <c r="W54" s="56">
        <v>5</v>
      </c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 s="57" t="s">
        <v>116</v>
      </c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>
        <v>8</v>
      </c>
      <c r="Q55" s="56"/>
      <c r="R55" s="56">
        <v>11</v>
      </c>
      <c r="S55" s="56"/>
      <c r="T55" s="56"/>
      <c r="U55" s="56"/>
      <c r="V55" s="56"/>
      <c r="W55" s="56">
        <v>19</v>
      </c>
      <c r="X55"/>
      <c r="Y55"/>
      <c r="Z55"/>
      <c r="AA55"/>
      <c r="AB55"/>
      <c r="AC55"/>
      <c r="AD55"/>
      <c r="AE55"/>
      <c r="AF55"/>
      <c r="AG55"/>
      <c r="AH55"/>
    </row>
    <row r="56" spans="1:34" x14ac:dyDescent="0.25">
      <c r="A56" s="55" t="s">
        <v>254</v>
      </c>
      <c r="B56" s="56"/>
      <c r="C56" s="56">
        <v>3</v>
      </c>
      <c r="D56" s="56"/>
      <c r="E56" s="56"/>
      <c r="F56" s="56">
        <v>3</v>
      </c>
      <c r="G56" s="56"/>
      <c r="H56" s="56"/>
      <c r="I56" s="56">
        <v>2</v>
      </c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>
        <v>8</v>
      </c>
      <c r="X56"/>
      <c r="Y56"/>
      <c r="Z56"/>
      <c r="AA56"/>
      <c r="AB56"/>
      <c r="AC56"/>
      <c r="AD56"/>
      <c r="AE56"/>
      <c r="AF56"/>
      <c r="AG56"/>
      <c r="AH56"/>
    </row>
    <row r="57" spans="1:34" x14ac:dyDescent="0.25">
      <c r="A57" s="57" t="s">
        <v>114</v>
      </c>
      <c r="B57" s="56"/>
      <c r="C57" s="56">
        <v>3</v>
      </c>
      <c r="D57" s="56"/>
      <c r="E57" s="56"/>
      <c r="F57" s="56">
        <v>3</v>
      </c>
      <c r="G57" s="56"/>
      <c r="H57" s="56"/>
      <c r="I57" s="56">
        <v>2</v>
      </c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>
        <v>8</v>
      </c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 s="55" t="s">
        <v>255</v>
      </c>
      <c r="B58" s="56"/>
      <c r="C58" s="56"/>
      <c r="D58" s="56"/>
      <c r="E58" s="56">
        <v>1</v>
      </c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>
        <v>1</v>
      </c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 s="57" t="s">
        <v>116</v>
      </c>
      <c r="B59" s="56"/>
      <c r="C59" s="56"/>
      <c r="D59" s="56"/>
      <c r="E59" s="56">
        <v>1</v>
      </c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>
        <v>1</v>
      </c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A60" s="55" t="s">
        <v>265</v>
      </c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>
        <v>14</v>
      </c>
      <c r="P60" s="56"/>
      <c r="Q60" s="56"/>
      <c r="R60" s="56">
        <v>22</v>
      </c>
      <c r="S60" s="56"/>
      <c r="T60" s="56"/>
      <c r="U60" s="56"/>
      <c r="V60" s="56"/>
      <c r="W60" s="56">
        <v>36</v>
      </c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 s="57" t="s">
        <v>112</v>
      </c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>
        <v>14</v>
      </c>
      <c r="P61" s="56"/>
      <c r="Q61" s="56"/>
      <c r="R61" s="56">
        <v>22</v>
      </c>
      <c r="S61" s="56"/>
      <c r="T61" s="56"/>
      <c r="U61" s="56"/>
      <c r="V61" s="56"/>
      <c r="W61" s="56">
        <v>36</v>
      </c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A62" s="55" t="s">
        <v>105</v>
      </c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>
        <v>6</v>
      </c>
      <c r="O62" s="56"/>
      <c r="P62" s="56"/>
      <c r="Q62" s="56">
        <v>7</v>
      </c>
      <c r="R62" s="56"/>
      <c r="S62" s="56">
        <v>6</v>
      </c>
      <c r="T62" s="56"/>
      <c r="U62" s="56">
        <v>5</v>
      </c>
      <c r="V62" s="56"/>
      <c r="W62" s="56">
        <v>24</v>
      </c>
      <c r="X62"/>
      <c r="Y62"/>
      <c r="Z62"/>
      <c r="AA62"/>
      <c r="AB62"/>
      <c r="AC62"/>
      <c r="AD62"/>
      <c r="AE62"/>
      <c r="AF62"/>
      <c r="AG62"/>
      <c r="AH62"/>
    </row>
    <row r="63" spans="1:34" x14ac:dyDescent="0.25">
      <c r="A63" s="57" t="s">
        <v>114</v>
      </c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>
        <v>6</v>
      </c>
      <c r="O63" s="56"/>
      <c r="P63" s="56"/>
      <c r="Q63" s="56">
        <v>7</v>
      </c>
      <c r="R63" s="56"/>
      <c r="S63" s="56">
        <v>6</v>
      </c>
      <c r="T63" s="56"/>
      <c r="U63" s="56">
        <v>5</v>
      </c>
      <c r="V63" s="56"/>
      <c r="W63" s="56">
        <v>24</v>
      </c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A64" s="55" t="s">
        <v>250</v>
      </c>
      <c r="B64" s="56"/>
      <c r="C64" s="56"/>
      <c r="D64" s="56">
        <v>35</v>
      </c>
      <c r="E64" s="56"/>
      <c r="F64" s="56"/>
      <c r="G64" s="56"/>
      <c r="H64" s="56"/>
      <c r="I64" s="56"/>
      <c r="J64" s="56">
        <v>24</v>
      </c>
      <c r="K64" s="56"/>
      <c r="L64" s="56"/>
      <c r="M64" s="56"/>
      <c r="N64" s="56"/>
      <c r="O64" s="56"/>
      <c r="P64" s="56"/>
      <c r="Q64" s="56"/>
      <c r="R64" s="56"/>
      <c r="S64" s="56">
        <v>80</v>
      </c>
      <c r="T64" s="56"/>
      <c r="U64" s="56"/>
      <c r="V64" s="56"/>
      <c r="W64" s="56">
        <v>139</v>
      </c>
      <c r="X64"/>
      <c r="Y64"/>
      <c r="Z64"/>
      <c r="AA64"/>
      <c r="AB64"/>
      <c r="AC64"/>
      <c r="AD64"/>
      <c r="AE64"/>
      <c r="AF64"/>
      <c r="AG64"/>
      <c r="AH64"/>
    </row>
    <row r="65" spans="1:34" x14ac:dyDescent="0.25">
      <c r="A65" s="57" t="s">
        <v>113</v>
      </c>
      <c r="B65" s="56"/>
      <c r="C65" s="56"/>
      <c r="D65" s="56">
        <v>35</v>
      </c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>
        <v>35</v>
      </c>
      <c r="X65"/>
      <c r="Y65"/>
      <c r="Z65"/>
      <c r="AA65"/>
      <c r="AB65"/>
      <c r="AC65"/>
      <c r="AD65"/>
      <c r="AE65"/>
      <c r="AF65"/>
      <c r="AG65"/>
      <c r="AH65"/>
    </row>
    <row r="66" spans="1:34" x14ac:dyDescent="0.25">
      <c r="A66" s="57" t="s">
        <v>112</v>
      </c>
      <c r="B66" s="56"/>
      <c r="C66" s="56"/>
      <c r="D66" s="56"/>
      <c r="E66" s="56"/>
      <c r="F66" s="56"/>
      <c r="G66" s="56"/>
      <c r="H66" s="56"/>
      <c r="I66" s="56"/>
      <c r="J66" s="56">
        <v>24</v>
      </c>
      <c r="K66" s="56"/>
      <c r="L66" s="56"/>
      <c r="M66" s="56"/>
      <c r="N66" s="56"/>
      <c r="O66" s="56"/>
      <c r="P66" s="56"/>
      <c r="Q66" s="56"/>
      <c r="R66" s="56"/>
      <c r="S66" s="56">
        <v>80</v>
      </c>
      <c r="T66" s="56"/>
      <c r="U66" s="56"/>
      <c r="V66" s="56"/>
      <c r="W66" s="56">
        <v>104</v>
      </c>
      <c r="X66"/>
      <c r="Y66"/>
      <c r="Z66"/>
      <c r="AA66"/>
      <c r="AB66"/>
      <c r="AC66"/>
      <c r="AD66"/>
      <c r="AE66"/>
      <c r="AF66"/>
      <c r="AG66"/>
      <c r="AH66"/>
    </row>
    <row r="67" spans="1:34" x14ac:dyDescent="0.25">
      <c r="A67" s="55" t="s">
        <v>20</v>
      </c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>
        <v>16</v>
      </c>
      <c r="P67" s="56"/>
      <c r="Q67" s="56"/>
      <c r="R67" s="56">
        <v>12</v>
      </c>
      <c r="S67" s="56"/>
      <c r="T67" s="56"/>
      <c r="U67" s="56"/>
      <c r="V67" s="56"/>
      <c r="W67" s="56">
        <v>28</v>
      </c>
      <c r="X67"/>
      <c r="Y67"/>
      <c r="Z67"/>
      <c r="AA67"/>
      <c r="AB67"/>
      <c r="AC67"/>
      <c r="AD67"/>
      <c r="AE67"/>
      <c r="AF67"/>
      <c r="AG67"/>
      <c r="AH67"/>
    </row>
    <row r="68" spans="1:34" x14ac:dyDescent="0.25">
      <c r="A68" s="57" t="s">
        <v>116</v>
      </c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>
        <v>16</v>
      </c>
      <c r="P68" s="56"/>
      <c r="Q68" s="56"/>
      <c r="R68" s="56">
        <v>12</v>
      </c>
      <c r="S68" s="56"/>
      <c r="T68" s="56"/>
      <c r="U68" s="56"/>
      <c r="V68" s="56"/>
      <c r="W68" s="56">
        <v>28</v>
      </c>
      <c r="X68"/>
      <c r="Y68"/>
      <c r="Z68"/>
      <c r="AA68"/>
      <c r="AB68"/>
      <c r="AC68"/>
      <c r="AD68"/>
      <c r="AE68"/>
      <c r="AF68"/>
      <c r="AG68"/>
      <c r="AH68"/>
    </row>
    <row r="69" spans="1:34" x14ac:dyDescent="0.25">
      <c r="A69" s="55" t="s">
        <v>134</v>
      </c>
      <c r="B69" s="56"/>
      <c r="C69" s="56">
        <v>14</v>
      </c>
      <c r="D69" s="56"/>
      <c r="E69" s="56"/>
      <c r="F69" s="56">
        <v>14</v>
      </c>
      <c r="G69" s="56"/>
      <c r="H69" s="56"/>
      <c r="I69" s="56">
        <v>14</v>
      </c>
      <c r="J69" s="56"/>
      <c r="K69" s="56"/>
      <c r="L69" s="56">
        <v>12</v>
      </c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>
        <v>54</v>
      </c>
      <c r="X69"/>
      <c r="Y69"/>
      <c r="Z69"/>
      <c r="AA69"/>
      <c r="AB69"/>
      <c r="AC69"/>
      <c r="AD69"/>
      <c r="AE69"/>
      <c r="AF69"/>
      <c r="AG69"/>
      <c r="AH69"/>
    </row>
    <row r="70" spans="1:34" x14ac:dyDescent="0.25">
      <c r="A70" s="57" t="s">
        <v>116</v>
      </c>
      <c r="B70" s="56"/>
      <c r="C70" s="56">
        <v>14</v>
      </c>
      <c r="D70" s="56"/>
      <c r="E70" s="56"/>
      <c r="F70" s="56">
        <v>14</v>
      </c>
      <c r="G70" s="56"/>
      <c r="H70" s="56"/>
      <c r="I70" s="56">
        <v>14</v>
      </c>
      <c r="J70" s="56"/>
      <c r="K70" s="56"/>
      <c r="L70" s="56">
        <v>12</v>
      </c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>
        <v>54</v>
      </c>
      <c r="X70"/>
      <c r="Y70"/>
      <c r="Z70"/>
      <c r="AA70"/>
      <c r="AB70"/>
      <c r="AC70"/>
      <c r="AD70"/>
      <c r="AE70"/>
      <c r="AF70"/>
      <c r="AG70"/>
      <c r="AH70"/>
    </row>
    <row r="71" spans="1:34" x14ac:dyDescent="0.25">
      <c r="A71" s="55" t="s">
        <v>240</v>
      </c>
      <c r="B71" s="56"/>
      <c r="C71" s="56"/>
      <c r="D71" s="56">
        <v>6</v>
      </c>
      <c r="E71" s="56"/>
      <c r="F71" s="56"/>
      <c r="G71" s="56"/>
      <c r="H71" s="56"/>
      <c r="I71" s="56"/>
      <c r="J71" s="56">
        <v>10</v>
      </c>
      <c r="K71" s="56"/>
      <c r="L71" s="56"/>
      <c r="M71" s="56">
        <v>5</v>
      </c>
      <c r="N71" s="56"/>
      <c r="O71" s="56"/>
      <c r="P71" s="56"/>
      <c r="Q71" s="56"/>
      <c r="R71" s="56">
        <v>8</v>
      </c>
      <c r="S71" s="56"/>
      <c r="T71" s="56"/>
      <c r="U71" s="56"/>
      <c r="V71" s="56"/>
      <c r="W71" s="56">
        <v>29</v>
      </c>
      <c r="X71"/>
      <c r="Y71"/>
      <c r="Z71"/>
      <c r="AA71"/>
      <c r="AB71"/>
      <c r="AC71"/>
      <c r="AD71"/>
      <c r="AE71"/>
      <c r="AF71"/>
      <c r="AG71"/>
      <c r="AH71"/>
    </row>
    <row r="72" spans="1:34" x14ac:dyDescent="0.25">
      <c r="A72" s="57" t="s">
        <v>113</v>
      </c>
      <c r="B72" s="56"/>
      <c r="C72" s="56"/>
      <c r="D72" s="56">
        <v>6</v>
      </c>
      <c r="E72" s="56"/>
      <c r="F72" s="56"/>
      <c r="G72" s="56"/>
      <c r="H72" s="56"/>
      <c r="I72" s="56"/>
      <c r="J72" s="56"/>
      <c r="K72" s="56"/>
      <c r="L72" s="56"/>
      <c r="M72" s="56">
        <v>5</v>
      </c>
      <c r="N72" s="56"/>
      <c r="O72" s="56"/>
      <c r="P72" s="56"/>
      <c r="Q72" s="56"/>
      <c r="R72" s="56">
        <v>8</v>
      </c>
      <c r="S72" s="56"/>
      <c r="T72" s="56"/>
      <c r="U72" s="56"/>
      <c r="V72" s="56"/>
      <c r="W72" s="56">
        <v>19</v>
      </c>
      <c r="X72"/>
      <c r="Y72"/>
      <c r="Z72"/>
      <c r="AA72"/>
      <c r="AB72"/>
      <c r="AC72"/>
      <c r="AD72"/>
      <c r="AE72"/>
      <c r="AF72"/>
      <c r="AG72"/>
      <c r="AH72"/>
    </row>
    <row r="73" spans="1:34" x14ac:dyDescent="0.25">
      <c r="A73" s="57" t="s">
        <v>112</v>
      </c>
      <c r="B73" s="56"/>
      <c r="C73" s="56"/>
      <c r="D73" s="56"/>
      <c r="E73" s="56"/>
      <c r="F73" s="56"/>
      <c r="G73" s="56"/>
      <c r="H73" s="56"/>
      <c r="I73" s="56"/>
      <c r="J73" s="56">
        <v>10</v>
      </c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>
        <v>10</v>
      </c>
      <c r="X73"/>
      <c r="Y73"/>
      <c r="Z73"/>
      <c r="AA73"/>
      <c r="AB73"/>
      <c r="AC73"/>
      <c r="AD73"/>
      <c r="AE73"/>
      <c r="AF73"/>
      <c r="AG73"/>
      <c r="AH73"/>
    </row>
    <row r="74" spans="1:34" x14ac:dyDescent="0.25">
      <c r="A74" s="55" t="s">
        <v>143</v>
      </c>
      <c r="B74" s="56">
        <v>2</v>
      </c>
      <c r="C74" s="56">
        <v>2</v>
      </c>
      <c r="D74" s="56"/>
      <c r="E74" s="56"/>
      <c r="F74" s="56">
        <v>3</v>
      </c>
      <c r="G74" s="56"/>
      <c r="H74" s="56"/>
      <c r="I74" s="56">
        <v>2</v>
      </c>
      <c r="J74" s="56"/>
      <c r="K74" s="56"/>
      <c r="L74" s="56"/>
      <c r="M74" s="56"/>
      <c r="N74" s="56">
        <v>8</v>
      </c>
      <c r="O74" s="56"/>
      <c r="P74" s="56"/>
      <c r="Q74" s="56">
        <v>22</v>
      </c>
      <c r="R74" s="56">
        <v>1</v>
      </c>
      <c r="S74" s="56"/>
      <c r="T74" s="56"/>
      <c r="U74" s="56">
        <v>8</v>
      </c>
      <c r="V74" s="56"/>
      <c r="W74" s="56">
        <v>48</v>
      </c>
      <c r="X74"/>
      <c r="Y74"/>
      <c r="Z74"/>
      <c r="AA74"/>
      <c r="AB74"/>
      <c r="AC74"/>
      <c r="AD74"/>
      <c r="AE74"/>
      <c r="AF74"/>
      <c r="AG74"/>
      <c r="AH74"/>
    </row>
    <row r="75" spans="1:34" x14ac:dyDescent="0.25">
      <c r="A75" s="57" t="s">
        <v>116</v>
      </c>
      <c r="B75" s="56">
        <v>2</v>
      </c>
      <c r="C75" s="56">
        <v>2</v>
      </c>
      <c r="D75" s="56"/>
      <c r="E75" s="56"/>
      <c r="F75" s="56">
        <v>2</v>
      </c>
      <c r="G75" s="56"/>
      <c r="H75" s="56"/>
      <c r="I75" s="56">
        <v>2</v>
      </c>
      <c r="J75" s="56"/>
      <c r="K75" s="56"/>
      <c r="L75" s="56"/>
      <c r="M75" s="56"/>
      <c r="N75" s="56">
        <v>8</v>
      </c>
      <c r="O75" s="56"/>
      <c r="P75" s="56"/>
      <c r="Q75" s="56">
        <v>22</v>
      </c>
      <c r="R75" s="56">
        <v>1</v>
      </c>
      <c r="S75" s="56"/>
      <c r="T75" s="56"/>
      <c r="U75" s="56">
        <v>8</v>
      </c>
      <c r="V75" s="56"/>
      <c r="W75" s="56">
        <v>47</v>
      </c>
      <c r="X75"/>
      <c r="Y75"/>
      <c r="Z75"/>
      <c r="AA75"/>
      <c r="AB75"/>
      <c r="AC75"/>
      <c r="AD75"/>
      <c r="AE75"/>
      <c r="AF75"/>
      <c r="AG75"/>
      <c r="AH75"/>
    </row>
    <row r="76" spans="1:34" x14ac:dyDescent="0.25">
      <c r="A76" s="57" t="s">
        <v>112</v>
      </c>
      <c r="B76" s="56"/>
      <c r="C76" s="56"/>
      <c r="D76" s="56"/>
      <c r="E76" s="56"/>
      <c r="F76" s="56">
        <v>1</v>
      </c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>
        <v>1</v>
      </c>
      <c r="X76"/>
      <c r="Y76"/>
      <c r="Z76"/>
      <c r="AA76"/>
      <c r="AB76"/>
      <c r="AC76"/>
      <c r="AD76"/>
      <c r="AE76"/>
      <c r="AF76"/>
      <c r="AG76"/>
      <c r="AH76"/>
    </row>
    <row r="77" spans="1:34" x14ac:dyDescent="0.25">
      <c r="A77" s="55" t="s">
        <v>317</v>
      </c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>
        <v>2</v>
      </c>
      <c r="Q77" s="56"/>
      <c r="R77" s="56"/>
      <c r="S77" s="56"/>
      <c r="T77" s="56"/>
      <c r="U77" s="56"/>
      <c r="V77" s="56"/>
      <c r="W77" s="56">
        <v>2</v>
      </c>
      <c r="X77"/>
      <c r="Y77"/>
      <c r="Z77"/>
      <c r="AA77"/>
      <c r="AB77"/>
      <c r="AC77"/>
      <c r="AD77"/>
      <c r="AE77"/>
      <c r="AF77"/>
      <c r="AG77"/>
      <c r="AH77"/>
    </row>
    <row r="78" spans="1:34" x14ac:dyDescent="0.25">
      <c r="A78" s="57" t="s">
        <v>113</v>
      </c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>
        <v>2</v>
      </c>
      <c r="Q78" s="56"/>
      <c r="R78" s="56"/>
      <c r="S78" s="56"/>
      <c r="T78" s="56"/>
      <c r="U78" s="56"/>
      <c r="V78" s="56"/>
      <c r="W78" s="56">
        <v>2</v>
      </c>
      <c r="X78"/>
      <c r="Y78"/>
      <c r="Z78"/>
      <c r="AA78"/>
      <c r="AB78"/>
      <c r="AC78"/>
      <c r="AD78"/>
      <c r="AE78"/>
      <c r="AF78"/>
      <c r="AG78"/>
      <c r="AH78"/>
    </row>
    <row r="79" spans="1:34" x14ac:dyDescent="0.25">
      <c r="A79" s="55" t="s">
        <v>318</v>
      </c>
      <c r="B79" s="56"/>
      <c r="C79" s="56"/>
      <c r="D79" s="56"/>
      <c r="E79" s="56"/>
      <c r="F79" s="56"/>
      <c r="G79" s="56">
        <v>6</v>
      </c>
      <c r="H79" s="56"/>
      <c r="I79" s="56"/>
      <c r="J79" s="56">
        <v>15</v>
      </c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>
        <v>21</v>
      </c>
      <c r="X79"/>
      <c r="Y79"/>
      <c r="Z79"/>
      <c r="AA79"/>
      <c r="AB79"/>
      <c r="AC79"/>
      <c r="AD79"/>
      <c r="AE79"/>
      <c r="AF79"/>
      <c r="AG79"/>
      <c r="AH79"/>
    </row>
    <row r="80" spans="1:34" x14ac:dyDescent="0.25">
      <c r="A80" s="57" t="s">
        <v>116</v>
      </c>
      <c r="B80" s="56"/>
      <c r="C80" s="56"/>
      <c r="D80" s="56"/>
      <c r="E80" s="56"/>
      <c r="F80" s="56"/>
      <c r="G80" s="56">
        <v>6</v>
      </c>
      <c r="H80" s="56"/>
      <c r="I80" s="56"/>
      <c r="J80" s="56">
        <v>15</v>
      </c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>
        <v>21</v>
      </c>
      <c r="X80"/>
      <c r="Y80"/>
      <c r="Z80"/>
      <c r="AA80"/>
      <c r="AB80"/>
      <c r="AC80"/>
      <c r="AD80"/>
      <c r="AE80"/>
      <c r="AF80"/>
      <c r="AG80"/>
      <c r="AH80"/>
    </row>
    <row r="81" spans="1:34" x14ac:dyDescent="0.25">
      <c r="A81" s="55" t="s">
        <v>165</v>
      </c>
      <c r="B81" s="56">
        <v>23</v>
      </c>
      <c r="C81" s="56">
        <v>113</v>
      </c>
      <c r="D81" s="56">
        <v>89</v>
      </c>
      <c r="E81" s="56">
        <v>53</v>
      </c>
      <c r="F81" s="56">
        <v>106</v>
      </c>
      <c r="G81" s="56">
        <v>58</v>
      </c>
      <c r="H81" s="56">
        <v>37</v>
      </c>
      <c r="I81" s="56">
        <v>113</v>
      </c>
      <c r="J81" s="56">
        <v>104</v>
      </c>
      <c r="K81" s="56">
        <v>83</v>
      </c>
      <c r="L81" s="56">
        <v>98</v>
      </c>
      <c r="M81" s="56">
        <v>47</v>
      </c>
      <c r="N81" s="56">
        <v>84</v>
      </c>
      <c r="O81" s="56">
        <v>119</v>
      </c>
      <c r="P81" s="56">
        <v>81</v>
      </c>
      <c r="Q81" s="56">
        <v>77</v>
      </c>
      <c r="R81" s="56">
        <v>121</v>
      </c>
      <c r="S81" s="56">
        <v>123</v>
      </c>
      <c r="T81" s="56">
        <v>118</v>
      </c>
      <c r="U81" s="56">
        <v>86</v>
      </c>
      <c r="V81" s="56">
        <v>43</v>
      </c>
      <c r="W81" s="56">
        <v>1776</v>
      </c>
      <c r="X81"/>
      <c r="Y81"/>
      <c r="Z81"/>
      <c r="AA81"/>
      <c r="AB81"/>
      <c r="AC81"/>
      <c r="AD81"/>
      <c r="AE81"/>
      <c r="AF81"/>
      <c r="AG81"/>
      <c r="AH81"/>
    </row>
    <row r="82" spans="1:34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</row>
    <row r="83" spans="1:34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</row>
    <row r="84" spans="1:34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</row>
    <row r="85" spans="1:34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</row>
    <row r="86" spans="1:34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</row>
    <row r="87" spans="1:34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  <row r="88" spans="1:34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</row>
    <row r="89" spans="1:34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</row>
    <row r="90" spans="1:34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:34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:34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:34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:34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r="101" spans="1:34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</row>
    <row r="102" spans="1:34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</row>
    <row r="103" spans="1:34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</row>
    <row r="104" spans="1:34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</row>
    <row r="105" spans="1:34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</row>
    <row r="106" spans="1:34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</row>
    <row r="107" spans="1:34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</row>
    <row r="108" spans="1:34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</row>
    <row r="109" spans="1:34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 spans="1:34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</row>
    <row r="111" spans="1:34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</row>
    <row r="112" spans="1:34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</row>
    <row r="113" spans="1:34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</row>
    <row r="114" spans="1:34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</row>
    <row r="115" spans="1:34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</row>
    <row r="116" spans="1:34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</row>
    <row r="117" spans="1:34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</row>
    <row r="118" spans="1:34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</row>
    <row r="119" spans="1:34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</row>
    <row r="120" spans="1:34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</row>
    <row r="121" spans="1:34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</row>
    <row r="122" spans="1:34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</row>
    <row r="123" spans="1:34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</row>
    <row r="124" spans="1:34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</row>
    <row r="125" spans="1:34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</row>
    <row r="126" spans="1:34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</row>
    <row r="127" spans="1:34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</row>
    <row r="128" spans="1:34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</row>
    <row r="129" spans="1:34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</row>
    <row r="130" spans="1:34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</row>
    <row r="131" spans="1:34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</row>
    <row r="132" spans="1:34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</row>
    <row r="133" spans="1:34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</row>
    <row r="134" spans="1:34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</row>
    <row r="135" spans="1:34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</row>
    <row r="136" spans="1:34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</row>
    <row r="137" spans="1:34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</row>
    <row r="138" spans="1:34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</row>
    <row r="139" spans="1:34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</row>
    <row r="140" spans="1:34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</row>
    <row r="141" spans="1:34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</row>
    <row r="142" spans="1:34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</row>
    <row r="143" spans="1:34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</row>
    <row r="144" spans="1:34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</row>
    <row r="145" spans="1:34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</row>
    <row r="146" spans="1:34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</row>
    <row r="147" spans="1:34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</row>
    <row r="148" spans="1:34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</row>
    <row r="149" spans="1:34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</row>
    <row r="150" spans="1:34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</row>
    <row r="151" spans="1:34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</row>
    <row r="152" spans="1:34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</row>
    <row r="153" spans="1:34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</row>
    <row r="154" spans="1:34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</row>
    <row r="155" spans="1:34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</row>
    <row r="156" spans="1:34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</row>
    <row r="157" spans="1:34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</row>
    <row r="158" spans="1:34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 spans="1:34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</row>
    <row r="160" spans="1:34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</row>
    <row r="161" spans="1:34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</row>
    <row r="162" spans="1:34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</row>
    <row r="163" spans="1:34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</row>
    <row r="164" spans="1:34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</row>
    <row r="165" spans="1:34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</row>
    <row r="166" spans="1:34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</row>
    <row r="167" spans="1:34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</row>
    <row r="168" spans="1:34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</row>
    <row r="169" spans="1:34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</row>
    <row r="170" spans="1:34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</row>
    <row r="171" spans="1:34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</row>
    <row r="172" spans="1:34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</row>
    <row r="173" spans="1:34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</row>
    <row r="174" spans="1:34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</row>
    <row r="175" spans="1:34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</row>
    <row r="176" spans="1:34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</row>
    <row r="177" spans="1:34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</row>
    <row r="178" spans="1:34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</row>
    <row r="179" spans="1:34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</row>
    <row r="180" spans="1:34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</row>
    <row r="181" spans="1:34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</row>
    <row r="182" spans="1:34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</row>
    <row r="183" spans="1:34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</row>
    <row r="184" spans="1:34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</row>
    <row r="185" spans="1:34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</row>
    <row r="186" spans="1:34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</row>
    <row r="187" spans="1:34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</row>
    <row r="188" spans="1:34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</row>
    <row r="189" spans="1:34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</row>
    <row r="190" spans="1:34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</row>
    <row r="191" spans="1:34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</row>
    <row r="192" spans="1:34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</row>
    <row r="193" spans="1:34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</row>
    <row r="194" spans="1:34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</row>
    <row r="195" spans="1:34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</row>
    <row r="196" spans="1:34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</row>
    <row r="197" spans="1:34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</row>
    <row r="198" spans="1:34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</row>
    <row r="199" spans="1:34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</row>
    <row r="200" spans="1:34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</row>
    <row r="201" spans="1:34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</row>
    <row r="202" spans="1:34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</row>
    <row r="203" spans="1:34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</row>
    <row r="204" spans="1:34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</row>
    <row r="205" spans="1:34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</row>
    <row r="206" spans="1:34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</row>
    <row r="207" spans="1:34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</row>
    <row r="208" spans="1:34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</row>
    <row r="209" spans="1:34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</row>
    <row r="210" spans="1:34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</row>
    <row r="211" spans="1:34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</row>
    <row r="212" spans="1:34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</row>
    <row r="213" spans="1:34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</row>
    <row r="214" spans="1:34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</row>
    <row r="215" spans="1:34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</row>
    <row r="216" spans="1:34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</row>
    <row r="217" spans="1:34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</row>
    <row r="218" spans="1:34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</row>
    <row r="219" spans="1:34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</row>
    <row r="220" spans="1:34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</row>
    <row r="221" spans="1:34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</row>
    <row r="222" spans="1:34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</row>
    <row r="223" spans="1:34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</row>
    <row r="224" spans="1:34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</row>
    <row r="225" spans="1:34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</row>
    <row r="226" spans="1:34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</row>
    <row r="227" spans="1:34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</row>
    <row r="228" spans="1:34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</row>
    <row r="229" spans="1:34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</row>
    <row r="230" spans="1:34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</row>
    <row r="231" spans="1:34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</row>
    <row r="232" spans="1:34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</row>
    <row r="233" spans="1:34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</row>
    <row r="234" spans="1:34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</row>
    <row r="235" spans="1:34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</row>
    <row r="236" spans="1:34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</row>
    <row r="237" spans="1:34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</row>
    <row r="238" spans="1:34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</row>
    <row r="239" spans="1:34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</row>
    <row r="240" spans="1:34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</row>
    <row r="241" spans="1:34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</row>
    <row r="242" spans="1:34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</row>
    <row r="243" spans="1:34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</row>
    <row r="244" spans="1:34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</row>
    <row r="245" spans="1:34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</row>
    <row r="246" spans="1:34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</row>
    <row r="247" spans="1:34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</row>
    <row r="248" spans="1:34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</row>
    <row r="249" spans="1:34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</row>
    <row r="250" spans="1:34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</row>
    <row r="251" spans="1:34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</row>
    <row r="252" spans="1:34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</row>
    <row r="253" spans="1:34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</row>
    <row r="254" spans="1:34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</row>
    <row r="255" spans="1:34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</row>
    <row r="256" spans="1:34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</row>
    <row r="257" spans="1:34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</row>
    <row r="258" spans="1:34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</row>
    <row r="259" spans="1:34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</row>
    <row r="260" spans="1:34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</row>
    <row r="261" spans="1:34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</row>
    <row r="262" spans="1:34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</row>
    <row r="263" spans="1:34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</row>
    <row r="264" spans="1:34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</row>
    <row r="265" spans="1:34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</row>
    <row r="266" spans="1:34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</row>
    <row r="267" spans="1:34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</row>
    <row r="268" spans="1:34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</row>
    <row r="269" spans="1:34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</row>
    <row r="270" spans="1:34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</row>
    <row r="271" spans="1:34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</row>
    <row r="272" spans="1:34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</row>
    <row r="273" spans="1:34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</row>
    <row r="274" spans="1:34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</row>
    <row r="275" spans="1:34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</row>
    <row r="276" spans="1:34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</row>
    <row r="277" spans="1:34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</row>
    <row r="278" spans="1:34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</row>
    <row r="279" spans="1:34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</row>
    <row r="280" spans="1:34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</row>
    <row r="281" spans="1:34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</row>
    <row r="282" spans="1:34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</row>
    <row r="283" spans="1:34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</row>
    <row r="284" spans="1:34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</row>
    <row r="285" spans="1:34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</row>
    <row r="286" spans="1:34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</row>
    <row r="287" spans="1:34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</row>
    <row r="288" spans="1:34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</row>
    <row r="289" spans="1:34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</row>
    <row r="290" spans="1:34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</row>
    <row r="291" spans="1:34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</row>
    <row r="292" spans="1:34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</row>
    <row r="293" spans="1:3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</row>
    <row r="294" spans="1:34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</row>
    <row r="295" spans="1:34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</row>
    <row r="296" spans="1:34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</row>
    <row r="297" spans="1:34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</row>
    <row r="298" spans="1:34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</row>
    <row r="299" spans="1:34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</row>
    <row r="300" spans="1:34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</row>
    <row r="301" spans="1:34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</row>
    <row r="302" spans="1:34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</row>
    <row r="303" spans="1:34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</row>
    <row r="304" spans="1:34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</row>
    <row r="305" spans="1:34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</row>
    <row r="306" spans="1:34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</row>
    <row r="307" spans="1:34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</row>
    <row r="308" spans="1:34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</row>
    <row r="309" spans="1:34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</row>
    <row r="310" spans="1:34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</row>
    <row r="311" spans="1:34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</row>
    <row r="312" spans="1:34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</row>
    <row r="313" spans="1:34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</row>
    <row r="314" spans="1:34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</row>
    <row r="315" spans="1:34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</row>
    <row r="316" spans="1:34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</row>
    <row r="317" spans="1:34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</row>
    <row r="318" spans="1:34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</row>
    <row r="319" spans="1:34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</row>
    <row r="320" spans="1:34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</row>
    <row r="321" spans="1:34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</row>
    <row r="322" spans="1:34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</row>
    <row r="323" spans="1:34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</row>
    <row r="324" spans="1:34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</row>
    <row r="325" spans="1:34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</row>
    <row r="326" spans="1:34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</row>
    <row r="327" spans="1:34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</row>
    <row r="328" spans="1:34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</row>
    <row r="329" spans="1:34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</row>
    <row r="330" spans="1:34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</row>
    <row r="331" spans="1:34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</row>
    <row r="332" spans="1:34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</row>
    <row r="333" spans="1:34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</row>
    <row r="334" spans="1:34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</row>
    <row r="335" spans="1:34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</row>
    <row r="336" spans="1:34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</row>
    <row r="337" spans="1:34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</row>
    <row r="338" spans="1:34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</row>
    <row r="339" spans="1:34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</row>
    <row r="340" spans="1:34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</row>
    <row r="341" spans="1:34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</row>
    <row r="342" spans="1:34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</row>
    <row r="343" spans="1:34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</row>
    <row r="344" spans="1:34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</row>
    <row r="345" spans="1:34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</row>
    <row r="346" spans="1:34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</row>
    <row r="347" spans="1:34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</row>
    <row r="348" spans="1:34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</row>
    <row r="349" spans="1:34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</row>
    <row r="350" spans="1:34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</row>
    <row r="351" spans="1:34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</row>
    <row r="352" spans="1:34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</row>
    <row r="353" spans="1:34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</row>
    <row r="354" spans="1:34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</row>
    <row r="355" spans="1:34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</row>
    <row r="356" spans="1:34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</row>
    <row r="357" spans="1:34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</row>
    <row r="358" spans="1:34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</row>
    <row r="359" spans="1:34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</row>
    <row r="360" spans="1:34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</row>
    <row r="361" spans="1:34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</row>
    <row r="362" spans="1:34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</row>
    <row r="363" spans="1:34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</row>
    <row r="364" spans="1:34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</row>
    <row r="365" spans="1:34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</row>
    <row r="366" spans="1:34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</row>
    <row r="367" spans="1:34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</row>
    <row r="368" spans="1:34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</row>
    <row r="369" spans="1:34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</row>
    <row r="370" spans="1:34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</row>
    <row r="371" spans="1:34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</row>
    <row r="372" spans="1:34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</row>
    <row r="373" spans="1:34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</row>
    <row r="374" spans="1:34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</row>
    <row r="375" spans="1:34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</row>
    <row r="376" spans="1:34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</row>
    <row r="377" spans="1:34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</row>
    <row r="378" spans="1:34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</row>
    <row r="379" spans="1:34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</row>
    <row r="380" spans="1:34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</row>
    <row r="381" spans="1:34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</row>
    <row r="382" spans="1:34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</row>
    <row r="383" spans="1:34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</row>
    <row r="384" spans="1:34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</row>
    <row r="385" spans="1:34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</row>
    <row r="386" spans="1:34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</row>
    <row r="387" spans="1:34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</row>
    <row r="388" spans="1:34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</row>
    <row r="389" spans="1:34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</row>
    <row r="390" spans="1:34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</row>
    <row r="391" spans="1:34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</row>
    <row r="392" spans="1:34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</row>
    <row r="393" spans="1:34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</row>
    <row r="394" spans="1:34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</row>
    <row r="395" spans="1:34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</row>
    <row r="396" spans="1:34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</row>
    <row r="397" spans="1:34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</row>
    <row r="398" spans="1:34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</row>
    <row r="399" spans="1:34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</row>
    <row r="400" spans="1:34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</row>
    <row r="401" spans="1:34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</row>
    <row r="402" spans="1:34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</row>
    <row r="403" spans="1:34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</row>
    <row r="404" spans="1:34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</row>
    <row r="405" spans="1:34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</row>
    <row r="406" spans="1:34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</row>
    <row r="407" spans="1:34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</row>
    <row r="408" spans="1:34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</row>
    <row r="409" spans="1:34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</row>
    <row r="410" spans="1:34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</row>
    <row r="411" spans="1:34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</row>
    <row r="412" spans="1:34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</row>
    <row r="413" spans="1:34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</row>
    <row r="414" spans="1:34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</row>
    <row r="415" spans="1:34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</row>
    <row r="416" spans="1:34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</row>
    <row r="417" spans="1:34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</row>
    <row r="418" spans="1:34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</row>
    <row r="419" spans="1:34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</row>
    <row r="420" spans="1:34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</row>
    <row r="421" spans="1:34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</row>
    <row r="422" spans="1:34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</row>
    <row r="423" spans="1:34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</row>
    <row r="424" spans="1:34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</row>
    <row r="425" spans="1:34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</row>
    <row r="426" spans="1:34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</row>
    <row r="427" spans="1:34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</row>
    <row r="428" spans="1:34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</row>
    <row r="429" spans="1:34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</row>
    <row r="430" spans="1:34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</row>
    <row r="431" spans="1:34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</row>
    <row r="432" spans="1:34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</row>
    <row r="433" spans="1:34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</row>
    <row r="434" spans="1:34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</row>
    <row r="435" spans="1:34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192"/>
  <sheetViews>
    <sheetView workbookViewId="0">
      <selection activeCell="B2" sqref="B2"/>
    </sheetView>
  </sheetViews>
  <sheetFormatPr defaultRowHeight="15" x14ac:dyDescent="0.25"/>
  <cols>
    <col min="1" max="1" width="38.85546875" style="33" customWidth="1"/>
    <col min="2" max="2" width="16.85546875" style="33" bestFit="1" customWidth="1"/>
    <col min="3" max="3" width="3.7109375" style="33" customWidth="1"/>
    <col min="4" max="4" width="4.7109375" style="33" customWidth="1"/>
    <col min="5" max="6" width="4.7109375" style="33" bestFit="1" customWidth="1"/>
    <col min="7" max="7" width="4.42578125" style="33" bestFit="1" customWidth="1"/>
    <col min="8" max="8" width="5.28515625" style="33" bestFit="1" customWidth="1"/>
    <col min="9" max="13" width="4.7109375" style="33" customWidth="1"/>
    <col min="14" max="14" width="4.28515625" style="33" customWidth="1"/>
    <col min="15" max="15" width="5.28515625" style="33" customWidth="1"/>
    <col min="16" max="16" width="11.7109375" style="33" bestFit="1" customWidth="1"/>
    <col min="17" max="17" width="4.85546875" style="33" customWidth="1"/>
    <col min="18" max="21" width="4.7109375" style="33" customWidth="1"/>
    <col min="22" max="22" width="4.42578125" style="33" customWidth="1"/>
    <col min="23" max="23" width="4.28515625" style="33" customWidth="1"/>
    <col min="24" max="24" width="4" style="33" customWidth="1"/>
    <col min="25" max="25" width="4.7109375" style="33" bestFit="1" customWidth="1"/>
    <col min="26" max="29" width="4.7109375" style="33" customWidth="1"/>
    <col min="30" max="30" width="4.28515625" style="33" customWidth="1"/>
    <col min="31" max="31" width="5.28515625" style="33" bestFit="1" customWidth="1"/>
    <col min="32" max="32" width="5.28515625" style="33" customWidth="1"/>
    <col min="33" max="34" width="11.7109375" style="33" bestFit="1" customWidth="1"/>
    <col min="35" max="16384" width="9.140625" style="33"/>
  </cols>
  <sheetData>
    <row r="1" spans="1:34" x14ac:dyDescent="0.25">
      <c r="A1" s="54" t="s">
        <v>174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181</v>
      </c>
      <c r="D2" t="s">
        <v>184</v>
      </c>
      <c r="E2" t="s">
        <v>186</v>
      </c>
      <c r="F2" t="s">
        <v>189</v>
      </c>
      <c r="G2" t="s">
        <v>190</v>
      </c>
      <c r="H2" t="s">
        <v>191</v>
      </c>
      <c r="I2" t="s">
        <v>194</v>
      </c>
      <c r="J2" t="s">
        <v>195</v>
      </c>
      <c r="K2" t="s">
        <v>207</v>
      </c>
      <c r="L2" t="s">
        <v>209</v>
      </c>
      <c r="M2" t="s">
        <v>211</v>
      </c>
      <c r="N2" t="s">
        <v>224</v>
      </c>
      <c r="O2" t="s">
        <v>225</v>
      </c>
      <c r="P2" t="s">
        <v>165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119</v>
      </c>
      <c r="B3" s="56"/>
      <c r="C3" s="56"/>
      <c r="D3" s="56">
        <v>11</v>
      </c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>
        <v>11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0</v>
      </c>
      <c r="B4" s="56"/>
      <c r="C4" s="56"/>
      <c r="D4" s="56">
        <v>11</v>
      </c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>
        <v>11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55" t="s">
        <v>123</v>
      </c>
      <c r="B5" s="56"/>
      <c r="C5" s="56"/>
      <c r="D5" s="56"/>
      <c r="E5" s="56"/>
      <c r="F5" s="56"/>
      <c r="G5" s="56"/>
      <c r="H5" s="56"/>
      <c r="I5" s="56"/>
      <c r="J5" s="56">
        <v>6</v>
      </c>
      <c r="K5" s="56"/>
      <c r="L5" s="56"/>
      <c r="M5" s="56"/>
      <c r="N5" s="56"/>
      <c r="O5" s="56"/>
      <c r="P5" s="56">
        <v>6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7" t="s">
        <v>0</v>
      </c>
      <c r="B6" s="56"/>
      <c r="C6" s="56"/>
      <c r="D6" s="56"/>
      <c r="E6" s="56"/>
      <c r="F6" s="56"/>
      <c r="G6" s="56"/>
      <c r="H6" s="56"/>
      <c r="I6" s="56"/>
      <c r="J6" s="56">
        <v>5</v>
      </c>
      <c r="K6" s="56"/>
      <c r="L6" s="56"/>
      <c r="M6" s="56"/>
      <c r="N6" s="56"/>
      <c r="O6" s="56"/>
      <c r="P6" s="56">
        <v>5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7" t="s">
        <v>1</v>
      </c>
      <c r="B7" s="56"/>
      <c r="C7" s="56"/>
      <c r="D7" s="56"/>
      <c r="E7" s="56"/>
      <c r="F7" s="56"/>
      <c r="G7" s="56"/>
      <c r="H7" s="56"/>
      <c r="I7" s="56"/>
      <c r="J7" s="56">
        <v>1</v>
      </c>
      <c r="K7" s="56"/>
      <c r="L7" s="56"/>
      <c r="M7" s="56"/>
      <c r="N7" s="56"/>
      <c r="O7" s="56"/>
      <c r="P7" s="56">
        <v>1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55" t="s">
        <v>124</v>
      </c>
      <c r="B8" s="56"/>
      <c r="C8" s="56"/>
      <c r="D8" s="56"/>
      <c r="E8" s="56">
        <v>1</v>
      </c>
      <c r="F8" s="56"/>
      <c r="G8" s="56"/>
      <c r="H8" s="56"/>
      <c r="I8" s="56">
        <v>12</v>
      </c>
      <c r="J8" s="56"/>
      <c r="K8" s="56"/>
      <c r="L8" s="56"/>
      <c r="M8" s="56"/>
      <c r="N8" s="56"/>
      <c r="O8" s="56"/>
      <c r="P8" s="56">
        <v>13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57" t="s">
        <v>0</v>
      </c>
      <c r="B9" s="56"/>
      <c r="C9" s="56"/>
      <c r="D9" s="56"/>
      <c r="E9" s="56">
        <v>1</v>
      </c>
      <c r="F9" s="56"/>
      <c r="G9" s="56"/>
      <c r="H9" s="56"/>
      <c r="I9" s="56">
        <v>12</v>
      </c>
      <c r="J9" s="56"/>
      <c r="K9" s="56"/>
      <c r="L9" s="56"/>
      <c r="M9" s="56"/>
      <c r="N9" s="56"/>
      <c r="O9" s="56"/>
      <c r="P9" s="56">
        <v>13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55" t="s">
        <v>125</v>
      </c>
      <c r="B10" s="56"/>
      <c r="C10" s="56"/>
      <c r="D10" s="56"/>
      <c r="E10" s="56"/>
      <c r="F10" s="56"/>
      <c r="G10" s="56"/>
      <c r="H10" s="56"/>
      <c r="I10" s="56"/>
      <c r="J10" s="56"/>
      <c r="K10" s="56">
        <v>19</v>
      </c>
      <c r="L10" s="56"/>
      <c r="M10" s="56"/>
      <c r="N10" s="56"/>
      <c r="O10" s="56"/>
      <c r="P10" s="56">
        <v>19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57" t="s">
        <v>0</v>
      </c>
      <c r="B11" s="56"/>
      <c r="C11" s="56"/>
      <c r="D11" s="56"/>
      <c r="E11" s="56"/>
      <c r="F11" s="56"/>
      <c r="G11" s="56"/>
      <c r="H11" s="56"/>
      <c r="I11" s="56"/>
      <c r="J11" s="56"/>
      <c r="K11" s="56">
        <v>14</v>
      </c>
      <c r="L11" s="56"/>
      <c r="M11" s="56"/>
      <c r="N11" s="56"/>
      <c r="O11" s="56"/>
      <c r="P11" s="56">
        <v>14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57" t="s">
        <v>1</v>
      </c>
      <c r="B12" s="56"/>
      <c r="C12" s="56"/>
      <c r="D12" s="56"/>
      <c r="E12" s="56"/>
      <c r="F12" s="56"/>
      <c r="G12" s="56"/>
      <c r="H12" s="56"/>
      <c r="I12" s="56"/>
      <c r="J12" s="56"/>
      <c r="K12" s="56">
        <v>5</v>
      </c>
      <c r="L12" s="56"/>
      <c r="M12" s="56"/>
      <c r="N12" s="56"/>
      <c r="O12" s="56"/>
      <c r="P12" s="56">
        <v>5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5" t="s">
        <v>128</v>
      </c>
      <c r="B13" s="56"/>
      <c r="C13" s="56"/>
      <c r="D13" s="56"/>
      <c r="E13" s="56">
        <v>1</v>
      </c>
      <c r="F13" s="56"/>
      <c r="G13" s="56"/>
      <c r="H13" s="56"/>
      <c r="I13" s="56"/>
      <c r="J13" s="56">
        <v>10</v>
      </c>
      <c r="K13" s="56"/>
      <c r="L13" s="56"/>
      <c r="M13" s="56"/>
      <c r="N13" s="56"/>
      <c r="O13" s="56"/>
      <c r="P13" s="56">
        <v>11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7" t="s">
        <v>0</v>
      </c>
      <c r="B14" s="56"/>
      <c r="C14" s="56"/>
      <c r="D14" s="56"/>
      <c r="E14" s="56">
        <v>1</v>
      </c>
      <c r="F14" s="56"/>
      <c r="G14" s="56"/>
      <c r="H14" s="56"/>
      <c r="I14" s="56"/>
      <c r="J14" s="56">
        <v>7</v>
      </c>
      <c r="K14" s="56"/>
      <c r="L14" s="56"/>
      <c r="M14" s="56"/>
      <c r="N14" s="56"/>
      <c r="O14" s="56"/>
      <c r="P14" s="56">
        <v>8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57" t="s">
        <v>1</v>
      </c>
      <c r="B15" s="56"/>
      <c r="C15" s="56"/>
      <c r="D15" s="56"/>
      <c r="E15" s="56"/>
      <c r="F15" s="56"/>
      <c r="G15" s="56"/>
      <c r="H15" s="56"/>
      <c r="I15" s="56"/>
      <c r="J15" s="56">
        <v>3</v>
      </c>
      <c r="K15" s="56"/>
      <c r="L15" s="56"/>
      <c r="M15" s="56"/>
      <c r="N15" s="56"/>
      <c r="O15" s="56"/>
      <c r="P15" s="56">
        <v>3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55" t="s">
        <v>148</v>
      </c>
      <c r="B16" s="56"/>
      <c r="C16" s="56"/>
      <c r="D16" s="56"/>
      <c r="E16" s="56"/>
      <c r="F16" s="56"/>
      <c r="G16" s="56"/>
      <c r="H16" s="56">
        <v>5</v>
      </c>
      <c r="I16" s="56"/>
      <c r="J16" s="56"/>
      <c r="K16" s="56"/>
      <c r="L16" s="56"/>
      <c r="M16" s="56"/>
      <c r="N16" s="56"/>
      <c r="O16" s="56"/>
      <c r="P16" s="56">
        <v>5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57" t="s">
        <v>0</v>
      </c>
      <c r="B17" s="56"/>
      <c r="C17" s="56"/>
      <c r="D17" s="56"/>
      <c r="E17" s="56"/>
      <c r="F17" s="56"/>
      <c r="G17" s="56"/>
      <c r="H17" s="56">
        <v>3</v>
      </c>
      <c r="I17" s="56"/>
      <c r="J17" s="56"/>
      <c r="K17" s="56"/>
      <c r="L17" s="56"/>
      <c r="M17" s="56"/>
      <c r="N17" s="56"/>
      <c r="O17" s="56"/>
      <c r="P17" s="56">
        <v>3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57" t="s">
        <v>1</v>
      </c>
      <c r="B18" s="56"/>
      <c r="C18" s="56"/>
      <c r="D18" s="56"/>
      <c r="E18" s="56"/>
      <c r="F18" s="56"/>
      <c r="G18" s="56"/>
      <c r="H18" s="56">
        <v>2</v>
      </c>
      <c r="I18" s="56"/>
      <c r="J18" s="56"/>
      <c r="K18" s="56"/>
      <c r="L18" s="56"/>
      <c r="M18" s="56"/>
      <c r="N18" s="56"/>
      <c r="O18" s="56"/>
      <c r="P18" s="56">
        <v>2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55" t="s">
        <v>132</v>
      </c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>
        <v>15</v>
      </c>
      <c r="M19" s="56"/>
      <c r="N19" s="56"/>
      <c r="O19" s="56"/>
      <c r="P19" s="56">
        <v>15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57" t="s">
        <v>0</v>
      </c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>
        <v>11</v>
      </c>
      <c r="M20" s="56"/>
      <c r="N20" s="56"/>
      <c r="O20" s="56"/>
      <c r="P20" s="56">
        <v>11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57" t="s">
        <v>1</v>
      </c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>
        <v>4</v>
      </c>
      <c r="M21" s="56"/>
      <c r="N21" s="56"/>
      <c r="O21" s="56"/>
      <c r="P21" s="56">
        <v>4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55" t="s">
        <v>247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>
        <v>12</v>
      </c>
      <c r="P22" s="56">
        <v>12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 s="57" t="s">
        <v>0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>
        <v>6</v>
      </c>
      <c r="P23" s="56">
        <v>6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 s="57" t="s">
        <v>1</v>
      </c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>
        <v>6</v>
      </c>
      <c r="P24" s="56">
        <v>6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 s="55" t="s">
        <v>252</v>
      </c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>
        <v>11</v>
      </c>
      <c r="O25" s="56"/>
      <c r="P25" s="56">
        <v>11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 s="57" t="s">
        <v>0</v>
      </c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>
        <v>5</v>
      </c>
      <c r="O26" s="56"/>
      <c r="P26" s="56">
        <v>5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 s="57" t="s">
        <v>1</v>
      </c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>
        <v>6</v>
      </c>
      <c r="O27" s="56"/>
      <c r="P27" s="56">
        <v>6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 s="55" t="s">
        <v>258</v>
      </c>
      <c r="B28" s="56"/>
      <c r="C28" s="56"/>
      <c r="D28" s="56"/>
      <c r="E28" s="56"/>
      <c r="F28" s="56"/>
      <c r="G28" s="56"/>
      <c r="H28" s="56"/>
      <c r="I28" s="56">
        <v>15</v>
      </c>
      <c r="J28" s="56"/>
      <c r="K28" s="56"/>
      <c r="L28" s="56"/>
      <c r="M28" s="56"/>
      <c r="N28" s="56"/>
      <c r="O28" s="56"/>
      <c r="P28" s="56">
        <v>15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 s="57" t="s">
        <v>0</v>
      </c>
      <c r="B29" s="56"/>
      <c r="C29" s="56"/>
      <c r="D29" s="56"/>
      <c r="E29" s="56"/>
      <c r="F29" s="56"/>
      <c r="G29" s="56"/>
      <c r="H29" s="56"/>
      <c r="I29" s="56">
        <v>14</v>
      </c>
      <c r="J29" s="56"/>
      <c r="K29" s="56"/>
      <c r="L29" s="56"/>
      <c r="M29" s="56"/>
      <c r="N29" s="56"/>
      <c r="O29" s="56"/>
      <c r="P29" s="56">
        <v>14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 s="57" t="s">
        <v>1</v>
      </c>
      <c r="B30" s="56"/>
      <c r="C30" s="56"/>
      <c r="D30" s="56"/>
      <c r="E30" s="56"/>
      <c r="F30" s="56"/>
      <c r="G30" s="56"/>
      <c r="H30" s="56"/>
      <c r="I30" s="56">
        <v>1</v>
      </c>
      <c r="J30" s="56"/>
      <c r="K30" s="56"/>
      <c r="L30" s="56"/>
      <c r="M30" s="56"/>
      <c r="N30" s="56"/>
      <c r="O30" s="56"/>
      <c r="P30" s="56">
        <v>1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 s="55" t="s">
        <v>249</v>
      </c>
      <c r="B31" s="56"/>
      <c r="C31" s="56"/>
      <c r="D31" s="56"/>
      <c r="E31" s="56"/>
      <c r="F31" s="56"/>
      <c r="G31" s="56"/>
      <c r="H31" s="56">
        <v>6</v>
      </c>
      <c r="I31" s="56"/>
      <c r="J31" s="56"/>
      <c r="K31" s="56"/>
      <c r="L31" s="56"/>
      <c r="M31" s="56"/>
      <c r="N31" s="56"/>
      <c r="O31" s="56"/>
      <c r="P31" s="56">
        <v>6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 s="57" t="s">
        <v>0</v>
      </c>
      <c r="B32" s="56"/>
      <c r="C32" s="56"/>
      <c r="D32" s="56"/>
      <c r="E32" s="56"/>
      <c r="F32" s="56"/>
      <c r="G32" s="56"/>
      <c r="H32" s="56">
        <v>2</v>
      </c>
      <c r="I32" s="56"/>
      <c r="J32" s="56"/>
      <c r="K32" s="56"/>
      <c r="L32" s="56"/>
      <c r="M32" s="56"/>
      <c r="N32" s="56"/>
      <c r="O32" s="56"/>
      <c r="P32" s="56">
        <v>2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 s="57" t="s">
        <v>1</v>
      </c>
      <c r="B33" s="56"/>
      <c r="C33" s="56"/>
      <c r="D33" s="56"/>
      <c r="E33" s="56"/>
      <c r="F33" s="56"/>
      <c r="G33" s="56"/>
      <c r="H33" s="56">
        <v>4</v>
      </c>
      <c r="I33" s="56"/>
      <c r="J33" s="56"/>
      <c r="K33" s="56"/>
      <c r="L33" s="56"/>
      <c r="M33" s="56"/>
      <c r="N33" s="56"/>
      <c r="O33" s="56"/>
      <c r="P33" s="56">
        <v>4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 s="55" t="s">
        <v>134</v>
      </c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>
        <v>20</v>
      </c>
      <c r="M34" s="56"/>
      <c r="N34" s="56"/>
      <c r="O34" s="56"/>
      <c r="P34" s="56">
        <v>20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 s="57" t="s">
        <v>0</v>
      </c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>
        <v>20</v>
      </c>
      <c r="M35" s="56"/>
      <c r="N35" s="56"/>
      <c r="O35" s="56"/>
      <c r="P35" s="56">
        <v>20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 s="55" t="s">
        <v>254</v>
      </c>
      <c r="B36" s="56"/>
      <c r="C36" s="56"/>
      <c r="D36" s="56"/>
      <c r="E36" s="56"/>
      <c r="F36" s="56"/>
      <c r="G36" s="56">
        <v>30</v>
      </c>
      <c r="H36" s="56"/>
      <c r="I36" s="56"/>
      <c r="J36" s="56"/>
      <c r="K36" s="56">
        <v>15</v>
      </c>
      <c r="L36" s="56"/>
      <c r="M36" s="56"/>
      <c r="N36" s="56"/>
      <c r="O36" s="56"/>
      <c r="P36" s="56">
        <v>45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 s="57" t="s">
        <v>0</v>
      </c>
      <c r="B37" s="56"/>
      <c r="C37" s="56"/>
      <c r="D37" s="56"/>
      <c r="E37" s="56"/>
      <c r="F37" s="56"/>
      <c r="G37" s="56">
        <v>30</v>
      </c>
      <c r="H37" s="56"/>
      <c r="I37" s="56"/>
      <c r="J37" s="56"/>
      <c r="K37" s="56">
        <v>3</v>
      </c>
      <c r="L37" s="56"/>
      <c r="M37" s="56"/>
      <c r="N37" s="56"/>
      <c r="O37" s="56"/>
      <c r="P37" s="56">
        <v>33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 s="57" t="s">
        <v>1</v>
      </c>
      <c r="B38" s="56"/>
      <c r="C38" s="56"/>
      <c r="D38" s="56"/>
      <c r="E38" s="56"/>
      <c r="F38" s="56"/>
      <c r="G38" s="56"/>
      <c r="H38" s="56"/>
      <c r="I38" s="56"/>
      <c r="J38" s="56"/>
      <c r="K38" s="56">
        <v>10</v>
      </c>
      <c r="L38" s="56"/>
      <c r="M38" s="56"/>
      <c r="N38" s="56"/>
      <c r="O38" s="56"/>
      <c r="P38" s="56">
        <v>10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 s="57" t="s">
        <v>202</v>
      </c>
      <c r="B39" s="56"/>
      <c r="C39" s="56"/>
      <c r="D39" s="56"/>
      <c r="E39" s="56"/>
      <c r="F39" s="56"/>
      <c r="G39" s="56"/>
      <c r="H39" s="56"/>
      <c r="I39" s="56"/>
      <c r="J39" s="56"/>
      <c r="K39" s="56">
        <v>2</v>
      </c>
      <c r="L39" s="56"/>
      <c r="M39" s="56"/>
      <c r="N39" s="56"/>
      <c r="O39" s="56"/>
      <c r="P39" s="56">
        <v>2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 s="55" t="s">
        <v>255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>
        <v>3</v>
      </c>
      <c r="P40" s="56">
        <v>3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 s="57" t="s">
        <v>0</v>
      </c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>
        <v>3</v>
      </c>
      <c r="P41" s="56">
        <v>3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 s="55" t="s">
        <v>265</v>
      </c>
      <c r="B42" s="56"/>
      <c r="C42" s="56">
        <v>1</v>
      </c>
      <c r="D42" s="56"/>
      <c r="E42" s="56"/>
      <c r="F42" s="56"/>
      <c r="G42" s="56"/>
      <c r="H42" s="56"/>
      <c r="I42" s="56"/>
      <c r="J42" s="56"/>
      <c r="K42" s="56">
        <v>14</v>
      </c>
      <c r="L42" s="56"/>
      <c r="M42" s="56"/>
      <c r="N42" s="56"/>
      <c r="O42" s="56"/>
      <c r="P42" s="56">
        <v>15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 s="57" t="s">
        <v>0</v>
      </c>
      <c r="B43" s="56"/>
      <c r="C43" s="56">
        <v>1</v>
      </c>
      <c r="D43" s="56"/>
      <c r="E43" s="56"/>
      <c r="F43" s="56"/>
      <c r="G43" s="56"/>
      <c r="H43" s="56"/>
      <c r="I43" s="56"/>
      <c r="J43" s="56"/>
      <c r="K43" s="56">
        <v>14</v>
      </c>
      <c r="L43" s="56"/>
      <c r="M43" s="56"/>
      <c r="N43" s="56"/>
      <c r="O43" s="56"/>
      <c r="P43" s="56">
        <v>15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 s="55" t="s">
        <v>20</v>
      </c>
      <c r="B44" s="56"/>
      <c r="C44" s="56">
        <v>4</v>
      </c>
      <c r="D44" s="56"/>
      <c r="E44" s="56"/>
      <c r="F44" s="56">
        <v>22</v>
      </c>
      <c r="G44" s="56"/>
      <c r="H44" s="56"/>
      <c r="I44" s="56"/>
      <c r="J44" s="56"/>
      <c r="K44" s="56"/>
      <c r="L44" s="56"/>
      <c r="M44" s="56"/>
      <c r="N44" s="56"/>
      <c r="O44" s="56"/>
      <c r="P44" s="56">
        <v>26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 s="57" t="s">
        <v>0</v>
      </c>
      <c r="B45" s="56"/>
      <c r="C45" s="56">
        <v>2</v>
      </c>
      <c r="D45" s="56"/>
      <c r="E45" s="56"/>
      <c r="F45" s="56">
        <v>11</v>
      </c>
      <c r="G45" s="56"/>
      <c r="H45" s="56"/>
      <c r="I45" s="56"/>
      <c r="J45" s="56"/>
      <c r="K45" s="56"/>
      <c r="L45" s="56"/>
      <c r="M45" s="56"/>
      <c r="N45" s="56"/>
      <c r="O45" s="56"/>
      <c r="P45" s="56">
        <v>13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 s="57" t="s">
        <v>1</v>
      </c>
      <c r="B46" s="56"/>
      <c r="C46" s="56">
        <v>2</v>
      </c>
      <c r="D46" s="56"/>
      <c r="E46" s="56"/>
      <c r="F46" s="56">
        <v>11</v>
      </c>
      <c r="G46" s="56"/>
      <c r="H46" s="56"/>
      <c r="I46" s="56"/>
      <c r="J46" s="56"/>
      <c r="K46" s="56"/>
      <c r="L46" s="56"/>
      <c r="M46" s="56"/>
      <c r="N46" s="56"/>
      <c r="O46" s="56"/>
      <c r="P46" s="56">
        <v>13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 s="55" t="s">
        <v>248</v>
      </c>
      <c r="B47" s="56">
        <v>6</v>
      </c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>
        <v>6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 s="57" t="s">
        <v>0</v>
      </c>
      <c r="B48" s="56">
        <v>3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>
        <v>3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 s="57" t="s">
        <v>1</v>
      </c>
      <c r="B49" s="56">
        <v>3</v>
      </c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>
        <v>3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 s="55" t="s">
        <v>239</v>
      </c>
      <c r="B50" s="56"/>
      <c r="C50" s="56"/>
      <c r="D50" s="56"/>
      <c r="E50" s="56"/>
      <c r="F50" s="56"/>
      <c r="G50" s="56"/>
      <c r="H50" s="56">
        <v>9</v>
      </c>
      <c r="I50" s="56"/>
      <c r="J50" s="56"/>
      <c r="K50" s="56"/>
      <c r="L50" s="56"/>
      <c r="M50" s="56"/>
      <c r="N50" s="56"/>
      <c r="O50" s="56"/>
      <c r="P50" s="56">
        <v>9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 s="57" t="s">
        <v>0</v>
      </c>
      <c r="B51" s="56"/>
      <c r="C51" s="56"/>
      <c r="D51" s="56"/>
      <c r="E51" s="56"/>
      <c r="F51" s="56"/>
      <c r="G51" s="56"/>
      <c r="H51" s="56">
        <v>8</v>
      </c>
      <c r="I51" s="56"/>
      <c r="J51" s="56"/>
      <c r="K51" s="56"/>
      <c r="L51" s="56"/>
      <c r="M51" s="56"/>
      <c r="N51" s="56"/>
      <c r="O51" s="56"/>
      <c r="P51" s="56">
        <v>8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 s="57" t="s">
        <v>1</v>
      </c>
      <c r="B52" s="56"/>
      <c r="C52" s="56"/>
      <c r="D52" s="56"/>
      <c r="E52" s="56"/>
      <c r="F52" s="56"/>
      <c r="G52" s="56"/>
      <c r="H52" s="56">
        <v>1</v>
      </c>
      <c r="I52" s="56"/>
      <c r="J52" s="56"/>
      <c r="K52" s="56"/>
      <c r="L52" s="56"/>
      <c r="M52" s="56"/>
      <c r="N52" s="56"/>
      <c r="O52" s="56"/>
      <c r="P52" s="56">
        <v>1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 s="55" t="s">
        <v>243</v>
      </c>
      <c r="B53" s="56"/>
      <c r="C53" s="56"/>
      <c r="D53" s="56"/>
      <c r="E53" s="56">
        <v>1</v>
      </c>
      <c r="F53" s="56"/>
      <c r="G53" s="56"/>
      <c r="H53" s="56"/>
      <c r="I53" s="56"/>
      <c r="J53" s="56"/>
      <c r="K53" s="56"/>
      <c r="L53" s="56">
        <v>5</v>
      </c>
      <c r="M53" s="56"/>
      <c r="N53" s="56"/>
      <c r="O53" s="56"/>
      <c r="P53" s="56">
        <v>6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 s="57" t="s">
        <v>0</v>
      </c>
      <c r="B54" s="56"/>
      <c r="C54" s="56"/>
      <c r="D54" s="56"/>
      <c r="E54" s="56">
        <v>1</v>
      </c>
      <c r="F54" s="56"/>
      <c r="G54" s="56"/>
      <c r="H54" s="56"/>
      <c r="I54" s="56"/>
      <c r="J54" s="56"/>
      <c r="K54" s="56"/>
      <c r="L54" s="56">
        <v>4</v>
      </c>
      <c r="M54" s="56"/>
      <c r="N54" s="56"/>
      <c r="O54" s="56"/>
      <c r="P54" s="56">
        <v>5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 s="57" t="s">
        <v>1</v>
      </c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>
        <v>1</v>
      </c>
      <c r="M55" s="56"/>
      <c r="N55" s="56"/>
      <c r="O55" s="56"/>
      <c r="P55" s="56">
        <v>1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</row>
    <row r="56" spans="1:34" x14ac:dyDescent="0.25">
      <c r="A56" s="55" t="s">
        <v>320</v>
      </c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>
        <v>80</v>
      </c>
      <c r="N56" s="56"/>
      <c r="O56" s="56"/>
      <c r="P56" s="56">
        <v>80</v>
      </c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</row>
    <row r="57" spans="1:34" x14ac:dyDescent="0.25">
      <c r="A57" s="57" t="s">
        <v>0</v>
      </c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>
        <v>80</v>
      </c>
      <c r="N57" s="56"/>
      <c r="O57" s="56"/>
      <c r="P57" s="56">
        <v>80</v>
      </c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 s="55" t="s">
        <v>165</v>
      </c>
      <c r="B58" s="56">
        <v>6</v>
      </c>
      <c r="C58" s="56">
        <v>5</v>
      </c>
      <c r="D58" s="56">
        <v>11</v>
      </c>
      <c r="E58" s="56">
        <v>3</v>
      </c>
      <c r="F58" s="56">
        <v>22</v>
      </c>
      <c r="G58" s="56">
        <v>30</v>
      </c>
      <c r="H58" s="56">
        <v>20</v>
      </c>
      <c r="I58" s="56">
        <v>27</v>
      </c>
      <c r="J58" s="56">
        <v>16</v>
      </c>
      <c r="K58" s="56">
        <v>48</v>
      </c>
      <c r="L58" s="56">
        <v>40</v>
      </c>
      <c r="M58" s="56">
        <v>80</v>
      </c>
      <c r="N58" s="56">
        <v>11</v>
      </c>
      <c r="O58" s="56">
        <v>15</v>
      </c>
      <c r="P58" s="56">
        <v>334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</row>
    <row r="63" spans="1:34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</row>
    <row r="65" spans="1:34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</row>
    <row r="66" spans="1:34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</row>
    <row r="67" spans="1:34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</row>
    <row r="68" spans="1:34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</row>
    <row r="69" spans="1:34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</row>
    <row r="70" spans="1:34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</row>
    <row r="71" spans="1:34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</row>
    <row r="72" spans="1:34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</row>
    <row r="73" spans="1:34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</row>
    <row r="74" spans="1:34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</row>
    <row r="75" spans="1:34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</row>
    <row r="76" spans="1:34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</row>
    <row r="77" spans="1:34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</row>
    <row r="78" spans="1:34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</row>
    <row r="79" spans="1:34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</row>
    <row r="80" spans="1:34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</row>
    <row r="81" spans="1:34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</row>
    <row r="82" spans="1:34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</row>
    <row r="83" spans="1:34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</row>
    <row r="84" spans="1:34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</row>
    <row r="85" spans="1:34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</row>
    <row r="86" spans="1:34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</row>
    <row r="87" spans="1:34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  <row r="88" spans="1:34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</row>
    <row r="89" spans="1:34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</row>
    <row r="90" spans="1:34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:34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:34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:34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:34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r="101" spans="1:34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</row>
    <row r="102" spans="1:34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</row>
    <row r="103" spans="1:34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</row>
    <row r="104" spans="1:34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</row>
    <row r="105" spans="1:34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</row>
    <row r="106" spans="1:34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</row>
    <row r="107" spans="1:34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</row>
    <row r="108" spans="1:34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</row>
    <row r="109" spans="1:34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 spans="1:34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</row>
    <row r="111" spans="1:34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</row>
    <row r="112" spans="1:34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</row>
    <row r="113" spans="1:34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</row>
    <row r="114" spans="1:34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</row>
    <row r="115" spans="1:34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</row>
    <row r="116" spans="1:34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</row>
    <row r="117" spans="1:34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</row>
    <row r="118" spans="1:34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</row>
    <row r="119" spans="1:34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</row>
    <row r="120" spans="1:34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</row>
    <row r="121" spans="1:34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</row>
    <row r="122" spans="1:34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</row>
    <row r="123" spans="1:34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</row>
    <row r="124" spans="1:34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</row>
    <row r="125" spans="1:34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</row>
    <row r="126" spans="1:34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</row>
    <row r="127" spans="1:34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</row>
    <row r="128" spans="1:34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</row>
    <row r="129" spans="1:34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</row>
    <row r="130" spans="1:34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</row>
    <row r="131" spans="1:34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</row>
    <row r="132" spans="1:34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</row>
    <row r="133" spans="1:34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</row>
    <row r="134" spans="1:34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</row>
    <row r="135" spans="1:34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</row>
    <row r="136" spans="1:34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</row>
    <row r="137" spans="1:34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</row>
    <row r="138" spans="1:34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</row>
    <row r="139" spans="1:34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</row>
    <row r="140" spans="1:34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</row>
    <row r="141" spans="1:34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</row>
    <row r="142" spans="1:34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</row>
    <row r="143" spans="1:34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</row>
    <row r="144" spans="1:34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</row>
    <row r="145" spans="1:34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</row>
    <row r="146" spans="1:34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</row>
    <row r="147" spans="1:34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</row>
    <row r="148" spans="1:34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</row>
    <row r="149" spans="1:34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</row>
    <row r="150" spans="1:34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</row>
    <row r="151" spans="1:34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</row>
    <row r="152" spans="1:34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</row>
    <row r="153" spans="1:34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</row>
    <row r="154" spans="1:34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</row>
    <row r="155" spans="1:34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</row>
    <row r="156" spans="1:34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</row>
    <row r="157" spans="1:34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</row>
    <row r="158" spans="1:34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 spans="1:34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</row>
    <row r="160" spans="1:34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</row>
    <row r="161" spans="1:34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</row>
    <row r="162" spans="1:34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</row>
    <row r="163" spans="1:34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</row>
    <row r="164" spans="1:34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</row>
    <row r="165" spans="1:34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</row>
    <row r="166" spans="1:34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</row>
    <row r="167" spans="1:34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</row>
    <row r="168" spans="1:34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</row>
    <row r="169" spans="1:34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</row>
    <row r="170" spans="1:34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</row>
    <row r="171" spans="1:34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</row>
    <row r="172" spans="1:34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</row>
    <row r="173" spans="1:34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</row>
    <row r="174" spans="1:34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</row>
    <row r="175" spans="1:34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</row>
    <row r="176" spans="1:34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</row>
    <row r="177" spans="1:34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</row>
    <row r="178" spans="1:34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</row>
    <row r="179" spans="1:34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</row>
    <row r="180" spans="1:34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</row>
    <row r="181" spans="1:34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</row>
    <row r="182" spans="1:34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</row>
    <row r="183" spans="1:34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</row>
    <row r="184" spans="1:34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</row>
    <row r="185" spans="1:34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</row>
    <row r="186" spans="1:34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</row>
    <row r="187" spans="1:34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</row>
    <row r="188" spans="1:34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</row>
    <row r="189" spans="1:34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</row>
    <row r="190" spans="1:34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</row>
    <row r="191" spans="1:34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</row>
    <row r="192" spans="1:34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310"/>
  <sheetViews>
    <sheetView workbookViewId="0">
      <selection activeCell="L30" sqref="L30"/>
    </sheetView>
  </sheetViews>
  <sheetFormatPr defaultRowHeight="15" x14ac:dyDescent="0.25"/>
  <cols>
    <col min="1" max="1" width="38.85546875" style="33" customWidth="1"/>
    <col min="2" max="2" width="16.85546875" style="33" bestFit="1" customWidth="1"/>
    <col min="3" max="3" width="3.7109375" style="33" customWidth="1"/>
    <col min="4" max="6" width="4.7109375" style="33" bestFit="1" customWidth="1"/>
    <col min="7" max="7" width="4.42578125" style="33" bestFit="1" customWidth="1"/>
    <col min="8" max="8" width="5.28515625" style="33" bestFit="1" customWidth="1"/>
    <col min="9" max="13" width="4.7109375" style="33" customWidth="1"/>
    <col min="14" max="14" width="4.28515625" style="33" customWidth="1"/>
    <col min="15" max="15" width="5.28515625" style="33" customWidth="1"/>
    <col min="16" max="16" width="11.7109375" style="33" bestFit="1" customWidth="1"/>
    <col min="17" max="17" width="4.85546875" style="33" customWidth="1"/>
    <col min="18" max="21" width="4.7109375" style="33" customWidth="1"/>
    <col min="22" max="22" width="4.42578125" style="33" customWidth="1"/>
    <col min="23" max="23" width="4.28515625" style="33" customWidth="1"/>
    <col min="24" max="24" width="4" style="33" customWidth="1"/>
    <col min="25" max="25" width="4.7109375" style="33" bestFit="1" customWidth="1"/>
    <col min="26" max="29" width="4.7109375" style="33" customWidth="1"/>
    <col min="30" max="30" width="4.28515625" style="33" customWidth="1"/>
    <col min="31" max="31" width="5.28515625" style="33" bestFit="1" customWidth="1"/>
    <col min="32" max="32" width="5.28515625" style="33" customWidth="1"/>
    <col min="33" max="34" width="11.7109375" style="33" bestFit="1" customWidth="1"/>
    <col min="35" max="16384" width="9.140625" style="33"/>
  </cols>
  <sheetData>
    <row r="1" spans="1:34" x14ac:dyDescent="0.25">
      <c r="A1" s="54" t="s">
        <v>174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181</v>
      </c>
      <c r="D2" t="s">
        <v>184</v>
      </c>
      <c r="E2" t="s">
        <v>186</v>
      </c>
      <c r="F2" t="s">
        <v>189</v>
      </c>
      <c r="G2" t="s">
        <v>190</v>
      </c>
      <c r="H2" t="s">
        <v>191</v>
      </c>
      <c r="I2" t="s">
        <v>194</v>
      </c>
      <c r="J2" t="s">
        <v>195</v>
      </c>
      <c r="K2" t="s">
        <v>207</v>
      </c>
      <c r="L2" t="s">
        <v>209</v>
      </c>
      <c r="M2" t="s">
        <v>211</v>
      </c>
      <c r="N2" t="s">
        <v>224</v>
      </c>
      <c r="O2" t="s">
        <v>225</v>
      </c>
      <c r="P2" t="s">
        <v>165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119</v>
      </c>
      <c r="B3" s="56"/>
      <c r="C3" s="56"/>
      <c r="D3" s="56">
        <v>11</v>
      </c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>
        <v>11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4</v>
      </c>
      <c r="B4" s="56"/>
      <c r="C4" s="56"/>
      <c r="D4" s="56">
        <v>7</v>
      </c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>
        <v>7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57" t="s">
        <v>3</v>
      </c>
      <c r="B5" s="56"/>
      <c r="C5" s="56"/>
      <c r="D5" s="56">
        <v>4</v>
      </c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>
        <v>4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5" t="s">
        <v>123</v>
      </c>
      <c r="B6" s="56"/>
      <c r="C6" s="56"/>
      <c r="D6" s="56"/>
      <c r="E6" s="56"/>
      <c r="F6" s="56"/>
      <c r="G6" s="56"/>
      <c r="H6" s="56"/>
      <c r="I6" s="56"/>
      <c r="J6" s="56">
        <v>6</v>
      </c>
      <c r="K6" s="56"/>
      <c r="L6" s="56"/>
      <c r="M6" s="56"/>
      <c r="N6" s="56"/>
      <c r="O6" s="56"/>
      <c r="P6" s="56">
        <v>6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7" t="s">
        <v>4</v>
      </c>
      <c r="B7" s="56"/>
      <c r="C7" s="56"/>
      <c r="D7" s="56"/>
      <c r="E7" s="56"/>
      <c r="F7" s="56"/>
      <c r="G7" s="56"/>
      <c r="H7" s="56"/>
      <c r="I7" s="56"/>
      <c r="J7" s="56">
        <v>4</v>
      </c>
      <c r="K7" s="56"/>
      <c r="L7" s="56"/>
      <c r="M7" s="56"/>
      <c r="N7" s="56"/>
      <c r="O7" s="56"/>
      <c r="P7" s="56">
        <v>4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57" t="s">
        <v>3</v>
      </c>
      <c r="B8" s="56"/>
      <c r="C8" s="56"/>
      <c r="D8" s="56"/>
      <c r="E8" s="56"/>
      <c r="F8" s="56"/>
      <c r="G8" s="56"/>
      <c r="H8" s="56"/>
      <c r="I8" s="56"/>
      <c r="J8" s="56">
        <v>2</v>
      </c>
      <c r="K8" s="56"/>
      <c r="L8" s="56"/>
      <c r="M8" s="56"/>
      <c r="N8" s="56"/>
      <c r="O8" s="56"/>
      <c r="P8" s="56">
        <v>2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55" t="s">
        <v>124</v>
      </c>
      <c r="B9" s="56"/>
      <c r="C9" s="56"/>
      <c r="D9" s="56"/>
      <c r="E9" s="56">
        <v>1</v>
      </c>
      <c r="F9" s="56"/>
      <c r="G9" s="56"/>
      <c r="H9" s="56"/>
      <c r="I9" s="56">
        <v>12</v>
      </c>
      <c r="J9" s="56"/>
      <c r="K9" s="56"/>
      <c r="L9" s="56"/>
      <c r="M9" s="56"/>
      <c r="N9" s="56"/>
      <c r="O9" s="56"/>
      <c r="P9" s="56">
        <v>13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57" t="s">
        <v>4</v>
      </c>
      <c r="B10" s="56"/>
      <c r="C10" s="56"/>
      <c r="D10" s="56"/>
      <c r="E10" s="56">
        <v>1</v>
      </c>
      <c r="F10" s="56"/>
      <c r="G10" s="56"/>
      <c r="H10" s="56"/>
      <c r="I10" s="56">
        <v>8</v>
      </c>
      <c r="J10" s="56"/>
      <c r="K10" s="56"/>
      <c r="L10" s="56"/>
      <c r="M10" s="56"/>
      <c r="N10" s="56"/>
      <c r="O10" s="56"/>
      <c r="P10" s="56">
        <v>9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57" t="s">
        <v>3</v>
      </c>
      <c r="B11" s="56"/>
      <c r="C11" s="56"/>
      <c r="D11" s="56"/>
      <c r="E11" s="56"/>
      <c r="F11" s="56"/>
      <c r="G11" s="56"/>
      <c r="H11" s="56"/>
      <c r="I11" s="56">
        <v>4</v>
      </c>
      <c r="J11" s="56"/>
      <c r="K11" s="56"/>
      <c r="L11" s="56"/>
      <c r="M11" s="56"/>
      <c r="N11" s="56"/>
      <c r="O11" s="56"/>
      <c r="P11" s="56">
        <v>4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55" t="s">
        <v>125</v>
      </c>
      <c r="B12" s="56"/>
      <c r="C12" s="56"/>
      <c r="D12" s="56"/>
      <c r="E12" s="56"/>
      <c r="F12" s="56"/>
      <c r="G12" s="56"/>
      <c r="H12" s="56"/>
      <c r="I12" s="56"/>
      <c r="J12" s="56"/>
      <c r="K12" s="56">
        <v>19</v>
      </c>
      <c r="L12" s="56"/>
      <c r="M12" s="56"/>
      <c r="N12" s="56"/>
      <c r="O12" s="56"/>
      <c r="P12" s="56">
        <v>19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7" t="s">
        <v>4</v>
      </c>
      <c r="B13" s="56"/>
      <c r="C13" s="56"/>
      <c r="D13" s="56"/>
      <c r="E13" s="56"/>
      <c r="F13" s="56"/>
      <c r="G13" s="56"/>
      <c r="H13" s="56"/>
      <c r="I13" s="56"/>
      <c r="J13" s="56"/>
      <c r="K13" s="56">
        <v>15</v>
      </c>
      <c r="L13" s="56"/>
      <c r="M13" s="56"/>
      <c r="N13" s="56"/>
      <c r="O13" s="56"/>
      <c r="P13" s="56">
        <v>15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7" t="s">
        <v>3</v>
      </c>
      <c r="B14" s="56"/>
      <c r="C14" s="56"/>
      <c r="D14" s="56"/>
      <c r="E14" s="56"/>
      <c r="F14" s="56"/>
      <c r="G14" s="56"/>
      <c r="H14" s="56"/>
      <c r="I14" s="56"/>
      <c r="J14" s="56"/>
      <c r="K14" s="56">
        <v>4</v>
      </c>
      <c r="L14" s="56"/>
      <c r="M14" s="56"/>
      <c r="N14" s="56"/>
      <c r="O14" s="56"/>
      <c r="P14" s="56">
        <v>4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55" t="s">
        <v>128</v>
      </c>
      <c r="B15" s="56"/>
      <c r="C15" s="56"/>
      <c r="D15" s="56"/>
      <c r="E15" s="56">
        <v>1</v>
      </c>
      <c r="F15" s="56"/>
      <c r="G15" s="56"/>
      <c r="H15" s="56"/>
      <c r="I15" s="56"/>
      <c r="J15" s="56">
        <v>10</v>
      </c>
      <c r="K15" s="56"/>
      <c r="L15" s="56"/>
      <c r="M15" s="56"/>
      <c r="N15" s="56"/>
      <c r="O15" s="56"/>
      <c r="P15" s="56">
        <v>11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57" t="s">
        <v>4</v>
      </c>
      <c r="B16" s="56"/>
      <c r="C16" s="56"/>
      <c r="D16" s="56"/>
      <c r="E16" s="56">
        <v>1</v>
      </c>
      <c r="F16" s="56"/>
      <c r="G16" s="56"/>
      <c r="H16" s="56"/>
      <c r="I16" s="56"/>
      <c r="J16" s="56">
        <v>7</v>
      </c>
      <c r="K16" s="56"/>
      <c r="L16" s="56"/>
      <c r="M16" s="56"/>
      <c r="N16" s="56"/>
      <c r="O16" s="56"/>
      <c r="P16" s="56">
        <v>8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57" t="s">
        <v>3</v>
      </c>
      <c r="B17" s="56"/>
      <c r="C17" s="56"/>
      <c r="D17" s="56"/>
      <c r="E17" s="56"/>
      <c r="F17" s="56"/>
      <c r="G17" s="56"/>
      <c r="H17" s="56"/>
      <c r="I17" s="56"/>
      <c r="J17" s="56">
        <v>3</v>
      </c>
      <c r="K17" s="56"/>
      <c r="L17" s="56"/>
      <c r="M17" s="56"/>
      <c r="N17" s="56"/>
      <c r="O17" s="56"/>
      <c r="P17" s="56">
        <v>3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55" t="s">
        <v>148</v>
      </c>
      <c r="B18" s="56"/>
      <c r="C18" s="56"/>
      <c r="D18" s="56"/>
      <c r="E18" s="56"/>
      <c r="F18" s="56"/>
      <c r="G18" s="56"/>
      <c r="H18" s="56">
        <v>5</v>
      </c>
      <c r="I18" s="56"/>
      <c r="J18" s="56"/>
      <c r="K18" s="56"/>
      <c r="L18" s="56"/>
      <c r="M18" s="56"/>
      <c r="N18" s="56"/>
      <c r="O18" s="56"/>
      <c r="P18" s="56">
        <v>5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57" t="s">
        <v>4</v>
      </c>
      <c r="B19" s="56"/>
      <c r="C19" s="56"/>
      <c r="D19" s="56"/>
      <c r="E19" s="56"/>
      <c r="F19" s="56"/>
      <c r="G19" s="56"/>
      <c r="H19" s="56">
        <v>3</v>
      </c>
      <c r="I19" s="56"/>
      <c r="J19" s="56"/>
      <c r="K19" s="56"/>
      <c r="L19" s="56"/>
      <c r="M19" s="56"/>
      <c r="N19" s="56"/>
      <c r="O19" s="56"/>
      <c r="P19" s="56">
        <v>3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57" t="s">
        <v>3</v>
      </c>
      <c r="B20" s="56"/>
      <c r="C20" s="56"/>
      <c r="D20" s="56"/>
      <c r="E20" s="56"/>
      <c r="F20" s="56"/>
      <c r="G20" s="56"/>
      <c r="H20" s="56">
        <v>2</v>
      </c>
      <c r="I20" s="56"/>
      <c r="J20" s="56"/>
      <c r="K20" s="56"/>
      <c r="L20" s="56"/>
      <c r="M20" s="56"/>
      <c r="N20" s="56"/>
      <c r="O20" s="56"/>
      <c r="P20" s="56">
        <v>2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55" t="s">
        <v>132</v>
      </c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>
        <v>15</v>
      </c>
      <c r="M21" s="56"/>
      <c r="N21" s="56"/>
      <c r="O21" s="56"/>
      <c r="P21" s="56">
        <v>15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57" t="s">
        <v>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>
        <v>11</v>
      </c>
      <c r="M22" s="56"/>
      <c r="N22" s="56"/>
      <c r="O22" s="56"/>
      <c r="P22" s="56">
        <v>11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 s="57" t="s">
        <v>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>
        <v>4</v>
      </c>
      <c r="M23" s="56"/>
      <c r="N23" s="56"/>
      <c r="O23" s="56"/>
      <c r="P23" s="56">
        <v>4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 s="55" t="s">
        <v>247</v>
      </c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>
        <v>12</v>
      </c>
      <c r="P24" s="56">
        <v>12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 s="57" t="s">
        <v>4</v>
      </c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>
        <v>10</v>
      </c>
      <c r="P25" s="56">
        <v>10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 s="57" t="s">
        <v>3</v>
      </c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>
        <v>2</v>
      </c>
      <c r="P26" s="56">
        <v>2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 s="55" t="s">
        <v>252</v>
      </c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>
        <v>11</v>
      </c>
      <c r="O27" s="56"/>
      <c r="P27" s="56">
        <v>11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 s="57" t="s">
        <v>4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>
        <v>5</v>
      </c>
      <c r="O28" s="56"/>
      <c r="P28" s="56">
        <v>5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 s="57" t="s">
        <v>3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>
        <v>6</v>
      </c>
      <c r="O29" s="56"/>
      <c r="P29" s="56">
        <v>6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 s="55" t="s">
        <v>258</v>
      </c>
      <c r="B30" s="56"/>
      <c r="C30" s="56"/>
      <c r="D30" s="56"/>
      <c r="E30" s="56"/>
      <c r="F30" s="56"/>
      <c r="G30" s="56"/>
      <c r="H30" s="56"/>
      <c r="I30" s="56">
        <v>15</v>
      </c>
      <c r="J30" s="56"/>
      <c r="K30" s="56"/>
      <c r="L30" s="56"/>
      <c r="M30" s="56"/>
      <c r="N30" s="56"/>
      <c r="O30" s="56"/>
      <c r="P30" s="56">
        <v>15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 s="57" t="s">
        <v>4</v>
      </c>
      <c r="B31" s="56"/>
      <c r="C31" s="56"/>
      <c r="D31" s="56"/>
      <c r="E31" s="56"/>
      <c r="F31" s="56"/>
      <c r="G31" s="56"/>
      <c r="H31" s="56"/>
      <c r="I31" s="56">
        <v>12</v>
      </c>
      <c r="J31" s="56"/>
      <c r="K31" s="56"/>
      <c r="L31" s="56"/>
      <c r="M31" s="56"/>
      <c r="N31" s="56"/>
      <c r="O31" s="56"/>
      <c r="P31" s="56">
        <v>12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 s="57" t="s">
        <v>3</v>
      </c>
      <c r="B32" s="56"/>
      <c r="C32" s="56"/>
      <c r="D32" s="56"/>
      <c r="E32" s="56"/>
      <c r="F32" s="56"/>
      <c r="G32" s="56"/>
      <c r="H32" s="56"/>
      <c r="I32" s="56">
        <v>3</v>
      </c>
      <c r="J32" s="56"/>
      <c r="K32" s="56"/>
      <c r="L32" s="56"/>
      <c r="M32" s="56"/>
      <c r="N32" s="56"/>
      <c r="O32" s="56"/>
      <c r="P32" s="56">
        <v>3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 s="55" t="s">
        <v>249</v>
      </c>
      <c r="B33" s="56"/>
      <c r="C33" s="56"/>
      <c r="D33" s="56"/>
      <c r="E33" s="56"/>
      <c r="F33" s="56"/>
      <c r="G33" s="56"/>
      <c r="H33" s="56">
        <v>6</v>
      </c>
      <c r="I33" s="56"/>
      <c r="J33" s="56"/>
      <c r="K33" s="56"/>
      <c r="L33" s="56"/>
      <c r="M33" s="56"/>
      <c r="N33" s="56"/>
      <c r="O33" s="56"/>
      <c r="P33" s="56">
        <v>6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 s="57" t="s">
        <v>4</v>
      </c>
      <c r="B34" s="56"/>
      <c r="C34" s="56"/>
      <c r="D34" s="56"/>
      <c r="E34" s="56"/>
      <c r="F34" s="56"/>
      <c r="G34" s="56"/>
      <c r="H34" s="56">
        <v>5</v>
      </c>
      <c r="I34" s="56"/>
      <c r="J34" s="56"/>
      <c r="K34" s="56"/>
      <c r="L34" s="56"/>
      <c r="M34" s="56"/>
      <c r="N34" s="56"/>
      <c r="O34" s="56"/>
      <c r="P34" s="56">
        <v>5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 s="57" t="s">
        <v>3</v>
      </c>
      <c r="B35" s="56"/>
      <c r="C35" s="56"/>
      <c r="D35" s="56"/>
      <c r="E35" s="56"/>
      <c r="F35" s="56"/>
      <c r="G35" s="56"/>
      <c r="H35" s="56">
        <v>1</v>
      </c>
      <c r="I35" s="56"/>
      <c r="J35" s="56"/>
      <c r="K35" s="56"/>
      <c r="L35" s="56"/>
      <c r="M35" s="56"/>
      <c r="N35" s="56"/>
      <c r="O35" s="56"/>
      <c r="P35" s="56">
        <v>1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 s="55" t="s">
        <v>134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>
        <v>20</v>
      </c>
      <c r="M36" s="56"/>
      <c r="N36" s="56"/>
      <c r="O36" s="56"/>
      <c r="P36" s="56">
        <v>20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 s="57" t="s">
        <v>4</v>
      </c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>
        <v>20</v>
      </c>
      <c r="M37" s="56"/>
      <c r="N37" s="56"/>
      <c r="O37" s="56"/>
      <c r="P37" s="56">
        <v>20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 s="55" t="s">
        <v>254</v>
      </c>
      <c r="B38" s="56"/>
      <c r="C38" s="56"/>
      <c r="D38" s="56"/>
      <c r="E38" s="56"/>
      <c r="F38" s="56"/>
      <c r="G38" s="56">
        <v>30</v>
      </c>
      <c r="H38" s="56"/>
      <c r="I38" s="56"/>
      <c r="J38" s="56"/>
      <c r="K38" s="56">
        <v>15</v>
      </c>
      <c r="L38" s="56"/>
      <c r="M38" s="56"/>
      <c r="N38" s="56"/>
      <c r="O38" s="56"/>
      <c r="P38" s="56">
        <v>45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 s="57"/>
      <c r="B39" s="56"/>
      <c r="C39" s="56"/>
      <c r="D39" s="56"/>
      <c r="E39" s="56"/>
      <c r="F39" s="56"/>
      <c r="G39" s="56"/>
      <c r="H39" s="56"/>
      <c r="I39" s="56"/>
      <c r="J39" s="56"/>
      <c r="K39" s="56">
        <v>2</v>
      </c>
      <c r="L39" s="56"/>
      <c r="M39" s="56"/>
      <c r="N39" s="56"/>
      <c r="O39" s="56"/>
      <c r="P39" s="56">
        <v>2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 s="57" t="s">
        <v>4</v>
      </c>
      <c r="B40" s="56"/>
      <c r="C40" s="56"/>
      <c r="D40" s="56"/>
      <c r="E40" s="56"/>
      <c r="F40" s="56"/>
      <c r="G40" s="56">
        <v>21</v>
      </c>
      <c r="H40" s="56"/>
      <c r="I40" s="56"/>
      <c r="J40" s="56"/>
      <c r="K40" s="56">
        <v>10</v>
      </c>
      <c r="L40" s="56"/>
      <c r="M40" s="56"/>
      <c r="N40" s="56"/>
      <c r="O40" s="56"/>
      <c r="P40" s="56">
        <v>31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 s="57" t="s">
        <v>3</v>
      </c>
      <c r="B41" s="56"/>
      <c r="C41" s="56"/>
      <c r="D41" s="56"/>
      <c r="E41" s="56"/>
      <c r="F41" s="56"/>
      <c r="G41" s="56">
        <v>9</v>
      </c>
      <c r="H41" s="56"/>
      <c r="I41" s="56"/>
      <c r="J41" s="56"/>
      <c r="K41" s="56">
        <v>3</v>
      </c>
      <c r="L41" s="56"/>
      <c r="M41" s="56"/>
      <c r="N41" s="56"/>
      <c r="O41" s="56"/>
      <c r="P41" s="56">
        <v>12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 s="55" t="s">
        <v>255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>
        <v>3</v>
      </c>
      <c r="P42" s="56">
        <v>3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 s="57" t="s">
        <v>4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>
        <v>3</v>
      </c>
      <c r="P43" s="56">
        <v>3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 s="55" t="s">
        <v>265</v>
      </c>
      <c r="B44" s="56"/>
      <c r="C44" s="56">
        <v>1</v>
      </c>
      <c r="D44" s="56"/>
      <c r="E44" s="56"/>
      <c r="F44" s="56"/>
      <c r="G44" s="56"/>
      <c r="H44" s="56"/>
      <c r="I44" s="56"/>
      <c r="J44" s="56"/>
      <c r="K44" s="56">
        <v>14</v>
      </c>
      <c r="L44" s="56"/>
      <c r="M44" s="56"/>
      <c r="N44" s="56"/>
      <c r="O44" s="56"/>
      <c r="P44" s="56">
        <v>15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 s="57" t="s">
        <v>4</v>
      </c>
      <c r="B45" s="56"/>
      <c r="C45" s="56">
        <v>1</v>
      </c>
      <c r="D45" s="56"/>
      <c r="E45" s="56"/>
      <c r="F45" s="56"/>
      <c r="G45" s="56"/>
      <c r="H45" s="56"/>
      <c r="I45" s="56"/>
      <c r="J45" s="56"/>
      <c r="K45" s="56">
        <v>14</v>
      </c>
      <c r="L45" s="56"/>
      <c r="M45" s="56"/>
      <c r="N45" s="56"/>
      <c r="O45" s="56"/>
      <c r="P45" s="56">
        <v>15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 s="55" t="s">
        <v>20</v>
      </c>
      <c r="B46" s="56"/>
      <c r="C46" s="56">
        <v>4</v>
      </c>
      <c r="D46" s="56"/>
      <c r="E46" s="56"/>
      <c r="F46" s="56">
        <v>22</v>
      </c>
      <c r="G46" s="56"/>
      <c r="H46" s="56"/>
      <c r="I46" s="56"/>
      <c r="J46" s="56"/>
      <c r="K46" s="56"/>
      <c r="L46" s="56"/>
      <c r="M46" s="56"/>
      <c r="N46" s="56"/>
      <c r="O46" s="56"/>
      <c r="P46" s="56">
        <v>26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 s="57" t="s">
        <v>4</v>
      </c>
      <c r="B47" s="56"/>
      <c r="C47" s="56">
        <v>4</v>
      </c>
      <c r="D47" s="56"/>
      <c r="E47" s="56"/>
      <c r="F47" s="56">
        <v>12</v>
      </c>
      <c r="G47" s="56"/>
      <c r="H47" s="56"/>
      <c r="I47" s="56"/>
      <c r="J47" s="56"/>
      <c r="K47" s="56"/>
      <c r="L47" s="56"/>
      <c r="M47" s="56"/>
      <c r="N47" s="56"/>
      <c r="O47" s="56"/>
      <c r="P47" s="56">
        <v>16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 s="57" t="s">
        <v>3</v>
      </c>
      <c r="B48" s="56"/>
      <c r="C48" s="56"/>
      <c r="D48" s="56"/>
      <c r="E48" s="56"/>
      <c r="F48" s="56">
        <v>10</v>
      </c>
      <c r="G48" s="56"/>
      <c r="H48" s="56"/>
      <c r="I48" s="56"/>
      <c r="J48" s="56"/>
      <c r="K48" s="56"/>
      <c r="L48" s="56"/>
      <c r="M48" s="56"/>
      <c r="N48" s="56"/>
      <c r="O48" s="56"/>
      <c r="P48" s="56">
        <v>10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 s="55" t="s">
        <v>248</v>
      </c>
      <c r="B49" s="56">
        <v>6</v>
      </c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>
        <v>6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 s="57" t="s">
        <v>4</v>
      </c>
      <c r="B50" s="56">
        <v>4</v>
      </c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>
        <v>4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 s="57" t="s">
        <v>3</v>
      </c>
      <c r="B51" s="56">
        <v>2</v>
      </c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>
        <v>2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 s="55" t="s">
        <v>239</v>
      </c>
      <c r="B52" s="56"/>
      <c r="C52" s="56"/>
      <c r="D52" s="56"/>
      <c r="E52" s="56"/>
      <c r="F52" s="56"/>
      <c r="G52" s="56"/>
      <c r="H52" s="56">
        <v>9</v>
      </c>
      <c r="I52" s="56"/>
      <c r="J52" s="56"/>
      <c r="K52" s="56"/>
      <c r="L52" s="56"/>
      <c r="M52" s="56"/>
      <c r="N52" s="56"/>
      <c r="O52" s="56"/>
      <c r="P52" s="56">
        <v>9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 s="57" t="s">
        <v>4</v>
      </c>
      <c r="B53" s="56"/>
      <c r="C53" s="56"/>
      <c r="D53" s="56"/>
      <c r="E53" s="56"/>
      <c r="F53" s="56"/>
      <c r="G53" s="56"/>
      <c r="H53" s="56">
        <v>7</v>
      </c>
      <c r="I53" s="56"/>
      <c r="J53" s="56"/>
      <c r="K53" s="56"/>
      <c r="L53" s="56"/>
      <c r="M53" s="56"/>
      <c r="N53" s="56"/>
      <c r="O53" s="56"/>
      <c r="P53" s="56">
        <v>7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 s="57" t="s">
        <v>3</v>
      </c>
      <c r="B54" s="56"/>
      <c r="C54" s="56"/>
      <c r="D54" s="56"/>
      <c r="E54" s="56"/>
      <c r="F54" s="56"/>
      <c r="G54" s="56"/>
      <c r="H54" s="56">
        <v>2</v>
      </c>
      <c r="I54" s="56"/>
      <c r="J54" s="56"/>
      <c r="K54" s="56"/>
      <c r="L54" s="56"/>
      <c r="M54" s="56"/>
      <c r="N54" s="56"/>
      <c r="O54" s="56"/>
      <c r="P54" s="56">
        <v>2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 s="55" t="s">
        <v>243</v>
      </c>
      <c r="B55" s="56"/>
      <c r="C55" s="56"/>
      <c r="D55" s="56"/>
      <c r="E55" s="56">
        <v>1</v>
      </c>
      <c r="F55" s="56"/>
      <c r="G55" s="56"/>
      <c r="H55" s="56"/>
      <c r="I55" s="56"/>
      <c r="J55" s="56"/>
      <c r="K55" s="56"/>
      <c r="L55" s="56">
        <v>5</v>
      </c>
      <c r="M55" s="56"/>
      <c r="N55" s="56"/>
      <c r="O55" s="56"/>
      <c r="P55" s="56">
        <v>6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</row>
    <row r="56" spans="1:34" x14ac:dyDescent="0.25">
      <c r="A56" s="57" t="s">
        <v>4</v>
      </c>
      <c r="B56" s="56"/>
      <c r="C56" s="56"/>
      <c r="D56" s="56"/>
      <c r="E56" s="56">
        <v>1</v>
      </c>
      <c r="F56" s="56"/>
      <c r="G56" s="56"/>
      <c r="H56" s="56"/>
      <c r="I56" s="56"/>
      <c r="J56" s="56"/>
      <c r="K56" s="56"/>
      <c r="L56" s="56">
        <v>5</v>
      </c>
      <c r="M56" s="56"/>
      <c r="N56" s="56"/>
      <c r="O56" s="56"/>
      <c r="P56" s="56">
        <v>6</v>
      </c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</row>
    <row r="57" spans="1:34" x14ac:dyDescent="0.25">
      <c r="A57" s="55" t="s">
        <v>320</v>
      </c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>
        <v>80</v>
      </c>
      <c r="N57" s="56"/>
      <c r="O57" s="56"/>
      <c r="P57" s="56">
        <v>80</v>
      </c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 s="57" t="s">
        <v>3</v>
      </c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>
        <v>80</v>
      </c>
      <c r="N58" s="56"/>
      <c r="O58" s="56"/>
      <c r="P58" s="56">
        <v>80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 s="55" t="s">
        <v>165</v>
      </c>
      <c r="B59" s="56">
        <v>6</v>
      </c>
      <c r="C59" s="56">
        <v>5</v>
      </c>
      <c r="D59" s="56">
        <v>11</v>
      </c>
      <c r="E59" s="56">
        <v>3</v>
      </c>
      <c r="F59" s="56">
        <v>22</v>
      </c>
      <c r="G59" s="56">
        <v>30</v>
      </c>
      <c r="H59" s="56">
        <v>20</v>
      </c>
      <c r="I59" s="56">
        <v>27</v>
      </c>
      <c r="J59" s="56">
        <v>16</v>
      </c>
      <c r="K59" s="56">
        <v>48</v>
      </c>
      <c r="L59" s="56">
        <v>40</v>
      </c>
      <c r="M59" s="56">
        <v>80</v>
      </c>
      <c r="N59" s="56">
        <v>11</v>
      </c>
      <c r="O59" s="56">
        <v>15</v>
      </c>
      <c r="P59" s="56">
        <v>334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</row>
    <row r="63" spans="1:34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</row>
    <row r="65" spans="1:34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</row>
    <row r="66" spans="1:34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</row>
    <row r="67" spans="1:34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</row>
    <row r="68" spans="1:34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</row>
    <row r="69" spans="1:34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</row>
    <row r="70" spans="1:34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</row>
    <row r="71" spans="1:34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</row>
    <row r="72" spans="1:34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</row>
    <row r="73" spans="1:34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</row>
    <row r="74" spans="1:34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</row>
    <row r="75" spans="1:34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</row>
    <row r="76" spans="1:34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</row>
    <row r="77" spans="1:34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</row>
    <row r="78" spans="1:34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</row>
    <row r="79" spans="1:34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</row>
    <row r="80" spans="1:34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</row>
    <row r="81" spans="1:34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</row>
    <row r="82" spans="1:34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</row>
    <row r="83" spans="1:34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</row>
    <row r="84" spans="1:34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</row>
    <row r="85" spans="1:34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</row>
    <row r="86" spans="1:34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</row>
    <row r="87" spans="1:34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  <row r="88" spans="1:34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</row>
    <row r="89" spans="1:34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</row>
    <row r="90" spans="1:34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:34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:34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:34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:34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r="101" spans="1:34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</row>
    <row r="102" spans="1:34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</row>
    <row r="103" spans="1:34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</row>
    <row r="104" spans="1:34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</row>
    <row r="105" spans="1:34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</row>
    <row r="106" spans="1:34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</row>
    <row r="107" spans="1:34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</row>
    <row r="108" spans="1:34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</row>
    <row r="109" spans="1:34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 spans="1:34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</row>
    <row r="111" spans="1:34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</row>
    <row r="112" spans="1:34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</row>
    <row r="113" spans="1:34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</row>
    <row r="114" spans="1:34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</row>
    <row r="115" spans="1:34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</row>
    <row r="116" spans="1:34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</row>
    <row r="117" spans="1:34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</row>
    <row r="118" spans="1:34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</row>
    <row r="119" spans="1:34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</row>
    <row r="120" spans="1:34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</row>
    <row r="121" spans="1:34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</row>
    <row r="122" spans="1:34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</row>
    <row r="123" spans="1:34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</row>
    <row r="124" spans="1:34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</row>
    <row r="125" spans="1:34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</row>
    <row r="126" spans="1:34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</row>
    <row r="127" spans="1:34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</row>
    <row r="128" spans="1:34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</row>
    <row r="129" spans="1:34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</row>
    <row r="130" spans="1:34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</row>
    <row r="131" spans="1:34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</row>
    <row r="132" spans="1:34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</row>
    <row r="133" spans="1:34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</row>
    <row r="134" spans="1:34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</row>
    <row r="135" spans="1:34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</row>
    <row r="136" spans="1:34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</row>
    <row r="137" spans="1:34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</row>
    <row r="138" spans="1:34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</row>
    <row r="139" spans="1:34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</row>
    <row r="140" spans="1:34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</row>
    <row r="141" spans="1:34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</row>
    <row r="142" spans="1:34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</row>
    <row r="143" spans="1:34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</row>
    <row r="144" spans="1:34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</row>
    <row r="145" spans="1:34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</row>
    <row r="146" spans="1:34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</row>
    <row r="147" spans="1:34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</row>
    <row r="148" spans="1:34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</row>
    <row r="149" spans="1:34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</row>
    <row r="150" spans="1:34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</row>
    <row r="151" spans="1:34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</row>
    <row r="152" spans="1:34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</row>
    <row r="153" spans="1:34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</row>
    <row r="154" spans="1:34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</row>
    <row r="155" spans="1:34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</row>
    <row r="156" spans="1:34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</row>
    <row r="157" spans="1:34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</row>
    <row r="158" spans="1:34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 spans="1:34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</row>
    <row r="160" spans="1:34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</row>
    <row r="161" spans="1:34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</row>
    <row r="162" spans="1:34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</row>
    <row r="163" spans="1:34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</row>
    <row r="164" spans="1:34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</row>
    <row r="165" spans="1:34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</row>
    <row r="166" spans="1:34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</row>
    <row r="167" spans="1:34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</row>
    <row r="168" spans="1:34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</row>
    <row r="169" spans="1:34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</row>
    <row r="170" spans="1:34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</row>
    <row r="171" spans="1:34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</row>
    <row r="172" spans="1:34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</row>
    <row r="173" spans="1:34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</row>
    <row r="174" spans="1:34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</row>
    <row r="175" spans="1:34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</row>
    <row r="176" spans="1:34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</row>
    <row r="177" spans="1:34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</row>
    <row r="178" spans="1:34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</row>
    <row r="179" spans="1:34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</row>
    <row r="180" spans="1:34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</row>
    <row r="181" spans="1:34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</row>
    <row r="182" spans="1:34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</row>
    <row r="183" spans="1:34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</row>
    <row r="184" spans="1:34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</row>
    <row r="185" spans="1:34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</row>
    <row r="186" spans="1:34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</row>
    <row r="187" spans="1:34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</row>
    <row r="188" spans="1:34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</row>
    <row r="189" spans="1:34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</row>
    <row r="190" spans="1:34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</row>
    <row r="191" spans="1:34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</row>
    <row r="192" spans="1:34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</row>
    <row r="193" spans="1:34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</row>
    <row r="194" spans="1:34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</row>
    <row r="195" spans="1:34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</row>
    <row r="196" spans="1:34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</row>
    <row r="197" spans="1:34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</row>
    <row r="198" spans="1:34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</row>
    <row r="199" spans="1:34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</row>
    <row r="200" spans="1:34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</row>
    <row r="201" spans="1:34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</row>
    <row r="202" spans="1:34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</row>
    <row r="203" spans="1:34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</row>
    <row r="204" spans="1:34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</row>
    <row r="205" spans="1:34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</row>
    <row r="206" spans="1:34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</row>
    <row r="207" spans="1:34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</row>
    <row r="208" spans="1:34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</row>
    <row r="209" spans="1:34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</row>
    <row r="210" spans="1:34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</row>
    <row r="211" spans="1:34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</row>
    <row r="212" spans="1:34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</row>
    <row r="213" spans="1:34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</row>
    <row r="214" spans="1:34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</row>
    <row r="215" spans="1:34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</row>
    <row r="216" spans="1:34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</row>
    <row r="217" spans="1:34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</row>
    <row r="218" spans="1:34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</row>
    <row r="219" spans="1:34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</row>
    <row r="220" spans="1:34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</row>
    <row r="221" spans="1:34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</row>
    <row r="222" spans="1:34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</row>
    <row r="223" spans="1:34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</row>
    <row r="224" spans="1:34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</row>
    <row r="225" spans="1:34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</row>
    <row r="226" spans="1:34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</row>
    <row r="227" spans="1:34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</row>
    <row r="228" spans="1:34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</row>
    <row r="229" spans="1:34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</row>
    <row r="230" spans="1:34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</row>
    <row r="231" spans="1:34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</row>
    <row r="232" spans="1:34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</row>
    <row r="233" spans="1:34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</row>
    <row r="234" spans="1:34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</row>
    <row r="235" spans="1:34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</row>
    <row r="236" spans="1:34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</row>
    <row r="237" spans="1:34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</row>
    <row r="238" spans="1:34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</row>
    <row r="239" spans="1:34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</row>
    <row r="240" spans="1:34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</row>
    <row r="241" spans="1:34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</row>
    <row r="242" spans="1:34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</row>
    <row r="243" spans="1:34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</row>
    <row r="244" spans="1:34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</row>
    <row r="245" spans="1:34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</row>
    <row r="246" spans="1:34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</row>
    <row r="247" spans="1:34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</row>
    <row r="248" spans="1:34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</row>
    <row r="249" spans="1:34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</row>
    <row r="250" spans="1:34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</row>
    <row r="251" spans="1:34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</row>
    <row r="252" spans="1:34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</row>
    <row r="253" spans="1:34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</row>
    <row r="254" spans="1:34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</row>
    <row r="255" spans="1:34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</row>
    <row r="256" spans="1:34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</row>
    <row r="257" spans="1:34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</row>
    <row r="258" spans="1:34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</row>
    <row r="259" spans="1:34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</row>
    <row r="260" spans="1:34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</row>
    <row r="261" spans="1:34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</row>
    <row r="262" spans="1:34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</row>
    <row r="263" spans="1:34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</row>
    <row r="264" spans="1:34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</row>
    <row r="265" spans="1:34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</row>
    <row r="266" spans="1:34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</row>
    <row r="267" spans="1:34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</row>
    <row r="268" spans="1:34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</row>
    <row r="269" spans="1:34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</row>
    <row r="270" spans="1:34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</row>
    <row r="271" spans="1:34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</row>
    <row r="272" spans="1:34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</row>
    <row r="273" spans="1:34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</row>
    <row r="274" spans="1:34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</row>
    <row r="275" spans="1:34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</row>
    <row r="276" spans="1:34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</row>
    <row r="277" spans="1:34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</row>
    <row r="278" spans="1:34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</row>
    <row r="279" spans="1:34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</row>
    <row r="280" spans="1:34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</row>
    <row r="281" spans="1:34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</row>
    <row r="282" spans="1:34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</row>
    <row r="283" spans="1:34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</row>
    <row r="284" spans="1:34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</row>
    <row r="285" spans="1:34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</row>
    <row r="286" spans="1:34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</row>
    <row r="287" spans="1:34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</row>
    <row r="288" spans="1:34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</row>
    <row r="289" spans="1:34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</row>
    <row r="290" spans="1:34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</row>
    <row r="291" spans="1:34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</row>
    <row r="292" spans="1:34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</row>
    <row r="293" spans="1:3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</row>
    <row r="294" spans="1:34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</row>
    <row r="295" spans="1:34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</row>
    <row r="296" spans="1:34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</row>
    <row r="297" spans="1:34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</row>
    <row r="298" spans="1:34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</row>
    <row r="299" spans="1:34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</row>
    <row r="300" spans="1:34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</row>
    <row r="301" spans="1:34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</row>
    <row r="302" spans="1:34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</row>
    <row r="303" spans="1:34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</row>
    <row r="304" spans="1:34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</row>
    <row r="305" spans="1:34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</row>
    <row r="306" spans="1:34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</row>
    <row r="307" spans="1:34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</row>
    <row r="308" spans="1:34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</row>
    <row r="309" spans="1:34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</row>
    <row r="310" spans="1:34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438"/>
  <sheetViews>
    <sheetView workbookViewId="0"/>
  </sheetViews>
  <sheetFormatPr defaultRowHeight="15" x14ac:dyDescent="0.25"/>
  <cols>
    <col min="1" max="1" width="38.85546875" style="33" customWidth="1"/>
    <col min="2" max="2" width="16.85546875" style="33" bestFit="1" customWidth="1"/>
    <col min="3" max="3" width="3.7109375" style="33" customWidth="1"/>
    <col min="4" max="6" width="4.7109375" style="33" bestFit="1" customWidth="1"/>
    <col min="7" max="7" width="4.42578125" style="33" bestFit="1" customWidth="1"/>
    <col min="8" max="8" width="5.28515625" style="33" bestFit="1" customWidth="1"/>
    <col min="9" max="13" width="4.7109375" style="33" customWidth="1"/>
    <col min="14" max="14" width="4.28515625" style="33" customWidth="1"/>
    <col min="15" max="15" width="5.28515625" style="33" bestFit="1" customWidth="1"/>
    <col min="16" max="16" width="11.7109375" style="33" bestFit="1" customWidth="1"/>
    <col min="17" max="17" width="5.28515625" style="33" bestFit="1" customWidth="1"/>
    <col min="18" max="18" width="4.85546875" style="33" bestFit="1" customWidth="1"/>
    <col min="19" max="21" width="4.7109375" style="33" customWidth="1"/>
    <col min="22" max="22" width="4.7109375" style="33" bestFit="1" customWidth="1"/>
    <col min="23" max="23" width="4.42578125" style="33" bestFit="1" customWidth="1"/>
    <col min="24" max="24" width="4.28515625" style="33" bestFit="1" customWidth="1"/>
    <col min="25" max="25" width="4" style="33" bestFit="1" customWidth="1"/>
    <col min="26" max="29" width="4.7109375" style="33" customWidth="1"/>
    <col min="30" max="30" width="4.7109375" style="33" bestFit="1" customWidth="1"/>
    <col min="31" max="31" width="4.28515625" style="33" bestFit="1" customWidth="1"/>
    <col min="32" max="32" width="5.28515625" style="33" customWidth="1"/>
    <col min="33" max="33" width="5.28515625" style="33" bestFit="1" customWidth="1"/>
    <col min="34" max="34" width="11.7109375" style="33" bestFit="1" customWidth="1"/>
    <col min="35" max="16384" width="9.140625" style="33"/>
  </cols>
  <sheetData>
    <row r="1" spans="1:34" x14ac:dyDescent="0.25">
      <c r="A1" s="54" t="s">
        <v>174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181</v>
      </c>
      <c r="D2" t="s">
        <v>184</v>
      </c>
      <c r="E2" t="s">
        <v>186</v>
      </c>
      <c r="F2" t="s">
        <v>189</v>
      </c>
      <c r="G2" t="s">
        <v>190</v>
      </c>
      <c r="H2" t="s">
        <v>191</v>
      </c>
      <c r="I2" t="s">
        <v>194</v>
      </c>
      <c r="J2" t="s">
        <v>195</v>
      </c>
      <c r="K2" t="s">
        <v>207</v>
      </c>
      <c r="L2" t="s">
        <v>209</v>
      </c>
      <c r="M2" t="s">
        <v>211</v>
      </c>
      <c r="N2" t="s">
        <v>224</v>
      </c>
      <c r="O2" t="s">
        <v>225</v>
      </c>
      <c r="P2" t="s">
        <v>165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119</v>
      </c>
      <c r="B3" s="56"/>
      <c r="C3" s="56"/>
      <c r="D3" s="56">
        <v>11</v>
      </c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>
        <v>11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116</v>
      </c>
      <c r="B4" s="56"/>
      <c r="C4" s="56"/>
      <c r="D4" s="56">
        <v>11</v>
      </c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>
        <v>11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55" t="s">
        <v>123</v>
      </c>
      <c r="B5" s="56"/>
      <c r="C5" s="56"/>
      <c r="D5" s="56"/>
      <c r="E5" s="56"/>
      <c r="F5" s="56"/>
      <c r="G5" s="56"/>
      <c r="H5" s="56"/>
      <c r="I5" s="56"/>
      <c r="J5" s="56">
        <v>6</v>
      </c>
      <c r="K5" s="56"/>
      <c r="L5" s="56"/>
      <c r="M5" s="56"/>
      <c r="N5" s="56"/>
      <c r="O5" s="56"/>
      <c r="P5" s="56">
        <v>6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7" t="s">
        <v>113</v>
      </c>
      <c r="B6" s="56"/>
      <c r="C6" s="56"/>
      <c r="D6" s="56"/>
      <c r="E6" s="56"/>
      <c r="F6" s="56"/>
      <c r="G6" s="56"/>
      <c r="H6" s="56"/>
      <c r="I6" s="56"/>
      <c r="J6" s="56">
        <v>2</v>
      </c>
      <c r="K6" s="56"/>
      <c r="L6" s="56"/>
      <c r="M6" s="56"/>
      <c r="N6" s="56"/>
      <c r="O6" s="56"/>
      <c r="P6" s="56">
        <v>2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7" t="s">
        <v>114</v>
      </c>
      <c r="B7" s="56"/>
      <c r="C7" s="56"/>
      <c r="D7" s="56"/>
      <c r="E7" s="56"/>
      <c r="F7" s="56"/>
      <c r="G7" s="56"/>
      <c r="H7" s="56"/>
      <c r="I7" s="56"/>
      <c r="J7" s="56">
        <v>4</v>
      </c>
      <c r="K7" s="56"/>
      <c r="L7" s="56"/>
      <c r="M7" s="56"/>
      <c r="N7" s="56"/>
      <c r="O7" s="56"/>
      <c r="P7" s="56">
        <v>4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55" t="s">
        <v>124</v>
      </c>
      <c r="B8" s="56"/>
      <c r="C8" s="56"/>
      <c r="D8" s="56"/>
      <c r="E8" s="56">
        <v>1</v>
      </c>
      <c r="F8" s="56"/>
      <c r="G8" s="56"/>
      <c r="H8" s="56"/>
      <c r="I8" s="56">
        <v>12</v>
      </c>
      <c r="J8" s="56"/>
      <c r="K8" s="56"/>
      <c r="L8" s="56"/>
      <c r="M8" s="56"/>
      <c r="N8" s="56"/>
      <c r="O8" s="56"/>
      <c r="P8" s="56">
        <v>13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57" t="s">
        <v>114</v>
      </c>
      <c r="B9" s="56"/>
      <c r="C9" s="56"/>
      <c r="D9" s="56"/>
      <c r="E9" s="56">
        <v>1</v>
      </c>
      <c r="F9" s="56"/>
      <c r="G9" s="56"/>
      <c r="H9" s="56"/>
      <c r="I9" s="56"/>
      <c r="J9" s="56"/>
      <c r="K9" s="56"/>
      <c r="L9" s="56"/>
      <c r="M9" s="56"/>
      <c r="N9" s="56"/>
      <c r="O9" s="56"/>
      <c r="P9" s="56">
        <v>1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57" t="s">
        <v>116</v>
      </c>
      <c r="B10" s="56"/>
      <c r="C10" s="56"/>
      <c r="D10" s="56"/>
      <c r="E10" s="56"/>
      <c r="F10" s="56"/>
      <c r="G10" s="56"/>
      <c r="H10" s="56"/>
      <c r="I10" s="56">
        <v>12</v>
      </c>
      <c r="J10" s="56"/>
      <c r="K10" s="56"/>
      <c r="L10" s="56"/>
      <c r="M10" s="56"/>
      <c r="N10" s="56"/>
      <c r="O10" s="56"/>
      <c r="P10" s="56">
        <v>12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55" t="s">
        <v>125</v>
      </c>
      <c r="B11" s="56"/>
      <c r="C11" s="56"/>
      <c r="D11" s="56"/>
      <c r="E11" s="56"/>
      <c r="F11" s="56"/>
      <c r="G11" s="56"/>
      <c r="H11" s="56"/>
      <c r="I11" s="56"/>
      <c r="J11" s="56"/>
      <c r="K11" s="56">
        <v>19</v>
      </c>
      <c r="L11" s="56"/>
      <c r="M11" s="56"/>
      <c r="N11" s="56"/>
      <c r="O11" s="56"/>
      <c r="P11" s="56">
        <v>19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57" t="s">
        <v>115</v>
      </c>
      <c r="B12" s="56"/>
      <c r="C12" s="56"/>
      <c r="D12" s="56"/>
      <c r="E12" s="56"/>
      <c r="F12" s="56"/>
      <c r="G12" s="56"/>
      <c r="H12" s="56"/>
      <c r="I12" s="56"/>
      <c r="J12" s="56"/>
      <c r="K12" s="56">
        <v>4</v>
      </c>
      <c r="L12" s="56"/>
      <c r="M12" s="56"/>
      <c r="N12" s="56"/>
      <c r="O12" s="56"/>
      <c r="P12" s="56">
        <v>4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7" t="s">
        <v>113</v>
      </c>
      <c r="B13" s="56"/>
      <c r="C13" s="56"/>
      <c r="D13" s="56"/>
      <c r="E13" s="56"/>
      <c r="F13" s="56"/>
      <c r="G13" s="56"/>
      <c r="H13" s="56"/>
      <c r="I13" s="56"/>
      <c r="J13" s="56"/>
      <c r="K13" s="56">
        <v>15</v>
      </c>
      <c r="L13" s="56"/>
      <c r="M13" s="56"/>
      <c r="N13" s="56"/>
      <c r="O13" s="56"/>
      <c r="P13" s="56">
        <v>15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5" t="s">
        <v>128</v>
      </c>
      <c r="B14" s="56"/>
      <c r="C14" s="56"/>
      <c r="D14" s="56"/>
      <c r="E14" s="56">
        <v>1</v>
      </c>
      <c r="F14" s="56"/>
      <c r="G14" s="56"/>
      <c r="H14" s="56"/>
      <c r="I14" s="56"/>
      <c r="J14" s="56">
        <v>10</v>
      </c>
      <c r="K14" s="56"/>
      <c r="L14" s="56"/>
      <c r="M14" s="56"/>
      <c r="N14" s="56"/>
      <c r="O14" s="56"/>
      <c r="P14" s="56">
        <v>11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57" t="s">
        <v>114</v>
      </c>
      <c r="B15" s="56"/>
      <c r="C15" s="56"/>
      <c r="D15" s="56"/>
      <c r="E15" s="56">
        <v>1</v>
      </c>
      <c r="F15" s="56"/>
      <c r="G15" s="56"/>
      <c r="H15" s="56"/>
      <c r="I15" s="56"/>
      <c r="J15" s="56">
        <v>5</v>
      </c>
      <c r="K15" s="56"/>
      <c r="L15" s="56"/>
      <c r="M15" s="56"/>
      <c r="N15" s="56"/>
      <c r="O15" s="56"/>
      <c r="P15" s="56">
        <v>6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57" t="s">
        <v>112</v>
      </c>
      <c r="B16" s="56"/>
      <c r="C16" s="56"/>
      <c r="D16" s="56"/>
      <c r="E16" s="56"/>
      <c r="F16" s="56"/>
      <c r="G16" s="56"/>
      <c r="H16" s="56"/>
      <c r="I16" s="56"/>
      <c r="J16" s="56">
        <v>5</v>
      </c>
      <c r="K16" s="56"/>
      <c r="L16" s="56"/>
      <c r="M16" s="56"/>
      <c r="N16" s="56"/>
      <c r="O16" s="56"/>
      <c r="P16" s="56">
        <v>5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55" t="s">
        <v>148</v>
      </c>
      <c r="B17" s="56"/>
      <c r="C17" s="56"/>
      <c r="D17" s="56"/>
      <c r="E17" s="56"/>
      <c r="F17" s="56"/>
      <c r="G17" s="56"/>
      <c r="H17" s="56">
        <v>5</v>
      </c>
      <c r="I17" s="56"/>
      <c r="J17" s="56"/>
      <c r="K17" s="56"/>
      <c r="L17" s="56"/>
      <c r="M17" s="56"/>
      <c r="N17" s="56"/>
      <c r="O17" s="56"/>
      <c r="P17" s="56">
        <v>5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57" t="s">
        <v>114</v>
      </c>
      <c r="B18" s="56"/>
      <c r="C18" s="56"/>
      <c r="D18" s="56"/>
      <c r="E18" s="56"/>
      <c r="F18" s="56"/>
      <c r="G18" s="56"/>
      <c r="H18" s="56">
        <v>4</v>
      </c>
      <c r="I18" s="56"/>
      <c r="J18" s="56"/>
      <c r="K18" s="56"/>
      <c r="L18" s="56"/>
      <c r="M18" s="56"/>
      <c r="N18" s="56"/>
      <c r="O18" s="56"/>
      <c r="P18" s="56">
        <v>4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57" t="s">
        <v>112</v>
      </c>
      <c r="B19" s="56"/>
      <c r="C19" s="56"/>
      <c r="D19" s="56"/>
      <c r="E19" s="56"/>
      <c r="F19" s="56"/>
      <c r="G19" s="56"/>
      <c r="H19" s="56">
        <v>1</v>
      </c>
      <c r="I19" s="56"/>
      <c r="J19" s="56"/>
      <c r="K19" s="56"/>
      <c r="L19" s="56"/>
      <c r="M19" s="56"/>
      <c r="N19" s="56"/>
      <c r="O19" s="56"/>
      <c r="P19" s="56">
        <v>1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55" t="s">
        <v>132</v>
      </c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>
        <v>15</v>
      </c>
      <c r="M20" s="56"/>
      <c r="N20" s="56"/>
      <c r="O20" s="56"/>
      <c r="P20" s="56">
        <v>15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57" t="s">
        <v>113</v>
      </c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>
        <v>1</v>
      </c>
      <c r="M21" s="56"/>
      <c r="N21" s="56"/>
      <c r="O21" s="56"/>
      <c r="P21" s="56">
        <v>1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57" t="s">
        <v>114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>
        <v>12</v>
      </c>
      <c r="M22" s="56"/>
      <c r="N22" s="56"/>
      <c r="O22" s="56"/>
      <c r="P22" s="56">
        <v>12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 s="57" t="s">
        <v>116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>
        <v>2</v>
      </c>
      <c r="M23" s="56"/>
      <c r="N23" s="56"/>
      <c r="O23" s="56"/>
      <c r="P23" s="56">
        <v>2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 s="55" t="s">
        <v>247</v>
      </c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>
        <v>12</v>
      </c>
      <c r="P24" s="56">
        <v>12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 s="57" t="s">
        <v>114</v>
      </c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>
        <v>11</v>
      </c>
      <c r="P25" s="56">
        <v>11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 s="57" t="s">
        <v>112</v>
      </c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>
        <v>1</v>
      </c>
      <c r="P26" s="56">
        <v>1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 s="55" t="s">
        <v>252</v>
      </c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>
        <v>11</v>
      </c>
      <c r="O27" s="56"/>
      <c r="P27" s="56">
        <v>11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 s="57" t="s">
        <v>112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>
        <v>11</v>
      </c>
      <c r="O28" s="56"/>
      <c r="P28" s="56">
        <v>11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 s="55" t="s">
        <v>258</v>
      </c>
      <c r="B29" s="56"/>
      <c r="C29" s="56"/>
      <c r="D29" s="56"/>
      <c r="E29" s="56"/>
      <c r="F29" s="56"/>
      <c r="G29" s="56"/>
      <c r="H29" s="56"/>
      <c r="I29" s="56">
        <v>15</v>
      </c>
      <c r="J29" s="56"/>
      <c r="K29" s="56"/>
      <c r="L29" s="56"/>
      <c r="M29" s="56"/>
      <c r="N29" s="56"/>
      <c r="O29" s="56"/>
      <c r="P29" s="56">
        <v>15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 s="57" t="s">
        <v>113</v>
      </c>
      <c r="B30" s="56"/>
      <c r="C30" s="56"/>
      <c r="D30" s="56"/>
      <c r="E30" s="56"/>
      <c r="F30" s="56"/>
      <c r="G30" s="56"/>
      <c r="H30" s="56"/>
      <c r="I30" s="56">
        <v>15</v>
      </c>
      <c r="J30" s="56"/>
      <c r="K30" s="56"/>
      <c r="L30" s="56"/>
      <c r="M30" s="56"/>
      <c r="N30" s="56"/>
      <c r="O30" s="56"/>
      <c r="P30" s="56">
        <v>15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 s="55" t="s">
        <v>249</v>
      </c>
      <c r="B31" s="56"/>
      <c r="C31" s="56"/>
      <c r="D31" s="56"/>
      <c r="E31" s="56"/>
      <c r="F31" s="56"/>
      <c r="G31" s="56"/>
      <c r="H31" s="56">
        <v>6</v>
      </c>
      <c r="I31" s="56"/>
      <c r="J31" s="56"/>
      <c r="K31" s="56"/>
      <c r="L31" s="56"/>
      <c r="M31" s="56"/>
      <c r="N31" s="56"/>
      <c r="O31" s="56"/>
      <c r="P31" s="56">
        <v>6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 s="57" t="s">
        <v>112</v>
      </c>
      <c r="B32" s="56"/>
      <c r="C32" s="56"/>
      <c r="D32" s="56"/>
      <c r="E32" s="56"/>
      <c r="F32" s="56"/>
      <c r="G32" s="56"/>
      <c r="H32" s="56">
        <v>6</v>
      </c>
      <c r="I32" s="56"/>
      <c r="J32" s="56"/>
      <c r="K32" s="56"/>
      <c r="L32" s="56"/>
      <c r="M32" s="56"/>
      <c r="N32" s="56"/>
      <c r="O32" s="56"/>
      <c r="P32" s="56">
        <v>6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 s="55" t="s">
        <v>134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>
        <v>20</v>
      </c>
      <c r="M33" s="56"/>
      <c r="N33" s="56"/>
      <c r="O33" s="56"/>
      <c r="P33" s="56">
        <v>20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 s="57" t="s">
        <v>116</v>
      </c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>
        <v>20</v>
      </c>
      <c r="M34" s="56"/>
      <c r="N34" s="56"/>
      <c r="O34" s="56"/>
      <c r="P34" s="56">
        <v>20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 s="55" t="s">
        <v>254</v>
      </c>
      <c r="B35" s="56"/>
      <c r="C35" s="56"/>
      <c r="D35" s="56"/>
      <c r="E35" s="56"/>
      <c r="F35" s="56"/>
      <c r="G35" s="56">
        <v>30</v>
      </c>
      <c r="H35" s="56"/>
      <c r="I35" s="56"/>
      <c r="J35" s="56"/>
      <c r="K35" s="56">
        <v>15</v>
      </c>
      <c r="L35" s="56"/>
      <c r="M35" s="56"/>
      <c r="N35" s="56"/>
      <c r="O35" s="56"/>
      <c r="P35" s="56">
        <v>45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 s="57" t="s">
        <v>113</v>
      </c>
      <c r="B36" s="56"/>
      <c r="C36" s="56"/>
      <c r="D36" s="56"/>
      <c r="E36" s="56"/>
      <c r="F36" s="56"/>
      <c r="G36" s="56"/>
      <c r="H36" s="56"/>
      <c r="I36" s="56"/>
      <c r="J36" s="56"/>
      <c r="K36" s="56">
        <v>4</v>
      </c>
      <c r="L36" s="56"/>
      <c r="M36" s="56"/>
      <c r="N36" s="56"/>
      <c r="O36" s="56"/>
      <c r="P36" s="56">
        <v>4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 s="57" t="s">
        <v>114</v>
      </c>
      <c r="B37" s="56"/>
      <c r="C37" s="56"/>
      <c r="D37" s="56"/>
      <c r="E37" s="56"/>
      <c r="F37" s="56"/>
      <c r="G37" s="56"/>
      <c r="H37" s="56"/>
      <c r="I37" s="56"/>
      <c r="J37" s="56"/>
      <c r="K37" s="56">
        <v>11</v>
      </c>
      <c r="L37" s="56"/>
      <c r="M37" s="56"/>
      <c r="N37" s="56"/>
      <c r="O37" s="56"/>
      <c r="P37" s="56">
        <v>11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 s="57" t="s">
        <v>116</v>
      </c>
      <c r="B38" s="56"/>
      <c r="C38" s="56"/>
      <c r="D38" s="56"/>
      <c r="E38" s="56"/>
      <c r="F38" s="56"/>
      <c r="G38" s="56">
        <v>15</v>
      </c>
      <c r="H38" s="56"/>
      <c r="I38" s="56"/>
      <c r="J38" s="56"/>
      <c r="K38" s="56"/>
      <c r="L38" s="56"/>
      <c r="M38" s="56"/>
      <c r="N38" s="56"/>
      <c r="O38" s="56"/>
      <c r="P38" s="56">
        <v>15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 s="57" t="s">
        <v>112</v>
      </c>
      <c r="B39" s="56"/>
      <c r="C39" s="56"/>
      <c r="D39" s="56"/>
      <c r="E39" s="56"/>
      <c r="F39" s="56"/>
      <c r="G39" s="56">
        <v>15</v>
      </c>
      <c r="H39" s="56"/>
      <c r="I39" s="56"/>
      <c r="J39" s="56"/>
      <c r="K39" s="56"/>
      <c r="L39" s="56"/>
      <c r="M39" s="56"/>
      <c r="N39" s="56"/>
      <c r="O39" s="56"/>
      <c r="P39" s="56">
        <v>15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 s="55" t="s">
        <v>255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>
        <v>3</v>
      </c>
      <c r="P40" s="56">
        <v>3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 s="57" t="s">
        <v>113</v>
      </c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>
        <v>3</v>
      </c>
      <c r="P41" s="56">
        <v>3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 s="55" t="s">
        <v>265</v>
      </c>
      <c r="B42" s="56"/>
      <c r="C42" s="56">
        <v>1</v>
      </c>
      <c r="D42" s="56"/>
      <c r="E42" s="56"/>
      <c r="F42" s="56"/>
      <c r="G42" s="56"/>
      <c r="H42" s="56"/>
      <c r="I42" s="56"/>
      <c r="J42" s="56"/>
      <c r="K42" s="56">
        <v>14</v>
      </c>
      <c r="L42" s="56"/>
      <c r="M42" s="56"/>
      <c r="N42" s="56"/>
      <c r="O42" s="56"/>
      <c r="P42" s="56">
        <v>15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 s="57" t="s">
        <v>113</v>
      </c>
      <c r="B43" s="56"/>
      <c r="C43" s="56">
        <v>1</v>
      </c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>
        <v>1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 s="57" t="s">
        <v>116</v>
      </c>
      <c r="B44" s="56"/>
      <c r="C44" s="56"/>
      <c r="D44" s="56"/>
      <c r="E44" s="56"/>
      <c r="F44" s="56"/>
      <c r="G44" s="56"/>
      <c r="H44" s="56"/>
      <c r="I44" s="56"/>
      <c r="J44" s="56"/>
      <c r="K44" s="56">
        <v>14</v>
      </c>
      <c r="L44" s="56"/>
      <c r="M44" s="56"/>
      <c r="N44" s="56"/>
      <c r="O44" s="56"/>
      <c r="P44" s="56">
        <v>14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 s="55" t="s">
        <v>20</v>
      </c>
      <c r="B45" s="56"/>
      <c r="C45" s="56">
        <v>4</v>
      </c>
      <c r="D45" s="56"/>
      <c r="E45" s="56"/>
      <c r="F45" s="56">
        <v>22</v>
      </c>
      <c r="G45" s="56"/>
      <c r="H45" s="56"/>
      <c r="I45" s="56"/>
      <c r="J45" s="56"/>
      <c r="K45" s="56"/>
      <c r="L45" s="56"/>
      <c r="M45" s="56"/>
      <c r="N45" s="56"/>
      <c r="O45" s="56"/>
      <c r="P45" s="56">
        <v>26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 s="57" t="s">
        <v>115</v>
      </c>
      <c r="B46" s="56"/>
      <c r="C46" s="56"/>
      <c r="D46" s="56"/>
      <c r="E46" s="56"/>
      <c r="F46" s="56">
        <v>3</v>
      </c>
      <c r="G46" s="56"/>
      <c r="H46" s="56"/>
      <c r="I46" s="56"/>
      <c r="J46" s="56"/>
      <c r="K46" s="56"/>
      <c r="L46" s="56"/>
      <c r="M46" s="56"/>
      <c r="N46" s="56"/>
      <c r="O46" s="56"/>
      <c r="P46" s="56">
        <v>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 s="57" t="s">
        <v>113</v>
      </c>
      <c r="B47" s="56"/>
      <c r="C47" s="56">
        <v>2</v>
      </c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>
        <v>2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 s="57" t="s">
        <v>114</v>
      </c>
      <c r="B48" s="56"/>
      <c r="C48" s="56">
        <v>2</v>
      </c>
      <c r="D48" s="56"/>
      <c r="E48" s="56"/>
      <c r="F48" s="56">
        <v>15</v>
      </c>
      <c r="G48" s="56"/>
      <c r="H48" s="56"/>
      <c r="I48" s="56"/>
      <c r="J48" s="56"/>
      <c r="K48" s="56"/>
      <c r="L48" s="56"/>
      <c r="M48" s="56"/>
      <c r="N48" s="56"/>
      <c r="O48" s="56"/>
      <c r="P48" s="56">
        <v>17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 s="57" t="s">
        <v>116</v>
      </c>
      <c r="B49" s="56"/>
      <c r="C49" s="56"/>
      <c r="D49" s="56"/>
      <c r="E49" s="56"/>
      <c r="F49" s="56">
        <v>4</v>
      </c>
      <c r="G49" s="56"/>
      <c r="H49" s="56"/>
      <c r="I49" s="56"/>
      <c r="J49" s="56"/>
      <c r="K49" s="56"/>
      <c r="L49" s="56"/>
      <c r="M49" s="56"/>
      <c r="N49" s="56"/>
      <c r="O49" s="56"/>
      <c r="P49" s="56">
        <v>4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 s="55" t="s">
        <v>248</v>
      </c>
      <c r="B50" s="56">
        <v>6</v>
      </c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>
        <v>6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 s="57" t="s">
        <v>114</v>
      </c>
      <c r="B51" s="56">
        <v>6</v>
      </c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>
        <v>6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 s="55" t="s">
        <v>239</v>
      </c>
      <c r="B52" s="56"/>
      <c r="C52" s="56"/>
      <c r="D52" s="56"/>
      <c r="E52" s="56"/>
      <c r="F52" s="56"/>
      <c r="G52" s="56"/>
      <c r="H52" s="56">
        <v>9</v>
      </c>
      <c r="I52" s="56"/>
      <c r="J52" s="56"/>
      <c r="K52" s="56"/>
      <c r="L52" s="56"/>
      <c r="M52" s="56"/>
      <c r="N52" s="56"/>
      <c r="O52" s="56"/>
      <c r="P52" s="56">
        <v>9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 s="57" t="s">
        <v>113</v>
      </c>
      <c r="B53" s="56"/>
      <c r="C53" s="56"/>
      <c r="D53" s="56"/>
      <c r="E53" s="56"/>
      <c r="F53" s="56"/>
      <c r="G53" s="56"/>
      <c r="H53" s="56">
        <v>1</v>
      </c>
      <c r="I53" s="56"/>
      <c r="J53" s="56"/>
      <c r="K53" s="56"/>
      <c r="L53" s="56"/>
      <c r="M53" s="56"/>
      <c r="N53" s="56"/>
      <c r="O53" s="56"/>
      <c r="P53" s="56">
        <v>1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 s="57" t="s">
        <v>114</v>
      </c>
      <c r="B54" s="56"/>
      <c r="C54" s="56"/>
      <c r="D54" s="56"/>
      <c r="E54" s="56"/>
      <c r="F54" s="56"/>
      <c r="G54" s="56"/>
      <c r="H54" s="56">
        <v>8</v>
      </c>
      <c r="I54" s="56"/>
      <c r="J54" s="56"/>
      <c r="K54" s="56"/>
      <c r="L54" s="56"/>
      <c r="M54" s="56"/>
      <c r="N54" s="56"/>
      <c r="O54" s="56"/>
      <c r="P54" s="56">
        <v>8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 s="55" t="s">
        <v>243</v>
      </c>
      <c r="B55" s="56"/>
      <c r="C55" s="56"/>
      <c r="D55" s="56"/>
      <c r="E55" s="56">
        <v>1</v>
      </c>
      <c r="F55" s="56"/>
      <c r="G55" s="56"/>
      <c r="H55" s="56"/>
      <c r="I55" s="56"/>
      <c r="J55" s="56"/>
      <c r="K55" s="56"/>
      <c r="L55" s="56">
        <v>5</v>
      </c>
      <c r="M55" s="56"/>
      <c r="N55" s="56"/>
      <c r="O55" s="56"/>
      <c r="P55" s="56">
        <v>6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</row>
    <row r="56" spans="1:34" x14ac:dyDescent="0.25">
      <c r="A56" s="57" t="s">
        <v>113</v>
      </c>
      <c r="B56" s="56"/>
      <c r="C56" s="56"/>
      <c r="D56" s="56"/>
      <c r="E56" s="56">
        <v>1</v>
      </c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>
        <v>1</v>
      </c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</row>
    <row r="57" spans="1:34" x14ac:dyDescent="0.25">
      <c r="A57" s="57" t="s">
        <v>114</v>
      </c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>
        <v>5</v>
      </c>
      <c r="M57" s="56"/>
      <c r="N57" s="56"/>
      <c r="O57" s="56"/>
      <c r="P57" s="56">
        <v>5</v>
      </c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 s="55" t="s">
        <v>320</v>
      </c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>
        <v>80</v>
      </c>
      <c r="N58" s="56"/>
      <c r="O58" s="56"/>
      <c r="P58" s="56">
        <v>80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 s="57" t="s">
        <v>112</v>
      </c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>
        <v>80</v>
      </c>
      <c r="N59" s="56"/>
      <c r="O59" s="56"/>
      <c r="P59" s="56">
        <v>80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A60" s="55" t="s">
        <v>165</v>
      </c>
      <c r="B60" s="56">
        <v>6</v>
      </c>
      <c r="C60" s="56">
        <v>5</v>
      </c>
      <c r="D60" s="56">
        <v>11</v>
      </c>
      <c r="E60" s="56">
        <v>3</v>
      </c>
      <c r="F60" s="56">
        <v>22</v>
      </c>
      <c r="G60" s="56">
        <v>30</v>
      </c>
      <c r="H60" s="56">
        <v>20</v>
      </c>
      <c r="I60" s="56">
        <v>27</v>
      </c>
      <c r="J60" s="56">
        <v>16</v>
      </c>
      <c r="K60" s="56">
        <v>48</v>
      </c>
      <c r="L60" s="56">
        <v>40</v>
      </c>
      <c r="M60" s="56">
        <v>80</v>
      </c>
      <c r="N60" s="56">
        <v>11</v>
      </c>
      <c r="O60" s="56">
        <v>15</v>
      </c>
      <c r="P60" s="56">
        <v>334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</row>
    <row r="63" spans="1:34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</row>
    <row r="65" spans="1:34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</row>
    <row r="66" spans="1:34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</row>
    <row r="67" spans="1:34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</row>
    <row r="68" spans="1:34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</row>
    <row r="69" spans="1:34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</row>
    <row r="70" spans="1:34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</row>
    <row r="71" spans="1:34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</row>
    <row r="72" spans="1:34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</row>
    <row r="73" spans="1:34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</row>
    <row r="74" spans="1:34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</row>
    <row r="75" spans="1:34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</row>
    <row r="76" spans="1:34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</row>
    <row r="77" spans="1:34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</row>
    <row r="78" spans="1:34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</row>
    <row r="79" spans="1:34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</row>
    <row r="80" spans="1:34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</row>
    <row r="81" spans="1:34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</row>
    <row r="82" spans="1:34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</row>
    <row r="83" spans="1:34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</row>
    <row r="84" spans="1:34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</row>
    <row r="85" spans="1:34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</row>
    <row r="86" spans="1:34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</row>
    <row r="87" spans="1:34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  <row r="88" spans="1:34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</row>
    <row r="89" spans="1:34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</row>
    <row r="90" spans="1:34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:34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:34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:34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:34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r="101" spans="1:34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</row>
    <row r="102" spans="1:34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</row>
    <row r="103" spans="1:34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</row>
    <row r="104" spans="1:34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</row>
    <row r="105" spans="1:34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</row>
    <row r="106" spans="1:34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</row>
    <row r="107" spans="1:34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</row>
    <row r="108" spans="1:34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</row>
    <row r="109" spans="1:34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 spans="1:34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</row>
    <row r="111" spans="1:34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</row>
    <row r="112" spans="1:34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</row>
    <row r="113" spans="1:34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</row>
    <row r="114" spans="1:34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</row>
    <row r="115" spans="1:34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</row>
    <row r="116" spans="1:34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</row>
    <row r="117" spans="1:34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</row>
    <row r="118" spans="1:34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</row>
    <row r="119" spans="1:34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</row>
    <row r="120" spans="1:34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</row>
    <row r="121" spans="1:34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</row>
    <row r="122" spans="1:34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</row>
    <row r="123" spans="1:34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</row>
    <row r="124" spans="1:34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</row>
    <row r="125" spans="1:34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</row>
    <row r="126" spans="1:34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</row>
    <row r="127" spans="1:34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</row>
    <row r="128" spans="1:34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</row>
    <row r="129" spans="1:34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</row>
    <row r="130" spans="1:34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</row>
    <row r="131" spans="1:34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</row>
    <row r="132" spans="1:34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</row>
    <row r="133" spans="1:34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</row>
    <row r="134" spans="1:34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</row>
    <row r="135" spans="1:34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</row>
    <row r="136" spans="1:34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</row>
    <row r="137" spans="1:34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</row>
    <row r="138" spans="1:34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</row>
    <row r="139" spans="1:34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</row>
    <row r="140" spans="1:34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</row>
    <row r="141" spans="1:34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</row>
    <row r="142" spans="1:34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</row>
    <row r="143" spans="1:34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</row>
    <row r="144" spans="1:34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</row>
    <row r="145" spans="1:34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</row>
    <row r="146" spans="1:34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</row>
    <row r="147" spans="1:34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</row>
    <row r="148" spans="1:34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</row>
    <row r="149" spans="1:34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</row>
    <row r="150" spans="1:34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</row>
    <row r="151" spans="1:34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</row>
    <row r="152" spans="1:34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</row>
    <row r="153" spans="1:34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</row>
    <row r="154" spans="1:34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</row>
    <row r="155" spans="1:34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</row>
    <row r="156" spans="1:34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</row>
    <row r="157" spans="1:34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</row>
    <row r="158" spans="1:34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 spans="1:34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</row>
    <row r="160" spans="1:34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</row>
    <row r="161" spans="1:34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</row>
    <row r="162" spans="1:34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</row>
    <row r="163" spans="1:34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</row>
    <row r="164" spans="1:34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</row>
    <row r="165" spans="1:34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</row>
    <row r="166" spans="1:34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</row>
    <row r="167" spans="1:34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</row>
    <row r="168" spans="1:34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</row>
    <row r="169" spans="1:34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</row>
    <row r="170" spans="1:34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</row>
    <row r="171" spans="1:34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</row>
    <row r="172" spans="1:34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</row>
    <row r="173" spans="1:34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</row>
    <row r="174" spans="1:34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</row>
    <row r="175" spans="1:34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</row>
    <row r="176" spans="1:34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</row>
    <row r="177" spans="1:34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</row>
    <row r="178" spans="1:34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</row>
    <row r="179" spans="1:34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</row>
    <row r="180" spans="1:34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</row>
    <row r="181" spans="1:34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</row>
    <row r="182" spans="1:34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</row>
    <row r="183" spans="1:34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</row>
    <row r="184" spans="1:34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</row>
    <row r="185" spans="1:34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</row>
    <row r="186" spans="1:34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</row>
    <row r="187" spans="1:34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</row>
    <row r="188" spans="1:34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</row>
    <row r="189" spans="1:34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</row>
    <row r="190" spans="1:34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</row>
    <row r="191" spans="1:34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</row>
    <row r="192" spans="1:34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</row>
    <row r="193" spans="1:34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</row>
    <row r="194" spans="1:34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</row>
    <row r="195" spans="1:34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</row>
    <row r="196" spans="1:34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</row>
    <row r="197" spans="1:34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</row>
    <row r="198" spans="1:34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</row>
    <row r="199" spans="1:34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</row>
    <row r="200" spans="1:34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</row>
    <row r="201" spans="1:34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</row>
    <row r="202" spans="1:34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</row>
    <row r="203" spans="1:34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</row>
    <row r="204" spans="1:34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</row>
    <row r="205" spans="1:34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</row>
    <row r="206" spans="1:34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</row>
    <row r="207" spans="1:34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</row>
    <row r="208" spans="1:34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</row>
    <row r="209" spans="1:34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</row>
    <row r="210" spans="1:34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</row>
    <row r="211" spans="1:34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</row>
    <row r="212" spans="1:34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</row>
    <row r="213" spans="1:34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</row>
    <row r="214" spans="1:34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</row>
    <row r="215" spans="1:34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</row>
    <row r="216" spans="1:34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</row>
    <row r="217" spans="1:34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</row>
    <row r="218" spans="1:34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</row>
    <row r="219" spans="1:34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</row>
    <row r="220" spans="1:34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</row>
    <row r="221" spans="1:34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</row>
    <row r="222" spans="1:34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</row>
    <row r="223" spans="1:34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</row>
    <row r="224" spans="1:34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</row>
    <row r="225" spans="1:34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</row>
    <row r="226" spans="1:34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</row>
    <row r="227" spans="1:34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</row>
    <row r="228" spans="1:34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</row>
    <row r="229" spans="1:34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</row>
    <row r="230" spans="1:34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</row>
    <row r="231" spans="1:34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</row>
    <row r="232" spans="1:34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</row>
    <row r="233" spans="1:34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</row>
    <row r="234" spans="1:34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</row>
    <row r="235" spans="1:34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</row>
    <row r="236" spans="1:34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</row>
    <row r="237" spans="1:34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</row>
    <row r="238" spans="1:34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</row>
    <row r="239" spans="1:34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</row>
    <row r="240" spans="1:34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</row>
    <row r="241" spans="1:34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</row>
    <row r="242" spans="1:34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</row>
    <row r="243" spans="1:34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</row>
    <row r="244" spans="1:34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</row>
    <row r="245" spans="1:34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</row>
    <row r="246" spans="1:34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</row>
    <row r="247" spans="1:34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</row>
    <row r="248" spans="1:34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</row>
    <row r="249" spans="1:34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</row>
    <row r="250" spans="1:34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</row>
    <row r="251" spans="1:34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</row>
    <row r="252" spans="1:34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</row>
    <row r="253" spans="1:34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</row>
    <row r="254" spans="1:34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</row>
    <row r="255" spans="1:34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</row>
    <row r="256" spans="1:34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</row>
    <row r="257" spans="1:34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</row>
    <row r="258" spans="1:34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</row>
    <row r="259" spans="1:34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</row>
    <row r="260" spans="1:34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</row>
    <row r="261" spans="1:34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</row>
    <row r="262" spans="1:34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</row>
    <row r="263" spans="1:34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</row>
    <row r="264" spans="1:34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</row>
    <row r="265" spans="1:34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</row>
    <row r="266" spans="1:34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</row>
    <row r="267" spans="1:34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</row>
    <row r="268" spans="1:34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</row>
    <row r="269" spans="1:34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</row>
    <row r="270" spans="1:34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</row>
    <row r="271" spans="1:34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</row>
    <row r="272" spans="1:34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</row>
    <row r="273" spans="1:34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</row>
    <row r="274" spans="1:34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</row>
    <row r="275" spans="1:34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</row>
    <row r="276" spans="1:34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</row>
    <row r="277" spans="1:34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</row>
    <row r="278" spans="1:34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</row>
    <row r="279" spans="1:34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</row>
    <row r="280" spans="1:34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</row>
    <row r="281" spans="1:34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</row>
    <row r="282" spans="1:34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</row>
    <row r="283" spans="1:34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</row>
    <row r="284" spans="1:34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</row>
    <row r="285" spans="1:34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</row>
    <row r="286" spans="1:34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</row>
    <row r="287" spans="1:34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</row>
    <row r="288" spans="1:34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</row>
    <row r="289" spans="1:34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</row>
    <row r="290" spans="1:34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</row>
    <row r="291" spans="1:34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</row>
    <row r="292" spans="1:34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</row>
    <row r="293" spans="1:3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</row>
    <row r="294" spans="1:34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</row>
    <row r="295" spans="1:34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</row>
    <row r="296" spans="1:34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</row>
    <row r="297" spans="1:34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</row>
    <row r="298" spans="1:34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</row>
    <row r="299" spans="1:34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</row>
    <row r="300" spans="1:34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</row>
    <row r="301" spans="1:34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</row>
    <row r="302" spans="1:34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</row>
    <row r="303" spans="1:34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</row>
    <row r="304" spans="1:34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</row>
    <row r="305" spans="1:34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</row>
    <row r="306" spans="1:34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</row>
    <row r="307" spans="1:34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</row>
    <row r="308" spans="1:34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</row>
    <row r="309" spans="1:34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</row>
    <row r="310" spans="1:34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</row>
    <row r="311" spans="1:34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</row>
    <row r="312" spans="1:34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</row>
    <row r="313" spans="1:34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</row>
    <row r="314" spans="1:34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</row>
    <row r="315" spans="1:34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</row>
    <row r="316" spans="1:34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</row>
    <row r="317" spans="1:34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</row>
    <row r="318" spans="1:34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</row>
    <row r="319" spans="1:34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</row>
    <row r="320" spans="1:34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</row>
    <row r="321" spans="1:34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</row>
    <row r="322" spans="1:34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</row>
    <row r="323" spans="1:34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</row>
    <row r="324" spans="1:34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</row>
    <row r="325" spans="1:34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</row>
    <row r="326" spans="1:34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</row>
    <row r="327" spans="1:34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</row>
    <row r="328" spans="1:34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</row>
    <row r="329" spans="1:34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</row>
    <row r="330" spans="1:34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</row>
    <row r="331" spans="1:34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</row>
    <row r="332" spans="1:34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</row>
    <row r="333" spans="1:34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</row>
    <row r="334" spans="1:34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</row>
    <row r="335" spans="1:34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</row>
    <row r="336" spans="1:34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</row>
    <row r="337" spans="1:34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</row>
    <row r="338" spans="1:34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</row>
    <row r="339" spans="1:34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</row>
    <row r="340" spans="1:34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</row>
    <row r="341" spans="1:34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</row>
    <row r="342" spans="1:34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</row>
    <row r="343" spans="1:34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</row>
    <row r="344" spans="1:34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</row>
    <row r="345" spans="1:34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</row>
    <row r="346" spans="1:34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</row>
    <row r="347" spans="1:34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</row>
    <row r="348" spans="1:34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</row>
    <row r="349" spans="1:34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</row>
    <row r="350" spans="1:34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</row>
    <row r="351" spans="1:34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</row>
    <row r="352" spans="1:34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</row>
    <row r="353" spans="1:34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</row>
    <row r="354" spans="1:34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</row>
    <row r="355" spans="1:34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</row>
    <row r="356" spans="1:34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</row>
    <row r="357" spans="1:34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</row>
    <row r="358" spans="1:34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</row>
    <row r="359" spans="1:34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</row>
    <row r="360" spans="1:34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</row>
    <row r="361" spans="1:34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</row>
    <row r="362" spans="1:34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</row>
    <row r="363" spans="1:34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</row>
    <row r="364" spans="1:34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</row>
    <row r="365" spans="1:34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</row>
    <row r="366" spans="1:34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</row>
    <row r="367" spans="1:34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</row>
    <row r="368" spans="1:34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</row>
    <row r="369" spans="1:34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</row>
    <row r="370" spans="1:34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</row>
    <row r="371" spans="1:34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</row>
    <row r="372" spans="1:34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</row>
    <row r="373" spans="1:34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</row>
    <row r="374" spans="1:34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</row>
    <row r="375" spans="1:34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</row>
    <row r="376" spans="1:34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</row>
    <row r="377" spans="1:34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</row>
    <row r="378" spans="1:34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</row>
    <row r="379" spans="1:34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</row>
    <row r="380" spans="1:34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</row>
    <row r="381" spans="1:34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</row>
    <row r="382" spans="1:34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</row>
    <row r="383" spans="1:34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</row>
    <row r="384" spans="1:34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</row>
    <row r="385" spans="1:34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</row>
    <row r="386" spans="1:34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</row>
    <row r="387" spans="1:34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</row>
    <row r="388" spans="1:34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</row>
    <row r="389" spans="1:34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</row>
    <row r="390" spans="1:34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</row>
    <row r="391" spans="1:34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</row>
    <row r="392" spans="1:34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</row>
    <row r="393" spans="1:34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</row>
    <row r="394" spans="1:34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</row>
    <row r="395" spans="1:34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</row>
    <row r="396" spans="1:34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</row>
    <row r="397" spans="1:34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</row>
    <row r="398" spans="1:34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</row>
    <row r="399" spans="1:34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</row>
    <row r="400" spans="1:34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</row>
    <row r="401" spans="1:34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</row>
    <row r="402" spans="1:34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</row>
    <row r="403" spans="1:34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</row>
    <row r="404" spans="1:34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</row>
    <row r="405" spans="1:34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</row>
    <row r="406" spans="1:34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</row>
    <row r="407" spans="1:34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</row>
    <row r="408" spans="1:34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</row>
    <row r="409" spans="1:34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</row>
    <row r="410" spans="1:34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</row>
    <row r="411" spans="1:34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</row>
    <row r="412" spans="1:34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</row>
    <row r="413" spans="1:34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</row>
    <row r="414" spans="1:34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</row>
    <row r="415" spans="1:34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</row>
    <row r="416" spans="1:34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</row>
    <row r="417" spans="1:34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</row>
    <row r="418" spans="1:34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</row>
    <row r="419" spans="1:34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</row>
    <row r="420" spans="1:34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</row>
    <row r="421" spans="1:34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</row>
    <row r="422" spans="1:34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</row>
    <row r="423" spans="1:34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</row>
    <row r="424" spans="1:34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</row>
    <row r="425" spans="1:34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</row>
    <row r="426" spans="1:34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</row>
    <row r="427" spans="1:34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</row>
    <row r="428" spans="1:34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</row>
    <row r="429" spans="1:34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</row>
    <row r="430" spans="1:34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</row>
    <row r="431" spans="1:34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</row>
    <row r="432" spans="1:34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</row>
    <row r="433" spans="1:34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</row>
    <row r="434" spans="1:34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</row>
    <row r="435" spans="1:34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</row>
    <row r="436" spans="1:34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</row>
    <row r="437" spans="1:34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</row>
    <row r="438" spans="1:34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192"/>
  <sheetViews>
    <sheetView workbookViewId="0">
      <selection activeCell="B3" sqref="B3"/>
    </sheetView>
  </sheetViews>
  <sheetFormatPr defaultRowHeight="15" x14ac:dyDescent="0.25"/>
  <cols>
    <col min="1" max="1" width="40.7109375" style="33" customWidth="1"/>
    <col min="2" max="2" width="16.85546875" style="33" bestFit="1" customWidth="1"/>
    <col min="3" max="3" width="3.7109375" style="33" customWidth="1"/>
    <col min="4" max="6" width="4.7109375" style="33" bestFit="1" customWidth="1"/>
    <col min="7" max="7" width="4.42578125" style="33" bestFit="1" customWidth="1"/>
    <col min="8" max="8" width="5.28515625" style="33" bestFit="1" customWidth="1"/>
    <col min="9" max="9" width="4.7109375" style="33" bestFit="1" customWidth="1"/>
    <col min="10" max="11" width="4.7109375" style="33" customWidth="1"/>
    <col min="12" max="13" width="4.7109375" style="33" bestFit="1" customWidth="1"/>
    <col min="14" max="14" width="4.28515625" style="33" customWidth="1"/>
    <col min="15" max="15" width="5.28515625" style="33" bestFit="1" customWidth="1"/>
    <col min="16" max="16" width="11.7109375" style="33" bestFit="1" customWidth="1"/>
    <col min="17" max="17" width="5.28515625" style="33" bestFit="1" customWidth="1"/>
    <col min="18" max="18" width="4.85546875" style="33" bestFit="1" customWidth="1"/>
    <col min="19" max="22" width="4.7109375" style="33" bestFit="1" customWidth="1"/>
    <col min="23" max="23" width="4.42578125" style="33" bestFit="1" customWidth="1"/>
    <col min="24" max="24" width="4.28515625" style="33" bestFit="1" customWidth="1"/>
    <col min="25" max="25" width="4" style="33" bestFit="1" customWidth="1"/>
    <col min="26" max="29" width="4.7109375" style="33" customWidth="1"/>
    <col min="30" max="30" width="4.7109375" style="33" bestFit="1" customWidth="1"/>
    <col min="31" max="31" width="4.28515625" style="33" bestFit="1" customWidth="1"/>
    <col min="32" max="32" width="5.28515625" style="33" customWidth="1"/>
    <col min="33" max="33" width="5.28515625" style="33" bestFit="1" customWidth="1"/>
    <col min="34" max="34" width="11.7109375" style="33" bestFit="1" customWidth="1"/>
    <col min="35" max="16384" width="9.140625" style="33"/>
  </cols>
  <sheetData>
    <row r="1" spans="1:34" x14ac:dyDescent="0.25">
      <c r="A1" s="54" t="s">
        <v>174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181</v>
      </c>
      <c r="D2" t="s">
        <v>184</v>
      </c>
      <c r="E2" t="s">
        <v>186</v>
      </c>
      <c r="F2" t="s">
        <v>189</v>
      </c>
      <c r="G2" t="s">
        <v>190</v>
      </c>
      <c r="H2" t="s">
        <v>191</v>
      </c>
      <c r="I2" t="s">
        <v>194</v>
      </c>
      <c r="J2" t="s">
        <v>195</v>
      </c>
      <c r="K2" t="s">
        <v>207</v>
      </c>
      <c r="L2" t="s">
        <v>209</v>
      </c>
      <c r="M2" t="s">
        <v>211</v>
      </c>
      <c r="N2" t="s">
        <v>224</v>
      </c>
      <c r="O2" t="s">
        <v>225</v>
      </c>
      <c r="P2" t="s">
        <v>165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119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>
        <v>5</v>
      </c>
      <c r="O3" s="56"/>
      <c r="P3" s="56">
        <v>5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0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>
        <v>2</v>
      </c>
      <c r="O4" s="56"/>
      <c r="P4" s="56">
        <v>2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57" t="s">
        <v>1</v>
      </c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>
        <v>3</v>
      </c>
      <c r="O5" s="56"/>
      <c r="P5" s="56">
        <v>3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5" t="s">
        <v>123</v>
      </c>
      <c r="B6" s="56"/>
      <c r="C6" s="56">
        <v>1</v>
      </c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>
        <v>1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7" t="s">
        <v>0</v>
      </c>
      <c r="B7" s="56"/>
      <c r="C7" s="56">
        <v>1</v>
      </c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>
        <v>1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55" t="s">
        <v>128</v>
      </c>
      <c r="B8" s="56"/>
      <c r="C8" s="56"/>
      <c r="D8" s="56"/>
      <c r="E8" s="56">
        <v>1</v>
      </c>
      <c r="F8" s="56"/>
      <c r="G8" s="56"/>
      <c r="H8" s="56"/>
      <c r="I8" s="56">
        <v>3</v>
      </c>
      <c r="J8" s="56"/>
      <c r="K8" s="56"/>
      <c r="L8" s="56"/>
      <c r="M8" s="56"/>
      <c r="N8" s="56"/>
      <c r="O8" s="56"/>
      <c r="P8" s="56">
        <v>4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57" t="s">
        <v>0</v>
      </c>
      <c r="B9" s="56"/>
      <c r="C9" s="56"/>
      <c r="D9" s="56"/>
      <c r="E9" s="56">
        <v>1</v>
      </c>
      <c r="F9" s="56"/>
      <c r="G9" s="56"/>
      <c r="H9" s="56"/>
      <c r="I9" s="56">
        <v>3</v>
      </c>
      <c r="J9" s="56"/>
      <c r="K9" s="56"/>
      <c r="L9" s="56"/>
      <c r="M9" s="56"/>
      <c r="N9" s="56"/>
      <c r="O9" s="56"/>
      <c r="P9" s="56">
        <v>4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55" t="s">
        <v>149</v>
      </c>
      <c r="B10" s="56"/>
      <c r="C10" s="56">
        <v>1</v>
      </c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>
        <v>1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57" t="s">
        <v>1</v>
      </c>
      <c r="B11" s="56"/>
      <c r="C11" s="56">
        <v>1</v>
      </c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>
        <v>1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55" t="s">
        <v>137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>
        <v>17</v>
      </c>
      <c r="N12" s="56"/>
      <c r="O12" s="56"/>
      <c r="P12" s="56">
        <v>17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7" t="s">
        <v>0</v>
      </c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>
        <v>17</v>
      </c>
      <c r="N13" s="56"/>
      <c r="O13" s="56"/>
      <c r="P13" s="56">
        <v>17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5" t="s">
        <v>255</v>
      </c>
      <c r="B14" s="56"/>
      <c r="C14" s="56"/>
      <c r="D14" s="56"/>
      <c r="E14" s="56"/>
      <c r="F14" s="56"/>
      <c r="G14" s="56"/>
      <c r="H14" s="56"/>
      <c r="I14" s="56"/>
      <c r="J14" s="56"/>
      <c r="K14" s="56"/>
      <c r="L14" s="56">
        <v>15</v>
      </c>
      <c r="M14" s="56"/>
      <c r="N14" s="56"/>
      <c r="O14" s="56">
        <v>5</v>
      </c>
      <c r="P14" s="56">
        <v>20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57" t="s">
        <v>0</v>
      </c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>
        <v>11</v>
      </c>
      <c r="M15" s="56"/>
      <c r="N15" s="56"/>
      <c r="O15" s="56">
        <v>2</v>
      </c>
      <c r="P15" s="56">
        <v>13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57" t="s">
        <v>1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>
        <v>4</v>
      </c>
      <c r="M16" s="56"/>
      <c r="N16" s="56"/>
      <c r="O16" s="56">
        <v>3</v>
      </c>
      <c r="P16" s="56">
        <v>7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55" t="s">
        <v>143</v>
      </c>
      <c r="B17" s="56"/>
      <c r="C17" s="56"/>
      <c r="D17" s="56"/>
      <c r="E17" s="56"/>
      <c r="F17" s="56"/>
      <c r="G17" s="56">
        <v>8</v>
      </c>
      <c r="H17" s="56"/>
      <c r="I17" s="56"/>
      <c r="J17" s="56"/>
      <c r="K17" s="56"/>
      <c r="L17" s="56"/>
      <c r="M17" s="56"/>
      <c r="N17" s="56"/>
      <c r="O17" s="56"/>
      <c r="P17" s="56">
        <v>8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57" t="s">
        <v>0</v>
      </c>
      <c r="B18" s="56"/>
      <c r="C18" s="56"/>
      <c r="D18" s="56"/>
      <c r="E18" s="56"/>
      <c r="F18" s="56"/>
      <c r="G18" s="56">
        <v>8</v>
      </c>
      <c r="H18" s="56"/>
      <c r="I18" s="56"/>
      <c r="J18" s="56"/>
      <c r="K18" s="56"/>
      <c r="L18" s="56"/>
      <c r="M18" s="56"/>
      <c r="N18" s="56"/>
      <c r="O18" s="56"/>
      <c r="P18" s="56">
        <v>8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55" t="s">
        <v>248</v>
      </c>
      <c r="B19" s="56"/>
      <c r="C19" s="56"/>
      <c r="D19" s="56">
        <v>6</v>
      </c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>
        <v>6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57" t="s">
        <v>0</v>
      </c>
      <c r="B20" s="56"/>
      <c r="C20" s="56"/>
      <c r="D20" s="56">
        <v>6</v>
      </c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>
        <v>6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55" t="s">
        <v>133</v>
      </c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>
        <v>20</v>
      </c>
      <c r="N21" s="56"/>
      <c r="O21" s="56"/>
      <c r="P21" s="56">
        <v>20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57" t="s">
        <v>0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>
        <v>20</v>
      </c>
      <c r="N22" s="56"/>
      <c r="O22" s="56"/>
      <c r="P22" s="56">
        <v>20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 s="55" t="s">
        <v>144</v>
      </c>
      <c r="B23" s="56"/>
      <c r="C23" s="56"/>
      <c r="D23" s="56"/>
      <c r="E23" s="56"/>
      <c r="F23" s="56"/>
      <c r="G23" s="56"/>
      <c r="H23" s="56"/>
      <c r="I23" s="56"/>
      <c r="J23" s="56"/>
      <c r="K23" s="56">
        <v>14</v>
      </c>
      <c r="L23" s="56"/>
      <c r="M23" s="56"/>
      <c r="N23" s="56"/>
      <c r="O23" s="56"/>
      <c r="P23" s="56">
        <v>14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 s="57" t="s">
        <v>0</v>
      </c>
      <c r="B24" s="56"/>
      <c r="C24" s="56"/>
      <c r="D24" s="56"/>
      <c r="E24" s="56"/>
      <c r="F24" s="56"/>
      <c r="G24" s="56"/>
      <c r="H24" s="56"/>
      <c r="I24" s="56"/>
      <c r="J24" s="56"/>
      <c r="K24" s="56">
        <v>14</v>
      </c>
      <c r="L24" s="56"/>
      <c r="M24" s="56"/>
      <c r="N24" s="56"/>
      <c r="O24" s="56"/>
      <c r="P24" s="56">
        <v>14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 s="55" t="s">
        <v>136</v>
      </c>
      <c r="B25" s="56">
        <v>4</v>
      </c>
      <c r="C25" s="56"/>
      <c r="D25" s="56"/>
      <c r="E25" s="56"/>
      <c r="F25" s="56"/>
      <c r="G25" s="56"/>
      <c r="H25" s="56"/>
      <c r="I25" s="56"/>
      <c r="J25" s="56">
        <v>3</v>
      </c>
      <c r="K25" s="56"/>
      <c r="L25" s="56"/>
      <c r="M25" s="56"/>
      <c r="N25" s="56"/>
      <c r="O25" s="56"/>
      <c r="P25" s="56">
        <v>7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 s="57" t="s">
        <v>0</v>
      </c>
      <c r="B26" s="56">
        <v>2</v>
      </c>
      <c r="C26" s="56"/>
      <c r="D26" s="56"/>
      <c r="E26" s="56"/>
      <c r="F26" s="56"/>
      <c r="G26" s="56"/>
      <c r="H26" s="56"/>
      <c r="I26" s="56"/>
      <c r="J26" s="56">
        <v>3</v>
      </c>
      <c r="K26" s="56"/>
      <c r="L26" s="56"/>
      <c r="M26" s="56"/>
      <c r="N26" s="56"/>
      <c r="O26" s="56"/>
      <c r="P26" s="56">
        <v>5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 s="57" t="s">
        <v>1</v>
      </c>
      <c r="B27" s="56">
        <v>2</v>
      </c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>
        <v>2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 s="55" t="s">
        <v>105</v>
      </c>
      <c r="B28" s="56"/>
      <c r="C28" s="56"/>
      <c r="D28" s="56"/>
      <c r="E28" s="56"/>
      <c r="F28" s="56"/>
      <c r="G28" s="56"/>
      <c r="H28" s="56">
        <v>5</v>
      </c>
      <c r="I28" s="56"/>
      <c r="J28" s="56"/>
      <c r="K28" s="56"/>
      <c r="L28" s="56"/>
      <c r="M28" s="56"/>
      <c r="N28" s="56"/>
      <c r="O28" s="56"/>
      <c r="P28" s="56">
        <v>5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 s="57" t="s">
        <v>0</v>
      </c>
      <c r="B29" s="56"/>
      <c r="C29" s="56"/>
      <c r="D29" s="56"/>
      <c r="E29" s="56"/>
      <c r="F29" s="56"/>
      <c r="G29" s="56"/>
      <c r="H29" s="56">
        <v>3</v>
      </c>
      <c r="I29" s="56"/>
      <c r="J29" s="56"/>
      <c r="K29" s="56"/>
      <c r="L29" s="56"/>
      <c r="M29" s="56"/>
      <c r="N29" s="56"/>
      <c r="O29" s="56"/>
      <c r="P29" s="56">
        <v>3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 s="57" t="s">
        <v>1</v>
      </c>
      <c r="B30" s="56"/>
      <c r="C30" s="56"/>
      <c r="D30" s="56"/>
      <c r="E30" s="56"/>
      <c r="F30" s="56"/>
      <c r="G30" s="56"/>
      <c r="H30" s="56">
        <v>2</v>
      </c>
      <c r="I30" s="56"/>
      <c r="J30" s="56"/>
      <c r="K30" s="56"/>
      <c r="L30" s="56"/>
      <c r="M30" s="56"/>
      <c r="N30" s="56"/>
      <c r="O30" s="56"/>
      <c r="P30" s="56">
        <v>2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 s="55" t="s">
        <v>242</v>
      </c>
      <c r="B31" s="56"/>
      <c r="C31" s="56"/>
      <c r="D31" s="56"/>
      <c r="E31" s="56"/>
      <c r="F31" s="56">
        <v>9</v>
      </c>
      <c r="G31" s="56"/>
      <c r="H31" s="56"/>
      <c r="I31" s="56"/>
      <c r="J31" s="56"/>
      <c r="K31" s="56"/>
      <c r="L31" s="56"/>
      <c r="M31" s="56"/>
      <c r="N31" s="56"/>
      <c r="O31" s="56"/>
      <c r="P31" s="56">
        <v>9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 s="57" t="s">
        <v>0</v>
      </c>
      <c r="B32" s="56"/>
      <c r="C32" s="56"/>
      <c r="D32" s="56"/>
      <c r="E32" s="56"/>
      <c r="F32" s="56">
        <v>7</v>
      </c>
      <c r="G32" s="56"/>
      <c r="H32" s="56"/>
      <c r="I32" s="56"/>
      <c r="J32" s="56"/>
      <c r="K32" s="56"/>
      <c r="L32" s="56"/>
      <c r="M32" s="56"/>
      <c r="N32" s="56"/>
      <c r="O32" s="56"/>
      <c r="P32" s="56">
        <v>7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 s="57" t="s">
        <v>1</v>
      </c>
      <c r="B33" s="56"/>
      <c r="C33" s="56"/>
      <c r="D33" s="56"/>
      <c r="E33" s="56"/>
      <c r="F33" s="56">
        <v>2</v>
      </c>
      <c r="G33" s="56"/>
      <c r="H33" s="56"/>
      <c r="I33" s="56"/>
      <c r="J33" s="56"/>
      <c r="K33" s="56"/>
      <c r="L33" s="56"/>
      <c r="M33" s="56"/>
      <c r="N33" s="56"/>
      <c r="O33" s="56"/>
      <c r="P33" s="56">
        <v>2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 s="55" t="s">
        <v>260</v>
      </c>
      <c r="B34" s="56"/>
      <c r="C34" s="56"/>
      <c r="D34" s="56"/>
      <c r="E34" s="56"/>
      <c r="F34" s="56"/>
      <c r="G34" s="56"/>
      <c r="H34" s="56">
        <v>9</v>
      </c>
      <c r="I34" s="56"/>
      <c r="J34" s="56"/>
      <c r="K34" s="56"/>
      <c r="L34" s="56"/>
      <c r="M34" s="56"/>
      <c r="N34" s="56"/>
      <c r="O34" s="56"/>
      <c r="P34" s="56">
        <v>9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 s="57" t="s">
        <v>0</v>
      </c>
      <c r="B35" s="56"/>
      <c r="C35" s="56"/>
      <c r="D35" s="56"/>
      <c r="E35" s="56"/>
      <c r="F35" s="56"/>
      <c r="G35" s="56"/>
      <c r="H35" s="56">
        <v>8</v>
      </c>
      <c r="I35" s="56"/>
      <c r="J35" s="56"/>
      <c r="K35" s="56"/>
      <c r="L35" s="56"/>
      <c r="M35" s="56"/>
      <c r="N35" s="56"/>
      <c r="O35" s="56"/>
      <c r="P35" s="56">
        <v>8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 s="57" t="s">
        <v>1</v>
      </c>
      <c r="B36" s="56"/>
      <c r="C36" s="56"/>
      <c r="D36" s="56"/>
      <c r="E36" s="56"/>
      <c r="F36" s="56"/>
      <c r="G36" s="56"/>
      <c r="H36" s="56">
        <v>1</v>
      </c>
      <c r="I36" s="56"/>
      <c r="J36" s="56"/>
      <c r="K36" s="56"/>
      <c r="L36" s="56"/>
      <c r="M36" s="56"/>
      <c r="N36" s="56"/>
      <c r="O36" s="56"/>
      <c r="P36" s="56">
        <v>1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 s="55" t="s">
        <v>243</v>
      </c>
      <c r="B37" s="56"/>
      <c r="C37" s="56"/>
      <c r="D37" s="56"/>
      <c r="E37" s="56">
        <v>1</v>
      </c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>
        <v>1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 s="57" t="s">
        <v>0</v>
      </c>
      <c r="B38" s="56"/>
      <c r="C38" s="56"/>
      <c r="D38" s="56"/>
      <c r="E38" s="56">
        <v>1</v>
      </c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>
        <v>1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 s="55" t="s">
        <v>102</v>
      </c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>
        <v>20</v>
      </c>
      <c r="M39" s="56"/>
      <c r="N39" s="56"/>
      <c r="O39" s="56"/>
      <c r="P39" s="56">
        <v>20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 s="57" t="s">
        <v>0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>
        <v>20</v>
      </c>
      <c r="M40" s="56"/>
      <c r="N40" s="56"/>
      <c r="O40" s="56"/>
      <c r="P40" s="56">
        <v>20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 s="55" t="s">
        <v>165</v>
      </c>
      <c r="B41" s="56">
        <v>4</v>
      </c>
      <c r="C41" s="56">
        <v>2</v>
      </c>
      <c r="D41" s="56">
        <v>6</v>
      </c>
      <c r="E41" s="56">
        <v>2</v>
      </c>
      <c r="F41" s="56">
        <v>9</v>
      </c>
      <c r="G41" s="56">
        <v>8</v>
      </c>
      <c r="H41" s="56">
        <v>14</v>
      </c>
      <c r="I41" s="56">
        <v>3</v>
      </c>
      <c r="J41" s="56">
        <v>3</v>
      </c>
      <c r="K41" s="56">
        <v>14</v>
      </c>
      <c r="L41" s="56">
        <v>35</v>
      </c>
      <c r="M41" s="56">
        <v>37</v>
      </c>
      <c r="N41" s="56">
        <v>5</v>
      </c>
      <c r="O41" s="56">
        <v>5</v>
      </c>
      <c r="P41" s="56">
        <v>147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</row>
    <row r="56" spans="1:34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</row>
    <row r="57" spans="1:34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</row>
    <row r="63" spans="1:34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</row>
    <row r="65" spans="1:34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</row>
    <row r="66" spans="1:34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</row>
    <row r="67" spans="1:34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</row>
    <row r="68" spans="1:34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</row>
    <row r="69" spans="1:34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</row>
    <row r="70" spans="1:34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</row>
    <row r="71" spans="1:34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</row>
    <row r="72" spans="1:34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</row>
    <row r="73" spans="1:34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</row>
    <row r="74" spans="1:34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</row>
    <row r="75" spans="1:34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</row>
    <row r="76" spans="1:34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</row>
    <row r="77" spans="1:34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</row>
    <row r="78" spans="1:34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</row>
    <row r="79" spans="1:34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</row>
    <row r="80" spans="1:34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</row>
    <row r="81" spans="1:34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</row>
    <row r="82" spans="1:34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</row>
    <row r="83" spans="1:34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</row>
    <row r="84" spans="1:34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</row>
    <row r="85" spans="1:34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</row>
    <row r="86" spans="1:34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</row>
    <row r="87" spans="1:34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  <row r="88" spans="1:34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</row>
    <row r="89" spans="1:34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</row>
    <row r="90" spans="1:34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:34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:34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:34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:34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r="101" spans="1:34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</row>
    <row r="102" spans="1:34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</row>
    <row r="103" spans="1:34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</row>
    <row r="104" spans="1:34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</row>
    <row r="105" spans="1:34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</row>
    <row r="106" spans="1:34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</row>
    <row r="107" spans="1:34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</row>
    <row r="108" spans="1:34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</row>
    <row r="109" spans="1:34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 spans="1:34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</row>
    <row r="111" spans="1:34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</row>
    <row r="112" spans="1:34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</row>
    <row r="113" spans="1:34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</row>
    <row r="114" spans="1:34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</row>
    <row r="115" spans="1:34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</row>
    <row r="116" spans="1:34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</row>
    <row r="117" spans="1:34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</row>
    <row r="118" spans="1:34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</row>
    <row r="119" spans="1:34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</row>
    <row r="120" spans="1:34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</row>
    <row r="121" spans="1:34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</row>
    <row r="122" spans="1:34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</row>
    <row r="123" spans="1:34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</row>
    <row r="124" spans="1:34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</row>
    <row r="125" spans="1:34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</row>
    <row r="126" spans="1:34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</row>
    <row r="127" spans="1:34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</row>
    <row r="128" spans="1:34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</row>
    <row r="129" spans="1:34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</row>
    <row r="130" spans="1:34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</row>
    <row r="131" spans="1:34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</row>
    <row r="132" spans="1:34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</row>
    <row r="133" spans="1:34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</row>
    <row r="134" spans="1:34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</row>
    <row r="135" spans="1:34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</row>
    <row r="136" spans="1:34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</row>
    <row r="137" spans="1:34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</row>
    <row r="138" spans="1:34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</row>
    <row r="139" spans="1:34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</row>
    <row r="140" spans="1:34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</row>
    <row r="141" spans="1:34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</row>
    <row r="142" spans="1:34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</row>
    <row r="143" spans="1:34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</row>
    <row r="144" spans="1:34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</row>
    <row r="145" spans="1:34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</row>
    <row r="146" spans="1:34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</row>
    <row r="147" spans="1:34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</row>
    <row r="148" spans="1:34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</row>
    <row r="149" spans="1:34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</row>
    <row r="150" spans="1:34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</row>
    <row r="151" spans="1:34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</row>
    <row r="152" spans="1:34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</row>
    <row r="153" spans="1:34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</row>
    <row r="154" spans="1:34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</row>
    <row r="155" spans="1:34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</row>
    <row r="156" spans="1:34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</row>
    <row r="157" spans="1:34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</row>
    <row r="158" spans="1:34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 spans="1:34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</row>
    <row r="160" spans="1:34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</row>
    <row r="161" spans="1:34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</row>
    <row r="162" spans="1:34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</row>
    <row r="163" spans="1:34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</row>
    <row r="164" spans="1:34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</row>
    <row r="165" spans="1:34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</row>
    <row r="166" spans="1:34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</row>
    <row r="167" spans="1:34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</row>
    <row r="168" spans="1:34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</row>
    <row r="169" spans="1:34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</row>
    <row r="170" spans="1:34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</row>
    <row r="171" spans="1:34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</row>
    <row r="172" spans="1:34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</row>
    <row r="173" spans="1:34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</row>
    <row r="174" spans="1:34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</row>
    <row r="175" spans="1:34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</row>
    <row r="176" spans="1:34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</row>
    <row r="177" spans="1:34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</row>
    <row r="178" spans="1:34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</row>
    <row r="179" spans="1:34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</row>
    <row r="180" spans="1:34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</row>
    <row r="181" spans="1:34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</row>
    <row r="182" spans="1:34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</row>
    <row r="183" spans="1:34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</row>
    <row r="184" spans="1:34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</row>
    <row r="185" spans="1:34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</row>
    <row r="186" spans="1:34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</row>
    <row r="187" spans="1:34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</row>
    <row r="188" spans="1:34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</row>
    <row r="189" spans="1:34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</row>
    <row r="190" spans="1:34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</row>
    <row r="191" spans="1:34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</row>
    <row r="192" spans="1:34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310"/>
  <sheetViews>
    <sheetView workbookViewId="0">
      <selection activeCell="A16" sqref="A16"/>
    </sheetView>
  </sheetViews>
  <sheetFormatPr defaultRowHeight="15" x14ac:dyDescent="0.25"/>
  <cols>
    <col min="1" max="1" width="40.7109375" style="33" customWidth="1"/>
    <col min="2" max="2" width="16.85546875" style="33" bestFit="1" customWidth="1"/>
    <col min="3" max="3" width="3.7109375" style="33" customWidth="1"/>
    <col min="4" max="6" width="4.7109375" style="33" bestFit="1" customWidth="1"/>
    <col min="7" max="7" width="4.42578125" style="33" bestFit="1" customWidth="1"/>
    <col min="8" max="8" width="5.28515625" style="33" bestFit="1" customWidth="1"/>
    <col min="9" max="13" width="4.7109375" style="33" customWidth="1"/>
    <col min="14" max="14" width="4.28515625" style="33" customWidth="1"/>
    <col min="15" max="15" width="5.28515625" style="33" bestFit="1" customWidth="1"/>
    <col min="16" max="16" width="11.7109375" style="33" bestFit="1" customWidth="1"/>
    <col min="17" max="17" width="5.28515625" style="33" bestFit="1" customWidth="1"/>
    <col min="18" max="18" width="4.85546875" style="33" bestFit="1" customWidth="1"/>
    <col min="19" max="21" width="4.7109375" style="33" customWidth="1"/>
    <col min="22" max="22" width="4.7109375" style="33" bestFit="1" customWidth="1"/>
    <col min="23" max="23" width="4.42578125" style="33" bestFit="1" customWidth="1"/>
    <col min="24" max="24" width="4.28515625" style="33" bestFit="1" customWidth="1"/>
    <col min="25" max="25" width="4" style="33" bestFit="1" customWidth="1"/>
    <col min="26" max="29" width="4.7109375" style="33" customWidth="1"/>
    <col min="30" max="30" width="4.7109375" style="33" bestFit="1" customWidth="1"/>
    <col min="31" max="31" width="4.28515625" style="33" bestFit="1" customWidth="1"/>
    <col min="32" max="32" width="5.28515625" style="33" customWidth="1"/>
    <col min="33" max="33" width="5.28515625" style="33" bestFit="1" customWidth="1"/>
    <col min="34" max="34" width="11.7109375" style="33" bestFit="1" customWidth="1"/>
    <col min="35" max="16384" width="9.140625" style="33"/>
  </cols>
  <sheetData>
    <row r="1" spans="1:34" x14ac:dyDescent="0.25">
      <c r="A1" s="54" t="s">
        <v>174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181</v>
      </c>
      <c r="D2" t="s">
        <v>184</v>
      </c>
      <c r="E2" t="s">
        <v>186</v>
      </c>
      <c r="F2" t="s">
        <v>189</v>
      </c>
      <c r="G2" t="s">
        <v>190</v>
      </c>
      <c r="H2" t="s">
        <v>191</v>
      </c>
      <c r="I2" t="s">
        <v>194</v>
      </c>
      <c r="J2" t="s">
        <v>195</v>
      </c>
      <c r="K2" t="s">
        <v>207</v>
      </c>
      <c r="L2" t="s">
        <v>209</v>
      </c>
      <c r="M2" t="s">
        <v>211</v>
      </c>
      <c r="N2" t="s">
        <v>224</v>
      </c>
      <c r="O2" t="s">
        <v>225</v>
      </c>
      <c r="P2" t="s">
        <v>165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119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>
        <v>5</v>
      </c>
      <c r="O3" s="56"/>
      <c r="P3" s="56">
        <v>5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4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>
        <v>2</v>
      </c>
      <c r="O4" s="56"/>
      <c r="P4" s="56">
        <v>2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57" t="s">
        <v>3</v>
      </c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>
        <v>3</v>
      </c>
      <c r="O5" s="56"/>
      <c r="P5" s="56">
        <v>3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5" t="s">
        <v>123</v>
      </c>
      <c r="B6" s="56"/>
      <c r="C6" s="56">
        <v>1</v>
      </c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>
        <v>1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7" t="s">
        <v>4</v>
      </c>
      <c r="B7" s="56"/>
      <c r="C7" s="56">
        <v>1</v>
      </c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>
        <v>1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55" t="s">
        <v>128</v>
      </c>
      <c r="B8" s="56"/>
      <c r="C8" s="56"/>
      <c r="D8" s="56"/>
      <c r="E8" s="56">
        <v>1</v>
      </c>
      <c r="F8" s="56"/>
      <c r="G8" s="56"/>
      <c r="H8" s="56"/>
      <c r="I8" s="56">
        <v>3</v>
      </c>
      <c r="J8" s="56"/>
      <c r="K8" s="56"/>
      <c r="L8" s="56"/>
      <c r="M8" s="56"/>
      <c r="N8" s="56"/>
      <c r="O8" s="56"/>
      <c r="P8" s="56">
        <v>4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57" t="s">
        <v>4</v>
      </c>
      <c r="B9" s="56"/>
      <c r="C9" s="56"/>
      <c r="D9" s="56"/>
      <c r="E9" s="56">
        <v>1</v>
      </c>
      <c r="F9" s="56"/>
      <c r="G9" s="56"/>
      <c r="H9" s="56"/>
      <c r="I9" s="56">
        <v>2</v>
      </c>
      <c r="J9" s="56"/>
      <c r="K9" s="56"/>
      <c r="L9" s="56"/>
      <c r="M9" s="56"/>
      <c r="N9" s="56"/>
      <c r="O9" s="56"/>
      <c r="P9" s="56">
        <v>3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57" t="s">
        <v>3</v>
      </c>
      <c r="B10" s="56"/>
      <c r="C10" s="56"/>
      <c r="D10" s="56"/>
      <c r="E10" s="56"/>
      <c r="F10" s="56"/>
      <c r="G10" s="56"/>
      <c r="H10" s="56"/>
      <c r="I10" s="56">
        <v>1</v>
      </c>
      <c r="J10" s="56"/>
      <c r="K10" s="56"/>
      <c r="L10" s="56"/>
      <c r="M10" s="56"/>
      <c r="N10" s="56"/>
      <c r="O10" s="56"/>
      <c r="P10" s="56">
        <v>1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55" t="s">
        <v>149</v>
      </c>
      <c r="B11" s="56"/>
      <c r="C11" s="56">
        <v>1</v>
      </c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>
        <v>1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57" t="s">
        <v>4</v>
      </c>
      <c r="B12" s="56"/>
      <c r="C12" s="56">
        <v>1</v>
      </c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>
        <v>1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5" t="s">
        <v>137</v>
      </c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>
        <v>17</v>
      </c>
      <c r="N13" s="56"/>
      <c r="O13" s="56"/>
      <c r="P13" s="56">
        <v>17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7" t="s">
        <v>3</v>
      </c>
      <c r="B14" s="56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>
        <v>17</v>
      </c>
      <c r="N14" s="56"/>
      <c r="O14" s="56"/>
      <c r="P14" s="56">
        <v>17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55" t="s">
        <v>255</v>
      </c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>
        <v>15</v>
      </c>
      <c r="M15" s="56"/>
      <c r="N15" s="56"/>
      <c r="O15" s="56">
        <v>5</v>
      </c>
      <c r="P15" s="56">
        <v>20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57" t="s">
        <v>4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>
        <v>11</v>
      </c>
      <c r="M16" s="56"/>
      <c r="N16" s="56"/>
      <c r="O16" s="56">
        <v>4</v>
      </c>
      <c r="P16" s="56">
        <v>15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57" t="s">
        <v>3</v>
      </c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>
        <v>4</v>
      </c>
      <c r="M17" s="56"/>
      <c r="N17" s="56"/>
      <c r="O17" s="56">
        <v>1</v>
      </c>
      <c r="P17" s="56">
        <v>5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55" t="s">
        <v>143</v>
      </c>
      <c r="B18" s="56"/>
      <c r="C18" s="56"/>
      <c r="D18" s="56"/>
      <c r="E18" s="56"/>
      <c r="F18" s="56"/>
      <c r="G18" s="56">
        <v>8</v>
      </c>
      <c r="H18" s="56"/>
      <c r="I18" s="56"/>
      <c r="J18" s="56"/>
      <c r="K18" s="56"/>
      <c r="L18" s="56"/>
      <c r="M18" s="56"/>
      <c r="N18" s="56"/>
      <c r="O18" s="56"/>
      <c r="P18" s="56">
        <v>8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57" t="s">
        <v>4</v>
      </c>
      <c r="B19" s="56"/>
      <c r="C19" s="56"/>
      <c r="D19" s="56"/>
      <c r="E19" s="56"/>
      <c r="F19" s="56"/>
      <c r="G19" s="56">
        <v>3</v>
      </c>
      <c r="H19" s="56"/>
      <c r="I19" s="56"/>
      <c r="J19" s="56"/>
      <c r="K19" s="56"/>
      <c r="L19" s="56"/>
      <c r="M19" s="56"/>
      <c r="N19" s="56"/>
      <c r="O19" s="56"/>
      <c r="P19" s="56">
        <v>3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57" t="s">
        <v>3</v>
      </c>
      <c r="B20" s="56"/>
      <c r="C20" s="56"/>
      <c r="D20" s="56"/>
      <c r="E20" s="56"/>
      <c r="F20" s="56"/>
      <c r="G20" s="56">
        <v>5</v>
      </c>
      <c r="H20" s="56"/>
      <c r="I20" s="56"/>
      <c r="J20" s="56"/>
      <c r="K20" s="56"/>
      <c r="L20" s="56"/>
      <c r="M20" s="56"/>
      <c r="N20" s="56"/>
      <c r="O20" s="56"/>
      <c r="P20" s="56">
        <v>5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55" t="s">
        <v>248</v>
      </c>
      <c r="B21" s="56"/>
      <c r="C21" s="56"/>
      <c r="D21" s="56">
        <v>6</v>
      </c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>
        <v>6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57" t="s">
        <v>4</v>
      </c>
      <c r="B22" s="56"/>
      <c r="C22" s="56"/>
      <c r="D22" s="56">
        <v>4</v>
      </c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>
        <v>4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 s="57" t="s">
        <v>3</v>
      </c>
      <c r="B23" s="56"/>
      <c r="C23" s="56"/>
      <c r="D23" s="56">
        <v>2</v>
      </c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>
        <v>2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 s="55" t="s">
        <v>133</v>
      </c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>
        <v>20</v>
      </c>
      <c r="N24" s="56"/>
      <c r="O24" s="56"/>
      <c r="P24" s="56">
        <v>20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 s="57" t="s">
        <v>3</v>
      </c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>
        <v>20</v>
      </c>
      <c r="N25" s="56"/>
      <c r="O25" s="56"/>
      <c r="P25" s="56">
        <v>20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 s="55" t="s">
        <v>144</v>
      </c>
      <c r="B26" s="56"/>
      <c r="C26" s="56"/>
      <c r="D26" s="56"/>
      <c r="E26" s="56"/>
      <c r="F26" s="56"/>
      <c r="G26" s="56"/>
      <c r="H26" s="56"/>
      <c r="I26" s="56"/>
      <c r="J26" s="56"/>
      <c r="K26" s="56">
        <v>14</v>
      </c>
      <c r="L26" s="56"/>
      <c r="M26" s="56"/>
      <c r="N26" s="56"/>
      <c r="O26" s="56"/>
      <c r="P26" s="56">
        <v>14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 s="57" t="s">
        <v>4</v>
      </c>
      <c r="B27" s="56"/>
      <c r="C27" s="56"/>
      <c r="D27" s="56"/>
      <c r="E27" s="56"/>
      <c r="F27" s="56"/>
      <c r="G27" s="56"/>
      <c r="H27" s="56"/>
      <c r="I27" s="56"/>
      <c r="J27" s="56"/>
      <c r="K27" s="56">
        <v>14</v>
      </c>
      <c r="L27" s="56"/>
      <c r="M27" s="56"/>
      <c r="N27" s="56"/>
      <c r="O27" s="56"/>
      <c r="P27" s="56">
        <v>14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 s="55" t="s">
        <v>136</v>
      </c>
      <c r="B28" s="56">
        <v>4</v>
      </c>
      <c r="C28" s="56"/>
      <c r="D28" s="56"/>
      <c r="E28" s="56"/>
      <c r="F28" s="56"/>
      <c r="G28" s="56"/>
      <c r="H28" s="56"/>
      <c r="I28" s="56"/>
      <c r="J28" s="56">
        <v>3</v>
      </c>
      <c r="K28" s="56"/>
      <c r="L28" s="56"/>
      <c r="M28" s="56"/>
      <c r="N28" s="56"/>
      <c r="O28" s="56"/>
      <c r="P28" s="56">
        <v>7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 s="57" t="s">
        <v>4</v>
      </c>
      <c r="B29" s="56">
        <v>3</v>
      </c>
      <c r="C29" s="56"/>
      <c r="D29" s="56"/>
      <c r="E29" s="56"/>
      <c r="F29" s="56"/>
      <c r="G29" s="56"/>
      <c r="H29" s="56"/>
      <c r="I29" s="56"/>
      <c r="J29" s="56">
        <v>2</v>
      </c>
      <c r="K29" s="56"/>
      <c r="L29" s="56"/>
      <c r="M29" s="56"/>
      <c r="N29" s="56"/>
      <c r="O29" s="56"/>
      <c r="P29" s="56">
        <v>5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 s="57" t="s">
        <v>3</v>
      </c>
      <c r="B30" s="56">
        <v>1</v>
      </c>
      <c r="C30" s="56"/>
      <c r="D30" s="56"/>
      <c r="E30" s="56"/>
      <c r="F30" s="56"/>
      <c r="G30" s="56"/>
      <c r="H30" s="56"/>
      <c r="I30" s="56"/>
      <c r="J30" s="56">
        <v>1</v>
      </c>
      <c r="K30" s="56"/>
      <c r="L30" s="56"/>
      <c r="M30" s="56"/>
      <c r="N30" s="56"/>
      <c r="O30" s="56"/>
      <c r="P30" s="56">
        <v>2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 s="55" t="s">
        <v>105</v>
      </c>
      <c r="B31" s="56"/>
      <c r="C31" s="56"/>
      <c r="D31" s="56"/>
      <c r="E31" s="56"/>
      <c r="F31" s="56"/>
      <c r="G31" s="56"/>
      <c r="H31" s="56">
        <v>5</v>
      </c>
      <c r="I31" s="56"/>
      <c r="J31" s="56"/>
      <c r="K31" s="56"/>
      <c r="L31" s="56"/>
      <c r="M31" s="56"/>
      <c r="N31" s="56"/>
      <c r="O31" s="56"/>
      <c r="P31" s="56">
        <v>5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 s="57" t="s">
        <v>4</v>
      </c>
      <c r="B32" s="56"/>
      <c r="C32" s="56"/>
      <c r="D32" s="56"/>
      <c r="E32" s="56"/>
      <c r="F32" s="56"/>
      <c r="G32" s="56"/>
      <c r="H32" s="56">
        <v>3</v>
      </c>
      <c r="I32" s="56"/>
      <c r="J32" s="56"/>
      <c r="K32" s="56"/>
      <c r="L32" s="56"/>
      <c r="M32" s="56"/>
      <c r="N32" s="56"/>
      <c r="O32" s="56"/>
      <c r="P32" s="56">
        <v>3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 s="57" t="s">
        <v>3</v>
      </c>
      <c r="B33" s="56"/>
      <c r="C33" s="56"/>
      <c r="D33" s="56"/>
      <c r="E33" s="56"/>
      <c r="F33" s="56"/>
      <c r="G33" s="56"/>
      <c r="H33" s="56">
        <v>2</v>
      </c>
      <c r="I33" s="56"/>
      <c r="J33" s="56"/>
      <c r="K33" s="56"/>
      <c r="L33" s="56"/>
      <c r="M33" s="56"/>
      <c r="N33" s="56"/>
      <c r="O33" s="56"/>
      <c r="P33" s="56">
        <v>2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 s="55" t="s">
        <v>242</v>
      </c>
      <c r="B34" s="56"/>
      <c r="C34" s="56"/>
      <c r="D34" s="56"/>
      <c r="E34" s="56"/>
      <c r="F34" s="56">
        <v>9</v>
      </c>
      <c r="G34" s="56"/>
      <c r="H34" s="56"/>
      <c r="I34" s="56"/>
      <c r="J34" s="56"/>
      <c r="K34" s="56"/>
      <c r="L34" s="56"/>
      <c r="M34" s="56"/>
      <c r="N34" s="56"/>
      <c r="O34" s="56"/>
      <c r="P34" s="56">
        <v>9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 s="57" t="s">
        <v>4</v>
      </c>
      <c r="B35" s="56"/>
      <c r="C35" s="56"/>
      <c r="D35" s="56"/>
      <c r="E35" s="56"/>
      <c r="F35" s="56">
        <v>4</v>
      </c>
      <c r="G35" s="56"/>
      <c r="H35" s="56"/>
      <c r="I35" s="56"/>
      <c r="J35" s="56"/>
      <c r="K35" s="56"/>
      <c r="L35" s="56"/>
      <c r="M35" s="56"/>
      <c r="N35" s="56"/>
      <c r="O35" s="56"/>
      <c r="P35" s="56">
        <v>4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 s="57" t="s">
        <v>3</v>
      </c>
      <c r="B36" s="56"/>
      <c r="C36" s="56"/>
      <c r="D36" s="56"/>
      <c r="E36" s="56"/>
      <c r="F36" s="56">
        <v>5</v>
      </c>
      <c r="G36" s="56"/>
      <c r="H36" s="56"/>
      <c r="I36" s="56"/>
      <c r="J36" s="56"/>
      <c r="K36" s="56"/>
      <c r="L36" s="56"/>
      <c r="M36" s="56"/>
      <c r="N36" s="56"/>
      <c r="O36" s="56"/>
      <c r="P36" s="56">
        <v>5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 s="55" t="s">
        <v>260</v>
      </c>
      <c r="B37" s="56"/>
      <c r="C37" s="56"/>
      <c r="D37" s="56"/>
      <c r="E37" s="56"/>
      <c r="F37" s="56"/>
      <c r="G37" s="56"/>
      <c r="H37" s="56">
        <v>9</v>
      </c>
      <c r="I37" s="56"/>
      <c r="J37" s="56"/>
      <c r="K37" s="56"/>
      <c r="L37" s="56"/>
      <c r="M37" s="56"/>
      <c r="N37" s="56"/>
      <c r="O37" s="56"/>
      <c r="P37" s="56">
        <v>9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 s="57" t="s">
        <v>4</v>
      </c>
      <c r="B38" s="56"/>
      <c r="C38" s="56"/>
      <c r="D38" s="56"/>
      <c r="E38" s="56"/>
      <c r="F38" s="56"/>
      <c r="G38" s="56"/>
      <c r="H38" s="56">
        <v>7</v>
      </c>
      <c r="I38" s="56"/>
      <c r="J38" s="56"/>
      <c r="K38" s="56"/>
      <c r="L38" s="56"/>
      <c r="M38" s="56"/>
      <c r="N38" s="56"/>
      <c r="O38" s="56"/>
      <c r="P38" s="56">
        <v>7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 s="57" t="s">
        <v>3</v>
      </c>
      <c r="B39" s="56"/>
      <c r="C39" s="56"/>
      <c r="D39" s="56"/>
      <c r="E39" s="56"/>
      <c r="F39" s="56"/>
      <c r="G39" s="56"/>
      <c r="H39" s="56">
        <v>2</v>
      </c>
      <c r="I39" s="56"/>
      <c r="J39" s="56"/>
      <c r="K39" s="56"/>
      <c r="L39" s="56"/>
      <c r="M39" s="56"/>
      <c r="N39" s="56"/>
      <c r="O39" s="56"/>
      <c r="P39" s="56">
        <v>2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 s="55" t="s">
        <v>243</v>
      </c>
      <c r="B40" s="56"/>
      <c r="C40" s="56"/>
      <c r="D40" s="56"/>
      <c r="E40" s="56">
        <v>1</v>
      </c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>
        <v>1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 s="57" t="s">
        <v>4</v>
      </c>
      <c r="B41" s="56"/>
      <c r="C41" s="56"/>
      <c r="D41" s="56"/>
      <c r="E41" s="56">
        <v>1</v>
      </c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>
        <v>1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 s="55" t="s">
        <v>102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>
        <v>20</v>
      </c>
      <c r="M42" s="56"/>
      <c r="N42" s="56"/>
      <c r="O42" s="56"/>
      <c r="P42" s="56">
        <v>20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 s="57" t="s">
        <v>4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>
        <v>20</v>
      </c>
      <c r="M43" s="56"/>
      <c r="N43" s="56"/>
      <c r="O43" s="56"/>
      <c r="P43" s="56">
        <v>20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 s="55" t="s">
        <v>165</v>
      </c>
      <c r="B44" s="56">
        <v>4</v>
      </c>
      <c r="C44" s="56">
        <v>2</v>
      </c>
      <c r="D44" s="56">
        <v>6</v>
      </c>
      <c r="E44" s="56">
        <v>2</v>
      </c>
      <c r="F44" s="56">
        <v>9</v>
      </c>
      <c r="G44" s="56">
        <v>8</v>
      </c>
      <c r="H44" s="56">
        <v>14</v>
      </c>
      <c r="I44" s="56">
        <v>3</v>
      </c>
      <c r="J44" s="56">
        <v>3</v>
      </c>
      <c r="K44" s="56">
        <v>14</v>
      </c>
      <c r="L44" s="56">
        <v>35</v>
      </c>
      <c r="M44" s="56">
        <v>37</v>
      </c>
      <c r="N44" s="56">
        <v>5</v>
      </c>
      <c r="O44" s="56">
        <v>5</v>
      </c>
      <c r="P44" s="56">
        <v>147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</row>
    <row r="56" spans="1:34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</row>
    <row r="57" spans="1:34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</row>
    <row r="63" spans="1:34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</row>
    <row r="65" spans="1:34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</row>
    <row r="66" spans="1:34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</row>
    <row r="67" spans="1:34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</row>
    <row r="68" spans="1:34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</row>
    <row r="69" spans="1:34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</row>
    <row r="70" spans="1:34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</row>
    <row r="71" spans="1:34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</row>
    <row r="72" spans="1:34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</row>
    <row r="73" spans="1:34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</row>
    <row r="74" spans="1:34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</row>
    <row r="75" spans="1:34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</row>
    <row r="76" spans="1:34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</row>
    <row r="77" spans="1:34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</row>
    <row r="78" spans="1:34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</row>
    <row r="79" spans="1:34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</row>
    <row r="80" spans="1:34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</row>
    <row r="81" spans="1:34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</row>
    <row r="82" spans="1:34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</row>
    <row r="83" spans="1:34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</row>
    <row r="84" spans="1:34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</row>
    <row r="85" spans="1:34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</row>
    <row r="86" spans="1:34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</row>
    <row r="87" spans="1:34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  <row r="88" spans="1:34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</row>
    <row r="89" spans="1:34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</row>
    <row r="90" spans="1:34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:34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:34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:34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:34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r="101" spans="1:34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</row>
    <row r="102" spans="1:34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</row>
    <row r="103" spans="1:34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</row>
    <row r="104" spans="1:34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</row>
    <row r="105" spans="1:34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</row>
    <row r="106" spans="1:34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</row>
    <row r="107" spans="1:34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</row>
    <row r="108" spans="1:34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</row>
    <row r="109" spans="1:34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 spans="1:34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</row>
    <row r="111" spans="1:34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</row>
    <row r="112" spans="1:34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</row>
    <row r="113" spans="1:34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</row>
    <row r="114" spans="1:34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</row>
    <row r="115" spans="1:34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</row>
    <row r="116" spans="1:34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</row>
    <row r="117" spans="1:34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</row>
    <row r="118" spans="1:34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</row>
    <row r="119" spans="1:34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</row>
    <row r="120" spans="1:34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</row>
    <row r="121" spans="1:34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</row>
    <row r="122" spans="1:34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</row>
    <row r="123" spans="1:34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</row>
    <row r="124" spans="1:34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</row>
    <row r="125" spans="1:34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</row>
    <row r="126" spans="1:34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</row>
    <row r="127" spans="1:34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</row>
    <row r="128" spans="1:34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</row>
    <row r="129" spans="1:34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</row>
    <row r="130" spans="1:34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</row>
    <row r="131" spans="1:34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</row>
    <row r="132" spans="1:34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</row>
    <row r="133" spans="1:34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</row>
    <row r="134" spans="1:34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</row>
    <row r="135" spans="1:34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</row>
    <row r="136" spans="1:34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</row>
    <row r="137" spans="1:34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</row>
    <row r="138" spans="1:34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</row>
    <row r="139" spans="1:34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</row>
    <row r="140" spans="1:34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</row>
    <row r="141" spans="1:34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</row>
    <row r="142" spans="1:34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</row>
    <row r="143" spans="1:34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</row>
    <row r="144" spans="1:34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</row>
    <row r="145" spans="1:34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</row>
    <row r="146" spans="1:34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</row>
    <row r="147" spans="1:34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</row>
    <row r="148" spans="1:34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</row>
    <row r="149" spans="1:34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</row>
    <row r="150" spans="1:34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</row>
    <row r="151" spans="1:34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</row>
    <row r="152" spans="1:34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</row>
    <row r="153" spans="1:34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</row>
    <row r="154" spans="1:34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</row>
    <row r="155" spans="1:34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</row>
    <row r="156" spans="1:34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</row>
    <row r="157" spans="1:34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</row>
    <row r="158" spans="1:34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 spans="1:34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</row>
    <row r="160" spans="1:34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</row>
    <row r="161" spans="1:34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</row>
    <row r="162" spans="1:34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</row>
    <row r="163" spans="1:34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</row>
    <row r="164" spans="1:34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</row>
    <row r="165" spans="1:34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</row>
    <row r="166" spans="1:34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</row>
    <row r="167" spans="1:34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</row>
    <row r="168" spans="1:34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</row>
    <row r="169" spans="1:34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</row>
    <row r="170" spans="1:34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</row>
    <row r="171" spans="1:34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</row>
    <row r="172" spans="1:34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</row>
    <row r="173" spans="1:34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</row>
    <row r="174" spans="1:34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</row>
    <row r="175" spans="1:34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</row>
    <row r="176" spans="1:34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</row>
    <row r="177" spans="1:34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</row>
    <row r="178" spans="1:34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</row>
    <row r="179" spans="1:34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</row>
    <row r="180" spans="1:34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</row>
    <row r="181" spans="1:34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</row>
    <row r="182" spans="1:34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</row>
    <row r="183" spans="1:34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</row>
    <row r="184" spans="1:34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</row>
    <row r="185" spans="1:34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</row>
    <row r="186" spans="1:34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</row>
    <row r="187" spans="1:34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</row>
    <row r="188" spans="1:34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</row>
    <row r="189" spans="1:34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</row>
    <row r="190" spans="1:34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</row>
    <row r="191" spans="1:34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</row>
    <row r="192" spans="1:34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</row>
    <row r="193" spans="1:34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</row>
    <row r="194" spans="1:34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</row>
    <row r="195" spans="1:34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</row>
    <row r="196" spans="1:34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</row>
    <row r="197" spans="1:34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</row>
    <row r="198" spans="1:34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</row>
    <row r="199" spans="1:34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</row>
    <row r="200" spans="1:34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</row>
    <row r="201" spans="1:34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</row>
    <row r="202" spans="1:34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</row>
    <row r="203" spans="1:34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</row>
    <row r="204" spans="1:34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</row>
    <row r="205" spans="1:34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</row>
    <row r="206" spans="1:34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</row>
    <row r="207" spans="1:34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</row>
    <row r="208" spans="1:34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</row>
    <row r="209" spans="1:34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</row>
    <row r="210" spans="1:34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</row>
    <row r="211" spans="1:34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</row>
    <row r="212" spans="1:34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</row>
    <row r="213" spans="1:34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</row>
    <row r="214" spans="1:34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</row>
    <row r="215" spans="1:34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</row>
    <row r="216" spans="1:34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</row>
    <row r="217" spans="1:34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</row>
    <row r="218" spans="1:34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</row>
    <row r="219" spans="1:34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</row>
    <row r="220" spans="1:34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</row>
    <row r="221" spans="1:34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</row>
    <row r="222" spans="1:34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</row>
    <row r="223" spans="1:34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</row>
    <row r="224" spans="1:34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</row>
    <row r="225" spans="1:34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</row>
    <row r="226" spans="1:34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</row>
    <row r="227" spans="1:34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</row>
    <row r="228" spans="1:34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</row>
    <row r="229" spans="1:34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</row>
    <row r="230" spans="1:34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</row>
    <row r="231" spans="1:34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</row>
    <row r="232" spans="1:34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</row>
    <row r="233" spans="1:34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</row>
    <row r="234" spans="1:34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</row>
    <row r="235" spans="1:34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</row>
    <row r="236" spans="1:34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</row>
    <row r="237" spans="1:34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</row>
    <row r="238" spans="1:34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</row>
    <row r="239" spans="1:34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</row>
    <row r="240" spans="1:34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</row>
    <row r="241" spans="1:34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</row>
    <row r="242" spans="1:34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</row>
    <row r="243" spans="1:34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</row>
    <row r="244" spans="1:34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</row>
    <row r="245" spans="1:34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</row>
    <row r="246" spans="1:34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</row>
    <row r="247" spans="1:34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</row>
    <row r="248" spans="1:34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</row>
    <row r="249" spans="1:34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</row>
    <row r="250" spans="1:34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</row>
    <row r="251" spans="1:34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</row>
    <row r="252" spans="1:34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</row>
    <row r="253" spans="1:34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</row>
    <row r="254" spans="1:34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</row>
    <row r="255" spans="1:34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</row>
    <row r="256" spans="1:34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</row>
    <row r="257" spans="1:34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</row>
    <row r="258" spans="1:34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</row>
    <row r="259" spans="1:34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</row>
    <row r="260" spans="1:34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</row>
    <row r="261" spans="1:34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</row>
    <row r="262" spans="1:34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</row>
    <row r="263" spans="1:34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</row>
    <row r="264" spans="1:34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</row>
    <row r="265" spans="1:34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</row>
    <row r="266" spans="1:34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</row>
    <row r="267" spans="1:34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</row>
    <row r="268" spans="1:34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</row>
    <row r="269" spans="1:34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</row>
    <row r="270" spans="1:34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</row>
    <row r="271" spans="1:34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</row>
    <row r="272" spans="1:34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</row>
    <row r="273" spans="1:34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</row>
    <row r="274" spans="1:34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</row>
    <row r="275" spans="1:34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</row>
    <row r="276" spans="1:34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</row>
    <row r="277" spans="1:34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</row>
    <row r="278" spans="1:34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</row>
    <row r="279" spans="1:34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</row>
    <row r="280" spans="1:34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</row>
    <row r="281" spans="1:34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</row>
    <row r="282" spans="1:34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</row>
    <row r="283" spans="1:34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</row>
    <row r="284" spans="1:34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</row>
    <row r="285" spans="1:34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</row>
    <row r="286" spans="1:34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</row>
    <row r="287" spans="1:34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</row>
    <row r="288" spans="1:34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</row>
    <row r="289" spans="1:34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</row>
    <row r="290" spans="1:34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</row>
    <row r="291" spans="1:34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</row>
    <row r="292" spans="1:34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</row>
    <row r="293" spans="1:3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</row>
    <row r="294" spans="1:34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</row>
    <row r="295" spans="1:34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</row>
    <row r="296" spans="1:34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</row>
    <row r="297" spans="1:34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</row>
    <row r="298" spans="1:34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</row>
    <row r="299" spans="1:34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</row>
    <row r="300" spans="1:34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</row>
    <row r="301" spans="1:34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</row>
    <row r="302" spans="1:34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</row>
    <row r="303" spans="1:34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</row>
    <row r="304" spans="1:34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</row>
    <row r="305" spans="1:34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</row>
    <row r="306" spans="1:34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</row>
    <row r="307" spans="1:34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</row>
    <row r="308" spans="1:34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</row>
    <row r="309" spans="1:34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</row>
    <row r="310" spans="1:34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436"/>
  <sheetViews>
    <sheetView workbookViewId="0"/>
  </sheetViews>
  <sheetFormatPr defaultRowHeight="15" x14ac:dyDescent="0.25"/>
  <cols>
    <col min="1" max="1" width="40.7109375" style="33" customWidth="1"/>
    <col min="2" max="2" width="16.85546875" style="33" bestFit="1" customWidth="1"/>
    <col min="3" max="3" width="3.7109375" style="33" customWidth="1"/>
    <col min="4" max="6" width="4.7109375" style="33" bestFit="1" customWidth="1"/>
    <col min="7" max="7" width="4.42578125" style="33" bestFit="1" customWidth="1"/>
    <col min="8" max="8" width="5.28515625" style="33" bestFit="1" customWidth="1"/>
    <col min="9" max="13" width="4.7109375" style="33" customWidth="1"/>
    <col min="14" max="14" width="4.28515625" style="33" customWidth="1"/>
    <col min="15" max="15" width="5.28515625" style="33" bestFit="1" customWidth="1"/>
    <col min="16" max="16" width="11.7109375" style="33" bestFit="1" customWidth="1"/>
    <col min="17" max="17" width="5.28515625" style="33" bestFit="1" customWidth="1"/>
    <col min="18" max="18" width="4.85546875" style="33" bestFit="1" customWidth="1"/>
    <col min="19" max="21" width="4.7109375" style="33" customWidth="1"/>
    <col min="22" max="22" width="4.7109375" style="33" bestFit="1" customWidth="1"/>
    <col min="23" max="23" width="4.42578125" style="33" bestFit="1" customWidth="1"/>
    <col min="24" max="24" width="4.28515625" style="33" bestFit="1" customWidth="1"/>
    <col min="25" max="25" width="4" style="33" bestFit="1" customWidth="1"/>
    <col min="26" max="29" width="4.7109375" style="33" customWidth="1"/>
    <col min="30" max="30" width="4.7109375" style="33" bestFit="1" customWidth="1"/>
    <col min="31" max="31" width="4.28515625" style="33" bestFit="1" customWidth="1"/>
    <col min="32" max="32" width="5.28515625" style="33" customWidth="1"/>
    <col min="33" max="33" width="5.28515625" style="33" bestFit="1" customWidth="1"/>
    <col min="34" max="34" width="11.7109375" style="33" bestFit="1" customWidth="1"/>
    <col min="35" max="16384" width="9.140625" style="33"/>
  </cols>
  <sheetData>
    <row r="1" spans="1:34" x14ac:dyDescent="0.25">
      <c r="A1" s="54" t="s">
        <v>174</v>
      </c>
      <c r="B1" s="54" t="s">
        <v>163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</row>
    <row r="2" spans="1:34" x14ac:dyDescent="0.25">
      <c r="A2" s="54" t="s">
        <v>164</v>
      </c>
      <c r="B2" t="s">
        <v>203</v>
      </c>
      <c r="C2" t="s">
        <v>181</v>
      </c>
      <c r="D2" t="s">
        <v>184</v>
      </c>
      <c r="E2" t="s">
        <v>186</v>
      </c>
      <c r="F2" t="s">
        <v>189</v>
      </c>
      <c r="G2" t="s">
        <v>190</v>
      </c>
      <c r="H2" t="s">
        <v>191</v>
      </c>
      <c r="I2" t="s">
        <v>194</v>
      </c>
      <c r="J2" t="s">
        <v>195</v>
      </c>
      <c r="K2" t="s">
        <v>207</v>
      </c>
      <c r="L2" t="s">
        <v>209</v>
      </c>
      <c r="M2" t="s">
        <v>211</v>
      </c>
      <c r="N2" t="s">
        <v>224</v>
      </c>
      <c r="O2" t="s">
        <v>225</v>
      </c>
      <c r="P2" t="s">
        <v>165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 s="55" t="s">
        <v>119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>
        <v>5</v>
      </c>
      <c r="O3" s="56"/>
      <c r="P3" s="56">
        <v>5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 s="57" t="s">
        <v>112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>
        <v>5</v>
      </c>
      <c r="O4" s="56"/>
      <c r="P4" s="56">
        <v>5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 s="55" t="s">
        <v>123</v>
      </c>
      <c r="B5" s="56"/>
      <c r="C5" s="56">
        <v>1</v>
      </c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>
        <v>1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 s="57" t="s">
        <v>113</v>
      </c>
      <c r="B6" s="56"/>
      <c r="C6" s="56">
        <v>1</v>
      </c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>
        <v>1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 s="55" t="s">
        <v>128</v>
      </c>
      <c r="B7" s="56"/>
      <c r="C7" s="56"/>
      <c r="D7" s="56"/>
      <c r="E7" s="56">
        <v>1</v>
      </c>
      <c r="F7" s="56"/>
      <c r="G7" s="56"/>
      <c r="H7" s="56"/>
      <c r="I7" s="56">
        <v>3</v>
      </c>
      <c r="J7" s="56"/>
      <c r="K7" s="56"/>
      <c r="L7" s="56"/>
      <c r="M7" s="56"/>
      <c r="N7" s="56"/>
      <c r="O7" s="56"/>
      <c r="P7" s="56">
        <v>4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 s="57" t="s">
        <v>114</v>
      </c>
      <c r="B8" s="56"/>
      <c r="C8" s="56"/>
      <c r="D8" s="56"/>
      <c r="E8" s="56">
        <v>1</v>
      </c>
      <c r="F8" s="56"/>
      <c r="G8" s="56"/>
      <c r="H8" s="56"/>
      <c r="I8" s="56"/>
      <c r="J8" s="56"/>
      <c r="K8" s="56"/>
      <c r="L8" s="56"/>
      <c r="M8" s="56"/>
      <c r="N8" s="56"/>
      <c r="O8" s="56"/>
      <c r="P8" s="56">
        <v>1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 s="57" t="s">
        <v>116</v>
      </c>
      <c r="B9" s="56"/>
      <c r="C9" s="56"/>
      <c r="D9" s="56"/>
      <c r="E9" s="56"/>
      <c r="F9" s="56"/>
      <c r="G9" s="56"/>
      <c r="H9" s="56"/>
      <c r="I9" s="56">
        <v>3</v>
      </c>
      <c r="J9" s="56"/>
      <c r="K9" s="56"/>
      <c r="L9" s="56"/>
      <c r="M9" s="56"/>
      <c r="N9" s="56"/>
      <c r="O9" s="56"/>
      <c r="P9" s="56">
        <v>3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 s="55" t="s">
        <v>149</v>
      </c>
      <c r="B10" s="56"/>
      <c r="C10" s="56">
        <v>1</v>
      </c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>
        <v>1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 s="57" t="s">
        <v>113</v>
      </c>
      <c r="B11" s="56"/>
      <c r="C11" s="56">
        <v>1</v>
      </c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>
        <v>1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 s="55" t="s">
        <v>137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>
        <v>17</v>
      </c>
      <c r="N12" s="56"/>
      <c r="O12" s="56"/>
      <c r="P12" s="56">
        <v>17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 s="57" t="s">
        <v>112</v>
      </c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>
        <v>17</v>
      </c>
      <c r="N13" s="56"/>
      <c r="O13" s="56"/>
      <c r="P13" s="56">
        <v>17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 s="55" t="s">
        <v>255</v>
      </c>
      <c r="B14" s="56"/>
      <c r="C14" s="56"/>
      <c r="D14" s="56"/>
      <c r="E14" s="56"/>
      <c r="F14" s="56"/>
      <c r="G14" s="56"/>
      <c r="H14" s="56"/>
      <c r="I14" s="56"/>
      <c r="J14" s="56"/>
      <c r="K14" s="56"/>
      <c r="L14" s="56">
        <v>15</v>
      </c>
      <c r="M14" s="56"/>
      <c r="N14" s="56"/>
      <c r="O14" s="56">
        <v>5</v>
      </c>
      <c r="P14" s="56">
        <v>20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 s="57" t="s">
        <v>113</v>
      </c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>
        <v>1</v>
      </c>
      <c r="M15" s="56"/>
      <c r="N15" s="56"/>
      <c r="O15" s="56"/>
      <c r="P15" s="56">
        <v>1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 s="57" t="s">
        <v>114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>
        <v>12</v>
      </c>
      <c r="M16" s="56"/>
      <c r="N16" s="56"/>
      <c r="O16" s="56">
        <v>4</v>
      </c>
      <c r="P16" s="56">
        <v>16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 s="57" t="s">
        <v>116</v>
      </c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>
        <v>2</v>
      </c>
      <c r="M17" s="56"/>
      <c r="N17" s="56"/>
      <c r="O17" s="56"/>
      <c r="P17" s="56">
        <v>2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 s="57" t="s">
        <v>112</v>
      </c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>
        <v>1</v>
      </c>
      <c r="P18" s="56">
        <v>1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 s="55" t="s">
        <v>143</v>
      </c>
      <c r="B19" s="56"/>
      <c r="C19" s="56"/>
      <c r="D19" s="56"/>
      <c r="E19" s="56"/>
      <c r="F19" s="56"/>
      <c r="G19" s="56">
        <v>8</v>
      </c>
      <c r="H19" s="56"/>
      <c r="I19" s="56"/>
      <c r="J19" s="56"/>
      <c r="K19" s="56"/>
      <c r="L19" s="56"/>
      <c r="M19" s="56"/>
      <c r="N19" s="56"/>
      <c r="O19" s="56"/>
      <c r="P19" s="56">
        <v>8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 s="57" t="s">
        <v>116</v>
      </c>
      <c r="B20" s="56"/>
      <c r="C20" s="56"/>
      <c r="D20" s="56"/>
      <c r="E20" s="56"/>
      <c r="F20" s="56"/>
      <c r="G20" s="56">
        <v>3</v>
      </c>
      <c r="H20" s="56"/>
      <c r="I20" s="56"/>
      <c r="J20" s="56"/>
      <c r="K20" s="56"/>
      <c r="L20" s="56"/>
      <c r="M20" s="56"/>
      <c r="N20" s="56"/>
      <c r="O20" s="56"/>
      <c r="P20" s="56">
        <v>3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 s="57" t="s">
        <v>112</v>
      </c>
      <c r="B21" s="56"/>
      <c r="C21" s="56"/>
      <c r="D21" s="56"/>
      <c r="E21" s="56"/>
      <c r="F21" s="56"/>
      <c r="G21" s="56">
        <v>5</v>
      </c>
      <c r="H21" s="56"/>
      <c r="I21" s="56"/>
      <c r="J21" s="56"/>
      <c r="K21" s="56"/>
      <c r="L21" s="56"/>
      <c r="M21" s="56"/>
      <c r="N21" s="56"/>
      <c r="O21" s="56"/>
      <c r="P21" s="56">
        <v>5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 s="55" t="s">
        <v>248</v>
      </c>
      <c r="B22" s="56"/>
      <c r="C22" s="56"/>
      <c r="D22" s="56">
        <v>6</v>
      </c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>
        <v>6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 s="57" t="s">
        <v>116</v>
      </c>
      <c r="B23" s="56"/>
      <c r="C23" s="56"/>
      <c r="D23" s="56">
        <v>6</v>
      </c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>
        <v>6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 s="55" t="s">
        <v>133</v>
      </c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>
        <v>20</v>
      </c>
      <c r="N24" s="56"/>
      <c r="O24" s="56"/>
      <c r="P24" s="56">
        <v>20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 s="57" t="s">
        <v>112</v>
      </c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>
        <v>20</v>
      </c>
      <c r="N25" s="56"/>
      <c r="O25" s="56"/>
      <c r="P25" s="56">
        <v>20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 s="55" t="s">
        <v>144</v>
      </c>
      <c r="B26" s="56"/>
      <c r="C26" s="56"/>
      <c r="D26" s="56"/>
      <c r="E26" s="56"/>
      <c r="F26" s="56"/>
      <c r="G26" s="56"/>
      <c r="H26" s="56"/>
      <c r="I26" s="56"/>
      <c r="J26" s="56"/>
      <c r="K26" s="56">
        <v>14</v>
      </c>
      <c r="L26" s="56"/>
      <c r="M26" s="56"/>
      <c r="N26" s="56"/>
      <c r="O26" s="56"/>
      <c r="P26" s="56">
        <v>14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 s="57" t="s">
        <v>116</v>
      </c>
      <c r="B27" s="56"/>
      <c r="C27" s="56"/>
      <c r="D27" s="56"/>
      <c r="E27" s="56"/>
      <c r="F27" s="56"/>
      <c r="G27" s="56"/>
      <c r="H27" s="56"/>
      <c r="I27" s="56"/>
      <c r="J27" s="56"/>
      <c r="K27" s="56">
        <v>14</v>
      </c>
      <c r="L27" s="56"/>
      <c r="M27" s="56"/>
      <c r="N27" s="56"/>
      <c r="O27" s="56"/>
      <c r="P27" s="56">
        <v>14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 s="55" t="s">
        <v>136</v>
      </c>
      <c r="B28" s="56">
        <v>4</v>
      </c>
      <c r="C28" s="56"/>
      <c r="D28" s="56"/>
      <c r="E28" s="56"/>
      <c r="F28" s="56"/>
      <c r="G28" s="56"/>
      <c r="H28" s="56"/>
      <c r="I28" s="56"/>
      <c r="J28" s="56">
        <v>3</v>
      </c>
      <c r="K28" s="56"/>
      <c r="L28" s="56"/>
      <c r="M28" s="56"/>
      <c r="N28" s="56"/>
      <c r="O28" s="56"/>
      <c r="P28" s="56">
        <v>7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 s="57" t="s">
        <v>113</v>
      </c>
      <c r="B29" s="56"/>
      <c r="C29" s="56"/>
      <c r="D29" s="56"/>
      <c r="E29" s="56"/>
      <c r="F29" s="56"/>
      <c r="G29" s="56"/>
      <c r="H29" s="56"/>
      <c r="I29" s="56"/>
      <c r="J29" s="56">
        <v>1</v>
      </c>
      <c r="K29" s="56"/>
      <c r="L29" s="56"/>
      <c r="M29" s="56"/>
      <c r="N29" s="56"/>
      <c r="O29" s="56"/>
      <c r="P29" s="56">
        <v>1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 s="57" t="s">
        <v>114</v>
      </c>
      <c r="B30" s="56">
        <v>4</v>
      </c>
      <c r="C30" s="56"/>
      <c r="D30" s="56"/>
      <c r="E30" s="56"/>
      <c r="F30" s="56"/>
      <c r="G30" s="56"/>
      <c r="H30" s="56"/>
      <c r="I30" s="56"/>
      <c r="J30" s="56">
        <v>2</v>
      </c>
      <c r="K30" s="56"/>
      <c r="L30" s="56"/>
      <c r="M30" s="56"/>
      <c r="N30" s="56"/>
      <c r="O30" s="56"/>
      <c r="P30" s="56">
        <v>6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 s="55" t="s">
        <v>105</v>
      </c>
      <c r="B31" s="56"/>
      <c r="C31" s="56"/>
      <c r="D31" s="56"/>
      <c r="E31" s="56"/>
      <c r="F31" s="56"/>
      <c r="G31" s="56"/>
      <c r="H31" s="56">
        <v>5</v>
      </c>
      <c r="I31" s="56"/>
      <c r="J31" s="56"/>
      <c r="K31" s="56"/>
      <c r="L31" s="56"/>
      <c r="M31" s="56"/>
      <c r="N31" s="56"/>
      <c r="O31" s="56"/>
      <c r="P31" s="56">
        <v>5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 s="57" t="s">
        <v>114</v>
      </c>
      <c r="B32" s="56"/>
      <c r="C32" s="56"/>
      <c r="D32" s="56"/>
      <c r="E32" s="56"/>
      <c r="F32" s="56"/>
      <c r="G32" s="56"/>
      <c r="H32" s="56">
        <v>4</v>
      </c>
      <c r="I32" s="56"/>
      <c r="J32" s="56"/>
      <c r="K32" s="56"/>
      <c r="L32" s="56"/>
      <c r="M32" s="56"/>
      <c r="N32" s="56"/>
      <c r="O32" s="56"/>
      <c r="P32" s="56">
        <v>4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 s="57" t="s">
        <v>112</v>
      </c>
      <c r="B33" s="56"/>
      <c r="C33" s="56"/>
      <c r="D33" s="56"/>
      <c r="E33" s="56"/>
      <c r="F33" s="56"/>
      <c r="G33" s="56"/>
      <c r="H33" s="56">
        <v>1</v>
      </c>
      <c r="I33" s="56"/>
      <c r="J33" s="56"/>
      <c r="K33" s="56"/>
      <c r="L33" s="56"/>
      <c r="M33" s="56"/>
      <c r="N33" s="56"/>
      <c r="O33" s="56"/>
      <c r="P33" s="56">
        <v>1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 s="55" t="s">
        <v>242</v>
      </c>
      <c r="B34" s="56"/>
      <c r="C34" s="56"/>
      <c r="D34" s="56"/>
      <c r="E34" s="56"/>
      <c r="F34" s="56">
        <v>9</v>
      </c>
      <c r="G34" s="56"/>
      <c r="H34" s="56"/>
      <c r="I34" s="56"/>
      <c r="J34" s="56"/>
      <c r="K34" s="56"/>
      <c r="L34" s="56"/>
      <c r="M34" s="56"/>
      <c r="N34" s="56"/>
      <c r="O34" s="56"/>
      <c r="P34" s="56">
        <v>9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 s="57" t="s">
        <v>114</v>
      </c>
      <c r="B35" s="56"/>
      <c r="C35" s="56"/>
      <c r="D35" s="56"/>
      <c r="E35" s="56"/>
      <c r="F35" s="56">
        <v>6</v>
      </c>
      <c r="G35" s="56"/>
      <c r="H35" s="56"/>
      <c r="I35" s="56"/>
      <c r="J35" s="56"/>
      <c r="K35" s="56"/>
      <c r="L35" s="56"/>
      <c r="M35" s="56"/>
      <c r="N35" s="56"/>
      <c r="O35" s="56"/>
      <c r="P35" s="56">
        <v>6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 s="57" t="s">
        <v>116</v>
      </c>
      <c r="B36" s="56"/>
      <c r="C36" s="56"/>
      <c r="D36" s="56"/>
      <c r="E36" s="56"/>
      <c r="F36" s="56">
        <v>3</v>
      </c>
      <c r="G36" s="56"/>
      <c r="H36" s="56"/>
      <c r="I36" s="56"/>
      <c r="J36" s="56"/>
      <c r="K36" s="56"/>
      <c r="L36" s="56"/>
      <c r="M36" s="56"/>
      <c r="N36" s="56"/>
      <c r="O36" s="56"/>
      <c r="P36" s="56">
        <v>3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 s="55" t="s">
        <v>260</v>
      </c>
      <c r="B37" s="56"/>
      <c r="C37" s="56"/>
      <c r="D37" s="56"/>
      <c r="E37" s="56"/>
      <c r="F37" s="56"/>
      <c r="G37" s="56"/>
      <c r="H37" s="56">
        <v>9</v>
      </c>
      <c r="I37" s="56"/>
      <c r="J37" s="56"/>
      <c r="K37" s="56"/>
      <c r="L37" s="56"/>
      <c r="M37" s="56"/>
      <c r="N37" s="56"/>
      <c r="O37" s="56"/>
      <c r="P37" s="56">
        <v>9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 s="57" t="s">
        <v>113</v>
      </c>
      <c r="B38" s="56"/>
      <c r="C38" s="56"/>
      <c r="D38" s="56"/>
      <c r="E38" s="56"/>
      <c r="F38" s="56"/>
      <c r="G38" s="56"/>
      <c r="H38" s="56">
        <v>1</v>
      </c>
      <c r="I38" s="56"/>
      <c r="J38" s="56"/>
      <c r="K38" s="56"/>
      <c r="L38" s="56"/>
      <c r="M38" s="56"/>
      <c r="N38" s="56"/>
      <c r="O38" s="56"/>
      <c r="P38" s="56">
        <v>1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 s="57" t="s">
        <v>114</v>
      </c>
      <c r="B39" s="56"/>
      <c r="C39" s="56"/>
      <c r="D39" s="56"/>
      <c r="E39" s="56"/>
      <c r="F39" s="56"/>
      <c r="G39" s="56"/>
      <c r="H39" s="56">
        <v>8</v>
      </c>
      <c r="I39" s="56"/>
      <c r="J39" s="56"/>
      <c r="K39" s="56"/>
      <c r="L39" s="56"/>
      <c r="M39" s="56"/>
      <c r="N39" s="56"/>
      <c r="O39" s="56"/>
      <c r="P39" s="56">
        <v>8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 s="55" t="s">
        <v>243</v>
      </c>
      <c r="B40" s="56"/>
      <c r="C40" s="56"/>
      <c r="D40" s="56"/>
      <c r="E40" s="56">
        <v>1</v>
      </c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>
        <v>1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 s="57" t="s">
        <v>113</v>
      </c>
      <c r="B41" s="56"/>
      <c r="C41" s="56"/>
      <c r="D41" s="56"/>
      <c r="E41" s="56">
        <v>1</v>
      </c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>
        <v>1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 s="55" t="s">
        <v>102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>
        <v>20</v>
      </c>
      <c r="M42" s="56"/>
      <c r="N42" s="56"/>
      <c r="O42" s="56"/>
      <c r="P42" s="56">
        <v>20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 s="57" t="s">
        <v>116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>
        <v>20</v>
      </c>
      <c r="M43" s="56"/>
      <c r="N43" s="56"/>
      <c r="O43" s="56"/>
      <c r="P43" s="56">
        <v>20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 s="55" t="s">
        <v>165</v>
      </c>
      <c r="B44" s="56">
        <v>4</v>
      </c>
      <c r="C44" s="56">
        <v>2</v>
      </c>
      <c r="D44" s="56">
        <v>6</v>
      </c>
      <c r="E44" s="56">
        <v>2</v>
      </c>
      <c r="F44" s="56">
        <v>9</v>
      </c>
      <c r="G44" s="56">
        <v>8</v>
      </c>
      <c r="H44" s="56">
        <v>14</v>
      </c>
      <c r="I44" s="56">
        <v>3</v>
      </c>
      <c r="J44" s="56">
        <v>3</v>
      </c>
      <c r="K44" s="56">
        <v>14</v>
      </c>
      <c r="L44" s="56">
        <v>35</v>
      </c>
      <c r="M44" s="56">
        <v>37</v>
      </c>
      <c r="N44" s="56">
        <v>5</v>
      </c>
      <c r="O44" s="56">
        <v>5</v>
      </c>
      <c r="P44" s="56">
        <v>147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</row>
    <row r="56" spans="1:34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</row>
    <row r="57" spans="1:34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</row>
    <row r="63" spans="1:34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</row>
    <row r="65" spans="1:34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</row>
    <row r="66" spans="1:34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</row>
    <row r="67" spans="1:34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</row>
    <row r="68" spans="1:34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</row>
    <row r="69" spans="1:34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</row>
    <row r="70" spans="1:34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</row>
    <row r="71" spans="1:34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</row>
    <row r="72" spans="1:34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</row>
    <row r="73" spans="1:34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</row>
    <row r="74" spans="1:34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</row>
    <row r="75" spans="1:34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</row>
    <row r="76" spans="1:34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</row>
    <row r="77" spans="1:34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</row>
    <row r="78" spans="1:34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</row>
    <row r="79" spans="1:34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</row>
    <row r="80" spans="1:34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</row>
    <row r="81" spans="1:34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</row>
    <row r="82" spans="1:34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</row>
    <row r="83" spans="1:34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</row>
    <row r="84" spans="1:34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</row>
    <row r="85" spans="1:34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</row>
    <row r="86" spans="1:34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</row>
    <row r="87" spans="1:34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  <row r="88" spans="1:34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</row>
    <row r="89" spans="1:34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</row>
    <row r="90" spans="1:34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:34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:34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:34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:34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r="101" spans="1:34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</row>
    <row r="102" spans="1:34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</row>
    <row r="103" spans="1:34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</row>
    <row r="104" spans="1:34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</row>
    <row r="105" spans="1:34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</row>
    <row r="106" spans="1:34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</row>
    <row r="107" spans="1:34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</row>
    <row r="108" spans="1:34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</row>
    <row r="109" spans="1:34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 spans="1:34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</row>
    <row r="111" spans="1:34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</row>
    <row r="112" spans="1:34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</row>
    <row r="113" spans="1:34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</row>
    <row r="114" spans="1:34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</row>
    <row r="115" spans="1:34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</row>
    <row r="116" spans="1:34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</row>
    <row r="117" spans="1:34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</row>
    <row r="118" spans="1:34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</row>
    <row r="119" spans="1:34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</row>
    <row r="120" spans="1:34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</row>
    <row r="121" spans="1:34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</row>
    <row r="122" spans="1:34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</row>
    <row r="123" spans="1:34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</row>
    <row r="124" spans="1:34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</row>
    <row r="125" spans="1:34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</row>
    <row r="126" spans="1:34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</row>
    <row r="127" spans="1:34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</row>
    <row r="128" spans="1:34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</row>
    <row r="129" spans="1:34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</row>
    <row r="130" spans="1:34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</row>
    <row r="131" spans="1:34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</row>
    <row r="132" spans="1:34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</row>
    <row r="133" spans="1:34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</row>
    <row r="134" spans="1:34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</row>
    <row r="135" spans="1:34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</row>
    <row r="136" spans="1:34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</row>
    <row r="137" spans="1:34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</row>
    <row r="138" spans="1:34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</row>
    <row r="139" spans="1:34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</row>
    <row r="140" spans="1:34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</row>
    <row r="141" spans="1:34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</row>
    <row r="142" spans="1:34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</row>
    <row r="143" spans="1:34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</row>
    <row r="144" spans="1:34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</row>
    <row r="145" spans="1:34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</row>
    <row r="146" spans="1:34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</row>
    <row r="147" spans="1:34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</row>
    <row r="148" spans="1:34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</row>
    <row r="149" spans="1:34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</row>
    <row r="150" spans="1:34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</row>
    <row r="151" spans="1:34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</row>
    <row r="152" spans="1:34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</row>
    <row r="153" spans="1:34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</row>
    <row r="154" spans="1:34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</row>
    <row r="155" spans="1:34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</row>
    <row r="156" spans="1:34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</row>
    <row r="157" spans="1:34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</row>
    <row r="158" spans="1:34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 spans="1:34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</row>
    <row r="160" spans="1:34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</row>
    <row r="161" spans="1:34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</row>
    <row r="162" spans="1:34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</row>
    <row r="163" spans="1:34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</row>
    <row r="164" spans="1:34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</row>
    <row r="165" spans="1:34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</row>
    <row r="166" spans="1:34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</row>
    <row r="167" spans="1:34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</row>
    <row r="168" spans="1:34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</row>
    <row r="169" spans="1:34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</row>
    <row r="170" spans="1:34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</row>
    <row r="171" spans="1:34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</row>
    <row r="172" spans="1:34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</row>
    <row r="173" spans="1:34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</row>
    <row r="174" spans="1:34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</row>
    <row r="175" spans="1:34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</row>
    <row r="176" spans="1:34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</row>
    <row r="177" spans="1:34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</row>
    <row r="178" spans="1:34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</row>
    <row r="179" spans="1:34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</row>
    <row r="180" spans="1:34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</row>
    <row r="181" spans="1:34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</row>
    <row r="182" spans="1:34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</row>
    <row r="183" spans="1:34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</row>
    <row r="184" spans="1:34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</row>
    <row r="185" spans="1:34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</row>
    <row r="186" spans="1:34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</row>
    <row r="187" spans="1:34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</row>
    <row r="188" spans="1:34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</row>
    <row r="189" spans="1:34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</row>
    <row r="190" spans="1:34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</row>
    <row r="191" spans="1:34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</row>
    <row r="192" spans="1:34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</row>
    <row r="193" spans="1:34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</row>
    <row r="194" spans="1:34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</row>
    <row r="195" spans="1:34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</row>
    <row r="196" spans="1:34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</row>
    <row r="197" spans="1:34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</row>
    <row r="198" spans="1:34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</row>
    <row r="199" spans="1:34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</row>
    <row r="200" spans="1:34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</row>
    <row r="201" spans="1:34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</row>
    <row r="202" spans="1:34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</row>
    <row r="203" spans="1:34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</row>
    <row r="204" spans="1:34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</row>
    <row r="205" spans="1:34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</row>
    <row r="206" spans="1:34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</row>
    <row r="207" spans="1:34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</row>
    <row r="208" spans="1:34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</row>
    <row r="209" spans="1:34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</row>
    <row r="210" spans="1:34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</row>
    <row r="211" spans="1:34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</row>
    <row r="212" spans="1:34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</row>
    <row r="213" spans="1:34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</row>
    <row r="214" spans="1:34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</row>
    <row r="215" spans="1:34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</row>
    <row r="216" spans="1:34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</row>
    <row r="217" spans="1:34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</row>
    <row r="218" spans="1:34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</row>
    <row r="219" spans="1:34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</row>
    <row r="220" spans="1:34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</row>
    <row r="221" spans="1:34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</row>
    <row r="222" spans="1:34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</row>
    <row r="223" spans="1:34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</row>
    <row r="224" spans="1:34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</row>
    <row r="225" spans="1:34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</row>
    <row r="226" spans="1:34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</row>
    <row r="227" spans="1:34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</row>
    <row r="228" spans="1:34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</row>
    <row r="229" spans="1:34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</row>
    <row r="230" spans="1:34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</row>
    <row r="231" spans="1:34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</row>
    <row r="232" spans="1:34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</row>
    <row r="233" spans="1:34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</row>
    <row r="234" spans="1:34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</row>
    <row r="235" spans="1:34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</row>
    <row r="236" spans="1:34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</row>
    <row r="237" spans="1:34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</row>
    <row r="238" spans="1:34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</row>
    <row r="239" spans="1:34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</row>
    <row r="240" spans="1:34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</row>
    <row r="241" spans="1:34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</row>
    <row r="242" spans="1:34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</row>
    <row r="243" spans="1:34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</row>
    <row r="244" spans="1:34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</row>
    <row r="245" spans="1:34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</row>
    <row r="246" spans="1:34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</row>
    <row r="247" spans="1:34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</row>
    <row r="248" spans="1:34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</row>
    <row r="249" spans="1:34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</row>
    <row r="250" spans="1:34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</row>
    <row r="251" spans="1:34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</row>
    <row r="252" spans="1:34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</row>
    <row r="253" spans="1:34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</row>
    <row r="254" spans="1:34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</row>
    <row r="255" spans="1:34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</row>
    <row r="256" spans="1:34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</row>
    <row r="257" spans="1:34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</row>
    <row r="258" spans="1:34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</row>
    <row r="259" spans="1:34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</row>
    <row r="260" spans="1:34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</row>
    <row r="261" spans="1:34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</row>
    <row r="262" spans="1:34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</row>
    <row r="263" spans="1:34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</row>
    <row r="264" spans="1:34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</row>
    <row r="265" spans="1:34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</row>
    <row r="266" spans="1:34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</row>
    <row r="267" spans="1:34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</row>
    <row r="268" spans="1:34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</row>
    <row r="269" spans="1:34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</row>
    <row r="270" spans="1:34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</row>
    <row r="271" spans="1:34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</row>
    <row r="272" spans="1:34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</row>
    <row r="273" spans="1:34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</row>
    <row r="274" spans="1:34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</row>
    <row r="275" spans="1:34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</row>
    <row r="276" spans="1:34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</row>
    <row r="277" spans="1:34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</row>
    <row r="278" spans="1:34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</row>
    <row r="279" spans="1:34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</row>
    <row r="280" spans="1:34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</row>
    <row r="281" spans="1:34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</row>
    <row r="282" spans="1:34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</row>
    <row r="283" spans="1:34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</row>
    <row r="284" spans="1:34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</row>
    <row r="285" spans="1:34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</row>
    <row r="286" spans="1:34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</row>
    <row r="287" spans="1:34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</row>
    <row r="288" spans="1:34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</row>
    <row r="289" spans="1:34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</row>
    <row r="290" spans="1:34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</row>
    <row r="291" spans="1:34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</row>
    <row r="292" spans="1:34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</row>
    <row r="293" spans="1:3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</row>
    <row r="294" spans="1:34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</row>
    <row r="295" spans="1:34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</row>
    <row r="296" spans="1:34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</row>
    <row r="297" spans="1:34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</row>
    <row r="298" spans="1:34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</row>
    <row r="299" spans="1:34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</row>
    <row r="300" spans="1:34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</row>
    <row r="301" spans="1:34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</row>
    <row r="302" spans="1:34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</row>
    <row r="303" spans="1:34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</row>
    <row r="304" spans="1:34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</row>
    <row r="305" spans="1:34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</row>
    <row r="306" spans="1:34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</row>
    <row r="307" spans="1:34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</row>
    <row r="308" spans="1:34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</row>
    <row r="309" spans="1:34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</row>
    <row r="310" spans="1:34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</row>
    <row r="311" spans="1:34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</row>
    <row r="312" spans="1:34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</row>
    <row r="313" spans="1:34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</row>
    <row r="314" spans="1:34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</row>
    <row r="315" spans="1:34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</row>
    <row r="316" spans="1:34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</row>
    <row r="317" spans="1:34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</row>
    <row r="318" spans="1:34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</row>
    <row r="319" spans="1:34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</row>
    <row r="320" spans="1:34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</row>
    <row r="321" spans="1:34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</row>
    <row r="322" spans="1:34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</row>
    <row r="323" spans="1:34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</row>
    <row r="324" spans="1:34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</row>
    <row r="325" spans="1:34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</row>
    <row r="326" spans="1:34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</row>
    <row r="327" spans="1:34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</row>
    <row r="328" spans="1:34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</row>
    <row r="329" spans="1:34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</row>
    <row r="330" spans="1:34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</row>
    <row r="331" spans="1:34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</row>
    <row r="332" spans="1:34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</row>
    <row r="333" spans="1:34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</row>
    <row r="334" spans="1:34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</row>
    <row r="335" spans="1:34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</row>
    <row r="336" spans="1:34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</row>
    <row r="337" spans="1:34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</row>
    <row r="338" spans="1:34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</row>
    <row r="339" spans="1:34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</row>
    <row r="340" spans="1:34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</row>
    <row r="341" spans="1:34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</row>
    <row r="342" spans="1:34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</row>
    <row r="343" spans="1:34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</row>
    <row r="344" spans="1:34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</row>
    <row r="345" spans="1:34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</row>
    <row r="346" spans="1:34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</row>
    <row r="347" spans="1:34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</row>
    <row r="348" spans="1:34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</row>
    <row r="349" spans="1:34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</row>
    <row r="350" spans="1:34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</row>
    <row r="351" spans="1:34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</row>
    <row r="352" spans="1:34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</row>
    <row r="353" spans="1:34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</row>
    <row r="354" spans="1:34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</row>
    <row r="355" spans="1:34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</row>
    <row r="356" spans="1:34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</row>
    <row r="357" spans="1:34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</row>
    <row r="358" spans="1:34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</row>
    <row r="359" spans="1:34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</row>
    <row r="360" spans="1:34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</row>
    <row r="361" spans="1:34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</row>
    <row r="362" spans="1:34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</row>
    <row r="363" spans="1:34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</row>
    <row r="364" spans="1:34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</row>
    <row r="365" spans="1:34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</row>
    <row r="366" spans="1:34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</row>
    <row r="367" spans="1:34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</row>
    <row r="368" spans="1:34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</row>
    <row r="369" spans="1:34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</row>
    <row r="370" spans="1:34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</row>
    <row r="371" spans="1:34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</row>
    <row r="372" spans="1:34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</row>
    <row r="373" spans="1:34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</row>
    <row r="374" spans="1:34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</row>
    <row r="375" spans="1:34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</row>
    <row r="376" spans="1:34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</row>
    <row r="377" spans="1:34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</row>
    <row r="378" spans="1:34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</row>
    <row r="379" spans="1:34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</row>
    <row r="380" spans="1:34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</row>
    <row r="381" spans="1:34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</row>
    <row r="382" spans="1:34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</row>
    <row r="383" spans="1:34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</row>
    <row r="384" spans="1:34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</row>
    <row r="385" spans="1:34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</row>
    <row r="386" spans="1:34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</row>
    <row r="387" spans="1:34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</row>
    <row r="388" spans="1:34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</row>
    <row r="389" spans="1:34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</row>
    <row r="390" spans="1:34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</row>
    <row r="391" spans="1:34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</row>
    <row r="392" spans="1:34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</row>
    <row r="393" spans="1:34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</row>
    <row r="394" spans="1:34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</row>
    <row r="395" spans="1:34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</row>
    <row r="396" spans="1:34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</row>
    <row r="397" spans="1:34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</row>
    <row r="398" spans="1:34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</row>
    <row r="399" spans="1:34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</row>
    <row r="400" spans="1:34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</row>
    <row r="401" spans="1:34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</row>
    <row r="402" spans="1:34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</row>
    <row r="403" spans="1:34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</row>
    <row r="404" spans="1:34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</row>
    <row r="405" spans="1:34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</row>
    <row r="406" spans="1:34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</row>
    <row r="407" spans="1:34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</row>
    <row r="408" spans="1:34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</row>
    <row r="409" spans="1:34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</row>
    <row r="410" spans="1:34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</row>
    <row r="411" spans="1:34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</row>
    <row r="412" spans="1:34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</row>
    <row r="413" spans="1:34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</row>
    <row r="414" spans="1:34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</row>
    <row r="415" spans="1:34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</row>
    <row r="416" spans="1:34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</row>
    <row r="417" spans="1:34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</row>
    <row r="418" spans="1:34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</row>
    <row r="419" spans="1:34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</row>
    <row r="420" spans="1:34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</row>
    <row r="421" spans="1:34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</row>
    <row r="422" spans="1:34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</row>
    <row r="423" spans="1:34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</row>
    <row r="424" spans="1:34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</row>
    <row r="425" spans="1:34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</row>
    <row r="426" spans="1:34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</row>
    <row r="427" spans="1:34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</row>
    <row r="428" spans="1:34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</row>
    <row r="429" spans="1:34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</row>
    <row r="430" spans="1:34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</row>
    <row r="431" spans="1:34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</row>
    <row r="432" spans="1:34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</row>
    <row r="433" spans="1:34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</row>
    <row r="434" spans="1:34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</row>
    <row r="435" spans="1:34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</row>
    <row r="436" spans="1:34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AJ364"/>
  <sheetViews>
    <sheetView workbookViewId="0"/>
  </sheetViews>
  <sheetFormatPr defaultRowHeight="12.75" x14ac:dyDescent="0.2"/>
  <cols>
    <col min="1" max="1" width="9.140625" style="61"/>
    <col min="2" max="2" width="39.7109375" style="61" customWidth="1"/>
    <col min="3" max="3" width="16.85546875" style="61" bestFit="1" customWidth="1"/>
    <col min="4" max="8" width="4.7109375" style="61" customWidth="1"/>
    <col min="9" max="9" width="3.42578125" style="61" customWidth="1"/>
    <col min="10" max="10" width="4.7109375" style="61" customWidth="1"/>
    <col min="11" max="11" width="5.28515625" style="61" customWidth="1"/>
    <col min="12" max="15" width="4.7109375" style="61" customWidth="1"/>
    <col min="16" max="19" width="3.7109375" style="61" customWidth="1"/>
    <col min="20" max="20" width="4.28515625" style="61" customWidth="1"/>
    <col min="21" max="22" width="5.28515625" style="61" customWidth="1"/>
    <col min="23" max="23" width="11.7109375" style="61" customWidth="1"/>
    <col min="24" max="24" width="4.42578125" style="61" customWidth="1"/>
    <col min="25" max="25" width="3.85546875" style="61" customWidth="1"/>
    <col min="26" max="30" width="3.7109375" style="61" customWidth="1"/>
    <col min="31" max="31" width="4.28515625" style="61" customWidth="1"/>
    <col min="32" max="33" width="5.28515625" style="61" customWidth="1"/>
    <col min="34" max="35" width="11.7109375" style="61" customWidth="1"/>
    <col min="36" max="36" width="11.7109375" style="61" bestFit="1" customWidth="1"/>
    <col min="37" max="16384" width="9.140625" style="61"/>
  </cols>
  <sheetData>
    <row r="1" spans="2:36" x14ac:dyDescent="0.2">
      <c r="B1"/>
      <c r="C1"/>
    </row>
    <row r="3" spans="2:36" x14ac:dyDescent="0.2">
      <c r="B3" s="54" t="s">
        <v>173</v>
      </c>
      <c r="C3" s="54" t="s">
        <v>163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2:36" x14ac:dyDescent="0.2">
      <c r="B4" s="54" t="s">
        <v>164</v>
      </c>
      <c r="C4" t="s">
        <v>185</v>
      </c>
      <c r="D4" t="s">
        <v>211</v>
      </c>
      <c r="E4" t="s">
        <v>203</v>
      </c>
      <c r="F4" t="s">
        <v>181</v>
      </c>
      <c r="G4" t="s">
        <v>195</v>
      </c>
      <c r="H4" t="s">
        <v>206</v>
      </c>
      <c r="I4" t="s">
        <v>180</v>
      </c>
      <c r="J4" t="s">
        <v>207</v>
      </c>
      <c r="K4" t="s">
        <v>186</v>
      </c>
      <c r="L4" t="s">
        <v>225</v>
      </c>
      <c r="M4" t="s">
        <v>179</v>
      </c>
      <c r="N4" t="s">
        <v>189</v>
      </c>
      <c r="O4" t="s">
        <v>224</v>
      </c>
      <c r="P4" t="s">
        <v>226</v>
      </c>
      <c r="Q4" t="s">
        <v>209</v>
      </c>
      <c r="R4" t="s">
        <v>210</v>
      </c>
      <c r="S4" t="s">
        <v>184</v>
      </c>
      <c r="T4" t="s">
        <v>208</v>
      </c>
      <c r="U4" t="s">
        <v>194</v>
      </c>
      <c r="V4" t="s">
        <v>191</v>
      </c>
      <c r="W4" t="s">
        <v>165</v>
      </c>
      <c r="X4"/>
      <c r="Y4"/>
      <c r="Z4"/>
      <c r="AA4"/>
      <c r="AB4"/>
      <c r="AC4"/>
      <c r="AD4"/>
      <c r="AE4"/>
      <c r="AF4"/>
      <c r="AG4"/>
      <c r="AH4"/>
      <c r="AI4"/>
      <c r="AJ4"/>
    </row>
    <row r="5" spans="2:36" x14ac:dyDescent="0.2">
      <c r="B5" s="55" t="s">
        <v>114</v>
      </c>
      <c r="C5" s="56">
        <v>7</v>
      </c>
      <c r="D5" s="56">
        <v>8</v>
      </c>
      <c r="E5" s="56">
        <v>9</v>
      </c>
      <c r="F5" s="56">
        <v>11</v>
      </c>
      <c r="G5" s="56">
        <v>11</v>
      </c>
      <c r="H5" s="56">
        <v>11</v>
      </c>
      <c r="I5" s="56">
        <v>11</v>
      </c>
      <c r="J5" s="56">
        <v>11</v>
      </c>
      <c r="K5" s="56">
        <v>11</v>
      </c>
      <c r="L5" s="56">
        <v>12</v>
      </c>
      <c r="M5" s="56">
        <v>14</v>
      </c>
      <c r="N5" s="56">
        <v>16</v>
      </c>
      <c r="O5" s="56">
        <v>16</v>
      </c>
      <c r="P5" s="56">
        <v>16</v>
      </c>
      <c r="Q5" s="56">
        <v>17</v>
      </c>
      <c r="R5" s="56">
        <v>17</v>
      </c>
      <c r="S5" s="56">
        <v>18</v>
      </c>
      <c r="T5" s="56">
        <v>18</v>
      </c>
      <c r="U5" s="56">
        <v>18</v>
      </c>
      <c r="V5" s="56">
        <v>20</v>
      </c>
      <c r="W5" s="56">
        <v>272</v>
      </c>
      <c r="X5"/>
      <c r="Y5"/>
      <c r="Z5"/>
      <c r="AA5"/>
      <c r="AB5"/>
      <c r="AC5"/>
      <c r="AD5"/>
      <c r="AE5"/>
      <c r="AF5"/>
      <c r="AG5"/>
      <c r="AH5"/>
      <c r="AI5"/>
      <c r="AJ5"/>
    </row>
    <row r="6" spans="2:36" x14ac:dyDescent="0.2">
      <c r="B6" s="57" t="s">
        <v>313</v>
      </c>
      <c r="C6" s="56"/>
      <c r="D6" s="56"/>
      <c r="E6" s="56">
        <v>1</v>
      </c>
      <c r="F6" s="56"/>
      <c r="G6" s="56"/>
      <c r="H6" s="56"/>
      <c r="I6" s="56"/>
      <c r="J6" s="56"/>
      <c r="K6" s="56">
        <v>5</v>
      </c>
      <c r="L6" s="56"/>
      <c r="M6" s="56"/>
      <c r="N6" s="56">
        <v>1</v>
      </c>
      <c r="O6" s="56"/>
      <c r="P6" s="56"/>
      <c r="Q6" s="56"/>
      <c r="R6" s="56"/>
      <c r="S6" s="56"/>
      <c r="T6" s="56"/>
      <c r="U6" s="56"/>
      <c r="V6" s="56"/>
      <c r="W6" s="56">
        <v>7</v>
      </c>
      <c r="X6"/>
      <c r="Y6"/>
      <c r="Z6"/>
      <c r="AA6"/>
      <c r="AB6"/>
      <c r="AC6"/>
      <c r="AD6"/>
      <c r="AE6"/>
      <c r="AF6"/>
      <c r="AG6"/>
      <c r="AH6"/>
      <c r="AI6"/>
      <c r="AJ6"/>
    </row>
    <row r="7" spans="2:36" x14ac:dyDescent="0.2">
      <c r="B7" s="57" t="s">
        <v>137</v>
      </c>
      <c r="C7" s="56"/>
      <c r="D7" s="56"/>
      <c r="E7" s="56"/>
      <c r="F7" s="56"/>
      <c r="G7" s="56"/>
      <c r="H7" s="56"/>
      <c r="I7" s="56"/>
      <c r="J7" s="56">
        <v>1</v>
      </c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>
        <v>1</v>
      </c>
      <c r="X7"/>
      <c r="Y7"/>
      <c r="Z7"/>
      <c r="AA7"/>
      <c r="AB7"/>
      <c r="AC7"/>
      <c r="AD7"/>
      <c r="AE7"/>
      <c r="AF7"/>
      <c r="AG7"/>
      <c r="AH7"/>
      <c r="AI7"/>
      <c r="AJ7"/>
    </row>
    <row r="8" spans="2:36" x14ac:dyDescent="0.2">
      <c r="B8" s="57" t="s">
        <v>132</v>
      </c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>
        <v>2</v>
      </c>
      <c r="Q8" s="56"/>
      <c r="R8" s="56"/>
      <c r="S8" s="56"/>
      <c r="T8" s="56"/>
      <c r="U8" s="56"/>
      <c r="V8" s="56"/>
      <c r="W8" s="56">
        <v>2</v>
      </c>
      <c r="X8"/>
      <c r="Y8"/>
      <c r="Z8"/>
      <c r="AA8"/>
      <c r="AB8"/>
      <c r="AC8"/>
      <c r="AD8"/>
      <c r="AE8"/>
      <c r="AF8"/>
      <c r="AG8"/>
      <c r="AH8"/>
      <c r="AI8"/>
      <c r="AJ8"/>
    </row>
    <row r="9" spans="2:36" x14ac:dyDescent="0.2">
      <c r="B9" s="57" t="s">
        <v>130</v>
      </c>
      <c r="C9" s="56">
        <v>7</v>
      </c>
      <c r="D9" s="56">
        <v>2</v>
      </c>
      <c r="E9" s="56">
        <v>4</v>
      </c>
      <c r="F9" s="56">
        <v>6</v>
      </c>
      <c r="G9" s="56">
        <v>5</v>
      </c>
      <c r="H9" s="56">
        <v>5</v>
      </c>
      <c r="I9" s="56">
        <v>5</v>
      </c>
      <c r="J9" s="56">
        <v>6</v>
      </c>
      <c r="K9" s="56">
        <v>2</v>
      </c>
      <c r="L9" s="56">
        <v>7</v>
      </c>
      <c r="M9" s="56">
        <v>3</v>
      </c>
      <c r="N9" s="56">
        <v>5</v>
      </c>
      <c r="O9" s="56">
        <v>8</v>
      </c>
      <c r="P9" s="56">
        <v>7</v>
      </c>
      <c r="Q9" s="56">
        <v>6</v>
      </c>
      <c r="R9" s="56">
        <v>14</v>
      </c>
      <c r="S9" s="56">
        <v>6</v>
      </c>
      <c r="T9" s="56">
        <v>8</v>
      </c>
      <c r="U9" s="56">
        <v>9</v>
      </c>
      <c r="V9" s="56">
        <v>12</v>
      </c>
      <c r="W9" s="56">
        <v>127</v>
      </c>
      <c r="X9"/>
      <c r="Y9"/>
      <c r="Z9"/>
      <c r="AA9"/>
      <c r="AB9"/>
      <c r="AC9"/>
      <c r="AD9"/>
      <c r="AE9"/>
      <c r="AF9"/>
      <c r="AG9"/>
      <c r="AH9"/>
      <c r="AI9"/>
      <c r="AJ9"/>
    </row>
    <row r="10" spans="2:36" x14ac:dyDescent="0.2">
      <c r="B10" s="57" t="s">
        <v>119</v>
      </c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>
        <v>4</v>
      </c>
      <c r="N10" s="56">
        <v>4</v>
      </c>
      <c r="O10" s="56"/>
      <c r="P10" s="56"/>
      <c r="Q10" s="56"/>
      <c r="R10" s="56"/>
      <c r="S10" s="56">
        <v>5</v>
      </c>
      <c r="T10" s="56"/>
      <c r="U10" s="56">
        <v>5</v>
      </c>
      <c r="V10" s="56"/>
      <c r="W10" s="56">
        <v>18</v>
      </c>
      <c r="X10"/>
      <c r="Y10"/>
      <c r="Z10"/>
      <c r="AA10"/>
      <c r="AB10"/>
      <c r="AC10"/>
      <c r="AD10"/>
      <c r="AE10"/>
      <c r="AF10"/>
      <c r="AG10"/>
      <c r="AH10"/>
      <c r="AI10"/>
      <c r="AJ10"/>
    </row>
    <row r="11" spans="2:36" x14ac:dyDescent="0.2">
      <c r="B11" s="57" t="s">
        <v>120</v>
      </c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>
        <v>4</v>
      </c>
      <c r="N11" s="56">
        <v>4</v>
      </c>
      <c r="O11" s="56"/>
      <c r="P11" s="56"/>
      <c r="Q11" s="56"/>
      <c r="R11" s="56"/>
      <c r="S11" s="56">
        <v>4</v>
      </c>
      <c r="T11" s="56"/>
      <c r="U11" s="56">
        <v>4</v>
      </c>
      <c r="V11" s="56"/>
      <c r="W11" s="56">
        <v>16</v>
      </c>
      <c r="X11"/>
      <c r="Y11"/>
      <c r="Z11"/>
      <c r="AA11"/>
      <c r="AB11"/>
      <c r="AC11"/>
      <c r="AD11"/>
      <c r="AE11"/>
      <c r="AF11"/>
      <c r="AG11"/>
      <c r="AH11"/>
      <c r="AI11"/>
      <c r="AJ11"/>
    </row>
    <row r="12" spans="2:36" x14ac:dyDescent="0.2">
      <c r="B12" s="57" t="s">
        <v>131</v>
      </c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>
        <v>1</v>
      </c>
      <c r="Q12" s="56"/>
      <c r="R12" s="56"/>
      <c r="S12" s="56"/>
      <c r="T12" s="56"/>
      <c r="U12" s="56"/>
      <c r="V12" s="56"/>
      <c r="W12" s="56">
        <v>1</v>
      </c>
      <c r="X12"/>
      <c r="Y12"/>
      <c r="Z12"/>
      <c r="AA12"/>
      <c r="AB12"/>
      <c r="AC12"/>
      <c r="AD12"/>
      <c r="AE12"/>
      <c r="AF12"/>
      <c r="AG12"/>
      <c r="AH12"/>
      <c r="AI12"/>
      <c r="AJ12"/>
    </row>
    <row r="13" spans="2:36" x14ac:dyDescent="0.2">
      <c r="B13" s="57" t="s">
        <v>239</v>
      </c>
      <c r="C13" s="56"/>
      <c r="D13" s="56"/>
      <c r="E13" s="56"/>
      <c r="F13" s="56"/>
      <c r="G13" s="56"/>
      <c r="H13" s="56"/>
      <c r="I13" s="56"/>
      <c r="J13" s="56">
        <v>4</v>
      </c>
      <c r="K13" s="56"/>
      <c r="L13" s="56"/>
      <c r="M13" s="56"/>
      <c r="N13" s="56"/>
      <c r="O13" s="56"/>
      <c r="P13" s="56"/>
      <c r="Q13" s="56"/>
      <c r="R13" s="56">
        <v>3</v>
      </c>
      <c r="S13" s="56"/>
      <c r="T13" s="56">
        <v>10</v>
      </c>
      <c r="U13" s="56"/>
      <c r="V13" s="56"/>
      <c r="W13" s="56">
        <v>17</v>
      </c>
      <c r="X13"/>
      <c r="Y13"/>
      <c r="Z13"/>
      <c r="AA13"/>
      <c r="AB13"/>
      <c r="AC13"/>
      <c r="AD13"/>
      <c r="AE13"/>
      <c r="AF13"/>
      <c r="AG13"/>
      <c r="AH13"/>
      <c r="AI13"/>
      <c r="AJ13"/>
    </row>
    <row r="14" spans="2:36" x14ac:dyDescent="0.2">
      <c r="B14" s="57" t="s">
        <v>251</v>
      </c>
      <c r="C14" s="56"/>
      <c r="D14" s="56"/>
      <c r="E14" s="56">
        <v>4</v>
      </c>
      <c r="F14" s="56">
        <v>5</v>
      </c>
      <c r="G14" s="56">
        <v>6</v>
      </c>
      <c r="H14" s="56"/>
      <c r="I14" s="56">
        <v>6</v>
      </c>
      <c r="J14" s="56"/>
      <c r="K14" s="56">
        <v>4</v>
      </c>
      <c r="L14" s="56"/>
      <c r="M14" s="56"/>
      <c r="N14" s="56"/>
      <c r="O14" s="56"/>
      <c r="P14" s="56">
        <v>6</v>
      </c>
      <c r="Q14" s="56">
        <v>4</v>
      </c>
      <c r="R14" s="56"/>
      <c r="S14" s="56"/>
      <c r="T14" s="56"/>
      <c r="U14" s="56"/>
      <c r="V14" s="56">
        <v>8</v>
      </c>
      <c r="W14" s="56">
        <v>43</v>
      </c>
      <c r="X14"/>
      <c r="Y14"/>
      <c r="Z14"/>
      <c r="AA14"/>
      <c r="AB14"/>
      <c r="AC14"/>
      <c r="AD14"/>
      <c r="AE14"/>
      <c r="AF14"/>
      <c r="AG14"/>
      <c r="AH14"/>
      <c r="AI14"/>
      <c r="AJ14"/>
    </row>
    <row r="15" spans="2:36" x14ac:dyDescent="0.2">
      <c r="B15" s="57" t="s">
        <v>242</v>
      </c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>
        <v>8</v>
      </c>
      <c r="P15" s="56"/>
      <c r="Q15" s="56"/>
      <c r="R15" s="56"/>
      <c r="S15" s="56"/>
      <c r="T15" s="56"/>
      <c r="U15" s="56"/>
      <c r="V15" s="56"/>
      <c r="W15" s="56">
        <v>8</v>
      </c>
      <c r="X15"/>
      <c r="Y15"/>
      <c r="Z15"/>
      <c r="AA15"/>
      <c r="AB15"/>
      <c r="AC15"/>
      <c r="AD15"/>
      <c r="AE15"/>
      <c r="AF15"/>
      <c r="AG15"/>
      <c r="AH15"/>
      <c r="AI15"/>
      <c r="AJ15"/>
    </row>
    <row r="16" spans="2:36" x14ac:dyDescent="0.2">
      <c r="B16" s="57" t="s">
        <v>254</v>
      </c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>
        <v>3</v>
      </c>
      <c r="N16" s="56">
        <v>2</v>
      </c>
      <c r="O16" s="56"/>
      <c r="P16" s="56"/>
      <c r="Q16" s="56"/>
      <c r="R16" s="56"/>
      <c r="S16" s="56">
        <v>3</v>
      </c>
      <c r="T16" s="56"/>
      <c r="U16" s="56"/>
      <c r="V16" s="56"/>
      <c r="W16" s="56">
        <v>8</v>
      </c>
      <c r="X16"/>
      <c r="Y16"/>
      <c r="Z16"/>
      <c r="AA16"/>
      <c r="AB16"/>
      <c r="AC16"/>
      <c r="AD16"/>
      <c r="AE16"/>
      <c r="AF16"/>
      <c r="AG16"/>
      <c r="AH16"/>
      <c r="AI16"/>
      <c r="AJ16"/>
    </row>
    <row r="17" spans="2:36" x14ac:dyDescent="0.2">
      <c r="B17" s="57" t="s">
        <v>105</v>
      </c>
      <c r="C17" s="56"/>
      <c r="D17" s="56">
        <v>6</v>
      </c>
      <c r="E17" s="56"/>
      <c r="F17" s="56"/>
      <c r="G17" s="56"/>
      <c r="H17" s="56">
        <v>6</v>
      </c>
      <c r="I17" s="56"/>
      <c r="J17" s="56"/>
      <c r="K17" s="56"/>
      <c r="L17" s="56">
        <v>5</v>
      </c>
      <c r="M17" s="56"/>
      <c r="N17" s="56"/>
      <c r="O17" s="56"/>
      <c r="P17" s="56"/>
      <c r="Q17" s="56">
        <v>7</v>
      </c>
      <c r="R17" s="56"/>
      <c r="S17" s="56"/>
      <c r="T17" s="56"/>
      <c r="U17" s="56"/>
      <c r="V17" s="56"/>
      <c r="W17" s="56">
        <v>24</v>
      </c>
      <c r="X17"/>
      <c r="Y17"/>
      <c r="Z17"/>
      <c r="AA17"/>
      <c r="AB17"/>
      <c r="AC17"/>
      <c r="AD17"/>
      <c r="AE17"/>
      <c r="AF17"/>
      <c r="AG17"/>
      <c r="AH17"/>
      <c r="AI17"/>
      <c r="AJ17"/>
    </row>
    <row r="18" spans="2:36" x14ac:dyDescent="0.2">
      <c r="B18" s="55" t="s">
        <v>165</v>
      </c>
      <c r="C18" s="56">
        <v>7</v>
      </c>
      <c r="D18" s="56">
        <v>8</v>
      </c>
      <c r="E18" s="56">
        <v>9</v>
      </c>
      <c r="F18" s="56">
        <v>11</v>
      </c>
      <c r="G18" s="56">
        <v>11</v>
      </c>
      <c r="H18" s="56">
        <v>11</v>
      </c>
      <c r="I18" s="56">
        <v>11</v>
      </c>
      <c r="J18" s="56">
        <v>11</v>
      </c>
      <c r="K18" s="56">
        <v>11</v>
      </c>
      <c r="L18" s="56">
        <v>12</v>
      </c>
      <c r="M18" s="56">
        <v>14</v>
      </c>
      <c r="N18" s="56">
        <v>16</v>
      </c>
      <c r="O18" s="56">
        <v>16</v>
      </c>
      <c r="P18" s="56">
        <v>16</v>
      </c>
      <c r="Q18" s="56">
        <v>17</v>
      </c>
      <c r="R18" s="56">
        <v>17</v>
      </c>
      <c r="S18" s="56">
        <v>18</v>
      </c>
      <c r="T18" s="56">
        <v>18</v>
      </c>
      <c r="U18" s="56">
        <v>18</v>
      </c>
      <c r="V18" s="56">
        <v>20</v>
      </c>
      <c r="W18" s="56">
        <v>272</v>
      </c>
      <c r="X18"/>
      <c r="Y18"/>
      <c r="Z18"/>
      <c r="AA18"/>
      <c r="AB18"/>
      <c r="AC18"/>
      <c r="AD18"/>
      <c r="AE18"/>
      <c r="AF18"/>
      <c r="AG18"/>
      <c r="AH18"/>
      <c r="AI18"/>
      <c r="AJ18"/>
    </row>
    <row r="19" spans="2:36" x14ac:dyDescent="0.2"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</row>
    <row r="20" spans="2:36" x14ac:dyDescent="0.2"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</row>
    <row r="21" spans="2:36" x14ac:dyDescent="0.2"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</row>
    <row r="22" spans="2:36" x14ac:dyDescent="0.2"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</row>
    <row r="23" spans="2:36" x14ac:dyDescent="0.2"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</row>
    <row r="24" spans="2:36" x14ac:dyDescent="0.2"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</row>
    <row r="25" spans="2:36" x14ac:dyDescent="0.2"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</row>
    <row r="26" spans="2:36" x14ac:dyDescent="0.2"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</row>
    <row r="27" spans="2:36" x14ac:dyDescent="0.2"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</row>
    <row r="28" spans="2:36" x14ac:dyDescent="0.2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</row>
    <row r="29" spans="2:36" x14ac:dyDescent="0.2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</row>
    <row r="30" spans="2:36" x14ac:dyDescent="0.2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</row>
    <row r="31" spans="2:36" x14ac:dyDescent="0.2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</row>
    <row r="32" spans="2:36" x14ac:dyDescent="0.2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</row>
    <row r="33" spans="2:35" x14ac:dyDescent="0.2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</row>
    <row r="34" spans="2:35" x14ac:dyDescent="0.2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</row>
    <row r="35" spans="2:35" x14ac:dyDescent="0.2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</row>
    <row r="36" spans="2:35" x14ac:dyDescent="0.2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</row>
    <row r="37" spans="2:35" x14ac:dyDescent="0.2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</row>
    <row r="38" spans="2:35" x14ac:dyDescent="0.2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</row>
    <row r="39" spans="2:35" x14ac:dyDescent="0.2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</row>
    <row r="40" spans="2:35" x14ac:dyDescent="0.2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</row>
    <row r="41" spans="2:35" x14ac:dyDescent="0.2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</row>
    <row r="42" spans="2:35" x14ac:dyDescent="0.2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</row>
    <row r="43" spans="2:35" x14ac:dyDescent="0.2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</row>
    <row r="44" spans="2:35" x14ac:dyDescent="0.2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</row>
    <row r="45" spans="2:35" x14ac:dyDescent="0.2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</row>
    <row r="46" spans="2:35" x14ac:dyDescent="0.2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</row>
    <row r="47" spans="2:35" x14ac:dyDescent="0.2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</row>
    <row r="48" spans="2:35" x14ac:dyDescent="0.2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</row>
    <row r="49" spans="2:35" x14ac:dyDescent="0.2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</row>
    <row r="50" spans="2:35" x14ac:dyDescent="0.2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</row>
    <row r="51" spans="2:35" x14ac:dyDescent="0.2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</row>
    <row r="52" spans="2:35" x14ac:dyDescent="0.2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</row>
    <row r="53" spans="2:35" x14ac:dyDescent="0.2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</row>
    <row r="54" spans="2:35" x14ac:dyDescent="0.2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</row>
    <row r="55" spans="2:35" x14ac:dyDescent="0.2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</row>
    <row r="56" spans="2:35" x14ac:dyDescent="0.2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</row>
    <row r="57" spans="2:35" x14ac:dyDescent="0.2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</row>
    <row r="58" spans="2:35" x14ac:dyDescent="0.2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</row>
    <row r="59" spans="2:35" x14ac:dyDescent="0.2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</row>
    <row r="60" spans="2:35" x14ac:dyDescent="0.2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</row>
    <row r="61" spans="2:35" x14ac:dyDescent="0.2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</row>
    <row r="62" spans="2:35" x14ac:dyDescent="0.2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</row>
    <row r="63" spans="2:35" x14ac:dyDescent="0.2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</row>
    <row r="64" spans="2:35" x14ac:dyDescent="0.2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</row>
    <row r="65" spans="2:35" x14ac:dyDescent="0.2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</row>
    <row r="66" spans="2:35" x14ac:dyDescent="0.2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</row>
    <row r="67" spans="2:35" x14ac:dyDescent="0.2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</row>
    <row r="68" spans="2:35" x14ac:dyDescent="0.2">
      <c r="AI68"/>
    </row>
    <row r="69" spans="2:35" x14ac:dyDescent="0.2">
      <c r="AI69"/>
    </row>
    <row r="70" spans="2:35" x14ac:dyDescent="0.2">
      <c r="AI70"/>
    </row>
    <row r="71" spans="2:35" x14ac:dyDescent="0.2">
      <c r="AI71"/>
    </row>
    <row r="72" spans="2:35" x14ac:dyDescent="0.2">
      <c r="AI72"/>
    </row>
    <row r="73" spans="2:35" x14ac:dyDescent="0.2">
      <c r="AI73"/>
    </row>
    <row r="74" spans="2:35" x14ac:dyDescent="0.2">
      <c r="AI74"/>
    </row>
    <row r="75" spans="2:35" x14ac:dyDescent="0.2">
      <c r="AI75"/>
    </row>
    <row r="76" spans="2:35" x14ac:dyDescent="0.2">
      <c r="AI76"/>
    </row>
    <row r="77" spans="2:35" x14ac:dyDescent="0.2">
      <c r="AI77"/>
    </row>
    <row r="78" spans="2:35" x14ac:dyDescent="0.2">
      <c r="AI78"/>
    </row>
    <row r="79" spans="2:35" x14ac:dyDescent="0.2">
      <c r="AI79"/>
    </row>
    <row r="80" spans="2:35" x14ac:dyDescent="0.2">
      <c r="AI80"/>
    </row>
    <row r="81" spans="35:35" x14ac:dyDescent="0.2">
      <c r="AI81"/>
    </row>
    <row r="82" spans="35:35" x14ac:dyDescent="0.2">
      <c r="AI82"/>
    </row>
    <row r="83" spans="35:35" x14ac:dyDescent="0.2">
      <c r="AI83"/>
    </row>
    <row r="84" spans="35:35" x14ac:dyDescent="0.2">
      <c r="AI84"/>
    </row>
    <row r="85" spans="35:35" x14ac:dyDescent="0.2">
      <c r="AI85"/>
    </row>
    <row r="86" spans="35:35" x14ac:dyDescent="0.2">
      <c r="AI86"/>
    </row>
    <row r="87" spans="35:35" x14ac:dyDescent="0.2">
      <c r="AI87"/>
    </row>
    <row r="88" spans="35:35" x14ac:dyDescent="0.2">
      <c r="AI88"/>
    </row>
    <row r="89" spans="35:35" x14ac:dyDescent="0.2">
      <c r="AI89"/>
    </row>
    <row r="90" spans="35:35" x14ac:dyDescent="0.2">
      <c r="AI90"/>
    </row>
    <row r="91" spans="35:35" x14ac:dyDescent="0.2">
      <c r="AI91"/>
    </row>
    <row r="92" spans="35:35" x14ac:dyDescent="0.2">
      <c r="AI92"/>
    </row>
    <row r="93" spans="35:35" x14ac:dyDescent="0.2">
      <c r="AI93"/>
    </row>
    <row r="94" spans="35:35" x14ac:dyDescent="0.2">
      <c r="AI94"/>
    </row>
    <row r="95" spans="35:35" x14ac:dyDescent="0.2">
      <c r="AI95"/>
    </row>
    <row r="96" spans="35:35" x14ac:dyDescent="0.2">
      <c r="AI96"/>
    </row>
    <row r="97" spans="2:35" x14ac:dyDescent="0.2">
      <c r="AI97"/>
    </row>
    <row r="98" spans="2:35" x14ac:dyDescent="0.2">
      <c r="AI98"/>
    </row>
    <row r="99" spans="2:35" x14ac:dyDescent="0.2">
      <c r="AI99"/>
    </row>
    <row r="100" spans="2:35" x14ac:dyDescent="0.2">
      <c r="B100" s="54" t="s">
        <v>173</v>
      </c>
      <c r="C100" s="54" t="s">
        <v>163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</row>
    <row r="101" spans="2:35" x14ac:dyDescent="0.2">
      <c r="B101" s="54" t="s">
        <v>164</v>
      </c>
      <c r="C101" t="s">
        <v>184</v>
      </c>
      <c r="D101" t="s">
        <v>207</v>
      </c>
      <c r="E101" t="s">
        <v>185</v>
      </c>
      <c r="F101" t="s">
        <v>186</v>
      </c>
      <c r="G101" t="s">
        <v>189</v>
      </c>
      <c r="H101" t="s">
        <v>208</v>
      </c>
      <c r="I101" t="s">
        <v>203</v>
      </c>
      <c r="J101" t="s">
        <v>209</v>
      </c>
      <c r="K101" t="s">
        <v>191</v>
      </c>
      <c r="L101" t="s">
        <v>194</v>
      </c>
      <c r="M101" t="s">
        <v>210</v>
      </c>
      <c r="N101" t="s">
        <v>211</v>
      </c>
      <c r="O101" t="s">
        <v>195</v>
      </c>
      <c r="P101" t="s">
        <v>179</v>
      </c>
      <c r="Q101" t="s">
        <v>206</v>
      </c>
      <c r="R101" t="s">
        <v>180</v>
      </c>
      <c r="S101" t="s">
        <v>181</v>
      </c>
      <c r="T101" t="s">
        <v>224</v>
      </c>
      <c r="U101" t="s">
        <v>225</v>
      </c>
      <c r="V101" t="s">
        <v>226</v>
      </c>
      <c r="W101" t="s">
        <v>165</v>
      </c>
      <c r="X101"/>
      <c r="Y101"/>
      <c r="Z101"/>
      <c r="AA101"/>
      <c r="AB101"/>
      <c r="AC101"/>
      <c r="AD101"/>
      <c r="AE101"/>
      <c r="AF101"/>
      <c r="AG101"/>
      <c r="AH101"/>
      <c r="AI101"/>
    </row>
    <row r="102" spans="2:35" x14ac:dyDescent="0.2">
      <c r="B102" s="55" t="s">
        <v>114</v>
      </c>
      <c r="C102" s="56">
        <v>18</v>
      </c>
      <c r="D102" s="56">
        <v>11</v>
      </c>
      <c r="E102" s="56">
        <v>7</v>
      </c>
      <c r="F102" s="56">
        <v>11</v>
      </c>
      <c r="G102" s="56">
        <v>16</v>
      </c>
      <c r="H102" s="56">
        <v>18</v>
      </c>
      <c r="I102" s="56">
        <v>9</v>
      </c>
      <c r="J102" s="56">
        <v>17</v>
      </c>
      <c r="K102" s="56">
        <v>20</v>
      </c>
      <c r="L102" s="56">
        <v>18</v>
      </c>
      <c r="M102" s="56">
        <v>17</v>
      </c>
      <c r="N102" s="56">
        <v>8</v>
      </c>
      <c r="O102" s="56">
        <v>11</v>
      </c>
      <c r="P102" s="56">
        <v>14</v>
      </c>
      <c r="Q102" s="56">
        <v>11</v>
      </c>
      <c r="R102" s="56">
        <v>11</v>
      </c>
      <c r="S102" s="56">
        <v>11</v>
      </c>
      <c r="T102" s="56">
        <v>16</v>
      </c>
      <c r="U102" s="56">
        <v>12</v>
      </c>
      <c r="V102" s="56">
        <v>16</v>
      </c>
      <c r="W102" s="56">
        <v>272</v>
      </c>
      <c r="X102"/>
      <c r="Y102"/>
      <c r="Z102"/>
      <c r="AA102"/>
      <c r="AB102"/>
      <c r="AC102"/>
      <c r="AD102"/>
      <c r="AE102"/>
      <c r="AF102"/>
      <c r="AG102"/>
      <c r="AH102"/>
      <c r="AI102"/>
    </row>
    <row r="103" spans="2:35" x14ac:dyDescent="0.2">
      <c r="B103" s="57"/>
      <c r="C103" s="56">
        <v>18</v>
      </c>
      <c r="D103" s="56"/>
      <c r="E103" s="56">
        <v>7</v>
      </c>
      <c r="F103" s="56">
        <v>9</v>
      </c>
      <c r="G103" s="56">
        <v>1</v>
      </c>
      <c r="H103" s="56">
        <v>18</v>
      </c>
      <c r="I103" s="56">
        <v>3</v>
      </c>
      <c r="J103" s="56"/>
      <c r="K103" s="56">
        <v>8</v>
      </c>
      <c r="L103" s="56">
        <v>18</v>
      </c>
      <c r="M103" s="56">
        <v>17</v>
      </c>
      <c r="N103" s="56">
        <v>8</v>
      </c>
      <c r="O103" s="56">
        <v>2</v>
      </c>
      <c r="P103" s="56">
        <v>14</v>
      </c>
      <c r="Q103" s="56">
        <v>11</v>
      </c>
      <c r="R103" s="56">
        <v>11</v>
      </c>
      <c r="S103" s="56">
        <v>9</v>
      </c>
      <c r="T103" s="56">
        <v>16</v>
      </c>
      <c r="U103" s="56">
        <v>1</v>
      </c>
      <c r="V103" s="56">
        <v>16</v>
      </c>
      <c r="W103" s="56">
        <v>187</v>
      </c>
      <c r="X103"/>
      <c r="Y103"/>
      <c r="Z103"/>
      <c r="AA103"/>
      <c r="AB103"/>
      <c r="AC103"/>
      <c r="AD103"/>
      <c r="AE103"/>
      <c r="AF103"/>
      <c r="AG103"/>
      <c r="AH103"/>
      <c r="AI103"/>
    </row>
    <row r="104" spans="2:35" x14ac:dyDescent="0.2">
      <c r="B104" s="57" t="s">
        <v>123</v>
      </c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>
        <v>4</v>
      </c>
      <c r="P104" s="56"/>
      <c r="Q104" s="56"/>
      <c r="R104" s="56"/>
      <c r="S104" s="56"/>
      <c r="T104" s="56"/>
      <c r="U104" s="56"/>
      <c r="V104" s="56"/>
      <c r="W104" s="56">
        <v>4</v>
      </c>
      <c r="X104"/>
      <c r="Y104"/>
      <c r="Z104"/>
      <c r="AA104"/>
      <c r="AB104"/>
      <c r="AC104"/>
      <c r="AD104"/>
      <c r="AE104"/>
      <c r="AF104"/>
      <c r="AG104"/>
      <c r="AH104"/>
      <c r="AI104"/>
    </row>
    <row r="105" spans="2:35" x14ac:dyDescent="0.2">
      <c r="B105" s="57" t="s">
        <v>124</v>
      </c>
      <c r="C105" s="56"/>
      <c r="D105" s="56"/>
      <c r="E105" s="56"/>
      <c r="F105" s="56">
        <v>1</v>
      </c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>
        <v>1</v>
      </c>
      <c r="X105"/>
      <c r="Y105"/>
      <c r="Z105"/>
      <c r="AA105"/>
      <c r="AB105"/>
      <c r="AC105"/>
      <c r="AD105"/>
      <c r="AE105"/>
      <c r="AF105"/>
      <c r="AG105"/>
      <c r="AH105"/>
      <c r="AI105"/>
    </row>
    <row r="106" spans="2:35" x14ac:dyDescent="0.2">
      <c r="B106" s="57" t="s">
        <v>128</v>
      </c>
      <c r="C106" s="56"/>
      <c r="D106" s="56"/>
      <c r="E106" s="56"/>
      <c r="F106" s="56">
        <v>1</v>
      </c>
      <c r="G106" s="56"/>
      <c r="H106" s="56"/>
      <c r="I106" s="56"/>
      <c r="J106" s="56"/>
      <c r="K106" s="56"/>
      <c r="L106" s="56"/>
      <c r="M106" s="56"/>
      <c r="N106" s="56"/>
      <c r="O106" s="56">
        <v>5</v>
      </c>
      <c r="P106" s="56"/>
      <c r="Q106" s="56"/>
      <c r="R106" s="56"/>
      <c r="S106" s="56"/>
      <c r="T106" s="56"/>
      <c r="U106" s="56"/>
      <c r="V106" s="56"/>
      <c r="W106" s="56">
        <v>6</v>
      </c>
      <c r="X106"/>
      <c r="Y106"/>
      <c r="Z106"/>
      <c r="AA106"/>
      <c r="AB106"/>
      <c r="AC106"/>
      <c r="AD106"/>
      <c r="AE106"/>
      <c r="AF106"/>
      <c r="AG106"/>
      <c r="AH106"/>
      <c r="AI106"/>
    </row>
    <row r="107" spans="2:35" x14ac:dyDescent="0.2">
      <c r="B107" s="57" t="s">
        <v>148</v>
      </c>
      <c r="C107" s="56"/>
      <c r="D107" s="56"/>
      <c r="E107" s="56"/>
      <c r="F107" s="56"/>
      <c r="G107" s="56"/>
      <c r="H107" s="56"/>
      <c r="I107" s="56"/>
      <c r="J107" s="56"/>
      <c r="K107" s="56">
        <v>4</v>
      </c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>
        <v>4</v>
      </c>
      <c r="X107"/>
      <c r="Y107"/>
      <c r="Z107"/>
      <c r="AA107"/>
      <c r="AB107"/>
      <c r="AC107"/>
      <c r="AD107"/>
      <c r="AE107"/>
      <c r="AF107"/>
      <c r="AG107"/>
      <c r="AH107"/>
      <c r="AI107"/>
    </row>
    <row r="108" spans="2:35" x14ac:dyDescent="0.2">
      <c r="B108" s="57" t="s">
        <v>132</v>
      </c>
      <c r="C108" s="56"/>
      <c r="D108" s="56"/>
      <c r="E108" s="56"/>
      <c r="F108" s="56"/>
      <c r="G108" s="56"/>
      <c r="H108" s="56"/>
      <c r="I108" s="56"/>
      <c r="J108" s="56">
        <v>12</v>
      </c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>
        <v>12</v>
      </c>
      <c r="X108"/>
      <c r="Y108"/>
      <c r="Z108"/>
      <c r="AA108"/>
      <c r="AB108"/>
      <c r="AC108"/>
      <c r="AD108"/>
      <c r="AE108"/>
      <c r="AF108"/>
      <c r="AG108"/>
      <c r="AH108"/>
      <c r="AI108"/>
    </row>
    <row r="109" spans="2:35" x14ac:dyDescent="0.2">
      <c r="B109" s="57" t="s">
        <v>247</v>
      </c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>
        <v>11</v>
      </c>
      <c r="V109" s="56"/>
      <c r="W109" s="56">
        <v>11</v>
      </c>
      <c r="X109"/>
      <c r="Y109"/>
      <c r="Z109"/>
      <c r="AA109"/>
      <c r="AB109"/>
      <c r="AC109"/>
      <c r="AD109"/>
      <c r="AE109"/>
      <c r="AF109"/>
      <c r="AG109"/>
      <c r="AH109"/>
      <c r="AI109"/>
    </row>
    <row r="110" spans="2:35" x14ac:dyDescent="0.2">
      <c r="B110" s="57" t="s">
        <v>254</v>
      </c>
      <c r="C110" s="56"/>
      <c r="D110" s="56">
        <v>11</v>
      </c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>
        <v>11</v>
      </c>
      <c r="X110"/>
      <c r="Y110"/>
      <c r="Z110"/>
      <c r="AA110"/>
      <c r="AB110"/>
      <c r="AC110"/>
      <c r="AD110"/>
      <c r="AE110"/>
      <c r="AF110"/>
      <c r="AG110"/>
      <c r="AH110"/>
      <c r="AI110"/>
    </row>
    <row r="111" spans="2:35" x14ac:dyDescent="0.2">
      <c r="B111" s="57" t="s">
        <v>20</v>
      </c>
      <c r="C111" s="56"/>
      <c r="D111" s="56"/>
      <c r="E111" s="56"/>
      <c r="F111" s="56"/>
      <c r="G111" s="56">
        <v>15</v>
      </c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>
        <v>2</v>
      </c>
      <c r="T111" s="56"/>
      <c r="U111" s="56"/>
      <c r="V111" s="56"/>
      <c r="W111" s="56">
        <v>17</v>
      </c>
      <c r="X111"/>
      <c r="Y111"/>
      <c r="Z111"/>
      <c r="AA111"/>
      <c r="AB111"/>
      <c r="AC111"/>
      <c r="AD111"/>
      <c r="AE111"/>
      <c r="AF111"/>
      <c r="AG111"/>
      <c r="AH111"/>
      <c r="AI111"/>
    </row>
    <row r="112" spans="2:35" x14ac:dyDescent="0.2">
      <c r="B112" s="57" t="s">
        <v>248</v>
      </c>
      <c r="C112" s="56"/>
      <c r="D112" s="56"/>
      <c r="E112" s="56"/>
      <c r="F112" s="56"/>
      <c r="G112" s="56"/>
      <c r="H112" s="56"/>
      <c r="I112" s="56">
        <v>6</v>
      </c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>
        <v>6</v>
      </c>
      <c r="X112"/>
      <c r="Y112"/>
      <c r="Z112"/>
      <c r="AA112"/>
      <c r="AB112"/>
      <c r="AC112"/>
      <c r="AD112"/>
      <c r="AE112"/>
      <c r="AF112"/>
      <c r="AG112"/>
      <c r="AH112"/>
      <c r="AI112"/>
    </row>
    <row r="113" spans="2:35" x14ac:dyDescent="0.2">
      <c r="B113" s="57" t="s">
        <v>239</v>
      </c>
      <c r="C113" s="56"/>
      <c r="D113" s="56"/>
      <c r="E113" s="56"/>
      <c r="F113" s="56"/>
      <c r="G113" s="56"/>
      <c r="H113" s="56"/>
      <c r="I113" s="56"/>
      <c r="J113" s="56"/>
      <c r="K113" s="56">
        <v>8</v>
      </c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>
        <v>8</v>
      </c>
      <c r="X113"/>
      <c r="Y113"/>
      <c r="Z113"/>
      <c r="AA113"/>
      <c r="AB113"/>
      <c r="AC113"/>
      <c r="AD113"/>
      <c r="AE113"/>
      <c r="AF113"/>
      <c r="AG113"/>
      <c r="AH113"/>
      <c r="AI113"/>
    </row>
    <row r="114" spans="2:35" x14ac:dyDescent="0.2">
      <c r="B114" s="57" t="s">
        <v>243</v>
      </c>
      <c r="C114" s="56"/>
      <c r="D114" s="56"/>
      <c r="E114" s="56"/>
      <c r="F114" s="56"/>
      <c r="G114" s="56"/>
      <c r="H114" s="56"/>
      <c r="I114" s="56"/>
      <c r="J114" s="56">
        <v>5</v>
      </c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>
        <v>5</v>
      </c>
      <c r="X114"/>
      <c r="Y114"/>
      <c r="Z114"/>
      <c r="AA114"/>
      <c r="AB114"/>
      <c r="AC114"/>
      <c r="AD114"/>
      <c r="AE114"/>
      <c r="AF114"/>
      <c r="AG114"/>
      <c r="AH114"/>
      <c r="AI114"/>
    </row>
    <row r="115" spans="2:35" x14ac:dyDescent="0.2">
      <c r="B115" s="55" t="s">
        <v>165</v>
      </c>
      <c r="C115" s="56">
        <v>18</v>
      </c>
      <c r="D115" s="56">
        <v>11</v>
      </c>
      <c r="E115" s="56">
        <v>7</v>
      </c>
      <c r="F115" s="56">
        <v>11</v>
      </c>
      <c r="G115" s="56">
        <v>16</v>
      </c>
      <c r="H115" s="56">
        <v>18</v>
      </c>
      <c r="I115" s="56">
        <v>9</v>
      </c>
      <c r="J115" s="56">
        <v>17</v>
      </c>
      <c r="K115" s="56">
        <v>20</v>
      </c>
      <c r="L115" s="56">
        <v>18</v>
      </c>
      <c r="M115" s="56">
        <v>17</v>
      </c>
      <c r="N115" s="56">
        <v>8</v>
      </c>
      <c r="O115" s="56">
        <v>11</v>
      </c>
      <c r="P115" s="56">
        <v>14</v>
      </c>
      <c r="Q115" s="56">
        <v>11</v>
      </c>
      <c r="R115" s="56">
        <v>11</v>
      </c>
      <c r="S115" s="56">
        <v>11</v>
      </c>
      <c r="T115" s="56">
        <v>16</v>
      </c>
      <c r="U115" s="56">
        <v>12</v>
      </c>
      <c r="V115" s="56">
        <v>16</v>
      </c>
      <c r="W115" s="56">
        <v>272</v>
      </c>
      <c r="X115"/>
      <c r="Y115"/>
      <c r="Z115"/>
      <c r="AA115"/>
      <c r="AB115"/>
      <c r="AC115"/>
      <c r="AD115"/>
      <c r="AE115"/>
      <c r="AF115"/>
      <c r="AG115"/>
      <c r="AH115"/>
    </row>
    <row r="116" spans="2:35" x14ac:dyDescent="0.2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</row>
    <row r="117" spans="2:35" x14ac:dyDescent="0.2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</row>
    <row r="118" spans="2:35" x14ac:dyDescent="0.2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</row>
    <row r="119" spans="2:35" x14ac:dyDescent="0.2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</row>
    <row r="120" spans="2:35" x14ac:dyDescent="0.2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</row>
    <row r="121" spans="2:35" x14ac:dyDescent="0.2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</row>
    <row r="122" spans="2:35" x14ac:dyDescent="0.2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</row>
    <row r="123" spans="2:35" x14ac:dyDescent="0.2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</row>
    <row r="124" spans="2:35" x14ac:dyDescent="0.2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</row>
    <row r="125" spans="2:35" x14ac:dyDescent="0.2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</row>
    <row r="126" spans="2:35" x14ac:dyDescent="0.2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</row>
    <row r="127" spans="2:35" x14ac:dyDescent="0.2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</row>
    <row r="128" spans="2:35" x14ac:dyDescent="0.2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</row>
    <row r="129" spans="2:34" x14ac:dyDescent="0.2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</row>
    <row r="130" spans="2:34" x14ac:dyDescent="0.2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</row>
    <row r="131" spans="2:34" x14ac:dyDescent="0.2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</row>
    <row r="132" spans="2:34" x14ac:dyDescent="0.2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</row>
    <row r="133" spans="2:34" x14ac:dyDescent="0.2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</row>
    <row r="134" spans="2:34" x14ac:dyDescent="0.2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</row>
    <row r="135" spans="2:34" x14ac:dyDescent="0.2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</row>
    <row r="136" spans="2:34" x14ac:dyDescent="0.2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</row>
    <row r="137" spans="2:34" x14ac:dyDescent="0.2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</row>
    <row r="138" spans="2:34" x14ac:dyDescent="0.2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</row>
    <row r="139" spans="2:34" x14ac:dyDescent="0.2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</row>
    <row r="140" spans="2:34" x14ac:dyDescent="0.2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</row>
    <row r="141" spans="2:34" x14ac:dyDescent="0.2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</row>
    <row r="142" spans="2:34" x14ac:dyDescent="0.2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</row>
    <row r="143" spans="2:34" x14ac:dyDescent="0.2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</row>
    <row r="144" spans="2:34" x14ac:dyDescent="0.2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</row>
    <row r="145" spans="2:34" x14ac:dyDescent="0.2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</row>
    <row r="146" spans="2:34" x14ac:dyDescent="0.2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</row>
    <row r="147" spans="2:34" x14ac:dyDescent="0.2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</row>
    <row r="148" spans="2:34" x14ac:dyDescent="0.2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</row>
    <row r="149" spans="2:34" x14ac:dyDescent="0.2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</row>
    <row r="150" spans="2:34" x14ac:dyDescent="0.2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</row>
    <row r="151" spans="2:34" x14ac:dyDescent="0.2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</row>
    <row r="152" spans="2:34" x14ac:dyDescent="0.2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</row>
    <row r="153" spans="2:34" x14ac:dyDescent="0.2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</row>
    <row r="154" spans="2:34" x14ac:dyDescent="0.2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</row>
    <row r="155" spans="2:34" x14ac:dyDescent="0.2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</row>
    <row r="156" spans="2:34" x14ac:dyDescent="0.2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</row>
    <row r="157" spans="2:34" x14ac:dyDescent="0.2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</row>
    <row r="158" spans="2:34" x14ac:dyDescent="0.2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 spans="2:34" x14ac:dyDescent="0.2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</row>
    <row r="160" spans="2:34" x14ac:dyDescent="0.2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</row>
    <row r="161" spans="2:34" x14ac:dyDescent="0.2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</row>
    <row r="162" spans="2:34" x14ac:dyDescent="0.2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</row>
    <row r="163" spans="2:34" x14ac:dyDescent="0.2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</row>
    <row r="164" spans="2:34" x14ac:dyDescent="0.2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</row>
    <row r="165" spans="2:34" x14ac:dyDescent="0.2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</row>
    <row r="300" spans="2:34" x14ac:dyDescent="0.2">
      <c r="B300" s="54" t="s">
        <v>173</v>
      </c>
      <c r="C300" s="54" t="s">
        <v>163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</row>
    <row r="301" spans="2:34" x14ac:dyDescent="0.2">
      <c r="B301" s="54" t="s">
        <v>164</v>
      </c>
      <c r="C301" t="s">
        <v>184</v>
      </c>
      <c r="D301" t="s">
        <v>207</v>
      </c>
      <c r="E301" t="s">
        <v>185</v>
      </c>
      <c r="F301" t="s">
        <v>186</v>
      </c>
      <c r="G301" t="s">
        <v>189</v>
      </c>
      <c r="H301" t="s">
        <v>208</v>
      </c>
      <c r="I301" t="s">
        <v>203</v>
      </c>
      <c r="J301" t="s">
        <v>209</v>
      </c>
      <c r="K301" t="s">
        <v>191</v>
      </c>
      <c r="L301" t="s">
        <v>194</v>
      </c>
      <c r="M301" t="s">
        <v>210</v>
      </c>
      <c r="N301" t="s">
        <v>211</v>
      </c>
      <c r="O301" t="s">
        <v>195</v>
      </c>
      <c r="P301" t="s">
        <v>179</v>
      </c>
      <c r="Q301" t="s">
        <v>206</v>
      </c>
      <c r="R301" t="s">
        <v>180</v>
      </c>
      <c r="S301" t="s">
        <v>181</v>
      </c>
      <c r="T301" t="s">
        <v>224</v>
      </c>
      <c r="U301" t="s">
        <v>225</v>
      </c>
      <c r="V301" t="s">
        <v>226</v>
      </c>
      <c r="W301" t="s">
        <v>165</v>
      </c>
      <c r="X301"/>
      <c r="Y301"/>
      <c r="Z301"/>
      <c r="AA301"/>
      <c r="AB301"/>
      <c r="AC301"/>
      <c r="AD301"/>
      <c r="AE301"/>
      <c r="AF301"/>
      <c r="AG301"/>
      <c r="AH301"/>
    </row>
    <row r="302" spans="2:34" x14ac:dyDescent="0.2">
      <c r="B302" s="55" t="s">
        <v>114</v>
      </c>
      <c r="C302" s="56">
        <v>18</v>
      </c>
      <c r="D302" s="56">
        <v>11</v>
      </c>
      <c r="E302" s="56">
        <v>7</v>
      </c>
      <c r="F302" s="56">
        <v>11</v>
      </c>
      <c r="G302" s="56">
        <v>16</v>
      </c>
      <c r="H302" s="56">
        <v>18</v>
      </c>
      <c r="I302" s="56">
        <v>9</v>
      </c>
      <c r="J302" s="56">
        <v>17</v>
      </c>
      <c r="K302" s="56">
        <v>20</v>
      </c>
      <c r="L302" s="56">
        <v>18</v>
      </c>
      <c r="M302" s="56">
        <v>17</v>
      </c>
      <c r="N302" s="56">
        <v>8</v>
      </c>
      <c r="O302" s="56">
        <v>11</v>
      </c>
      <c r="P302" s="56">
        <v>14</v>
      </c>
      <c r="Q302" s="56">
        <v>11</v>
      </c>
      <c r="R302" s="56">
        <v>11</v>
      </c>
      <c r="S302" s="56">
        <v>11</v>
      </c>
      <c r="T302" s="56">
        <v>16</v>
      </c>
      <c r="U302" s="56">
        <v>12</v>
      </c>
      <c r="V302" s="56">
        <v>16</v>
      </c>
      <c r="W302" s="56">
        <v>272</v>
      </c>
      <c r="X302"/>
      <c r="Y302"/>
      <c r="Z302"/>
      <c r="AA302"/>
      <c r="AB302"/>
      <c r="AC302"/>
      <c r="AD302"/>
      <c r="AE302"/>
      <c r="AF302"/>
      <c r="AG302"/>
      <c r="AH302"/>
    </row>
    <row r="303" spans="2:34" x14ac:dyDescent="0.2">
      <c r="B303" s="57"/>
      <c r="C303" s="56">
        <v>18</v>
      </c>
      <c r="D303" s="56">
        <v>11</v>
      </c>
      <c r="E303" s="56">
        <v>7</v>
      </c>
      <c r="F303" s="56">
        <v>10</v>
      </c>
      <c r="G303" s="56">
        <v>10</v>
      </c>
      <c r="H303" s="56">
        <v>18</v>
      </c>
      <c r="I303" s="56">
        <v>5</v>
      </c>
      <c r="J303" s="56">
        <v>5</v>
      </c>
      <c r="K303" s="56">
        <v>8</v>
      </c>
      <c r="L303" s="56">
        <v>18</v>
      </c>
      <c r="M303" s="56">
        <v>17</v>
      </c>
      <c r="N303" s="56">
        <v>8</v>
      </c>
      <c r="O303" s="56">
        <v>9</v>
      </c>
      <c r="P303" s="56">
        <v>14</v>
      </c>
      <c r="Q303" s="56">
        <v>11</v>
      </c>
      <c r="R303" s="56">
        <v>11</v>
      </c>
      <c r="S303" s="56">
        <v>11</v>
      </c>
      <c r="T303" s="56">
        <v>16</v>
      </c>
      <c r="U303" s="56">
        <v>8</v>
      </c>
      <c r="V303" s="56">
        <v>16</v>
      </c>
      <c r="W303" s="56">
        <v>231</v>
      </c>
      <c r="X303"/>
      <c r="Y303"/>
      <c r="Z303"/>
      <c r="AA303"/>
      <c r="AB303"/>
      <c r="AC303"/>
      <c r="AD303"/>
      <c r="AE303"/>
      <c r="AF303"/>
      <c r="AG303"/>
      <c r="AH303"/>
    </row>
    <row r="304" spans="2:34" x14ac:dyDescent="0.2">
      <c r="B304" s="57" t="s">
        <v>128</v>
      </c>
      <c r="C304" s="56"/>
      <c r="D304" s="56"/>
      <c r="E304" s="56"/>
      <c r="F304" s="56">
        <v>1</v>
      </c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>
        <v>1</v>
      </c>
      <c r="X304"/>
      <c r="Y304"/>
      <c r="Z304"/>
      <c r="AA304"/>
      <c r="AB304"/>
      <c r="AC304"/>
      <c r="AD304"/>
      <c r="AE304"/>
      <c r="AF304"/>
      <c r="AG304"/>
      <c r="AH304"/>
    </row>
    <row r="305" spans="2:34" x14ac:dyDescent="0.2">
      <c r="B305" s="57" t="s">
        <v>255</v>
      </c>
      <c r="C305" s="56"/>
      <c r="D305" s="56"/>
      <c r="E305" s="56"/>
      <c r="F305" s="56"/>
      <c r="G305" s="56"/>
      <c r="H305" s="56"/>
      <c r="I305" s="56"/>
      <c r="J305" s="56">
        <v>12</v>
      </c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>
        <v>4</v>
      </c>
      <c r="V305" s="56"/>
      <c r="W305" s="56">
        <v>16</v>
      </c>
      <c r="X305"/>
      <c r="Y305"/>
      <c r="Z305"/>
      <c r="AA305"/>
      <c r="AB305"/>
      <c r="AC305"/>
      <c r="AD305"/>
      <c r="AE305"/>
      <c r="AF305"/>
      <c r="AG305"/>
      <c r="AH305"/>
    </row>
    <row r="306" spans="2:34" x14ac:dyDescent="0.2">
      <c r="B306" s="57" t="s">
        <v>136</v>
      </c>
      <c r="C306" s="56"/>
      <c r="D306" s="56"/>
      <c r="E306" s="56"/>
      <c r="F306" s="56"/>
      <c r="G306" s="56"/>
      <c r="H306" s="56"/>
      <c r="I306" s="56">
        <v>4</v>
      </c>
      <c r="J306" s="56"/>
      <c r="K306" s="56"/>
      <c r="L306" s="56"/>
      <c r="M306" s="56"/>
      <c r="N306" s="56"/>
      <c r="O306" s="56">
        <v>2</v>
      </c>
      <c r="P306" s="56"/>
      <c r="Q306" s="56"/>
      <c r="R306" s="56"/>
      <c r="S306" s="56"/>
      <c r="T306" s="56"/>
      <c r="U306" s="56"/>
      <c r="V306" s="56"/>
      <c r="W306" s="56">
        <v>6</v>
      </c>
      <c r="X306"/>
      <c r="Y306"/>
      <c r="Z306"/>
      <c r="AA306"/>
      <c r="AB306"/>
      <c r="AC306"/>
      <c r="AD306"/>
      <c r="AE306"/>
      <c r="AF306"/>
      <c r="AG306"/>
      <c r="AH306"/>
    </row>
    <row r="307" spans="2:34" x14ac:dyDescent="0.2">
      <c r="B307" s="57" t="s">
        <v>105</v>
      </c>
      <c r="C307" s="56"/>
      <c r="D307" s="56"/>
      <c r="E307" s="56"/>
      <c r="F307" s="56"/>
      <c r="G307" s="56"/>
      <c r="H307" s="56"/>
      <c r="I307" s="56"/>
      <c r="J307" s="56"/>
      <c r="K307" s="56">
        <v>4</v>
      </c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>
        <v>4</v>
      </c>
      <c r="X307"/>
      <c r="Y307"/>
      <c r="Z307"/>
      <c r="AA307"/>
      <c r="AB307"/>
      <c r="AC307"/>
      <c r="AD307"/>
      <c r="AE307"/>
      <c r="AF307"/>
      <c r="AG307"/>
      <c r="AH307"/>
    </row>
    <row r="308" spans="2:34" x14ac:dyDescent="0.2">
      <c r="B308" s="57" t="s">
        <v>242</v>
      </c>
      <c r="C308" s="56"/>
      <c r="D308" s="56"/>
      <c r="E308" s="56"/>
      <c r="F308" s="56"/>
      <c r="G308" s="56">
        <v>6</v>
      </c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>
        <v>6</v>
      </c>
      <c r="X308"/>
      <c r="Y308"/>
      <c r="Z308"/>
      <c r="AA308"/>
      <c r="AB308"/>
      <c r="AC308"/>
      <c r="AD308"/>
      <c r="AE308"/>
      <c r="AF308"/>
      <c r="AG308"/>
      <c r="AH308"/>
    </row>
    <row r="309" spans="2:34" x14ac:dyDescent="0.2">
      <c r="B309" s="57" t="s">
        <v>260</v>
      </c>
      <c r="C309" s="56"/>
      <c r="D309" s="56"/>
      <c r="E309" s="56"/>
      <c r="F309" s="56"/>
      <c r="G309" s="56"/>
      <c r="H309" s="56"/>
      <c r="I309" s="56"/>
      <c r="J309" s="56"/>
      <c r="K309" s="56">
        <v>8</v>
      </c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>
        <v>8</v>
      </c>
      <c r="X309"/>
      <c r="Y309"/>
      <c r="Z309"/>
      <c r="AA309"/>
      <c r="AB309"/>
      <c r="AC309"/>
      <c r="AD309"/>
      <c r="AE309"/>
      <c r="AF309"/>
      <c r="AG309"/>
      <c r="AH309"/>
    </row>
    <row r="310" spans="2:34" x14ac:dyDescent="0.2">
      <c r="B310" s="55" t="s">
        <v>165</v>
      </c>
      <c r="C310" s="56">
        <v>18</v>
      </c>
      <c r="D310" s="56">
        <v>11</v>
      </c>
      <c r="E310" s="56">
        <v>7</v>
      </c>
      <c r="F310" s="56">
        <v>11</v>
      </c>
      <c r="G310" s="56">
        <v>16</v>
      </c>
      <c r="H310" s="56">
        <v>18</v>
      </c>
      <c r="I310" s="56">
        <v>9</v>
      </c>
      <c r="J310" s="56">
        <v>17</v>
      </c>
      <c r="K310" s="56">
        <v>20</v>
      </c>
      <c r="L310" s="56">
        <v>18</v>
      </c>
      <c r="M310" s="56">
        <v>17</v>
      </c>
      <c r="N310" s="56">
        <v>8</v>
      </c>
      <c r="O310" s="56">
        <v>11</v>
      </c>
      <c r="P310" s="56">
        <v>14</v>
      </c>
      <c r="Q310" s="56">
        <v>11</v>
      </c>
      <c r="R310" s="56">
        <v>11</v>
      </c>
      <c r="S310" s="56">
        <v>11</v>
      </c>
      <c r="T310" s="56">
        <v>16</v>
      </c>
      <c r="U310" s="56">
        <v>12</v>
      </c>
      <c r="V310" s="56">
        <v>16</v>
      </c>
      <c r="W310" s="56">
        <v>272</v>
      </c>
      <c r="X310"/>
      <c r="Y310"/>
      <c r="Z310"/>
      <c r="AA310"/>
      <c r="AB310"/>
      <c r="AC310"/>
      <c r="AD310"/>
      <c r="AE310"/>
      <c r="AF310"/>
      <c r="AG310"/>
      <c r="AH310"/>
    </row>
    <row r="311" spans="2:34" x14ac:dyDescent="0.2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</row>
    <row r="312" spans="2:34" x14ac:dyDescent="0.2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</row>
    <row r="313" spans="2:34" x14ac:dyDescent="0.2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</row>
    <row r="314" spans="2:34" x14ac:dyDescent="0.2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</row>
    <row r="315" spans="2:34" x14ac:dyDescent="0.2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</row>
    <row r="316" spans="2:34" x14ac:dyDescent="0.2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</row>
    <row r="317" spans="2:34" x14ac:dyDescent="0.2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</row>
    <row r="318" spans="2:34" x14ac:dyDescent="0.2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</row>
    <row r="319" spans="2:34" x14ac:dyDescent="0.2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</row>
    <row r="320" spans="2:34" x14ac:dyDescent="0.2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</row>
    <row r="321" spans="2:34" x14ac:dyDescent="0.2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</row>
    <row r="322" spans="2:34" x14ac:dyDescent="0.2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</row>
    <row r="323" spans="2:34" x14ac:dyDescent="0.2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</row>
    <row r="324" spans="2:34" x14ac:dyDescent="0.2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</row>
    <row r="325" spans="2:34" x14ac:dyDescent="0.2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</row>
    <row r="326" spans="2:34" x14ac:dyDescent="0.2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</row>
    <row r="327" spans="2:34" x14ac:dyDescent="0.2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</row>
    <row r="328" spans="2:34" x14ac:dyDescent="0.2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</row>
    <row r="329" spans="2:34" x14ac:dyDescent="0.2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</row>
    <row r="330" spans="2:34" x14ac:dyDescent="0.2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</row>
    <row r="331" spans="2:34" x14ac:dyDescent="0.2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</row>
    <row r="332" spans="2:34" x14ac:dyDescent="0.2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</row>
    <row r="333" spans="2:34" x14ac:dyDescent="0.2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</row>
    <row r="334" spans="2:34" x14ac:dyDescent="0.2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</row>
    <row r="335" spans="2:34" x14ac:dyDescent="0.2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</row>
    <row r="336" spans="2:34" x14ac:dyDescent="0.2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</row>
    <row r="337" spans="2:34" x14ac:dyDescent="0.2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</row>
    <row r="338" spans="2:34" x14ac:dyDescent="0.2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</row>
    <row r="339" spans="2:34" x14ac:dyDescent="0.2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</row>
    <row r="340" spans="2:34" x14ac:dyDescent="0.2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</row>
    <row r="341" spans="2:34" x14ac:dyDescent="0.2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</row>
    <row r="342" spans="2:34" x14ac:dyDescent="0.2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</row>
    <row r="343" spans="2:34" x14ac:dyDescent="0.2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</row>
    <row r="344" spans="2:34" x14ac:dyDescent="0.2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</row>
    <row r="345" spans="2:34" x14ac:dyDescent="0.2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</row>
    <row r="346" spans="2:34" x14ac:dyDescent="0.2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</row>
    <row r="347" spans="2:34" x14ac:dyDescent="0.2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</row>
    <row r="348" spans="2:34" x14ac:dyDescent="0.2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</row>
    <row r="349" spans="2:34" x14ac:dyDescent="0.2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</row>
    <row r="350" spans="2:34" x14ac:dyDescent="0.2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</row>
    <row r="351" spans="2:34" x14ac:dyDescent="0.2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</row>
    <row r="352" spans="2:34" x14ac:dyDescent="0.2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</row>
    <row r="353" spans="2:34" x14ac:dyDescent="0.2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</row>
    <row r="354" spans="2:34" x14ac:dyDescent="0.2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</row>
    <row r="355" spans="2:34" x14ac:dyDescent="0.2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</row>
    <row r="356" spans="2:34" x14ac:dyDescent="0.2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</row>
    <row r="357" spans="2:34" x14ac:dyDescent="0.2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</row>
    <row r="358" spans="2:34" x14ac:dyDescent="0.2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</row>
    <row r="359" spans="2:34" x14ac:dyDescent="0.2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</row>
    <row r="360" spans="2:34" x14ac:dyDescent="0.2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</row>
    <row r="361" spans="2:34" x14ac:dyDescent="0.2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</row>
    <row r="362" spans="2:34" x14ac:dyDescent="0.2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</row>
    <row r="363" spans="2:34" x14ac:dyDescent="0.2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</row>
    <row r="364" spans="2:34" x14ac:dyDescent="0.2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P166"/>
  <sheetViews>
    <sheetView workbookViewId="0"/>
  </sheetViews>
  <sheetFormatPr defaultRowHeight="12.75" x14ac:dyDescent="0.2"/>
  <cols>
    <col min="1" max="1" width="9.140625" style="1"/>
    <col min="2" max="2" width="50.42578125" style="1" bestFit="1" customWidth="1"/>
    <col min="3" max="3" width="10.5703125" style="1" customWidth="1"/>
    <col min="4" max="4" width="10.28515625" style="1" customWidth="1"/>
    <col min="5" max="16384" width="9.140625" style="1"/>
  </cols>
  <sheetData>
    <row r="2" spans="2:16" x14ac:dyDescent="0.2">
      <c r="B2" s="168" t="s">
        <v>62</v>
      </c>
      <c r="C2" s="169"/>
      <c r="D2" s="169"/>
      <c r="E2" s="169"/>
      <c r="F2" s="169"/>
      <c r="G2" s="169"/>
      <c r="H2" s="170"/>
      <c r="I2" s="170"/>
      <c r="J2" s="170"/>
      <c r="K2" s="170"/>
      <c r="L2" s="170"/>
      <c r="M2" s="170"/>
      <c r="N2" s="170"/>
      <c r="O2" s="170"/>
      <c r="P2" s="170"/>
    </row>
    <row r="3" spans="2:16" x14ac:dyDescent="0.2">
      <c r="B3" s="2" t="s">
        <v>87</v>
      </c>
      <c r="C3"/>
      <c r="D3"/>
      <c r="E3"/>
      <c r="F3" s="7"/>
    </row>
    <row r="4" spans="2:16" ht="13.5" thickBot="1" x14ac:dyDescent="0.25">
      <c r="B4" s="2"/>
      <c r="C4"/>
      <c r="D4"/>
      <c r="E4"/>
      <c r="F4" s="7"/>
    </row>
    <row r="5" spans="2:16" x14ac:dyDescent="0.2">
      <c r="C5" s="10" t="s">
        <v>88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2"/>
    </row>
    <row r="6" spans="2:16" x14ac:dyDescent="0.2">
      <c r="C6" s="16"/>
      <c r="P6" s="14"/>
    </row>
    <row r="7" spans="2:16" x14ac:dyDescent="0.2">
      <c r="C7" s="13" t="s">
        <v>93</v>
      </c>
      <c r="D7" s="7"/>
      <c r="P7" s="14"/>
    </row>
    <row r="8" spans="2:16" x14ac:dyDescent="0.2">
      <c r="C8" s="15" t="s">
        <v>97</v>
      </c>
      <c r="D8" s="4"/>
      <c r="P8" s="14"/>
    </row>
    <row r="9" spans="2:16" x14ac:dyDescent="0.2">
      <c r="C9" s="13" t="s">
        <v>89</v>
      </c>
      <c r="D9" s="4"/>
      <c r="P9" s="14"/>
    </row>
    <row r="10" spans="2:16" x14ac:dyDescent="0.2">
      <c r="C10" s="16"/>
      <c r="D10" s="4" t="s">
        <v>90</v>
      </c>
      <c r="P10" s="14"/>
    </row>
    <row r="11" spans="2:16" x14ac:dyDescent="0.2">
      <c r="C11" s="16"/>
      <c r="D11" s="4" t="s">
        <v>91</v>
      </c>
      <c r="P11" s="14"/>
    </row>
    <row r="12" spans="2:16" x14ac:dyDescent="0.2">
      <c r="C12" s="15"/>
      <c r="D12" s="4" t="s">
        <v>94</v>
      </c>
      <c r="E12" s="4"/>
      <c r="P12" s="14"/>
    </row>
    <row r="13" spans="2:16" x14ac:dyDescent="0.2">
      <c r="C13" s="16"/>
      <c r="E13" s="4" t="s">
        <v>95</v>
      </c>
      <c r="P13" s="14"/>
    </row>
    <row r="14" spans="2:16" x14ac:dyDescent="0.2">
      <c r="C14" s="16"/>
      <c r="D14" s="4" t="s">
        <v>92</v>
      </c>
      <c r="E14" s="4"/>
      <c r="P14" s="14"/>
    </row>
    <row r="15" spans="2:16" x14ac:dyDescent="0.2">
      <c r="C15" s="15" t="s">
        <v>138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3"/>
      <c r="O15" s="3"/>
      <c r="P15" s="21"/>
    </row>
    <row r="16" spans="2:16" ht="13.5" thickBot="1" x14ac:dyDescent="0.25">
      <c r="C16" s="17"/>
      <c r="D16" s="19"/>
      <c r="E16" s="18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20"/>
    </row>
    <row r="17" spans="1:5" x14ac:dyDescent="0.2">
      <c r="E17" s="4"/>
    </row>
    <row r="18" spans="1:5" x14ac:dyDescent="0.2">
      <c r="C18" s="4"/>
      <c r="D18" s="4"/>
    </row>
    <row r="19" spans="1:5" x14ac:dyDescent="0.2">
      <c r="B19" s="9" t="s">
        <v>96</v>
      </c>
      <c r="C19"/>
    </row>
    <row r="20" spans="1:5" x14ac:dyDescent="0.2">
      <c r="B20" s="7"/>
      <c r="C20" s="7"/>
    </row>
    <row r="21" spans="1:5" x14ac:dyDescent="0.2">
      <c r="B21" s="108" t="s">
        <v>98</v>
      </c>
      <c r="C21" s="108"/>
    </row>
    <row r="22" spans="1:5" x14ac:dyDescent="0.2">
      <c r="A22" s="1">
        <v>1</v>
      </c>
      <c r="B22" s="5" t="s">
        <v>17</v>
      </c>
      <c r="C22" s="5"/>
    </row>
    <row r="23" spans="1:5" x14ac:dyDescent="0.2">
      <c r="A23" s="1">
        <v>2</v>
      </c>
      <c r="B23" s="5" t="s">
        <v>159</v>
      </c>
      <c r="C23" s="5"/>
    </row>
    <row r="24" spans="1:5" x14ac:dyDescent="0.2">
      <c r="A24" s="1">
        <v>3</v>
      </c>
      <c r="B24" s="5" t="s">
        <v>7</v>
      </c>
      <c r="C24" s="5"/>
    </row>
    <row r="25" spans="1:5" x14ac:dyDescent="0.2">
      <c r="A25" s="109">
        <v>4</v>
      </c>
      <c r="B25" s="5" t="s">
        <v>19</v>
      </c>
      <c r="C25" s="5"/>
    </row>
    <row r="26" spans="1:5" x14ac:dyDescent="0.2">
      <c r="A26" s="109">
        <v>5</v>
      </c>
      <c r="B26" s="5" t="s">
        <v>213</v>
      </c>
      <c r="C26" s="5"/>
    </row>
    <row r="27" spans="1:5" x14ac:dyDescent="0.2">
      <c r="A27" s="109">
        <v>6</v>
      </c>
      <c r="B27" s="5" t="s">
        <v>229</v>
      </c>
      <c r="C27" s="5"/>
    </row>
    <row r="28" spans="1:5" x14ac:dyDescent="0.2">
      <c r="A28" s="109">
        <v>7</v>
      </c>
      <c r="B28" s="5" t="s">
        <v>18</v>
      </c>
      <c r="C28" s="5"/>
    </row>
    <row r="29" spans="1:5" x14ac:dyDescent="0.2">
      <c r="A29" s="109"/>
      <c r="B29" s="5"/>
      <c r="C29" s="5"/>
    </row>
    <row r="30" spans="1:5" x14ac:dyDescent="0.2">
      <c r="B30" s="3" t="s">
        <v>25</v>
      </c>
      <c r="C30" s="4"/>
      <c r="E30" s="6"/>
    </row>
    <row r="31" spans="1:5" x14ac:dyDescent="0.2">
      <c r="A31" s="109">
        <v>1</v>
      </c>
      <c r="B31" s="6" t="s">
        <v>0</v>
      </c>
      <c r="C31" s="4"/>
      <c r="E31" s="6"/>
    </row>
    <row r="32" spans="1:5" x14ac:dyDescent="0.2">
      <c r="A32" s="109">
        <v>2</v>
      </c>
      <c r="B32" s="6" t="s">
        <v>1</v>
      </c>
      <c r="C32" s="4"/>
      <c r="E32" s="6"/>
    </row>
    <row r="33" spans="1:5" x14ac:dyDescent="0.2">
      <c r="A33" s="109">
        <v>3</v>
      </c>
      <c r="B33" s="4" t="s">
        <v>202</v>
      </c>
      <c r="C33" s="4"/>
      <c r="E33" s="6"/>
    </row>
    <row r="34" spans="1:5" x14ac:dyDescent="0.2">
      <c r="A34" s="109">
        <v>4</v>
      </c>
      <c r="B34" s="4" t="s">
        <v>230</v>
      </c>
      <c r="C34" s="4"/>
      <c r="E34" s="6"/>
    </row>
    <row r="35" spans="1:5" x14ac:dyDescent="0.2">
      <c r="A35" s="109">
        <v>5</v>
      </c>
      <c r="B35" s="5" t="s">
        <v>231</v>
      </c>
      <c r="C35" s="4"/>
      <c r="E35" s="6"/>
    </row>
    <row r="36" spans="1:5" x14ac:dyDescent="0.2">
      <c r="A36" s="109">
        <v>6</v>
      </c>
      <c r="B36" s="6" t="s">
        <v>22</v>
      </c>
      <c r="C36" s="4"/>
      <c r="E36" s="6"/>
    </row>
    <row r="37" spans="1:5" x14ac:dyDescent="0.2">
      <c r="B37" s="4"/>
      <c r="C37" s="4"/>
      <c r="E37" s="6"/>
    </row>
    <row r="38" spans="1:5" x14ac:dyDescent="0.2">
      <c r="B38" s="3" t="s">
        <v>59</v>
      </c>
      <c r="C38" s="107" t="s">
        <v>238</v>
      </c>
      <c r="E38" s="6"/>
    </row>
    <row r="39" spans="1:5" x14ac:dyDescent="0.2">
      <c r="A39" s="109">
        <v>1</v>
      </c>
      <c r="B39" s="23" t="s">
        <v>239</v>
      </c>
      <c r="C39" s="4" t="s">
        <v>57</v>
      </c>
      <c r="E39" s="6"/>
    </row>
    <row r="40" spans="1:5" x14ac:dyDescent="0.2">
      <c r="A40" s="109">
        <v>2</v>
      </c>
      <c r="B40" s="23" t="s">
        <v>120</v>
      </c>
      <c r="C40" s="4"/>
      <c r="E40" s="6"/>
    </row>
    <row r="41" spans="1:5" x14ac:dyDescent="0.2">
      <c r="A41" s="109">
        <v>3</v>
      </c>
      <c r="B41" s="23" t="s">
        <v>240</v>
      </c>
      <c r="C41" s="4"/>
      <c r="E41" s="6"/>
    </row>
    <row r="42" spans="1:5" x14ac:dyDescent="0.2">
      <c r="A42" s="109">
        <v>4</v>
      </c>
      <c r="B42" s="23" t="s">
        <v>119</v>
      </c>
      <c r="C42" s="4"/>
      <c r="E42" s="6"/>
    </row>
    <row r="43" spans="1:5" x14ac:dyDescent="0.2">
      <c r="A43" s="109">
        <v>5</v>
      </c>
      <c r="B43" s="23" t="s">
        <v>241</v>
      </c>
      <c r="C43" s="4"/>
      <c r="E43" s="6"/>
    </row>
    <row r="44" spans="1:5" x14ac:dyDescent="0.2">
      <c r="A44" s="109">
        <v>6</v>
      </c>
      <c r="B44" s="23" t="s">
        <v>265</v>
      </c>
      <c r="C44" s="4"/>
      <c r="E44" s="6"/>
    </row>
    <row r="45" spans="1:5" x14ac:dyDescent="0.2">
      <c r="A45" s="109">
        <v>7</v>
      </c>
      <c r="B45" s="23" t="s">
        <v>118</v>
      </c>
      <c r="E45" s="6"/>
    </row>
    <row r="46" spans="1:5" x14ac:dyDescent="0.2">
      <c r="B46" s="23"/>
      <c r="E46" s="6"/>
    </row>
    <row r="47" spans="1:5" x14ac:dyDescent="0.2">
      <c r="A47" s="109">
        <v>8</v>
      </c>
      <c r="B47" s="23" t="s">
        <v>242</v>
      </c>
      <c r="C47" s="4" t="s">
        <v>117</v>
      </c>
      <c r="E47" s="6"/>
    </row>
    <row r="48" spans="1:5" x14ac:dyDescent="0.2">
      <c r="A48" s="109">
        <v>9</v>
      </c>
      <c r="B48" s="23" t="s">
        <v>121</v>
      </c>
      <c r="C48" s="4"/>
      <c r="E48" s="6"/>
    </row>
    <row r="49" spans="1:5" x14ac:dyDescent="0.2">
      <c r="A49" s="109">
        <v>10</v>
      </c>
      <c r="B49" s="23" t="s">
        <v>129</v>
      </c>
      <c r="C49" s="4"/>
      <c r="E49" s="6"/>
    </row>
    <row r="50" spans="1:5" x14ac:dyDescent="0.2">
      <c r="A50" s="109">
        <v>11</v>
      </c>
      <c r="B50" s="23" t="s">
        <v>128</v>
      </c>
      <c r="C50" s="4"/>
      <c r="E50" s="6"/>
    </row>
    <row r="51" spans="1:5" x14ac:dyDescent="0.2">
      <c r="A51" s="109">
        <v>12</v>
      </c>
      <c r="B51" s="23" t="s">
        <v>243</v>
      </c>
      <c r="C51" s="4"/>
      <c r="E51" s="6"/>
    </row>
    <row r="52" spans="1:5" x14ac:dyDescent="0.2">
      <c r="A52" s="109">
        <v>13</v>
      </c>
      <c r="B52" s="23" t="s">
        <v>123</v>
      </c>
      <c r="C52" s="4"/>
      <c r="E52" s="6"/>
    </row>
    <row r="53" spans="1:5" x14ac:dyDescent="0.2">
      <c r="A53" s="109">
        <v>14</v>
      </c>
      <c r="B53" s="23" t="s">
        <v>125</v>
      </c>
      <c r="C53" s="4"/>
      <c r="E53" s="6"/>
    </row>
    <row r="54" spans="1:5" x14ac:dyDescent="0.2">
      <c r="A54" s="109">
        <v>15</v>
      </c>
      <c r="B54" s="23" t="s">
        <v>127</v>
      </c>
      <c r="C54" s="4"/>
      <c r="E54" s="6"/>
    </row>
    <row r="55" spans="1:5" x14ac:dyDescent="0.2">
      <c r="A55" s="109">
        <v>16</v>
      </c>
      <c r="B55" s="23" t="s">
        <v>124</v>
      </c>
      <c r="C55" s="4"/>
      <c r="E55" s="6"/>
    </row>
    <row r="56" spans="1:5" x14ac:dyDescent="0.2">
      <c r="A56" s="109">
        <v>17</v>
      </c>
      <c r="B56" s="23" t="s">
        <v>148</v>
      </c>
      <c r="C56" s="4"/>
      <c r="E56" s="6"/>
    </row>
    <row r="57" spans="1:5" x14ac:dyDescent="0.2">
      <c r="A57" s="109">
        <v>18</v>
      </c>
      <c r="B57" s="23" t="s">
        <v>122</v>
      </c>
      <c r="E57" s="6"/>
    </row>
    <row r="58" spans="1:5" x14ac:dyDescent="0.2">
      <c r="A58" s="109">
        <v>19</v>
      </c>
      <c r="B58" s="23" t="s">
        <v>244</v>
      </c>
      <c r="C58" s="4"/>
      <c r="E58" s="6"/>
    </row>
    <row r="59" spans="1:5" x14ac:dyDescent="0.2">
      <c r="A59" s="109">
        <v>20</v>
      </c>
      <c r="B59" s="23" t="s">
        <v>149</v>
      </c>
      <c r="E59" s="6"/>
    </row>
    <row r="60" spans="1:5" x14ac:dyDescent="0.2">
      <c r="A60" s="109">
        <v>21</v>
      </c>
      <c r="B60" s="23" t="s">
        <v>126</v>
      </c>
      <c r="E60" s="6"/>
    </row>
    <row r="61" spans="1:5" x14ac:dyDescent="0.2">
      <c r="B61" s="23"/>
      <c r="E61" s="6"/>
    </row>
    <row r="62" spans="1:5" x14ac:dyDescent="0.2">
      <c r="A62" s="109">
        <v>22</v>
      </c>
      <c r="B62" s="23" t="s">
        <v>132</v>
      </c>
      <c r="C62" s="4" t="s">
        <v>63</v>
      </c>
      <c r="E62" s="6"/>
    </row>
    <row r="63" spans="1:5" x14ac:dyDescent="0.2">
      <c r="A63" s="109">
        <v>23</v>
      </c>
      <c r="B63" s="23" t="s">
        <v>131</v>
      </c>
      <c r="C63" s="4"/>
      <c r="E63" s="6"/>
    </row>
    <row r="64" spans="1:5" x14ac:dyDescent="0.2">
      <c r="A64" s="109">
        <v>24</v>
      </c>
      <c r="B64" s="23" t="s">
        <v>130</v>
      </c>
      <c r="C64" s="4"/>
      <c r="E64" s="6"/>
    </row>
    <row r="65" spans="1:5" x14ac:dyDescent="0.2">
      <c r="B65" s="23"/>
      <c r="C65" s="4"/>
      <c r="E65" s="6"/>
    </row>
    <row r="66" spans="1:5" x14ac:dyDescent="0.2">
      <c r="A66" s="109">
        <v>25</v>
      </c>
      <c r="B66" s="23" t="s">
        <v>150</v>
      </c>
      <c r="C66" s="4" t="s">
        <v>245</v>
      </c>
      <c r="E66" s="6"/>
    </row>
    <row r="67" spans="1:5" x14ac:dyDescent="0.2">
      <c r="A67" s="109">
        <v>26</v>
      </c>
      <c r="B67" s="23" t="s">
        <v>151</v>
      </c>
      <c r="C67" s="4"/>
      <c r="E67" s="6"/>
    </row>
    <row r="68" spans="1:5" x14ac:dyDescent="0.2">
      <c r="A68" s="109">
        <v>27</v>
      </c>
      <c r="B68" s="23" t="s">
        <v>137</v>
      </c>
      <c r="C68" s="4"/>
      <c r="E68" s="6"/>
    </row>
    <row r="69" spans="1:5" x14ac:dyDescent="0.2">
      <c r="B69" s="23"/>
      <c r="C69" s="4"/>
      <c r="E69" s="6"/>
    </row>
    <row r="70" spans="1:5" x14ac:dyDescent="0.2">
      <c r="A70" s="109">
        <v>28</v>
      </c>
      <c r="B70" s="23" t="s">
        <v>247</v>
      </c>
      <c r="C70" s="4" t="s">
        <v>246</v>
      </c>
      <c r="E70" s="6"/>
    </row>
    <row r="71" spans="1:5" x14ac:dyDescent="0.2">
      <c r="A71" s="109">
        <v>29</v>
      </c>
      <c r="B71" s="23" t="s">
        <v>252</v>
      </c>
      <c r="C71" s="4"/>
      <c r="E71" s="6"/>
    </row>
    <row r="72" spans="1:5" x14ac:dyDescent="0.2">
      <c r="A72" s="109">
        <v>30</v>
      </c>
      <c r="B72" s="23" t="s">
        <v>136</v>
      </c>
      <c r="C72" s="4"/>
      <c r="E72" s="6"/>
    </row>
    <row r="73" spans="1:5" x14ac:dyDescent="0.2">
      <c r="A73" s="109">
        <v>31</v>
      </c>
      <c r="B73" s="23" t="s">
        <v>248</v>
      </c>
      <c r="C73" s="4"/>
      <c r="E73" s="6"/>
    </row>
    <row r="74" spans="1:5" x14ac:dyDescent="0.2">
      <c r="A74" s="109">
        <v>32</v>
      </c>
      <c r="B74" s="23" t="s">
        <v>249</v>
      </c>
      <c r="C74" s="4"/>
      <c r="E74" s="6"/>
    </row>
    <row r="75" spans="1:5" x14ac:dyDescent="0.2">
      <c r="A75" s="109">
        <v>33</v>
      </c>
      <c r="B75" s="23" t="s">
        <v>250</v>
      </c>
      <c r="C75" s="4"/>
      <c r="E75" s="6"/>
    </row>
    <row r="76" spans="1:5" x14ac:dyDescent="0.2">
      <c r="A76" s="109">
        <v>34</v>
      </c>
      <c r="B76" s="23" t="s">
        <v>20</v>
      </c>
      <c r="C76" s="4"/>
      <c r="E76" s="6"/>
    </row>
    <row r="77" spans="1:5" x14ac:dyDescent="0.2">
      <c r="A77" s="109">
        <v>35</v>
      </c>
      <c r="B77" s="23" t="s">
        <v>251</v>
      </c>
      <c r="C77" s="4"/>
      <c r="E77" s="6"/>
    </row>
    <row r="78" spans="1:5" x14ac:dyDescent="0.2">
      <c r="A78" s="109">
        <v>36</v>
      </c>
      <c r="B78" s="23" t="s">
        <v>280</v>
      </c>
      <c r="C78" s="4"/>
      <c r="E78" s="6"/>
    </row>
    <row r="79" spans="1:5" x14ac:dyDescent="0.2">
      <c r="A79" s="109">
        <v>37</v>
      </c>
      <c r="B79" s="23" t="s">
        <v>105</v>
      </c>
      <c r="C79" s="4"/>
      <c r="E79" s="6"/>
    </row>
    <row r="80" spans="1:5" x14ac:dyDescent="0.2">
      <c r="B80" s="23"/>
      <c r="C80" s="4"/>
      <c r="E80" s="6"/>
    </row>
    <row r="81" spans="1:5" x14ac:dyDescent="0.2">
      <c r="A81" s="109">
        <v>38</v>
      </c>
      <c r="B81" s="23" t="s">
        <v>254</v>
      </c>
      <c r="C81" s="4" t="s">
        <v>253</v>
      </c>
      <c r="E81" s="6"/>
    </row>
    <row r="82" spans="1:5" x14ac:dyDescent="0.2">
      <c r="A82" s="109">
        <v>39</v>
      </c>
      <c r="B82" s="23" t="s">
        <v>255</v>
      </c>
      <c r="C82" s="4"/>
      <c r="E82" s="6"/>
    </row>
    <row r="83" spans="1:5" x14ac:dyDescent="0.2">
      <c r="A83" s="109">
        <v>40</v>
      </c>
      <c r="B83" s="23" t="s">
        <v>143</v>
      </c>
      <c r="C83" s="4"/>
      <c r="E83" s="6"/>
    </row>
    <row r="84" spans="1:5" x14ac:dyDescent="0.2">
      <c r="A84" s="109">
        <v>41</v>
      </c>
      <c r="B84" s="23" t="s">
        <v>133</v>
      </c>
      <c r="C84" s="4"/>
      <c r="E84" s="6"/>
    </row>
    <row r="85" spans="1:5" x14ac:dyDescent="0.2">
      <c r="A85" s="109">
        <v>42</v>
      </c>
      <c r="B85" s="23" t="s">
        <v>134</v>
      </c>
      <c r="C85" s="4"/>
      <c r="E85" s="6"/>
    </row>
    <row r="86" spans="1:5" x14ac:dyDescent="0.2">
      <c r="A86" s="109">
        <v>43</v>
      </c>
      <c r="B86" s="23" t="s">
        <v>21</v>
      </c>
      <c r="C86" s="4"/>
      <c r="E86" s="6"/>
    </row>
    <row r="87" spans="1:5" x14ac:dyDescent="0.2">
      <c r="B87" s="23"/>
      <c r="C87" s="4"/>
      <c r="E87" s="6"/>
    </row>
    <row r="88" spans="1:5" x14ac:dyDescent="0.2">
      <c r="A88" s="109">
        <v>44</v>
      </c>
      <c r="B88" s="23" t="s">
        <v>282</v>
      </c>
      <c r="C88" s="107" t="s">
        <v>256</v>
      </c>
      <c r="E88" s="6"/>
    </row>
    <row r="89" spans="1:5" x14ac:dyDescent="0.2">
      <c r="A89" s="109">
        <v>45</v>
      </c>
      <c r="B89" s="23" t="s">
        <v>278</v>
      </c>
      <c r="C89" s="4"/>
      <c r="E89" s="6"/>
    </row>
    <row r="90" spans="1:5" x14ac:dyDescent="0.2">
      <c r="A90" s="109">
        <v>46</v>
      </c>
      <c r="B90" s="23" t="s">
        <v>257</v>
      </c>
      <c r="C90" s="4"/>
      <c r="E90" s="6"/>
    </row>
    <row r="91" spans="1:5" x14ac:dyDescent="0.2">
      <c r="A91" s="109">
        <v>47</v>
      </c>
      <c r="B91" s="23" t="s">
        <v>258</v>
      </c>
      <c r="C91" s="4"/>
      <c r="E91" s="6"/>
    </row>
    <row r="92" spans="1:5" x14ac:dyDescent="0.2">
      <c r="A92" s="109">
        <v>48</v>
      </c>
      <c r="B92" s="23" t="s">
        <v>101</v>
      </c>
      <c r="C92" s="4"/>
      <c r="E92" s="6"/>
    </row>
    <row r="93" spans="1:5" x14ac:dyDescent="0.2">
      <c r="A93" s="109">
        <v>49</v>
      </c>
      <c r="B93" s="23" t="s">
        <v>102</v>
      </c>
      <c r="C93" s="4"/>
      <c r="E93" s="6"/>
    </row>
    <row r="94" spans="1:5" x14ac:dyDescent="0.2">
      <c r="A94" s="109">
        <v>50</v>
      </c>
      <c r="B94" s="23" t="s">
        <v>259</v>
      </c>
      <c r="C94" s="4"/>
      <c r="E94" s="6"/>
    </row>
    <row r="95" spans="1:5" x14ac:dyDescent="0.2">
      <c r="A95" s="109">
        <v>51</v>
      </c>
      <c r="B95" s="23" t="s">
        <v>260</v>
      </c>
      <c r="C95" s="4"/>
      <c r="E95" s="6"/>
    </row>
    <row r="96" spans="1:5" x14ac:dyDescent="0.2">
      <c r="A96" s="109">
        <v>52</v>
      </c>
      <c r="B96" s="23" t="s">
        <v>103</v>
      </c>
      <c r="C96" s="4"/>
      <c r="E96" s="6"/>
    </row>
    <row r="97" spans="1:6" x14ac:dyDescent="0.2">
      <c r="A97" s="109">
        <v>53</v>
      </c>
      <c r="B97" s="23" t="s">
        <v>261</v>
      </c>
      <c r="C97" s="4"/>
      <c r="E97" s="6"/>
      <c r="F97" s="6"/>
    </row>
    <row r="98" spans="1:6" x14ac:dyDescent="0.2">
      <c r="A98" s="109">
        <v>54</v>
      </c>
      <c r="B98" s="23" t="s">
        <v>99</v>
      </c>
      <c r="C98" s="4"/>
      <c r="E98" s="6"/>
      <c r="F98" s="6"/>
    </row>
    <row r="99" spans="1:6" x14ac:dyDescent="0.2">
      <c r="A99" s="109">
        <v>55</v>
      </c>
      <c r="B99" s="23" t="s">
        <v>262</v>
      </c>
    </row>
    <row r="100" spans="1:6" x14ac:dyDescent="0.2">
      <c r="A100" s="109">
        <v>56</v>
      </c>
      <c r="B100" s="23" t="s">
        <v>263</v>
      </c>
    </row>
    <row r="101" spans="1:6" x14ac:dyDescent="0.2">
      <c r="A101" s="109">
        <v>57</v>
      </c>
      <c r="B101" s="23" t="s">
        <v>264</v>
      </c>
    </row>
    <row r="102" spans="1:6" x14ac:dyDescent="0.2">
      <c r="A102" s="109">
        <v>58</v>
      </c>
      <c r="B102" s="23" t="s">
        <v>135</v>
      </c>
    </row>
    <row r="103" spans="1:6" x14ac:dyDescent="0.2">
      <c r="A103" s="109">
        <v>59</v>
      </c>
      <c r="B103" s="23" t="s">
        <v>104</v>
      </c>
    </row>
    <row r="104" spans="1:6" x14ac:dyDescent="0.2">
      <c r="A104" s="109">
        <v>60</v>
      </c>
      <c r="B104" s="23" t="s">
        <v>144</v>
      </c>
    </row>
    <row r="105" spans="1:6" x14ac:dyDescent="0.2">
      <c r="B105" s="24"/>
    </row>
    <row r="106" spans="1:6" x14ac:dyDescent="0.2">
      <c r="B106" s="25" t="s">
        <v>64</v>
      </c>
    </row>
    <row r="107" spans="1:6" x14ac:dyDescent="0.2">
      <c r="A107" s="109">
        <v>1</v>
      </c>
      <c r="B107" s="24" t="s">
        <v>2</v>
      </c>
    </row>
    <row r="108" spans="1:6" x14ac:dyDescent="0.2">
      <c r="A108" s="109">
        <v>2</v>
      </c>
      <c r="B108" s="24" t="s">
        <v>177</v>
      </c>
    </row>
    <row r="109" spans="1:6" x14ac:dyDescent="0.2">
      <c r="B109" s="24"/>
    </row>
    <row r="110" spans="1:6" x14ac:dyDescent="0.2">
      <c r="B110" s="25" t="s">
        <v>55</v>
      </c>
    </row>
    <row r="111" spans="1:6" x14ac:dyDescent="0.2">
      <c r="A111" s="1">
        <v>1</v>
      </c>
      <c r="B111" s="26" t="s">
        <v>3</v>
      </c>
    </row>
    <row r="112" spans="1:6" x14ac:dyDescent="0.2">
      <c r="A112" s="109">
        <v>2</v>
      </c>
      <c r="B112" s="24" t="s">
        <v>4</v>
      </c>
    </row>
    <row r="113" spans="1:3" x14ac:dyDescent="0.2">
      <c r="A113" s="109">
        <v>3</v>
      </c>
      <c r="B113" s="24" t="s">
        <v>232</v>
      </c>
    </row>
    <row r="114" spans="1:3" x14ac:dyDescent="0.2">
      <c r="A114" s="109">
        <v>4</v>
      </c>
      <c r="B114" s="24" t="s">
        <v>233</v>
      </c>
    </row>
    <row r="115" spans="1:3" x14ac:dyDescent="0.2">
      <c r="B115" s="24"/>
    </row>
    <row r="116" spans="1:3" x14ac:dyDescent="0.2">
      <c r="B116" s="25" t="s">
        <v>60</v>
      </c>
    </row>
    <row r="117" spans="1:3" x14ac:dyDescent="0.2">
      <c r="A117" s="109">
        <v>1</v>
      </c>
      <c r="B117" s="24" t="s">
        <v>9</v>
      </c>
    </row>
    <row r="118" spans="1:3" x14ac:dyDescent="0.2">
      <c r="A118" s="109">
        <v>2</v>
      </c>
      <c r="B118" s="24" t="s">
        <v>10</v>
      </c>
    </row>
    <row r="119" spans="1:3" x14ac:dyDescent="0.2">
      <c r="A119" s="109">
        <v>3</v>
      </c>
      <c r="B119" s="24" t="s">
        <v>11</v>
      </c>
    </row>
    <row r="120" spans="1:3" x14ac:dyDescent="0.2">
      <c r="A120" s="109">
        <v>4</v>
      </c>
      <c r="B120" s="24" t="s">
        <v>12</v>
      </c>
    </row>
    <row r="121" spans="1:3" x14ac:dyDescent="0.2">
      <c r="A121" s="109">
        <v>5</v>
      </c>
      <c r="B121" s="24" t="s">
        <v>106</v>
      </c>
    </row>
    <row r="122" spans="1:3" x14ac:dyDescent="0.2">
      <c r="A122" s="109">
        <v>6</v>
      </c>
      <c r="B122" s="24" t="s">
        <v>236</v>
      </c>
    </row>
    <row r="123" spans="1:3" x14ac:dyDescent="0.2">
      <c r="A123" s="109">
        <v>7</v>
      </c>
      <c r="B123" s="24" t="s">
        <v>13</v>
      </c>
    </row>
    <row r="124" spans="1:3" x14ac:dyDescent="0.2">
      <c r="A124" s="109">
        <v>8</v>
      </c>
      <c r="B124" s="24" t="s">
        <v>23</v>
      </c>
    </row>
    <row r="125" spans="1:3" x14ac:dyDescent="0.2">
      <c r="A125" s="109">
        <v>9</v>
      </c>
      <c r="B125" s="24" t="s">
        <v>237</v>
      </c>
    </row>
    <row r="126" spans="1:3" x14ac:dyDescent="0.2">
      <c r="A126" s="109">
        <v>10</v>
      </c>
      <c r="B126" s="24" t="s">
        <v>56</v>
      </c>
    </row>
    <row r="127" spans="1:3" x14ac:dyDescent="0.2">
      <c r="A127" s="109">
        <v>11</v>
      </c>
      <c r="B127" s="24" t="s">
        <v>234</v>
      </c>
    </row>
    <row r="128" spans="1:3" x14ac:dyDescent="0.2">
      <c r="A128" s="109">
        <v>12</v>
      </c>
      <c r="B128" s="24" t="s">
        <v>153</v>
      </c>
      <c r="C128" s="8"/>
    </row>
    <row r="129" spans="1:3" x14ac:dyDescent="0.2">
      <c r="A129" s="109">
        <v>13</v>
      </c>
      <c r="B129" s="24" t="s">
        <v>14</v>
      </c>
    </row>
    <row r="130" spans="1:3" x14ac:dyDescent="0.2">
      <c r="A130" s="109">
        <v>14</v>
      </c>
      <c r="B130" s="24" t="s">
        <v>277</v>
      </c>
    </row>
    <row r="131" spans="1:3" x14ac:dyDescent="0.2">
      <c r="A131" s="109">
        <v>15</v>
      </c>
      <c r="B131" s="24" t="s">
        <v>235</v>
      </c>
    </row>
    <row r="132" spans="1:3" x14ac:dyDescent="0.2">
      <c r="A132" s="109">
        <v>16</v>
      </c>
      <c r="B132" s="24" t="s">
        <v>15</v>
      </c>
    </row>
    <row r="133" spans="1:3" x14ac:dyDescent="0.2">
      <c r="A133" s="109">
        <v>17</v>
      </c>
      <c r="B133" s="24" t="s">
        <v>16</v>
      </c>
      <c r="C133" s="8"/>
    </row>
    <row r="134" spans="1:3" x14ac:dyDescent="0.2">
      <c r="A134" s="109">
        <v>18</v>
      </c>
      <c r="B134" s="24" t="s">
        <v>110</v>
      </c>
      <c r="C134" s="8"/>
    </row>
    <row r="135" spans="1:3" x14ac:dyDescent="0.2">
      <c r="B135" s="24"/>
      <c r="C135" s="8"/>
    </row>
    <row r="136" spans="1:3" x14ac:dyDescent="0.2">
      <c r="B136" s="27" t="s">
        <v>5</v>
      </c>
      <c r="C136" s="8"/>
    </row>
    <row r="137" spans="1:3" x14ac:dyDescent="0.2">
      <c r="A137" s="109">
        <v>1</v>
      </c>
      <c r="B137" s="23" t="s">
        <v>154</v>
      </c>
      <c r="C137" s="8"/>
    </row>
    <row r="138" spans="1:3" x14ac:dyDescent="0.2">
      <c r="A138" s="109">
        <v>2</v>
      </c>
      <c r="B138" s="23" t="s">
        <v>155</v>
      </c>
      <c r="C138" s="8"/>
    </row>
    <row r="139" spans="1:3" x14ac:dyDescent="0.2">
      <c r="A139" s="109">
        <v>3</v>
      </c>
      <c r="B139" s="23" t="s">
        <v>228</v>
      </c>
      <c r="C139" s="8"/>
    </row>
    <row r="140" spans="1:3" x14ac:dyDescent="0.2">
      <c r="A140" s="109">
        <v>4</v>
      </c>
      <c r="B140" s="23" t="s">
        <v>156</v>
      </c>
      <c r="C140" s="8"/>
    </row>
    <row r="141" spans="1:3" x14ac:dyDescent="0.2">
      <c r="A141" s="109">
        <v>5</v>
      </c>
      <c r="B141" s="23" t="s">
        <v>157</v>
      </c>
      <c r="C141" s="8"/>
    </row>
    <row r="142" spans="1:3" x14ac:dyDescent="0.2">
      <c r="A142" s="109">
        <v>6</v>
      </c>
      <c r="B142" s="23" t="s">
        <v>107</v>
      </c>
      <c r="C142" s="8"/>
    </row>
    <row r="143" spans="1:3" x14ac:dyDescent="0.2">
      <c r="A143" s="109">
        <v>7</v>
      </c>
      <c r="B143" s="23" t="s">
        <v>158</v>
      </c>
      <c r="C143" s="8"/>
    </row>
    <row r="144" spans="1:3" x14ac:dyDescent="0.2">
      <c r="A144" s="109">
        <v>8</v>
      </c>
      <c r="B144" s="23" t="s">
        <v>110</v>
      </c>
      <c r="C144" s="8"/>
    </row>
    <row r="145" spans="1:2" x14ac:dyDescent="0.2">
      <c r="B145" s="23"/>
    </row>
    <row r="146" spans="1:2" x14ac:dyDescent="0.2">
      <c r="B146" s="27" t="s">
        <v>111</v>
      </c>
    </row>
    <row r="147" spans="1:2" x14ac:dyDescent="0.2">
      <c r="A147" s="109">
        <v>1</v>
      </c>
      <c r="B147" s="23" t="s">
        <v>112</v>
      </c>
    </row>
    <row r="148" spans="1:2" x14ac:dyDescent="0.2">
      <c r="A148" s="109">
        <v>2</v>
      </c>
      <c r="B148" s="23" t="s">
        <v>113</v>
      </c>
    </row>
    <row r="149" spans="1:2" x14ac:dyDescent="0.2">
      <c r="A149" s="109">
        <v>3</v>
      </c>
      <c r="B149" s="23" t="s">
        <v>114</v>
      </c>
    </row>
    <row r="150" spans="1:2" x14ac:dyDescent="0.2">
      <c r="A150" s="109">
        <v>4</v>
      </c>
      <c r="B150" s="23" t="s">
        <v>115</v>
      </c>
    </row>
    <row r="151" spans="1:2" x14ac:dyDescent="0.2">
      <c r="A151" s="109">
        <v>5</v>
      </c>
      <c r="B151" s="23" t="s">
        <v>205</v>
      </c>
    </row>
    <row r="152" spans="1:2" x14ac:dyDescent="0.2">
      <c r="A152" s="109">
        <v>6</v>
      </c>
      <c r="B152" s="23" t="s">
        <v>116</v>
      </c>
    </row>
    <row r="153" spans="1:2" x14ac:dyDescent="0.2">
      <c r="B153" s="24"/>
    </row>
    <row r="154" spans="1:2" x14ac:dyDescent="0.2">
      <c r="B154" s="24"/>
    </row>
    <row r="155" spans="1:2" x14ac:dyDescent="0.2">
      <c r="B155" s="24"/>
    </row>
    <row r="156" spans="1:2" x14ac:dyDescent="0.2">
      <c r="B156" s="24"/>
    </row>
    <row r="157" spans="1:2" x14ac:dyDescent="0.2">
      <c r="B157" s="22"/>
    </row>
    <row r="158" spans="1:2" x14ac:dyDescent="0.2">
      <c r="B158" s="22"/>
    </row>
    <row r="159" spans="1:2" x14ac:dyDescent="0.2">
      <c r="B159" s="22"/>
    </row>
    <row r="160" spans="1:2" x14ac:dyDescent="0.2">
      <c r="B160" s="22"/>
    </row>
    <row r="161" spans="2:2" x14ac:dyDescent="0.2">
      <c r="B161" s="22"/>
    </row>
    <row r="162" spans="2:2" x14ac:dyDescent="0.2">
      <c r="B162" s="22"/>
    </row>
    <row r="163" spans="2:2" x14ac:dyDescent="0.2">
      <c r="B163" s="22"/>
    </row>
    <row r="164" spans="2:2" x14ac:dyDescent="0.2">
      <c r="B164" s="22"/>
    </row>
    <row r="165" spans="2:2" x14ac:dyDescent="0.2">
      <c r="B165" s="22"/>
    </row>
    <row r="166" spans="2:2" x14ac:dyDescent="0.2">
      <c r="B166" s="22"/>
    </row>
  </sheetData>
  <sortState ref="B62:B64">
    <sortCondition ref="B64"/>
  </sortState>
  <mergeCells count="1">
    <mergeCell ref="B2:P2"/>
  </mergeCells>
  <phoneticPr fontId="8" type="noConversion"/>
  <pageMargins left="0.75" right="0.75" top="1" bottom="1" header="0.5" footer="0.5"/>
  <pageSetup paperSize="9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CC"/>
  </sheetPr>
  <dimension ref="A1:H973"/>
  <sheetViews>
    <sheetView workbookViewId="0"/>
  </sheetViews>
  <sheetFormatPr defaultRowHeight="15" x14ac:dyDescent="0.25"/>
  <cols>
    <col min="1" max="1" width="44.7109375" style="33" customWidth="1"/>
    <col min="2" max="2" width="9" style="146" customWidth="1"/>
    <col min="3" max="6" width="9.28515625" style="33" customWidth="1"/>
    <col min="7" max="7" width="10.140625" style="33" bestFit="1" customWidth="1"/>
    <col min="8" max="25" width="9.28515625" style="33" customWidth="1"/>
    <col min="26" max="16384" width="9.140625" style="33"/>
  </cols>
  <sheetData>
    <row r="1" spans="1:2" x14ac:dyDescent="0.25">
      <c r="A1" s="35" t="s">
        <v>27</v>
      </c>
      <c r="B1" s="36"/>
    </row>
    <row r="2" spans="1:2" x14ac:dyDescent="0.25">
      <c r="A2" s="37" t="s">
        <v>175</v>
      </c>
      <c r="B2" s="127"/>
    </row>
    <row r="3" spans="1:2" x14ac:dyDescent="0.25">
      <c r="A3" s="38" t="s">
        <v>37</v>
      </c>
      <c r="B3" s="128"/>
    </row>
    <row r="4" spans="1:2" x14ac:dyDescent="0.25">
      <c r="A4" s="39" t="s">
        <v>24</v>
      </c>
      <c r="B4" s="129">
        <f>SUM($B$7:$B$8)</f>
        <v>1706</v>
      </c>
    </row>
    <row r="5" spans="1:2" x14ac:dyDescent="0.25">
      <c r="A5" s="40" t="s">
        <v>42</v>
      </c>
      <c r="B5" s="130">
        <f>SUM($B$7:$B$12)</f>
        <v>1776</v>
      </c>
    </row>
    <row r="6" spans="1:2" x14ac:dyDescent="0.25">
      <c r="A6" s="38" t="s">
        <v>25</v>
      </c>
      <c r="B6" s="128"/>
    </row>
    <row r="7" spans="1:2" x14ac:dyDescent="0.25">
      <c r="A7" s="41" t="s">
        <v>0</v>
      </c>
      <c r="B7" s="131">
        <f>IFERROR(GETPIVOTDATA("Date",'Visitor Numbers'!$A$4,"Person","PwC"),0)</f>
        <v>1133</v>
      </c>
    </row>
    <row r="8" spans="1:2" x14ac:dyDescent="0.25">
      <c r="A8" s="41" t="s">
        <v>1</v>
      </c>
      <c r="B8" s="131">
        <f>IFERROR(GETPIVOTDATA("Date",'Visitor Numbers'!$A$4,"Person","Carer"),0)</f>
        <v>573</v>
      </c>
    </row>
    <row r="9" spans="1:2" x14ac:dyDescent="0.25">
      <c r="A9" s="43" t="s">
        <v>202</v>
      </c>
      <c r="B9" s="132">
        <f>IFERROR(GETPIVOTDATA("Date",'Visitor Numbers'!$A$4,"Person","Professional"),0)</f>
        <v>40</v>
      </c>
    </row>
    <row r="10" spans="1:2" x14ac:dyDescent="0.25">
      <c r="A10" s="43" t="s">
        <v>230</v>
      </c>
      <c r="B10" s="132">
        <f>IFERROR(GETPIVOTDATA("Date",'Visitor Numbers'!$A$4,"Person","Architectural"),0)</f>
        <v>0</v>
      </c>
    </row>
    <row r="11" spans="1:2" x14ac:dyDescent="0.25">
      <c r="A11" s="43" t="s">
        <v>231</v>
      </c>
      <c r="B11" s="132">
        <f>IFERROR(GETPIVOTDATA("Date",'Visitor Numbers'!$A$4,"Person","International"),0)</f>
        <v>0</v>
      </c>
    </row>
    <row r="12" spans="1:2" x14ac:dyDescent="0.25">
      <c r="A12" s="43" t="s">
        <v>147</v>
      </c>
      <c r="B12" s="132">
        <f>IFERROR(GETPIVOTDATA("Date",'Visitor Numbers'!$A$1,"Person","Not stated"),0)+IFERROR(GETPIVOTDATA("Date",'Visitor Numbers'!$A$1,"Person","Other Visitor"),0)</f>
        <v>30</v>
      </c>
    </row>
    <row r="13" spans="1:2" x14ac:dyDescent="0.25">
      <c r="A13" s="38" t="s">
        <v>198</v>
      </c>
      <c r="B13" s="128"/>
    </row>
    <row r="14" spans="1:2" x14ac:dyDescent="0.25">
      <c r="A14" s="44" t="s">
        <v>38</v>
      </c>
      <c r="B14" s="133">
        <f>SUM($B$15,$B$16)</f>
        <v>384</v>
      </c>
    </row>
    <row r="15" spans="1:2" x14ac:dyDescent="0.25">
      <c r="A15" s="41" t="s">
        <v>28</v>
      </c>
      <c r="B15" s="131">
        <f>IFERROR(GETPIVOTDATA("Date",'New or Returning'!$A$3,"Person","PwC","Visit Type","New"),0)</f>
        <v>231</v>
      </c>
    </row>
    <row r="16" spans="1:2" x14ac:dyDescent="0.25">
      <c r="A16" s="41" t="s">
        <v>30</v>
      </c>
      <c r="B16" s="131">
        <f>IFERROR(GETPIVOTDATA("Date",'New or Returning'!$A$3,"Person","Carer","Visit Type","New"),0)</f>
        <v>153</v>
      </c>
    </row>
    <row r="17" spans="1:2" x14ac:dyDescent="0.25">
      <c r="A17" s="41" t="s">
        <v>33</v>
      </c>
      <c r="B17" s="131">
        <f>IFERROR(GETPIVOTDATA("Date",'New or Returning'!$A$71,"Visit Type","New","Gender","Male"),0)+IFERROR(GETPIVOTDATA("Date",'New or Returning'!$A$71,"Visit Type","New","Gender","Under 18 Male"),0)</f>
        <v>110</v>
      </c>
    </row>
    <row r="18" spans="1:2" x14ac:dyDescent="0.25">
      <c r="A18" s="41" t="s">
        <v>35</v>
      </c>
      <c r="B18" s="131">
        <f>IFERROR(GETPIVOTDATA("Date",'New or Returning'!$A$71,"Visit Type","New","Gender","Female"),0)+IFERROR(GETPIVOTDATA("Date",'New or Returning'!$A$71,"Visit Type","New","Gender","Under 18 Female"),0)</f>
        <v>276</v>
      </c>
    </row>
    <row r="19" spans="1:2" x14ac:dyDescent="0.25">
      <c r="A19" s="44" t="s">
        <v>199</v>
      </c>
      <c r="B19" s="133">
        <f>SUM($B$20,$B$21)</f>
        <v>1322</v>
      </c>
    </row>
    <row r="20" spans="1:2" x14ac:dyDescent="0.25">
      <c r="A20" s="41" t="s">
        <v>29</v>
      </c>
      <c r="B20" s="131">
        <f>IFERROR(GETPIVOTDATA("Date",'New or Returning'!$A$3,"Person","PwC","Visit Type","Returning"),0)</f>
        <v>902</v>
      </c>
    </row>
    <row r="21" spans="1:2" x14ac:dyDescent="0.25">
      <c r="A21" s="41" t="s">
        <v>31</v>
      </c>
      <c r="B21" s="131">
        <f>IFERROR(GETPIVOTDATA("Date",'New or Returning'!$A$3,"Person","Carer","Visit Type","Returning"),0)</f>
        <v>420</v>
      </c>
    </row>
    <row r="22" spans="1:2" x14ac:dyDescent="0.25">
      <c r="A22" s="41" t="s">
        <v>34</v>
      </c>
      <c r="B22" s="131">
        <f>IFERROR(GETPIVOTDATA("Date",'New or Returning'!$A$71,"Visit Type","Returning","Gender","Male"),0)+IFERROR(GETPIVOTDATA("Date",'New or Returning'!$A$71,"Visit Type","Returning","Gender","Under 18 Male"),0)</f>
        <v>513</v>
      </c>
    </row>
    <row r="23" spans="1:2" x14ac:dyDescent="0.25">
      <c r="A23" s="41" t="s">
        <v>36</v>
      </c>
      <c r="B23" s="131">
        <f>IFERROR(GETPIVOTDATA("Date",'New or Returning'!$A$71,"Visit Type","Returning","Gender","Female"),0)+IFERROR(GETPIVOTDATA("Date",'New or Returning'!$A$71,"Visit Type","Returning","Gender","Under 18 Female"),0)</f>
        <v>810</v>
      </c>
    </row>
    <row r="24" spans="1:2" x14ac:dyDescent="0.25">
      <c r="A24" s="38" t="s">
        <v>26</v>
      </c>
      <c r="B24" s="128"/>
    </row>
    <row r="25" spans="1:2" x14ac:dyDescent="0.25">
      <c r="A25" s="40" t="s">
        <v>39</v>
      </c>
      <c r="B25" s="130">
        <f>SUM($B$26:$B$29)</f>
        <v>622</v>
      </c>
    </row>
    <row r="26" spans="1:2" x14ac:dyDescent="0.25">
      <c r="A26" s="41" t="s">
        <v>51</v>
      </c>
      <c r="B26" s="131">
        <f>IFERROR(GETPIVOTDATA("Date",Gender!$A$1,"Person","PwC","Gender","Male"),0)</f>
        <v>428</v>
      </c>
    </row>
    <row r="27" spans="1:2" x14ac:dyDescent="0.25">
      <c r="A27" s="41" t="s">
        <v>52</v>
      </c>
      <c r="B27" s="131">
        <f>IFERROR(GETPIVOTDATA("Date",Gender!$A$1,"Person", "Carer","Gender","Male"),0)</f>
        <v>185</v>
      </c>
    </row>
    <row r="28" spans="1:2" x14ac:dyDescent="0.25">
      <c r="A28" s="41" t="s">
        <v>266</v>
      </c>
      <c r="B28" s="131">
        <f>IFERROR(GETPIVOTDATA("Date",Gender!$A$1,"Person","PwC","Gender","Under 18 Male"),0)</f>
        <v>0</v>
      </c>
    </row>
    <row r="29" spans="1:2" x14ac:dyDescent="0.25">
      <c r="A29" s="41" t="s">
        <v>267</v>
      </c>
      <c r="B29" s="131">
        <f>IFERROR(GETPIVOTDATA("Date",Gender!$A$1,"Person", "Carer","Gender","Under 18 Male"),0)</f>
        <v>9</v>
      </c>
    </row>
    <row r="30" spans="1:2" x14ac:dyDescent="0.25">
      <c r="A30" s="40" t="s">
        <v>40</v>
      </c>
      <c r="B30" s="130">
        <f>SUM($B$31:$B$34)</f>
        <v>1084</v>
      </c>
    </row>
    <row r="31" spans="1:2" x14ac:dyDescent="0.25">
      <c r="A31" s="41" t="s">
        <v>53</v>
      </c>
      <c r="B31" s="131">
        <f>IFERROR(GETPIVOTDATA("Date",Gender!$A$1,"Person","PwC","Gender","Female"),0)</f>
        <v>705</v>
      </c>
    </row>
    <row r="32" spans="1:2" x14ac:dyDescent="0.25">
      <c r="A32" s="41" t="s">
        <v>54</v>
      </c>
      <c r="B32" s="131">
        <f>IFERROR(GETPIVOTDATA("Date",Gender!$A$1,"Person","Carer","Gender","Female"),0)</f>
        <v>371</v>
      </c>
    </row>
    <row r="33" spans="1:4" x14ac:dyDescent="0.25">
      <c r="A33" s="41" t="s">
        <v>268</v>
      </c>
      <c r="B33" s="131">
        <f>IFERROR(GETPIVOTDATA("Date",Gender!$A$1,"Person","PwC","Gender","Under 18 Female"),0)</f>
        <v>0</v>
      </c>
    </row>
    <row r="34" spans="1:4" x14ac:dyDescent="0.25">
      <c r="A34" s="41" t="s">
        <v>269</v>
      </c>
      <c r="B34" s="131">
        <f>IFERROR(GETPIVOTDATA("Date",Gender!$A$1,"Person", "Carer","Gender","Under 18 Female"),0)</f>
        <v>8</v>
      </c>
    </row>
    <row r="35" spans="1:4" x14ac:dyDescent="0.25">
      <c r="A35" s="38" t="s">
        <v>98</v>
      </c>
      <c r="B35" s="128"/>
      <c r="C35" s="111"/>
      <c r="D35" s="111"/>
    </row>
    <row r="36" spans="1:4" x14ac:dyDescent="0.25">
      <c r="A36" s="115" t="s">
        <v>45</v>
      </c>
      <c r="B36" s="133">
        <f>IFERROR(GETPIVOTDATA("Date",'Nature of Visit'!$A$1,"Nature of Visit","Drop-In"),0)</f>
        <v>537</v>
      </c>
    </row>
    <row r="37" spans="1:4" x14ac:dyDescent="0.25">
      <c r="A37" s="124" t="s">
        <v>293</v>
      </c>
      <c r="B37" s="134">
        <f>IFERROR(GETPIVOTDATA("Date",'Nature of Visit'!$A$1,"Person","PwC","Nature of Visit","Drop-In"),0)</f>
        <v>287</v>
      </c>
    </row>
    <row r="38" spans="1:4" x14ac:dyDescent="0.25">
      <c r="A38" s="114" t="s">
        <v>75</v>
      </c>
      <c r="B38" s="132">
        <f>IFERROR(GETPIVOTDATA("Date",'Nature of Visit'!$A$1,"Person","Carer","Nature of Visit","Drop-In"),0)</f>
        <v>250</v>
      </c>
    </row>
    <row r="39" spans="1:4" x14ac:dyDescent="0.25">
      <c r="A39" s="113" t="s">
        <v>43</v>
      </c>
      <c r="B39" s="134">
        <f>IFERROR(GETPIVOTDATA("Date",'Nature of Visit'!$A$108,"Visit Type","New","Nature of Visit","Drop-In"),0)</f>
        <v>221</v>
      </c>
    </row>
    <row r="40" spans="1:4" x14ac:dyDescent="0.25">
      <c r="A40" s="113" t="s">
        <v>44</v>
      </c>
      <c r="B40" s="134">
        <f>IFERROR(GETPIVOTDATA("Date",'Nature of Visit'!$A$108,"Visit Type","Returning","Nature of Visit","Drop-In"),0)</f>
        <v>316</v>
      </c>
    </row>
    <row r="41" spans="1:4" x14ac:dyDescent="0.25">
      <c r="A41" s="113" t="s">
        <v>86</v>
      </c>
      <c r="B41" s="134">
        <f>IFERROR(GETPIVOTDATA("Date",'Nature of Visit'!$A$60,"Gender","Male","Nature of Visit","Drop-In"),0)+IFERROR(GETPIVOTDATA("Date",'Nature of Visit'!$A$60,"Gender","Under 18 Male","Nature of Visit","Drop-In"),0)</f>
        <v>218</v>
      </c>
    </row>
    <row r="42" spans="1:4" x14ac:dyDescent="0.25">
      <c r="A42" s="113" t="s">
        <v>65</v>
      </c>
      <c r="B42" s="134">
        <f>IFERROR(GETPIVOTDATA("Date",'Nature of Visit'!$A$60,"Gender","Female","Nature of Visit","Drop-In"),0)+IFERROR(GETPIVOTDATA("Date",'Nature of Visit'!$A$60,"Gender","Under 18 Female","Nature of Visit","Drop-In"),0)</f>
        <v>319</v>
      </c>
    </row>
    <row r="43" spans="1:4" x14ac:dyDescent="0.25">
      <c r="A43" s="115" t="s">
        <v>32</v>
      </c>
      <c r="B43" s="133">
        <f>IFERROR(GETPIVOTDATA("Date",'Nature of Visit'!$A$1,"Person","PwC","Nature of Visit","Programme"),0)+IFERROR(GETPIVOTDATA("Date",'Nature of Visit'!$A$1,"Person","Carer","Nature of Visit","Programme"),0)</f>
        <v>675</v>
      </c>
    </row>
    <row r="44" spans="1:4" x14ac:dyDescent="0.25">
      <c r="A44" s="113" t="s">
        <v>76</v>
      </c>
      <c r="B44" s="134">
        <f>IFERROR(GETPIVOTDATA("Date",'Nature of Visit'!$A$1,"Person","PwC","Nature of Visit","Programme"),0)</f>
        <v>551</v>
      </c>
    </row>
    <row r="45" spans="1:4" x14ac:dyDescent="0.25">
      <c r="A45" s="113" t="s">
        <v>77</v>
      </c>
      <c r="B45" s="134">
        <f>IFERROR(GETPIVOTDATA("Date",'Nature of Visit'!$A$1,"Person","Carer","Nature of Visit","Programme"),0)</f>
        <v>124</v>
      </c>
    </row>
    <row r="46" spans="1:4" x14ac:dyDescent="0.25">
      <c r="A46" s="113" t="s">
        <v>46</v>
      </c>
      <c r="B46" s="134">
        <f>IFERROR(GETPIVOTDATA("Date",'Nature of Visit'!$A$108,"Visit Type","New","Nature of Visit","Programme"),0)</f>
        <v>109</v>
      </c>
    </row>
    <row r="47" spans="1:4" x14ac:dyDescent="0.25">
      <c r="A47" s="113" t="s">
        <v>47</v>
      </c>
      <c r="B47" s="134">
        <f>IFERROR(GETPIVOTDATA("Date",'Nature of Visit'!$A$108,"Visit Type","Returning","Nature of Visit","Programme"),0)</f>
        <v>566</v>
      </c>
    </row>
    <row r="48" spans="1:4" x14ac:dyDescent="0.25">
      <c r="A48" s="113" t="s">
        <v>108</v>
      </c>
      <c r="B48" s="134">
        <f>IFERROR(GETPIVOTDATA("Date",'Nature of Visit'!$A$60,"Gender","Male","Nature of Visit","Programme"),0)+IFERROR(GETPIVOTDATA("Date",'Nature of Visit'!$A$60,"Gender","Under 18 Male","Nature of Visit","Programme"),0)</f>
        <v>201</v>
      </c>
    </row>
    <row r="49" spans="1:2" x14ac:dyDescent="0.25">
      <c r="A49" s="113" t="s">
        <v>66</v>
      </c>
      <c r="B49" s="134">
        <f>IFERROR(GETPIVOTDATA("Date",'Nature of Visit'!$A$60,"Gender","Female","Nature of Visit","Programme"),0)+IFERROR(GETPIVOTDATA("Date",'Nature of Visit'!$A$60,"Gender","Under 18 Female","Nature of Visit","Programme"),0)</f>
        <v>474</v>
      </c>
    </row>
    <row r="50" spans="1:2" x14ac:dyDescent="0.25">
      <c r="A50" s="115" t="s">
        <v>50</v>
      </c>
      <c r="B50" s="133">
        <f>IFERROR(GETPIVOTDATA("Date",'Nature of Visit'!$A$1,"Nature of Visit","Booked"),0)</f>
        <v>390</v>
      </c>
    </row>
    <row r="51" spans="1:2" x14ac:dyDescent="0.25">
      <c r="A51" s="113" t="s">
        <v>78</v>
      </c>
      <c r="B51" s="134">
        <f>IFERROR(GETPIVOTDATA("Date",'Nature of Visit'!$A$1,"Person","PwC","Nature of Visit","Booked"),0)</f>
        <v>201</v>
      </c>
    </row>
    <row r="52" spans="1:2" x14ac:dyDescent="0.25">
      <c r="A52" s="113" t="s">
        <v>79</v>
      </c>
      <c r="B52" s="134">
        <f>IFERROR(GETPIVOTDATA("Date",'Nature of Visit'!$A$1,"Person","Carer","Nature of Visit","Booked"),0)</f>
        <v>186</v>
      </c>
    </row>
    <row r="53" spans="1:2" x14ac:dyDescent="0.25">
      <c r="A53" s="113" t="s">
        <v>48</v>
      </c>
      <c r="B53" s="134">
        <f>IFERROR(GETPIVOTDATA("Date",'Nature of Visit'!$A$108,"Visit Type","New","Nature of Visit","Booked"),0)</f>
        <v>48</v>
      </c>
    </row>
    <row r="54" spans="1:2" x14ac:dyDescent="0.25">
      <c r="A54" s="113" t="s">
        <v>49</v>
      </c>
      <c r="B54" s="134">
        <f>IFERROR(GETPIVOTDATA("Date",'Nature of Visit'!$A$108,"Visit Type","Returning","Nature of Visit","Booked"),0)</f>
        <v>342</v>
      </c>
    </row>
    <row r="55" spans="1:2" x14ac:dyDescent="0.25">
      <c r="A55" s="113" t="s">
        <v>67</v>
      </c>
      <c r="B55" s="134">
        <f>IFERROR(GETPIVOTDATA("Date",'Nature of Visit'!$A$60,"Gender","Male","Nature of Visit","Booked"),0)</f>
        <v>112</v>
      </c>
    </row>
    <row r="56" spans="1:2" x14ac:dyDescent="0.25">
      <c r="A56" s="113" t="s">
        <v>68</v>
      </c>
      <c r="B56" s="134">
        <f>IFERROR(GETPIVOTDATA("Date",'Nature of Visit'!$A$60,"Gender","Female","Nature of Visit","Booked"),0)</f>
        <v>272</v>
      </c>
    </row>
    <row r="57" spans="1:2" x14ac:dyDescent="0.25">
      <c r="A57" s="115" t="s">
        <v>84</v>
      </c>
      <c r="B57" s="133">
        <f>IFERROR(GETPIVOTDATA("Date",'Nature of Visit'!$A$1,"Nature of Visit","Telephone support"),0)</f>
        <v>26</v>
      </c>
    </row>
    <row r="58" spans="1:2" x14ac:dyDescent="0.25">
      <c r="A58" s="113" t="s">
        <v>80</v>
      </c>
      <c r="B58" s="134">
        <f>IFERROR(GETPIVOTDATA("Date",'Nature of Visit'!$A$1,"Person","PwC","Nature of Visit","Telephone support"),0)</f>
        <v>13</v>
      </c>
    </row>
    <row r="59" spans="1:2" x14ac:dyDescent="0.25">
      <c r="A59" s="113" t="s">
        <v>81</v>
      </c>
      <c r="B59" s="134">
        <f>IFERROR(GETPIVOTDATA("Date",'Nature of Visit'!$A$1,"Person","Carer","Nature of Visit","Telephone support"),0)</f>
        <v>13</v>
      </c>
    </row>
    <row r="60" spans="1:2" x14ac:dyDescent="0.25">
      <c r="A60" s="113" t="s">
        <v>69</v>
      </c>
      <c r="B60" s="134">
        <f>IFERROR(GETPIVOTDATA("Date",'Nature of Visit'!$A$108,"Visit Type","New","Nature of Visit","Telephone support"),0)</f>
        <v>8</v>
      </c>
    </row>
    <row r="61" spans="1:2" x14ac:dyDescent="0.25">
      <c r="A61" s="113" t="s">
        <v>200</v>
      </c>
      <c r="B61" s="134">
        <f>IFERROR(GETPIVOTDATA("Date",'Nature of Visit'!$A$108,"Visit Type","Returning","Nature of Visit","Telephone support"),0)</f>
        <v>18</v>
      </c>
    </row>
    <row r="62" spans="1:2" x14ac:dyDescent="0.25">
      <c r="A62" s="113" t="s">
        <v>70</v>
      </c>
      <c r="B62" s="134">
        <f>IFERROR(GETPIVOTDATA("Date",'Nature of Visit'!$A$60,"Gender","Male","Nature of Visit","Telephone Support"),0)+IFERROR(GETPIVOTDATA("Date",'Nature of Visit'!$A$60,"Gender","Under 18 Male","Nature of Visit","Telephone Support"),0)</f>
        <v>7</v>
      </c>
    </row>
    <row r="63" spans="1:2" x14ac:dyDescent="0.25">
      <c r="A63" s="113" t="s">
        <v>71</v>
      </c>
      <c r="B63" s="134">
        <f>IFERROR(GETPIVOTDATA("Date",'Nature of Visit'!$A$60,"Gender","Female","Nature of Visit","Telephone Support"),0)+IFERROR(GETPIVOTDATA("Date",'Nature of Visit'!$A$60,"Gender","Under 18 Female","Nature of Visit","Telephone Support"),0)</f>
        <v>19</v>
      </c>
    </row>
    <row r="64" spans="1:2" x14ac:dyDescent="0.25">
      <c r="A64" s="115" t="s">
        <v>85</v>
      </c>
      <c r="B64" s="133">
        <f>IFERROR(GETPIVOTDATA("Date",'Nature of Visit'!$A$1,"Nature of Visit","E-mail support"),0)</f>
        <v>1</v>
      </c>
    </row>
    <row r="65" spans="1:2" x14ac:dyDescent="0.25">
      <c r="A65" s="113" t="s">
        <v>82</v>
      </c>
      <c r="B65" s="134">
        <f>IFERROR(GETPIVOTDATA("Date",'Nature of Visit'!$A$1,"Person","PwC","Nature of Visit","E-mail support"),0)</f>
        <v>1</v>
      </c>
    </row>
    <row r="66" spans="1:2" x14ac:dyDescent="0.25">
      <c r="A66" s="113" t="s">
        <v>83</v>
      </c>
      <c r="B66" s="134">
        <f>IFERROR(GETPIVOTDATA("Date",'Nature of Visit'!$A$1,"Person","Carer","Nature of Visit","E-mail support"),0)</f>
        <v>0</v>
      </c>
    </row>
    <row r="67" spans="1:2" x14ac:dyDescent="0.25">
      <c r="A67" s="113" t="s">
        <v>72</v>
      </c>
      <c r="B67" s="134">
        <f>IFERROR(GETPIVOTDATA("Date",'Nature of Visit'!$A$108,"Visit Type","New","Nature of Visit","E-mail support"),0)</f>
        <v>0</v>
      </c>
    </row>
    <row r="68" spans="1:2" x14ac:dyDescent="0.25">
      <c r="A68" s="113" t="s">
        <v>201</v>
      </c>
      <c r="B68" s="134">
        <f>IFERROR(GETPIVOTDATA("Date",'Nature of Visit'!$A$108,"Visit Type","Returning","Nature of Visit","E-mail support"),0)</f>
        <v>1</v>
      </c>
    </row>
    <row r="69" spans="1:2" x14ac:dyDescent="0.25">
      <c r="A69" s="113" t="s">
        <v>73</v>
      </c>
      <c r="B69" s="134">
        <f>IFERROR(GETPIVOTDATA("Date",'Nature of Visit'!$A$60,"Gender","Male","Nature of Visit","E-mail support"),0)+IFERROR(GETPIVOTDATA("Date",'Nature of Visit'!$A$60,"Gender","Under 18 Male","Nature of Visit","E-mail support"),0)</f>
        <v>1</v>
      </c>
    </row>
    <row r="70" spans="1:2" x14ac:dyDescent="0.25">
      <c r="A70" s="113" t="s">
        <v>74</v>
      </c>
      <c r="B70" s="134">
        <f>IFERROR(GETPIVOTDATA("Date",'Nature of Visit'!$A$60,"Gender","Female","Nature of Visit","E-mail support"),0)+IFERROR(GETPIVOTDATA("Date",'Nature of Visit'!$A$60,"Gender","Under 18 Female","Nature of Visit","E-mail support"),0)</f>
        <v>0</v>
      </c>
    </row>
    <row r="71" spans="1:2" x14ac:dyDescent="0.25">
      <c r="A71" s="115" t="s">
        <v>298</v>
      </c>
      <c r="B71" s="133">
        <f>IFERROR(GETPIVOTDATA("Date",'Nature of Visit'!$A$1,"Nature of Visit","Outreach"),0)</f>
        <v>40</v>
      </c>
    </row>
    <row r="72" spans="1:2" x14ac:dyDescent="0.25">
      <c r="A72" s="113" t="s">
        <v>299</v>
      </c>
      <c r="B72" s="134">
        <f>IFERROR(GETPIVOTDATA("Date",'Nature of Visit'!$A$1,"Person","PwC","Nature of Visit","Outreach"),0)</f>
        <v>0</v>
      </c>
    </row>
    <row r="73" spans="1:2" x14ac:dyDescent="0.25">
      <c r="A73" s="113" t="s">
        <v>300</v>
      </c>
      <c r="B73" s="134">
        <f>IFERROR(GETPIVOTDATA("Date",'Nature of Visit'!$A$1,"Person","Carer","Nature of Visit","Outreach"),0)</f>
        <v>0</v>
      </c>
    </row>
    <row r="74" spans="1:2" x14ac:dyDescent="0.25">
      <c r="A74" s="113" t="s">
        <v>301</v>
      </c>
      <c r="B74" s="134">
        <f>IFERROR(GETPIVOTDATA("Date",'Nature of Visit'!$A$108,"Visit Type","New","Nature of Visit","Outreach"),0)</f>
        <v>0</v>
      </c>
    </row>
    <row r="75" spans="1:2" x14ac:dyDescent="0.25">
      <c r="A75" s="113" t="s">
        <v>302</v>
      </c>
      <c r="B75" s="134">
        <f>IFERROR(GETPIVOTDATA("Date",'Nature of Visit'!$A$108,"Visit Type","Returning","Nature of Visit","Outreach"),0)</f>
        <v>0</v>
      </c>
    </row>
    <row r="76" spans="1:2" x14ac:dyDescent="0.25">
      <c r="A76" s="113" t="s">
        <v>303</v>
      </c>
      <c r="B76" s="134">
        <f>IFERROR(GETPIVOTDATA("Date",'Nature of Visit'!$A$60,"Gender","Male","Nature of Visit","Outreach"),0)+IFERROR(GETPIVOTDATA("Date",'Nature of Visit'!$A$60,"Gender","Under 18 Male","Nature of Visit","Outreach"),0)</f>
        <v>0</v>
      </c>
    </row>
    <row r="77" spans="1:2" x14ac:dyDescent="0.25">
      <c r="A77" s="113" t="s">
        <v>304</v>
      </c>
      <c r="B77" s="134">
        <f>IFERROR(GETPIVOTDATA("Date",'Nature of Visit'!$A$60,"Gender","Female","Nature of Visit","Outreach"),0)+IFERROR(GETPIVOTDATA("Date",'Nature of Visit'!$A$60,"Gender","Under 18 Female","Nature of Visit","Outreach"),0)</f>
        <v>0</v>
      </c>
    </row>
    <row r="78" spans="1:2" customFormat="1" x14ac:dyDescent="0.25">
      <c r="A78" s="115" t="s">
        <v>270</v>
      </c>
      <c r="B78" s="133">
        <f>IFERROR(GETPIVOTDATA("Date",'Nature of Visit'!$A$1,"Nature of Visit","Fundraising"),0)</f>
        <v>0</v>
      </c>
    </row>
    <row r="79" spans="1:2" x14ac:dyDescent="0.25">
      <c r="A79" s="116" t="s">
        <v>271</v>
      </c>
      <c r="B79" s="134">
        <f>IFERROR(GETPIVOTDATA("Date",'Nature of Visit'!$A$1,"Person","PwC","Nature of Visit","Fundraising"),0)</f>
        <v>0</v>
      </c>
    </row>
    <row r="80" spans="1:2" customFormat="1" x14ac:dyDescent="0.25">
      <c r="A80" s="116" t="s">
        <v>272</v>
      </c>
      <c r="B80" s="134">
        <f>IFERROR(GETPIVOTDATA("Date",'Nature of Visit'!$A$1,"Person","Carer","Nature of Visit","Fundraising"),0)</f>
        <v>0</v>
      </c>
    </row>
    <row r="81" spans="1:2" customFormat="1" x14ac:dyDescent="0.25">
      <c r="A81" s="116" t="s">
        <v>274</v>
      </c>
      <c r="B81" s="134">
        <f>IFERROR(GETPIVOTDATA("Date",'Nature of Visit'!$A$1,"Person","Professional","Nature of Visit","Fundraising"),0)</f>
        <v>0</v>
      </c>
    </row>
    <row r="82" spans="1:2" customFormat="1" x14ac:dyDescent="0.25">
      <c r="A82" s="116" t="s">
        <v>276</v>
      </c>
      <c r="B82" s="134">
        <f>IFERROR(GETPIVOTDATA("Date",'Nature of Visit'!$A$1,"Person","Architectural","Nature of Visit","Fundraising"),0)</f>
        <v>0</v>
      </c>
    </row>
    <row r="83" spans="1:2" customFormat="1" x14ac:dyDescent="0.25">
      <c r="A83" s="116" t="s">
        <v>275</v>
      </c>
      <c r="B83" s="134">
        <f>IFERROR(GETPIVOTDATA("Date",'Nature of Visit'!$A$1,"Person","International","Nature of Visit","Fundraising"),0)</f>
        <v>0</v>
      </c>
    </row>
    <row r="84" spans="1:2" customFormat="1" x14ac:dyDescent="0.25">
      <c r="A84" s="116" t="s">
        <v>273</v>
      </c>
      <c r="B84" s="134">
        <f>IFERROR(GETPIVOTDATA("Date",'Nature of Visit'!$A$1,"Person","Other Visitor","Nature of Visit","Fundraising"),0)</f>
        <v>0</v>
      </c>
    </row>
    <row r="85" spans="1:2" x14ac:dyDescent="0.25">
      <c r="A85" s="38" t="s">
        <v>100</v>
      </c>
      <c r="B85" s="128"/>
    </row>
    <row r="86" spans="1:2" x14ac:dyDescent="0.25">
      <c r="A86" s="41" t="s">
        <v>9</v>
      </c>
      <c r="B86" s="131">
        <f>IFERROR(GETPIVOTDATA("Date",'Cancer Site'!$A$1,"Visit Type","New","Cancer Site","Brain/CNS"),0)</f>
        <v>5</v>
      </c>
    </row>
    <row r="87" spans="1:2" x14ac:dyDescent="0.25">
      <c r="A87" s="41" t="s">
        <v>10</v>
      </c>
      <c r="B87" s="131">
        <f>IFERROR(GETPIVOTDATA("Date",'Cancer Site'!$A$1,"Visit Type","New","Cancer Site","Breast"),0)</f>
        <v>91</v>
      </c>
    </row>
    <row r="88" spans="1:2" x14ac:dyDescent="0.25">
      <c r="A88" s="41" t="s">
        <v>11</v>
      </c>
      <c r="B88" s="131">
        <f>IFERROR(GETPIVOTDATA("Date",'Cancer Site'!$A$1,"Visit Type","New","Cancer Site","Gynae"),0)</f>
        <v>12</v>
      </c>
    </row>
    <row r="89" spans="1:2" x14ac:dyDescent="0.25">
      <c r="A89" s="41" t="s">
        <v>12</v>
      </c>
      <c r="B89" s="131">
        <f>IFERROR(GETPIVOTDATA("Date",'Cancer Site'!$A$1,"Visit Type","New","Cancer Site","Head/Neck"),0)</f>
        <v>21</v>
      </c>
    </row>
    <row r="90" spans="1:2" x14ac:dyDescent="0.25">
      <c r="A90" s="41" t="s">
        <v>106</v>
      </c>
      <c r="B90" s="131">
        <f>IFERROR(GETPIVOTDATA("Date",'Cancer Site'!$A$1,"Visit Type","New","Cancer Site","Haemat"),0)</f>
        <v>8</v>
      </c>
    </row>
    <row r="91" spans="1:2" x14ac:dyDescent="0.25">
      <c r="A91" s="41" t="s">
        <v>13</v>
      </c>
      <c r="B91" s="131">
        <f>IFERROR(GETPIVOTDATA("Date",'Cancer Site'!$A$1,"Visit Type","New","Cancer Site","Lower GI"),0)</f>
        <v>23</v>
      </c>
    </row>
    <row r="92" spans="1:2" x14ac:dyDescent="0.25">
      <c r="A92" s="41" t="s">
        <v>23</v>
      </c>
      <c r="B92" s="131">
        <f>IFERROR(GETPIVOTDATA("Date",'Cancer Site'!$A$1,"Visit Type","New","Cancer Site","Lung"),0)</f>
        <v>9</v>
      </c>
    </row>
    <row r="93" spans="1:2" x14ac:dyDescent="0.25">
      <c r="A93" s="41" t="s">
        <v>56</v>
      </c>
      <c r="B93" s="131">
        <f>IFERROR(GETPIVOTDATA("Date",'Cancer Site'!$A$1,"Visit Type","New","Cancer Site","Prostate"),0)</f>
        <v>9</v>
      </c>
    </row>
    <row r="94" spans="1:2" x14ac:dyDescent="0.25">
      <c r="A94" s="41" t="s">
        <v>234</v>
      </c>
      <c r="B94" s="131">
        <f>IFERROR(GETPIVOTDATA("Date",'Cancer Site'!$A$1,"Visit Type","New","Cancer Site","Rare"),0)</f>
        <v>3</v>
      </c>
    </row>
    <row r="95" spans="1:2" x14ac:dyDescent="0.25">
      <c r="A95" s="41" t="s">
        <v>153</v>
      </c>
      <c r="B95" s="131">
        <f>IFERROR(GETPIVOTDATA("Date",'Cancer Site'!$A$1,"Visit Type","New","Cancer Site","Sarcoma"),0)</f>
        <v>1</v>
      </c>
    </row>
    <row r="96" spans="1:2" x14ac:dyDescent="0.25">
      <c r="A96" s="41" t="s">
        <v>14</v>
      </c>
      <c r="B96" s="131">
        <f>IFERROR(GETPIVOTDATA("Date",'Cancer Site'!$A$1,"Visit Type","New","Cancer Site","Skin/mel"),0)</f>
        <v>3</v>
      </c>
    </row>
    <row r="97" spans="1:8" x14ac:dyDescent="0.25">
      <c r="A97" s="41" t="s">
        <v>277</v>
      </c>
      <c r="B97" s="131">
        <f>IFERROR(GETPIVOTDATA("Date",'Cancer Site'!$A$1,"Visit Type","New","Cancer Site","Testicular"),0)</f>
        <v>6</v>
      </c>
    </row>
    <row r="98" spans="1:8" x14ac:dyDescent="0.25">
      <c r="A98" s="41" t="s">
        <v>235</v>
      </c>
      <c r="B98" s="131">
        <f>IFERROR(GETPIVOTDATA("Date",'Cancer Site'!$A$1,"Visit Type","New","Cancer Site","Unknown Primary"),0)</f>
        <v>0</v>
      </c>
    </row>
    <row r="99" spans="1:8" x14ac:dyDescent="0.25">
      <c r="A99" s="41" t="s">
        <v>15</v>
      </c>
      <c r="B99" s="131">
        <f>IFERROR(GETPIVOTDATA("Date",'Cancer Site'!$A$1,"Visit Type","New","Cancer Site","Upper GI"),0)+E99+H99</f>
        <v>5</v>
      </c>
      <c r="D99" s="117" t="s">
        <v>236</v>
      </c>
      <c r="E99" s="42">
        <f>IFERROR(GETPIVOTDATA("Date",'Cancer Site'!$A$1,"Visit Type","New","Cancer Site","Liver"),0)</f>
        <v>1</v>
      </c>
      <c r="G99" s="117" t="s">
        <v>237</v>
      </c>
      <c r="H99" s="42">
        <f>IFERROR(GETPIVOTDATA("Date",'Cancer Site'!$A$1,"Visit Type","New","Cancer Site","Pancreatic"),0)</f>
        <v>0</v>
      </c>
    </row>
    <row r="100" spans="1:8" x14ac:dyDescent="0.25">
      <c r="A100" s="41" t="s">
        <v>16</v>
      </c>
      <c r="B100" s="131">
        <f>IFERROR(GETPIVOTDATA("Date",'Cancer Site'!$A$1,"Visit Type","New","Cancer Site","Urolog"),0)</f>
        <v>5</v>
      </c>
    </row>
    <row r="101" spans="1:8" x14ac:dyDescent="0.25">
      <c r="A101" s="41" t="s">
        <v>110</v>
      </c>
      <c r="B101" s="131">
        <f>IFERROR(GETPIVOTDATA("Date",'Cancer Site'!$A$1,"Visit Type","New","Cancer Site",),0)+IFERROR(GETPIVOTDATA("Date",'Cancer Site'!$A$1,"Visit Type","New","Cancer Site","Not stated"),0)</f>
        <v>30</v>
      </c>
    </row>
    <row r="102" spans="1:8" x14ac:dyDescent="0.25">
      <c r="A102" s="38" t="s">
        <v>41</v>
      </c>
      <c r="B102" s="128"/>
    </row>
    <row r="103" spans="1:8" x14ac:dyDescent="0.25">
      <c r="A103" s="41" t="s">
        <v>9</v>
      </c>
      <c r="B103" s="131">
        <f>IFERROR(GETPIVOTDATA("Date",'Cancer Site'!$A$1,"Cancer Site","Brain/CNS"),0)</f>
        <v>58</v>
      </c>
    </row>
    <row r="104" spans="1:8" x14ac:dyDescent="0.25">
      <c r="A104" s="41" t="s">
        <v>10</v>
      </c>
      <c r="B104" s="131">
        <f>IFERROR(GETPIVOTDATA("Date",'Cancer Site'!$A$1,"Cancer Site","Breast"),0)</f>
        <v>322</v>
      </c>
    </row>
    <row r="105" spans="1:8" x14ac:dyDescent="0.25">
      <c r="A105" s="41" t="s">
        <v>11</v>
      </c>
      <c r="B105" s="131">
        <f>IFERROR(GETPIVOTDATA("Date",'Cancer Site'!$A$1,"Cancer Site","Gynae"),0)</f>
        <v>55</v>
      </c>
    </row>
    <row r="106" spans="1:8" x14ac:dyDescent="0.25">
      <c r="A106" s="41" t="s">
        <v>12</v>
      </c>
      <c r="B106" s="131">
        <f>IFERROR(GETPIVOTDATA("Date",'Cancer Site'!$A$1,"Cancer Site","Head/Neck"),0)</f>
        <v>83</v>
      </c>
    </row>
    <row r="107" spans="1:8" x14ac:dyDescent="0.25">
      <c r="A107" s="41" t="s">
        <v>106</v>
      </c>
      <c r="B107" s="131">
        <f>IFERROR(GETPIVOTDATA("Date",'Cancer Site'!$A$1,"Cancer Site","Haemat"),0)</f>
        <v>123</v>
      </c>
    </row>
    <row r="108" spans="1:8" x14ac:dyDescent="0.25">
      <c r="A108" s="41" t="s">
        <v>13</v>
      </c>
      <c r="B108" s="131">
        <f>IFERROR(GETPIVOTDATA("Date",'Cancer Site'!$A$1,"Cancer Site","Lower GI"),0)</f>
        <v>87</v>
      </c>
    </row>
    <row r="109" spans="1:8" x14ac:dyDescent="0.25">
      <c r="A109" s="41" t="s">
        <v>23</v>
      </c>
      <c r="B109" s="131">
        <f>IFERROR(GETPIVOTDATA("Date",'Cancer Site'!$A$1,"Cancer Site","Lung"),0)</f>
        <v>34</v>
      </c>
    </row>
    <row r="110" spans="1:8" x14ac:dyDescent="0.25">
      <c r="A110" s="41" t="s">
        <v>56</v>
      </c>
      <c r="B110" s="131">
        <f>IFERROR(GETPIVOTDATA("Date",'Cancer Site'!$A$1,"Cancer Site","Prostate"),0)</f>
        <v>130</v>
      </c>
    </row>
    <row r="111" spans="1:8" x14ac:dyDescent="0.25">
      <c r="A111" s="41" t="s">
        <v>234</v>
      </c>
      <c r="B111" s="131">
        <f>IFERROR(GETPIVOTDATA("Date",'Cancer Site'!$A$1,"Cancer Site","Rare"),0)</f>
        <v>12</v>
      </c>
    </row>
    <row r="112" spans="1:8" x14ac:dyDescent="0.25">
      <c r="A112" s="41" t="s">
        <v>153</v>
      </c>
      <c r="B112" s="131">
        <f>IFERROR(GETPIVOTDATA("Date",'Cancer Site'!$A$1,"Cancer Site","Sarcoma"),0)</f>
        <v>22</v>
      </c>
    </row>
    <row r="113" spans="1:8" x14ac:dyDescent="0.25">
      <c r="A113" s="41" t="s">
        <v>14</v>
      </c>
      <c r="B113" s="131">
        <f>IFERROR(GETPIVOTDATA("Date",'Cancer Site'!$A$1,"Cancer Site","Skin/mel"),0)</f>
        <v>16</v>
      </c>
    </row>
    <row r="114" spans="1:8" x14ac:dyDescent="0.25">
      <c r="A114" s="41" t="s">
        <v>277</v>
      </c>
      <c r="B114" s="131">
        <f>IFERROR(GETPIVOTDATA("Date",'Cancer Site'!$A$1,"Cancer Site","Testicular"),0)</f>
        <v>14</v>
      </c>
    </row>
    <row r="115" spans="1:8" x14ac:dyDescent="0.25">
      <c r="A115" s="41" t="s">
        <v>235</v>
      </c>
      <c r="B115" s="131">
        <f>IFERROR(GETPIVOTDATA("Date",'Cancer Site'!$A$1,"Cancer Site","Unknown Primary"),0)</f>
        <v>1</v>
      </c>
    </row>
    <row r="116" spans="1:8" x14ac:dyDescent="0.25">
      <c r="A116" s="41" t="s">
        <v>15</v>
      </c>
      <c r="B116" s="131">
        <f>IFERROR(GETPIVOTDATA("Date",'Cancer Site'!$A$1,"Cancer Site","Upper GI"),0)+E116+H116</f>
        <v>23</v>
      </c>
      <c r="D116" s="117" t="s">
        <v>236</v>
      </c>
      <c r="E116" s="42">
        <f>IFERROR(GETPIVOTDATA("Date",'Cancer Site'!$A$1,"Cancer Site","Liver"),0)</f>
        <v>3</v>
      </c>
      <c r="G116" s="117" t="s">
        <v>237</v>
      </c>
      <c r="H116" s="42">
        <f>IFERROR(GETPIVOTDATA("Date",'Cancer Site'!$A$1,"Cancer Site","Pancreatic"),0)</f>
        <v>1</v>
      </c>
    </row>
    <row r="117" spans="1:8" x14ac:dyDescent="0.25">
      <c r="A117" s="41" t="s">
        <v>16</v>
      </c>
      <c r="B117" s="131">
        <f>IFERROR(GETPIVOTDATA("Date",'Cancer Site'!$A$1,"Cancer Site","Urolog"),0)</f>
        <v>27</v>
      </c>
    </row>
    <row r="118" spans="1:8" x14ac:dyDescent="0.25">
      <c r="A118" s="41" t="s">
        <v>110</v>
      </c>
      <c r="B118" s="131">
        <f>IFERROR(GETPIVOTDATA("Date",'Cancer Site'!$A$1,"Cancer Site",),0)+IFERROR(GETPIVOTDATA("Date",'Cancer Site'!$A$1,"Cancer Site","Not stated"),0)</f>
        <v>126</v>
      </c>
    </row>
    <row r="119" spans="1:8" x14ac:dyDescent="0.25">
      <c r="A119" s="38" t="s">
        <v>295</v>
      </c>
      <c r="B119" s="128"/>
    </row>
    <row r="120" spans="1:8" x14ac:dyDescent="0.25">
      <c r="A120" s="59" t="s">
        <v>154</v>
      </c>
      <c r="B120" s="134">
        <f>IFERROR(GETPIVOTDATA("Date",'Journey Stage'!$A$1,"Visit Type","New","Journey Stage","Pre-Diagnosis","Person","PwC"),0)</f>
        <v>2</v>
      </c>
    </row>
    <row r="121" spans="1:8" x14ac:dyDescent="0.25">
      <c r="A121" s="46" t="s">
        <v>155</v>
      </c>
      <c r="B121" s="134">
        <f>IFERROR(GETPIVOTDATA("Date",'Journey Stage'!$A$1,"Visit Type","New","Journey Stage","Curative Intent","Person","PwC"),0)</f>
        <v>67</v>
      </c>
    </row>
    <row r="122" spans="1:8" x14ac:dyDescent="0.25">
      <c r="A122" s="112" t="s">
        <v>228</v>
      </c>
      <c r="B122" s="134">
        <f>IFERROR(GETPIVOTDATA("Date",'Journey Stage'!$A$1,"Visit Type","New","Journey Stage","Post Treatment - Curative Intent","Person","PwC"),0)</f>
        <v>83</v>
      </c>
    </row>
    <row r="123" spans="1:8" x14ac:dyDescent="0.25">
      <c r="A123" s="46" t="s">
        <v>156</v>
      </c>
      <c r="B123" s="134">
        <f>IFERROR(GETPIVOTDATA("Date",'Journey Stage'!$A$1,"Visit Type","New","Journey Stage","Non-Curative Intent","Person","PwC"),0)</f>
        <v>45</v>
      </c>
    </row>
    <row r="124" spans="1:8" x14ac:dyDescent="0.25">
      <c r="A124" s="46" t="s">
        <v>157</v>
      </c>
      <c r="B124" s="134">
        <f>IFERROR(GETPIVOTDATA("Date",'Journey Stage'!$A$1,"Visit Type","New","Journey Stage","Palliative Care","Person","PwC"),0)</f>
        <v>0</v>
      </c>
    </row>
    <row r="125" spans="1:8" x14ac:dyDescent="0.25">
      <c r="A125" s="46" t="s">
        <v>107</v>
      </c>
      <c r="B125" s="134">
        <f>IFERROR(GETPIVOTDATA("Date",'Journey Stage'!$A$1,"Visit Type","New","Journey Stage","End of Life","Person","PwC"),0)</f>
        <v>0</v>
      </c>
    </row>
    <row r="126" spans="1:8" x14ac:dyDescent="0.25">
      <c r="A126" s="46" t="s">
        <v>158</v>
      </c>
      <c r="B126" s="134">
        <f>IFERROR(GETPIVOTDATA("Date",'Journey Stage'!$A$1,"Visit Type","New","Journey Stage","Bereaved"),0)</f>
        <v>12</v>
      </c>
      <c r="C126" s="125" t="s">
        <v>297</v>
      </c>
    </row>
    <row r="127" spans="1:8" x14ac:dyDescent="0.25">
      <c r="A127" s="46" t="s">
        <v>110</v>
      </c>
      <c r="B127" s="134">
        <f>IFERROR(GETPIVOTDATA("Date",'Journey Stage'!$A$1,"Visit Type","New","Journey Stage","Not stated","Person","PwC"),0)</f>
        <v>32</v>
      </c>
    </row>
    <row r="128" spans="1:8" x14ac:dyDescent="0.25">
      <c r="A128" s="38" t="s">
        <v>296</v>
      </c>
      <c r="B128" s="128"/>
    </row>
    <row r="129" spans="1:4" x14ac:dyDescent="0.25">
      <c r="A129" s="59" t="s">
        <v>154</v>
      </c>
      <c r="B129" s="134">
        <f>IFERROR(GETPIVOTDATA("Date",'Journey Stage'!$A$1,"Journey Stage","Pre-Diagnosis"),0)</f>
        <v>8</v>
      </c>
      <c r="D129"/>
    </row>
    <row r="130" spans="1:4" x14ac:dyDescent="0.25">
      <c r="A130" s="46" t="s">
        <v>155</v>
      </c>
      <c r="B130" s="134">
        <f>IFERROR(GETPIVOTDATA("Date",'Journey Stage'!$A$1,"Journey Stage","Curative Intent"),0)</f>
        <v>361</v>
      </c>
      <c r="D130"/>
    </row>
    <row r="131" spans="1:4" x14ac:dyDescent="0.25">
      <c r="A131" s="46" t="s">
        <v>228</v>
      </c>
      <c r="B131" s="134">
        <f>IFERROR(GETPIVOTDATA("Date",'Journey Stage'!$A$1,"Journey Stage","Post Treatment - Curative Intent"),0)</f>
        <v>472</v>
      </c>
      <c r="D131"/>
    </row>
    <row r="132" spans="1:4" x14ac:dyDescent="0.25">
      <c r="A132" s="46" t="s">
        <v>156</v>
      </c>
      <c r="B132" s="134">
        <f>IFERROR(GETPIVOTDATA("Date",'Journey Stage'!$A$1,"Journey Stage","Non-Curative Intent"),0)</f>
        <v>552</v>
      </c>
      <c r="D132"/>
    </row>
    <row r="133" spans="1:4" x14ac:dyDescent="0.25">
      <c r="A133" s="46" t="s">
        <v>157</v>
      </c>
      <c r="B133" s="134">
        <f>IFERROR(GETPIVOTDATA("Date",'Journey Stage'!$A$1,"Journey Stage","Palliative Care"),0)</f>
        <v>1</v>
      </c>
      <c r="D133"/>
    </row>
    <row r="134" spans="1:4" x14ac:dyDescent="0.25">
      <c r="A134" s="46" t="s">
        <v>107</v>
      </c>
      <c r="B134" s="134">
        <f>IFERROR(GETPIVOTDATA("Date",'Journey Stage'!$A$1,"Journey Stage","End of Life"),0)</f>
        <v>0</v>
      </c>
      <c r="D134"/>
    </row>
    <row r="135" spans="1:4" x14ac:dyDescent="0.25">
      <c r="A135" s="46" t="s">
        <v>158</v>
      </c>
      <c r="B135" s="134">
        <f>IFERROR(GETPIVOTDATA("Date",'Journey Stage'!$A$1,"Journey Stage","Bereaved"),0)</f>
        <v>154</v>
      </c>
      <c r="D135"/>
    </row>
    <row r="136" spans="1:4" ht="15.75" thickBot="1" x14ac:dyDescent="0.3">
      <c r="A136" s="123" t="s">
        <v>110</v>
      </c>
      <c r="B136" s="149">
        <f>IFERROR(GETPIVOTDATA("Date",'Journey Stage'!$A$1,"Journey Stage","Not stated"),0)</f>
        <v>158</v>
      </c>
      <c r="D136"/>
    </row>
    <row r="137" spans="1:4" ht="26.25" x14ac:dyDescent="0.25">
      <c r="A137" s="147" t="s">
        <v>306</v>
      </c>
      <c r="B137" s="148">
        <f>SUM(B141,B181,B256,B276,B296,B351,B386,B36,B57,B64,B71,B78)</f>
        <v>2246</v>
      </c>
    </row>
    <row r="138" spans="1:4" customFormat="1" x14ac:dyDescent="0.25">
      <c r="A138" s="46" t="s">
        <v>292</v>
      </c>
      <c r="B138" s="136">
        <f>B137/B4</f>
        <v>1.3165298944900352</v>
      </c>
    </row>
    <row r="139" spans="1:4" ht="26.25" x14ac:dyDescent="0.25">
      <c r="A139" s="126" t="s">
        <v>305</v>
      </c>
      <c r="B139" s="135">
        <f>SUM(B141,B181,B256,B276,B296,B351,B36)</f>
        <v>1985</v>
      </c>
    </row>
    <row r="140" spans="1:4" customFormat="1" ht="15.75" thickBot="1" x14ac:dyDescent="0.3">
      <c r="A140" s="123" t="s">
        <v>292</v>
      </c>
      <c r="B140" s="137">
        <f>B139/B4</f>
        <v>1.1635404454865181</v>
      </c>
    </row>
    <row r="141" spans="1:4" x14ac:dyDescent="0.25">
      <c r="A141" s="122" t="s">
        <v>57</v>
      </c>
      <c r="B141" s="138">
        <f>SUM(B142:B143)</f>
        <v>184</v>
      </c>
      <c r="C141" s="111"/>
    </row>
    <row r="142" spans="1:4" x14ac:dyDescent="0.25">
      <c r="A142" s="48" t="s">
        <v>0</v>
      </c>
      <c r="B142" s="139">
        <f>SUM(B147,B152,B157,B162,B167,B172,B177)</f>
        <v>119</v>
      </c>
    </row>
    <row r="143" spans="1:4" x14ac:dyDescent="0.25">
      <c r="A143" s="48" t="s">
        <v>61</v>
      </c>
      <c r="B143" s="139">
        <f t="shared" ref="B143:B145" si="0">SUM(B148,B153,B158,B163,B168,B173,B178)</f>
        <v>65</v>
      </c>
    </row>
    <row r="144" spans="1:4" x14ac:dyDescent="0.25">
      <c r="A144" s="48" t="s">
        <v>3</v>
      </c>
      <c r="B144" s="139">
        <f t="shared" si="0"/>
        <v>69</v>
      </c>
    </row>
    <row r="145" spans="1:2" x14ac:dyDescent="0.25">
      <c r="A145" s="48" t="s">
        <v>4</v>
      </c>
      <c r="B145" s="139">
        <f t="shared" si="0"/>
        <v>115</v>
      </c>
    </row>
    <row r="146" spans="1:2" x14ac:dyDescent="0.25">
      <c r="A146" s="40" t="s">
        <v>239</v>
      </c>
      <c r="B146" s="130">
        <f>IFERROR(GETPIVOTDATA("Date",'Activity 1'!$A$1,"Activity 1","FSG Bereavement"),0)+IFERROR(GETPIVOTDATA("Date",'Activity 2'!$A$1,"Activity 2","FSG Bereavement"),0)+IFERROR(GETPIVOTDATA("Date",'Activity 3'!$A$1,"Activity 3","FSG Bereavement"),0)</f>
        <v>31</v>
      </c>
    </row>
    <row r="147" spans="1:2" x14ac:dyDescent="0.25">
      <c r="A147" s="45" t="s">
        <v>0</v>
      </c>
      <c r="B147" s="134">
        <f>IFERROR(GETPIVOTDATA("Date",'Activity 1'!$A$1,"Activity 1","FSG Bereavement","Person","PwC"),0)+IFERROR(GETPIVOTDATA("Date",'Activity 2'!$A$1,"Activity 2","FSG Bereavement","Person","PwC"),0)+IFERROR(GETPIVOTDATA("Date",'Activity 3'!$A$1,"Activity 3","FSG Bereavement","Person","PwC"),0)</f>
        <v>8</v>
      </c>
    </row>
    <row r="148" spans="1:2" x14ac:dyDescent="0.25">
      <c r="A148" s="45" t="s">
        <v>61</v>
      </c>
      <c r="B148" s="134">
        <f>IFERROR(GETPIVOTDATA("Date",'Activity 1'!$A$1,"Activity 1","FSG Bereavement","Person","Carer"),0)+IFERROR(GETPIVOTDATA("Date",'Activity 2'!$A$1,"Activity 2","FSG Bereavement","Person","Carer"),0)+IFERROR(GETPIVOTDATA("Date",'Activity 3'!$A$1,"Activity 3","FSG Bereavement","Person","Carer"),0)</f>
        <v>23</v>
      </c>
    </row>
    <row r="149" spans="1:2" x14ac:dyDescent="0.25">
      <c r="A149" s="45" t="s">
        <v>3</v>
      </c>
      <c r="B149" s="134">
        <f>IFERROR(GETPIVOTDATA("Date",'Activity 1 Gender'!$A$1,"Activity 1","FSG Bereavement","Gender","Male"),0)+IFERROR(GETPIVOTDATA("Date",'Activity 2 Gender'!$A$1,"Activity 2","FSG Bereavement","Gender","Male"),0)+IFERROR(GETPIVOTDATA("Date",'Activity 3 Gender'!$A$1,"Activity 3","FSG Bereavement","Gender","Male"),0)+IFERROR(GETPIVOTDATA("Date",'Activity 1 Gender'!$A$1,"Activity 1","FSG Bereavement","Gender","Under 18 Male"),0)+IFERROR(GETPIVOTDATA("Date",'Activity 2 Gender'!$A$1,"Activity 2","FSG Bereavement","Gender","Under 18 Male"),0)+IFERROR(GETPIVOTDATA("Date",'Activity 3 Gender'!$A$1,"Activity 3","FSG Bereavement","Gender","Under 18 Male"),0)</f>
        <v>8</v>
      </c>
    </row>
    <row r="150" spans="1:2" x14ac:dyDescent="0.25">
      <c r="A150" s="45" t="s">
        <v>4</v>
      </c>
      <c r="B150" s="134">
        <f>IFERROR(GETPIVOTDATA("Date",'Activity 1 Gender'!$A$1,"Activity 1","FSG Bereavement","Gender","Female"),0)+IFERROR(GETPIVOTDATA("Date",'Activity 2 Gender'!$A$1,"Activity 2","FSG Bereavement","Gender","Female"),0)+IFERROR(GETPIVOTDATA("Date",'Activity 3 Gender'!$A$1,"Activity 3","FSG Bereavement","Gender","Female"),0)+IFERROR(GETPIVOTDATA("Date",'Activity 1 Gender'!$A$1,"Activity 1","FSG Bereavement","Gender","Under 18 Female"),0)+IFERROR(GETPIVOTDATA("Date",'Activity 2 Gender'!$A$1,"Activity 2","FSG Bereavement","Gender","Under 18 Female"),0)+IFERROR(GETPIVOTDATA("Date",'Activity 3 Gender'!$A$1,"Activity 3","FSG Bereavement","Gender","Under 18 Female"),0)</f>
        <v>23</v>
      </c>
    </row>
    <row r="151" spans="1:2" x14ac:dyDescent="0.25">
      <c r="A151" s="40" t="s">
        <v>120</v>
      </c>
      <c r="B151" s="130">
        <f>IFERROR(GETPIVOTDATA("Date",'Activity 1'!$A$1,"Activity 1","FSG Family and Friends"),0)+IFERROR(GETPIVOTDATA("Date",'Activity 2'!$A$1,"Activity 2","FSG Family and Friends"),0)+IFERROR(GETPIVOTDATA("Date",'Activity 3'!$A$1,"Activity 3","FSG Family and Friends"),0)</f>
        <v>34</v>
      </c>
    </row>
    <row r="152" spans="1:2" x14ac:dyDescent="0.25">
      <c r="A152" s="45" t="s">
        <v>0</v>
      </c>
      <c r="B152" s="134">
        <f>IFERROR(GETPIVOTDATA("Date",'Activity 1'!$A$1,"Activity 1","FSG Family and Friends","Person","PwC"),0)+IFERROR(GETPIVOTDATA("Date",'Activity 2'!$A$1,"Activity 2","FSG Family and Friends","Person","PwC"),0)+IFERROR(GETPIVOTDATA("Date",'Activity 3'!$A$1,"Activity 3","FSG Family and Friends","Person","PwC"),0)</f>
        <v>0</v>
      </c>
    </row>
    <row r="153" spans="1:2" x14ac:dyDescent="0.25">
      <c r="A153" s="45" t="s">
        <v>61</v>
      </c>
      <c r="B153" s="134">
        <f>IFERROR(GETPIVOTDATA("Date",'Activity 1'!$A$1,"Activity 1","FSG Family and Friends","Person","Carer"),0)+IFERROR(GETPIVOTDATA("Date",'Activity 2'!$A$1,"Activity 2","FSG Family and Friends","Person","Carer"),0)+IFERROR(GETPIVOTDATA("Date",'Activity 3'!$A$1,"Activity 3","FSG Family and Friends","Person","Carer"),0)</f>
        <v>34</v>
      </c>
    </row>
    <row r="154" spans="1:2" x14ac:dyDescent="0.25">
      <c r="A154" s="45" t="s">
        <v>3</v>
      </c>
      <c r="B154" s="134">
        <f>IFERROR(GETPIVOTDATA("Date",'Activity 1 Gender'!$A$1,"Activity 1","FSG Family and Friends","Gender","Male"),0)+IFERROR(GETPIVOTDATA("Date",'Activity 2 Gender'!$A$1,"Activity 2","FSG Family and Friends","Gender","Male"),0)+IFERROR(GETPIVOTDATA("Date",'Activity 3 Gender'!$A$1,"Activity 3","FSG Family and Friends","Gender","Male"),0)+IFERROR(GETPIVOTDATA("Date",'Activity 1 Gender'!$A$1,"Activity 1","FSG Family and Friends","Gender","Under 18 Male"),0)+IFERROR(GETPIVOTDATA("Date",'Activity 2 Gender'!$A$1,"Activity 2","FSG Family and Friends","Gender","Under 18 Male"),0)+IFERROR(GETPIVOTDATA("Date",'Activity 3 Gender'!$A$1,"Activity 3","FSG Family and Friends","Gender","Under 18 Male"),0)</f>
        <v>10</v>
      </c>
    </row>
    <row r="155" spans="1:2" x14ac:dyDescent="0.25">
      <c r="A155" s="45" t="s">
        <v>4</v>
      </c>
      <c r="B155" s="134">
        <f>IFERROR(GETPIVOTDATA("Date",'Activity 1 Gender'!$A$1,"Activity 1","FSG Family and Friends","Gender","Female"),0)+IFERROR(GETPIVOTDATA("Date",'Activity 2 Gender'!$A$1,"Activity 2","FSG Family and Friends","Gender","Female"),0)+IFERROR(GETPIVOTDATA("Date",'Activity 3 Gender'!$A$1,"Activity 3","FSG Family and Friends","Gender","Female"),0)+IFERROR(GETPIVOTDATA("Date",'Activity 1 Gender'!$A$1,"Activity 1","FSG Family and Friends","Gender","Under 18 Female"),0)+IFERROR(GETPIVOTDATA("Date",'Activity 2 Gender'!$A$1,"Activity 2","FSG Family and Friends","Gender","Under 18 Female"),0)+IFERROR(GETPIVOTDATA("Date",'Activity 3 Gender'!$A$1,"Activity 3","FSG Family and Friends","Gender","Under 18 Female"),0)</f>
        <v>24</v>
      </c>
    </row>
    <row r="156" spans="1:2" x14ac:dyDescent="0.25">
      <c r="A156" s="40" t="s">
        <v>240</v>
      </c>
      <c r="B156" s="130">
        <f>IFERROR(GETPIVOTDATA("Date",'Activity 1'!$A$1,"Activity 1","FSG General"),0)+IFERROR(GETPIVOTDATA("Date",'Activity 2'!$A$1,"Activity 2","FSG General"),0)+IFERROR(GETPIVOTDATA("Date",'Activity 3'!$A$1,"Activity 3","FSG General"),0)</f>
        <v>29</v>
      </c>
    </row>
    <row r="157" spans="1:2" x14ac:dyDescent="0.25">
      <c r="A157" s="45" t="s">
        <v>0</v>
      </c>
      <c r="B157" s="134">
        <f>IFERROR(GETPIVOTDATA("Date",'Activity 1'!$A$1,"Activity 1","FSG General","Person","PwC"),0)+IFERROR(GETPIVOTDATA("Date",'Activity 2'!$A$1,"Activity 2","FSG General","Person","PwC"),0)+IFERROR(GETPIVOTDATA("Date",'Activity 3'!$A$1,"Activity 3","FSG General","Person","PwC"),0)</f>
        <v>27</v>
      </c>
    </row>
    <row r="158" spans="1:2" x14ac:dyDescent="0.25">
      <c r="A158" s="45" t="s">
        <v>61</v>
      </c>
      <c r="B158" s="134">
        <f>IFERROR(GETPIVOTDATA("Date",'Activity 1'!$A$1,"Activity 1","FSG General","Person","Carer"),0)+IFERROR(GETPIVOTDATA("Date",'Activity 2'!$A$1,"Activity 2","FSG General","Person","Carer"),0)+IFERROR(GETPIVOTDATA("Date",'Activity 3'!$A$1,"Activity 3","FSG General","Person","Carer"),0)</f>
        <v>2</v>
      </c>
    </row>
    <row r="159" spans="1:2" x14ac:dyDescent="0.25">
      <c r="A159" s="45" t="s">
        <v>3</v>
      </c>
      <c r="B159" s="134">
        <f>IFERROR(GETPIVOTDATA("Date",'Activity 1 Gender'!$A$1,"Activity 1","FSG General","Gender","Male"),0)+IFERROR(GETPIVOTDATA("Date",'Activity 2 Gender'!$A$1,"Activity 2","FSG General","Gender","Male"),0)+IFERROR(GETPIVOTDATA("Date",'Activity 3 Gender'!$A$1,"Activity 3","FSG General","Gender","Male"),0)+IFERROR(GETPIVOTDATA("Date",'Activity 1 Gender'!$A$1,"Activity 1","FSG General","Gender","Under 18 Male"),0)+IFERROR(GETPIVOTDATA("Date",'Activity 2 Gender'!$A$1,"Activity 2","FSG General","Gender","Under 18 Male"),0)+IFERROR(GETPIVOTDATA("Date",'Activity 3 Gender'!$A$1,"Activity 3","FSG General","Gender","Under 18 Male"),0)</f>
        <v>10</v>
      </c>
    </row>
    <row r="160" spans="1:2" x14ac:dyDescent="0.25">
      <c r="A160" s="45" t="s">
        <v>4</v>
      </c>
      <c r="B160" s="134">
        <f>IFERROR(GETPIVOTDATA("Date",'Activity 1 Gender'!$A$1,"Activity 1","FSG General","Gender","Female"),0)+IFERROR(GETPIVOTDATA("Date",'Activity 2 Gender'!$A$1,"Activity 2","FSG General","Gender","Female"),0)+IFERROR(GETPIVOTDATA("Date",'Activity 3 Gender'!$A$1,"Activity 3","FSG General","Gender","Female"),0)+IFERROR(GETPIVOTDATA("Date",'Activity 1 Gender'!$A$1,"Activity 1","FSG General","Gender","Under 18 Female"),0)+IFERROR(GETPIVOTDATA("Date",'Activity 2 Gender'!$A$1,"Activity 2","FSG General","Gender","Under 18 Female"),0)+IFERROR(GETPIVOTDATA("Date",'Activity 3 Gender'!$A$1,"Activity 3","FSG General","Gender","Under 18 Female"),0)</f>
        <v>19</v>
      </c>
    </row>
    <row r="161" spans="1:2" x14ac:dyDescent="0.25">
      <c r="A161" s="40" t="s">
        <v>119</v>
      </c>
      <c r="B161" s="130">
        <f>IFERROR(GETPIVOTDATA("Date",'Activity 1'!$A$1,"Activity 1","FSG Men's"),0)+IFERROR(GETPIVOTDATA("Date",'Activity 2'!$A$1,"Activity 2","FSG Men's"),0)+IFERROR(GETPIVOTDATA("Date",'Activity 3'!$A$1,"Activity 3","FSG Men's"),0)</f>
        <v>34</v>
      </c>
    </row>
    <row r="162" spans="1:2" x14ac:dyDescent="0.25">
      <c r="A162" s="45" t="s">
        <v>0</v>
      </c>
      <c r="B162" s="134">
        <f>IFERROR(GETPIVOTDATA("Date",'Activity 1'!$A$1,"Activity 1","FSG Men's","Person","PwC"),0)+IFERROR(GETPIVOTDATA("Date",'Activity 2'!$A$1,"Activity 2","FSG Men's","Person","PwC"),0)+IFERROR(GETPIVOTDATA("Date",'Activity 3'!$A$1,"Activity 3","FSG Men's","Person","PwC"),0)</f>
        <v>31</v>
      </c>
    </row>
    <row r="163" spans="1:2" x14ac:dyDescent="0.25">
      <c r="A163" s="45" t="s">
        <v>61</v>
      </c>
      <c r="B163" s="134">
        <f>IFERROR(GETPIVOTDATA("Date",'Activity 1'!$A$1,"Activity 1","FSG Men's","Person","Carer"),0)+IFERROR(GETPIVOTDATA("Date",'Activity 2'!$A$1,"Activity 2","FSG Men's","Person","Carer"),0)+IFERROR(GETPIVOTDATA("Date",'Activity 3'!$A$1,"Activity 3","FSG Men's","Person","Carer"),0)</f>
        <v>3</v>
      </c>
    </row>
    <row r="164" spans="1:2" x14ac:dyDescent="0.25">
      <c r="A164" s="45" t="s">
        <v>3</v>
      </c>
      <c r="B164" s="134">
        <f>IFERROR(GETPIVOTDATA("Date",'Activity 1 Gender'!$A$1,"Activity 1","FSG Men's","Gender","Male"),0)+IFERROR(GETPIVOTDATA("Date",'Activity 2 Gender'!$A$1,"Activity 2","FSG Men's","Gender","Male"),0)+IFERROR(GETPIVOTDATA("Date",'Activity 3 Gender'!$A$1,"Activity 3","FSG Men's","Gender","Male"),0)+IFERROR(GETPIVOTDATA("Date",'Activity 1 Gender'!$A$1,"Activity 1","FSG Men's","Gender","Under 18 Male"),0)+IFERROR(GETPIVOTDATA("Date",'Activity 2 Gender'!$A$1,"Activity 2","FSG Men's","Gender","Under 18 Male"),0)+IFERROR(GETPIVOTDATA("Date",'Activity 3 Gender'!$A$1,"Activity 3","FSG Men's","Gender","Under 18 Male"),0)</f>
        <v>25</v>
      </c>
    </row>
    <row r="165" spans="1:2" x14ac:dyDescent="0.25">
      <c r="A165" s="45" t="s">
        <v>4</v>
      </c>
      <c r="B165" s="134">
        <f>IFERROR(GETPIVOTDATA("Date",'Activity 1 Gender'!$A$1,"Activity 1","FSG Men's","Gender","Female"),0)+IFERROR(GETPIVOTDATA("Date",'Activity 2 Gender'!$A$1,"Activity 2","FSG Men's","Gender","Female"),0)+IFERROR(GETPIVOTDATA("Date",'Activity 3 Gender'!$A$1,"Activity 3","FSG Men's","Gender","Female"),0)+IFERROR(GETPIVOTDATA("Date",'Activity 1 Gender'!$A$1,"Activity 1","FSG Men's","Gender","Under 18 Female"),0)+IFERROR(GETPIVOTDATA("Date",'Activity 2 Gender'!$A$1,"Activity 2","FSG Men's","Gender","Under 18 Female"),0)+IFERROR(GETPIVOTDATA("Date",'Activity 3 Gender'!$A$1,"Activity 3","FSG Men's","Gender","Under 18 Female"),0)</f>
        <v>9</v>
      </c>
    </row>
    <row r="166" spans="1:2" x14ac:dyDescent="0.25">
      <c r="A166" s="40" t="s">
        <v>241</v>
      </c>
      <c r="B166" s="130">
        <f>IFERROR(GETPIVOTDATA("Date",'Activity 1'!$A$1,"Activity 1","FSG Secondary Cancer"),0)+IFERROR(GETPIVOTDATA("Date",'Activity 2'!$A$1,"Activity 2","FSG Secondary Cancer"),0)+IFERROR(GETPIVOTDATA("Date",'Activity 3'!$A$1,"Activity 3","FSG Secondary Cancer"),0)</f>
        <v>0</v>
      </c>
    </row>
    <row r="167" spans="1:2" x14ac:dyDescent="0.25">
      <c r="A167" s="45" t="s">
        <v>0</v>
      </c>
      <c r="B167" s="134">
        <f>IFERROR(GETPIVOTDATA("Date",'Activity 1'!$A$1,"Activity 1","FSG Secondary Cancer","Person","PwC"),0)+IFERROR(GETPIVOTDATA("Date",'Activity 2'!$A$1,"Activity 2","FSG Secondary Cancer","Person","PwC"),0)+IFERROR(GETPIVOTDATA("Date",'Activity 3'!$A$1,"Activity 3","FSG Secondary Cancer","Person","PwC"),0)</f>
        <v>0</v>
      </c>
    </row>
    <row r="168" spans="1:2" x14ac:dyDescent="0.25">
      <c r="A168" s="45" t="s">
        <v>61</v>
      </c>
      <c r="B168" s="134">
        <f>IFERROR(GETPIVOTDATA("Date",'Activity 1'!$A$1,"Activity 1","FSG Secondary Cancer","Person","Carer"),0)+IFERROR(GETPIVOTDATA("Date",'Activity 2'!$A$1,"Activity 2","FSG Secondary Cancer","Person","Carer"),0)+IFERROR(GETPIVOTDATA("Date",'Activity 3'!$A$1,"Activity 3","FSG Secondary Cancer","Person","Carer"),0)</f>
        <v>0</v>
      </c>
    </row>
    <row r="169" spans="1:2" x14ac:dyDescent="0.25">
      <c r="A169" s="45" t="s">
        <v>3</v>
      </c>
      <c r="B169" s="134">
        <f>IFERROR(GETPIVOTDATA("Date",'Activity 1 Gender'!$A$1,"Activity 1","FSG Secondary Cancer","Gender","Male"),0)+IFERROR(GETPIVOTDATA("Date",'Activity 2 Gender'!$A$1,"Activity 2","FSG Secondary Cancer","Gender","Male"),0)+IFERROR(GETPIVOTDATA("Date",'Activity 3 Gender'!$A$1,"Activity 3","FSG Secondary Cancer","Gender","Male"),0)+IFERROR(GETPIVOTDATA("Date",'Activity 1 Gender'!$A$1,"Activity 1","FSG Secondary Cancer","Gender","Under 18 Male"),0)+IFERROR(GETPIVOTDATA("Date",'Activity 2 Gender'!$A$1,"Activity 2","FSG Secondary Cancer","Gender","Under 18 Male"),0)+IFERROR(GETPIVOTDATA("Date",'Activity 3 Gender'!$A$1,"Activity 3","FSG Secondary Cancer","Gender","Under 18 Male"),0)</f>
        <v>0</v>
      </c>
    </row>
    <row r="170" spans="1:2" x14ac:dyDescent="0.25">
      <c r="A170" s="45" t="s">
        <v>4</v>
      </c>
      <c r="B170" s="134">
        <f>IFERROR(GETPIVOTDATA("Date",'Activity 1 Gender'!$A$1,"Activity 1","FSG Secondary Cancer","Gender","Female"),0)+IFERROR(GETPIVOTDATA("Date",'Activity 2 Gender'!$A$1,"Activity 2","FSG Secondary Cancer","Gender","Female"),0)+IFERROR(GETPIVOTDATA("Date",'Activity 3 Gender'!$A$1,"Activity 3","FSG Secondary Cancer","Gender","Female"),0)+IFERROR(GETPIVOTDATA("Date",'Activity 1 Gender'!$A$1,"Activity 1","FSG Secondary Cancer","Gender","Under 18 Female"),0)+IFERROR(GETPIVOTDATA("Date",'Activity 2 Gender'!$A$1,"Activity 2","FSG Secondary Cancer","Gender","Under 18 Female"),0)+IFERROR(GETPIVOTDATA("Date",'Activity 3 Gender'!$A$1,"Activity 3","FSG Secondary Cancer","Gender","Under 18 Female"),0)</f>
        <v>0</v>
      </c>
    </row>
    <row r="171" spans="1:2" x14ac:dyDescent="0.25">
      <c r="A171" s="40" t="s">
        <v>265</v>
      </c>
      <c r="B171" s="130">
        <f>IFERROR(GETPIVOTDATA("Date",'Activity 1'!$A$1,"Activity 1","FSG Young Person's"),0)+IFERROR(GETPIVOTDATA("Date",'Activity 2'!$A$1,"Activity 2","FSG Young Person's"),0)+IFERROR(GETPIVOTDATA("Date",'Activity 3'!$A$1,"Activity 3","FSG Young Person's"),0)</f>
        <v>51</v>
      </c>
    </row>
    <row r="172" spans="1:2" x14ac:dyDescent="0.25">
      <c r="A172" s="45" t="s">
        <v>0</v>
      </c>
      <c r="B172" s="134">
        <f>IFERROR(GETPIVOTDATA("Date",'Activity 1'!$A$1,"Activity 1","FSG Young Person's","Person","PwC"),0)+IFERROR(GETPIVOTDATA("Date",'Activity 2'!$A$1,"Activity 2","FSG Young Person's","Person","PwC"),0)+IFERROR(GETPIVOTDATA("Date",'Activity 3'!$A$1,"Activity 3","FSG Young Person's","Person","PwC"),0)</f>
        <v>48</v>
      </c>
    </row>
    <row r="173" spans="1:2" x14ac:dyDescent="0.25">
      <c r="A173" s="45" t="s">
        <v>61</v>
      </c>
      <c r="B173" s="134">
        <f>IFERROR(GETPIVOTDATA("Date",'Activity 1'!$A$1,"Activity 1","FSG Young Person's","Person","Carer"),0)+IFERROR(GETPIVOTDATA("Date",'Activity 2'!$A$1,"Activity 2","FSG Young Person's","Person","Carer"),0)+IFERROR(GETPIVOTDATA("Date",'Activity 3'!$A$1,"Activity 3","FSG Young Person's","Person","Carer"),0)</f>
        <v>3</v>
      </c>
    </row>
    <row r="174" spans="1:2" x14ac:dyDescent="0.25">
      <c r="A174" s="45" t="s">
        <v>3</v>
      </c>
      <c r="B174" s="134">
        <f>IFERROR(GETPIVOTDATA("Date",'Activity 1 Gender'!$A$1,"Activity 1","FSG Young Person's","Gender","Male"),0)+IFERROR(GETPIVOTDATA("Date",'Activity 2 Gender'!$A$1,"Activity 2","FSG Young Person's","Gender","Male"),0)+IFERROR(GETPIVOTDATA("Date",'Activity 3 Gender'!$A$1,"Activity 3","FSG Young Person's","Gender","Male"),0)+IFERROR(GETPIVOTDATA("Date",'Activity 1 Gender'!$A$1,"Activity 1","FSG Young Person's","Gender","Under 18 Male"),0)+IFERROR(GETPIVOTDATA("Date",'Activity 2 Gender'!$A$1,"Activity 2","FSG Young Person's","Gender","Under 18 Male"),0)+IFERROR(GETPIVOTDATA("Date",'Activity 3 Gender'!$A$1,"Activity 3","FSG Young Person's","Gender","Under 18 Male"),0)</f>
        <v>16</v>
      </c>
    </row>
    <row r="175" spans="1:2" x14ac:dyDescent="0.25">
      <c r="A175" s="45" t="s">
        <v>4</v>
      </c>
      <c r="B175" s="134">
        <f>IFERROR(GETPIVOTDATA("Date",'Activity 1 Gender'!$A$1,"Activity 1","FSG Young Person's","Gender","Female"),0)+IFERROR(GETPIVOTDATA("Date",'Activity 2 Gender'!$A$1,"Activity 2","FSG Young Person's","Gender","Female"),0)+IFERROR(GETPIVOTDATA("Date",'Activity 3 Gender'!$A$1,"Activity 3","FSG Young Person's","Gender","Female"),0)+IFERROR(GETPIVOTDATA("Date",'Activity 1 Gender'!$A$1,"Activity 1","FSG Young Person's","Gender","Under 18 Female"),0)+IFERROR(GETPIVOTDATA("Date",'Activity 2 Gender'!$A$1,"Activity 2","FSG Young Person's","Gender","Under 18 Female"),0)+IFERROR(GETPIVOTDATA("Date",'Activity 3 Gender'!$A$1,"Activity 3","FSG Young Person's","Gender","Under 18 Female"),0)</f>
        <v>35</v>
      </c>
    </row>
    <row r="176" spans="1:2" x14ac:dyDescent="0.25">
      <c r="A176" s="40" t="s">
        <v>118</v>
      </c>
      <c r="B176" s="130">
        <f>IFERROR(GETPIVOTDATA("Date",'Activity 1'!$A$1,"Activity 1","FSG Young Women's"),0)+IFERROR(GETPIVOTDATA("Date",'Activity 2'!$A$1,"Activity 2","FSG Young Women's"),0)+IFERROR(GETPIVOTDATA("Date",'Activity 3'!$A$1,"Activity 3","FSG Young Women's"),0)</f>
        <v>5</v>
      </c>
    </row>
    <row r="177" spans="1:2" x14ac:dyDescent="0.25">
      <c r="A177" s="45" t="s">
        <v>0</v>
      </c>
      <c r="B177" s="134">
        <f>IFERROR(GETPIVOTDATA("Date",'Activity 1'!$A$1,"Activity 1","FSG Young Women's","Person","PwC"),0)+IFERROR(GETPIVOTDATA("Date",'Activity 2'!$A$1,"Activity 2","FSG Young Women's","Person","PwC"),0)+IFERROR(GETPIVOTDATA("Date",'Activity 3'!$A$1,"Activity 3","FSG Young Women's","Person","PwC"),0)</f>
        <v>5</v>
      </c>
    </row>
    <row r="178" spans="1:2" x14ac:dyDescent="0.25">
      <c r="A178" s="45" t="s">
        <v>61</v>
      </c>
      <c r="B178" s="134">
        <f>IFERROR(GETPIVOTDATA("Date",'Activity 1'!$A$1,"Activity 1","FSG Young Women's","Person","Carer"),0)+IFERROR(GETPIVOTDATA("Date",'Activity 2'!$A$1,"Activity 2","FSG Young Women's","Person","Carer"),0)+IFERROR(GETPIVOTDATA("Date",'Activity 3'!$A$1,"Activity 3","FSG Young Women's","Person","Carer"),0)</f>
        <v>0</v>
      </c>
    </row>
    <row r="179" spans="1:2" x14ac:dyDescent="0.25">
      <c r="A179" s="45" t="s">
        <v>3</v>
      </c>
      <c r="B179" s="134">
        <f>IFERROR(GETPIVOTDATA("Date",'Activity 1 Gender'!$A$1,"Activity 1","FSG Young Women's","Gender","Male"),0)+IFERROR(GETPIVOTDATA("Date",'Activity 2 Gender'!$A$1,"Activity 2","FSG Young Women's","Gender","Male"),0)+IFERROR(GETPIVOTDATA("Date",'Activity 3 Gender'!$A$1,"Activity 3","FSG Young Women's","Gender","Male"),0)+IFERROR(GETPIVOTDATA("Date",'Activity 1 Gender'!$A$1,"Activity 1","FSG Young Women's","Gender","Under 18 Male"),0)+IFERROR(GETPIVOTDATA("Date",'Activity 2 Gender'!$A$1,"Activity 2","FSG Young Women's","Gender","Under 18 Male"),0)+IFERROR(GETPIVOTDATA("Date",'Activity 3 Gender'!$A$1,"Activity 3","FSG Young Women's","Gender","Under 18 Male"),0)</f>
        <v>0</v>
      </c>
    </row>
    <row r="180" spans="1:2" x14ac:dyDescent="0.25">
      <c r="A180" s="45" t="s">
        <v>4</v>
      </c>
      <c r="B180" s="134">
        <f>IFERROR(GETPIVOTDATA("Date",'Activity 1 Gender'!$A$1,"Activity 1","FSG Young Women's","Gender","Female"),0)+IFERROR(GETPIVOTDATA("Date",'Activity 2 Gender'!$A$1,"Activity 2","FSG Young Women's","Gender","Female"),0)+IFERROR(GETPIVOTDATA("Date",'Activity 3 Gender'!$A$1,"Activity 3","FSG Young Women's","Gender","Female"),0)+IFERROR(GETPIVOTDATA("Date",'Activity 1 Gender'!$A$1,"Activity 1","FSG Young Women's","Gender","Under 18 Female"),0)+IFERROR(GETPIVOTDATA("Date",'Activity 2 Gender'!$A$1,"Activity 2","FSG Young Women's","Gender","Under 18 Female"),0)+IFERROR(GETPIVOTDATA("Date",'Activity 3 Gender'!$A$1,"Activity 3","FSG Young Women's","Gender","Under 18 Female"),0)</f>
        <v>5</v>
      </c>
    </row>
    <row r="181" spans="1:2" x14ac:dyDescent="0.25">
      <c r="A181" s="50" t="s">
        <v>139</v>
      </c>
      <c r="B181" s="140">
        <f>SUM(B182:B183)</f>
        <v>174</v>
      </c>
    </row>
    <row r="182" spans="1:2" x14ac:dyDescent="0.25">
      <c r="A182" s="45" t="s">
        <v>0</v>
      </c>
      <c r="B182" s="134">
        <f>SUM(B187,B192,B197,B202,B207,B212,B217,B222,B227,B232,B237,B242,B247,B252)</f>
        <v>133</v>
      </c>
    </row>
    <row r="183" spans="1:2" x14ac:dyDescent="0.25">
      <c r="A183" s="45" t="s">
        <v>61</v>
      </c>
      <c r="B183" s="134">
        <f t="shared" ref="B183:B185" si="1">SUM(B188,B193,B198,B203,B208,B213,B218,B223,B228,B233,B238,B243,B248,B253)</f>
        <v>41</v>
      </c>
    </row>
    <row r="184" spans="1:2" x14ac:dyDescent="0.25">
      <c r="A184" s="45" t="s">
        <v>3</v>
      </c>
      <c r="B184" s="134">
        <f t="shared" si="1"/>
        <v>70</v>
      </c>
    </row>
    <row r="185" spans="1:2" x14ac:dyDescent="0.25">
      <c r="A185" s="45" t="s">
        <v>4</v>
      </c>
      <c r="B185" s="134">
        <f t="shared" si="1"/>
        <v>104</v>
      </c>
    </row>
    <row r="186" spans="1:2" x14ac:dyDescent="0.25">
      <c r="A186" s="49" t="s">
        <v>176</v>
      </c>
      <c r="B186" s="130">
        <f>IFERROR(GETPIVOTDATA("Date",'Activity 1'!$A$1,"Activity 1","NG Brain"),0)+IFERROR(GETPIVOTDATA("Date",'Activity 2'!$A$1,"Activity 2","NG Brain"),0)+IFERROR(GETPIVOTDATA("Date",'Activity 3'!$A$1,"Activity 3","NG Brain"),0)</f>
        <v>17</v>
      </c>
    </row>
    <row r="187" spans="1:2" x14ac:dyDescent="0.25">
      <c r="A187" s="45" t="s">
        <v>0</v>
      </c>
      <c r="B187" s="134">
        <f>IFERROR(GETPIVOTDATA("Date",'Activity 1'!$A$1,"Activity 1","NG Brain","Person","PwC"),0)+IFERROR(GETPIVOTDATA("Date",'Activity 2'!$A$1,"Activity 2","NG Brain","Person","PwC"),0)+IFERROR(GETPIVOTDATA("Date",'Activity 3'!$A$1,"Activity 3","NG Brain","Person","PwC"),0)</f>
        <v>11</v>
      </c>
    </row>
    <row r="188" spans="1:2" x14ac:dyDescent="0.25">
      <c r="A188" s="45" t="s">
        <v>61</v>
      </c>
      <c r="B188" s="134">
        <f>IFERROR(GETPIVOTDATA("Date",'Activity 1'!$A$1,"Activity 1","NG Brain","Person","Carer"),0)+IFERROR(GETPIVOTDATA("Date",'Activity 2'!$A$1,"Activity 2","NG Brain","Person","Carer"),0)+IFERROR(GETPIVOTDATA("Date",'Activity 3'!$A$1,"Activity 3","NG Brain","Person","Carer"),0)</f>
        <v>6</v>
      </c>
    </row>
    <row r="189" spans="1:2" x14ac:dyDescent="0.25">
      <c r="A189" s="45" t="s">
        <v>3</v>
      </c>
      <c r="B189" s="134">
        <f>IFERROR(GETPIVOTDATA("Date",'Activity 1 Gender'!$A$1,"Activity 1","NG Brain","Gender","Male"),0)+IFERROR(GETPIVOTDATA("Date",'Activity 2 Gender'!$A$1,"Activity 2","NG Brain","Gender","Male"),0)+IFERROR(GETPIVOTDATA("Date",'Activity 3 Gender'!$A$1,"Activity 3","NG Brain","Gender","Male"),0)+IFERROR(GETPIVOTDATA("Date",'Activity 1 Gender'!$A$1,"Activity 1","NG Brain","Gender","Under 18 Male"),0)+IFERROR(GETPIVOTDATA("Date",'Activity 2 Gender'!$A$1,"Activity 2","NG Brain","Gender","Under 18 Male"),0)+IFERROR(GETPIVOTDATA("Date",'Activity 3 Gender'!$A$1,"Activity 3","NG Brain","Gender","Under 18 Male"),0)</f>
        <v>8</v>
      </c>
    </row>
    <row r="190" spans="1:2" x14ac:dyDescent="0.25">
      <c r="A190" s="45" t="s">
        <v>4</v>
      </c>
      <c r="B190" s="134">
        <f>IFERROR(GETPIVOTDATA("Date",'Activity 1 Gender'!$A$1,"Activity 1","NG Brain","Gender","Female"),0)+IFERROR(GETPIVOTDATA("Date",'Activity 2 Gender'!$A$1,"Activity 2","NG Brain","Gender","Female"),0)+IFERROR(GETPIVOTDATA("Date",'Activity 3 Gender'!$A$1,"Activity 3","NG Brain","Gender","Female"),0)+IFERROR(GETPIVOTDATA("Date",'Activity 1 Gender'!$A$1,"Activity 1","NG Brain","Gender","Under 18 Female"),0)+IFERROR(GETPIVOTDATA("Date",'Activity 2 Gender'!$A$1,"Activity 2","NG Brain","Gender","Under 18 Female"),0)+IFERROR(GETPIVOTDATA("Date",'Activity 3 Gender'!$A$1,"Activity 3","NG Brain","Gender","Under 18 Female"),0)</f>
        <v>9</v>
      </c>
    </row>
    <row r="191" spans="1:2" x14ac:dyDescent="0.25">
      <c r="A191" s="49" t="s">
        <v>10</v>
      </c>
      <c r="B191" s="130">
        <f>IFERROR(GETPIVOTDATA("Date",'Activity 1'!$A$1,"Activity 1","NG Breast"),0)+IFERROR(GETPIVOTDATA("Date",'Activity 2'!$A$1,"Activity 2","NG Breast"),0)+IFERROR(GETPIVOTDATA("Date",'Activity 3'!$A$1,"Activity 3","NG Breast"),0)</f>
        <v>0</v>
      </c>
    </row>
    <row r="192" spans="1:2" x14ac:dyDescent="0.25">
      <c r="A192" s="45" t="s">
        <v>0</v>
      </c>
      <c r="B192" s="134">
        <f>IFERROR(GETPIVOTDATA("Date",'Activity 1'!$A$1,"Activity 1","NG Breast","Person","PwC"),0)+IFERROR(GETPIVOTDATA("Date",'Activity 2'!$A$1,"Activity 2","NG Breast","Person","PwC"),0)+IFERROR(GETPIVOTDATA("Date",'Activity 3'!$A$1,"Activity 3","NG Breast","Person","PwC"),0)</f>
        <v>0</v>
      </c>
    </row>
    <row r="193" spans="1:2" x14ac:dyDescent="0.25">
      <c r="A193" s="45" t="s">
        <v>61</v>
      </c>
      <c r="B193" s="134">
        <f>IFERROR(GETPIVOTDATA("Date",'Activity 1'!$A$1,"Activity 1","NG Breast","Person","Carer"),0)+IFERROR(GETPIVOTDATA("Date",'Activity 2'!$A$1,"Activity 2","NG Breast","Person","Carer"),0)+IFERROR(GETPIVOTDATA("Date",'Activity 3'!$A$1,"Activity 3","NG Breast","Person","Carer"),0)</f>
        <v>0</v>
      </c>
    </row>
    <row r="194" spans="1:2" x14ac:dyDescent="0.25">
      <c r="A194" s="45" t="s">
        <v>3</v>
      </c>
      <c r="B194" s="134">
        <f>IFERROR(GETPIVOTDATA("Date",'Activity 1 Gender'!$A$1,"Activity 1","NG Breast","Gender","Male"),0)+IFERROR(GETPIVOTDATA("Date",'Activity 2 Gender'!$A$1,"Activity 2","NG Breast","Gender","Male"),0)+IFERROR(GETPIVOTDATA("Date",'Activity 3 Gender'!$A$1,"Activity 3","NG Breast","Gender","Male"),0)+IFERROR(GETPIVOTDATA("Date",'Activity 1 Gender'!$A$1,"Activity 1","NG Breast","Gender","Under 18 Male"),0)+IFERROR(GETPIVOTDATA("Date",'Activity 2 Gender'!$A$1,"Activity 2","NG Breast","Gender","Under 18 Male"),0)+IFERROR(GETPIVOTDATA("Date",'Activity 3 Gender'!$A$1,"Activity 3","NG Breast","Gender","Under 18 Male"),0)</f>
        <v>0</v>
      </c>
    </row>
    <row r="195" spans="1:2" x14ac:dyDescent="0.25">
      <c r="A195" s="45" t="s">
        <v>4</v>
      </c>
      <c r="B195" s="134">
        <f>IFERROR(GETPIVOTDATA("Date",'Activity 1 Gender'!$A$1,"Activity 1","NG Breast","Gender","Female"),0)+IFERROR(GETPIVOTDATA("Date",'Activity 2 Gender'!$A$1,"Activity 2","NG Breast","Gender","Female"),0)+IFERROR(GETPIVOTDATA("Date",'Activity 3 Gender'!$A$1,"Activity 3","NG Breast","Gender","Female"),0)+IFERROR(GETPIVOTDATA("Date",'Activity 1 Gender'!$A$1,"Activity 1","NG Breast","Gender","Under 18 Female"),0)+IFERROR(GETPIVOTDATA("Date",'Activity 2 Gender'!$A$1,"Activity 2","NG Breast","Gender","Under 18 Female"),0)+IFERROR(GETPIVOTDATA("Date",'Activity 3 Gender'!$A$1,"Activity 3","NG Breast","Gender","Under 18 Female"),0)</f>
        <v>0</v>
      </c>
    </row>
    <row r="196" spans="1:2" x14ac:dyDescent="0.25">
      <c r="A196" s="49" t="s">
        <v>11</v>
      </c>
      <c r="B196" s="130">
        <f>IFERROR(GETPIVOTDATA("Date",'Activity 1'!$A$1,"Activity 1","NG Gynae"),0)+IFERROR(GETPIVOTDATA("Date",'Activity 2'!$A$1,"Activity 2","NG Gynae"),0)+IFERROR(GETPIVOTDATA("Date",'Activity 3'!$A$1,"Activity 3","NG Gynae"),0)</f>
        <v>0</v>
      </c>
    </row>
    <row r="197" spans="1:2" x14ac:dyDescent="0.25">
      <c r="A197" s="45" t="s">
        <v>0</v>
      </c>
      <c r="B197" s="134">
        <f>IFERROR(GETPIVOTDATA("Date",'Activity 1'!$A$1,"Activity 1","NG Gynae","Person","PwC"),0)+IFERROR(GETPIVOTDATA("Date",'Activity 2'!$A$1,"Activity 2","NG Gynae","Person","PwC"),0)+IFERROR(GETPIVOTDATA("Date",'Activity 3'!$A$1,"Activity 3","NG Gynae","Person","PwC"),0)</f>
        <v>0</v>
      </c>
    </row>
    <row r="198" spans="1:2" x14ac:dyDescent="0.25">
      <c r="A198" s="45" t="s">
        <v>61</v>
      </c>
      <c r="B198" s="134">
        <f>IFERROR(GETPIVOTDATA("Date",'Activity 1'!$A$1,"Activity 1","NG Gynae","Person","Carer"),0)+IFERROR(GETPIVOTDATA("Date",'Activity 2'!$A$1,"Activity 2","NG Gynae","Person","Carer"),0)+IFERROR(GETPIVOTDATA("Date",'Activity 3'!$A$1,"Activity 3","NG Gynae","Person","Carer"),0)</f>
        <v>0</v>
      </c>
    </row>
    <row r="199" spans="1:2" x14ac:dyDescent="0.25">
      <c r="A199" s="45" t="s">
        <v>3</v>
      </c>
      <c r="B199" s="134">
        <f>IFERROR(GETPIVOTDATA("Date",'Activity 1 Gender'!$A$1,"Activity 1","NG Gynae","Gender","Male"),0)+IFERROR(GETPIVOTDATA("Date",'Activity 2 Gender'!$A$1,"Activity 2","NG Gynae","Gender","Male"),0)+IFERROR(GETPIVOTDATA("Date",'Activity 3 Gender'!$A$1,"Activity 3","NG Gynae","Gender","Male"),0)+IFERROR(GETPIVOTDATA("Date",'Activity 1 Gender'!$A$1,"Activity 1","NG Gynae","Gender","Under 18 Male"),0)+IFERROR(GETPIVOTDATA("Date",'Activity 2 Gender'!$A$1,"Activity 2","NG Gynae","Gender","Under 18 Male"),0)+IFERROR(GETPIVOTDATA("Date",'Activity 3 Gender'!$A$1,"Activity 3","NG Gynae","Gender","Under 18 Male"),0)</f>
        <v>0</v>
      </c>
    </row>
    <row r="200" spans="1:2" x14ac:dyDescent="0.25">
      <c r="A200" s="45" t="s">
        <v>4</v>
      </c>
      <c r="B200" s="134">
        <f>IFERROR(GETPIVOTDATA("Date",'Activity 1 Gender'!$A$1,"Activity 1","NG Gynae","Gender","Female"),0)+IFERROR(GETPIVOTDATA("Date",'Activity 2 Gender'!$A$1,"Activity 2","NG Gynae","Gender","Female"),0)+IFERROR(GETPIVOTDATA("Date",'Activity 3 Gender'!$A$1,"Activity 3","NG Gynae","Gender","Female"),0)+IFERROR(GETPIVOTDATA("Date",'Activity 1 Gender'!$A$1,"Activity 1","NG Gynae","Gender","Under 18 Female"),0)+IFERROR(GETPIVOTDATA("Date",'Activity 2 Gender'!$A$1,"Activity 2","NG Gynae","Gender","Under 18 Female"),0)+IFERROR(GETPIVOTDATA("Date",'Activity 3 Gender'!$A$1,"Activity 3","NG Gynae","Gender","Under 18 Female"),0)</f>
        <v>0</v>
      </c>
    </row>
    <row r="201" spans="1:2" x14ac:dyDescent="0.25">
      <c r="A201" s="49" t="s">
        <v>142</v>
      </c>
      <c r="B201" s="130">
        <f>IFERROR(GETPIVOTDATA("Date",'Activity 1'!$A$1,"Activity 1","NG Haematology"),0)+IFERROR(GETPIVOTDATA("Date",'Activity 2'!$A$1,"Activity 2","NG Haematology"),0)+IFERROR(GETPIVOTDATA("Date",'Activity 3'!$A$1,"Activity 3","NG Haematology"),0)</f>
        <v>63</v>
      </c>
    </row>
    <row r="202" spans="1:2" x14ac:dyDescent="0.25">
      <c r="A202" s="45" t="s">
        <v>0</v>
      </c>
      <c r="B202" s="134">
        <f>IFERROR(GETPIVOTDATA("Date",'Activity 1'!$A$1,"Activity 1","NG Haematology","Person","PwC"),0)+IFERROR(GETPIVOTDATA("Date",'Activity 2'!$A$1,"Activity 2","NG Haematology","Person","PwC"),0)+IFERROR(GETPIVOTDATA("Date",'Activity 3'!$A$1,"Activity 3","NG Haematology","Person","PwC"),0)</f>
        <v>60</v>
      </c>
    </row>
    <row r="203" spans="1:2" x14ac:dyDescent="0.25">
      <c r="A203" s="45" t="s">
        <v>61</v>
      </c>
      <c r="B203" s="134">
        <f>IFERROR(GETPIVOTDATA("Date",'Activity 1'!$A$1,"Activity 1","NG Haematology","Person","Carer"),0)+IFERROR(GETPIVOTDATA("Date",'Activity 2'!$A$1,"Activity 2","NG Haematology","Person","Carer"),0)+IFERROR(GETPIVOTDATA("Date",'Activity 3'!$A$1,"Activity 3","NG Haematology","Person","Carer"),0)</f>
        <v>3</v>
      </c>
    </row>
    <row r="204" spans="1:2" x14ac:dyDescent="0.25">
      <c r="A204" s="45" t="s">
        <v>3</v>
      </c>
      <c r="B204" s="134">
        <f>IFERROR(GETPIVOTDATA("Date",'Activity 1 Gender'!$A$1,"Activity 1","NG Haematology","Gender","Male"),0)+IFERROR(GETPIVOTDATA("Date",'Activity 2 Gender'!$A$1,"Activity 2","NG Haematology","Gender","Male"),0)+IFERROR(GETPIVOTDATA("Date",'Activity 3 Gender'!$A$1,"Activity 3","NG Haematology","Gender","Male"),0)+IFERROR(GETPIVOTDATA("Date",'Activity 1 Gender'!$A$1,"Activity 1","NG Haematology","Gender","Under 18 Male"),0)+IFERROR(GETPIVOTDATA("Date",'Activity 2 Gender'!$A$1,"Activity 2","NG Haematology","Gender","Under 18 Male"),0)+IFERROR(GETPIVOTDATA("Date",'Activity 3 Gender'!$A$1,"Activity 3","NG Haematology","Gender","Under 18 Male"),0)</f>
        <v>28</v>
      </c>
    </row>
    <row r="205" spans="1:2" x14ac:dyDescent="0.25">
      <c r="A205" s="45" t="s">
        <v>4</v>
      </c>
      <c r="B205" s="134">
        <f>IFERROR(GETPIVOTDATA("Date",'Activity 1 Gender'!$A$1,"Activity 1","NG Haematology","Gender","Female"),0)+IFERROR(GETPIVOTDATA("Date",'Activity 2 Gender'!$A$1,"Activity 2","NG Haematology","Gender","Female"),0)+IFERROR(GETPIVOTDATA("Date",'Activity 3 Gender'!$A$1,"Activity 3","NG Haematology","Gender","Female"),0)+IFERROR(GETPIVOTDATA("Date",'Activity 1 Gender'!$A$1,"Activity 1","NG Haematology","Gender","Under 18 Female"),0)+IFERROR(GETPIVOTDATA("Date",'Activity 2 Gender'!$A$1,"Activity 2","NG Haematology","Gender","Under 18 Female"),0)+IFERROR(GETPIVOTDATA("Date",'Activity 3 Gender'!$A$1,"Activity 3","NG Haematology","Gender","Under 18 Female"),0)</f>
        <v>35</v>
      </c>
    </row>
    <row r="206" spans="1:2" x14ac:dyDescent="0.25">
      <c r="A206" s="49" t="s">
        <v>12</v>
      </c>
      <c r="B206" s="130">
        <f>IFERROR(GETPIVOTDATA("Date",'Activity 1'!$A$1,"Activity 1","NG Head/Neck"),0)+IFERROR(GETPIVOTDATA("Date",'Activity 2'!$A$1,"Activity 2","NG Head/Neck"),0)+IFERROR(GETPIVOTDATA("Date",'Activity 3'!$A$1,"Activity 3","NG Head/Neck"),0)</f>
        <v>7</v>
      </c>
    </row>
    <row r="207" spans="1:2" x14ac:dyDescent="0.25">
      <c r="A207" s="45" t="s">
        <v>0</v>
      </c>
      <c r="B207" s="134">
        <f>IFERROR(GETPIVOTDATA("Date",'Activity 1'!$A$1,"Activity 1","NG Head/Neck","Person","PwC"),0)+IFERROR(GETPIVOTDATA("Date",'Activity 2'!$A$1,"Activity 2","NG Head/Neck","Person","PwC"),0)+IFERROR(GETPIVOTDATA("Date",'Activity 3'!$A$1,"Activity 3","NG Head/Neck","Person","PwC"),0)</f>
        <v>6</v>
      </c>
    </row>
    <row r="208" spans="1:2" x14ac:dyDescent="0.25">
      <c r="A208" s="45" t="s">
        <v>61</v>
      </c>
      <c r="B208" s="134">
        <f>IFERROR(GETPIVOTDATA("Date",'Activity 1'!$A$1,"Activity 1","NG Head/Neck","Person","Carer"),0)+IFERROR(GETPIVOTDATA("Date",'Activity 2'!$A$1,"Activity 2","NG Head/Neck","Person","Carer"),0)+IFERROR(GETPIVOTDATA("Date",'Activity 3'!$A$1,"Activity 3","NG Head/Neck","Person","Carer"),0)</f>
        <v>1</v>
      </c>
    </row>
    <row r="209" spans="1:2" x14ac:dyDescent="0.25">
      <c r="A209" s="45" t="s">
        <v>3</v>
      </c>
      <c r="B209" s="134">
        <f>IFERROR(GETPIVOTDATA("Date",'Activity 1 Gender'!$A$1,"Activity 1","NG Head/Neck","Gender","Male"),0)+IFERROR(GETPIVOTDATA("Date",'Activity 2 Gender'!$A$1,"Activity 2","NG Head/Neck","Gender","Male"),0)+IFERROR(GETPIVOTDATA("Date",'Activity 3 Gender'!$A$1,"Activity 3","NG Head/Neck","Gender","Male"),0)+IFERROR(GETPIVOTDATA("Date",'Activity 1 Gender'!$A$1,"Activity 1","NG Head/Neck","Gender","Under 18 Male"),0)+IFERROR(GETPIVOTDATA("Date",'Activity 2 Gender'!$A$1,"Activity 2","NG Head/Neck","Gender","Under 18 Male"),0)+IFERROR(GETPIVOTDATA("Date",'Activity 3 Gender'!$A$1,"Activity 3","NG Head/Neck","Gender","Under 18 Male"),0)</f>
        <v>0</v>
      </c>
    </row>
    <row r="210" spans="1:2" x14ac:dyDescent="0.25">
      <c r="A210" s="45" t="s">
        <v>4</v>
      </c>
      <c r="B210" s="134">
        <f>IFERROR(GETPIVOTDATA("Date",'Activity 1 Gender'!$A$1,"Activity 1","NG Head/Neck","Gender","Female"),0)+IFERROR(GETPIVOTDATA("Date",'Activity 2 Gender'!$A$1,"Activity 2","NG Head/Neck","Gender","Female"),0)+IFERROR(GETPIVOTDATA("Date",'Activity 3 Gender'!$A$1,"Activity 3","NG Head/Neck","Gender","Female"),0)+IFERROR(GETPIVOTDATA("Date",'Activity 1 Gender'!$A$1,"Activity 1","NG Head/Neck","Gender","Under 18 Female"),0)+IFERROR(GETPIVOTDATA("Date",'Activity 2 Gender'!$A$1,"Activity 2","NG Head/Neck","Gender","Under 18 Female"),0)+IFERROR(GETPIVOTDATA("Date",'Activity 3 Gender'!$A$1,"Activity 3","NG Head/Neck","Gender","Under 18 Female"),0)</f>
        <v>7</v>
      </c>
    </row>
    <row r="211" spans="1:2" x14ac:dyDescent="0.25">
      <c r="A211" s="49" t="s">
        <v>140</v>
      </c>
      <c r="B211" s="130">
        <f>IFERROR(GETPIVOTDATA("Date",'Activity 1'!$A$1,"Activity 1","NG Laryngectomy"),0)+IFERROR(GETPIVOTDATA("Date",'Activity 2'!$A$1,"Activity 2","NG Laryngectomy"),0)+IFERROR(GETPIVOTDATA("Date",'Activity 3'!$A$1,"Activity 3","NG Laryngectomy"),0)</f>
        <v>49</v>
      </c>
    </row>
    <row r="212" spans="1:2" x14ac:dyDescent="0.25">
      <c r="A212" s="45" t="s">
        <v>0</v>
      </c>
      <c r="B212" s="134">
        <f>IFERROR(GETPIVOTDATA("Date",'Activity 1'!$A$1,"Activity 1","NG Laryngectomy","Person","PwC"),0)+IFERROR(GETPIVOTDATA("Date",'Activity 2'!$A$1,"Activity 2","NG Laryngectomy","Person","PwC"),0)+IFERROR(GETPIVOTDATA("Date",'Activity 3'!$A$1,"Activity 3","NG Laryngectomy","Person","PwC"),0)</f>
        <v>26</v>
      </c>
    </row>
    <row r="213" spans="1:2" x14ac:dyDescent="0.25">
      <c r="A213" s="45" t="s">
        <v>61</v>
      </c>
      <c r="B213" s="134">
        <f>IFERROR(GETPIVOTDATA("Date",'Activity 1'!$A$1,"Activity 1","NG Laryngectomy","Person","Carer"),0)+IFERROR(GETPIVOTDATA("Date",'Activity 2'!$A$1,"Activity 2","NG Laryngectomy","Person","Carer"),0)+IFERROR(GETPIVOTDATA("Date",'Activity 3'!$A$1,"Activity 3","NG Laryngectomy","Person","Carer"),0)</f>
        <v>23</v>
      </c>
    </row>
    <row r="214" spans="1:2" x14ac:dyDescent="0.25">
      <c r="A214" s="45" t="s">
        <v>3</v>
      </c>
      <c r="B214" s="134">
        <f>IFERROR(GETPIVOTDATA("Date",'Activity 1 Gender'!$A$1,"Activity 1","NG Laryngectomy","Gender","Male"),0)+IFERROR(GETPIVOTDATA("Date",'Activity 2 Gender'!$A$1,"Activity 2","NG Laryngectomy","Gender","Male"),0)+IFERROR(GETPIVOTDATA("Date",'Activity 3 Gender'!$A$1,"Activity 3","NG Laryngectomy","Gender","Male"),0)+IFERROR(GETPIVOTDATA("Date",'Activity 1 Gender'!$A$1,"Activity 1","NG Laryngectomy","Gender","Under 18 Male"),0)+IFERROR(GETPIVOTDATA("Date",'Activity 2 Gender'!$A$1,"Activity 2","NG Laryngectomy","Gender","Under 18 Male"),0)+IFERROR(GETPIVOTDATA("Date",'Activity 3 Gender'!$A$1,"Activity 3","NG Laryngectomy","Gender","Under 18 Male"),0)</f>
        <v>24</v>
      </c>
    </row>
    <row r="215" spans="1:2" x14ac:dyDescent="0.25">
      <c r="A215" s="45" t="s">
        <v>4</v>
      </c>
      <c r="B215" s="134">
        <f>IFERROR(GETPIVOTDATA("Date",'Activity 1 Gender'!$A$1,"Activity 1","NG Laryngectomy","Gender","Female"),0)+IFERROR(GETPIVOTDATA("Date",'Activity 2 Gender'!$A$1,"Activity 2","NG Laryngectomy","Gender","Female"),0)+IFERROR(GETPIVOTDATA("Date",'Activity 3 Gender'!$A$1,"Activity 3","NG Laryngectomy","Gender","Female"),0)+IFERROR(GETPIVOTDATA("Date",'Activity 1 Gender'!$A$1,"Activity 1","NG Laryngectomy","Gender","Under 18 Female"),0)+IFERROR(GETPIVOTDATA("Date",'Activity 2 Gender'!$A$1,"Activity 2","NG Laryngectomy","Gender","Under 18 Female"),0)+IFERROR(GETPIVOTDATA("Date",'Activity 3 Gender'!$A$1,"Activity 3","NG Laryngectomy","Gender","Under 18 Female"),0)</f>
        <v>25</v>
      </c>
    </row>
    <row r="216" spans="1:2" x14ac:dyDescent="0.25">
      <c r="A216" s="49" t="s">
        <v>13</v>
      </c>
      <c r="B216" s="130">
        <f>IFERROR(GETPIVOTDATA("Date",'Activity 1'!$A$1,"Activity 1","NG Lower GI"),0)+IFERROR(GETPIVOTDATA("Date",'Activity 2'!$A$1,"Activity 2","NG Lower GI"),0)+IFERROR(GETPIVOTDATA("Date",'Activity 3'!$A$1,"Activity 3","NG Lower GI"),0)</f>
        <v>19</v>
      </c>
    </row>
    <row r="217" spans="1:2" x14ac:dyDescent="0.25">
      <c r="A217" s="45" t="s">
        <v>0</v>
      </c>
      <c r="B217" s="134">
        <f>IFERROR(GETPIVOTDATA("Date",'Activity 1'!$A$1,"Activity 1","NG Lower GI","Person","PwC"),0)+IFERROR(GETPIVOTDATA("Date",'Activity 2'!$A$1,"Activity 2","NG Lower GI","Person","PwC"),0)+IFERROR(GETPIVOTDATA("Date",'Activity 3'!$A$1,"Activity 3","NG Lower GI","Person","PwC"),0)</f>
        <v>14</v>
      </c>
    </row>
    <row r="218" spans="1:2" x14ac:dyDescent="0.25">
      <c r="A218" s="45" t="s">
        <v>61</v>
      </c>
      <c r="B218" s="134">
        <f>IFERROR(GETPIVOTDATA("Date",'Activity 1'!$A$1,"Activity 1","NG Lower GI","Person","Carer"),0)+IFERROR(GETPIVOTDATA("Date",'Activity 2'!$A$1,"Activity 2","NG Lower GI","Person","Carer"),0)+IFERROR(GETPIVOTDATA("Date",'Activity 3'!$A$1,"Activity 3","NG Lower GI","Person","Carer"),0)</f>
        <v>5</v>
      </c>
    </row>
    <row r="219" spans="1:2" x14ac:dyDescent="0.25">
      <c r="A219" s="45" t="s">
        <v>3</v>
      </c>
      <c r="B219" s="134">
        <f>IFERROR(GETPIVOTDATA("Date",'Activity 1 Gender'!$A$1,"Activity 1","NG Lower GI","Gender","Male"),0)+IFERROR(GETPIVOTDATA("Date",'Activity 2 Gender'!$A$1,"Activity 2","NG Lower GI","Gender","Male"),0)+IFERROR(GETPIVOTDATA("Date",'Activity 3 Gender'!$A$1,"Activity 3","NG Lower GI","Gender","Male"),0)+IFERROR(GETPIVOTDATA("Date",'Activity 1 Gender'!$A$1,"Activity 1","NG Lower GI","Gender","Under 18 Male"),0)+IFERROR(GETPIVOTDATA("Date",'Activity 2 Gender'!$A$1,"Activity 2","NG Lower GI","Gender","Under 18 Male"),0)+IFERROR(GETPIVOTDATA("Date",'Activity 3 Gender'!$A$1,"Activity 3","NG Lower GI","Gender","Under 18 Male"),0)</f>
        <v>4</v>
      </c>
    </row>
    <row r="220" spans="1:2" x14ac:dyDescent="0.25">
      <c r="A220" s="45" t="s">
        <v>4</v>
      </c>
      <c r="B220" s="134">
        <f>IFERROR(GETPIVOTDATA("Date",'Activity 1 Gender'!$A$1,"Activity 1","NG Lower GI","Gender","Female"),0)+IFERROR(GETPIVOTDATA("Date",'Activity 2 Gender'!$A$1,"Activity 2","NG Lower GI","Gender","Female"),0)+IFERROR(GETPIVOTDATA("Date",'Activity 3 Gender'!$A$1,"Activity 3","NG Lower GI","Gender","Female"),0)+IFERROR(GETPIVOTDATA("Date",'Activity 1 Gender'!$A$1,"Activity 1","NG Lower GI","Gender","Under 18 Female"),0)+IFERROR(GETPIVOTDATA("Date",'Activity 2 Gender'!$A$1,"Activity 2","NG Lower GI","Gender","Under 18 Female"),0)+IFERROR(GETPIVOTDATA("Date",'Activity 3 Gender'!$A$1,"Activity 3","NG Lower GI","Gender","Under 18 Female"),0)</f>
        <v>15</v>
      </c>
    </row>
    <row r="221" spans="1:2" x14ac:dyDescent="0.25">
      <c r="A221" s="49" t="s">
        <v>23</v>
      </c>
      <c r="B221" s="130">
        <f>IFERROR(GETPIVOTDATA("Date",'Activity 1'!$A$1,"Activity 1","NG Lung"),0)+IFERROR(GETPIVOTDATA("Date",'Activity 2'!$A$1,"Activity 2","NG Lung"),0)+IFERROR(GETPIVOTDATA("Date",'Activity 3'!$A$1,"Activity 3","NG Lung"),0)</f>
        <v>0</v>
      </c>
    </row>
    <row r="222" spans="1:2" x14ac:dyDescent="0.25">
      <c r="A222" s="45" t="s">
        <v>0</v>
      </c>
      <c r="B222" s="134">
        <f>IFERROR(GETPIVOTDATA("Date",'Activity 1'!$A$1,"Activity 1","NG Lung","Person","PwC"),0)+IFERROR(GETPIVOTDATA("Date",'Activity 2'!$A$1,"Activity 2","NG Lung","Person","PwC"),0)+IFERROR(GETPIVOTDATA("Date",'Activity 3'!$A$1,"Activity 3","NG Lung","Person","PwC"),0)</f>
        <v>0</v>
      </c>
    </row>
    <row r="223" spans="1:2" x14ac:dyDescent="0.25">
      <c r="A223" s="45" t="s">
        <v>61</v>
      </c>
      <c r="B223" s="134">
        <f>IFERROR(GETPIVOTDATA("Date",'Activity 1'!$A$1,"Activity 1","NG Lung","Person","Carer"),0)+IFERROR(GETPIVOTDATA("Date",'Activity 2'!$A$1,"Activity 2","NG Lung","Person","Carer"),0)+IFERROR(GETPIVOTDATA("Date",'Activity 3'!$A$1,"Activity 3","NG Lung","Person","Carer"),0)</f>
        <v>0</v>
      </c>
    </row>
    <row r="224" spans="1:2" x14ac:dyDescent="0.25">
      <c r="A224" s="45" t="s">
        <v>3</v>
      </c>
      <c r="B224" s="134">
        <f>IFERROR(GETPIVOTDATA("Date",'Activity 1 Gender'!$A$1,"Activity 1","NG Lung","Gender","Male"),0)+IFERROR(GETPIVOTDATA("Date",'Activity 2 Gender'!$A$1,"Activity 2","NG Lung","Gender","Male"),0)+IFERROR(GETPIVOTDATA("Date",'Activity 3 Gender'!$A$1,"Activity 3","NG Lung","Gender","Male"),0)+IFERROR(GETPIVOTDATA("Date",'Activity 1 Gender'!$A$1,"Activity 1","NG Lung","Gender","Under 18 Male"),0)+IFERROR(GETPIVOTDATA("Date",'Activity 2 Gender'!$A$1,"Activity 2","NG Lung","Gender","Under 18 Male"),0)+IFERROR(GETPIVOTDATA("Date",'Activity 3 Gender'!$A$1,"Activity 3","NG Lung","Gender","Under 18 Male"),0)</f>
        <v>0</v>
      </c>
    </row>
    <row r="225" spans="1:2" x14ac:dyDescent="0.25">
      <c r="A225" s="45" t="s">
        <v>4</v>
      </c>
      <c r="B225" s="134">
        <f>IFERROR(GETPIVOTDATA("Date",'Activity 1 Gender'!$A$1,"Activity 1","NG Lung","Gender","Female"),0)+IFERROR(GETPIVOTDATA("Date",'Activity 2 Gender'!$A$1,"Activity 2","NG Lung","Gender","Female"),0)+IFERROR(GETPIVOTDATA("Date",'Activity 3 Gender'!$A$1,"Activity 3","NG Lung","Gender","Female"),0)+IFERROR(GETPIVOTDATA("Date",'Activity 1 Gender'!$A$1,"Activity 1","NG Lung","Gender","Under 18 Female"),0)+IFERROR(GETPIVOTDATA("Date",'Activity 2 Gender'!$A$1,"Activity 2","NG Lung","Gender","Under 18 Female"),0)+IFERROR(GETPIVOTDATA("Date",'Activity 3 Gender'!$A$1,"Activity 3","NG Lung","Gender","Under 18 Female"),0)</f>
        <v>0</v>
      </c>
    </row>
    <row r="226" spans="1:2" x14ac:dyDescent="0.25">
      <c r="A226" s="49" t="s">
        <v>141</v>
      </c>
      <c r="B226" s="130">
        <f>IFERROR(GETPIVOTDATA("Date",'Activity 1'!$A$1,"Activity 1","NG Lymphoedema"),0)+IFERROR(GETPIVOTDATA("Date",'Activity 2'!$A$1,"Activity 2","NG Lymphoedema"),0)+IFERROR(GETPIVOTDATA("Date",'Activity 3'!$A$1,"Activity 3","NG Lymphoedema"),0)</f>
        <v>13</v>
      </c>
    </row>
    <row r="227" spans="1:2" x14ac:dyDescent="0.25">
      <c r="A227" s="45" t="s">
        <v>0</v>
      </c>
      <c r="B227" s="134">
        <f>IFERROR(GETPIVOTDATA("Date",'Activity 1'!$A$1,"Activity 1","NG Lymphoedema","Person","PwC"),0)+IFERROR(GETPIVOTDATA("Date",'Activity 2'!$A$1,"Activity 2","NG Lymphoedema","Person","PwC"),0)+IFERROR(GETPIVOTDATA("Date",'Activity 3'!$A$1,"Activity 3","NG Lymphoedema","Person","PwC"),0)</f>
        <v>13</v>
      </c>
    </row>
    <row r="228" spans="1:2" x14ac:dyDescent="0.25">
      <c r="A228" s="45" t="s">
        <v>61</v>
      </c>
      <c r="B228" s="134">
        <f>IFERROR(GETPIVOTDATA("Date",'Activity 1'!$A$1,"Activity 1","NG Lymphoedema","Person","Carer"),0)+IFERROR(GETPIVOTDATA("Date",'Activity 2'!$A$1,"Activity 2","NG Lymphoedema","Person","Carer"),0)+IFERROR(GETPIVOTDATA("Date",'Activity 3'!$A$1,"Activity 3","NG Lymphoedema","Person","Carer"),0)</f>
        <v>0</v>
      </c>
    </row>
    <row r="229" spans="1:2" x14ac:dyDescent="0.25">
      <c r="A229" s="45" t="s">
        <v>3</v>
      </c>
      <c r="B229" s="134">
        <f>IFERROR(GETPIVOTDATA("Date",'Activity 1 Gender'!$A$1,"Activity 1","NG Lymphoedema","Gender","Male"),0)+IFERROR(GETPIVOTDATA("Date",'Activity 2 Gender'!$A$1,"Activity 2","NG Lymphoedema","Gender","Male"),0)+IFERROR(GETPIVOTDATA("Date",'Activity 3 Gender'!$A$1,"Activity 3","NG Lymphoedema","Gender","Male"),0)+IFERROR(GETPIVOTDATA("Date",'Activity 1 Gender'!$A$1,"Activity 1","NG Lymphoedema","Gender","Under 18 Male"),0)+IFERROR(GETPIVOTDATA("Date",'Activity 2 Gender'!$A$1,"Activity 2","NG Lymphoedema","Gender","Under 18 Male"),0)+IFERROR(GETPIVOTDATA("Date",'Activity 3 Gender'!$A$1,"Activity 3","NG Lymphoedema","Gender","Under 18 Male"),0)</f>
        <v>4</v>
      </c>
    </row>
    <row r="230" spans="1:2" x14ac:dyDescent="0.25">
      <c r="A230" s="45" t="s">
        <v>4</v>
      </c>
      <c r="B230" s="134">
        <f>IFERROR(GETPIVOTDATA("Date",'Activity 1 Gender'!$A$1,"Activity 1","NG Lymphoedema","Gender","Female"),0)+IFERROR(GETPIVOTDATA("Date",'Activity 2 Gender'!$A$1,"Activity 2","NG Lymphoedema","Gender","Female"),0)+IFERROR(GETPIVOTDATA("Date",'Activity 3 Gender'!$A$1,"Activity 3","NG Lymphoedema","Gender","Female"),0)+IFERROR(GETPIVOTDATA("Date",'Activity 1 Gender'!$A$1,"Activity 1","NG Lymphoedema","Gender","Under 18 Female"),0)+IFERROR(GETPIVOTDATA("Date",'Activity 2 Gender'!$A$1,"Activity 2","NG Lymphoedema","Gender","Under 18 Female"),0)+IFERROR(GETPIVOTDATA("Date",'Activity 3 Gender'!$A$1,"Activity 3","NG Lymphoedema","Gender","Under 18 Female"),0)</f>
        <v>9</v>
      </c>
    </row>
    <row r="231" spans="1:2" x14ac:dyDescent="0.25">
      <c r="A231" s="49" t="s">
        <v>152</v>
      </c>
      <c r="B231" s="130">
        <f>IFERROR(GETPIVOTDATA("Date",'Activity 1'!$A$1,"Activity 1","NG Myeloma"),0)+IFERROR(GETPIVOTDATA("Date",'Activity 2'!$A$1,"Activity 2","NG Myeloma"),0)+IFERROR(GETPIVOTDATA("Date",'Activity 3'!$A$1,"Activity 3","NG Myeloma"),0)</f>
        <v>5</v>
      </c>
    </row>
    <row r="232" spans="1:2" x14ac:dyDescent="0.25">
      <c r="A232" s="45" t="s">
        <v>0</v>
      </c>
      <c r="B232" s="134">
        <f>IFERROR(GETPIVOTDATA("Date",'Activity 1'!$A$1,"Activity 1","NG Myeloma","Person","PwC"),0)+IFERROR(GETPIVOTDATA("Date",'Activity 2'!$A$1,"Activity 2","NG Myeloma","Person","PwC"),0)+IFERROR(GETPIVOTDATA("Date",'Activity 3'!$A$1,"Activity 3","NG Myeloma","Person","PwC"),0)</f>
        <v>3</v>
      </c>
    </row>
    <row r="233" spans="1:2" x14ac:dyDescent="0.25">
      <c r="A233" s="45" t="s">
        <v>61</v>
      </c>
      <c r="B233" s="134">
        <f>IFERROR(GETPIVOTDATA("Date",'Activity 1'!$A$1,"Activity 1","NG Myeloma","Person","Carer"),0)+IFERROR(GETPIVOTDATA("Date",'Activity 2'!$A$1,"Activity 2","NG Myeloma","Person","Carer"),0)+IFERROR(GETPIVOTDATA("Date",'Activity 3'!$A$1,"Activity 3","NG Myeloma","Person","Carer"),0)</f>
        <v>2</v>
      </c>
    </row>
    <row r="234" spans="1:2" x14ac:dyDescent="0.25">
      <c r="A234" s="45" t="s">
        <v>3</v>
      </c>
      <c r="B234" s="134">
        <f>IFERROR(GETPIVOTDATA("Date",'Activity 1 Gender'!$A$1,"Activity 1","NG Myeloma","Gender","Male"),0)+IFERROR(GETPIVOTDATA("Date",'Activity 2 Gender'!$A$1,"Activity 2","NG Myeloma","Gender","Male"),0)+IFERROR(GETPIVOTDATA("Date",'Activity 3 Gender'!$A$1,"Activity 3","NG Myeloma","Gender","Male"),0)+IFERROR(GETPIVOTDATA("Date",'Activity 1 Gender'!$A$1,"Activity 1","NG Myeloma","Gender","Under 18 Male"),0)+IFERROR(GETPIVOTDATA("Date",'Activity 2 Gender'!$A$1,"Activity 2","NG Myeloma","Gender","Under 18 Male"),0)+IFERROR(GETPIVOTDATA("Date",'Activity 3 Gender'!$A$1,"Activity 3","NG Myeloma","Gender","Under 18 Male"),0)</f>
        <v>2</v>
      </c>
    </row>
    <row r="235" spans="1:2" x14ac:dyDescent="0.25">
      <c r="A235" s="45" t="s">
        <v>4</v>
      </c>
      <c r="B235" s="134">
        <f>IFERROR(GETPIVOTDATA("Date",'Activity 1 Gender'!$A$1,"Activity 1","NG Myeloma","Gender","Female"),0)+IFERROR(GETPIVOTDATA("Date",'Activity 2 Gender'!$A$1,"Activity 2","NG Myeloma","Gender","Female"),0)+IFERROR(GETPIVOTDATA("Date",'Activity 3 Gender'!$A$1,"Activity 3","NG Myeloma","Gender","Female"),0)+IFERROR(GETPIVOTDATA("Date",'Activity 1 Gender'!$A$1,"Activity 1","NG Myeloma","Gender","Under 18 Female"),0)+IFERROR(GETPIVOTDATA("Date",'Activity 2 Gender'!$A$1,"Activity 2","NG Myeloma","Gender","Under 18 Female"),0)+IFERROR(GETPIVOTDATA("Date",'Activity 3 Gender'!$A$1,"Activity 3","NG Myeloma","Gender","Under 18 Female"),0)</f>
        <v>3</v>
      </c>
    </row>
    <row r="236" spans="1:2" x14ac:dyDescent="0.25">
      <c r="A236" s="49" t="s">
        <v>56</v>
      </c>
      <c r="B236" s="130">
        <f>IFERROR(GETPIVOTDATA("Date",'Activity 1'!$A$1,"Activity 1","NG Prostate"),0)+IFERROR(GETPIVOTDATA("Date",'Activity 2'!$A$1,"Activity 2","NG Prostate"),0)+IFERROR(GETPIVOTDATA("Date",'Activity 3'!$A$1,"Activity 3","NG Prostate"),0)</f>
        <v>0</v>
      </c>
    </row>
    <row r="237" spans="1:2" x14ac:dyDescent="0.25">
      <c r="A237" s="45" t="s">
        <v>0</v>
      </c>
      <c r="B237" s="134">
        <f>IFERROR(GETPIVOTDATA("Date",'Activity 1'!$A$1,"Activity 1","NG Prostate","Person","PwC"),0)+IFERROR(GETPIVOTDATA("Date",'Activity 2'!$A$1,"Activity 2","NG Prostate","Person","PwC"),0)+IFERROR(GETPIVOTDATA("Date",'Activity 3'!$A$1,"Activity 3","NG Prostate","Person","PwC"),0)</f>
        <v>0</v>
      </c>
    </row>
    <row r="238" spans="1:2" x14ac:dyDescent="0.25">
      <c r="A238" s="45" t="s">
        <v>61</v>
      </c>
      <c r="B238" s="134">
        <f>IFERROR(GETPIVOTDATA("Date",'Activity 1'!$A$1,"Activity 1","NG Prostate","Person","Carer"),0)+IFERROR(GETPIVOTDATA("Date",'Activity 2'!$A$1,"Activity 2","NG Prostate","Person","Carer"),0)+IFERROR(GETPIVOTDATA("Date",'Activity 3'!$A$1,"Activity 3","NG Prostate","Person","Carer"),0)</f>
        <v>0</v>
      </c>
    </row>
    <row r="239" spans="1:2" x14ac:dyDescent="0.25">
      <c r="A239" s="45" t="s">
        <v>3</v>
      </c>
      <c r="B239" s="134">
        <f>IFERROR(GETPIVOTDATA("Date",'Activity 1 Gender'!$A$1,"Activity 1","NG Prostate","Gender","Male"),0)+IFERROR(GETPIVOTDATA("Date",'Activity 2 Gender'!$A$1,"Activity 2","NG Prostate","Gender","Male"),0)+IFERROR(GETPIVOTDATA("Date",'Activity 3 Gender'!$A$1,"Activity 3","NG Prostate","Gender","Male"),0)+IFERROR(GETPIVOTDATA("Date",'Activity 1 Gender'!$A$1,"Activity 1","NG Prostate","Gender","Under 18 Male"),0)+IFERROR(GETPIVOTDATA("Date",'Activity 2 Gender'!$A$1,"Activity 2","NG Prostate","Gender","Under 18 Male"),0)+IFERROR(GETPIVOTDATA("Date",'Activity 3 Gender'!$A$1,"Activity 3","NG Prostate","Gender","Under 18 Male"),0)</f>
        <v>0</v>
      </c>
    </row>
    <row r="240" spans="1:2" x14ac:dyDescent="0.25">
      <c r="A240" s="45" t="s">
        <v>4</v>
      </c>
      <c r="B240" s="134">
        <f>IFERROR(GETPIVOTDATA("Date",'Activity 1 Gender'!$A$1,"Activity 1","NG Prostate","Gender","Female"),0)+IFERROR(GETPIVOTDATA("Date",'Activity 2 Gender'!$A$1,"Activity 2","NG Prostate","Gender","Female"),0)+IFERROR(GETPIVOTDATA("Date",'Activity 3 Gender'!$A$1,"Activity 3","NG Prostate","Gender","Female"),0)+IFERROR(GETPIVOTDATA("Date",'Activity 1 Gender'!$A$1,"Activity 1","NG Prostate","Gender","Under 18 Female"),0)+IFERROR(GETPIVOTDATA("Date",'Activity 2 Gender'!$A$1,"Activity 2","NG Prostate","Gender","Under 18 Female"),0)+IFERROR(GETPIVOTDATA("Date",'Activity 3 Gender'!$A$1,"Activity 3","NG Prostate","Gender","Under 18 Female"),0)</f>
        <v>0</v>
      </c>
    </row>
    <row r="241" spans="1:2" x14ac:dyDescent="0.25">
      <c r="A241" s="49" t="s">
        <v>234</v>
      </c>
      <c r="B241" s="130">
        <f>IFERROR(GETPIVOTDATA("Date",'Activity 1'!$A$1,"Activity 1","NG Rare"),0)+IFERROR(GETPIVOTDATA("Date",'Activity 2'!$A$1,"Activity 2","NG Rare"),0)+IFERROR(GETPIVOTDATA("Date",'Activity 3'!$A$1,"Activity 3","NG Rare"),0)</f>
        <v>0</v>
      </c>
    </row>
    <row r="242" spans="1:2" x14ac:dyDescent="0.25">
      <c r="A242" s="45" t="s">
        <v>0</v>
      </c>
      <c r="B242" s="134">
        <f>IFERROR(GETPIVOTDATA("Date",'Activity 1'!$A$1,"Activity 1","NG Rare","Person","PwC"),0)+IFERROR(GETPIVOTDATA("Date",'Activity 2'!$A$1,"Activity 2","NG Rare","Person","PwC"),0)+IFERROR(GETPIVOTDATA("Date",'Activity 3'!$A$1,"Activity 3","NG Rare","Person","PwC"),0)</f>
        <v>0</v>
      </c>
    </row>
    <row r="243" spans="1:2" x14ac:dyDescent="0.25">
      <c r="A243" s="45" t="s">
        <v>61</v>
      </c>
      <c r="B243" s="134">
        <f>IFERROR(GETPIVOTDATA("Date",'Activity 1'!$A$1,"Activity 1","NG Rare","Person","Carer"),0)+IFERROR(GETPIVOTDATA("Date",'Activity 2'!$A$1,"Activity 2","NG Rare","Person","Carer"),0)+IFERROR(GETPIVOTDATA("Date",'Activity 3'!$A$1,"Activity 3","NG Rare","Person","Carer"),0)</f>
        <v>0</v>
      </c>
    </row>
    <row r="244" spans="1:2" x14ac:dyDescent="0.25">
      <c r="A244" s="45" t="s">
        <v>3</v>
      </c>
      <c r="B244" s="134">
        <f>IFERROR(GETPIVOTDATA("Date",'Activity 1 Gender'!$A$1,"Activity 1","NG Rare","Gender","Male"),0)+IFERROR(GETPIVOTDATA("Date",'Activity 2 Gender'!$A$1,"Activity 2","NG Rare","Gender","Male"),0)+IFERROR(GETPIVOTDATA("Date",'Activity 3 Gender'!$A$1,"Activity 3","NG Rare","Gender","Male"),0)+IFERROR(GETPIVOTDATA("Date",'Activity 1 Gender'!$A$1,"Activity 1","NG Rare","Gender","Under 18 Male"),0)+IFERROR(GETPIVOTDATA("Date",'Activity 2 Gender'!$A$1,"Activity 2","NG Rare","Gender","Under 18 Male"),0)+IFERROR(GETPIVOTDATA("Date",'Activity 3 Gender'!$A$1,"Activity 3","NG Rare","Gender","Under 18 Male"),0)</f>
        <v>0</v>
      </c>
    </row>
    <row r="245" spans="1:2" x14ac:dyDescent="0.25">
      <c r="A245" s="45" t="s">
        <v>4</v>
      </c>
      <c r="B245" s="134">
        <f>IFERROR(GETPIVOTDATA("Date",'Activity 1 Gender'!$A$1,"Activity 1","NG Rare","Gender","Female"),0)+IFERROR(GETPIVOTDATA("Date",'Activity 2 Gender'!$A$1,"Activity 2","NG Rare","Gender","Female"),0)+IFERROR(GETPIVOTDATA("Date",'Activity 3 Gender'!$A$1,"Activity 3","NG Rare","Gender","Female"),0)+IFERROR(GETPIVOTDATA("Date",'Activity 1 Gender'!$A$1,"Activity 1","NG Rare","Gender","Under 18 Female"),0)+IFERROR(GETPIVOTDATA("Date",'Activity 2 Gender'!$A$1,"Activity 2","NG Rare","Gender","Under 18 Female"),0)+IFERROR(GETPIVOTDATA("Date",'Activity 3 Gender'!$A$1,"Activity 3","NG Rare","Gender","Under 18 Female"),0)</f>
        <v>0</v>
      </c>
    </row>
    <row r="246" spans="1:2" x14ac:dyDescent="0.25">
      <c r="A246" s="49" t="s">
        <v>153</v>
      </c>
      <c r="B246" s="130">
        <f>IFERROR(GETPIVOTDATA("Date",'Activity 1'!$A$1,"Activity 1","NG Sarcoma"),0)+IFERROR(GETPIVOTDATA("Date",'Activity 2'!$A$1,"Activity 2","NG Sarcoma"),0)+IFERROR(GETPIVOTDATA("Date",'Activity 3'!$A$1,"Activity 3","NG Sarcoma"),0)</f>
        <v>1</v>
      </c>
    </row>
    <row r="247" spans="1:2" x14ac:dyDescent="0.25">
      <c r="A247" s="45" t="s">
        <v>0</v>
      </c>
      <c r="B247" s="134">
        <f>IFERROR(GETPIVOTDATA("Date",'Activity 1'!$A$1,"Activity 1","NG Sarcoma","Person","PwC"),0)+IFERROR(GETPIVOTDATA("Date",'Activity 2'!$A$1,"Activity 2","NG Sarcoma","Person","PwC"),0)+IFERROR(GETPIVOTDATA("Date",'Activity 3'!$A$1,"Activity 3","NG Sarcoma","Person","PwC"),0)</f>
        <v>0</v>
      </c>
    </row>
    <row r="248" spans="1:2" x14ac:dyDescent="0.25">
      <c r="A248" s="45" t="s">
        <v>61</v>
      </c>
      <c r="B248" s="134">
        <f>IFERROR(GETPIVOTDATA("Date",'Activity 1'!$A$1,"Activity 1","NG Sarcoma","Person","Carer"),0)+IFERROR(GETPIVOTDATA("Date",'Activity 2'!$A$1,"Activity 2","NG Sarcoma","Person","Carer"),0)+IFERROR(GETPIVOTDATA("Date",'Activity 3'!$A$1,"Activity 3","NG Sarcoma","Person","Carer"),0)</f>
        <v>1</v>
      </c>
    </row>
    <row r="249" spans="1:2" x14ac:dyDescent="0.25">
      <c r="A249" s="45" t="s">
        <v>3</v>
      </c>
      <c r="B249" s="134">
        <f>IFERROR(GETPIVOTDATA("Date",'Activity 1 Gender'!$A$1,"Activity 1","NG Sarcoma","Gender","Male"),0)+IFERROR(GETPIVOTDATA("Date",'Activity 2 Gender'!$A$1,"Activity 2","NG Sarcoma","Gender","Male"),0)+IFERROR(GETPIVOTDATA("Date",'Activity 3 Gender'!$A$1,"Activity 3","NG Sarcoma","Gender","Male"),0)+IFERROR(GETPIVOTDATA("Date",'Activity 1 Gender'!$A$1,"Activity 1","NG Sarcoma","Gender","Under 18 Male"),0)+IFERROR(GETPIVOTDATA("Date",'Activity 2 Gender'!$A$1,"Activity 2","NG Sarcoma","Gender","Under 18 Male"),0)+IFERROR(GETPIVOTDATA("Date",'Activity 3 Gender'!$A$1,"Activity 3","NG Sarcoma","Gender","Under 18 Male"),0)</f>
        <v>0</v>
      </c>
    </row>
    <row r="250" spans="1:2" x14ac:dyDescent="0.25">
      <c r="A250" s="45" t="s">
        <v>4</v>
      </c>
      <c r="B250" s="134">
        <f>IFERROR(GETPIVOTDATA("Date",'Activity 1 Gender'!$A$1,"Activity 1","NG Sarcoma","Gender","Female"),0)+IFERROR(GETPIVOTDATA("Date",'Activity 2 Gender'!$A$1,"Activity 2","NG Sarcoma","Gender","Female"),0)+IFERROR(GETPIVOTDATA("Date",'Activity 3 Gender'!$A$1,"Activity 3","NG Sarcoma","Gender","Female"),0)+IFERROR(GETPIVOTDATA("Date",'Activity 1 Gender'!$A$1,"Activity 1","NG Sarcoma","Gender","Under 18 Female"),0)+IFERROR(GETPIVOTDATA("Date",'Activity 2 Gender'!$A$1,"Activity 2","NG Sarcoma","Gender","Under 18 Female"),0)+IFERROR(GETPIVOTDATA("Date",'Activity 3 Gender'!$A$1,"Activity 3","NG Sarcoma","Gender","Under 18 Female"),0)</f>
        <v>1</v>
      </c>
    </row>
    <row r="251" spans="1:2" x14ac:dyDescent="0.25">
      <c r="A251" s="49" t="s">
        <v>15</v>
      </c>
      <c r="B251" s="130">
        <f>IFERROR(GETPIVOTDATA("Date",'Activity 1'!$A$1,"Activity 1","NG Upper GI"),0)+IFERROR(GETPIVOTDATA("Date",'Activity 2'!$A$1,"Activity 2","NG Upper GI"),0)+IFERROR(GETPIVOTDATA("Date",'Activity 3'!$A$1,"Activity 3","NG Upper GI"),0)</f>
        <v>0</v>
      </c>
    </row>
    <row r="252" spans="1:2" x14ac:dyDescent="0.25">
      <c r="A252" s="45" t="s">
        <v>0</v>
      </c>
      <c r="B252" s="134">
        <f>IFERROR(GETPIVOTDATA("Date",'Activity 1'!$A$1,"Activity 1","NG Upper GI","Person","PwC"),0)+IFERROR(GETPIVOTDATA("Date",'Activity 2'!$A$1,"Activity 2","NG Upper GI","Person","PwC"),0)+IFERROR(GETPIVOTDATA("Date",'Activity 3'!$A$1,"Activity 3","NG Upper GI","Person","PwC"),0)</f>
        <v>0</v>
      </c>
    </row>
    <row r="253" spans="1:2" x14ac:dyDescent="0.25">
      <c r="A253" s="45" t="s">
        <v>61</v>
      </c>
      <c r="B253" s="134">
        <f>IFERROR(GETPIVOTDATA("Date",'Activity 1'!$A$1,"Activity 1","NG Upper GI","Person","Carer"),0)+IFERROR(GETPIVOTDATA("Date",'Activity 2'!$A$1,"Activity 2","NG Upper GI","Person","Carer"),0)+IFERROR(GETPIVOTDATA("Date",'Activity 3'!$A$1,"Activity 3","NG Upper GI","Person","Carer"),0)</f>
        <v>0</v>
      </c>
    </row>
    <row r="254" spans="1:2" x14ac:dyDescent="0.25">
      <c r="A254" s="45" t="s">
        <v>3</v>
      </c>
      <c r="B254" s="134">
        <f>IFERROR(GETPIVOTDATA("Date",'Activity 1 Gender'!$A$1,"Activity 1","NG Upper GI","Gender","Male"),0)+IFERROR(GETPIVOTDATA("Date",'Activity 2 Gender'!$A$1,"Activity 2","NG Upper GI","Gender","Male"),0)+IFERROR(GETPIVOTDATA("Date",'Activity 3 Gender'!$A$1,"Activity 3","NG Upper GI","Gender","Male"),0)+IFERROR(GETPIVOTDATA("Date",'Activity 1 Gender'!$A$1,"Activity 1","NG Upper GI","Gender","Under 18 Male"),0)+IFERROR(GETPIVOTDATA("Date",'Activity 2 Gender'!$A$1,"Activity 2","NG Upper GI","Gender","Under 18 Male"),0)+IFERROR(GETPIVOTDATA("Date",'Activity 3 Gender'!$A$1,"Activity 3","NG Upper GI","Gender","Under 18 Male"),0)</f>
        <v>0</v>
      </c>
    </row>
    <row r="255" spans="1:2" x14ac:dyDescent="0.25">
      <c r="A255" s="45" t="s">
        <v>4</v>
      </c>
      <c r="B255" s="134">
        <f>IFERROR(GETPIVOTDATA("Date",'Activity 1 Gender'!$A$1,"Activity 1","NG Upper GI","Gender","Female"),0)+IFERROR(GETPIVOTDATA("Date",'Activity 2 Gender'!$A$1,"Activity 2","NG Upper GI","Gender","Female"),0)+IFERROR(GETPIVOTDATA("Date",'Activity 3 Gender'!$A$1,"Activity 3","NG Upper GI","Gender","Female"),0)+IFERROR(GETPIVOTDATA("Date",'Activity 1 Gender'!$A$1,"Activity 1","NG Upper GI","Gender","Under 18 Female"),0)+IFERROR(GETPIVOTDATA("Date",'Activity 2 Gender'!$A$1,"Activity 2","NG Upper GI","Gender","Under 18 Female"),0)+IFERROR(GETPIVOTDATA("Date",'Activity 3 Gender'!$A$1,"Activity 3","NG Upper GI","Gender","Under 18 Female"),0)</f>
        <v>0</v>
      </c>
    </row>
    <row r="256" spans="1:2" x14ac:dyDescent="0.25">
      <c r="A256" s="50" t="s">
        <v>63</v>
      </c>
      <c r="B256" s="140">
        <f>SUM(B257:B258)</f>
        <v>389</v>
      </c>
    </row>
    <row r="257" spans="1:2" x14ac:dyDescent="0.25">
      <c r="A257" s="45" t="s">
        <v>0</v>
      </c>
      <c r="B257" s="134">
        <f>SUM(B262,B267,B272)</f>
        <v>213</v>
      </c>
    </row>
    <row r="258" spans="1:2" x14ac:dyDescent="0.25">
      <c r="A258" s="45" t="s">
        <v>61</v>
      </c>
      <c r="B258" s="134">
        <f t="shared" ref="B258:B260" si="2">SUM(B263,B268,B273)</f>
        <v>176</v>
      </c>
    </row>
    <row r="259" spans="1:2" x14ac:dyDescent="0.25">
      <c r="A259" s="45" t="s">
        <v>3</v>
      </c>
      <c r="B259" s="134">
        <f t="shared" si="2"/>
        <v>117</v>
      </c>
    </row>
    <row r="260" spans="1:2" x14ac:dyDescent="0.25">
      <c r="A260" s="45" t="s">
        <v>4</v>
      </c>
      <c r="B260" s="134">
        <f t="shared" si="2"/>
        <v>276</v>
      </c>
    </row>
    <row r="261" spans="1:2" x14ac:dyDescent="0.25">
      <c r="A261" s="51" t="s">
        <v>132</v>
      </c>
      <c r="B261" s="141">
        <f>IFERROR(GETPIVOTDATA("Date",'Activity 1'!$A$1,"Activity 1","Psych Support - Couple"),0)+IFERROR(GETPIVOTDATA("Date",'Activity 2'!$A$1,"Activity 2","Psych Support - Couple"),0)+IFERROR(GETPIVOTDATA("Date",'Activity 3'!$A$1,"Activity 3","Psych Support - Couple"),0)</f>
        <v>39</v>
      </c>
    </row>
    <row r="262" spans="1:2" x14ac:dyDescent="0.25">
      <c r="A262" s="45" t="s">
        <v>0</v>
      </c>
      <c r="B262" s="134">
        <f>IFERROR(GETPIVOTDATA("Date",'Activity 1'!$A$1,"Activity 1","Psych Support - Couple","Person","PwC"),0)+IFERROR(GETPIVOTDATA("Date",'Activity 2'!$A$1,"Activity 2","Psych Support - Couple","Person","PwC"),0)+IFERROR(GETPIVOTDATA("Date",'Activity 3'!$A$1,"Activity 3","Psych Support - Couple","Person","PwC"),0)</f>
        <v>19</v>
      </c>
    </row>
    <row r="263" spans="1:2" x14ac:dyDescent="0.25">
      <c r="A263" s="45" t="s">
        <v>61</v>
      </c>
      <c r="B263" s="134">
        <f>IFERROR(GETPIVOTDATA("Date",'Activity 1'!$A$1,"Activity 1","Psych Support - Couple","Person","Carer"),0)+IFERROR(GETPIVOTDATA("Date",'Activity 2'!$A$1,"Activity 2","Psych Support - Couple","Person","Carer"),0)+IFERROR(GETPIVOTDATA("Date",'Activity 3'!$A$1,"Activity 3","Psych Support - Couple","Person","Carer"),0)</f>
        <v>18</v>
      </c>
    </row>
    <row r="264" spans="1:2" x14ac:dyDescent="0.25">
      <c r="A264" s="45" t="s">
        <v>3</v>
      </c>
      <c r="B264" s="134">
        <f>IFERROR(GETPIVOTDATA("Date",'Activity 1 Gender'!$A$1,"Activity 1","Psych Support - Couple","Gender","Male"),0)+IFERROR(GETPIVOTDATA("Date",'Activity 2 Gender'!$A$1,"Activity 2","Psych Support - Couple","Gender","Male"),0)+IFERROR(GETPIVOTDATA("Date",'Activity 3 Gender'!$A$1,"Activity 3","Psych Support - Couple","Gender","Male"),0)+IFERROR(GETPIVOTDATA("Date",'Activity 1 Gender'!$A$1,"Activity 1","Psych Support - Couple","Gender","Under 18 Male"),0)+IFERROR(GETPIVOTDATA("Date",'Activity 2 Gender'!$A$1,"Activity 2","Psych Support - Couple","Gender","Under 18 Male"),0)+IFERROR(GETPIVOTDATA("Date",'Activity 3 Gender'!$A$1,"Activity 3","Psych Support - Couple","Gender","Under 18 Male"),0)</f>
        <v>10</v>
      </c>
    </row>
    <row r="265" spans="1:2" x14ac:dyDescent="0.25">
      <c r="A265" s="45" t="s">
        <v>4</v>
      </c>
      <c r="B265" s="134">
        <f>IFERROR(GETPIVOTDATA("Date",'Activity 1 Gender'!$A$1,"Activity 1","Psych Support - Couple","Gender","Female"),0)+IFERROR(GETPIVOTDATA("Date",'Activity 2 Gender'!$A$1,"Activity 2","Psych Support - Couple","Gender","Female"),0)+IFERROR(GETPIVOTDATA("Date",'Activity 3 Gender'!$A$1,"Activity 3","Psych Support - Couple","Gender","Female"),0)+IFERROR(GETPIVOTDATA("Date",'Activity 1 Gender'!$A$1,"Activity 1","Psych Support - Couple","Gender","Under 18 Female"),0)+IFERROR(GETPIVOTDATA("Date",'Activity 2 Gender'!$A$1,"Activity 2","Psych Support - Couple","Gender","Under 18 Female"),0)+IFERROR(GETPIVOTDATA("Date",'Activity 3 Gender'!$A$1,"Activity 3","Psych Support - Couple","Gender","Under 18 Female"),0)</f>
        <v>29</v>
      </c>
    </row>
    <row r="266" spans="1:2" x14ac:dyDescent="0.25">
      <c r="A266" s="51" t="s">
        <v>131</v>
      </c>
      <c r="B266" s="141">
        <f>IFERROR(GETPIVOTDATA("Date",'Activity 1'!$A$1,"Activity 1","Psych Support - Family"),0)+IFERROR(GETPIVOTDATA("Date",'Activity 2'!$A$1,"Activity 2","Psych Support - Family"),0)+IFERROR(GETPIVOTDATA("Date",'Activity 3'!$A$1,"Activity 3","Psych Support - Family"),0)</f>
        <v>10</v>
      </c>
    </row>
    <row r="267" spans="1:2" x14ac:dyDescent="0.25">
      <c r="A267" s="45" t="s">
        <v>0</v>
      </c>
      <c r="B267" s="134">
        <f>IFERROR(GETPIVOTDATA("Date",'Activity 1'!$A$1,"Activity 1","Psych Support - Family","Person","PwC"),0)+IFERROR(GETPIVOTDATA("Date",'Activity 2'!$A$1,"Activity 2","Psych Support - Family","Person","PwC"),0)+IFERROR(GETPIVOTDATA("Date",'Activity 3'!$A$1,"Activity 3","Psych Support - Family","Person","PwC"),0)</f>
        <v>3</v>
      </c>
    </row>
    <row r="268" spans="1:2" x14ac:dyDescent="0.25">
      <c r="A268" s="45" t="s">
        <v>61</v>
      </c>
      <c r="B268" s="134">
        <f>IFERROR(GETPIVOTDATA("Date",'Activity 1'!$A$1,"Activity 1","Psych Support - Family","Person","Carer"),0)+IFERROR(GETPIVOTDATA("Date",'Activity 2'!$A$1,"Activity 2","Psych Support - Family","Person","Carer"),0)+IFERROR(GETPIVOTDATA("Date",'Activity 3'!$A$1,"Activity 3","Psych Support - Family","Person","Carer"),0)</f>
        <v>7</v>
      </c>
    </row>
    <row r="269" spans="1:2" x14ac:dyDescent="0.25">
      <c r="A269" s="45" t="s">
        <v>3</v>
      </c>
      <c r="B269" s="134">
        <f>IFERROR(GETPIVOTDATA("Date",'Activity 1 Gender'!$A$1,"Activity 1","Psych Support - Family","Gender","Male"),0)+IFERROR(GETPIVOTDATA("Date",'Activity 2 Gender'!$A$1,"Activity 2","Psych Support - Family","Gender","Male"),0)+IFERROR(GETPIVOTDATA("Date",'Activity 3 Gender'!$A$1,"Activity 3","Psych Support - Family","Gender","Male"),0)+IFERROR(GETPIVOTDATA("Date",'Activity 1 Gender'!$A$1,"Activity 1","Psych Support - Family","Gender","Under 18 Male"),0)+IFERROR(GETPIVOTDATA("Date",'Activity 2 Gender'!$A$1,"Activity 2","Psych Support - Family","Gender","Under 18 Male"),0)+IFERROR(GETPIVOTDATA("Date",'Activity 3 Gender'!$A$1,"Activity 3","Psych Support - Family","Gender","Under 18 Male"),0)</f>
        <v>5</v>
      </c>
    </row>
    <row r="270" spans="1:2" x14ac:dyDescent="0.25">
      <c r="A270" s="45" t="s">
        <v>4</v>
      </c>
      <c r="B270" s="134">
        <f>IFERROR(GETPIVOTDATA("Date",'Activity 1 Gender'!$A$1,"Activity 1","Psych Support - Family","Gender","Female"),0)+IFERROR(GETPIVOTDATA("Date",'Activity 2 Gender'!$A$1,"Activity 2","Psych Support - Family","Gender","Female"),0)+IFERROR(GETPIVOTDATA("Date",'Activity 3 Gender'!$A$1,"Activity 3","Psych Support - Family","Gender","Female"),0)+IFERROR(GETPIVOTDATA("Date",'Activity 1 Gender'!$A$1,"Activity 1","Psych Support - Family","Gender","Under 18 Female"),0)+IFERROR(GETPIVOTDATA("Date",'Activity 2 Gender'!$A$1,"Activity 2","Psych Support - Family","Gender","Under 18 Female"),0)+IFERROR(GETPIVOTDATA("Date",'Activity 3 Gender'!$A$1,"Activity 3","Psych Support - Family","Gender","Under 18 Female"),0)</f>
        <v>5</v>
      </c>
    </row>
    <row r="271" spans="1:2" x14ac:dyDescent="0.25">
      <c r="A271" s="51" t="s">
        <v>130</v>
      </c>
      <c r="B271" s="141">
        <f>IFERROR(GETPIVOTDATA("Date",'Activity 1'!$A$1,"Activity 1","Psych Support - Individual"),0)+IFERROR(GETPIVOTDATA("Date",'Activity 2'!$A$1,"Activity 2","Psych Support - Individual"),0)+IFERROR(GETPIVOTDATA("Date",'Activity 3'!$A$1,"Activity 3","Psych Support - Individual"),0)</f>
        <v>344</v>
      </c>
    </row>
    <row r="272" spans="1:2" x14ac:dyDescent="0.25">
      <c r="A272" s="45" t="s">
        <v>0</v>
      </c>
      <c r="B272" s="134">
        <f>IFERROR(GETPIVOTDATA("Date",'Activity 1'!$A$1,"Activity 1","Psych Support - Individual","Person","PwC"),0)+IFERROR(GETPIVOTDATA("Date",'Activity 2'!$A$1,"Activity 2","Psych Support - Individual","Person","PwC"),0)+IFERROR(GETPIVOTDATA("Date",'Activity 3'!$A$1,"Activity 3","Psych Support - Individual","Person","PwC"),0)</f>
        <v>191</v>
      </c>
    </row>
    <row r="273" spans="1:2" x14ac:dyDescent="0.25">
      <c r="A273" s="45" t="s">
        <v>61</v>
      </c>
      <c r="B273" s="134">
        <f>IFERROR(GETPIVOTDATA("Date",'Activity 1'!$A$1,"Activity 1","Psych Support - Individual","Person","Carer"),0)+IFERROR(GETPIVOTDATA("Date",'Activity 2'!$A$1,"Activity 2","Psych Support - Individual","Person","Carer"),0)+IFERROR(GETPIVOTDATA("Date",'Activity 3'!$A$1,"Activity 3","Psych Support - Individual","Person","Carer"),0)</f>
        <v>151</v>
      </c>
    </row>
    <row r="274" spans="1:2" x14ac:dyDescent="0.25">
      <c r="A274" s="45" t="s">
        <v>3</v>
      </c>
      <c r="B274" s="134">
        <f>IFERROR(GETPIVOTDATA("Date",'Activity 1 Gender'!$A$1,"Activity 1","Psych Support - Individual","Gender","Male"),0)+IFERROR(GETPIVOTDATA("Date",'Activity 2 Gender'!$A$1,"Activity 2","Psych Support - Individual","Gender","Male"),0)+IFERROR(GETPIVOTDATA("Date",'Activity 3 Gender'!$A$1,"Activity 3","Psych Support - Individual","Gender","Male"),0)+IFERROR(GETPIVOTDATA("Date",'Activity 1 Gender'!$A$1,"Activity 1","Psych Support - Individual","Gender","Under 18 Male"),0)+IFERROR(GETPIVOTDATA("Date",'Activity 2 Gender'!$A$1,"Activity 2","Psych Support - Individual","Gender","Under 18 Male"),0)+IFERROR(GETPIVOTDATA("Date",'Activity 3 Gender'!$A$1,"Activity 3","Psych Support - Individual","Gender","Under 18 Male"),0)</f>
        <v>102</v>
      </c>
    </row>
    <row r="275" spans="1:2" x14ac:dyDescent="0.25">
      <c r="A275" s="45" t="s">
        <v>4</v>
      </c>
      <c r="B275" s="134">
        <f>IFERROR(GETPIVOTDATA("Date",'Activity 1 Gender'!$A$1,"Activity 1","Psych Support - Individual","Gender","Female"),0)+IFERROR(GETPIVOTDATA("Date",'Activity 2 Gender'!$A$1,"Activity 2","Psych Support - Individual","Gender","Female"),0)+IFERROR(GETPIVOTDATA("Date",'Activity 3 Gender'!$A$1,"Activity 3","Psych Support - Individual","Gender","Female"),0)+IFERROR(GETPIVOTDATA("Date",'Activity 1 Gender'!$A$1,"Activity 1","Psych Support - Individual","Gender","Under 18 Female"),0)+IFERROR(GETPIVOTDATA("Date",'Activity 2 Gender'!$A$1,"Activity 2","Psych Support - Individual","Gender","Under 18 Female"),0)+IFERROR(GETPIVOTDATA("Date",'Activity 3 Gender'!$A$1,"Activity 3","Psych Support - Individual","Gender","Under 18 Female"),0)</f>
        <v>242</v>
      </c>
    </row>
    <row r="276" spans="1:2" x14ac:dyDescent="0.25">
      <c r="A276" s="50" t="s">
        <v>145</v>
      </c>
      <c r="B276" s="140">
        <f>SUM(B277:B278)</f>
        <v>53</v>
      </c>
    </row>
    <row r="277" spans="1:2" x14ac:dyDescent="0.25">
      <c r="A277" s="45" t="s">
        <v>0</v>
      </c>
      <c r="B277" s="134">
        <f>SUM(B292,B282,B287)</f>
        <v>35</v>
      </c>
    </row>
    <row r="278" spans="1:2" x14ac:dyDescent="0.25">
      <c r="A278" s="45" t="s">
        <v>61</v>
      </c>
      <c r="B278" s="134">
        <f t="shared" ref="B278:B280" si="3">SUM(B293,B283,B288)</f>
        <v>18</v>
      </c>
    </row>
    <row r="279" spans="1:2" x14ac:dyDescent="0.25">
      <c r="A279" s="45" t="s">
        <v>3</v>
      </c>
      <c r="B279" s="134">
        <f t="shared" si="3"/>
        <v>30</v>
      </c>
    </row>
    <row r="280" spans="1:2" x14ac:dyDescent="0.25">
      <c r="A280" s="45" t="s">
        <v>4</v>
      </c>
      <c r="B280" s="134">
        <f t="shared" si="3"/>
        <v>23</v>
      </c>
    </row>
    <row r="281" spans="1:2" x14ac:dyDescent="0.25">
      <c r="A281" s="49" t="s">
        <v>150</v>
      </c>
      <c r="B281" s="130">
        <f>IFERROR(GETPIVOTDATA("Date",'Activity 1'!$A$1,"Activity 1","Benefits - Couple"),0)+IFERROR(GETPIVOTDATA("Date",'Activity 2'!$A$1,"Activity 2","Benefits - Couple"),0)+IFERROR(GETPIVOTDATA("Date",'Activity 3'!$A$1,"Activity 3","Benefits - Couple"),0)</f>
        <v>12</v>
      </c>
    </row>
    <row r="282" spans="1:2" x14ac:dyDescent="0.25">
      <c r="A282" s="45" t="s">
        <v>0</v>
      </c>
      <c r="B282" s="134">
        <f>IFERROR(GETPIVOTDATA("Date",'Activity 1'!$A$1,"Activity 1","Benefits - Couple","Person","PwC"),0)+IFERROR(GETPIVOTDATA("Date",'Activity 2'!$A$1,"Activity 2","Benefits - Couple","Person","PwC"),0)+IFERROR(GETPIVOTDATA("Date",'Activity 3'!$A$1,"Activity 3","Benefits - Couple","Person","PwC"),0)</f>
        <v>5</v>
      </c>
    </row>
    <row r="283" spans="1:2" x14ac:dyDescent="0.25">
      <c r="A283" s="45" t="s">
        <v>61</v>
      </c>
      <c r="B283" s="134">
        <f>IFERROR(GETPIVOTDATA("Date",'Activity 1'!$A$1,"Activity 1","Benefits - Couple","Person","Carer"),0)+IFERROR(GETPIVOTDATA("Date",'Activity 2'!$A$1,"Activity 2","Benefits - Couple","Person","Carer"),0)+IFERROR(GETPIVOTDATA("Date",'Activity 3'!$A$1,"Activity 3","Benefits - Couple","Person","Carer"),0)</f>
        <v>7</v>
      </c>
    </row>
    <row r="284" spans="1:2" x14ac:dyDescent="0.25">
      <c r="A284" s="45" t="s">
        <v>3</v>
      </c>
      <c r="B284" s="134">
        <f>IFERROR(GETPIVOTDATA("Date",'Activity 1 Gender'!$A$1,"Activity 1","Benefits - Couple","Gender","Male"),0)+IFERROR(GETPIVOTDATA("Date",'Activity 2 Gender'!$A$1,"Activity 2","Benefits - Couple","Gender","Male"),0)+IFERROR(GETPIVOTDATA("Date",'Activity 3 Gender'!$A$1,"Activity 3","Benefits - Couple","Gender","Male"),0)</f>
        <v>6</v>
      </c>
    </row>
    <row r="285" spans="1:2" x14ac:dyDescent="0.25">
      <c r="A285" s="45" t="s">
        <v>4</v>
      </c>
      <c r="B285" s="134">
        <f>IFERROR(GETPIVOTDATA("Date",'Activity 1 Gender'!$A$1,"Activity 1","Benefits - Couple","Gender","Female"),0)+IFERROR(GETPIVOTDATA("Date",'Activity 2 Gender'!$A$1,"Activity 2","Benefits - Couple","Gender","Female"),0)+IFERROR(GETPIVOTDATA("Date",'Activity 3 Gender'!$A$1,"Activity 3","Benefits - Couple","Gender","Female"),0)</f>
        <v>6</v>
      </c>
    </row>
    <row r="286" spans="1:2" x14ac:dyDescent="0.25">
      <c r="A286" s="49" t="s">
        <v>151</v>
      </c>
      <c r="B286" s="130">
        <f>IFERROR(GETPIVOTDATA("Date",'Activity 1'!$A$1,"Activity 1","Benefits - Family"),0)+IFERROR(GETPIVOTDATA("Date",'Activity 2'!$A$1,"Activity 2","Benefits - Family"),0)+IFERROR(GETPIVOTDATA("Date",'Activity 3'!$A$1,"Activity 3","Benefits - Family"),0)</f>
        <v>4</v>
      </c>
    </row>
    <row r="287" spans="1:2" x14ac:dyDescent="0.25">
      <c r="A287" s="45" t="s">
        <v>0</v>
      </c>
      <c r="B287" s="134">
        <f>IFERROR(GETPIVOTDATA("Date",'Activity 1'!$A$1,"Activity 1","Benefits - Family","Person","PwC"),0)+IFERROR(GETPIVOTDATA("Date",'Activity 2'!$A$1,"Activity 2","Benefits - Family","Person","PwC"),0)+IFERROR(GETPIVOTDATA("Date",'Activity 3'!$A$1,"Activity 3","Benefits - Family","Person","PwC"),0)</f>
        <v>1</v>
      </c>
    </row>
    <row r="288" spans="1:2" x14ac:dyDescent="0.25">
      <c r="A288" s="45" t="s">
        <v>61</v>
      </c>
      <c r="B288" s="134">
        <f>IFERROR(GETPIVOTDATA("Date",'Activity 1'!$A$1,"Activity 1","Benefits - Family","Person","Carer"),0)+IFERROR(GETPIVOTDATA("Date",'Activity 2'!$A$1,"Activity 2","Benefits - Family","Person","Carer"),0)+IFERROR(GETPIVOTDATA("Date",'Activity 3'!$A$1,"Activity 3","Benefits - Family","Person","Carer"),0)</f>
        <v>3</v>
      </c>
    </row>
    <row r="289" spans="1:3" x14ac:dyDescent="0.25">
      <c r="A289" s="45" t="s">
        <v>3</v>
      </c>
      <c r="B289" s="134">
        <f>IFERROR(GETPIVOTDATA("Date",'Activity 1 Gender'!$A$1,"Activity 1","Benefits - Family","Gender","Male"),0)+IFERROR(GETPIVOTDATA("Date",'Activity 2 Gender'!$A$1,"Activity 2","Benefits - Family","Gender","Male"),0)+IFERROR(GETPIVOTDATA("Date",'Activity 3 Gender'!$A$1,"Activity 3","Benefits - Family","Gender","Male"),0)</f>
        <v>1</v>
      </c>
    </row>
    <row r="290" spans="1:3" x14ac:dyDescent="0.25">
      <c r="A290" s="45" t="s">
        <v>4</v>
      </c>
      <c r="B290" s="134">
        <f>IFERROR(GETPIVOTDATA("Date",'Activity 1 Gender'!$A$1,"Activity 1","Benefits - Family","Gender","Female"),0)+IFERROR(GETPIVOTDATA("Date",'Activity 2 Gender'!$A$1,"Activity 2","Benefits - Family","Gender","Female"),0)+IFERROR(GETPIVOTDATA("Date",'Activity 3 Gender'!$A$1,"Activity 3","Benefits - Family","Gender","Female"),0)</f>
        <v>3</v>
      </c>
    </row>
    <row r="291" spans="1:3" x14ac:dyDescent="0.25">
      <c r="A291" s="49" t="s">
        <v>137</v>
      </c>
      <c r="B291" s="130">
        <f>IFERROR(GETPIVOTDATA("Date",'Activity 1'!$A$1,"Activity 1","Benefits - Individual"),0)+IFERROR(GETPIVOTDATA("Date",'Activity 2'!$A$1,"Activity 2","Benefits - Individual"),0)+IFERROR(GETPIVOTDATA("Date",'Activity 3'!$A$1,"Activity 3","Benefits - Individual"),0)</f>
        <v>37</v>
      </c>
    </row>
    <row r="292" spans="1:3" x14ac:dyDescent="0.25">
      <c r="A292" s="45" t="s">
        <v>0</v>
      </c>
      <c r="B292" s="134">
        <f>IFERROR(GETPIVOTDATA("Date",'Activity 1'!$A$1,"Activity 1","Benefits - Individual","Person","PwC"),0)+IFERROR(GETPIVOTDATA("Date",'Activity 2'!$A$1,"Activity 2","Benefits - Individual","Person","PwC"),0)+IFERROR(GETPIVOTDATA("Date",'Activity 3'!$A$1,"Activity 3","Benefits - Individual","Person","PwC"),0)</f>
        <v>29</v>
      </c>
    </row>
    <row r="293" spans="1:3" x14ac:dyDescent="0.25">
      <c r="A293" s="45" t="s">
        <v>61</v>
      </c>
      <c r="B293" s="134">
        <f>IFERROR(GETPIVOTDATA("Date",'Activity 1'!$A$1,"Activity 1","Benefits - Individual","Person","Carer"),0)+IFERROR(GETPIVOTDATA("Date",'Activity 2'!$A$1,"Activity 2","Benefits - Individual","Person","Carer"),0)+IFERROR(GETPIVOTDATA("Date",'Activity 3'!$A$1,"Activity 3","Benefits - Individual","Person","Carer"),0)</f>
        <v>8</v>
      </c>
    </row>
    <row r="294" spans="1:3" x14ac:dyDescent="0.25">
      <c r="A294" s="45" t="s">
        <v>3</v>
      </c>
      <c r="B294" s="134">
        <f>IFERROR(GETPIVOTDATA("Date",'Activity 1 Gender'!$A$1,"Activity 1","Benefits - Individual","Gender","Male"),0)+IFERROR(GETPIVOTDATA("Date",'Activity 2 Gender'!$A$1,"Activity 2","Benefits - Individual","Gender","Male"),0)+IFERROR(GETPIVOTDATA("Date",'Activity 3 Gender'!$A$1,"Activity 3","Benefits - Individual","Gender","Male"),0)</f>
        <v>23</v>
      </c>
    </row>
    <row r="295" spans="1:3" x14ac:dyDescent="0.25">
      <c r="A295" s="45" t="s">
        <v>4</v>
      </c>
      <c r="B295" s="134">
        <f>IFERROR(GETPIVOTDATA("Date",'Activity 1 Gender'!$A$1,"Activity 1","Benefits - Individual","Gender","Female"),0)+IFERROR(GETPIVOTDATA("Date",'Activity 2 Gender'!$A$1,"Activity 2","Benefits - Individual","Gender","Female"),0)+IFERROR(GETPIVOTDATA("Date",'Activity 3 Gender'!$A$1,"Activity 3","Benefits - Individual","Gender","Female"),0)</f>
        <v>14</v>
      </c>
    </row>
    <row r="296" spans="1:3" x14ac:dyDescent="0.25">
      <c r="A296" s="47" t="s">
        <v>279</v>
      </c>
      <c r="B296" s="140">
        <f>SUM(B297:B298)</f>
        <v>329</v>
      </c>
      <c r="C296" s="118"/>
    </row>
    <row r="297" spans="1:3" x14ac:dyDescent="0.25">
      <c r="A297" s="45" t="s">
        <v>0</v>
      </c>
      <c r="B297" s="134">
        <f>SUM(B302,B307,B312,B317,B322,B327,B332,B337,B342,B347)</f>
        <v>284</v>
      </c>
    </row>
    <row r="298" spans="1:3" x14ac:dyDescent="0.25">
      <c r="A298" s="45" t="s">
        <v>61</v>
      </c>
      <c r="B298" s="134">
        <f t="shared" ref="B298:B300" si="4">SUM(B303,B308,B313,B318,B323,B328,B333,B338,B343,B348)</f>
        <v>45</v>
      </c>
    </row>
    <row r="299" spans="1:3" x14ac:dyDescent="0.25">
      <c r="A299" s="45" t="s">
        <v>3</v>
      </c>
      <c r="B299" s="134">
        <f t="shared" si="4"/>
        <v>131</v>
      </c>
    </row>
    <row r="300" spans="1:3" x14ac:dyDescent="0.25">
      <c r="A300" s="45" t="s">
        <v>4</v>
      </c>
      <c r="B300" s="134">
        <f t="shared" si="4"/>
        <v>198</v>
      </c>
    </row>
    <row r="301" spans="1:3" x14ac:dyDescent="0.25">
      <c r="A301" s="40" t="s">
        <v>247</v>
      </c>
      <c r="B301" s="130">
        <f>IFERROR(GETPIVOTDATA("Date",'Activity 1'!$A$1,"Activity 1","Benefits Workshop"),0)+IFERROR(GETPIVOTDATA("Date",'Activity 2'!$A$1,"Activity 2","Benefits Workshop"),0)+IFERROR(GETPIVOTDATA("Date",'Activity 3'!$A$1,"Activity 3","Benefits Workshop"),0)</f>
        <v>12</v>
      </c>
    </row>
    <row r="302" spans="1:3" x14ac:dyDescent="0.25">
      <c r="A302" s="45" t="s">
        <v>0</v>
      </c>
      <c r="B302" s="134">
        <f>IFERROR(GETPIVOTDATA("Date",'Activity 1'!$A$1,"Activity 1","Benefits Workshop","Person","PwC"),0)+IFERROR(GETPIVOTDATA("Date",'Activity 2'!$A$1,"Activity 2","Benefits Workshop","Person","PwC"),0)+IFERROR(GETPIVOTDATA("Date",'Activity 3'!$A$1,"Activity 3","Benefits Workshop","Person","PwC"),0)</f>
        <v>6</v>
      </c>
    </row>
    <row r="303" spans="1:3" x14ac:dyDescent="0.25">
      <c r="A303" s="45" t="s">
        <v>61</v>
      </c>
      <c r="B303" s="134">
        <f>IFERROR(GETPIVOTDATA("Date",'Activity 1'!$A$1,"Activity 1","Benefits Workshop","Person","Carer"),0)+IFERROR(GETPIVOTDATA("Date",'Activity 2'!$A$1,"Activity 2","Benefits Workshop","Person","Carer"),0)+IFERROR(GETPIVOTDATA("Date",'Activity 3'!$A$1,"Activity 3","Benefits Workshop","Person","Carer"),0)</f>
        <v>6</v>
      </c>
    </row>
    <row r="304" spans="1:3" x14ac:dyDescent="0.25">
      <c r="A304" s="45" t="s">
        <v>3</v>
      </c>
      <c r="B304" s="134">
        <f>IFERROR(GETPIVOTDATA("Date",'Activity 1 Gender'!$A$1,"Activity 1","Benefits Workshop","Gender","Male"),0)+IFERROR(GETPIVOTDATA("Date",'Activity 2 Gender'!$A$1,"Activity 2","Benefits Workshop","Gender","Male"),0)+IFERROR(GETPIVOTDATA("Date",'Activity 3 Gender'!$A$1,"Activity 3","Benefits Workshop","Gender","Male"),0)+IFERROR(GETPIVOTDATA("Date",'Activity 1 Gender'!$A$1,"Activity 1","Benefits Workshop","Gender","Under 18 Male"),0)+IFERROR(GETPIVOTDATA("Date",'Activity 2 Gender'!$A$1,"Activity 2","Benefits Workshop","Gender","Under 18 Male"),0)+IFERROR(GETPIVOTDATA("Date",'Activity 3 Gender'!$A$1,"Activity 3","Benefits Workshop","Gender","Under 18 Male"),0)</f>
        <v>2</v>
      </c>
    </row>
    <row r="305" spans="1:2" x14ac:dyDescent="0.25">
      <c r="A305" s="45" t="s">
        <v>4</v>
      </c>
      <c r="B305" s="134">
        <f>IFERROR(GETPIVOTDATA("Date",'Activity 1 Gender'!$A$1,"Activity 1","Benefits Workshop","Gender","Female"),0)+IFERROR(GETPIVOTDATA("Date",'Activity 2 Gender'!$A$1,"Activity 2","Benefits Workshop","Gender","Female"),0)+IFERROR(GETPIVOTDATA("Date",'Activity 3 Gender'!$A$1,"Activity 3","Benefits Workshop","Gender","Female"),0)+IFERROR(GETPIVOTDATA("Date",'Activity 1 Gender'!$A$1,"Activity 1","Benefits Workshop","Gender","Under 18 Female"),0)+IFERROR(GETPIVOTDATA("Date",'Activity 2 Gender'!$A$1,"Activity 2","Benefits Workshop","Gender","Under 18 Female"),0)+IFERROR(GETPIVOTDATA("Date",'Activity 3 Gender'!$A$1,"Activity 3","Benefits Workshop","Gender","Under 18 Female"),0)</f>
        <v>10</v>
      </c>
    </row>
    <row r="306" spans="1:2" x14ac:dyDescent="0.25">
      <c r="A306" s="40" t="s">
        <v>252</v>
      </c>
      <c r="B306" s="130">
        <f>IFERROR(GETPIVOTDATA("Date",'Activity 1'!$A$1,"Activity 1","Caring for Someone with Cancer"),0)+IFERROR(GETPIVOTDATA("Date",'Activity 2'!$A$1,"Activity 2","Caring for Someone with Cancer"),0)+IFERROR(GETPIVOTDATA("Date",'Activity 3'!$A$1,"Activity 3","Caring for Someone with Cancer"),0)</f>
        <v>11</v>
      </c>
    </row>
    <row r="307" spans="1:2" x14ac:dyDescent="0.25">
      <c r="A307" s="45" t="s">
        <v>0</v>
      </c>
      <c r="B307" s="134">
        <f>IFERROR(GETPIVOTDATA("Date",'Activity 1'!$A$1,"Activity 1","Caring for Someone with Cancer","Person","PwC"),0)+IFERROR(GETPIVOTDATA("Date",'Activity 2'!$A$1,"Activity 2","Caring for Someone with Cancer","Person","PwC"),0)+IFERROR(GETPIVOTDATA("Date",'Activity 3'!$A$1,"Activity 3","Caring for Someone with Cancer","Person","PwC"),0)</f>
        <v>5</v>
      </c>
    </row>
    <row r="308" spans="1:2" x14ac:dyDescent="0.25">
      <c r="A308" s="45" t="s">
        <v>61</v>
      </c>
      <c r="B308" s="134">
        <f>IFERROR(GETPIVOTDATA("Date",'Activity 1'!$A$1,"Activity 1","Caring for Someone with Cancer","Person","Carer"),0)+IFERROR(GETPIVOTDATA("Date",'Activity 2'!$A$1,"Activity 2","Caring for Someone with Cancer","Person","Carer"),0)+IFERROR(GETPIVOTDATA("Date",'Activity 3'!$A$1,"Activity 3","Caring for Someone with Cancer","Person","Carer"),0)</f>
        <v>6</v>
      </c>
    </row>
    <row r="309" spans="1:2" x14ac:dyDescent="0.25">
      <c r="A309" s="45" t="s">
        <v>3</v>
      </c>
      <c r="B309" s="134">
        <f>IFERROR(GETPIVOTDATA("Date",'Activity 1 Gender'!$A$1,"Activity 1","Caring for Someone with Cancer","Gender","Male"),0)+IFERROR(GETPIVOTDATA("Date",'Activity 2 Gender'!$A$1,"Activity 2","Caring for Someone with Cancer","Gender","Male"),0)+IFERROR(GETPIVOTDATA("Date",'Activity 3 Gender'!$A$1,"Activity 3","Caring for Someone with Cancer","Gender","Male"),0)+IFERROR(GETPIVOTDATA("Date",'Activity 1 Gender'!$A$1,"Activity 1","Caring for Someone with Cancer","Gender","Under 18 Male"),0)+IFERROR(GETPIVOTDATA("Date",'Activity 2 Gender'!$A$1,"Activity 2","Caring for Someone with Cancer","Gender","Under 18 Male"),0)+IFERROR(GETPIVOTDATA("Date",'Activity 3 Gender'!$A$1,"Activity 3","Caring for Someone with Cancer","Gender","Under 18 Male"),0)</f>
        <v>6</v>
      </c>
    </row>
    <row r="310" spans="1:2" x14ac:dyDescent="0.25">
      <c r="A310" s="45" t="s">
        <v>4</v>
      </c>
      <c r="B310" s="134">
        <f>IFERROR(GETPIVOTDATA("Date",'Activity 1 Gender'!$A$1,"Activity 1","Caring for Someone with Cancer","Gender","Female"),0)+IFERROR(GETPIVOTDATA("Date",'Activity 2 Gender'!$A$1,"Activity 2","Caring for Someone with Cancer","Gender","Female"),0)+IFERROR(GETPIVOTDATA("Date",'Activity 3 Gender'!$A$1,"Activity 3","Caring for Someone with Cancer","Gender","Female"),0)+IFERROR(GETPIVOTDATA("Date",'Activity 1 Gender'!$A$1,"Activity 1","Caring for Someone with Cancer","Gender","Under 18 Female"),0)+IFERROR(GETPIVOTDATA("Date",'Activity 2 Gender'!$A$1,"Activity 2","Caring for Someone with Cancer","Gender","Under 18 Female"),0)+IFERROR(GETPIVOTDATA("Date",'Activity 3 Gender'!$A$1,"Activity 3","Caring for Someone with Cancer","Gender","Under 18 Female"),0)</f>
        <v>5</v>
      </c>
    </row>
    <row r="311" spans="1:2" x14ac:dyDescent="0.25">
      <c r="A311" s="40" t="s">
        <v>136</v>
      </c>
      <c r="B311" s="130">
        <f>IFERROR(GETPIVOTDATA("Date",'Activity 1'!$A$1,"Activity 1","Genetics"),0)+IFERROR(GETPIVOTDATA("Date",'Activity 2'!$A$1,"Activity 2","Genetics"),0)+IFERROR(GETPIVOTDATA("Date",'Activity 3'!$A$1,"Activity 3","Genetics"),0)</f>
        <v>7</v>
      </c>
    </row>
    <row r="312" spans="1:2" x14ac:dyDescent="0.25">
      <c r="A312" s="45" t="s">
        <v>0</v>
      </c>
      <c r="B312" s="134">
        <f>IFERROR(GETPIVOTDATA("Date",'Activity 1'!$A$1,"Activity 1","Genetics","Person","PwC"),0)+IFERROR(GETPIVOTDATA("Date",'Activity 2'!$A$1,"Activity 2","Genetics","Person","PwC"),0)+IFERROR(GETPIVOTDATA("Date",'Activity 3'!$A$1,"Activity 3","Genetics","Person","PwC"),0)</f>
        <v>5</v>
      </c>
    </row>
    <row r="313" spans="1:2" x14ac:dyDescent="0.25">
      <c r="A313" s="45" t="s">
        <v>61</v>
      </c>
      <c r="B313" s="134">
        <f>IFERROR(GETPIVOTDATA("Date",'Activity 1'!$A$1,"Activity 1","Genetics","Person","Carer"),0)+IFERROR(GETPIVOTDATA("Date",'Activity 2'!$A$1,"Activity 2","Genetics","Person","Carer"),0)+IFERROR(GETPIVOTDATA("Date",'Activity 3'!$A$1,"Activity 3","Genetics","Person","Carer"),0)</f>
        <v>2</v>
      </c>
    </row>
    <row r="314" spans="1:2" x14ac:dyDescent="0.25">
      <c r="A314" s="45" t="s">
        <v>3</v>
      </c>
      <c r="B314" s="134">
        <f>IFERROR(GETPIVOTDATA("Date",'Activity 1 Gender'!$A$1,"Activity 1","Genetics","Gender","Male"),0)+IFERROR(GETPIVOTDATA("Date",'Activity 2 Gender'!$A$1,"Activity 2","Genetics","Gender","Male"),0)+IFERROR(GETPIVOTDATA("Date",'Activity 3 Gender'!$A$1,"Activity 3","Genetics","Gender","Male"),0)+IFERROR(GETPIVOTDATA("Date",'Activity 1 Gender'!$A$1,"Activity 1","Genetics","Gender","Under 18 Male"),0)+IFERROR(GETPIVOTDATA("Date",'Activity 2 Gender'!$A$1,"Activity 2","Genetics","Gender","Under 18 Male"),0)+IFERROR(GETPIVOTDATA("Date",'Activity 3 Gender'!$A$1,"Activity 3","Genetics","Gender","Under 18 Male"),0)</f>
        <v>2</v>
      </c>
    </row>
    <row r="315" spans="1:2" x14ac:dyDescent="0.25">
      <c r="A315" s="45" t="s">
        <v>4</v>
      </c>
      <c r="B315" s="134">
        <f>IFERROR(GETPIVOTDATA("Date",'Activity 1 Gender'!$A$1,"Activity 1","Genetics","Gender","Female"),0)+IFERROR(GETPIVOTDATA("Date",'Activity 2 Gender'!$A$1,"Activity 2","Genetics","Gender","Female"),0)+IFERROR(GETPIVOTDATA("Date",'Activity 3 Gender'!$A$1,"Activity 3","Genetics","Gender","Female"),0)+IFERROR(GETPIVOTDATA("Date",'Activity 1 Gender'!$A$1,"Activity 1","Genetics","Gender","Under 18 Female"),0)+IFERROR(GETPIVOTDATA("Date",'Activity 2 Gender'!$A$1,"Activity 2","Genetics","Gender","Under 18 Female"),0)+IFERROR(GETPIVOTDATA("Date",'Activity 3 Gender'!$A$1,"Activity 3","Genetics","Gender","Under 18 Female"),0)</f>
        <v>5</v>
      </c>
    </row>
    <row r="316" spans="1:2" x14ac:dyDescent="0.25">
      <c r="A316" s="40" t="s">
        <v>248</v>
      </c>
      <c r="B316" s="130">
        <f>IFERROR(GETPIVOTDATA("Date",'Activity 1'!$A$1,"Activity 1","Getting Started with Cancer Treatment"),0)+IFERROR(GETPIVOTDATA("Date",'Activity 2'!$A$1,"Activity 2","Getting Started with Cancer Treatment"),0)+IFERROR(GETPIVOTDATA("Date",'Activity 3'!$A$1,"Activity 3","Getting Started with Cancer Treatment"),0)</f>
        <v>12</v>
      </c>
    </row>
    <row r="317" spans="1:2" x14ac:dyDescent="0.25">
      <c r="A317" s="45" t="s">
        <v>0</v>
      </c>
      <c r="B317" s="134">
        <f>IFERROR(GETPIVOTDATA("Date",'Activity 1'!$A$1,"Activity 1","Getting Started with Cancer Treatment","Person","PwC"),0)+IFERROR(GETPIVOTDATA("Date",'Activity 2'!$A$1,"Activity 2","Getting Started with Cancer Treatment","Person","PwC"),0)+IFERROR(GETPIVOTDATA("Date",'Activity 3'!$A$1,"Activity 3","Getting Started with Cancer Treatment","Person","PwC"),0)</f>
        <v>9</v>
      </c>
    </row>
    <row r="318" spans="1:2" x14ac:dyDescent="0.25">
      <c r="A318" s="45" t="s">
        <v>61</v>
      </c>
      <c r="B318" s="134">
        <f>IFERROR(GETPIVOTDATA("Date",'Activity 1'!$A$1,"Activity 1","Getting Started with Cancer Treatment","Person","Carer"),0)+IFERROR(GETPIVOTDATA("Date",'Activity 2'!$A$1,"Activity 2","Getting Started with Cancer Treatment","Person","Carer"),0)+IFERROR(GETPIVOTDATA("Date",'Activity 3'!$A$1,"Activity 3","Getting Started with Cancer Treatment","Person","Carer"),0)</f>
        <v>3</v>
      </c>
    </row>
    <row r="319" spans="1:2" x14ac:dyDescent="0.25">
      <c r="A319" s="45" t="s">
        <v>3</v>
      </c>
      <c r="B319" s="134">
        <f>IFERROR(GETPIVOTDATA("Date",'Activity 1 Gender'!$A$1,"Activity 1","Getting Started with Cancer Treatment","Gender","Male"),0)+IFERROR(GETPIVOTDATA("Date",'Activity 2 Gender'!$A$1,"Activity 2","Getting Started with Cancer Treatment","Gender","Male"),0)+IFERROR(GETPIVOTDATA("Date",'Activity 3 Gender'!$A$1,"Activity 3","Getting Started with Cancer Treatment","Gender","Male"),0)+IFERROR(GETPIVOTDATA("Date",'Activity 1 Gender'!$A$1,"Activity 1","Getting Started with Cancer Treatment","Gender","Under 18 Male"),0)+IFERROR(GETPIVOTDATA("Date",'Activity 2 Gender'!$A$1,"Activity 2","Getting Started with Cancer Treatment","Gender","Under 18 Male"),0)+IFERROR(GETPIVOTDATA("Date",'Activity 3 Gender'!$A$1,"Activity 3","Getting Started with Cancer Treatment","Gender","Under 18 Male"),0)</f>
        <v>4</v>
      </c>
    </row>
    <row r="320" spans="1:2" x14ac:dyDescent="0.25">
      <c r="A320" s="45" t="s">
        <v>4</v>
      </c>
      <c r="B320" s="134">
        <f>IFERROR(GETPIVOTDATA("Date",'Activity 1 Gender'!$A$1,"Activity 1","Getting Started with Cancer Treatment","Gender","Female"),0)+IFERROR(GETPIVOTDATA("Date",'Activity 2 Gender'!$A$1,"Activity 2","Getting Started with Cancer Treatment","Gender","Female"),0)+IFERROR(GETPIVOTDATA("Date",'Activity 3 Gender'!$A$1,"Activity 3","Getting Started with Cancer Treatment","Gender","Female"),0)+IFERROR(GETPIVOTDATA("Date",'Activity 1 Gender'!$A$1,"Activity 1","Getting Started with Cancer Treatment","Gender","Under 18 Female"),0)+IFERROR(GETPIVOTDATA("Date",'Activity 2 Gender'!$A$1,"Activity 2","Getting Started with Cancer Treatment","Gender","Under 18 Female"),0)+IFERROR(GETPIVOTDATA("Date",'Activity 3 Gender'!$A$1,"Activity 3","Getting Started with Cancer Treatment","Gender","Under 18 Female"),0)</f>
        <v>8</v>
      </c>
    </row>
    <row r="321" spans="1:2" x14ac:dyDescent="0.25">
      <c r="A321" s="40" t="s">
        <v>249</v>
      </c>
      <c r="B321" s="130">
        <f>IFERROR(GETPIVOTDATA("Date",'Activity 1'!$A$1,"Activity 1","Kids Days"),0)+IFERROR(GETPIVOTDATA("Date",'Activity 2'!$A$1,"Activity 2","Kids Days"),0)+IFERROR(GETPIVOTDATA("Date",'Activity 3'!$A$1,"Activity 3","Kids Days"),0)</f>
        <v>6</v>
      </c>
    </row>
    <row r="322" spans="1:2" x14ac:dyDescent="0.25">
      <c r="A322" s="45" t="s">
        <v>0</v>
      </c>
      <c r="B322" s="134">
        <f>IFERROR(GETPIVOTDATA("Date",'Activity 1'!$A$1,"Activity 1","Kids Days","Person","PwC"),0)+IFERROR(GETPIVOTDATA("Date",'Activity 2'!$A$1,"Activity 2","Kids Days","Person","PwC"),0)+IFERROR(GETPIVOTDATA("Date",'Activity 3'!$A$1,"Activity 3","Kids Days","Person","PwC"),0)</f>
        <v>2</v>
      </c>
    </row>
    <row r="323" spans="1:2" x14ac:dyDescent="0.25">
      <c r="A323" s="45" t="s">
        <v>61</v>
      </c>
      <c r="B323" s="134">
        <f>IFERROR(GETPIVOTDATA("Date",'Activity 1'!$A$1,"Activity 1","Kids Days","Person","Carer"),0)+IFERROR(GETPIVOTDATA("Date",'Activity 2'!$A$1,"Activity 2","Kids Days","Person","Carer"),0)+IFERROR(GETPIVOTDATA("Date",'Activity 3'!$A$1,"Activity 3","Kids Days","Person","Carer"),0)</f>
        <v>4</v>
      </c>
    </row>
    <row r="324" spans="1:2" x14ac:dyDescent="0.25">
      <c r="A324" s="45" t="s">
        <v>3</v>
      </c>
      <c r="B324" s="134">
        <f>IFERROR(GETPIVOTDATA("Date",'Activity 1 Gender'!$A$1,"Activity 1","Kids Days","Gender","Male"),0)+IFERROR(GETPIVOTDATA("Date",'Activity 2 Gender'!$A$1,"Activity 2","Kids Days","Gender","Male"),0)+IFERROR(GETPIVOTDATA("Date",'Activity 3 Gender'!$A$1,"Activity 3","Kids Days","Gender","Male"),0)+IFERROR(GETPIVOTDATA("Date",'Activity 1 Gender'!$A$1,"Activity 1","Kids Days","Gender","Under 18 Male"),0)+IFERROR(GETPIVOTDATA("Date",'Activity 2 Gender'!$A$1,"Activity 2","Kids Days","Gender","Under 18 Male"),0)+IFERROR(GETPIVOTDATA("Date",'Activity 3 Gender'!$A$1,"Activity 3","Kids Days","Gender","Under 18 Male"),0)</f>
        <v>1</v>
      </c>
    </row>
    <row r="325" spans="1:2" x14ac:dyDescent="0.25">
      <c r="A325" s="45" t="s">
        <v>4</v>
      </c>
      <c r="B325" s="134">
        <f>IFERROR(GETPIVOTDATA("Date",'Activity 1 Gender'!$A$1,"Activity 1","Kids Days","Gender","Female"),0)+IFERROR(GETPIVOTDATA("Date",'Activity 2 Gender'!$A$1,"Activity 2","Kids Days","Gender","Female"),0)+IFERROR(GETPIVOTDATA("Date",'Activity 3 Gender'!$A$1,"Activity 3","Kids Days","Gender","Female"),0)+IFERROR(GETPIVOTDATA("Date",'Activity 1 Gender'!$A$1,"Activity 1","Kids Days","Gender","Under 18 Female"),0)+IFERROR(GETPIVOTDATA("Date",'Activity 2 Gender'!$A$1,"Activity 2","Kids Days","Gender","Under 18 Female"),0)+IFERROR(GETPIVOTDATA("Date",'Activity 3 Gender'!$A$1,"Activity 3","Kids Days","Gender","Under 18 Female"),0)</f>
        <v>5</v>
      </c>
    </row>
    <row r="326" spans="1:2" x14ac:dyDescent="0.25">
      <c r="A326" s="40" t="s">
        <v>250</v>
      </c>
      <c r="B326" s="130">
        <f>IFERROR(GETPIVOTDATA("Date",'Activity 1'!$A$1,"Activity 1","Lecture Series"),0)+IFERROR(GETPIVOTDATA("Date",'Activity 2'!$A$1,"Activity 2","Lecture Series"),0)+IFERROR(GETPIVOTDATA("Date",'Activity 3'!$A$1,"Activity 3","Lecture Series"),0)</f>
        <v>139</v>
      </c>
    </row>
    <row r="327" spans="1:2" x14ac:dyDescent="0.25">
      <c r="A327" s="45" t="s">
        <v>0</v>
      </c>
      <c r="B327" s="134">
        <f>IFERROR(GETPIVOTDATA("Date",'Activity 1'!$A$1,"Activity 1","Lecture Series","Person","PwC"),0)+IFERROR(GETPIVOTDATA("Date",'Activity 2'!$A$1,"Activity 2","Lecture Series","Person","PwC"),0)+IFERROR(GETPIVOTDATA("Date",'Activity 3'!$A$1,"Activity 3","Lecture Series","Person","PwC"),0)</f>
        <v>139</v>
      </c>
    </row>
    <row r="328" spans="1:2" x14ac:dyDescent="0.25">
      <c r="A328" s="45" t="s">
        <v>61</v>
      </c>
      <c r="B328" s="134">
        <f>IFERROR(GETPIVOTDATA("Date",'Activity 1'!$A$1,"Activity 1","Lecture Series","Person","Carer"),0)+IFERROR(GETPIVOTDATA("Date",'Activity 2'!$A$1,"Activity 2","Lecture Series","Person","Carer"),0)+IFERROR(GETPIVOTDATA("Date",'Activity 3'!$A$1,"Activity 3","Lecture Series","Person","Carer"),0)</f>
        <v>0</v>
      </c>
    </row>
    <row r="329" spans="1:2" x14ac:dyDescent="0.25">
      <c r="A329" s="45" t="s">
        <v>3</v>
      </c>
      <c r="B329" s="134">
        <f>IFERROR(GETPIVOTDATA("Date",'Activity 1 Gender'!$A$1,"Activity 1","Lecture Series","Gender","Male"),0)+IFERROR(GETPIVOTDATA("Date",'Activity 2 Gender'!$A$1,"Activity 2","Lecture Series","Gender","Male"),0)+IFERROR(GETPIVOTDATA("Date",'Activity 3 Gender'!$A$1,"Activity 3","Lecture Series","Gender","Male"),0)+IFERROR(GETPIVOTDATA("Date",'Activity 1 Gender'!$A$1,"Activity 1","Lecture Series","Gender","Under 18 Male"),0)+IFERROR(GETPIVOTDATA("Date",'Activity 2 Gender'!$A$1,"Activity 2","Lecture Series","Gender","Under 18 Male"),0)+IFERROR(GETPIVOTDATA("Date",'Activity 3 Gender'!$A$1,"Activity 3","Lecture Series","Gender","Under 18 Male"),0)</f>
        <v>89</v>
      </c>
    </row>
    <row r="330" spans="1:2" x14ac:dyDescent="0.25">
      <c r="A330" s="45" t="s">
        <v>4</v>
      </c>
      <c r="B330" s="134">
        <f>IFERROR(GETPIVOTDATA("Date",'Activity 1 Gender'!$A$1,"Activity 1","Lecture Series","Gender","Female"),0)+IFERROR(GETPIVOTDATA("Date",'Activity 2 Gender'!$A$1,"Activity 2","Lecture Series","Gender","Female"),0)+IFERROR(GETPIVOTDATA("Date",'Activity 3 Gender'!$A$1,"Activity 3","Lecture Series","Gender","Female"),0)+IFERROR(GETPIVOTDATA("Date",'Activity 1 Gender'!$A$1,"Activity 1","Lecture Series","Gender","Under 18 Female"),0)+IFERROR(GETPIVOTDATA("Date",'Activity 2 Gender'!$A$1,"Activity 2","Lecture Series","Gender","Under 18 Female"),0)+IFERROR(GETPIVOTDATA("Date",'Activity 3 Gender'!$A$1,"Activity 3","Lecture Series","Gender","Under 18 Female"),0)</f>
        <v>50</v>
      </c>
    </row>
    <row r="331" spans="1:2" x14ac:dyDescent="0.25">
      <c r="A331" s="40" t="s">
        <v>20</v>
      </c>
      <c r="B331" s="130">
        <f>IFERROR(GETPIVOTDATA("Date",'Activity 1'!$A$1,"Activity 1","Look Good Feel Better"),0)+IFERROR(GETPIVOTDATA("Date",'Activity 2'!$A$1,"Activity 2","Look Good Feel Better"),0)+IFERROR(GETPIVOTDATA("Date",'Activity 3'!$A$1,"Activity 3","Look Good Feel Better"),0)</f>
        <v>54</v>
      </c>
    </row>
    <row r="332" spans="1:2" x14ac:dyDescent="0.25">
      <c r="A332" s="45" t="s">
        <v>0</v>
      </c>
      <c r="B332" s="134">
        <f>IFERROR(GETPIVOTDATA("Date",'Activity 1'!$A$1,"Activity 1","Look Good Feel Better","Person","PwC"),0)+IFERROR(GETPIVOTDATA("Date",'Activity 2'!$A$1,"Activity 2","Look Good Feel Better","Person","PwC"),0)+IFERROR(GETPIVOTDATA("Date",'Activity 3'!$A$1,"Activity 3","Look Good Feel Better","Person","PwC"),0)</f>
        <v>41</v>
      </c>
    </row>
    <row r="333" spans="1:2" x14ac:dyDescent="0.25">
      <c r="A333" s="45" t="s">
        <v>61</v>
      </c>
      <c r="B333" s="134">
        <f>IFERROR(GETPIVOTDATA("Date",'Activity 1'!$A$1,"Activity 1","Look Good Feel Better","Person","Carer"),0)+IFERROR(GETPIVOTDATA("Date",'Activity 2'!$A$1,"Activity 2","Look Good Feel Better","Person","Carer"),0)+IFERROR(GETPIVOTDATA("Date",'Activity 3'!$A$1,"Activity 3","Look Good Feel Better","Person","Carer"),0)</f>
        <v>13</v>
      </c>
    </row>
    <row r="334" spans="1:2" x14ac:dyDescent="0.25">
      <c r="A334" s="45" t="s">
        <v>3</v>
      </c>
      <c r="B334" s="134">
        <f>IFERROR(GETPIVOTDATA("Date",'Activity 1 Gender'!$A$1,"Activity 1","Look Good Feel Better","Gender","Male"),0)+IFERROR(GETPIVOTDATA("Date",'Activity 2 Gender'!$A$1,"Activity 2","Look Good Feel Better","Gender","Male"),0)+IFERROR(GETPIVOTDATA("Date",'Activity 3 Gender'!$A$1,"Activity 3","Look Good Feel Better","Gender","Male"),0)+IFERROR(GETPIVOTDATA("Date",'Activity 1 Gender'!$A$1,"Activity 1","Look Good Feel Better","Gender","Under 18 Male"),0)+IFERROR(GETPIVOTDATA("Date",'Activity 2 Gender'!$A$1,"Activity 2","Look Good Feel Better","Gender","Under 18 Male"),0)+IFERROR(GETPIVOTDATA("Date",'Activity 3 Gender'!$A$1,"Activity 3","Look Good Feel Better","Gender","Under 18 Male"),0)</f>
        <v>10</v>
      </c>
    </row>
    <row r="335" spans="1:2" x14ac:dyDescent="0.25">
      <c r="A335" s="45" t="s">
        <v>4</v>
      </c>
      <c r="B335" s="134">
        <f>IFERROR(GETPIVOTDATA("Date",'Activity 1 Gender'!$A$1,"Activity 1","Look Good Feel Better","Gender","Female"),0)+IFERROR(GETPIVOTDATA("Date",'Activity 2 Gender'!$A$1,"Activity 2","Look Good Feel Better","Gender","Female"),0)+IFERROR(GETPIVOTDATA("Date",'Activity 3 Gender'!$A$1,"Activity 3","Look Good Feel Better","Gender","Female"),0)+IFERROR(GETPIVOTDATA("Date",'Activity 1 Gender'!$A$1,"Activity 1","Look Good Feel Better","Gender","Under 18 Female"),0)+IFERROR(GETPIVOTDATA("Date",'Activity 2 Gender'!$A$1,"Activity 2","Look Good Feel Better","Gender","Under 18 Female"),0)+IFERROR(GETPIVOTDATA("Date",'Activity 3 Gender'!$A$1,"Activity 3","Look Good Feel Better","Gender","Under 18 Female"),0)</f>
        <v>44</v>
      </c>
    </row>
    <row r="336" spans="1:2" x14ac:dyDescent="0.25">
      <c r="A336" s="40" t="s">
        <v>251</v>
      </c>
      <c r="B336" s="130">
        <f>IFERROR(GETPIVOTDATA("Date",'Activity 1'!$A$1,"Activity 1","Managing Stress"),0)+IFERROR(GETPIVOTDATA("Date",'Activity 2'!$A$1,"Activity 2","Managing Stress"),0)+IFERROR(GETPIVOTDATA("Date",'Activity 3'!$A$1,"Activity 3","Managing Stress"),0)</f>
        <v>57</v>
      </c>
    </row>
    <row r="337" spans="1:2" x14ac:dyDescent="0.25">
      <c r="A337" s="45" t="s">
        <v>0</v>
      </c>
      <c r="B337" s="134">
        <f>IFERROR(GETPIVOTDATA("Date",'Activity 1'!$A$1,"Activity 1","Managing Stress","Person","PwC"),0)+IFERROR(GETPIVOTDATA("Date",'Activity 2'!$A$1,"Activity 2","Managing Stress","Person","PwC"),0)+IFERROR(GETPIVOTDATA("Date",'Activity 3'!$A$1,"Activity 3","Managing Stress","Person","PwC"),0)</f>
        <v>48</v>
      </c>
    </row>
    <row r="338" spans="1:2" x14ac:dyDescent="0.25">
      <c r="A338" s="45" t="s">
        <v>61</v>
      </c>
      <c r="B338" s="134">
        <f>IFERROR(GETPIVOTDATA("Date",'Activity 1'!$A$1,"Activity 1","Managing Stress","Person","Carer"),0)+IFERROR(GETPIVOTDATA("Date",'Activity 2'!$A$1,"Activity 2","Managing Stress","Person","Carer"),0)+IFERROR(GETPIVOTDATA("Date",'Activity 3'!$A$1,"Activity 3","Managing Stress","Person","Carer"),0)</f>
        <v>9</v>
      </c>
    </row>
    <row r="339" spans="1:2" x14ac:dyDescent="0.25">
      <c r="A339" s="45" t="s">
        <v>3</v>
      </c>
      <c r="B339" s="134">
        <f>IFERROR(GETPIVOTDATA("Date",'Activity 1 Gender'!$A$1,"Activity 1","Managing Stress","Gender","Male"),0)+IFERROR(GETPIVOTDATA("Date",'Activity 2 Gender'!$A$1,"Activity 2","Managing Stress","Gender","Male"),0)+IFERROR(GETPIVOTDATA("Date",'Activity 3 Gender'!$A$1,"Activity 3","Managing Stress","Gender","Male"),0)+IFERROR(GETPIVOTDATA("Date",'Activity 1 Gender'!$A$1,"Activity 1","Managing Stress","Gender","Under 18 Male"),0)+IFERROR(GETPIVOTDATA("Date",'Activity 2 Gender'!$A$1,"Activity 2","Managing Stress","Gender","Under 18 Male"),0)+IFERROR(GETPIVOTDATA("Date",'Activity 3 Gender'!$A$1,"Activity 3","Managing Stress","Gender","Under 18 Male"),0)</f>
        <v>15</v>
      </c>
    </row>
    <row r="340" spans="1:2" x14ac:dyDescent="0.25">
      <c r="A340" s="45" t="s">
        <v>4</v>
      </c>
      <c r="B340" s="134">
        <f>IFERROR(GETPIVOTDATA("Date",'Activity 1 Gender'!$A$1,"Activity 1","Managing Stress","Gender","Female"),0)+IFERROR(GETPIVOTDATA("Date",'Activity 2 Gender'!$A$1,"Activity 2","Managing Stress","Gender","Female"),0)+IFERROR(GETPIVOTDATA("Date",'Activity 3 Gender'!$A$1,"Activity 3","Managing Stress","Gender","Female"),0)+IFERROR(GETPIVOTDATA("Date",'Activity 1 Gender'!$A$1,"Activity 1","Managing Stress","Gender","Under 18 Female"),0)+IFERROR(GETPIVOTDATA("Date",'Activity 2 Gender'!$A$1,"Activity 2","Managing Stress","Gender","Under 18 Female"),0)+IFERROR(GETPIVOTDATA("Date",'Activity 3 Gender'!$A$1,"Activity 3","Managing Stress","Gender","Under 18 Female"),0)</f>
        <v>42</v>
      </c>
    </row>
    <row r="341" spans="1:2" x14ac:dyDescent="0.25">
      <c r="A341" s="40" t="s">
        <v>280</v>
      </c>
      <c r="B341" s="130">
        <f>IFERROR(GETPIVOTDATA("Date",'Activity 1'!$A$1,"Activity 1","Talking Heads; Managing Hair Loss"),0)+IFERROR(GETPIVOTDATA("Date",'Activity 2'!$A$1,"Activity 2","Talking Heads; Managing Hair Loss"),0)+IFERROR(GETPIVOTDATA("Date",'Activity 3'!$A$1,"Activity 3","Talking Heads; Managing Hair Loss"),0)</f>
        <v>2</v>
      </c>
    </row>
    <row r="342" spans="1:2" x14ac:dyDescent="0.25">
      <c r="A342" s="45" t="s">
        <v>0</v>
      </c>
      <c r="B342" s="134">
        <f>IFERROR(GETPIVOTDATA("Date",'Activity 1'!$A$1,"Activity 1","Talking Heads; Managing Hair Loss","Person","PwC"),0)+IFERROR(GETPIVOTDATA("Date",'Activity 2'!$A$1,"Activity 2","Talking Heads; Managing Hair Loss","Person","PwC"),0)+IFERROR(GETPIVOTDATA("Date",'Activity 3'!$A$1,"Activity 3","Talking Heads; Managing Hair Loss","Person","PwC"),0)</f>
        <v>2</v>
      </c>
    </row>
    <row r="343" spans="1:2" x14ac:dyDescent="0.25">
      <c r="A343" s="45" t="s">
        <v>61</v>
      </c>
      <c r="B343" s="134">
        <f>IFERROR(GETPIVOTDATA("Date",'Activity 1'!$A$1,"Activity 1","Talking Heads; Managing Hair Loss","Person","Carer"),0)+IFERROR(GETPIVOTDATA("Date",'Activity 2'!$A$1,"Activity 2","Talking Heads; Managing Hair Loss","Person","Carer"),0)+IFERROR(GETPIVOTDATA("Date",'Activity 3'!$A$1,"Activity 3","Talking Heads; Managing Hair Loss","Person","Carer"),0)</f>
        <v>0</v>
      </c>
    </row>
    <row r="344" spans="1:2" x14ac:dyDescent="0.25">
      <c r="A344" s="45" t="s">
        <v>3</v>
      </c>
      <c r="B344" s="134">
        <f>IFERROR(GETPIVOTDATA("Date",'Activity 1 Gender'!$A$1,"Activity 1","Talking Heads; Managing Hair Loss","Gender","Male"),0)+IFERROR(GETPIVOTDATA("Date",'Activity 2 Gender'!$A$1,"Activity 2","Talking Heads; Managing Hair Loss","Gender","Male"),0)+IFERROR(GETPIVOTDATA("Date",'Activity 3 Gender'!$A$1,"Activity 3","Talking Heads; Managing Hair Loss","Gender","Male"),0)+IFERROR(GETPIVOTDATA("Date",'Activity 1 Gender'!$A$1,"Activity 1","Talking Heads; Managing Hair Loss","Gender","Under 18 Male"),0)+IFERROR(GETPIVOTDATA("Date",'Activity 2 Gender'!$A$1,"Activity 2","Talking Heads; Managing Hair Loss","Gender","Under 18 Male"),0)+IFERROR(GETPIVOTDATA("Date",'Activity 3 Gender'!$A$1,"Activity 3","Talking Heads; Managing Hair Loss","Gender","Under 18 Male"),0)</f>
        <v>0</v>
      </c>
    </row>
    <row r="345" spans="1:2" x14ac:dyDescent="0.25">
      <c r="A345" s="45" t="s">
        <v>4</v>
      </c>
      <c r="B345" s="134">
        <f>IFERROR(GETPIVOTDATA("Date",'Activity 1 Gender'!$A$1,"Activity 1","Talking Heads; Managing Hair Loss","Gender","Female"),0)+IFERROR(GETPIVOTDATA("Date",'Activity 2 Gender'!$A$1,"Activity 2","Talking Heads; Managing Hair Loss","Gender","Female"),0)+IFERROR(GETPIVOTDATA("Date",'Activity 3 Gender'!$A$1,"Activity 3","Talking Heads; Managing Hair Loss","Gender","Female"),0)+IFERROR(GETPIVOTDATA("Date",'Activity 1 Gender'!$A$1,"Activity 1","Talking Heads; Managing Hair Loss","Gender","Under 18 Female"),0)+IFERROR(GETPIVOTDATA("Date",'Activity 2 Gender'!$A$1,"Activity 2","Talking Heads; Managing Hair Loss","Gender","Under 18 Female"),0)+IFERROR(GETPIVOTDATA("Date",'Activity 3 Gender'!$A$1,"Activity 3","Talking Heads; Managing Hair Loss","Gender","Under 18 Female"),0)</f>
        <v>2</v>
      </c>
    </row>
    <row r="346" spans="1:2" x14ac:dyDescent="0.25">
      <c r="A346" s="40" t="s">
        <v>105</v>
      </c>
      <c r="B346" s="130">
        <f>IFERROR(GETPIVOTDATA("Date",'Activity 1'!$A$1,"Activity 1","Where Now?"),0)+IFERROR(GETPIVOTDATA("Date",'Activity 2'!$A$1,"Activity 2","Where Now?"),0)+IFERROR(GETPIVOTDATA("Date",'Activity 3'!$A$1,"Activity 3","Where Now?"),0)</f>
        <v>29</v>
      </c>
    </row>
    <row r="347" spans="1:2" x14ac:dyDescent="0.25">
      <c r="A347" s="45" t="s">
        <v>0</v>
      </c>
      <c r="B347" s="134">
        <f>IFERROR(GETPIVOTDATA("Date",'Activity 1'!$A$1,"Activity 1","Where Now?","Person","PwC"),0)+IFERROR(GETPIVOTDATA("Date",'Activity 2'!$A$1,"Activity 2","Where Now?","Person","PwC"),0)+IFERROR(GETPIVOTDATA("Date",'Activity 3'!$A$1,"Activity 3","Where Now?","Person","PwC"),0)</f>
        <v>27</v>
      </c>
    </row>
    <row r="348" spans="1:2" x14ac:dyDescent="0.25">
      <c r="A348" s="45" t="s">
        <v>61</v>
      </c>
      <c r="B348" s="134">
        <f>IFERROR(GETPIVOTDATA("Date",'Activity 1'!$A$1,"Activity 1","Where Now?","Person","Carer"),0)+IFERROR(GETPIVOTDATA("Date",'Activity 2'!$A$1,"Activity 2","Where Now?","Person","Carer"),0)+IFERROR(GETPIVOTDATA("Date",'Activity 3'!$A$1,"Activity 3","Where Now?","Person","Carer"),0)</f>
        <v>2</v>
      </c>
    </row>
    <row r="349" spans="1:2" x14ac:dyDescent="0.25">
      <c r="A349" s="45" t="s">
        <v>3</v>
      </c>
      <c r="B349" s="134">
        <f>IFERROR(GETPIVOTDATA("Date",'Activity 1 Gender'!$A$1,"Activity 1","Where Now?","Gender","Male"),0)+IFERROR(GETPIVOTDATA("Date",'Activity 2 Gender'!$A$1,"Activity 2","Where Now?","Gender","Male"),0)+IFERROR(GETPIVOTDATA("Date",'Activity 3 Gender'!$A$1,"Activity 3","Where Now?","Gender","Male"),0)+IFERROR(GETPIVOTDATA("Date",'Activity 1 Gender'!$A$1,"Activity 1","Where Now?","Gender","Under 18 Male"),0)+IFERROR(GETPIVOTDATA("Date",'Activity 2 Gender'!$A$1,"Activity 2","Where Now?","Gender","Under 18 Male"),0)+IFERROR(GETPIVOTDATA("Date",'Activity 3 Gender'!$A$1,"Activity 3","Where Now?","Gender","Under 18 Male"),0)</f>
        <v>2</v>
      </c>
    </row>
    <row r="350" spans="1:2" x14ac:dyDescent="0.25">
      <c r="A350" s="45" t="s">
        <v>4</v>
      </c>
      <c r="B350" s="134">
        <f>IFERROR(GETPIVOTDATA("Date",'Activity 1 Gender'!$A$1,"Activity 1","Where Now?","Gender","Female"),0)+IFERROR(GETPIVOTDATA("Date",'Activity 2 Gender'!$A$1,"Activity 2","Where Now?","Gender","Female"),0)+IFERROR(GETPIVOTDATA("Date",'Activity 3 Gender'!$A$1,"Activity 3","Where Now?","Gender","Female"),0)+IFERROR(GETPIVOTDATA("Date",'Activity 1 Gender'!$A$1,"Activity 1","Where Now?","Gender","Under 18 Female"),0)+IFERROR(GETPIVOTDATA("Date",'Activity 2 Gender'!$A$1,"Activity 2","Where Now?","Gender","Under 18 Female"),0)+IFERROR(GETPIVOTDATA("Date",'Activity 3 Gender'!$A$1,"Activity 3","Where Now?","Gender","Under 18 Female"),0)</f>
        <v>27</v>
      </c>
    </row>
    <row r="351" spans="1:2" x14ac:dyDescent="0.25">
      <c r="A351" s="50" t="s">
        <v>281</v>
      </c>
      <c r="B351" s="140">
        <f>SUM(B352:B353)</f>
        <v>319</v>
      </c>
    </row>
    <row r="352" spans="1:2" x14ac:dyDescent="0.25">
      <c r="A352" s="45" t="s">
        <v>0</v>
      </c>
      <c r="B352" s="134">
        <f>SUM(B357,B362,B367,B372,B377,B382)</f>
        <v>277</v>
      </c>
    </row>
    <row r="353" spans="1:2" x14ac:dyDescent="0.25">
      <c r="A353" s="45" t="s">
        <v>61</v>
      </c>
      <c r="B353" s="134">
        <f>SUM(B358,B363,B368,B373,B378,B383)</f>
        <v>42</v>
      </c>
    </row>
    <row r="354" spans="1:2" x14ac:dyDescent="0.25">
      <c r="A354" s="45" t="s">
        <v>3</v>
      </c>
      <c r="B354" s="134">
        <f t="shared" ref="B354:B355" si="5">SUM(B359,B364,B369,B374,B379,B384)</f>
        <v>101</v>
      </c>
    </row>
    <row r="355" spans="1:2" x14ac:dyDescent="0.25">
      <c r="A355" s="45" t="s">
        <v>4</v>
      </c>
      <c r="B355" s="134">
        <f t="shared" si="5"/>
        <v>218</v>
      </c>
    </row>
    <row r="356" spans="1:2" x14ac:dyDescent="0.25">
      <c r="A356" s="40" t="s">
        <v>254</v>
      </c>
      <c r="B356" s="130">
        <f>IFERROR(GETPIVOTDATA("Date",'Activity 1'!$A$1,"Activity 1","Creative Writing"),0)+IFERROR(GETPIVOTDATA("Date",'Activity 2'!$A$1,"Activity 2","Creative Writing"),0)+IFERROR(GETPIVOTDATA("Date",'Activity 3'!$A$1,"Activity 3","Creative Writing"),0)</f>
        <v>53</v>
      </c>
    </row>
    <row r="357" spans="1:2" x14ac:dyDescent="0.25">
      <c r="A357" s="45" t="s">
        <v>0</v>
      </c>
      <c r="B357" s="134">
        <f>IFERROR(GETPIVOTDATA("Date",'Activity 1'!$A$1,"Activity 1","Creative Writing","Person","PwC"),0)+IFERROR(GETPIVOTDATA("Date",'Activity 2'!$A$1,"Activity 2","Creative Writing","Person","PwC"),0)+IFERROR(GETPIVOTDATA("Date",'Activity 3'!$A$1,"Activity 3","Creative Writing","Person","PwC"),0)</f>
        <v>41</v>
      </c>
    </row>
    <row r="358" spans="1:2" x14ac:dyDescent="0.25">
      <c r="A358" s="45" t="s">
        <v>61</v>
      </c>
      <c r="B358" s="134">
        <f>IFERROR(GETPIVOTDATA("Date",'Activity 1'!$A$1,"Activity 1","Creative Writing","Person","Carer"),0)+IFERROR(GETPIVOTDATA("Date",'Activity 2'!$A$1,"Activity 2","Creative Writing","Person","Carer"),0)+IFERROR(GETPIVOTDATA("Date",'Activity 3'!$A$1,"Activity 3","Creative Writing","Person","Carer"),0)</f>
        <v>10</v>
      </c>
    </row>
    <row r="359" spans="1:2" x14ac:dyDescent="0.25">
      <c r="A359" s="45" t="s">
        <v>3</v>
      </c>
      <c r="B359" s="134">
        <f>IFERROR(GETPIVOTDATA("Date",'Activity 1 Gender'!$A$1,"Activity 1","Creative Writing","Gender","Male"),0)+IFERROR(GETPIVOTDATA("Date",'Activity 2 Gender'!$A$1,"Activity 2","Creative Writing","Gender","Male"),0)+IFERROR(GETPIVOTDATA("Date",'Activity 3 Gender'!$A$1,"Activity 3","Creative Writing","Gender","Male"),0)+IFERROR(GETPIVOTDATA("Date",'Activity 1 Gender'!$A$1,"Activity 1","Creative Writing","Gender","Under 18 Male"),0)+IFERROR(GETPIVOTDATA("Date",'Activity 2 Gender'!$A$1,"Activity 2","Creative Writing","Gender","Under 18 Male"),0)+IFERROR(GETPIVOTDATA("Date",'Activity 3 Gender'!$A$1,"Activity 3","Creative Writing","Gender","Under 18 Male"),0)</f>
        <v>15</v>
      </c>
    </row>
    <row r="360" spans="1:2" x14ac:dyDescent="0.25">
      <c r="A360" s="45" t="s">
        <v>4</v>
      </c>
      <c r="B360" s="134">
        <f>IFERROR(GETPIVOTDATA("Date",'Activity 1 Gender'!$A$1,"Activity 1","Creative Writing","Gender","Female"),0)+IFERROR(GETPIVOTDATA("Date",'Activity 2 Gender'!$A$1,"Activity 2","Creative Writing","Gender","Female"),0)+IFERROR(GETPIVOTDATA("Date",'Activity 3 Gender'!$A$1,"Activity 3","Creative Writing","Gender","Female"),0)+IFERROR(GETPIVOTDATA("Date",'Activity 1 Gender'!$A$1,"Activity 1","Creative Writing","Gender","Under 18 Female"),0)+IFERROR(GETPIVOTDATA("Date",'Activity 2 Gender'!$A$1,"Activity 2","Creative Writing","Gender","Under 18 Female"),0)+IFERROR(GETPIVOTDATA("Date",'Activity 3 Gender'!$A$1,"Activity 3","Creative Writing","Gender","Under 18 Female"),0)</f>
        <v>36</v>
      </c>
    </row>
    <row r="361" spans="1:2" x14ac:dyDescent="0.25">
      <c r="A361" s="40" t="s">
        <v>146</v>
      </c>
      <c r="B361" s="130">
        <f>IFERROR(GETPIVOTDATA("Date",'Activity 1'!$A$1,"Activity 1","Expressive Art"),0)+IFERROR(GETPIVOTDATA("Date",'Activity 2'!$A$1,"Activity 2","Expressive Art"),0)+IFERROR(GETPIVOTDATA("Date",'Activity 3'!$A$1,"Activity 3","Expressive Art"),0)</f>
        <v>24</v>
      </c>
    </row>
    <row r="362" spans="1:2" x14ac:dyDescent="0.25">
      <c r="A362" s="45" t="s">
        <v>0</v>
      </c>
      <c r="B362" s="134">
        <f>IFERROR(GETPIVOTDATA("Date",'Activity 1'!$A$1,"Activity 1","Expressive Art","Person","PwC"),0)+IFERROR(GETPIVOTDATA("Date",'Activity 2'!$A$1,"Activity 2","Expressive Art","Person","PwC"),0)+IFERROR(GETPIVOTDATA("Date",'Activity 3'!$A$1,"Activity 3","Expressive Art","Person","PwC"),0)</f>
        <v>17</v>
      </c>
    </row>
    <row r="363" spans="1:2" x14ac:dyDescent="0.25">
      <c r="A363" s="45" t="s">
        <v>61</v>
      </c>
      <c r="B363" s="134">
        <f>IFERROR(GETPIVOTDATA("Date",'Activity 1'!$A$1,"Activity 1","Expressive Art","Person","Carer"),0)+IFERROR(GETPIVOTDATA("Date",'Activity 2'!$A$1,"Activity 2","Expressive Art","Person","Carer"),0)+IFERROR(GETPIVOTDATA("Date",'Activity 3'!$A$1,"Activity 3","Expressive Art","Person","Carer"),0)</f>
        <v>7</v>
      </c>
    </row>
    <row r="364" spans="1:2" x14ac:dyDescent="0.25">
      <c r="A364" s="45" t="s">
        <v>3</v>
      </c>
      <c r="B364" s="134">
        <f>IFERROR(GETPIVOTDATA("Date",'Activity 1 Gender'!$A$1,"Activity 1","Expressive Art","Gender","Male"),0)+IFERROR(GETPIVOTDATA("Date",'Activity 2 Gender'!$A$1,"Activity 2","Expressive Art","Gender","Male"),0)+IFERROR(GETPIVOTDATA("Date",'Activity 3 Gender'!$A$1,"Activity 3","Expressive Art","Gender","Male"),0)+IFERROR(GETPIVOTDATA("Date",'Activity 1 Gender'!$A$1,"Activity 1","Expressive Art","Gender","Under 18 Male"),0)+IFERROR(GETPIVOTDATA("Date",'Activity 2 Gender'!$A$1,"Activity 2","Expressive Art","Gender","Under 18 Male"),0)+IFERROR(GETPIVOTDATA("Date",'Activity 3 Gender'!$A$1,"Activity 3","Expressive Art","Gender","Under 18 Male"),0)</f>
        <v>6</v>
      </c>
    </row>
    <row r="365" spans="1:2" x14ac:dyDescent="0.25">
      <c r="A365" s="45" t="s">
        <v>4</v>
      </c>
      <c r="B365" s="134">
        <f>IFERROR(GETPIVOTDATA("Date",'Activity 1 Gender'!$A$1,"Activity 1","Expressive Art","Gender","Female"),0)+IFERROR(GETPIVOTDATA("Date",'Activity 2 Gender'!$A$1,"Activity 2","Expressive Art","Gender","Female"),0)+IFERROR(GETPIVOTDATA("Date",'Activity 3 Gender'!$A$1,"Activity 3","Expressive Art","Gender","Female"),0)+IFERROR(GETPIVOTDATA("Date",'Activity 1 Gender'!$A$1,"Activity 1","Expressive Art","Gender","Under 18 Female"),0)+IFERROR(GETPIVOTDATA("Date",'Activity 2 Gender'!$A$1,"Activity 2","Expressive Art","Gender","Under 18 Female"),0)+IFERROR(GETPIVOTDATA("Date",'Activity 3 Gender'!$A$1,"Activity 3","Expressive Art","Gender","Under 18 Female"),0)</f>
        <v>18</v>
      </c>
    </row>
    <row r="366" spans="1:2" x14ac:dyDescent="0.25">
      <c r="A366" s="40" t="s">
        <v>143</v>
      </c>
      <c r="B366" s="130">
        <f>IFERROR(GETPIVOTDATA("Date",'Activity 1'!$A$1,"Activity 1","Nutrition"),0)+IFERROR(GETPIVOTDATA("Date",'Activity 2'!$A$1,"Activity 2","Nutrition"),0)+IFERROR(GETPIVOTDATA("Date",'Activity 3'!$A$1,"Activity 3","Nutrition"),0)</f>
        <v>56</v>
      </c>
    </row>
    <row r="367" spans="1:2" x14ac:dyDescent="0.25">
      <c r="A367" s="45" t="s">
        <v>0</v>
      </c>
      <c r="B367" s="134">
        <f>IFERROR(GETPIVOTDATA("Date",'Activity 1'!$A$1,"Activity 1","Nutrition","Person","PwC"),0)+IFERROR(GETPIVOTDATA("Date",'Activity 2'!$A$1,"Activity 2","Nutrition","Person","PwC"),0)+IFERROR(GETPIVOTDATA("Date",'Activity 3'!$A$1,"Activity 3","Nutrition","Person","PwC"),0)</f>
        <v>45</v>
      </c>
    </row>
    <row r="368" spans="1:2" x14ac:dyDescent="0.25">
      <c r="A368" s="45" t="s">
        <v>61</v>
      </c>
      <c r="B368" s="134">
        <f>IFERROR(GETPIVOTDATA("Date",'Activity 1'!$A$1,"Activity 1","Nutrition","Person","Carer"),0)+IFERROR(GETPIVOTDATA("Date",'Activity 2'!$A$1,"Activity 2","Nutrition","Person","Carer"),0)+IFERROR(GETPIVOTDATA("Date",'Activity 3'!$A$1,"Activity 3","Nutrition","Person","Carer"),0)</f>
        <v>11</v>
      </c>
    </row>
    <row r="369" spans="1:2" x14ac:dyDescent="0.25">
      <c r="A369" s="45" t="s">
        <v>3</v>
      </c>
      <c r="B369" s="134">
        <f>IFERROR(GETPIVOTDATA("Date",'Activity 1 Gender'!$A$1,"Activity 1","Nutrition","Gender","Male"),0)+IFERROR(GETPIVOTDATA("Date",'Activity 2 Gender'!$A$1,"Activity 2","Nutrition","Gender","Male"),0)+IFERROR(GETPIVOTDATA("Date",'Activity 3 Gender'!$A$1,"Activity 3","Nutrition","Gender","Male"),0)+IFERROR(GETPIVOTDATA("Date",'Activity 1 Gender'!$A$1,"Activity 1","Nutrition","Gender","Under 18 Male"),0)+IFERROR(GETPIVOTDATA("Date",'Activity 2 Gender'!$A$1,"Activity 2","Nutrition","Gender","Under 18 Male"),0)+IFERROR(GETPIVOTDATA("Date",'Activity 3 Gender'!$A$1,"Activity 3","Nutrition","Gender","Under 18 Male"),0)</f>
        <v>15</v>
      </c>
    </row>
    <row r="370" spans="1:2" x14ac:dyDescent="0.25">
      <c r="A370" s="45" t="s">
        <v>4</v>
      </c>
      <c r="B370" s="134">
        <f>IFERROR(GETPIVOTDATA("Date",'Activity 1 Gender'!$A$1,"Activity 1","Nutrition","Gender","Female"),0)+IFERROR(GETPIVOTDATA("Date",'Activity 2 Gender'!$A$1,"Activity 2","Nutrition","Gender","Female"),0)+IFERROR(GETPIVOTDATA("Date",'Activity 3 Gender'!$A$1,"Activity 3","Nutrition","Gender","Female"),0)+IFERROR(GETPIVOTDATA("Date",'Activity 1 Gender'!$A$1,"Activity 1","Nutrition","Gender","Under 18 Female"),0)+IFERROR(GETPIVOTDATA("Date",'Activity 2 Gender'!$A$1,"Activity 2","Nutrition","Gender","Under 18 Female"),0)+IFERROR(GETPIVOTDATA("Date",'Activity 3 Gender'!$A$1,"Activity 3","Nutrition","Gender","Under 18 Female"),0)</f>
        <v>41</v>
      </c>
    </row>
    <row r="371" spans="1:2" x14ac:dyDescent="0.25">
      <c r="A371" s="40" t="s">
        <v>133</v>
      </c>
      <c r="B371" s="130">
        <f>IFERROR(GETPIVOTDATA("Date",'Activity 1'!$A$1,"Activity 1","Relaxation"),0)+IFERROR(GETPIVOTDATA("Date",'Activity 2'!$A$1,"Activity 2","Relaxation"),0)+IFERROR(GETPIVOTDATA("Date",'Activity 3'!$A$1,"Activity 3","Relaxation"),0)</f>
        <v>115</v>
      </c>
    </row>
    <row r="372" spans="1:2" x14ac:dyDescent="0.25">
      <c r="A372" s="45" t="s">
        <v>0</v>
      </c>
      <c r="B372" s="134">
        <f>IFERROR(GETPIVOTDATA("Date",'Activity 1'!$A$1,"Activity 1","Relaxation","Person","PwC"),0)+IFERROR(GETPIVOTDATA("Date",'Activity 2'!$A$1,"Activity 2","Relaxation","Person","PwC"),0)+IFERROR(GETPIVOTDATA("Date",'Activity 3'!$A$1,"Activity 3","Relaxation","Person","PwC"),0)</f>
        <v>100</v>
      </c>
    </row>
    <row r="373" spans="1:2" x14ac:dyDescent="0.25">
      <c r="A373" s="45" t="s">
        <v>61</v>
      </c>
      <c r="B373" s="134">
        <f>IFERROR(GETPIVOTDATA("Date",'Activity 1'!$A$1,"Activity 1","Relaxation","Person","Carer"),0)+IFERROR(GETPIVOTDATA("Date",'Activity 2'!$A$1,"Activity 2","Relaxation","Person","Carer"),0)+IFERROR(GETPIVOTDATA("Date",'Activity 3'!$A$1,"Activity 3","Relaxation","Person","Carer"),0)</f>
        <v>14</v>
      </c>
    </row>
    <row r="374" spans="1:2" x14ac:dyDescent="0.25">
      <c r="A374" s="45" t="s">
        <v>3</v>
      </c>
      <c r="B374" s="134">
        <f>IFERROR(GETPIVOTDATA("Date",'Activity 1 Gender'!$A$1,"Activity 1","Relaxation","Gender","Male"),0)+IFERROR(GETPIVOTDATA("Date",'Activity 2 Gender'!$A$1,"Activity 2","Relaxation","Gender","Male"),0)+IFERROR(GETPIVOTDATA("Date",'Activity 3 Gender'!$A$1,"Activity 3","Relaxation","Gender","Male"),0)+IFERROR(GETPIVOTDATA("Date",'Activity 1 Gender'!$A$1,"Activity 1","Relaxation","Gender","Under 18 Male"),0)+IFERROR(GETPIVOTDATA("Date",'Activity 2 Gender'!$A$1,"Activity 2","Relaxation","Gender","Under 18 Male"),0)+IFERROR(GETPIVOTDATA("Date",'Activity 3 Gender'!$A$1,"Activity 3","Relaxation","Gender","Under 18 Male"),0)</f>
        <v>43</v>
      </c>
    </row>
    <row r="375" spans="1:2" x14ac:dyDescent="0.25">
      <c r="A375" s="45" t="s">
        <v>4</v>
      </c>
      <c r="B375" s="134">
        <f>IFERROR(GETPIVOTDATA("Date",'Activity 1 Gender'!$A$1,"Activity 1","Relaxation","Gender","Female"),0)+IFERROR(GETPIVOTDATA("Date",'Activity 2 Gender'!$A$1,"Activity 2","Relaxation","Gender","Female"),0)+IFERROR(GETPIVOTDATA("Date",'Activity 3 Gender'!$A$1,"Activity 3","Relaxation","Gender","Female"),0)+IFERROR(GETPIVOTDATA("Date",'Activity 1 Gender'!$A$1,"Activity 1","Relaxation","Gender","Under 18 Female"),0)+IFERROR(GETPIVOTDATA("Date",'Activity 2 Gender'!$A$1,"Activity 2","Relaxation","Gender","Under 18 Female"),0)+IFERROR(GETPIVOTDATA("Date",'Activity 3 Gender'!$A$1,"Activity 3","Relaxation","Gender","Under 18 Female"),0)</f>
        <v>71</v>
      </c>
    </row>
    <row r="376" spans="1:2" x14ac:dyDescent="0.25">
      <c r="A376" s="40" t="s">
        <v>134</v>
      </c>
      <c r="B376" s="130">
        <f>IFERROR(GETPIVOTDATA("Date",'Activity 1'!$A$1,"Activity 1","Tai Chi/Qi Gong"),0)+IFERROR(GETPIVOTDATA("Date",'Activity 2'!$A$1,"Activity 2","Tai Chi/Qi Gong"),0)+IFERROR(GETPIVOTDATA("Date",'Activity 3'!$A$1,"Activity 3","Tai Chi/Qi Gong"),0)</f>
        <v>74</v>
      </c>
    </row>
    <row r="377" spans="1:2" x14ac:dyDescent="0.25">
      <c r="A377" s="45" t="s">
        <v>0</v>
      </c>
      <c r="B377" s="134">
        <f>IFERROR(GETPIVOTDATA("Date",'Activity 1'!$A$1,"Activity 1","Tai Chi/Qi Gong","Person","PwC"),0)+IFERROR(GETPIVOTDATA("Date",'Activity 2'!$A$1,"Activity 2","Tai Chi/Qi Gong","Person","PwC"),0)+IFERROR(GETPIVOTDATA("Date",'Activity 3'!$A$1,"Activity 3","Tai Chi/Qi Gong","Person","PwC"),0)</f>
        <v>74</v>
      </c>
    </row>
    <row r="378" spans="1:2" x14ac:dyDescent="0.25">
      <c r="A378" s="45" t="s">
        <v>61</v>
      </c>
      <c r="B378" s="134">
        <f>IFERROR(GETPIVOTDATA("Date",'Activity 1'!$A$1,"Activity 1","Tai Chi/Qi Gong","Person","Carer"),0)+IFERROR(GETPIVOTDATA("Date",'Activity 2'!$A$1,"Activity 2","Tai Chi/Qi Gong","Person","Carer"),0)+IFERROR(GETPIVOTDATA("Date",'Activity 3'!$A$1,"Activity 3","Tai Chi/Qi Gong","Person","Carer"),0)</f>
        <v>0</v>
      </c>
    </row>
    <row r="379" spans="1:2" x14ac:dyDescent="0.25">
      <c r="A379" s="45" t="s">
        <v>3</v>
      </c>
      <c r="B379" s="134">
        <f>IFERROR(GETPIVOTDATA("Date",'Activity 1 Gender'!$A$1,"Activity 1","Tai Chi/Qi Gong","Gender","Male"),0)+IFERROR(GETPIVOTDATA("Date",'Activity 2 Gender'!$A$1,"Activity 2","Tai Chi/Qi Gong","Gender","Male"),0)+IFERROR(GETPIVOTDATA("Date",'Activity 3 Gender'!$A$1,"Activity 3","Tai Chi/Qi Gong","Gender","Male"),0)+IFERROR(GETPIVOTDATA("Date",'Activity 1 Gender'!$A$1,"Activity 1","Tai Chi/Qi Gong","Gender","Under 18 Male"),0)+IFERROR(GETPIVOTDATA("Date",'Activity 2 Gender'!$A$1,"Activity 2","Tai Chi/Qi Gong","Gender","Under 18 Male"),0)+IFERROR(GETPIVOTDATA("Date",'Activity 3 Gender'!$A$1,"Activity 3","Tai Chi/Qi Gong","Gender","Under 18 Male"),0)</f>
        <v>22</v>
      </c>
    </row>
    <row r="380" spans="1:2" x14ac:dyDescent="0.25">
      <c r="A380" s="45" t="s">
        <v>4</v>
      </c>
      <c r="B380" s="134">
        <f>IFERROR(GETPIVOTDATA("Date",'Activity 1 Gender'!$A$1,"Activity 1","Tai Chi/Qi Gong","Gender","Female"),0)+IFERROR(GETPIVOTDATA("Date",'Activity 2 Gender'!$A$1,"Activity 2","Tai Chi/Qi Gong","Gender","Female"),0)+IFERROR(GETPIVOTDATA("Date",'Activity 3 Gender'!$A$1,"Activity 3","Tai Chi/Qi Gong","Gender","Female"),0)+IFERROR(GETPIVOTDATA("Date",'Activity 1 Gender'!$A$1,"Activity 1","Tai Chi/Qi Gong","Gender","Under 18 Female"),0)+IFERROR(GETPIVOTDATA("Date",'Activity 2 Gender'!$A$1,"Activity 2","Tai Chi/Qi Gong","Gender","Under 18 Female"),0)+IFERROR(GETPIVOTDATA("Date",'Activity 3 Gender'!$A$1,"Activity 3","Tai Chi/Qi Gong","Gender","Under 18 Female"),0)</f>
        <v>52</v>
      </c>
    </row>
    <row r="381" spans="1:2" x14ac:dyDescent="0.25">
      <c r="A381" s="40" t="s">
        <v>21</v>
      </c>
      <c r="B381" s="130">
        <f>IFERROR(GETPIVOTDATA("Date",'Activity 1'!$A$1,"Activity 1","Yoga"),0)+IFERROR(GETPIVOTDATA("Date",'Activity 2'!$A$1,"Activity 2","Yoga"),0)+IFERROR(GETPIVOTDATA("Date",'Activity 3'!$A$1,"Activity 3","Yoga"),0)</f>
        <v>0</v>
      </c>
    </row>
    <row r="382" spans="1:2" x14ac:dyDescent="0.25">
      <c r="A382" s="45" t="s">
        <v>0</v>
      </c>
      <c r="B382" s="134">
        <f>IFERROR(GETPIVOTDATA("Date",'Activity 1'!$A$1,"Activity 1","Yoga","Person","PwC"),0)+IFERROR(GETPIVOTDATA("Date",'Activity 2'!$A$1,"Activity 2","Yoga","Person","PwC"),0)+IFERROR(GETPIVOTDATA("Date",'Activity 3'!$A$1,"Activity 3","Yoga","Person","PwC"),0)</f>
        <v>0</v>
      </c>
    </row>
    <row r="383" spans="1:2" x14ac:dyDescent="0.25">
      <c r="A383" s="45" t="s">
        <v>61</v>
      </c>
      <c r="B383" s="134">
        <f>IFERROR(GETPIVOTDATA("Date",'Activity 1'!$A$1,"Activity 1","Yoga","Person","Carer"),0)+IFERROR(GETPIVOTDATA("Date",'Activity 2'!$A$1,"Activity 2","Yoga","Person","Carer"),0)+IFERROR(GETPIVOTDATA("Date",'Activity 3'!$A$1,"Activity 3","Yoga","Person","Carer"),0)</f>
        <v>0</v>
      </c>
    </row>
    <row r="384" spans="1:2" x14ac:dyDescent="0.25">
      <c r="A384" s="45" t="s">
        <v>3</v>
      </c>
      <c r="B384" s="134">
        <f>IFERROR(GETPIVOTDATA("Date",'Activity 1 Gender'!$A$1,"Activity 1","Yoga","Gender","Male"),0)+IFERROR(GETPIVOTDATA("Date",'Activity 2 Gender'!$A$1,"Activity 2","Yoga","Gender","Male"),0)+IFERROR(GETPIVOTDATA("Date",'Activity 3 Gender'!$A$1,"Activity 3","Yoga","Gender","Male"),0)+IFERROR(GETPIVOTDATA("Date",'Activity 1 Gender'!$A$1,"Activity 1","Yoga","Gender","Under 18 Male"),0)+IFERROR(GETPIVOTDATA("Date",'Activity 2 Gender'!$A$1,"Activity 2","Yoga","Gender","Under 18 Male"),0)+IFERROR(GETPIVOTDATA("Date",'Activity 3 Gender'!$A$1,"Activity 3","Yoga","Gender","Under 18 Male"),0)</f>
        <v>0</v>
      </c>
    </row>
    <row r="385" spans="1:2" x14ac:dyDescent="0.25">
      <c r="A385" s="45" t="s">
        <v>4</v>
      </c>
      <c r="B385" s="134">
        <f>IFERROR(GETPIVOTDATA("Date",'Activity 1 Gender'!$A$1,"Activity 1","Yoga","Gender","Female"),0)+IFERROR(GETPIVOTDATA("Date",'Activity 2 Gender'!$A$1,"Activity 2","Yoga","Gender","Female"),0)+IFERROR(GETPIVOTDATA("Date",'Activity 3 Gender'!$A$1,"Activity 3","Yoga","Gender","Female"),0)+IFERROR(GETPIVOTDATA("Date",'Activity 1 Gender'!$A$1,"Activity 1","Yoga","Gender","Under 18 Female"),0)+IFERROR(GETPIVOTDATA("Date",'Activity 2 Gender'!$A$1,"Activity 2","Yoga","Gender","Under 18 Female"),0)+IFERROR(GETPIVOTDATA("Date",'Activity 3 Gender'!$A$1,"Activity 3","Yoga","Gender","Under 18 Female"),0)</f>
        <v>0</v>
      </c>
    </row>
    <row r="386" spans="1:2" x14ac:dyDescent="0.25">
      <c r="A386" s="50" t="s">
        <v>283</v>
      </c>
      <c r="B386" s="140">
        <f>SUM(B387:B388)</f>
        <v>194</v>
      </c>
    </row>
    <row r="387" spans="1:2" x14ac:dyDescent="0.25">
      <c r="A387" s="45" t="s">
        <v>0</v>
      </c>
      <c r="B387" s="134">
        <f>SUM(B392,B397,B402,B407,B412,B417,B422,B427,B432,B437,B442,B447,B452,B457,B462,B467,B472)</f>
        <v>190</v>
      </c>
    </row>
    <row r="388" spans="1:2" x14ac:dyDescent="0.25">
      <c r="A388" s="45" t="s">
        <v>61</v>
      </c>
      <c r="B388" s="134">
        <f t="shared" ref="B388:B390" si="6">SUM(B393,B398,B403,B408,B413,B418,B423,B428,B433,B438,B443,B448,B453,B458,B463,B468,B473)</f>
        <v>4</v>
      </c>
    </row>
    <row r="389" spans="1:2" x14ac:dyDescent="0.25">
      <c r="A389" s="45" t="s">
        <v>3</v>
      </c>
      <c r="B389" s="134">
        <f t="shared" si="6"/>
        <v>95</v>
      </c>
    </row>
    <row r="390" spans="1:2" x14ac:dyDescent="0.25">
      <c r="A390" s="45" t="s">
        <v>4</v>
      </c>
      <c r="B390" s="134">
        <f t="shared" si="6"/>
        <v>99</v>
      </c>
    </row>
    <row r="391" spans="1:2" x14ac:dyDescent="0.25">
      <c r="A391" s="40" t="s">
        <v>282</v>
      </c>
      <c r="B391" s="130">
        <f>IFERROR(GETPIVOTDATA("Date",'Activity 1'!$A$1,"Activity 1","Auricular Acupuncture"),0)+IFERROR(GETPIVOTDATA("Date",'Activity 2'!$A$1,"Activity 2","Auricular Acupuncture"),0)+IFERROR(GETPIVOTDATA("Date",'Activity 3'!$A$1,"Activity 3","Auricular Acupuncture"),0)</f>
        <v>80</v>
      </c>
    </row>
    <row r="392" spans="1:2" x14ac:dyDescent="0.25">
      <c r="A392" s="45" t="s">
        <v>0</v>
      </c>
      <c r="B392" s="134">
        <f>IFERROR(GETPIVOTDATA("Date",'Activity 1'!$A$1,"Activity 1","Auricular Acupuncture","Person","PwC"),0)+IFERROR(GETPIVOTDATA("Date",'Activity 2'!$A$1,"Activity 2","Auricular Acupuncture","Person","PwC"),0)+IFERROR(GETPIVOTDATA("Date",'Activity 3'!$A$1,"Activity 3","Auricular Acupuncture","Person","PwC"),0)</f>
        <v>80</v>
      </c>
    </row>
    <row r="393" spans="1:2" x14ac:dyDescent="0.25">
      <c r="A393" s="45" t="s">
        <v>61</v>
      </c>
      <c r="B393" s="134">
        <f>IFERROR(GETPIVOTDATA("Date",'Activity 1'!$A$1,"Activity 1","Auricular Acupuncture","Person","Carer"),0)+IFERROR(GETPIVOTDATA("Date",'Activity 2'!$A$1,"Activity 2","Auricular Acupuncture","Person","Carer"),0)+IFERROR(GETPIVOTDATA("Date",'Activity 3'!$A$1,"Activity 3","Auricular Acupuncture","Person","Carer"),0)</f>
        <v>0</v>
      </c>
    </row>
    <row r="394" spans="1:2" x14ac:dyDescent="0.25">
      <c r="A394" s="45" t="s">
        <v>3</v>
      </c>
      <c r="B394" s="134">
        <f>IFERROR(GETPIVOTDATA("Date",'Activity 1 Gender'!$A$1,"Activity 1","Auricular Acupuncture","Gender","Male"),0)+IFERROR(GETPIVOTDATA("Date",'Activity 2 Gender'!$A$1,"Activity 2","Auricular Acupuncture","Gender","Male"),0)+IFERROR(GETPIVOTDATA("Date",'Activity 3 Gender'!$A$1,"Activity 3","Auricular Acupuncture","Gender","Male"),0)+IFERROR(GETPIVOTDATA("Date",'Activity 1 Gender'!$A$1,"Activity 1","Auricular Acupuncture","Gender","Under 18 Male"),0)+IFERROR(GETPIVOTDATA("Date",'Activity 2 Gender'!$A$1,"Activity 2","Auricular Acupuncture","Gender","Under 18 Male"),0)+IFERROR(GETPIVOTDATA("Date",'Activity 3 Gender'!$A$1,"Activity 3","Auricular Acupuncture","Gender","Under 18 Male"),0)</f>
        <v>80</v>
      </c>
    </row>
    <row r="395" spans="1:2" x14ac:dyDescent="0.25">
      <c r="A395" s="45" t="s">
        <v>4</v>
      </c>
      <c r="B395" s="134">
        <f>IFERROR(GETPIVOTDATA("Date",'Activity 1 Gender'!$A$1,"Activity 1","Auricular Acupuncture","Gender","Female"),0)+IFERROR(GETPIVOTDATA("Date",'Activity 2 Gender'!$A$1,"Activity 2","Auricular Acupuncture","Gender","Female"),0)+IFERROR(GETPIVOTDATA("Date",'Activity 3 Gender'!$A$1,"Activity 3","Auricular Acupuncture","Gender","Female"),0)+IFERROR(GETPIVOTDATA("Date",'Activity 1 Gender'!$A$1,"Activity 1","Auricular Acupuncture","Gender","Under 18 Female"),0)+IFERROR(GETPIVOTDATA("Date",'Activity 2 Gender'!$A$1,"Activity 2","Auricular Acupuncture","Gender","Under 18 Female"),0)+IFERROR(GETPIVOTDATA("Date",'Activity 3 Gender'!$A$1,"Activity 3","Auricular Acupuncture","Gender","Under 18 Female"),0)</f>
        <v>0</v>
      </c>
    </row>
    <row r="396" spans="1:2" x14ac:dyDescent="0.25">
      <c r="A396" s="40" t="s">
        <v>278</v>
      </c>
      <c r="B396" s="130">
        <f>IFERROR(GETPIVOTDATA("Date",'Activity 1'!$A$1,"Activity 1","Bereavement Course"),0)+IFERROR(GETPIVOTDATA("Date",'Activity 2'!$A$1,"Activity 2","Bereavement Course"),0)+IFERROR(GETPIVOTDATA("Date",'Activity 3'!$A$1,"Activity 3","Bereavement Course"),0)</f>
        <v>0</v>
      </c>
    </row>
    <row r="397" spans="1:2" x14ac:dyDescent="0.25">
      <c r="A397" s="45" t="s">
        <v>0</v>
      </c>
      <c r="B397" s="134">
        <f>IFERROR(GETPIVOTDATA("Date",'Activity 1'!$A$1,"Activity 1","Bereavement Course","Person","PwC"),0)+IFERROR(GETPIVOTDATA("Date",'Activity 2'!$A$1,"Activity 2","Bereavement Course","Person","PwC"),0)+IFERROR(GETPIVOTDATA("Date",'Activity 3'!$A$1,"Activity 3","Bereavement Course","Person","PwC"),0)</f>
        <v>0</v>
      </c>
    </row>
    <row r="398" spans="1:2" x14ac:dyDescent="0.25">
      <c r="A398" s="45" t="s">
        <v>61</v>
      </c>
      <c r="B398" s="134">
        <f>IFERROR(GETPIVOTDATA("Date",'Activity 1'!$A$1,"Activity 1","Bereavement Course","Person","Carer"),0)+IFERROR(GETPIVOTDATA("Date",'Activity 2'!$A$1,"Activity 2","Bereavement Course","Person","Carer"),0)+IFERROR(GETPIVOTDATA("Date",'Activity 3'!$A$1,"Activity 3","Bereavement Course","Person","Carer"),0)</f>
        <v>0</v>
      </c>
    </row>
    <row r="399" spans="1:2" x14ac:dyDescent="0.25">
      <c r="A399" s="45" t="s">
        <v>3</v>
      </c>
      <c r="B399" s="134">
        <f>IFERROR(GETPIVOTDATA("Date",'Activity 1 Gender'!$A$1,"Activity 1","Bereavement Course","Gender","Male"),0)+IFERROR(GETPIVOTDATA("Date",'Activity 2 Gender'!$A$1,"Activity 2","Bereavement Course","Gender","Male"),0)+IFERROR(GETPIVOTDATA("Date",'Activity 3 Gender'!$A$1,"Activity 3","Bereavement Course","Gender","Male"),0)+IFERROR(GETPIVOTDATA("Date",'Activity 1 Gender'!$A$1,"Activity 1","Bereavement Course","Gender","Under 18 Male"),0)+IFERROR(GETPIVOTDATA("Date",'Activity 2 Gender'!$A$1,"Activity 2","Bereavement Course","Gender","Under 18 Male"),0)+IFERROR(GETPIVOTDATA("Date",'Activity 3 Gender'!$A$1,"Activity 3","Bereavement Course","Gender","Under 18 Male"),0)</f>
        <v>0</v>
      </c>
    </row>
    <row r="400" spans="1:2" x14ac:dyDescent="0.25">
      <c r="A400" s="45" t="s">
        <v>4</v>
      </c>
      <c r="B400" s="134">
        <f>IFERROR(GETPIVOTDATA("Date",'Activity 1 Gender'!$A$1,"Activity 1","Bereavement Course","Gender","Female"),0)+IFERROR(GETPIVOTDATA("Date",'Activity 2 Gender'!$A$1,"Activity 2","Bereavement Course","Gender","Female"),0)+IFERROR(GETPIVOTDATA("Date",'Activity 3 Gender'!$A$1,"Activity 3","Bereavement Course","Gender","Female"),0)+IFERROR(GETPIVOTDATA("Date",'Activity 1 Gender'!$A$1,"Activity 1","Bereavement Course","Gender","Under 18 Female"),0)+IFERROR(GETPIVOTDATA("Date",'Activity 2 Gender'!$A$1,"Activity 2","Bereavement Course","Gender","Under 18 Female"),0)+IFERROR(GETPIVOTDATA("Date",'Activity 3 Gender'!$A$1,"Activity 3","Bereavement Course","Gender","Under 18 Female"),0)</f>
        <v>0</v>
      </c>
    </row>
    <row r="401" spans="1:2" x14ac:dyDescent="0.25">
      <c r="A401" s="40" t="s">
        <v>257</v>
      </c>
      <c r="B401" s="130">
        <f>IFERROR(GETPIVOTDATA("Date",'Activity 1'!$A$1,"Activity 1","Cancer in the Workplace"),0)+IFERROR(GETPIVOTDATA("Date",'Activity 2'!$A$1,"Activity 2","Cancer in the Workplace"),0)+IFERROR(GETPIVOTDATA("Date",'Activity 3'!$A$1,"Activity 3","Cancer in the Workplace"),0)</f>
        <v>0</v>
      </c>
    </row>
    <row r="402" spans="1:2" x14ac:dyDescent="0.25">
      <c r="A402" s="45" t="s">
        <v>0</v>
      </c>
      <c r="B402" s="134">
        <f>IFERROR(GETPIVOTDATA("Date",'Activity 1'!$A$1,"Activity 1","Cancer in the Workplace","Person","PwC"),0)+IFERROR(GETPIVOTDATA("Date",'Activity 2'!$A$1,"Activity 2","Cancer in the Workplace","Person","PwC"),0)+IFERROR(GETPIVOTDATA("Date",'Activity 3'!$A$1,"Activity 3","Cancer in the Workplace","Person","PwC"),0)</f>
        <v>0</v>
      </c>
    </row>
    <row r="403" spans="1:2" x14ac:dyDescent="0.25">
      <c r="A403" s="45" t="s">
        <v>61</v>
      </c>
      <c r="B403" s="134">
        <f>IFERROR(GETPIVOTDATA("Date",'Activity 1'!$A$1,"Activity 1","Cancer in the Workplace","Person","Carer"),0)+IFERROR(GETPIVOTDATA("Date",'Activity 2'!$A$1,"Activity 2","Cancer in the Workplace","Person","Carer"),0)+IFERROR(GETPIVOTDATA("Date",'Activity 3'!$A$1,"Activity 3","Cancer in the Workplace","Person","Carer"),0)</f>
        <v>0</v>
      </c>
    </row>
    <row r="404" spans="1:2" x14ac:dyDescent="0.25">
      <c r="A404" s="45" t="s">
        <v>3</v>
      </c>
      <c r="B404" s="134">
        <f>IFERROR(GETPIVOTDATA("Date",'Activity 1 Gender'!$A$1,"Activity 1","Cancer in the Workplace","Gender","Male"),0)+IFERROR(GETPIVOTDATA("Date",'Activity 2 Gender'!$A$1,"Activity 2","Cancer in the Workplace","Gender","Male"),0)+IFERROR(GETPIVOTDATA("Date",'Activity 3 Gender'!$A$1,"Activity 3","Cancer in the Workplace","Gender","Male"),0)+IFERROR(GETPIVOTDATA("Date",'Activity 1 Gender'!$A$1,"Activity 1","Cancer in the Workplace","Gender","Under 18 Male"),0)+IFERROR(GETPIVOTDATA("Date",'Activity 2 Gender'!$A$1,"Activity 2","Cancer in the Workplace","Gender","Under 18 Male"),0)+IFERROR(GETPIVOTDATA("Date",'Activity 3 Gender'!$A$1,"Activity 3","Cancer in the Workplace","Gender","Under 18 Male"),0)</f>
        <v>0</v>
      </c>
    </row>
    <row r="405" spans="1:2" x14ac:dyDescent="0.25">
      <c r="A405" s="45" t="s">
        <v>4</v>
      </c>
      <c r="B405" s="134">
        <f>IFERROR(GETPIVOTDATA("Date",'Activity 1 Gender'!$A$1,"Activity 1","Cancer in the Workplace","Gender","Female"),0)+IFERROR(GETPIVOTDATA("Date",'Activity 2 Gender'!$A$1,"Activity 2","Cancer in the Workplace","Gender","Female"),0)+IFERROR(GETPIVOTDATA("Date",'Activity 3 Gender'!$A$1,"Activity 3","Cancer in the Workplace","Gender","Female"),0)+IFERROR(GETPIVOTDATA("Date",'Activity 1 Gender'!$A$1,"Activity 1","Cancer in the Workplace","Gender","Under 18 Female"),0)+IFERROR(GETPIVOTDATA("Date",'Activity 2 Gender'!$A$1,"Activity 2","Cancer in the Workplace","Gender","Under 18 Female"),0)+IFERROR(GETPIVOTDATA("Date",'Activity 3 Gender'!$A$1,"Activity 3","Cancer in the Workplace","Gender","Under 18 Female"),0)</f>
        <v>0</v>
      </c>
    </row>
    <row r="406" spans="1:2" x14ac:dyDescent="0.25">
      <c r="A406" s="40" t="s">
        <v>258</v>
      </c>
      <c r="B406" s="130">
        <f>IFERROR(GETPIVOTDATA("Date",'Activity 1'!$A$1,"Activity 1","Fatigue Management"),0)+IFERROR(GETPIVOTDATA("Date",'Activity 2'!$A$1,"Activity 2","Fatigue Management"),0)+IFERROR(GETPIVOTDATA("Date",'Activity 3'!$A$1,"Activity 3","Fatigue Management"),0)</f>
        <v>15</v>
      </c>
    </row>
    <row r="407" spans="1:2" x14ac:dyDescent="0.25">
      <c r="A407" s="45" t="s">
        <v>0</v>
      </c>
      <c r="B407" s="134">
        <f>IFERROR(GETPIVOTDATA("Date",'Activity 1'!$A$1,"Activity 1","Fatigue Management","Person","PwC"),0)+IFERROR(GETPIVOTDATA("Date",'Activity 2'!$A$1,"Activity 2","Fatigue Management","Person","PwC"),0)+IFERROR(GETPIVOTDATA("Date",'Activity 3'!$A$1,"Activity 3","Fatigue Management","Person","PwC"),0)</f>
        <v>14</v>
      </c>
    </row>
    <row r="408" spans="1:2" x14ac:dyDescent="0.25">
      <c r="A408" s="45" t="s">
        <v>61</v>
      </c>
      <c r="B408" s="134">
        <f>IFERROR(GETPIVOTDATA("Date",'Activity 1'!$A$1,"Activity 1","Fatigue Management","Person","Carer"),0)+IFERROR(GETPIVOTDATA("Date",'Activity 2'!$A$1,"Activity 2","Fatigue Management","Person","Carer"),0)+IFERROR(GETPIVOTDATA("Date",'Activity 3'!$A$1,"Activity 3","Fatigue Management","Person","Carer"),0)</f>
        <v>1</v>
      </c>
    </row>
    <row r="409" spans="1:2" x14ac:dyDescent="0.25">
      <c r="A409" s="45" t="s">
        <v>3</v>
      </c>
      <c r="B409" s="134">
        <f>IFERROR(GETPIVOTDATA("Date",'Activity 1 Gender'!$A$1,"Activity 1","Fatigue Management","Gender","Male"),0)+IFERROR(GETPIVOTDATA("Date",'Activity 2 Gender'!$A$1,"Activity 2","Fatigue Management","Gender","Male"),0)+IFERROR(GETPIVOTDATA("Date",'Activity 3 Gender'!$A$1,"Activity 3","Fatigue Management","Gender","Male"),0)+IFERROR(GETPIVOTDATA("Date",'Activity 1 Gender'!$A$1,"Activity 1","Fatigue Management","Gender","Under 18 Male"),0)+IFERROR(GETPIVOTDATA("Date",'Activity 2 Gender'!$A$1,"Activity 2","Fatigue Management","Gender","Under 18 Male"),0)+IFERROR(GETPIVOTDATA("Date",'Activity 3 Gender'!$A$1,"Activity 3","Fatigue Management","Gender","Under 18 Male"),0)</f>
        <v>3</v>
      </c>
    </row>
    <row r="410" spans="1:2" x14ac:dyDescent="0.25">
      <c r="A410" s="45" t="s">
        <v>4</v>
      </c>
      <c r="B410" s="134">
        <f>IFERROR(GETPIVOTDATA("Date",'Activity 1 Gender'!$A$1,"Activity 1","Fatigue Management","Gender","Female"),0)+IFERROR(GETPIVOTDATA("Date",'Activity 2 Gender'!$A$1,"Activity 2","Fatigue Management","Gender","Female"),0)+IFERROR(GETPIVOTDATA("Date",'Activity 3 Gender'!$A$1,"Activity 3","Fatigue Management","Gender","Female"),0)+IFERROR(GETPIVOTDATA("Date",'Activity 1 Gender'!$A$1,"Activity 1","Fatigue Management","Gender","Under 18 Female"),0)+IFERROR(GETPIVOTDATA("Date",'Activity 2 Gender'!$A$1,"Activity 2","Fatigue Management","Gender","Under 18 Female"),0)+IFERROR(GETPIVOTDATA("Date",'Activity 3 Gender'!$A$1,"Activity 3","Fatigue Management","Gender","Under 18 Female"),0)</f>
        <v>12</v>
      </c>
    </row>
    <row r="411" spans="1:2" x14ac:dyDescent="0.25">
      <c r="A411" s="40" t="s">
        <v>101</v>
      </c>
      <c r="B411" s="130">
        <f>IFERROR(GETPIVOTDATA("Date",'Activity 1'!$A$1,"Activity 1","Gardening"),0)+IFERROR(GETPIVOTDATA("Date",'Activity 2'!$A$1,"Activity 2","Gardening"),0)+IFERROR(GETPIVOTDATA("Date",'Activity 3'!$A$1,"Activity 3","Gardening"),0)</f>
        <v>0</v>
      </c>
    </row>
    <row r="412" spans="1:2" x14ac:dyDescent="0.25">
      <c r="A412" s="45" t="s">
        <v>0</v>
      </c>
      <c r="B412" s="134">
        <f>IFERROR(GETPIVOTDATA("Date",'Activity 1'!$A$1,"Activity 1","Gardening","Person","PwC"),0)+IFERROR(GETPIVOTDATA("Date",'Activity 2'!$A$1,"Activity 2","Gardening","Person","PwC"),0)+IFERROR(GETPIVOTDATA("Date",'Activity 3'!$A$1,"Activity 3","Gardening","Person","PwC"),0)</f>
        <v>0</v>
      </c>
    </row>
    <row r="413" spans="1:2" x14ac:dyDescent="0.25">
      <c r="A413" s="45" t="s">
        <v>61</v>
      </c>
      <c r="B413" s="134">
        <f>IFERROR(GETPIVOTDATA("Date",'Activity 1'!$A$1,"Activity 1","Gardening","Person","Carer"),0)+IFERROR(GETPIVOTDATA("Date",'Activity 2'!$A$1,"Activity 2","Gardening","Person","Carer"),0)+IFERROR(GETPIVOTDATA("Date",'Activity 3'!$A$1,"Activity 3","Gardening","Person","Carer"),0)</f>
        <v>0</v>
      </c>
    </row>
    <row r="414" spans="1:2" x14ac:dyDescent="0.25">
      <c r="A414" s="45" t="s">
        <v>3</v>
      </c>
      <c r="B414" s="134">
        <f>IFERROR(GETPIVOTDATA("Date",'Activity 1 Gender'!$A$1,"Activity 1","Gardening","Gender","Male"),0)+IFERROR(GETPIVOTDATA("Date",'Activity 2 Gender'!$A$1,"Activity 2","Gardening","Gender","Male"),0)+IFERROR(GETPIVOTDATA("Date",'Activity 3 Gender'!$A$1,"Activity 3","Gardening","Gender","Male"),0)+IFERROR(GETPIVOTDATA("Date",'Activity 1 Gender'!$A$1,"Activity 1","Gardening","Gender","Under 18 Male"),0)+IFERROR(GETPIVOTDATA("Date",'Activity 2 Gender'!$A$1,"Activity 2","Gardening","Gender","Under 18 Male"),0)+IFERROR(GETPIVOTDATA("Date",'Activity 3 Gender'!$A$1,"Activity 3","Gardening","Gender","Under 18 Male"),0)</f>
        <v>0</v>
      </c>
    </row>
    <row r="415" spans="1:2" x14ac:dyDescent="0.25">
      <c r="A415" s="45" t="s">
        <v>4</v>
      </c>
      <c r="B415" s="134">
        <f>IFERROR(GETPIVOTDATA("Date",'Activity 1 Gender'!$A$1,"Activity 1","Gardening","Gender","Female"),0)+IFERROR(GETPIVOTDATA("Date",'Activity 2 Gender'!$A$1,"Activity 2","Gardening","Gender","Female"),0)+IFERROR(GETPIVOTDATA("Date",'Activity 3 Gender'!$A$1,"Activity 3","Gardening","Gender","Female"),0)+IFERROR(GETPIVOTDATA("Date",'Activity 1 Gender'!$A$1,"Activity 1","Gardening","Gender","Under 18 Female"),0)+IFERROR(GETPIVOTDATA("Date",'Activity 2 Gender'!$A$1,"Activity 2","Gardening","Gender","Under 18 Female"),0)+IFERROR(GETPIVOTDATA("Date",'Activity 3 Gender'!$A$1,"Activity 3","Gardening","Gender","Under 18 Female"),0)</f>
        <v>0</v>
      </c>
    </row>
    <row r="416" spans="1:2" x14ac:dyDescent="0.25">
      <c r="A416" s="40" t="s">
        <v>102</v>
      </c>
      <c r="B416" s="130">
        <f>IFERROR(GETPIVOTDATA("Date",'Activity 1'!$A$1,"Activity 1","Gentle Exercise"),0)+IFERROR(GETPIVOTDATA("Date",'Activity 2'!$A$1,"Activity 2","Gentle Exercise"),0)+IFERROR(GETPIVOTDATA("Date",'Activity 3'!$A$1,"Activity 3","Gentle Exercise"),0)</f>
        <v>41</v>
      </c>
    </row>
    <row r="417" spans="1:2" x14ac:dyDescent="0.25">
      <c r="A417" s="45" t="s">
        <v>0</v>
      </c>
      <c r="B417" s="134">
        <f>IFERROR(GETPIVOTDATA("Date",'Activity 1'!$A$1,"Activity 1","Gentle Exercise","Person","PwC"),0)+IFERROR(GETPIVOTDATA("Date",'Activity 2'!$A$1,"Activity 2","Gentle Exercise","Person","PwC"),0)+IFERROR(GETPIVOTDATA("Date",'Activity 3'!$A$1,"Activity 3","Gentle Exercise","Person","PwC"),0)</f>
        <v>41</v>
      </c>
    </row>
    <row r="418" spans="1:2" x14ac:dyDescent="0.25">
      <c r="A418" s="45" t="s">
        <v>61</v>
      </c>
      <c r="B418" s="134">
        <f>IFERROR(GETPIVOTDATA("Date",'Activity 1'!$A$1,"Activity 1","Gentle Exercise","Person","Carer"),0)+IFERROR(GETPIVOTDATA("Date",'Activity 2'!$A$1,"Activity 2","Gentle Exercise","Person","Carer"),0)+IFERROR(GETPIVOTDATA("Date",'Activity 3'!$A$1,"Activity 3","Gentle Exercise","Person","Carer"),0)</f>
        <v>0</v>
      </c>
    </row>
    <row r="419" spans="1:2" x14ac:dyDescent="0.25">
      <c r="A419" s="45" t="s">
        <v>3</v>
      </c>
      <c r="B419" s="134">
        <f>IFERROR(GETPIVOTDATA("Date",'Activity 1 Gender'!$A$1,"Activity 1","Gentle Exercise","Gender","Male"),0)+IFERROR(GETPIVOTDATA("Date",'Activity 2 Gender'!$A$1,"Activity 2","Gentle Exercise","Gender","Male"),0)+IFERROR(GETPIVOTDATA("Date",'Activity 3 Gender'!$A$1,"Activity 3","Gentle Exercise","Gender","Male"),0)+IFERROR(GETPIVOTDATA("Date",'Activity 1 Gender'!$A$1,"Activity 1","Gentle Exercise","Gender","Under 18 Male"),0)+IFERROR(GETPIVOTDATA("Date",'Activity 2 Gender'!$A$1,"Activity 2","Gentle Exercise","Gender","Under 18 Male"),0)+IFERROR(GETPIVOTDATA("Date",'Activity 3 Gender'!$A$1,"Activity 3","Gentle Exercise","Gender","Under 18 Male"),0)</f>
        <v>2</v>
      </c>
    </row>
    <row r="420" spans="1:2" x14ac:dyDescent="0.25">
      <c r="A420" s="45" t="s">
        <v>4</v>
      </c>
      <c r="B420" s="134">
        <f>IFERROR(GETPIVOTDATA("Date",'Activity 1 Gender'!$A$1,"Activity 1","Gentle Exercise","Gender","Female"),0)+IFERROR(GETPIVOTDATA("Date",'Activity 2 Gender'!$A$1,"Activity 2","Gentle Exercise","Gender","Female"),0)+IFERROR(GETPIVOTDATA("Date",'Activity 3 Gender'!$A$1,"Activity 3","Gentle Exercise","Gender","Female"),0)+IFERROR(GETPIVOTDATA("Date",'Activity 1 Gender'!$A$1,"Activity 1","Gentle Exercise","Gender","Under 18 Female"),0)+IFERROR(GETPIVOTDATA("Date",'Activity 2 Gender'!$A$1,"Activity 2","Gentle Exercise","Gender","Under 18 Female"),0)+IFERROR(GETPIVOTDATA("Date",'Activity 3 Gender'!$A$1,"Activity 3","Gentle Exercise","Gender","Under 18 Female"),0)</f>
        <v>39</v>
      </c>
    </row>
    <row r="421" spans="1:2" x14ac:dyDescent="0.25">
      <c r="A421" s="40" t="s">
        <v>259</v>
      </c>
      <c r="B421" s="130">
        <f>IFERROR(GETPIVOTDATA("Date",'Activity 1'!$A$1,"Activity 1","Introduction to Radiotherapy"),0)+IFERROR(GETPIVOTDATA("Date",'Activity 2'!$A$1,"Activity 2","Introduction to Radiotherapy"),0)+IFERROR(GETPIVOTDATA("Date",'Activity 3'!$A$1,"Activity 3","Introduction to Radiotherapy"),0)</f>
        <v>0</v>
      </c>
    </row>
    <row r="422" spans="1:2" x14ac:dyDescent="0.25">
      <c r="A422" s="45" t="s">
        <v>0</v>
      </c>
      <c r="B422" s="134">
        <f>IFERROR(GETPIVOTDATA("Date",'Activity 1'!$A$1,"Activity 1","Introduction to Radiotherapy","Person","PwC"),0)+IFERROR(GETPIVOTDATA("Date",'Activity 2'!$A$1,"Activity 2","Introduction to Radiotherapy","Person","PwC"),0)+IFERROR(GETPIVOTDATA("Date",'Activity 3'!$A$1,"Activity 3","Introduction to Radiotherapy","Person","PwC"),0)</f>
        <v>0</v>
      </c>
    </row>
    <row r="423" spans="1:2" x14ac:dyDescent="0.25">
      <c r="A423" s="45" t="s">
        <v>61</v>
      </c>
      <c r="B423" s="134">
        <f>IFERROR(GETPIVOTDATA("Date",'Activity 1'!$A$1,"Activity 1","Introduction to Radiotherapy","Person","Carer"),0)+IFERROR(GETPIVOTDATA("Date",'Activity 2'!$A$1,"Activity 2","Introduction to Radiotherapy","Person","Carer"),0)+IFERROR(GETPIVOTDATA("Date",'Activity 3'!$A$1,"Activity 3","Introduction to Radiotherapy","Person","Carer"),0)</f>
        <v>0</v>
      </c>
    </row>
    <row r="424" spans="1:2" x14ac:dyDescent="0.25">
      <c r="A424" s="45" t="s">
        <v>3</v>
      </c>
      <c r="B424" s="134">
        <f>IFERROR(GETPIVOTDATA("Date",'Activity 1 Gender'!$A$1,"Activity 1","Introduction to Radiotherapy","Gender","Male"),0)+IFERROR(GETPIVOTDATA("Date",'Activity 2 Gender'!$A$1,"Activity 2","Introduction to Radiotherapy","Gender","Male"),0)+IFERROR(GETPIVOTDATA("Date",'Activity 3 Gender'!$A$1,"Activity 3","Introduction to Radiotherapy","Gender","Male"),0)+IFERROR(GETPIVOTDATA("Date",'Activity 1 Gender'!$A$1,"Activity 1","Introduction to Radiotherapy","Gender","Under 18 Male"),0)+IFERROR(GETPIVOTDATA("Date",'Activity 2 Gender'!$A$1,"Activity 2","Introduction to Radiotherapy","Gender","Under 18 Male"),0)+IFERROR(GETPIVOTDATA("Date",'Activity 3 Gender'!$A$1,"Activity 3","Introduction to Radiotherapy","Gender","Under 18 Male"),0)</f>
        <v>0</v>
      </c>
    </row>
    <row r="425" spans="1:2" x14ac:dyDescent="0.25">
      <c r="A425" s="45" t="s">
        <v>4</v>
      </c>
      <c r="B425" s="134">
        <f>IFERROR(GETPIVOTDATA("Date",'Activity 1 Gender'!$A$1,"Activity 1","Introduction to Radiotherapy","Gender","Female"),0)+IFERROR(GETPIVOTDATA("Date",'Activity 2 Gender'!$A$1,"Activity 2","Introduction to Radiotherapy","Gender","Female"),0)+IFERROR(GETPIVOTDATA("Date",'Activity 3 Gender'!$A$1,"Activity 3","Introduction to Radiotherapy","Gender","Female"),0)+IFERROR(GETPIVOTDATA("Date",'Activity 1 Gender'!$A$1,"Activity 1","Introduction to Radiotherapy","Gender","Under 18 Female"),0)+IFERROR(GETPIVOTDATA("Date",'Activity 2 Gender'!$A$1,"Activity 2","Introduction to Radiotherapy","Gender","Under 18 Female"),0)+IFERROR(GETPIVOTDATA("Date",'Activity 3 Gender'!$A$1,"Activity 3","Introduction to Radiotherapy","Gender","Under 18 Female"),0)</f>
        <v>0</v>
      </c>
    </row>
    <row r="426" spans="1:2" x14ac:dyDescent="0.25">
      <c r="A426" s="40" t="s">
        <v>260</v>
      </c>
      <c r="B426" s="130">
        <f>IFERROR(GETPIVOTDATA("Date",'Activity 1'!$A$1,"Activity 1","Living With and Beyond Prostate Cancer"),0)+IFERROR(GETPIVOTDATA("Date",'Activity 2'!$A$1,"Activity 2","Living With and Beyond Prostate Cancer"),0)+IFERROR(GETPIVOTDATA("Date",'Activity 3'!$A$1,"Activity 3","Living With and Beyond Prostate Cancer"),0)</f>
        <v>9</v>
      </c>
    </row>
    <row r="427" spans="1:2" x14ac:dyDescent="0.25">
      <c r="A427" s="45" t="s">
        <v>0</v>
      </c>
      <c r="B427" s="134">
        <f>IFERROR(GETPIVOTDATA("Date",'Activity 1'!$A$1,"Activity 1","Living With and Beyond Prostate Cancer","Person","PwC"),0)+IFERROR(GETPIVOTDATA("Date",'Activity 2'!$A$1,"Activity 2","Living With and Beyond Prostate Cancer","Person","PwC"),0)+IFERROR(GETPIVOTDATA("Date",'Activity 3'!$A$1,"Activity 3","Living With and Beyond Prostate Cancer","Person","PwC"),0)</f>
        <v>8</v>
      </c>
    </row>
    <row r="428" spans="1:2" x14ac:dyDescent="0.25">
      <c r="A428" s="45" t="s">
        <v>61</v>
      </c>
      <c r="B428" s="134">
        <f>IFERROR(GETPIVOTDATA("Date",'Activity 1'!$A$1,"Activity 1","Living With and Beyond Prostate Cancer","Person","Carer"),0)+IFERROR(GETPIVOTDATA("Date",'Activity 2'!$A$1,"Activity 2","Living With and Beyond Prostate Cancer","Person","Carer"),0)+IFERROR(GETPIVOTDATA("Date",'Activity 3'!$A$1,"Activity 3","Living With and Beyond Prostate Cancer","Person","Carer"),0)</f>
        <v>1</v>
      </c>
    </row>
    <row r="429" spans="1:2" x14ac:dyDescent="0.25">
      <c r="A429" s="45" t="s">
        <v>3</v>
      </c>
      <c r="B429" s="134">
        <f>IFERROR(GETPIVOTDATA("Date",'Activity 1 Gender'!$A$1,"Activity 1","Living With and Beyond Prostate Cancer","Gender","Male"),0)+IFERROR(GETPIVOTDATA("Date",'Activity 2 Gender'!$A$1,"Activity 2","Living With and Beyond Prostate Cancer","Gender","Male"),0)+IFERROR(GETPIVOTDATA("Date",'Activity 3 Gender'!$A$1,"Activity 3","Living With and Beyond Prostate Cancer","Gender","Male"),0)+IFERROR(GETPIVOTDATA("Date",'Activity 1 Gender'!$A$1,"Activity 1","Living With and Beyond Prostate Cancer","Gender","Under 18 Male"),0)+IFERROR(GETPIVOTDATA("Date",'Activity 2 Gender'!$A$1,"Activity 2","Living With and Beyond Prostate Cancer","Gender","Under 18 Male"),0)+IFERROR(GETPIVOTDATA("Date",'Activity 3 Gender'!$A$1,"Activity 3","Living With and Beyond Prostate Cancer","Gender","Under 18 Male"),0)</f>
        <v>2</v>
      </c>
    </row>
    <row r="430" spans="1:2" x14ac:dyDescent="0.25">
      <c r="A430" s="45" t="s">
        <v>4</v>
      </c>
      <c r="B430" s="134">
        <f>IFERROR(GETPIVOTDATA("Date",'Activity 1 Gender'!$A$1,"Activity 1","Living With and Beyond Prostate Cancer","Gender","Female"),0)+IFERROR(GETPIVOTDATA("Date",'Activity 2 Gender'!$A$1,"Activity 2","Living With and Beyond Prostate Cancer","Gender","Female"),0)+IFERROR(GETPIVOTDATA("Date",'Activity 3 Gender'!$A$1,"Activity 3","Living With and Beyond Prostate Cancer","Gender","Female"),0)+IFERROR(GETPIVOTDATA("Date",'Activity 1 Gender'!$A$1,"Activity 1","Living With and Beyond Prostate Cancer","Gender","Under 18 Female"),0)+IFERROR(GETPIVOTDATA("Date",'Activity 2 Gender'!$A$1,"Activity 2","Living With and Beyond Prostate Cancer","Gender","Under 18 Female"),0)+IFERROR(GETPIVOTDATA("Date",'Activity 3 Gender'!$A$1,"Activity 3","Living With and Beyond Prostate Cancer","Gender","Under 18 Female"),0)</f>
        <v>7</v>
      </c>
    </row>
    <row r="431" spans="1:2" x14ac:dyDescent="0.25">
      <c r="A431" s="40" t="s">
        <v>103</v>
      </c>
      <c r="B431" s="130">
        <f>IFERROR(GETPIVOTDATA("Date",'Activity 1'!$A$1,"Activity 1","Meditation"),0)+IFERROR(GETPIVOTDATA("Date",'Activity 2'!$A$1,"Activity 2","Meditation"),0)+IFERROR(GETPIVOTDATA("Date",'Activity 3'!$A$1,"Activity 3","Meditation"),0)</f>
        <v>6</v>
      </c>
    </row>
    <row r="432" spans="1:2" x14ac:dyDescent="0.25">
      <c r="A432" s="45" t="s">
        <v>0</v>
      </c>
      <c r="B432" s="134">
        <f>IFERROR(GETPIVOTDATA("Date",'Activity 1'!$A$1,"Activity 1","Meditation","Person","PwC"),0)+IFERROR(GETPIVOTDATA("Date",'Activity 2'!$A$1,"Activity 2","Meditation","Person","PwC"),0)+IFERROR(GETPIVOTDATA("Date",'Activity 3'!$A$1,"Activity 3","Meditation","Person","PwC"),0)</f>
        <v>5</v>
      </c>
    </row>
    <row r="433" spans="1:2" x14ac:dyDescent="0.25">
      <c r="A433" s="45" t="s">
        <v>61</v>
      </c>
      <c r="B433" s="134">
        <f>IFERROR(GETPIVOTDATA("Date",'Activity 1'!$A$1,"Activity 1","Meditation","Person","Carer"),0)+IFERROR(GETPIVOTDATA("Date",'Activity 2'!$A$1,"Activity 2","Meditation","Person","Carer"),0)+IFERROR(GETPIVOTDATA("Date",'Activity 3'!$A$1,"Activity 3","Meditation","Person","Carer"),0)</f>
        <v>1</v>
      </c>
    </row>
    <row r="434" spans="1:2" x14ac:dyDescent="0.25">
      <c r="A434" s="45" t="s">
        <v>3</v>
      </c>
      <c r="B434" s="134">
        <f>IFERROR(GETPIVOTDATA("Date",'Activity 1 Gender'!$A$1,"Activity 1","Meditation","Gender","Male"),0)+IFERROR(GETPIVOTDATA("Date",'Activity 2 Gender'!$A$1,"Activity 2","Meditation","Gender","Male"),0)+IFERROR(GETPIVOTDATA("Date",'Activity 3 Gender'!$A$1,"Activity 3","Meditation","Gender","Male"),0)+IFERROR(GETPIVOTDATA("Date",'Activity 1 Gender'!$A$1,"Activity 1","Meditation","Gender","Under 18 Male"),0)+IFERROR(GETPIVOTDATA("Date",'Activity 2 Gender'!$A$1,"Activity 2","Meditation","Gender","Under 18 Male"),0)+IFERROR(GETPIVOTDATA("Date",'Activity 3 Gender'!$A$1,"Activity 3","Meditation","Gender","Under 18 Male"),0)</f>
        <v>3</v>
      </c>
    </row>
    <row r="435" spans="1:2" x14ac:dyDescent="0.25">
      <c r="A435" s="45" t="s">
        <v>4</v>
      </c>
      <c r="B435" s="134">
        <f>IFERROR(GETPIVOTDATA("Date",'Activity 1 Gender'!$A$1,"Activity 1","Meditation","Gender","Female"),0)+IFERROR(GETPIVOTDATA("Date",'Activity 2 Gender'!$A$1,"Activity 2","Meditation","Gender","Female"),0)+IFERROR(GETPIVOTDATA("Date",'Activity 3 Gender'!$A$1,"Activity 3","Meditation","Gender","Female"),0)+IFERROR(GETPIVOTDATA("Date",'Activity 1 Gender'!$A$1,"Activity 1","Meditation","Gender","Under 18 Female"),0)+IFERROR(GETPIVOTDATA("Date",'Activity 2 Gender'!$A$1,"Activity 2","Meditation","Gender","Under 18 Female"),0)+IFERROR(GETPIVOTDATA("Date",'Activity 3 Gender'!$A$1,"Activity 3","Meditation","Gender","Under 18 Female"),0)</f>
        <v>3</v>
      </c>
    </row>
    <row r="436" spans="1:2" x14ac:dyDescent="0.25">
      <c r="A436" s="40" t="s">
        <v>261</v>
      </c>
      <c r="B436" s="130">
        <f>IFERROR(GETPIVOTDATA("Date",'Activity 1'!$A$1,"Activity 1","Mind over Mood"),0)+IFERROR(GETPIVOTDATA("Date",'Activity 2'!$A$1,"Activity 2","Mind over Mood"),0)+IFERROR(GETPIVOTDATA("Date",'Activity 3'!$A$1,"Activity 3","Mind over Mood"),0)</f>
        <v>0</v>
      </c>
    </row>
    <row r="437" spans="1:2" x14ac:dyDescent="0.25">
      <c r="A437" s="45" t="s">
        <v>0</v>
      </c>
      <c r="B437" s="134">
        <f>IFERROR(GETPIVOTDATA("Date",'Activity 1'!$A$1,"Activity 1","Mind over Mood","Person","PwC"),0)+IFERROR(GETPIVOTDATA("Date",'Activity 2'!$A$1,"Activity 2","Mind over Mood","Person","PwC"),0)+IFERROR(GETPIVOTDATA("Date",'Activity 3'!$A$1,"Activity 3","Mind over Mood","Person","PwC"),0)</f>
        <v>0</v>
      </c>
    </row>
    <row r="438" spans="1:2" x14ac:dyDescent="0.25">
      <c r="A438" s="45" t="s">
        <v>61</v>
      </c>
      <c r="B438" s="134">
        <f>IFERROR(GETPIVOTDATA("Date",'Activity 1'!$A$1,"Activity 1","Mind over Mood","Person","Carer"),0)+IFERROR(GETPIVOTDATA("Date",'Activity 2'!$A$1,"Activity 2","Mind over Mood","Person","Carer"),0)+IFERROR(GETPIVOTDATA("Date",'Activity 3'!$A$1,"Activity 3","Mind over Mood","Person","Carer"),0)</f>
        <v>0</v>
      </c>
    </row>
    <row r="439" spans="1:2" x14ac:dyDescent="0.25">
      <c r="A439" s="45" t="s">
        <v>3</v>
      </c>
      <c r="B439" s="134">
        <f>IFERROR(GETPIVOTDATA("Date",'Activity 1 Gender'!$A$1,"Activity 1","Mind over Mood","Gender","Male"),0)+IFERROR(GETPIVOTDATA("Date",'Activity 2 Gender'!$A$1,"Activity 2","Mind over Mood","Gender","Male"),0)+IFERROR(GETPIVOTDATA("Date",'Activity 3 Gender'!$A$1,"Activity 3","Mind over Mood","Gender","Male"),0)+IFERROR(GETPIVOTDATA("Date",'Activity 1 Gender'!$A$1,"Activity 1","Mind over Mood","Gender","Under 18 Male"),0)+IFERROR(GETPIVOTDATA("Date",'Activity 2 Gender'!$A$1,"Activity 2","Mind over Mood","Gender","Under 18 Male"),0)+IFERROR(GETPIVOTDATA("Date",'Activity 3 Gender'!$A$1,"Activity 3","Mind over Mood","Gender","Under 18 Male"),0)</f>
        <v>0</v>
      </c>
    </row>
    <row r="440" spans="1:2" x14ac:dyDescent="0.25">
      <c r="A440" s="45" t="s">
        <v>4</v>
      </c>
      <c r="B440" s="134">
        <f>IFERROR(GETPIVOTDATA("Date",'Activity 1 Gender'!$A$1,"Activity 1","Mind over Mood","Gender","Female"),0)+IFERROR(GETPIVOTDATA("Date",'Activity 2 Gender'!$A$1,"Activity 2","Mind over Mood","Gender","Female"),0)+IFERROR(GETPIVOTDATA("Date",'Activity 3 Gender'!$A$1,"Activity 3","Mind over Mood","Gender","Female"),0)+IFERROR(GETPIVOTDATA("Date",'Activity 1 Gender'!$A$1,"Activity 1","Mind over Mood","Gender","Under 18 Female"),0)+IFERROR(GETPIVOTDATA("Date",'Activity 2 Gender'!$A$1,"Activity 2","Mind over Mood","Gender","Under 18 Female"),0)+IFERROR(GETPIVOTDATA("Date",'Activity 3 Gender'!$A$1,"Activity 3","Mind over Mood","Gender","Under 18 Female"),0)</f>
        <v>0</v>
      </c>
    </row>
    <row r="441" spans="1:2" x14ac:dyDescent="0.25">
      <c r="A441" s="40" t="s">
        <v>99</v>
      </c>
      <c r="B441" s="130">
        <f>IFERROR(GETPIVOTDATA("Date",'Activity 1'!$A$1,"Activity 1","Mindfulness"),0)+IFERROR(GETPIVOTDATA("Date",'Activity 2'!$A$1,"Activity 2","Mindfulness"),0)+IFERROR(GETPIVOTDATA("Date",'Activity 3'!$A$1,"Activity 3","Mindfulness"),0)</f>
        <v>0</v>
      </c>
    </row>
    <row r="442" spans="1:2" x14ac:dyDescent="0.25">
      <c r="A442" s="45" t="s">
        <v>0</v>
      </c>
      <c r="B442" s="134">
        <f>IFERROR(GETPIVOTDATA("Date",'Activity 1'!$A$1,"Activity 1","Mindfulness","Person","PwC"),0)+IFERROR(GETPIVOTDATA("Date",'Activity 2'!$A$1,"Activity 2","Mindfulness","Person","PwC"),0)+IFERROR(GETPIVOTDATA("Date",'Activity 3'!$A$1,"Activity 3","Mindfulness","Person","PwC"),0)</f>
        <v>0</v>
      </c>
    </row>
    <row r="443" spans="1:2" x14ac:dyDescent="0.25">
      <c r="A443" s="45" t="s">
        <v>61</v>
      </c>
      <c r="B443" s="134">
        <f>IFERROR(GETPIVOTDATA("Date",'Activity 1'!$A$1,"Activity 1","Mindfulness","Person","Carer"),0)+IFERROR(GETPIVOTDATA("Date",'Activity 2'!$A$1,"Activity 2","Mindfulness","Person","Carer"),0)+IFERROR(GETPIVOTDATA("Date",'Activity 3'!$A$1,"Activity 3","Mindfulness","Person","Carer"),0)</f>
        <v>0</v>
      </c>
    </row>
    <row r="444" spans="1:2" x14ac:dyDescent="0.25">
      <c r="A444" s="45" t="s">
        <v>3</v>
      </c>
      <c r="B444" s="134">
        <f>IFERROR(GETPIVOTDATA("Date",'Activity 1 Gender'!$A$1,"Activity 1","Mindfulness","Gender","Male"),0)+IFERROR(GETPIVOTDATA("Date",'Activity 2 Gender'!$A$1,"Activity 2","Mindfulness","Gender","Male"),0)+IFERROR(GETPIVOTDATA("Date",'Activity 3 Gender'!$A$1,"Activity 3","Mindfulness","Gender","Male"),0)+IFERROR(GETPIVOTDATA("Date",'Activity 1 Gender'!$A$1,"Activity 1","Mindfulness","Gender","Under 18 Male"),0)+IFERROR(GETPIVOTDATA("Date",'Activity 2 Gender'!$A$1,"Activity 2","Mindfulness","Gender","Under 18 Male"),0)+IFERROR(GETPIVOTDATA("Date",'Activity 3 Gender'!$A$1,"Activity 3","Mindfulness","Gender","Under 18 Male"),0)</f>
        <v>0</v>
      </c>
    </row>
    <row r="445" spans="1:2" x14ac:dyDescent="0.25">
      <c r="A445" s="45" t="s">
        <v>4</v>
      </c>
      <c r="B445" s="134">
        <f>IFERROR(GETPIVOTDATA("Date",'Activity 1 Gender'!$A$1,"Activity 1","Mindfulness","Gender","Female"),0)+IFERROR(GETPIVOTDATA("Date",'Activity 2 Gender'!$A$1,"Activity 2","Mindfulness","Gender","Female"),0)+IFERROR(GETPIVOTDATA("Date",'Activity 3 Gender'!$A$1,"Activity 3","Mindfulness","Gender","Female"),0)+IFERROR(GETPIVOTDATA("Date",'Activity 1 Gender'!$A$1,"Activity 1","Mindfulness","Gender","Under 18 Female"),0)+IFERROR(GETPIVOTDATA("Date",'Activity 2 Gender'!$A$1,"Activity 2","Mindfulness","Gender","Under 18 Female"),0)+IFERROR(GETPIVOTDATA("Date",'Activity 3 Gender'!$A$1,"Activity 3","Mindfulness","Gender","Under 18 Female"),0)</f>
        <v>0</v>
      </c>
    </row>
    <row r="446" spans="1:2" x14ac:dyDescent="0.25">
      <c r="A446" s="40" t="s">
        <v>262</v>
      </c>
      <c r="B446" s="130">
        <f>IFERROR(GETPIVOTDATA("Date",'Activity 1'!$A$1,"Activity 1","Music Therapy/Choir"),0)+IFERROR(GETPIVOTDATA("Date",'Activity 2'!$A$1,"Activity 2","Music Therapy/Choir"),0)+IFERROR(GETPIVOTDATA("Date",'Activity 3'!$A$1,"Activity 3","Music Therapy/Choir"),0)</f>
        <v>5</v>
      </c>
    </row>
    <row r="447" spans="1:2" x14ac:dyDescent="0.25">
      <c r="A447" s="45" t="s">
        <v>0</v>
      </c>
      <c r="B447" s="134">
        <f>IFERROR(GETPIVOTDATA("Date",'Activity 1'!$A$1,"Activity 1","Music Therapy/Choir","Person","PwC"),0)+IFERROR(GETPIVOTDATA("Date",'Activity 2'!$A$1,"Activity 2","Music Therapy/Choir","Person","PwC"),0)+IFERROR(GETPIVOTDATA("Date",'Activity 3'!$A$1,"Activity 3","Music Therapy/Choir","Person","PwC"),0)</f>
        <v>5</v>
      </c>
    </row>
    <row r="448" spans="1:2" x14ac:dyDescent="0.25">
      <c r="A448" s="45" t="s">
        <v>61</v>
      </c>
      <c r="B448" s="134">
        <f>IFERROR(GETPIVOTDATA("Date",'Activity 1'!$A$1,"Activity 1","Music Therapy/Choir","Person","Carer"),0)+IFERROR(GETPIVOTDATA("Date",'Activity 2'!$A$1,"Activity 2","Music Therapy/Choir","Person","Carer"),0)+IFERROR(GETPIVOTDATA("Date",'Activity 3'!$A$1,"Activity 3","Music Therapy/Choir","Person","Carer"),0)</f>
        <v>0</v>
      </c>
    </row>
    <row r="449" spans="1:2" x14ac:dyDescent="0.25">
      <c r="A449" s="45" t="s">
        <v>3</v>
      </c>
      <c r="B449" s="134">
        <f>IFERROR(GETPIVOTDATA("Date",'Activity 1 Gender'!$A$1,"Activity 1","Music Therapy/Choir","Gender","Male"),0)+IFERROR(GETPIVOTDATA("Date",'Activity 2 Gender'!$A$1,"Activity 2","Music Therapy/Choir","Gender","Male"),0)+IFERROR(GETPIVOTDATA("Date",'Activity 3 Gender'!$A$1,"Activity 3","Music Therapy/Choir","Gender","Male"),0)+IFERROR(GETPIVOTDATA("Date",'Activity 1 Gender'!$A$1,"Activity 1","Music Therapy/Choir","Gender","Under 18 Male"),0)+IFERROR(GETPIVOTDATA("Date",'Activity 2 Gender'!$A$1,"Activity 2","Music Therapy/Choir","Gender","Under 18 Male"),0)+IFERROR(GETPIVOTDATA("Date",'Activity 3 Gender'!$A$1,"Activity 3","Music Therapy/Choir","Gender","Under 18 Male"),0)</f>
        <v>0</v>
      </c>
    </row>
    <row r="450" spans="1:2" x14ac:dyDescent="0.25">
      <c r="A450" s="45" t="s">
        <v>4</v>
      </c>
      <c r="B450" s="134">
        <f>IFERROR(GETPIVOTDATA("Date",'Activity 1 Gender'!$A$1,"Activity 1","Music Therapy/Choir","Gender","Female"),0)+IFERROR(GETPIVOTDATA("Date",'Activity 2 Gender'!$A$1,"Activity 2","Music Therapy/Choir","Gender","Female"),0)+IFERROR(GETPIVOTDATA("Date",'Activity 3 Gender'!$A$1,"Activity 3","Music Therapy/Choir","Gender","Female"),0)+IFERROR(GETPIVOTDATA("Date",'Activity 1 Gender'!$A$1,"Activity 1","Music Therapy/Choir","Gender","Under 18 Female"),0)+IFERROR(GETPIVOTDATA("Date",'Activity 2 Gender'!$A$1,"Activity 2","Music Therapy/Choir","Gender","Under 18 Female"),0)+IFERROR(GETPIVOTDATA("Date",'Activity 3 Gender'!$A$1,"Activity 3","Music Therapy/Choir","Gender","Under 18 Female"),0)</f>
        <v>5</v>
      </c>
    </row>
    <row r="451" spans="1:2" x14ac:dyDescent="0.25">
      <c r="A451" s="40" t="s">
        <v>263</v>
      </c>
      <c r="B451" s="130">
        <f>IFERROR(GETPIVOTDATA("Date",'Activity 1'!$A$1,"Activity 1","Nordic Walking"),0)+IFERROR(GETPIVOTDATA("Date",'Activity 2'!$A$1,"Activity 2","Nordic Walking"),0)+IFERROR(GETPIVOTDATA("Date",'Activity 3'!$A$1,"Activity 3","Nordic Walking"),0)</f>
        <v>24</v>
      </c>
    </row>
    <row r="452" spans="1:2" x14ac:dyDescent="0.25">
      <c r="A452" s="45" t="s">
        <v>0</v>
      </c>
      <c r="B452" s="134">
        <f>IFERROR(GETPIVOTDATA("Date",'Activity 1'!$A$1,"Activity 1","Nordic Walking","Person","PwC"),0)+IFERROR(GETPIVOTDATA("Date",'Activity 2'!$A$1,"Activity 2","Nordic Walking","Person","PwC"),0)+IFERROR(GETPIVOTDATA("Date",'Activity 3'!$A$1,"Activity 3","Nordic Walking","Person","PwC"),0)</f>
        <v>23</v>
      </c>
    </row>
    <row r="453" spans="1:2" x14ac:dyDescent="0.25">
      <c r="A453" s="45" t="s">
        <v>61</v>
      </c>
      <c r="B453" s="134">
        <f>IFERROR(GETPIVOTDATA("Date",'Activity 1'!$A$1,"Activity 1","Nordic Walking","Person","Carer"),0)+IFERROR(GETPIVOTDATA("Date",'Activity 2'!$A$1,"Activity 2","Nordic Walking","Person","Carer"),0)+IFERROR(GETPIVOTDATA("Date",'Activity 3'!$A$1,"Activity 3","Nordic Walking","Person","Carer"),0)</f>
        <v>1</v>
      </c>
    </row>
    <row r="454" spans="1:2" x14ac:dyDescent="0.25">
      <c r="A454" s="45" t="s">
        <v>3</v>
      </c>
      <c r="B454" s="134">
        <f>IFERROR(GETPIVOTDATA("Date",'Activity 1 Gender'!$A$1,"Activity 1","Nordic Walking","Gender","Male"),0)+IFERROR(GETPIVOTDATA("Date",'Activity 2 Gender'!$A$1,"Activity 2","Nordic Walking","Gender","Male"),0)+IFERROR(GETPIVOTDATA("Date",'Activity 3 Gender'!$A$1,"Activity 3","Nordic Walking","Gender","Male"),0)+IFERROR(GETPIVOTDATA("Date",'Activity 1 Gender'!$A$1,"Activity 1","Nordic Walking","Gender","Under 18 Male"),0)+IFERROR(GETPIVOTDATA("Date",'Activity 2 Gender'!$A$1,"Activity 2","Nordic Walking","Gender","Under 18 Male"),0)+IFERROR(GETPIVOTDATA("Date",'Activity 3 Gender'!$A$1,"Activity 3","Nordic Walking","Gender","Under 18 Male"),0)</f>
        <v>5</v>
      </c>
    </row>
    <row r="455" spans="1:2" x14ac:dyDescent="0.25">
      <c r="A455" s="45" t="s">
        <v>4</v>
      </c>
      <c r="B455" s="134">
        <f>IFERROR(GETPIVOTDATA("Date",'Activity 1 Gender'!$A$1,"Activity 1","Nordic Walking","Gender","Female"),0)+IFERROR(GETPIVOTDATA("Date",'Activity 2 Gender'!$A$1,"Activity 2","Nordic Walking","Gender","Female"),0)+IFERROR(GETPIVOTDATA("Date",'Activity 3 Gender'!$A$1,"Activity 3","Nordic Walking","Gender","Female"),0)+IFERROR(GETPIVOTDATA("Date",'Activity 1 Gender'!$A$1,"Activity 1","Nordic Walking","Gender","Under 18 Female"),0)+IFERROR(GETPIVOTDATA("Date",'Activity 2 Gender'!$A$1,"Activity 2","Nordic Walking","Gender","Under 18 Female"),0)+IFERROR(GETPIVOTDATA("Date",'Activity 3 Gender'!$A$1,"Activity 3","Nordic Walking","Gender","Under 18 Female"),0)</f>
        <v>19</v>
      </c>
    </row>
    <row r="456" spans="1:2" x14ac:dyDescent="0.25">
      <c r="A456" s="40" t="s">
        <v>264</v>
      </c>
      <c r="B456" s="130">
        <f>IFERROR(GETPIVOTDATA("Date",'Activity 1'!$A$1,"Activity 1","Pilates"),0)+IFERROR(GETPIVOTDATA("Date",'Activity 2'!$A$1,"Activity 2","Pilates"),0)+IFERROR(GETPIVOTDATA("Date",'Activity 3'!$A$1,"Activity 3","Pilates"),0)</f>
        <v>0</v>
      </c>
    </row>
    <row r="457" spans="1:2" x14ac:dyDescent="0.25">
      <c r="A457" s="45" t="s">
        <v>0</v>
      </c>
      <c r="B457" s="134">
        <f>IFERROR(GETPIVOTDATA("Date",'Activity 1'!$A$1,"Activity 1","Pilates","Person","PwC"),0)+IFERROR(GETPIVOTDATA("Date",'Activity 2'!$A$1,"Activity 2","Pilates","Person","PwC"),0)+IFERROR(GETPIVOTDATA("Date",'Activity 3'!$A$1,"Activity 3","Pilates","Person","PwC"),0)</f>
        <v>0</v>
      </c>
    </row>
    <row r="458" spans="1:2" x14ac:dyDescent="0.25">
      <c r="A458" s="45" t="s">
        <v>61</v>
      </c>
      <c r="B458" s="134">
        <f>IFERROR(GETPIVOTDATA("Date",'Activity 1'!$A$1,"Activity 1","Pilates","Person","Carer"),0)+IFERROR(GETPIVOTDATA("Date",'Activity 2'!$A$1,"Activity 2","Pilates","Person","Carer"),0)+IFERROR(GETPIVOTDATA("Date",'Activity 3'!$A$1,"Activity 3","Pilates","Person","Carer"),0)</f>
        <v>0</v>
      </c>
    </row>
    <row r="459" spans="1:2" x14ac:dyDescent="0.25">
      <c r="A459" s="45" t="s">
        <v>3</v>
      </c>
      <c r="B459" s="134">
        <f>IFERROR(GETPIVOTDATA("Date",'Activity 1 Gender'!$A$1,"Activity 1","Pilates","Gender","Male"),0)+IFERROR(GETPIVOTDATA("Date",'Activity 2 Gender'!$A$1,"Activity 2","Pilates","Gender","Male"),0)+IFERROR(GETPIVOTDATA("Date",'Activity 3 Gender'!$A$1,"Activity 3","Pilates","Gender","Male"),0)+IFERROR(GETPIVOTDATA("Date",'Activity 1 Gender'!$A$1,"Activity 1","Pilates","Gender","Under 18 Male"),0)+IFERROR(GETPIVOTDATA("Date",'Activity 2 Gender'!$A$1,"Activity 2","Pilates","Gender","Under 18 Male"),0)+IFERROR(GETPIVOTDATA("Date",'Activity 3 Gender'!$A$1,"Activity 3","Pilates","Gender","Under 18 Male"),0)</f>
        <v>0</v>
      </c>
    </row>
    <row r="460" spans="1:2" x14ac:dyDescent="0.25">
      <c r="A460" s="45" t="s">
        <v>4</v>
      </c>
      <c r="B460" s="134">
        <f>IFERROR(GETPIVOTDATA("Date",'Activity 1 Gender'!$A$1,"Activity 1","Pilates","Gender","Female"),0)+IFERROR(GETPIVOTDATA("Date",'Activity 2 Gender'!$A$1,"Activity 2","Pilates","Gender","Female"),0)+IFERROR(GETPIVOTDATA("Date",'Activity 3 Gender'!$A$1,"Activity 3","Pilates","Gender","Female"),0)+IFERROR(GETPIVOTDATA("Date",'Activity 1 Gender'!$A$1,"Activity 1","Pilates","Gender","Under 18 Female"),0)+IFERROR(GETPIVOTDATA("Date",'Activity 2 Gender'!$A$1,"Activity 2","Pilates","Gender","Under 18 Female"),0)+IFERROR(GETPIVOTDATA("Date",'Activity 3 Gender'!$A$1,"Activity 3","Pilates","Gender","Under 18 Female"),0)</f>
        <v>0</v>
      </c>
    </row>
    <row r="461" spans="1:2" x14ac:dyDescent="0.25">
      <c r="A461" s="40" t="s">
        <v>135</v>
      </c>
      <c r="B461" s="130">
        <f>IFERROR(GETPIVOTDATA("Date",'Activity 1'!$A$1,"Activity 1","Prosthesis"),0)+IFERROR(GETPIVOTDATA("Date",'Activity 2'!$A$1,"Activity 2","Prosthesis"),0)+IFERROR(GETPIVOTDATA("Date",'Activity 3'!$A$1,"Activity 3","Prosthesis"),0)</f>
        <v>0</v>
      </c>
    </row>
    <row r="462" spans="1:2" x14ac:dyDescent="0.25">
      <c r="A462" s="45" t="s">
        <v>0</v>
      </c>
      <c r="B462" s="134">
        <f>IFERROR(GETPIVOTDATA("Date",'Activity 1'!$A$1,"Activity 1","Prosthesis","Person","PwC"),0)+IFERROR(GETPIVOTDATA("Date",'Activity 2'!$A$1,"Activity 2","Prosthesis","Person","PwC"),0)+IFERROR(GETPIVOTDATA("Date",'Activity 3'!$A$1,"Activity 3","Prosthesis","Person","PwC"),0)</f>
        <v>0</v>
      </c>
    </row>
    <row r="463" spans="1:2" x14ac:dyDescent="0.25">
      <c r="A463" s="45" t="s">
        <v>61</v>
      </c>
      <c r="B463" s="134">
        <f>IFERROR(GETPIVOTDATA("Date",'Activity 1'!$A$1,"Activity 1","Prosthesis","Person","Carer"),0)+IFERROR(GETPIVOTDATA("Date",'Activity 2'!$A$1,"Activity 2","Prosthesis","Person","Carer"),0)+IFERROR(GETPIVOTDATA("Date",'Activity 3'!$A$1,"Activity 3","Prosthesis","Person","Carer"),0)</f>
        <v>0</v>
      </c>
    </row>
    <row r="464" spans="1:2" x14ac:dyDescent="0.25">
      <c r="A464" s="45" t="s">
        <v>3</v>
      </c>
      <c r="B464" s="134">
        <f>IFERROR(GETPIVOTDATA("Date",'Activity 1 Gender'!$A$1,"Activity 1","Prosthesis","Gender","Male"),0)+IFERROR(GETPIVOTDATA("Date",'Activity 2 Gender'!$A$1,"Activity 2","Prosthesis","Gender","Male"),0)+IFERROR(GETPIVOTDATA("Date",'Activity 3 Gender'!$A$1,"Activity 3","Prosthesis","Gender","Male"),0)+IFERROR(GETPIVOTDATA("Date",'Activity 1 Gender'!$A$1,"Activity 1","Prosthesis","Gender","Under 18 Male"),0)+IFERROR(GETPIVOTDATA("Date",'Activity 2 Gender'!$A$1,"Activity 2","Prosthesis","Gender","Under 18 Male"),0)+IFERROR(GETPIVOTDATA("Date",'Activity 3 Gender'!$A$1,"Activity 3","Prosthesis","Gender","Under 18 Male"),0)</f>
        <v>0</v>
      </c>
    </row>
    <row r="465" spans="1:3" x14ac:dyDescent="0.25">
      <c r="A465" s="45" t="s">
        <v>4</v>
      </c>
      <c r="B465" s="134">
        <f>IFERROR(GETPIVOTDATA("Date",'Activity 1 Gender'!$A$1,"Activity 1","Prosthesis","Gender","Female"),0)+IFERROR(GETPIVOTDATA("Date",'Activity 2 Gender'!$A$1,"Activity 2","Prosthesis","Gender","Female"),0)+IFERROR(GETPIVOTDATA("Date",'Activity 3 Gender'!$A$1,"Activity 3","Prosthesis","Gender","Female"),0)+IFERROR(GETPIVOTDATA("Date",'Activity 1 Gender'!$A$1,"Activity 1","Prosthesis","Gender","Under 18 Female"),0)+IFERROR(GETPIVOTDATA("Date",'Activity 2 Gender'!$A$1,"Activity 2","Prosthesis","Gender","Under 18 Female"),0)+IFERROR(GETPIVOTDATA("Date",'Activity 3 Gender'!$A$1,"Activity 3","Prosthesis","Gender","Under 18 Female"),0)</f>
        <v>0</v>
      </c>
    </row>
    <row r="466" spans="1:3" x14ac:dyDescent="0.25">
      <c r="A466" s="40" t="s">
        <v>104</v>
      </c>
      <c r="B466" s="130">
        <f>IFERROR(GETPIVOTDATA("Date",'Activity 1'!$A$1,"Activity 1","Scrapbooking"),0)+IFERROR(GETPIVOTDATA("Date",'Activity 2'!$A$1,"Activity 2","Scrapbooking"),0)+IFERROR(GETPIVOTDATA("Date",'Activity 3'!$A$1,"Activity 3","Scrapbooking"),0)</f>
        <v>0</v>
      </c>
    </row>
    <row r="467" spans="1:3" x14ac:dyDescent="0.25">
      <c r="A467" s="45" t="s">
        <v>0</v>
      </c>
      <c r="B467" s="134">
        <f>IFERROR(GETPIVOTDATA("Date",'Activity 1'!$A$1,"Activity 1","Scrapbooking","Person","PwC"),0)+IFERROR(GETPIVOTDATA("Date",'Activity 2'!$A$1,"Activity 2","Scrapbooking","Person","PwC"),0)+IFERROR(GETPIVOTDATA("Date",'Activity 3'!$A$1,"Activity 3","Scrapbooking","Person","PwC"),0)</f>
        <v>0</v>
      </c>
    </row>
    <row r="468" spans="1:3" x14ac:dyDescent="0.25">
      <c r="A468" s="45" t="s">
        <v>61</v>
      </c>
      <c r="B468" s="134">
        <f>IFERROR(GETPIVOTDATA("Date",'Activity 1'!$A$1,"Activity 1","Scrapbooking","Person","Carer"),0)+IFERROR(GETPIVOTDATA("Date",'Activity 2'!$A$1,"Activity 2","Scrapbooking","Person","Carer"),0)+IFERROR(GETPIVOTDATA("Date",'Activity 3'!$A$1,"Activity 3","Scrapbooking","Person","Carer"),0)</f>
        <v>0</v>
      </c>
    </row>
    <row r="469" spans="1:3" x14ac:dyDescent="0.25">
      <c r="A469" s="45" t="s">
        <v>3</v>
      </c>
      <c r="B469" s="134">
        <f>IFERROR(GETPIVOTDATA("Date",'Activity 1 Gender'!$A$1,"Activity 1","Scrapbooking","Gender","Male"),0)+IFERROR(GETPIVOTDATA("Date",'Activity 2 Gender'!$A$1,"Activity 2","Scrapbooking","Gender","Male"),0)+IFERROR(GETPIVOTDATA("Date",'Activity 3 Gender'!$A$1,"Activity 3","Scrapbooking","Gender","Male"),0)+IFERROR(GETPIVOTDATA("Date",'Activity 1 Gender'!$A$1,"Activity 1","Scrapbooking","Gender","Under 18 Male"),0)+IFERROR(GETPIVOTDATA("Date",'Activity 2 Gender'!$A$1,"Activity 2","Scrapbooking","Gender","Under 18 Male"),0)+IFERROR(GETPIVOTDATA("Date",'Activity 3 Gender'!$A$1,"Activity 3","Scrapbooking","Gender","Under 18 Male"),0)</f>
        <v>0</v>
      </c>
    </row>
    <row r="470" spans="1:3" x14ac:dyDescent="0.25">
      <c r="A470" s="45" t="s">
        <v>4</v>
      </c>
      <c r="B470" s="134">
        <f>IFERROR(GETPIVOTDATA("Date",'Activity 1 Gender'!$A$1,"Activity 1","Scrapbooking","Gender","Female"),0)+IFERROR(GETPIVOTDATA("Date",'Activity 2 Gender'!$A$1,"Activity 2","Scrapbooking","Gender","Female"),0)+IFERROR(GETPIVOTDATA("Date",'Activity 3 Gender'!$A$1,"Activity 3","Scrapbooking","Gender","Female"),0)+IFERROR(GETPIVOTDATA("Date",'Activity 1 Gender'!$A$1,"Activity 1","Scrapbooking","Gender","Under 18 Female"),0)+IFERROR(GETPIVOTDATA("Date",'Activity 2 Gender'!$A$1,"Activity 2","Scrapbooking","Gender","Under 18 Female"),0)+IFERROR(GETPIVOTDATA("Date",'Activity 3 Gender'!$A$1,"Activity 3","Scrapbooking","Gender","Under 18 Female"),0)</f>
        <v>0</v>
      </c>
    </row>
    <row r="471" spans="1:3" x14ac:dyDescent="0.25">
      <c r="A471" s="40" t="s">
        <v>144</v>
      </c>
      <c r="B471" s="130">
        <f>IFERROR(GETPIVOTDATA("Date",'Activity 1'!$A$1,"Activity 1","Sleep"),0)+IFERROR(GETPIVOTDATA("Date",'Activity 2'!$A$1,"Activity 2","Sleep"),0)+IFERROR(GETPIVOTDATA("Date",'Activity 3'!$A$1,"Activity 3","Sleep"),0)</f>
        <v>14</v>
      </c>
    </row>
    <row r="472" spans="1:3" x14ac:dyDescent="0.25">
      <c r="A472" s="45" t="s">
        <v>0</v>
      </c>
      <c r="B472" s="134">
        <f>IFERROR(GETPIVOTDATA("Date",'Activity 1'!$A$1,"Activity 1","Sleep","Person","PwC"),0)+IFERROR(GETPIVOTDATA("Date",'Activity 2'!$A$1,"Activity 2","Sleep","Person","PwC"),0)+IFERROR(GETPIVOTDATA("Date",'Activity 3'!$A$1,"Activity 3","Sleep","Person","PwC"),0)</f>
        <v>14</v>
      </c>
    </row>
    <row r="473" spans="1:3" x14ac:dyDescent="0.25">
      <c r="A473" s="45" t="s">
        <v>61</v>
      </c>
      <c r="B473" s="134">
        <f>IFERROR(GETPIVOTDATA("Date",'Activity 1'!$A$1,"Activity 1","Sleep","Person","Carer"),0)+IFERROR(GETPIVOTDATA("Date",'Activity 2'!$A$1,"Activity 2","Sleep","Person","Carer"),0)+IFERROR(GETPIVOTDATA("Date",'Activity 3'!$A$1,"Activity 3","Sleep","Person","Carer"),0)</f>
        <v>0</v>
      </c>
    </row>
    <row r="474" spans="1:3" x14ac:dyDescent="0.25">
      <c r="A474" s="45" t="s">
        <v>3</v>
      </c>
      <c r="B474" s="134">
        <f>IFERROR(GETPIVOTDATA("Date",'Activity 1 Gender'!$A$1,"Activity 1","Sleep","Gender","Male"),0)+IFERROR(GETPIVOTDATA("Date",'Activity 2 Gender'!$A$1,"Activity 2","Sleep","Gender","Male"),0)+IFERROR(GETPIVOTDATA("Date",'Activity 3 Gender'!$A$1,"Activity 3","Sleep","Gender","Male"),0)+IFERROR(GETPIVOTDATA("Date",'Activity 1 Gender'!$A$1,"Activity 1","Sleep","Gender","Under 18 Male"),0)+IFERROR(GETPIVOTDATA("Date",'Activity 2 Gender'!$A$1,"Activity 2","Sleep","Gender","Under 18 Male"),0)+IFERROR(GETPIVOTDATA("Date",'Activity 3 Gender'!$A$1,"Activity 3","Sleep","Gender","Under 18 Male"),0)</f>
        <v>0</v>
      </c>
    </row>
    <row r="475" spans="1:3" x14ac:dyDescent="0.25">
      <c r="A475" s="45" t="s">
        <v>4</v>
      </c>
      <c r="B475" s="134">
        <f>IFERROR(GETPIVOTDATA("Date",'Activity 1 Gender'!$A$1,"Activity 1","Sleep","Gender","Female"),0)+IFERROR(GETPIVOTDATA("Date",'Activity 2 Gender'!$A$1,"Activity 2","Sleep","Gender","Female"),0)+IFERROR(GETPIVOTDATA("Date",'Activity 3 Gender'!$A$1,"Activity 3","Sleep","Gender","Female"),0)+IFERROR(GETPIVOTDATA("Date",'Activity 1 Gender'!$A$1,"Activity 1","Sleep","Gender","Under 18 Female"),0)+IFERROR(GETPIVOTDATA("Date",'Activity 2 Gender'!$A$1,"Activity 2","Sleep","Gender","Under 18 Female"),0)+IFERROR(GETPIVOTDATA("Date",'Activity 3 Gender'!$A$1,"Activity 3","Sleep","Gender","Under 18 Female"),0)</f>
        <v>14</v>
      </c>
    </row>
    <row r="476" spans="1:3" x14ac:dyDescent="0.25">
      <c r="A476" s="120" t="s">
        <v>111</v>
      </c>
      <c r="B476" s="140"/>
      <c r="C476"/>
    </row>
    <row r="477" spans="1:3" x14ac:dyDescent="0.25">
      <c r="A477" s="60" t="s">
        <v>284</v>
      </c>
      <c r="B477" s="142">
        <f>SUM(B478:B483)</f>
        <v>0</v>
      </c>
    </row>
    <row r="478" spans="1:3" customFormat="1" ht="12.75" x14ac:dyDescent="0.2">
      <c r="A478" s="48" t="s">
        <v>115</v>
      </c>
      <c r="B478" s="139">
        <f>IFERROR(GETPIVOTDATA("Seen by",'Seen by'!$A$1,"Seen by","Benefits Advisor","Nature of Visit","Fundraising"),0)</f>
        <v>0</v>
      </c>
    </row>
    <row r="479" spans="1:3" customFormat="1" ht="12.75" x14ac:dyDescent="0.2">
      <c r="A479" s="48" t="s">
        <v>112</v>
      </c>
      <c r="B479" s="139">
        <f>IFERROR(GETPIVOTDATA("Seen by",'Seen by'!$A$1,"Seen by","Centre Head","Nature of Visit","Fundraising"),0)</f>
        <v>0</v>
      </c>
    </row>
    <row r="480" spans="1:3" customFormat="1" ht="12.75" x14ac:dyDescent="0.2">
      <c r="A480" s="48" t="s">
        <v>113</v>
      </c>
      <c r="B480" s="139">
        <f>IFERROR(GETPIVOTDATA("Seen by",'Seen by'!$A$1,"Seen by","CSS","Nature of Visit","Fundraising"),0)</f>
        <v>0</v>
      </c>
    </row>
    <row r="481" spans="1:2" customFormat="1" ht="12.75" x14ac:dyDescent="0.2">
      <c r="A481" s="48" t="s">
        <v>205</v>
      </c>
      <c r="B481" s="139">
        <f>IFERROR(GETPIVOTDATA("Seen by",'Seen by'!$A$1,"Seen by","Fundraiser","Nature of Visit","Fundraising"),0)</f>
        <v>0</v>
      </c>
    </row>
    <row r="482" spans="1:2" customFormat="1" ht="12.75" x14ac:dyDescent="0.2">
      <c r="A482" s="48" t="s">
        <v>114</v>
      </c>
      <c r="B482" s="139">
        <f>IFERROR(GETPIVOTDATA("Seen by",'Seen by'!$A$1,"Seen by","Psychologist","Nature of Visit","Fundraising"),0)</f>
        <v>0</v>
      </c>
    </row>
    <row r="483" spans="1:2" customFormat="1" ht="12.75" x14ac:dyDescent="0.2">
      <c r="A483" s="48" t="s">
        <v>116</v>
      </c>
      <c r="B483" s="139">
        <f>IFERROR(GETPIVOTDATA("Seen by",'Seen by'!$A$1,"Seen by","Sessional Staff","Nature of Visit","Fundraising"),0)</f>
        <v>0</v>
      </c>
    </row>
    <row r="484" spans="1:2" x14ac:dyDescent="0.25">
      <c r="A484" s="60" t="s">
        <v>291</v>
      </c>
      <c r="B484" s="142">
        <f>SUM(B485:B490)</f>
        <v>537</v>
      </c>
    </row>
    <row r="485" spans="1:2" customFormat="1" ht="12.75" x14ac:dyDescent="0.2">
      <c r="A485" s="48" t="s">
        <v>115</v>
      </c>
      <c r="B485" s="139">
        <f>IFERROR(GETPIVOTDATA("Seen by",'Seen by'!$A$1,"Seen by","Benefits Advisor","Nature of Visit","Drop-in"),0)</f>
        <v>9</v>
      </c>
    </row>
    <row r="486" spans="1:2" customFormat="1" ht="12.75" x14ac:dyDescent="0.2">
      <c r="A486" s="48" t="s">
        <v>112</v>
      </c>
      <c r="B486" s="139">
        <f>IFERROR(GETPIVOTDATA("Seen by",'Seen by'!$A$1,"Seen by","Centre Head","Nature of Visit","Drop-in"),0)</f>
        <v>227</v>
      </c>
    </row>
    <row r="487" spans="1:2" customFormat="1" ht="12.75" x14ac:dyDescent="0.2">
      <c r="A487" s="48" t="s">
        <v>113</v>
      </c>
      <c r="B487" s="139">
        <f>IFERROR(GETPIVOTDATA("Seen by",'Seen by'!$A$1,"Seen by","CSS","Nature of Visit","Drop-in"),0)</f>
        <v>294</v>
      </c>
    </row>
    <row r="488" spans="1:2" customFormat="1" ht="12.75" x14ac:dyDescent="0.2">
      <c r="A488" s="48" t="s">
        <v>205</v>
      </c>
      <c r="B488" s="139">
        <f>IFERROR(GETPIVOTDATA("Seen by",'Seen by'!$A$1,"Seen by","Fundraiser","Nature of Visit","Drop-in"),0)</f>
        <v>0</v>
      </c>
    </row>
    <row r="489" spans="1:2" customFormat="1" ht="12.75" x14ac:dyDescent="0.2">
      <c r="A489" s="48" t="s">
        <v>114</v>
      </c>
      <c r="B489" s="139">
        <f>IFERROR(GETPIVOTDATA("Seen by",'Seen by'!$A$1,"Seen by","Psychologist","Nature of Visit","Drop-in"),0)</f>
        <v>7</v>
      </c>
    </row>
    <row r="490" spans="1:2" customFormat="1" ht="12.75" x14ac:dyDescent="0.2">
      <c r="A490" s="48" t="s">
        <v>116</v>
      </c>
      <c r="B490" s="139">
        <f>IFERROR(GETPIVOTDATA("Seen by",'Seen by'!$A$1,"Seen by","Sessional Staff","Nature of Visit","Drop-in"),0)</f>
        <v>0</v>
      </c>
    </row>
    <row r="491" spans="1:2" x14ac:dyDescent="0.25">
      <c r="A491" s="52" t="s">
        <v>57</v>
      </c>
      <c r="B491" s="143">
        <f>SUM(B492:B497)</f>
        <v>184</v>
      </c>
    </row>
    <row r="492" spans="1:2" x14ac:dyDescent="0.25">
      <c r="A492" s="48" t="s">
        <v>115</v>
      </c>
      <c r="B492" s="139">
        <f>SUM(B499,B506,B513,B520,B527,B534,B541)</f>
        <v>0</v>
      </c>
    </row>
    <row r="493" spans="1:2" x14ac:dyDescent="0.25">
      <c r="A493" s="48" t="s">
        <v>112</v>
      </c>
      <c r="B493" s="139">
        <f t="shared" ref="B493:B497" si="7">SUM(B500,B507,B514,B521,B528,B535,B542)</f>
        <v>69</v>
      </c>
    </row>
    <row r="494" spans="1:2" x14ac:dyDescent="0.25">
      <c r="A494" s="48" t="s">
        <v>113</v>
      </c>
      <c r="B494" s="139">
        <f t="shared" si="7"/>
        <v>31</v>
      </c>
    </row>
    <row r="495" spans="1:2" x14ac:dyDescent="0.25">
      <c r="A495" s="48" t="s">
        <v>205</v>
      </c>
      <c r="B495" s="139">
        <f t="shared" si="7"/>
        <v>0</v>
      </c>
    </row>
    <row r="496" spans="1:2" x14ac:dyDescent="0.25">
      <c r="A496" s="48" t="s">
        <v>114</v>
      </c>
      <c r="B496" s="139">
        <f t="shared" si="7"/>
        <v>59</v>
      </c>
    </row>
    <row r="497" spans="1:2" x14ac:dyDescent="0.25">
      <c r="A497" s="48" t="s">
        <v>116</v>
      </c>
      <c r="B497" s="139">
        <f t="shared" si="7"/>
        <v>25</v>
      </c>
    </row>
    <row r="498" spans="1:2" x14ac:dyDescent="0.25">
      <c r="A498" s="53" t="s">
        <v>239</v>
      </c>
      <c r="B498" s="144">
        <f>SUM(B499:B504)</f>
        <v>31</v>
      </c>
    </row>
    <row r="499" spans="1:2" x14ac:dyDescent="0.25">
      <c r="A499" s="48" t="s">
        <v>115</v>
      </c>
      <c r="B499" s="139">
        <f>IFERROR(GETPIVOTDATA("Date",'Activity 1 Seen by'!$A$1,"Activity 1","FSG Bereavement","Seen by","Benefits Advisor"),0)+IFERROR(GETPIVOTDATA("Date",'Activity 2 Seen by'!$A$1,"Activity 2","FSG Bereavement","Seen by","Benefits Advisor"),0)+IFERROR(GETPIVOTDATA("Date",'Activity 3 Seen by'!$A$1,"Activity 3","FSG Bereavement","Seen by","Benefits Advisor"),0)</f>
        <v>0</v>
      </c>
    </row>
    <row r="500" spans="1:2" x14ac:dyDescent="0.25">
      <c r="A500" s="48" t="s">
        <v>112</v>
      </c>
      <c r="B500" s="139">
        <f>IFERROR(GETPIVOTDATA("Date",'Activity 1 Seen by'!$A$1,"Activity 1","FSG Bereavement","Seen by","Centre Head"),0)+IFERROR(GETPIVOTDATA("Date",'Activity 2 Seen by'!$A$1,"Activity 2","FSG Bereavement","Seen by","Centre Head"),0)+IFERROR(GETPIVOTDATA("Date",'Activity 3 Seen by'!$A$1,"Activity 3","FSG Bereavement","Seen by","Centre Head"),0)</f>
        <v>0</v>
      </c>
    </row>
    <row r="501" spans="1:2" x14ac:dyDescent="0.25">
      <c r="A501" s="48" t="s">
        <v>113</v>
      </c>
      <c r="B501" s="139">
        <f>IFERROR(GETPIVOTDATA("Date",'Activity 1 Seen by'!$A$1,"Activity 1","FSG Bereavement","Seen by","CSS"),0)+IFERROR(GETPIVOTDATA("Date",'Activity 2 Seen by'!$A$1,"Activity 2","FSG Bereavement","Seen by","CSS"),0)+IFERROR(GETPIVOTDATA("Date",'Activity 3 Seen by'!$A$1,"Activity 3","FSG Bereavement","Seen by","CSS"),0)</f>
        <v>6</v>
      </c>
    </row>
    <row r="502" spans="1:2" x14ac:dyDescent="0.25">
      <c r="A502" s="48" t="s">
        <v>205</v>
      </c>
      <c r="B502" s="139">
        <f>IFERROR(GETPIVOTDATA("Date",'Activity 1 Seen by'!$A$1,"Activity 1","FSG Bereavement","Seen by","Fundraiser"),0)+IFERROR(GETPIVOTDATA("Date",'Activity 2 Seen by'!$A$1,"Activity 2","FSG Bereavement","Seen by","Fundraiser"),0)+IFERROR(GETPIVOTDATA("Date",'Activity 3 Seen by'!$A$1,"Activity 3","FSG Bereavement","Seen by","Fundraiser"),0)</f>
        <v>0</v>
      </c>
    </row>
    <row r="503" spans="1:2" x14ac:dyDescent="0.25">
      <c r="A503" s="48" t="s">
        <v>114</v>
      </c>
      <c r="B503" s="139">
        <f>IFERROR(GETPIVOTDATA("Date",'Activity 1 Seen by'!$A$1,"Activity 1","FSG Bereavement","Seen by","Psychologist"),0)+IFERROR(GETPIVOTDATA("Date",'Activity 2 Seen by'!$A$1,"Activity 2","FSG Bereavement","Seen by","Psychologist"),0)+IFERROR(GETPIVOTDATA("Date",'Activity 3 Seen by'!$A$1,"Activity 3","FSG Bereavement","Seen by","Psychologist"),0)</f>
        <v>25</v>
      </c>
    </row>
    <row r="504" spans="1:2" x14ac:dyDescent="0.25">
      <c r="A504" s="48" t="s">
        <v>116</v>
      </c>
      <c r="B504" s="139">
        <f>IFERROR(GETPIVOTDATA("Date",'Activity 1 Seen by'!$A$1,"Activity 1","FSG Bereavement","Seen by","Sessional Staff"),0)+IFERROR(GETPIVOTDATA("Date",'Activity 2 Seen by'!$A$1,"Activity 2","FSG Bereavement","Seen by","Sessional Staff"),0)+IFERROR(GETPIVOTDATA("Date",'Activity 3 Seen by'!$A$1,"Activity 3","FSG Bereavement","Seen by","Sessional Staff"),0)</f>
        <v>0</v>
      </c>
    </row>
    <row r="505" spans="1:2" x14ac:dyDescent="0.25">
      <c r="A505" s="53" t="s">
        <v>120</v>
      </c>
      <c r="B505" s="144">
        <f>SUM(B506:B511)</f>
        <v>34</v>
      </c>
    </row>
    <row r="506" spans="1:2" x14ac:dyDescent="0.25">
      <c r="A506" s="48" t="s">
        <v>115</v>
      </c>
      <c r="B506" s="139">
        <f>IFERROR(GETPIVOTDATA("Date",'Activity 1 Seen by'!$A$1,"Activity 1","FSG Family and Friends","Seen by","Benefits Advisor"),0)+IFERROR(GETPIVOTDATA("Date",'Activity 2 Seen by'!$A$1,"Activity 2","FSG Family and Friends","Seen by","Benefits Advisor"),0)+IFERROR(GETPIVOTDATA("Date",'Activity 3 Seen by'!$A$1,"Activity 3","FSG Family and Friends","Seen by","Benefits Advisor"),0)</f>
        <v>0</v>
      </c>
    </row>
    <row r="507" spans="1:2" x14ac:dyDescent="0.25">
      <c r="A507" s="48" t="s">
        <v>112</v>
      </c>
      <c r="B507" s="139">
        <f>IFERROR(GETPIVOTDATA("Date",'Activity 1 Seen by'!$A$1,"Activity 1","FSG Family and Friends","Seen by","Centre Head"),0)+IFERROR(GETPIVOTDATA("Date",'Activity 2 Seen by'!$A$1,"Activity 2","FSG Family and Friends","Seen by","Centre Head"),0)+IFERROR(GETPIVOTDATA("Date",'Activity 3 Seen by'!$A$1,"Activity 3","FSG Family and Friends","Seen by","Centre Head"),0)</f>
        <v>18</v>
      </c>
    </row>
    <row r="508" spans="1:2" x14ac:dyDescent="0.25">
      <c r="A508" s="48" t="s">
        <v>113</v>
      </c>
      <c r="B508" s="139">
        <f>IFERROR(GETPIVOTDATA("Date",'Activity 1 Seen by'!$A$1,"Activity 1","FSG Family and Friends","Seen by","CSS"),0)+IFERROR(GETPIVOTDATA("Date",'Activity 2 Seen by'!$A$1,"Activity 2","FSG Family and Friends","Seen by","CSS"),0)+IFERROR(GETPIVOTDATA("Date",'Activity 3 Seen by'!$A$1,"Activity 3","FSG Family and Friends","Seen by","CSS"),0)</f>
        <v>0</v>
      </c>
    </row>
    <row r="509" spans="1:2" x14ac:dyDescent="0.25">
      <c r="A509" s="48" t="s">
        <v>205</v>
      </c>
      <c r="B509" s="139">
        <f>IFERROR(GETPIVOTDATA("Date",'Activity 1 Seen by'!$A$1,"Activity 1","FSG Family and Friends","Seen by","Fundraiser"),0)+IFERROR(GETPIVOTDATA("Date",'Activity 2 Seen by'!$A$1,"Activity 2","FSG Family and Friends","Seen by","Fundraiser"),0)+IFERROR(GETPIVOTDATA("Date",'Activity 3 Seen by'!$A$1,"Activity 3","FSG Family and Friends","Seen by","Fundraiser"),0)</f>
        <v>0</v>
      </c>
    </row>
    <row r="510" spans="1:2" x14ac:dyDescent="0.25">
      <c r="A510" s="48" t="s">
        <v>114</v>
      </c>
      <c r="B510" s="139">
        <f>IFERROR(GETPIVOTDATA("Date",'Activity 1 Seen by'!$A$1,"Activity 1","FSG Family and Friends","Seen by","Psychologist"),0)+IFERROR(GETPIVOTDATA("Date",'Activity 2 Seen by'!$A$1,"Activity 2","FSG Family and Friends","Seen by","Psychologist"),0)+IFERROR(GETPIVOTDATA("Date",'Activity 3 Seen by'!$A$1,"Activity 3","FSG Family and Friends","Seen by","Psychologist"),0)</f>
        <v>16</v>
      </c>
    </row>
    <row r="511" spans="1:2" x14ac:dyDescent="0.25">
      <c r="A511" s="48" t="s">
        <v>116</v>
      </c>
      <c r="B511" s="139">
        <f>IFERROR(GETPIVOTDATA("Date",'Activity 1 Seen by'!$A$1,"Activity 1","FSG Family and Friends","Seen by","Sessional Staff"),0)+IFERROR(GETPIVOTDATA("Date",'Activity 2 Seen by'!$A$1,"Activity 2","FSG Family and Friends","Seen by","Sessional Staff"),0)+IFERROR(GETPIVOTDATA("Date",'Activity 3 Seen by'!$A$1,"Activity 3","FSG Family and Friends","Seen by","Sessional Staff"),0)</f>
        <v>0</v>
      </c>
    </row>
    <row r="512" spans="1:2" x14ac:dyDescent="0.25">
      <c r="A512" s="53" t="s">
        <v>240</v>
      </c>
      <c r="B512" s="144">
        <f>SUM(B513:B518)</f>
        <v>29</v>
      </c>
    </row>
    <row r="513" spans="1:2" x14ac:dyDescent="0.25">
      <c r="A513" s="48" t="s">
        <v>115</v>
      </c>
      <c r="B513" s="139">
        <f>IFERROR(GETPIVOTDATA("Date",'Activity 1 Seen by'!$A$1,"Activity 1","FSG General","Seen by","Benefits Advisor"),0)+IFERROR(GETPIVOTDATA("Date",'Activity 2 Seen by'!$A$1,"Activity 2","FSG General","Seen by","Benefits Advisor"),0)+IFERROR(GETPIVOTDATA("Date",'Activity 3 Seen by'!$A$1,"Activity 3","FSG General","Seen by","Benefits Advisor"),0)</f>
        <v>0</v>
      </c>
    </row>
    <row r="514" spans="1:2" x14ac:dyDescent="0.25">
      <c r="A514" s="48" t="s">
        <v>112</v>
      </c>
      <c r="B514" s="139">
        <f>IFERROR(GETPIVOTDATA("Date",'Activity 1 Seen by'!$A$1,"Activity 1","FSG General","Seen by","Centre Head"),0)+IFERROR(GETPIVOTDATA("Date",'Activity 2 Seen by'!$A$1,"Activity 2","FSG General","Seen by","Centre Head"),0)+IFERROR(GETPIVOTDATA("Date",'Activity 3 Seen by'!$A$1,"Activity 3","FSG General","Seen by","Centre Head"),0)</f>
        <v>10</v>
      </c>
    </row>
    <row r="515" spans="1:2" x14ac:dyDescent="0.25">
      <c r="A515" s="48" t="s">
        <v>113</v>
      </c>
      <c r="B515" s="139">
        <f>IFERROR(GETPIVOTDATA("Date",'Activity 1 Seen by'!$A$1,"Activity 1","FSG General","Seen by","CSS"),0)+IFERROR(GETPIVOTDATA("Date",'Activity 2 Seen by'!$A$1,"Activity 2","FSG General","Seen by","CSS"),0)+IFERROR(GETPIVOTDATA("Date",'Activity 3 Seen by'!$A$1,"Activity 3","FSG General","Seen by","CSS"),0)</f>
        <v>19</v>
      </c>
    </row>
    <row r="516" spans="1:2" x14ac:dyDescent="0.25">
      <c r="A516" s="48" t="s">
        <v>205</v>
      </c>
      <c r="B516" s="139">
        <f>IFERROR(GETPIVOTDATA("Date",'Activity 1 Seen by'!$A$1,"Activity 1","FSG General","Seen by","Fundraiser"),0)+IFERROR(GETPIVOTDATA("Date",'Activity 2 Seen by'!$A$1,"Activity 2","FSG General","Seen by","Fundraiser"),0)+IFERROR(GETPIVOTDATA("Date",'Activity 3 Seen by'!$A$1,"Activity 3","FSG General","Seen by","Fundraiser"),0)</f>
        <v>0</v>
      </c>
    </row>
    <row r="517" spans="1:2" x14ac:dyDescent="0.25">
      <c r="A517" s="48" t="s">
        <v>114</v>
      </c>
      <c r="B517" s="139">
        <f>IFERROR(GETPIVOTDATA("Date",'Activity 1 Seen by'!$A$1,"Activity 1","FSG General","Seen by","Psychologist"),0)+IFERROR(GETPIVOTDATA("Date",'Activity 2 Seen by'!$A$1,"Activity 2","FSG General","Seen by","Psychologist"),0)+IFERROR(GETPIVOTDATA("Date",'Activity 3 Seen by'!$A$1,"Activity 3","FSG General","Seen by","Psychologist"),0)</f>
        <v>0</v>
      </c>
    </row>
    <row r="518" spans="1:2" x14ac:dyDescent="0.25">
      <c r="A518" s="48" t="s">
        <v>116</v>
      </c>
      <c r="B518" s="139">
        <f>IFERROR(GETPIVOTDATA("Date",'Activity 1 Seen by'!$A$1,"Activity 1","FSG General","Seen by","Sessional Staff"),0)+IFERROR(GETPIVOTDATA("Date",'Activity 2 Seen by'!$A$1,"Activity 2","FSG General","Seen by","Sessional Staff"),0)+IFERROR(GETPIVOTDATA("Date",'Activity 3 Seen by'!$A$1,"Activity 3","FSG General","Seen by","Sessional Staff"),0)</f>
        <v>0</v>
      </c>
    </row>
    <row r="519" spans="1:2" x14ac:dyDescent="0.25">
      <c r="A519" s="53" t="s">
        <v>119</v>
      </c>
      <c r="B519" s="144">
        <f>SUM(B520:B525)</f>
        <v>34</v>
      </c>
    </row>
    <row r="520" spans="1:2" x14ac:dyDescent="0.25">
      <c r="A520" s="48" t="s">
        <v>115</v>
      </c>
      <c r="B520" s="139">
        <f>IFERROR(GETPIVOTDATA("Date",'Activity 1 Seen by'!$A$1,"Activity 1","FSG Men's","Seen by","Benefits Advisor"),0)+IFERROR(GETPIVOTDATA("Date",'Activity 2 Seen by'!$A$1,"Activity 2","FSG Men's","Seen by","Benefits Advisor"),0)+IFERROR(GETPIVOTDATA("Date",'Activity 3 Seen by'!$A$1,"Activity 3","FSG Men's","Seen by","Benefits Advisor"),0)</f>
        <v>0</v>
      </c>
    </row>
    <row r="521" spans="1:2" x14ac:dyDescent="0.25">
      <c r="A521" s="48" t="s">
        <v>112</v>
      </c>
      <c r="B521" s="139">
        <f>IFERROR(GETPIVOTDATA("Date",'Activity 1 Seen by'!$A$1,"Activity 1","FSG Men's","Seen by","Centre Head"),0)+IFERROR(GETPIVOTDATA("Date",'Activity 2 Seen by'!$A$1,"Activity 2","FSG Men's","Seen by","Centre Head"),0)+IFERROR(GETPIVOTDATA("Date",'Activity 3 Seen by'!$A$1,"Activity 3","FSG Men's","Seen by","Centre Head"),0)</f>
        <v>5</v>
      </c>
    </row>
    <row r="522" spans="1:2" x14ac:dyDescent="0.25">
      <c r="A522" s="48" t="s">
        <v>113</v>
      </c>
      <c r="B522" s="139">
        <f>IFERROR(GETPIVOTDATA("Date",'Activity 1 Seen by'!$A$1,"Activity 1","FSG Men's","Seen by","CSS"),0)+IFERROR(GETPIVOTDATA("Date",'Activity 2 Seen by'!$A$1,"Activity 2","FSG Men's","Seen by","CSS"),0)+IFERROR(GETPIVOTDATA("Date",'Activity 3 Seen by'!$A$1,"Activity 3","FSG Men's","Seen by","CSS"),0)</f>
        <v>0</v>
      </c>
    </row>
    <row r="523" spans="1:2" x14ac:dyDescent="0.25">
      <c r="A523" s="48" t="s">
        <v>205</v>
      </c>
      <c r="B523" s="139">
        <f>IFERROR(GETPIVOTDATA("Date",'Activity 1 Seen by'!$A$1,"Activity 1","FSG Men's","Seen by","Fundraiser"),0)+IFERROR(GETPIVOTDATA("Date",'Activity 2 Seen by'!$A$1,"Activity 2","FSG Men's","Seen by","Fundraiser"),0)+IFERROR(GETPIVOTDATA("Date",'Activity 3 Seen by'!$A$1,"Activity 3","FSG Men's","Seen by","Fundraiser"),0)</f>
        <v>0</v>
      </c>
    </row>
    <row r="524" spans="1:2" x14ac:dyDescent="0.25">
      <c r="A524" s="48" t="s">
        <v>114</v>
      </c>
      <c r="B524" s="139">
        <f>IFERROR(GETPIVOTDATA("Date",'Activity 1 Seen by'!$A$1,"Activity 1","FSG Men's","Seen by","Psychologist"),0)+IFERROR(GETPIVOTDATA("Date",'Activity 2 Seen by'!$A$1,"Activity 2","FSG Men's","Seen by","Psychologist"),0)+IFERROR(GETPIVOTDATA("Date",'Activity 3 Seen by'!$A$1,"Activity 3","FSG Men's","Seen by","Psychologist"),0)</f>
        <v>18</v>
      </c>
    </row>
    <row r="525" spans="1:2" x14ac:dyDescent="0.25">
      <c r="A525" s="48" t="s">
        <v>116</v>
      </c>
      <c r="B525" s="139">
        <f>IFERROR(GETPIVOTDATA("Date",'Activity 1 Seen by'!$A$1,"Activity 1","FSG Men's","Seen by","Sessional Staff"),0)+IFERROR(GETPIVOTDATA("Date",'Activity 2 Seen by'!$A$1,"Activity 2","FSG Men's","Seen by","Sessional Staff"),0)+IFERROR(GETPIVOTDATA("Date",'Activity 3 Seen by'!$A$1,"Activity 3","FSG Men's","Seen by","Sessional Staff"),0)</f>
        <v>11</v>
      </c>
    </row>
    <row r="526" spans="1:2" x14ac:dyDescent="0.25">
      <c r="A526" s="53" t="s">
        <v>241</v>
      </c>
      <c r="B526" s="144">
        <f>SUM(B527:B532)</f>
        <v>0</v>
      </c>
    </row>
    <row r="527" spans="1:2" x14ac:dyDescent="0.25">
      <c r="A527" s="48" t="s">
        <v>115</v>
      </c>
      <c r="B527" s="139">
        <f>IFERROR(GETPIVOTDATA("Date",'Activity 1 Seen by'!$A$1,"Activity 1","FSG Secondary Cancer","Seen by","Benefits Advisor"),0)+IFERROR(GETPIVOTDATA("Date",'Activity 2 Seen by'!$A$1,"Activity 2","FSG Secondary Cancer","Seen by","Benefits Advisor"),0)+IFERROR(GETPIVOTDATA("Date",'Activity 3 Seen by'!$A$1,"Activity 3","FSG Secondary Cancer","Seen by","Benefits Advisor"),0)</f>
        <v>0</v>
      </c>
    </row>
    <row r="528" spans="1:2" x14ac:dyDescent="0.25">
      <c r="A528" s="48" t="s">
        <v>112</v>
      </c>
      <c r="B528" s="139">
        <f>IFERROR(GETPIVOTDATA("Date",'Activity 1 Seen by'!$A$1,"Activity 1","FSG Secondary Cancer","Seen by","Centre Head"),0)+IFERROR(GETPIVOTDATA("Date",'Activity 2 Seen by'!$A$1,"Activity 2","FSG Secondary Cancer","Seen by","Centre Head"),0)+IFERROR(GETPIVOTDATA("Date",'Activity 3 Seen by'!$A$1,"Activity 3","FSG Secondary Cancer","Seen by","Centre Head"),0)</f>
        <v>0</v>
      </c>
    </row>
    <row r="529" spans="1:2" x14ac:dyDescent="0.25">
      <c r="A529" s="48" t="s">
        <v>113</v>
      </c>
      <c r="B529" s="139">
        <f>IFERROR(GETPIVOTDATA("Date",'Activity 1 Seen by'!$A$1,"Activity 1","FSG Secondary Cancer","Seen by","CSS"),0)+IFERROR(GETPIVOTDATA("Date",'Activity 2 Seen by'!$A$1,"Activity 2","FSG Secondary Cancer","Seen by","CSS"),0)+IFERROR(GETPIVOTDATA("Date",'Activity 3 Seen by'!$A$1,"Activity 3","FSG Secondary Cancer","Seen by","CSS"),0)</f>
        <v>0</v>
      </c>
    </row>
    <row r="530" spans="1:2" x14ac:dyDescent="0.25">
      <c r="A530" s="48" t="s">
        <v>205</v>
      </c>
      <c r="B530" s="139">
        <f>IFERROR(GETPIVOTDATA("Date",'Activity 1 Seen by'!$A$1,"Activity 1","FSG Secondary Cancer","Seen by","Fundraiser"),0)+IFERROR(GETPIVOTDATA("Date",'Activity 2 Seen by'!$A$1,"Activity 2","FSG Secondary Cancer","Seen by","Fundraiser"),0)+IFERROR(GETPIVOTDATA("Date",'Activity 3 Seen by'!$A$1,"Activity 3","FSG Secondary Cancer","Seen by","Fundraiser"),0)</f>
        <v>0</v>
      </c>
    </row>
    <row r="531" spans="1:2" x14ac:dyDescent="0.25">
      <c r="A531" s="48" t="s">
        <v>114</v>
      </c>
      <c r="B531" s="139">
        <f>IFERROR(GETPIVOTDATA("Date",'Activity 1 Seen by'!$A$1,"Activity 1","FSG Secondary Cancer","Seen by","Psychologist"),0)+IFERROR(GETPIVOTDATA("Date",'Activity 2 Seen by'!$A$1,"Activity 2","FSG Secondary Cancer","Seen by","Psychologist"),0)+IFERROR(GETPIVOTDATA("Date",'Activity 3 Seen by'!$A$1,"Activity 3","FSG Secondary Cancer","Seen by","Psychologist"),0)</f>
        <v>0</v>
      </c>
    </row>
    <row r="532" spans="1:2" x14ac:dyDescent="0.25">
      <c r="A532" s="48" t="s">
        <v>116</v>
      </c>
      <c r="B532" s="139">
        <f>IFERROR(GETPIVOTDATA("Date",'Activity 1 Seen by'!$A$1,"Activity 1","FSG Secondary Cancer","Seen by","Sessional Staff"),0)+IFERROR(GETPIVOTDATA("Date",'Activity 2 Seen by'!$A$1,"Activity 2","FSG Secondary Cancer","Seen by","Sessional Staff"),0)+IFERROR(GETPIVOTDATA("Date",'Activity 3 Seen by'!$A$1,"Activity 3","FSG Secondary Cancer","Seen by","Sessional Staff"),0)</f>
        <v>0</v>
      </c>
    </row>
    <row r="533" spans="1:2" x14ac:dyDescent="0.25">
      <c r="A533" s="53" t="s">
        <v>265</v>
      </c>
      <c r="B533" s="144">
        <f>SUM(B534:B539)</f>
        <v>51</v>
      </c>
    </row>
    <row r="534" spans="1:2" x14ac:dyDescent="0.25">
      <c r="A534" s="48" t="s">
        <v>115</v>
      </c>
      <c r="B534" s="139">
        <f>IFERROR(GETPIVOTDATA("Date",'Activity 1 Seen by'!$A$1,"Activity 1","FSG Young Person's","Seen by","Benefits Advisor"),0)+IFERROR(GETPIVOTDATA("Date",'Activity 2 Seen by'!$A$1,"Activity 2","FSG Young Person's","Seen by","Benefits Advisor"),0)+IFERROR(GETPIVOTDATA("Date",'Activity 3 Seen by'!$A$1,"Activity 3","FSG Young Person's","Seen by","Benefits Advisor"),0)</f>
        <v>0</v>
      </c>
    </row>
    <row r="535" spans="1:2" x14ac:dyDescent="0.25">
      <c r="A535" s="48" t="s">
        <v>112</v>
      </c>
      <c r="B535" s="139">
        <f>IFERROR(GETPIVOTDATA("Date",'Activity 1 Seen by'!$A$1,"Activity 1","FSG Young Person's","Seen by","Centre Head"),0)+IFERROR(GETPIVOTDATA("Date",'Activity 2 Seen by'!$A$1,"Activity 2","FSG Young Person's","Seen by","Centre Head"),0)+IFERROR(GETPIVOTDATA("Date",'Activity 3 Seen by'!$A$1,"Activity 3","FSG Young Person's","Seen by","Centre Head"),0)</f>
        <v>36</v>
      </c>
    </row>
    <row r="536" spans="1:2" x14ac:dyDescent="0.25">
      <c r="A536" s="48" t="s">
        <v>113</v>
      </c>
      <c r="B536" s="139">
        <f>IFERROR(GETPIVOTDATA("Date",'Activity 1 Seen by'!$A$1,"Activity 1","FSG Young Person's","Seen by","CSS"),0)+IFERROR(GETPIVOTDATA("Date",'Activity 2 Seen by'!$A$1,"Activity 2","FSG Young Person's","Seen by","CSS"),0)+IFERROR(GETPIVOTDATA("Date",'Activity 3 Seen by'!$A$1,"Activity 3","FSG Young Person's","Seen by","CSS"),0)</f>
        <v>1</v>
      </c>
    </row>
    <row r="537" spans="1:2" x14ac:dyDescent="0.25">
      <c r="A537" s="48" t="s">
        <v>205</v>
      </c>
      <c r="B537" s="139">
        <f>IFERROR(GETPIVOTDATA("Date",'Activity 1 Seen by'!$A$1,"Activity 1","FSG Young Person's","Seen by","Fundraiser"),0)+IFERROR(GETPIVOTDATA("Date",'Activity 2 Seen by'!$A$1,"Activity 2","FSG Young Person's","Seen by","Fundraiser"),0)+IFERROR(GETPIVOTDATA("Date",'Activity 3 Seen by'!$A$1,"Activity 3","FSG Young Person's","Seen by","Fundraiser"),0)</f>
        <v>0</v>
      </c>
    </row>
    <row r="538" spans="1:2" x14ac:dyDescent="0.25">
      <c r="A538" s="48" t="s">
        <v>114</v>
      </c>
      <c r="B538" s="139">
        <f>IFERROR(GETPIVOTDATA("Date",'Activity 1 Seen by'!$A$1,"Activity 1","FSG Young Person's","Seen by","Psychologist"),0)+IFERROR(GETPIVOTDATA("Date",'Activity 2 Seen by'!$A$1,"Activity 2","FSG Young Person's","Seen by","Psychologist"),0)+IFERROR(GETPIVOTDATA("Date",'Activity 3 Seen by'!$A$1,"Activity 3","FSG Young Person's","Seen by","Psychologist"),0)</f>
        <v>0</v>
      </c>
    </row>
    <row r="539" spans="1:2" x14ac:dyDescent="0.25">
      <c r="A539" s="48" t="s">
        <v>116</v>
      </c>
      <c r="B539" s="139">
        <f>IFERROR(GETPIVOTDATA("Date",'Activity 1 Seen by'!$A$1,"Activity 1","FSG Young Person's","Seen by","Sessional Staff"),0)+IFERROR(GETPIVOTDATA("Date",'Activity 2 Seen by'!$A$1,"Activity 2","FSG Young Person's","Seen by","Sessional Staff"),0)+IFERROR(GETPIVOTDATA("Date",'Activity 3 Seen by'!$A$1,"Activity 3","FSG Young Person's","Seen by","Sessional Staff"),0)</f>
        <v>14</v>
      </c>
    </row>
    <row r="540" spans="1:2" x14ac:dyDescent="0.25">
      <c r="A540" s="53" t="s">
        <v>118</v>
      </c>
      <c r="B540" s="144">
        <f>SUM(B541:B546)</f>
        <v>5</v>
      </c>
    </row>
    <row r="541" spans="1:2" x14ac:dyDescent="0.25">
      <c r="A541" s="48" t="s">
        <v>115</v>
      </c>
      <c r="B541" s="139">
        <f>IFERROR(GETPIVOTDATA("Date",'Activity 1 Seen by'!$A$1,"Activity 1","FSG Young Women's","Seen by","Benefits Advisor"),0)+IFERROR(GETPIVOTDATA("Date",'Activity 2 Seen by'!$A$1,"Activity 2","FSG Young Women's","Seen by","Benefits Advisor"),0)+IFERROR(GETPIVOTDATA("Date",'Activity 3 Seen by'!$A$1,"Activity 3","FSG Young Women's","Seen by","Benefits Advisor"),0)</f>
        <v>0</v>
      </c>
    </row>
    <row r="542" spans="1:2" x14ac:dyDescent="0.25">
      <c r="A542" s="48" t="s">
        <v>112</v>
      </c>
      <c r="B542" s="139">
        <f>IFERROR(GETPIVOTDATA("Date",'Activity 1 Seen by'!$A$1,"Activity 1","FSG Young Women's","Seen by","Centre Head"),0)+IFERROR(GETPIVOTDATA("Date",'Activity 2 Seen by'!$A$1,"Activity 2","FSG Young Women's","Seen by","Centre Head"),0)+IFERROR(GETPIVOTDATA("Date",'Activity 3 Seen by'!$A$1,"Activity 3","FSG Young Women's","Seen by","Centre Head"),0)</f>
        <v>0</v>
      </c>
    </row>
    <row r="543" spans="1:2" x14ac:dyDescent="0.25">
      <c r="A543" s="48" t="s">
        <v>113</v>
      </c>
      <c r="B543" s="139">
        <f>IFERROR(GETPIVOTDATA("Date",'Activity 1 Seen by'!$A$1,"Activity 1","FSG Young Women's","Seen by","CSS"),0)+IFERROR(GETPIVOTDATA("Date",'Activity 2 Seen by'!$A$1,"Activity 2","FSG Young Women's","Seen by","CSS"),0)+IFERROR(GETPIVOTDATA("Date",'Activity 3 Seen by'!$A$1,"Activity 3","FSG Young Women's","Seen by","CSS"),0)</f>
        <v>5</v>
      </c>
    </row>
    <row r="544" spans="1:2" x14ac:dyDescent="0.25">
      <c r="A544" s="48" t="s">
        <v>205</v>
      </c>
      <c r="B544" s="139">
        <f>IFERROR(GETPIVOTDATA("Date",'Activity 1 Seen by'!$A$1,"Activity 1","FSG Young Women's","Seen by","Fundraiser"),0)+IFERROR(GETPIVOTDATA("Date",'Activity 2 Seen by'!$A$1,"Activity 2","FSG Young Women's","Seen by","Fundraiser"),0)+IFERROR(GETPIVOTDATA("Date",'Activity 3 Seen by'!$A$1,"Activity 3","FSG Young Women's","Seen by","Fundraiser"),0)</f>
        <v>0</v>
      </c>
    </row>
    <row r="545" spans="1:4" x14ac:dyDescent="0.25">
      <c r="A545" s="48" t="s">
        <v>114</v>
      </c>
      <c r="B545" s="139">
        <f>IFERROR(GETPIVOTDATA("Date",'Activity 1 Seen by'!$A$1,"Activity 1","FSG Young Women's","Seen by","Psychologist"),0)+IFERROR(GETPIVOTDATA("Date",'Activity 2 Seen by'!$A$1,"Activity 2","FSG Young Women's","Seen by","Psychologist"),0)+IFERROR(GETPIVOTDATA("Date",'Activity 3 Seen by'!$A$1,"Activity 3","FSG Young Women's","Seen by","Psychologist"),0)</f>
        <v>0</v>
      </c>
    </row>
    <row r="546" spans="1:4" x14ac:dyDescent="0.25">
      <c r="A546" s="48" t="s">
        <v>116</v>
      </c>
      <c r="B546" s="139">
        <f>IFERROR(GETPIVOTDATA("Date",'Activity 1 Seen by'!$A$1,"Activity 1","FSG Young Women's","Seen by","Sessional Staff"),0)+IFERROR(GETPIVOTDATA("Date",'Activity 2 Seen by'!$A$1,"Activity 2","FSG Young Women's","Seen by","Sessional Staff"),0)+IFERROR(GETPIVOTDATA("Date",'Activity 3 Seen by'!$A$1,"Activity 3","FSG Young Women's","Seen by","Sessional Staff"),0)</f>
        <v>0</v>
      </c>
    </row>
    <row r="547" spans="1:4" x14ac:dyDescent="0.25">
      <c r="A547" s="52" t="s">
        <v>139</v>
      </c>
      <c r="B547" s="143">
        <f>SUM(B548:B553)</f>
        <v>174</v>
      </c>
      <c r="C547"/>
      <c r="D547"/>
    </row>
    <row r="548" spans="1:4" x14ac:dyDescent="0.25">
      <c r="A548" s="48" t="s">
        <v>115</v>
      </c>
      <c r="B548" s="139">
        <f>SUM(B555,B562,B569,B576,B583,B590,B597,B604,B611,B618,B625,B632,B639,B646)</f>
        <v>4</v>
      </c>
      <c r="C548"/>
      <c r="D548"/>
    </row>
    <row r="549" spans="1:4" x14ac:dyDescent="0.25">
      <c r="A549" s="48" t="s">
        <v>112</v>
      </c>
      <c r="B549" s="139">
        <f t="shared" ref="B549:B553" si="8">SUM(B556,B563,B570,B577,B584,B591,B598,B605,B612,B619,B626,B633,B640,B647)</f>
        <v>96</v>
      </c>
      <c r="C549"/>
      <c r="D549"/>
    </row>
    <row r="550" spans="1:4" x14ac:dyDescent="0.25">
      <c r="A550" s="48" t="s">
        <v>113</v>
      </c>
      <c r="B550" s="139">
        <f t="shared" si="8"/>
        <v>21</v>
      </c>
      <c r="C550"/>
      <c r="D550"/>
    </row>
    <row r="551" spans="1:4" x14ac:dyDescent="0.25">
      <c r="A551" s="48" t="s">
        <v>205</v>
      </c>
      <c r="B551" s="139">
        <f t="shared" si="8"/>
        <v>0</v>
      </c>
      <c r="C551"/>
      <c r="D551"/>
    </row>
    <row r="552" spans="1:4" x14ac:dyDescent="0.25">
      <c r="A552" s="48" t="s">
        <v>114</v>
      </c>
      <c r="B552" s="139">
        <f t="shared" si="8"/>
        <v>35</v>
      </c>
      <c r="C552"/>
      <c r="D552"/>
    </row>
    <row r="553" spans="1:4" x14ac:dyDescent="0.25">
      <c r="A553" s="48" t="s">
        <v>116</v>
      </c>
      <c r="B553" s="139">
        <f t="shared" si="8"/>
        <v>18</v>
      </c>
      <c r="C553"/>
      <c r="D553"/>
    </row>
    <row r="554" spans="1:4" x14ac:dyDescent="0.25">
      <c r="A554" s="53" t="s">
        <v>242</v>
      </c>
      <c r="B554" s="144">
        <f>SUM(B555:B560)</f>
        <v>17</v>
      </c>
      <c r="C554"/>
      <c r="D554"/>
    </row>
    <row r="555" spans="1:4" x14ac:dyDescent="0.25">
      <c r="A555" s="48" t="s">
        <v>115</v>
      </c>
      <c r="B555" s="139">
        <f>IFERROR(GETPIVOTDATA("Date",'Activity 1 Seen by'!$A$1,"Activity 1","NG Brain","Seen by","Benefits Advisor"),0)+IFERROR(GETPIVOTDATA("Date",'Activity 2 Seen by'!$A$1,"Activity 2","NG Brain","Seen by","Benefits Advisor"),0)+IFERROR(GETPIVOTDATA("Date",'Activity 3 Seen by'!$A$1,"Activity 3","NG Brain","Seen by","Benefits Advisor"),0)</f>
        <v>0</v>
      </c>
      <c r="C555"/>
      <c r="D555"/>
    </row>
    <row r="556" spans="1:4" x14ac:dyDescent="0.25">
      <c r="A556" s="48" t="s">
        <v>112</v>
      </c>
      <c r="B556" s="139">
        <f>IFERROR(GETPIVOTDATA("Date",'Activity 1 Seen by'!$A$1,"Activity 1","NG Brain","Seen by","Centre Head"),0)+IFERROR(GETPIVOTDATA("Date",'Activity 2 Seen by'!$A$1,"Activity 2","NG Brain","Seen by","Centre Head"),0)+IFERROR(GETPIVOTDATA("Date",'Activity 3 Seen by'!$A$1,"Activity 3","NG Brain","Seen by","Centre Head"),0)</f>
        <v>0</v>
      </c>
      <c r="C556"/>
      <c r="D556"/>
    </row>
    <row r="557" spans="1:4" x14ac:dyDescent="0.25">
      <c r="A557" s="48" t="s">
        <v>113</v>
      </c>
      <c r="B557" s="139">
        <f>IFERROR(GETPIVOTDATA("Date",'Activity 1 Seen by'!$A$1,"Activity 1","NG Brain","Seen by","CSS"),0)+IFERROR(GETPIVOTDATA("Date",'Activity 2 Seen by'!$A$1,"Activity 2","NG Brain","Seen by","CSS"),0)+IFERROR(GETPIVOTDATA("Date",'Activity 3 Seen by'!$A$1,"Activity 3","NG Brain","Seen by","CSS"),0)</f>
        <v>0</v>
      </c>
    </row>
    <row r="558" spans="1:4" x14ac:dyDescent="0.25">
      <c r="A558" s="48" t="s">
        <v>205</v>
      </c>
      <c r="B558" s="139">
        <f>IFERROR(GETPIVOTDATA("Date",'Activity 1 Seen by'!$A$1,"Activity 1","NG Brain","Seen by","Fundraiser"),0)+IFERROR(GETPIVOTDATA("Date",'Activity 2 Seen by'!$A$1,"Activity 2","NG Brain","Seen by","Fundraiser"),0)+IFERROR(GETPIVOTDATA("Date",'Activity 3 Seen by'!$A$1,"Activity 3","NG Brain","Seen by","Fundraiser"),0)</f>
        <v>0</v>
      </c>
    </row>
    <row r="559" spans="1:4" x14ac:dyDescent="0.25">
      <c r="A559" s="48" t="s">
        <v>114</v>
      </c>
      <c r="B559" s="139">
        <f>IFERROR(GETPIVOTDATA("Date",'Activity 1 Seen by'!$A$1,"Activity 1","NG Brain","Seen by","Psychologist"),0)+IFERROR(GETPIVOTDATA("Date",'Activity 2 Seen by'!$A$1,"Activity 2","NG Brain","Seen by","Psychologist"),0)+IFERROR(GETPIVOTDATA("Date",'Activity 3 Seen by'!$A$1,"Activity 3","NG Brain","Seen by","Psychologist"),0)</f>
        <v>14</v>
      </c>
    </row>
    <row r="560" spans="1:4" x14ac:dyDescent="0.25">
      <c r="A560" s="48" t="s">
        <v>116</v>
      </c>
      <c r="B560" s="139">
        <f>IFERROR(GETPIVOTDATA("Date",'Activity 1 Seen by'!$A$1,"Activity 1","NG Brain","Seen by","Sessional Staff"),0)+IFERROR(GETPIVOTDATA("Date",'Activity 2 Seen by'!$A$1,"Activity 2","NG Brain","Seen by","Sessional Staff"),0)+IFERROR(GETPIVOTDATA("Date",'Activity 3 Seen by'!$A$1,"Activity 3","NG Brain","Seen by","Sessional Staff"),0)</f>
        <v>3</v>
      </c>
    </row>
    <row r="561" spans="1:2" x14ac:dyDescent="0.25">
      <c r="A561" s="53" t="s">
        <v>121</v>
      </c>
      <c r="B561" s="144">
        <f>SUM(B562:B567)</f>
        <v>0</v>
      </c>
    </row>
    <row r="562" spans="1:2" x14ac:dyDescent="0.25">
      <c r="A562" s="48" t="s">
        <v>115</v>
      </c>
      <c r="B562" s="139">
        <f>IFERROR(GETPIVOTDATA("Date",'Activity 1 Seen by'!$A$1,"Activity 1","NG Breast","Seen by","Benefits Advisor"),0)+IFERROR(GETPIVOTDATA("Date",'Activity 2 Seen by'!$A$1,"Activity 2","NG Breast","Seen by","Benefits Advisor"),0)+IFERROR(GETPIVOTDATA("Date",'Activity 3 Seen by'!$A$1,"Activity 3","NG Breast","Seen by","Benefits Advisor"),0)</f>
        <v>0</v>
      </c>
    </row>
    <row r="563" spans="1:2" x14ac:dyDescent="0.25">
      <c r="A563" s="48" t="s">
        <v>112</v>
      </c>
      <c r="B563" s="139">
        <f>IFERROR(GETPIVOTDATA("Date",'Activity 1 Seen by'!$A$1,"Activity 1","NG Breast","Seen by","Centre Head"),0)+IFERROR(GETPIVOTDATA("Date",'Activity 2 Seen by'!$A$1,"Activity 2","NG Breast","Seen by","Centre Head"),0)+IFERROR(GETPIVOTDATA("Date",'Activity 3 Seen by'!$A$1,"Activity 3","NG Breast","Seen by","Centre Head"),0)</f>
        <v>0</v>
      </c>
    </row>
    <row r="564" spans="1:2" x14ac:dyDescent="0.25">
      <c r="A564" s="48" t="s">
        <v>113</v>
      </c>
      <c r="B564" s="139">
        <f>IFERROR(GETPIVOTDATA("Date",'Activity 1 Seen by'!$A$1,"Activity 1","NG Breast","Seen by","CSS"),0)+IFERROR(GETPIVOTDATA("Date",'Activity 2 Seen by'!$A$1,"Activity 2","NG Breast","Seen by","CSS"),0)+IFERROR(GETPIVOTDATA("Date",'Activity 3 Seen by'!$A$1,"Activity 3","NG Breast","Seen by","CSS"),0)</f>
        <v>0</v>
      </c>
    </row>
    <row r="565" spans="1:2" x14ac:dyDescent="0.25">
      <c r="A565" s="48" t="s">
        <v>205</v>
      </c>
      <c r="B565" s="139">
        <f>IFERROR(GETPIVOTDATA("Date",'Activity 1 Seen by'!$A$1,"Activity 1","NG Breast","Seen by","Fundraiser"),0)+IFERROR(GETPIVOTDATA("Date",'Activity 2 Seen by'!$A$1,"Activity 2","NG Breast","Seen by","Fundraiser"),0)+IFERROR(GETPIVOTDATA("Date",'Activity 3 Seen by'!$A$1,"Activity 3","NG Breast","Seen by","Fundraiser"),0)</f>
        <v>0</v>
      </c>
    </row>
    <row r="566" spans="1:2" x14ac:dyDescent="0.25">
      <c r="A566" s="48" t="s">
        <v>114</v>
      </c>
      <c r="B566" s="139">
        <f>IFERROR(GETPIVOTDATA("Date",'Activity 1 Seen by'!$A$1,"Activity 1","NG Breast","Seen by","Psychologist"),0)+IFERROR(GETPIVOTDATA("Date",'Activity 2 Seen by'!$A$1,"Activity 2","NG Breast","Seen by","Psychologist"),0)+IFERROR(GETPIVOTDATA("Date",'Activity 3 Seen by'!$A$1,"Activity 3","NG Breast","Seen by","Psychologist"),0)</f>
        <v>0</v>
      </c>
    </row>
    <row r="567" spans="1:2" x14ac:dyDescent="0.25">
      <c r="A567" s="48" t="s">
        <v>116</v>
      </c>
      <c r="B567" s="139">
        <f>IFERROR(GETPIVOTDATA("Date",'Activity 1 Seen by'!$A$1,"Activity 1","NG Breast","Seen by","Sessional Staff"),0)+IFERROR(GETPIVOTDATA("Date",'Activity 2 Seen by'!$A$1,"Activity 2","NG Breast","Seen by","Sessional Staff"),0)+IFERROR(GETPIVOTDATA("Date",'Activity 3 Seen by'!$A$1,"Activity 3","NG Breast","Seen by","Sessional Staff"),0)</f>
        <v>0</v>
      </c>
    </row>
    <row r="568" spans="1:2" x14ac:dyDescent="0.25">
      <c r="A568" s="53" t="s">
        <v>129</v>
      </c>
      <c r="B568" s="144">
        <f>SUM(B569:B574)</f>
        <v>0</v>
      </c>
    </row>
    <row r="569" spans="1:2" x14ac:dyDescent="0.25">
      <c r="A569" s="48" t="s">
        <v>115</v>
      </c>
      <c r="B569" s="139">
        <f>IFERROR(GETPIVOTDATA("Date",'Activity 1 Seen by'!$A$1,"Activity 1","NG Gynae","Seen by","Benefits Advisor"),0)+IFERROR(GETPIVOTDATA("Date",'Activity 2 Seen by'!$A$1,"Activity 2","NG Gynae","Seen by","Benefits Advisor"),0)+IFERROR(GETPIVOTDATA("Date",'Activity 3 Seen by'!$A$1,"Activity 3","NG Gynae","Seen by","Benefits Advisor"),0)</f>
        <v>0</v>
      </c>
    </row>
    <row r="570" spans="1:2" x14ac:dyDescent="0.25">
      <c r="A570" s="48" t="s">
        <v>112</v>
      </c>
      <c r="B570" s="139">
        <f>IFERROR(GETPIVOTDATA("Date",'Activity 1 Seen by'!$A$1,"Activity 1","NG Gynae","Seen by","Centre Head"),0)+IFERROR(GETPIVOTDATA("Date",'Activity 2 Seen by'!$A$1,"Activity 2","NG Gynae","Seen by","Centre Head"),0)+IFERROR(GETPIVOTDATA("Date",'Activity 3 Seen by'!$A$1,"Activity 3","NG Gynae","Seen by","Centre Head"),0)</f>
        <v>0</v>
      </c>
    </row>
    <row r="571" spans="1:2" x14ac:dyDescent="0.25">
      <c r="A571" s="48" t="s">
        <v>113</v>
      </c>
      <c r="B571" s="139">
        <f>IFERROR(GETPIVOTDATA("Date",'Activity 1 Seen by'!$A$1,"Activity 1","NG Gynae","Seen by","CSS"),0)+IFERROR(GETPIVOTDATA("Date",'Activity 2 Seen by'!$A$1,"Activity 2","NG Gynae","Seen by","CSS"),0)+IFERROR(GETPIVOTDATA("Date",'Activity 3 Seen by'!$A$1,"Activity 3","NG Gynae","Seen by","CSS"),0)</f>
        <v>0</v>
      </c>
    </row>
    <row r="572" spans="1:2" x14ac:dyDescent="0.25">
      <c r="A572" s="48" t="s">
        <v>205</v>
      </c>
      <c r="B572" s="139">
        <f>IFERROR(GETPIVOTDATA("Date",'Activity 1 Seen by'!$A$1,"Activity 1","NG Gynae","Seen by","Fundraiser"),0)+IFERROR(GETPIVOTDATA("Date",'Activity 2 Seen by'!$A$1,"Activity 2","NG Gynae","Seen by","Fundraiser"),0)+IFERROR(GETPIVOTDATA("Date",'Activity 3 Seen by'!$A$1,"Activity 3","NG Gynae","Seen by","Fundraiser"),0)</f>
        <v>0</v>
      </c>
    </row>
    <row r="573" spans="1:2" x14ac:dyDescent="0.25">
      <c r="A573" s="48" t="s">
        <v>114</v>
      </c>
      <c r="B573" s="139">
        <f>IFERROR(GETPIVOTDATA("Date",'Activity 1 Seen by'!$A$1,"Activity 1","NG Gynae","Seen by","Psychologist"),0)+IFERROR(GETPIVOTDATA("Date",'Activity 2 Seen by'!$A$1,"Activity 2","NG Gynae","Seen by","Psychologist"),0)+IFERROR(GETPIVOTDATA("Date",'Activity 3 Seen by'!$A$1,"Activity 3","NG Gynae","Seen by","Psychologist"),0)</f>
        <v>0</v>
      </c>
    </row>
    <row r="574" spans="1:2" x14ac:dyDescent="0.25">
      <c r="A574" s="48" t="s">
        <v>116</v>
      </c>
      <c r="B574" s="139">
        <f>IFERROR(GETPIVOTDATA("Date",'Activity 1 Seen by'!$A$1,"Activity 1","NG Gynae","Seen by","Sessional Staff"),0)+IFERROR(GETPIVOTDATA("Date",'Activity 2 Seen by'!$A$1,"Activity 2","NG Gynae","Seen by","Sessional Staff"),0)+IFERROR(GETPIVOTDATA("Date",'Activity 3 Seen by'!$A$1,"Activity 3","NG Gynae","Seen by","Sessional Staff"),0)</f>
        <v>0</v>
      </c>
    </row>
    <row r="575" spans="1:2" x14ac:dyDescent="0.25">
      <c r="A575" s="53" t="s">
        <v>128</v>
      </c>
      <c r="B575" s="144">
        <f>SUM(B576:B581)</f>
        <v>63</v>
      </c>
    </row>
    <row r="576" spans="1:2" x14ac:dyDescent="0.25">
      <c r="A576" s="48" t="s">
        <v>115</v>
      </c>
      <c r="B576" s="139">
        <f>IFERROR(GETPIVOTDATA("Date",'Activity 1 Seen by'!$A$1,"Activity 1","NG Haematology","Seen by","Benefits Advisor"),0)+IFERROR(GETPIVOTDATA("Date",'Activity 2 Seen by'!$A$1,"Activity 2","NG Haematology","Seen by","Benefits Advisor"),0)+IFERROR(GETPIVOTDATA("Date",'Activity 3 Seen by'!$A$1,"Activity 3","NG Haematology","Seen by","Benefits Advisor"),0)</f>
        <v>0</v>
      </c>
    </row>
    <row r="577" spans="1:2" x14ac:dyDescent="0.25">
      <c r="A577" s="48" t="s">
        <v>112</v>
      </c>
      <c r="B577" s="139">
        <f>IFERROR(GETPIVOTDATA("Date",'Activity 1 Seen by'!$A$1,"Activity 1","NG Haematology","Seen by","Centre Head"),0)+IFERROR(GETPIVOTDATA("Date",'Activity 2 Seen by'!$A$1,"Activity 2","NG Haematology","Seen by","Centre Head"),0)+IFERROR(GETPIVOTDATA("Date",'Activity 3 Seen by'!$A$1,"Activity 3","NG Haematology","Seen by","Centre Head"),0)</f>
        <v>53</v>
      </c>
    </row>
    <row r="578" spans="1:2" x14ac:dyDescent="0.25">
      <c r="A578" s="48" t="s">
        <v>113</v>
      </c>
      <c r="B578" s="139">
        <f>IFERROR(GETPIVOTDATA("Date",'Activity 1 Seen by'!$A$1,"Activity 1","NG Haematology","Seen by","CSS"),0)+IFERROR(GETPIVOTDATA("Date",'Activity 2 Seen by'!$A$1,"Activity 2","NG Haematology","Seen by","CSS"),0)+IFERROR(GETPIVOTDATA("Date",'Activity 3 Seen by'!$A$1,"Activity 3","NG Haematology","Seen by","CSS"),0)</f>
        <v>0</v>
      </c>
    </row>
    <row r="579" spans="1:2" x14ac:dyDescent="0.25">
      <c r="A579" s="48" t="s">
        <v>205</v>
      </c>
      <c r="B579" s="139">
        <f>IFERROR(GETPIVOTDATA("Date",'Activity 1 Seen by'!$A$1,"Activity 1","NG Haematology","Seen by","Fundraiser"),0)+IFERROR(GETPIVOTDATA("Date",'Activity 2 Seen by'!$A$1,"Activity 2","NG Haematology","Seen by","Fundraiser"),0)+IFERROR(GETPIVOTDATA("Date",'Activity 3 Seen by'!$A$1,"Activity 3","NG Haematology","Seen by","Fundraiser"),0)</f>
        <v>0</v>
      </c>
    </row>
    <row r="580" spans="1:2" x14ac:dyDescent="0.25">
      <c r="A580" s="48" t="s">
        <v>114</v>
      </c>
      <c r="B580" s="139">
        <f>IFERROR(GETPIVOTDATA("Date",'Activity 1 Seen by'!$A$1,"Activity 1","NG Haematology","Seen by","Psychologist"),0)+IFERROR(GETPIVOTDATA("Date",'Activity 2 Seen by'!$A$1,"Activity 2","NG Haematology","Seen by","Psychologist"),0)+IFERROR(GETPIVOTDATA("Date",'Activity 3 Seen by'!$A$1,"Activity 3","NG Haematology","Seen by","Psychologist"),0)</f>
        <v>7</v>
      </c>
    </row>
    <row r="581" spans="1:2" x14ac:dyDescent="0.25">
      <c r="A581" s="48" t="s">
        <v>116</v>
      </c>
      <c r="B581" s="139">
        <f>IFERROR(GETPIVOTDATA("Date",'Activity 1 Seen by'!$A$1,"Activity 1","NG Haematology","Seen by","Sessional Staff"),0)+IFERROR(GETPIVOTDATA("Date",'Activity 2 Seen by'!$A$1,"Activity 2","NG Haematology","Seen by","Sessional Staff"),0)+IFERROR(GETPIVOTDATA("Date",'Activity 3 Seen by'!$A$1,"Activity 3","NG Haematology","Seen by","Sessional Staff"),0)</f>
        <v>3</v>
      </c>
    </row>
    <row r="582" spans="1:2" x14ac:dyDescent="0.25">
      <c r="A582" s="53" t="s">
        <v>243</v>
      </c>
      <c r="B582" s="144">
        <f>SUM(B583:B588)</f>
        <v>7</v>
      </c>
    </row>
    <row r="583" spans="1:2" x14ac:dyDescent="0.25">
      <c r="A583" s="48" t="s">
        <v>115</v>
      </c>
      <c r="B583" s="139">
        <f>IFERROR(GETPIVOTDATA("Date",'Activity 1 Seen by'!$A$1,"Activity 1","NG Head/Neck","Seen by","Benefits Advisor"),0)+IFERROR(GETPIVOTDATA("Date",'Activity 2 Seen by'!$A$1,"Activity 2","NG Head/Neck","Seen by","Benefits Advisor"),0)+IFERROR(GETPIVOTDATA("Date",'Activity 3 Seen by'!$A$1,"Activity 3","NG Head/Neck","Seen by","Benefits Advisor"),0)</f>
        <v>0</v>
      </c>
    </row>
    <row r="584" spans="1:2" x14ac:dyDescent="0.25">
      <c r="A584" s="48" t="s">
        <v>112</v>
      </c>
      <c r="B584" s="139">
        <f>IFERROR(GETPIVOTDATA("Date",'Activity 1 Seen by'!$A$1,"Activity 1","NG Head/Neck","Seen by","Centre Head"),0)+IFERROR(GETPIVOTDATA("Date",'Activity 2 Seen by'!$A$1,"Activity 2","NG Head/Neck","Seen by","Centre Head"),0)+IFERROR(GETPIVOTDATA("Date",'Activity 3 Seen by'!$A$1,"Activity 3","NG Head/Neck","Seen by","Centre Head"),0)</f>
        <v>0</v>
      </c>
    </row>
    <row r="585" spans="1:2" x14ac:dyDescent="0.25">
      <c r="A585" s="48" t="s">
        <v>113</v>
      </c>
      <c r="B585" s="139">
        <f>IFERROR(GETPIVOTDATA("Date",'Activity 1 Seen by'!$A$1,"Activity 1","NG Head/Neck","Seen by","CSS"),0)+IFERROR(GETPIVOTDATA("Date",'Activity 2 Seen by'!$A$1,"Activity 2","NG Head/Neck","Seen by","CSS"),0)+IFERROR(GETPIVOTDATA("Date",'Activity 3 Seen by'!$A$1,"Activity 3","NG Head/Neck","Seen by","CSS"),0)</f>
        <v>2</v>
      </c>
    </row>
    <row r="586" spans="1:2" x14ac:dyDescent="0.25">
      <c r="A586" s="48" t="s">
        <v>205</v>
      </c>
      <c r="B586" s="139">
        <f>IFERROR(GETPIVOTDATA("Date",'Activity 1 Seen by'!$A$1,"Activity 1","NG Head/Neck","Seen by","Fundraiser"),0)+IFERROR(GETPIVOTDATA("Date",'Activity 2 Seen by'!$A$1,"Activity 2","NG Head/Neck","Seen by","Fundraiser"),0)+IFERROR(GETPIVOTDATA("Date",'Activity 3 Seen by'!$A$1,"Activity 3","NG Head/Neck","Seen by","Fundraiser"),0)</f>
        <v>0</v>
      </c>
    </row>
    <row r="587" spans="1:2" x14ac:dyDescent="0.25">
      <c r="A587" s="48" t="s">
        <v>114</v>
      </c>
      <c r="B587" s="139">
        <f>IFERROR(GETPIVOTDATA("Date",'Activity 1 Seen by'!$A$1,"Activity 1","NG Head/Neck","Seen by","Psychologist"),0)+IFERROR(GETPIVOTDATA("Date",'Activity 2 Seen by'!$A$1,"Activity 2","NG Head/Neck","Seen by","Psychologist"),0)+IFERROR(GETPIVOTDATA("Date",'Activity 3 Seen by'!$A$1,"Activity 3","NG Head/Neck","Seen by","Psychologist"),0)</f>
        <v>5</v>
      </c>
    </row>
    <row r="588" spans="1:2" x14ac:dyDescent="0.25">
      <c r="A588" s="48" t="s">
        <v>116</v>
      </c>
      <c r="B588" s="139">
        <f>IFERROR(GETPIVOTDATA("Date",'Activity 1 Seen by'!$A$1,"Activity 1","NG Head/Neck","Seen by","Sessional Staff"),0)+IFERROR(GETPIVOTDATA("Date",'Activity 2 Seen by'!$A$1,"Activity 2","NG Head/Neck","Seen by","Sessional Staff"),0)+IFERROR(GETPIVOTDATA("Date",'Activity 3 Seen by'!$A$1,"Activity 3","NG Head/Neck","Seen by","Sessional Staff"),0)</f>
        <v>0</v>
      </c>
    </row>
    <row r="589" spans="1:2" x14ac:dyDescent="0.25">
      <c r="A589" s="53" t="s">
        <v>123</v>
      </c>
      <c r="B589" s="144">
        <f>SUM(B590:B595)</f>
        <v>49</v>
      </c>
    </row>
    <row r="590" spans="1:2" x14ac:dyDescent="0.25">
      <c r="A590" s="48" t="s">
        <v>115</v>
      </c>
      <c r="B590" s="139">
        <f>IFERROR(GETPIVOTDATA("Date",'Activity 1 Seen by'!$A$1,"Activity 1","NG Laryngectomy","Seen by","Benefits Advisor"),0)+IFERROR(GETPIVOTDATA("Date",'Activity 2 Seen by'!$A$1,"Activity 2","NG Laryngectomy","Seen by","Benefits Advisor"),0)+IFERROR(GETPIVOTDATA("Date",'Activity 3 Seen by'!$A$1,"Activity 3","NG Laryngectomy","Seen by","Benefits Advisor"),0)</f>
        <v>0</v>
      </c>
    </row>
    <row r="591" spans="1:2" x14ac:dyDescent="0.25">
      <c r="A591" s="48" t="s">
        <v>112</v>
      </c>
      <c r="B591" s="139">
        <f>IFERROR(GETPIVOTDATA("Date",'Activity 1 Seen by'!$A$1,"Activity 1","NG Laryngectomy","Seen by","Centre Head"),0)+IFERROR(GETPIVOTDATA("Date",'Activity 2 Seen by'!$A$1,"Activity 2","NG Laryngectomy","Seen by","Centre Head"),0)+IFERROR(GETPIVOTDATA("Date",'Activity 3 Seen by'!$A$1,"Activity 3","NG Laryngectomy","Seen by","Centre Head"),0)</f>
        <v>42</v>
      </c>
    </row>
    <row r="592" spans="1:2" x14ac:dyDescent="0.25">
      <c r="A592" s="48" t="s">
        <v>113</v>
      </c>
      <c r="B592" s="139">
        <f>IFERROR(GETPIVOTDATA("Date",'Activity 1 Seen by'!$A$1,"Activity 1","NG Laryngectomy","Seen by","CSS"),0)+IFERROR(GETPIVOTDATA("Date",'Activity 2 Seen by'!$A$1,"Activity 2","NG Laryngectomy","Seen by","CSS"),0)+IFERROR(GETPIVOTDATA("Date",'Activity 3 Seen by'!$A$1,"Activity 3","NG Laryngectomy","Seen by","CSS"),0)</f>
        <v>3</v>
      </c>
    </row>
    <row r="593" spans="1:2" x14ac:dyDescent="0.25">
      <c r="A593" s="48" t="s">
        <v>205</v>
      </c>
      <c r="B593" s="139">
        <f>IFERROR(GETPIVOTDATA("Date",'Activity 1 Seen by'!$A$1,"Activity 1","NG Laryngectomy","Seen by","Fundraiser"),0)+IFERROR(GETPIVOTDATA("Date",'Activity 2 Seen by'!$A$1,"Activity 2","NG Laryngectomy","Seen by","Fundraiser"),0)+IFERROR(GETPIVOTDATA("Date",'Activity 3 Seen by'!$A$1,"Activity 3","NG Laryngectomy","Seen by","Fundraiser"),0)</f>
        <v>0</v>
      </c>
    </row>
    <row r="594" spans="1:2" x14ac:dyDescent="0.25">
      <c r="A594" s="48" t="s">
        <v>114</v>
      </c>
      <c r="B594" s="139">
        <f>IFERROR(GETPIVOTDATA("Date",'Activity 1 Seen by'!$A$1,"Activity 1","NG Laryngectomy","Seen by","Psychologist"),0)+IFERROR(GETPIVOTDATA("Date",'Activity 2 Seen by'!$A$1,"Activity 2","NG Laryngectomy","Seen by","Psychologist"),0)+IFERROR(GETPIVOTDATA("Date",'Activity 3 Seen by'!$A$1,"Activity 3","NG Laryngectomy","Seen by","Psychologist"),0)</f>
        <v>4</v>
      </c>
    </row>
    <row r="595" spans="1:2" x14ac:dyDescent="0.25">
      <c r="A595" s="48" t="s">
        <v>116</v>
      </c>
      <c r="B595" s="139">
        <f>IFERROR(GETPIVOTDATA("Date",'Activity 1 Seen by'!$A$1,"Activity 1","NG Laryngectomy","Seen by","Sessional Staff"),0)+IFERROR(GETPIVOTDATA("Date",'Activity 2 Seen by'!$A$1,"Activity 2","NG Laryngectomy","Seen by","Sessional Staff"),0)+IFERROR(GETPIVOTDATA("Date",'Activity 3 Seen by'!$A$1,"Activity 3","NG Laryngectomy","Seen by","Sessional Staff"),0)</f>
        <v>0</v>
      </c>
    </row>
    <row r="596" spans="1:2" x14ac:dyDescent="0.25">
      <c r="A596" s="53" t="s">
        <v>125</v>
      </c>
      <c r="B596" s="144">
        <f>SUM(B597:B602)</f>
        <v>19</v>
      </c>
    </row>
    <row r="597" spans="1:2" x14ac:dyDescent="0.25">
      <c r="A597" s="48" t="s">
        <v>115</v>
      </c>
      <c r="B597" s="139">
        <f>IFERROR(GETPIVOTDATA("Date",'Activity 1 Seen by'!$A$1,"Activity 1","NG Lower GI","Seen by","Benefits Advisor"),0)+IFERROR(GETPIVOTDATA("Date",'Activity 2 Seen by'!$A$1,"Activity 2","NG Lower GI","Seen by","Benefits Advisor"),0)+IFERROR(GETPIVOTDATA("Date",'Activity 3 Seen by'!$A$1,"Activity 3","NG Lower GI","Seen by","Benefits Advisor"),0)</f>
        <v>4</v>
      </c>
    </row>
    <row r="598" spans="1:2" x14ac:dyDescent="0.25">
      <c r="A598" s="48" t="s">
        <v>112</v>
      </c>
      <c r="B598" s="139">
        <f>IFERROR(GETPIVOTDATA("Date",'Activity 1 Seen by'!$A$1,"Activity 1","NG Lower GI","Seen by","Centre Head"),0)+IFERROR(GETPIVOTDATA("Date",'Activity 2 Seen by'!$A$1,"Activity 2","NG Lower GI","Seen by","Centre Head"),0)+IFERROR(GETPIVOTDATA("Date",'Activity 3 Seen by'!$A$1,"Activity 3","NG Lower GI","Seen by","Centre Head"),0)</f>
        <v>0</v>
      </c>
    </row>
    <row r="599" spans="1:2" x14ac:dyDescent="0.25">
      <c r="A599" s="48" t="s">
        <v>113</v>
      </c>
      <c r="B599" s="139">
        <f>IFERROR(GETPIVOTDATA("Date",'Activity 1 Seen by'!$A$1,"Activity 1","NG Lower GI","Seen by","CSS"),0)+IFERROR(GETPIVOTDATA("Date",'Activity 2 Seen by'!$A$1,"Activity 2","NG Lower GI","Seen by","CSS"),0)+IFERROR(GETPIVOTDATA("Date",'Activity 3 Seen by'!$A$1,"Activity 3","NG Lower GI","Seen by","CSS"),0)</f>
        <v>15</v>
      </c>
    </row>
    <row r="600" spans="1:2" x14ac:dyDescent="0.25">
      <c r="A600" s="48" t="s">
        <v>205</v>
      </c>
      <c r="B600" s="139">
        <f>IFERROR(GETPIVOTDATA("Date",'Activity 1 Seen by'!$A$1,"Activity 1","NG Lower GI","Seen by","Fundraiser"),0)+IFERROR(GETPIVOTDATA("Date",'Activity 2 Seen by'!$A$1,"Activity 2","NG Lower GI","Seen by","Fundraiser"),0)+IFERROR(GETPIVOTDATA("Date",'Activity 3 Seen by'!$A$1,"Activity 3","NG Lower GI","Seen by","Fundraiser"),0)</f>
        <v>0</v>
      </c>
    </row>
    <row r="601" spans="1:2" x14ac:dyDescent="0.25">
      <c r="A601" s="48" t="s">
        <v>114</v>
      </c>
      <c r="B601" s="139">
        <f>IFERROR(GETPIVOTDATA("Date",'Activity 1 Seen by'!$A$1,"Activity 1","NG Lower GI","Seen by","Psychologist"),0)+IFERROR(GETPIVOTDATA("Date",'Activity 2 Seen by'!$A$1,"Activity 2","NG Lower GI","Seen by","Psychologist"),0)+IFERROR(GETPIVOTDATA("Date",'Activity 3 Seen by'!$A$1,"Activity 3","NG Lower GI","Seen by","Psychologist"),0)</f>
        <v>0</v>
      </c>
    </row>
    <row r="602" spans="1:2" x14ac:dyDescent="0.25">
      <c r="A602" s="48" t="s">
        <v>116</v>
      </c>
      <c r="B602" s="139">
        <f>IFERROR(GETPIVOTDATA("Date",'Activity 1 Seen by'!$A$1,"Activity 1","NG Lower GI","Seen by","Sessional Staff"),0)+IFERROR(GETPIVOTDATA("Date",'Activity 2 Seen by'!$A$1,"Activity 2","NG Lower GI","Seen by","Sessional Staff"),0)+IFERROR(GETPIVOTDATA("Date",'Activity 3 Seen by'!$A$1,"Activity 3","NG Lower GI","Seen by","Sessional Staff"),0)</f>
        <v>0</v>
      </c>
    </row>
    <row r="603" spans="1:2" x14ac:dyDescent="0.25">
      <c r="A603" s="53" t="s">
        <v>127</v>
      </c>
      <c r="B603" s="144">
        <f>SUM(B604:B609)</f>
        <v>0</v>
      </c>
    </row>
    <row r="604" spans="1:2" x14ac:dyDescent="0.25">
      <c r="A604" s="48" t="s">
        <v>115</v>
      </c>
      <c r="B604" s="139">
        <f>IFERROR(GETPIVOTDATA("Date",'Activity 1 Seen by'!$A$1,"Activity 1","NG Lung","Seen by","Benefits Advisor"),0)+IFERROR(GETPIVOTDATA("Date",'Activity 2 Seen by'!$A$1,"Activity 2","NG Lung","Seen by","Benefits Advisor"),0)+IFERROR(GETPIVOTDATA("Date",'Activity 3 Seen by'!$A$1,"Activity 3","NG Lung","Seen by","Benefits Advisor"),0)</f>
        <v>0</v>
      </c>
    </row>
    <row r="605" spans="1:2" x14ac:dyDescent="0.25">
      <c r="A605" s="48" t="s">
        <v>112</v>
      </c>
      <c r="B605" s="139">
        <f>IFERROR(GETPIVOTDATA("Date",'Activity 1 Seen by'!$A$1,"Activity 1","NG Lung","Seen by","Centre Head"),0)+IFERROR(GETPIVOTDATA("Date",'Activity 2 Seen by'!$A$1,"Activity 2","NG Lung","Seen by","Centre Head"),0)+IFERROR(GETPIVOTDATA("Date",'Activity 3 Seen by'!$A$1,"Activity 3","NG Lung","Seen by","Centre Head"),0)</f>
        <v>0</v>
      </c>
    </row>
    <row r="606" spans="1:2" x14ac:dyDescent="0.25">
      <c r="A606" s="48" t="s">
        <v>113</v>
      </c>
      <c r="B606" s="139">
        <f>IFERROR(GETPIVOTDATA("Date",'Activity 1 Seen by'!$A$1,"Activity 1","NG Lung","Seen by","CSS"),0)+IFERROR(GETPIVOTDATA("Date",'Activity 2 Seen by'!$A$1,"Activity 2","NG Lung","Seen by","CSS"),0)+IFERROR(GETPIVOTDATA("Date",'Activity 3 Seen by'!$A$1,"Activity 3","NG Lung","Seen by","CSS"),0)</f>
        <v>0</v>
      </c>
    </row>
    <row r="607" spans="1:2" x14ac:dyDescent="0.25">
      <c r="A607" s="48" t="s">
        <v>205</v>
      </c>
      <c r="B607" s="139">
        <f>IFERROR(GETPIVOTDATA("Date",'Activity 1 Seen by'!$A$1,"Activity 1","NG Lung","Seen by","Fundraiser"),0)+IFERROR(GETPIVOTDATA("Date",'Activity 2 Seen by'!$A$1,"Activity 2","NG Lung","Seen by","Fundraiser"),0)+IFERROR(GETPIVOTDATA("Date",'Activity 3 Seen by'!$A$1,"Activity 3","NG Lung","Seen by","Fundraiser"),0)</f>
        <v>0</v>
      </c>
    </row>
    <row r="608" spans="1:2" x14ac:dyDescent="0.25">
      <c r="A608" s="48" t="s">
        <v>114</v>
      </c>
      <c r="B608" s="139">
        <f>IFERROR(GETPIVOTDATA("Date",'Activity 1 Seen by'!$A$1,"Activity 1","NG Lung","Seen by","Psychologist"),0)+IFERROR(GETPIVOTDATA("Date",'Activity 2 Seen by'!$A$1,"Activity 2","NG Lung","Seen by","Psychologist"),0)+IFERROR(GETPIVOTDATA("Date",'Activity 3 Seen by'!$A$1,"Activity 3","NG Lung","Seen by","Psychologist"),0)</f>
        <v>0</v>
      </c>
    </row>
    <row r="609" spans="1:2" x14ac:dyDescent="0.25">
      <c r="A609" s="48" t="s">
        <v>116</v>
      </c>
      <c r="B609" s="139">
        <f>IFERROR(GETPIVOTDATA("Date",'Activity 1 Seen by'!$A$1,"Activity 1","NG Lung","Seen by","Sessional Staff"),0)+IFERROR(GETPIVOTDATA("Date",'Activity 2 Seen by'!$A$1,"Activity 2","NG Lung","Seen by","Sessional Staff"),0)+IFERROR(GETPIVOTDATA("Date",'Activity 3 Seen by'!$A$1,"Activity 3","NG Lung","Seen by","Sessional Staff"),0)</f>
        <v>0</v>
      </c>
    </row>
    <row r="610" spans="1:2" x14ac:dyDescent="0.25">
      <c r="A610" s="53" t="s">
        <v>124</v>
      </c>
      <c r="B610" s="144">
        <f>SUM(B611:B616)</f>
        <v>13</v>
      </c>
    </row>
    <row r="611" spans="1:2" x14ac:dyDescent="0.25">
      <c r="A611" s="48" t="s">
        <v>115</v>
      </c>
      <c r="B611" s="139">
        <f>IFERROR(GETPIVOTDATA("Date",'Activity 1 Seen by'!$A$1,"Activity 1","NG Lymphoedema","Seen by","Benefits Advisor"),0)+IFERROR(GETPIVOTDATA("Date",'Activity 2 Seen by'!$A$1,"Activity 2","NG Lymphoedema","Seen by","Benefits Advisor"),0)+IFERROR(GETPIVOTDATA("Date",'Activity 3 Seen by'!$A$1,"Activity 3","NG Lymphoedema","Seen by","Benefits Advisor"),0)</f>
        <v>0</v>
      </c>
    </row>
    <row r="612" spans="1:2" x14ac:dyDescent="0.25">
      <c r="A612" s="48" t="s">
        <v>112</v>
      </c>
      <c r="B612" s="139">
        <f>IFERROR(GETPIVOTDATA("Date",'Activity 1 Seen by'!$A$1,"Activity 1","NG Lymphoedema","Seen by","Centre Head"),0)+IFERROR(GETPIVOTDATA("Date",'Activity 2 Seen by'!$A$1,"Activity 2","NG Lymphoedema","Seen by","Centre Head"),0)+IFERROR(GETPIVOTDATA("Date",'Activity 3 Seen by'!$A$1,"Activity 3","NG Lymphoedema","Seen by","Centre Head"),0)</f>
        <v>0</v>
      </c>
    </row>
    <row r="613" spans="1:2" x14ac:dyDescent="0.25">
      <c r="A613" s="48" t="s">
        <v>113</v>
      </c>
      <c r="B613" s="139">
        <f>IFERROR(GETPIVOTDATA("Date",'Activity 1 Seen by'!$A$1,"Activity 1","NG Lymphoedema","Seen by","CSS"),0)+IFERROR(GETPIVOTDATA("Date",'Activity 2 Seen by'!$A$1,"Activity 2","NG Lymphoedema","Seen by","CSS"),0)+IFERROR(GETPIVOTDATA("Date",'Activity 3 Seen by'!$A$1,"Activity 3","NG Lymphoedema","Seen by","CSS"),0)</f>
        <v>0</v>
      </c>
    </row>
    <row r="614" spans="1:2" x14ac:dyDescent="0.25">
      <c r="A614" s="48" t="s">
        <v>205</v>
      </c>
      <c r="B614" s="139">
        <f>IFERROR(GETPIVOTDATA("Date",'Activity 1 Seen by'!$A$1,"Activity 1","NG Lymphoedema","Seen by","Fundraiser"),0)+IFERROR(GETPIVOTDATA("Date",'Activity 2 Seen by'!$A$1,"Activity 2","NG Lymphoedema","Seen by","Fundraiser"),0)+IFERROR(GETPIVOTDATA("Date",'Activity 3 Seen by'!$A$1,"Activity 3","NG Lymphoedema","Seen by","Fundraiser"),0)</f>
        <v>0</v>
      </c>
    </row>
    <row r="615" spans="1:2" x14ac:dyDescent="0.25">
      <c r="A615" s="48" t="s">
        <v>114</v>
      </c>
      <c r="B615" s="139">
        <f>IFERROR(GETPIVOTDATA("Date",'Activity 1 Seen by'!$A$1,"Activity 1","NG Lymphoedema","Seen by","Psychologist"),0)+IFERROR(GETPIVOTDATA("Date",'Activity 2 Seen by'!$A$1,"Activity 2","NG Lymphoedema","Seen by","Psychologist"),0)+IFERROR(GETPIVOTDATA("Date",'Activity 3 Seen by'!$A$1,"Activity 3","NG Lymphoedema","Seen by","Psychologist"),0)</f>
        <v>1</v>
      </c>
    </row>
    <row r="616" spans="1:2" x14ac:dyDescent="0.25">
      <c r="A616" s="48" t="s">
        <v>116</v>
      </c>
      <c r="B616" s="139">
        <f>IFERROR(GETPIVOTDATA("Date",'Activity 1 Seen by'!$A$1,"Activity 1","NG Lymphoedema","Seen by","Sessional Staff"),0)+IFERROR(GETPIVOTDATA("Date",'Activity 2 Seen by'!$A$1,"Activity 2","NG Lymphoedema","Seen by","Sessional Staff"),0)+IFERROR(GETPIVOTDATA("Date",'Activity 3 Seen by'!$A$1,"Activity 3","NG Lymphoedema","Seen by","Sessional Staff"),0)</f>
        <v>12</v>
      </c>
    </row>
    <row r="617" spans="1:2" x14ac:dyDescent="0.25">
      <c r="A617" s="53" t="s">
        <v>148</v>
      </c>
      <c r="B617" s="144">
        <f>SUM(B618:B623)</f>
        <v>5</v>
      </c>
    </row>
    <row r="618" spans="1:2" x14ac:dyDescent="0.25">
      <c r="A618" s="48" t="s">
        <v>115</v>
      </c>
      <c r="B618" s="139">
        <f>IFERROR(GETPIVOTDATA("Date",'Activity 1 Seen by'!$A$1,"Activity 1","NG Myeloma","Seen by","Benefits Advisor"),0)+IFERROR(GETPIVOTDATA("Date",'Activity 2 Seen by'!$A$1,"Activity 2","NG Myeloma","Seen by","Benefits Advisor"),0)+IFERROR(GETPIVOTDATA("Date",'Activity 3 Seen by'!$A$1,"Activity 3","NG Myeloma","Seen by","Benefits Advisor"),0)</f>
        <v>0</v>
      </c>
    </row>
    <row r="619" spans="1:2" x14ac:dyDescent="0.25">
      <c r="A619" s="48" t="s">
        <v>112</v>
      </c>
      <c r="B619" s="139">
        <f>IFERROR(GETPIVOTDATA("Date",'Activity 1 Seen by'!$A$1,"Activity 1","NG Myeloma","Seen by","Centre Head"),0)+IFERROR(GETPIVOTDATA("Date",'Activity 2 Seen by'!$A$1,"Activity 2","NG Myeloma","Seen by","Centre Head"),0)+IFERROR(GETPIVOTDATA("Date",'Activity 3 Seen by'!$A$1,"Activity 3","NG Myeloma","Seen by","Centre Head"),0)</f>
        <v>1</v>
      </c>
    </row>
    <row r="620" spans="1:2" x14ac:dyDescent="0.25">
      <c r="A620" s="48" t="s">
        <v>113</v>
      </c>
      <c r="B620" s="139">
        <f>IFERROR(GETPIVOTDATA("Date",'Activity 1 Seen by'!$A$1,"Activity 1","NG Myeloma","Seen by","CSS"),0)+IFERROR(GETPIVOTDATA("Date",'Activity 2 Seen by'!$A$1,"Activity 2","NG Myeloma","Seen by","CSS"),0)+IFERROR(GETPIVOTDATA("Date",'Activity 3 Seen by'!$A$1,"Activity 3","NG Myeloma","Seen by","CSS"),0)</f>
        <v>0</v>
      </c>
    </row>
    <row r="621" spans="1:2" x14ac:dyDescent="0.25">
      <c r="A621" s="48" t="s">
        <v>205</v>
      </c>
      <c r="B621" s="139">
        <f>IFERROR(GETPIVOTDATA("Date",'Activity 1 Seen by'!$A$1,"Activity 1","NG Myeloma","Seen by","Fundraiser"),0)+IFERROR(GETPIVOTDATA("Date",'Activity 2 Seen by'!$A$1,"Activity 2","NG Myeloma","Seen by","Fundraiser"),0)+IFERROR(GETPIVOTDATA("Date",'Activity 3 Seen by'!$A$1,"Activity 3","NG Myeloma","Seen by","Fundraiser"),0)</f>
        <v>0</v>
      </c>
    </row>
    <row r="622" spans="1:2" x14ac:dyDescent="0.25">
      <c r="A622" s="48" t="s">
        <v>114</v>
      </c>
      <c r="B622" s="139">
        <f>IFERROR(GETPIVOTDATA("Date",'Activity 1 Seen by'!$A$1,"Activity 1","NG Myeloma","Seen by","Psychologist"),0)+IFERROR(GETPIVOTDATA("Date",'Activity 2 Seen by'!$A$1,"Activity 2","NG Myeloma","Seen by","Psychologist"),0)+IFERROR(GETPIVOTDATA("Date",'Activity 3 Seen by'!$A$1,"Activity 3","NG Myeloma","Seen by","Psychologist"),0)</f>
        <v>4</v>
      </c>
    </row>
    <row r="623" spans="1:2" x14ac:dyDescent="0.25">
      <c r="A623" s="48" t="s">
        <v>116</v>
      </c>
      <c r="B623" s="139">
        <f>IFERROR(GETPIVOTDATA("Date",'Activity 1 Seen by'!$A$1,"Activity 1","NG Myeloma","Seen by","Sessional Staff"),0)+IFERROR(GETPIVOTDATA("Date",'Activity 2 Seen by'!$A$1,"Activity 2","NG Myeloma","Seen by","Sessional Staff"),0)+IFERROR(GETPIVOTDATA("Date",'Activity 3 Seen by'!$A$1,"Activity 3","NG Myeloma","Seen by","Sessional Staff"),0)</f>
        <v>0</v>
      </c>
    </row>
    <row r="624" spans="1:2" x14ac:dyDescent="0.25">
      <c r="A624" s="53" t="s">
        <v>122</v>
      </c>
      <c r="B624" s="144">
        <f>SUM(B625:B630)</f>
        <v>0</v>
      </c>
    </row>
    <row r="625" spans="1:2" x14ac:dyDescent="0.25">
      <c r="A625" s="48" t="s">
        <v>115</v>
      </c>
      <c r="B625" s="139">
        <f>IFERROR(GETPIVOTDATA("Date",'Activity 1 Seen by'!$A$1,"Activity 1","NG Prostate","Seen by","Benefits Advisor"),0)+IFERROR(GETPIVOTDATA("Date",'Activity 2 Seen by'!$A$1,"Activity 2","NG Prostate","Seen by","Benefits Advisor"),0)+IFERROR(GETPIVOTDATA("Date",'Activity 3 Seen by'!$A$1,"Activity 3","NG Prostate","Seen by","Benefits Advisor"),0)</f>
        <v>0</v>
      </c>
    </row>
    <row r="626" spans="1:2" x14ac:dyDescent="0.25">
      <c r="A626" s="48" t="s">
        <v>112</v>
      </c>
      <c r="B626" s="139">
        <f>IFERROR(GETPIVOTDATA("Date",'Activity 1 Seen by'!$A$1,"Activity 1","NG Prostate","Seen by","Centre Head"),0)+IFERROR(GETPIVOTDATA("Date",'Activity 2 Seen by'!$A$1,"Activity 2","NG Prostate","Seen by","Centre Head"),0)+IFERROR(GETPIVOTDATA("Date",'Activity 3 Seen by'!$A$1,"Activity 3","NG Prostate","Seen by","Centre Head"),0)</f>
        <v>0</v>
      </c>
    </row>
    <row r="627" spans="1:2" x14ac:dyDescent="0.25">
      <c r="A627" s="48" t="s">
        <v>113</v>
      </c>
      <c r="B627" s="139">
        <f>IFERROR(GETPIVOTDATA("Date",'Activity 1 Seen by'!$A$1,"Activity 1","NG Prostate","Seen by","CSS"),0)+IFERROR(GETPIVOTDATA("Date",'Activity 2 Seen by'!$A$1,"Activity 2","NG Prostate","Seen by","CSS"),0)+IFERROR(GETPIVOTDATA("Date",'Activity 3 Seen by'!$A$1,"Activity 3","NG Prostate","Seen by","CSS"),0)</f>
        <v>0</v>
      </c>
    </row>
    <row r="628" spans="1:2" x14ac:dyDescent="0.25">
      <c r="A628" s="48" t="s">
        <v>205</v>
      </c>
      <c r="B628" s="139">
        <f>IFERROR(GETPIVOTDATA("Date",'Activity 1 Seen by'!$A$1,"Activity 1","NG Prostate","Seen by","Fundraiser"),0)+IFERROR(GETPIVOTDATA("Date",'Activity 2 Seen by'!$A$1,"Activity 2","NG Prostate","Seen by","Fundraiser"),0)+IFERROR(GETPIVOTDATA("Date",'Activity 3 Seen by'!$A$1,"Activity 3","NG Prostate","Seen by","Fundraiser"),0)</f>
        <v>0</v>
      </c>
    </row>
    <row r="629" spans="1:2" x14ac:dyDescent="0.25">
      <c r="A629" s="48" t="s">
        <v>114</v>
      </c>
      <c r="B629" s="139">
        <f>IFERROR(GETPIVOTDATA("Date",'Activity 1 Seen by'!$A$1,"Activity 1","NG Prostate","Seen by","Psychologist"),0)+IFERROR(GETPIVOTDATA("Date",'Activity 2 Seen by'!$A$1,"Activity 2","NG Prostate","Seen by","Psychologist"),0)+IFERROR(GETPIVOTDATA("Date",'Activity 3 Seen by'!$A$1,"Activity 3","NG Prostate","Seen by","Psychologist"),0)</f>
        <v>0</v>
      </c>
    </row>
    <row r="630" spans="1:2" x14ac:dyDescent="0.25">
      <c r="A630" s="48" t="s">
        <v>116</v>
      </c>
      <c r="B630" s="139">
        <f>IFERROR(GETPIVOTDATA("Date",'Activity 1 Seen by'!$A$1,"Activity 1","NG Prostate","Seen by","Sessional Staff"),0)+IFERROR(GETPIVOTDATA("Date",'Activity 2 Seen by'!$A$1,"Activity 2","NG Prostate","Seen by","Sessional Staff"),0)+IFERROR(GETPIVOTDATA("Date",'Activity 3 Seen by'!$A$1,"Activity 3","NG Prostate","Seen by","Sessional Staff"),0)</f>
        <v>0</v>
      </c>
    </row>
    <row r="631" spans="1:2" x14ac:dyDescent="0.25">
      <c r="A631" s="53" t="s">
        <v>244</v>
      </c>
      <c r="B631" s="144">
        <f>SUM(B632:B637)</f>
        <v>0</v>
      </c>
    </row>
    <row r="632" spans="1:2" x14ac:dyDescent="0.25">
      <c r="A632" s="48" t="s">
        <v>115</v>
      </c>
      <c r="B632" s="139">
        <f>IFERROR(GETPIVOTDATA("Date",'Activity 1 Seen by'!$A$1,"Activity 1","NG Rare","Seen by","Benefits Advisor"),0)+IFERROR(GETPIVOTDATA("Date",'Activity 2 Seen by'!$A$1,"Activity 2","NG Rare","Seen by","Benefits Advisor"),0)+IFERROR(GETPIVOTDATA("Date",'Activity 3 Seen by'!$A$1,"Activity 3","NG Rare","Seen by","Benefits Advisor"),0)</f>
        <v>0</v>
      </c>
    </row>
    <row r="633" spans="1:2" x14ac:dyDescent="0.25">
      <c r="A633" s="48" t="s">
        <v>112</v>
      </c>
      <c r="B633" s="139">
        <f>IFERROR(GETPIVOTDATA("Date",'Activity 1 Seen by'!$A$1,"Activity 1","NG Rare","Seen by","Centre Head"),0)+IFERROR(GETPIVOTDATA("Date",'Activity 2 Seen by'!$A$1,"Activity 2","NG Rare","Seen by","Centre Head"),0)+IFERROR(GETPIVOTDATA("Date",'Activity 3 Seen by'!$A$1,"Activity 3","NG Rare","Seen by","Centre Head"),0)</f>
        <v>0</v>
      </c>
    </row>
    <row r="634" spans="1:2" x14ac:dyDescent="0.25">
      <c r="A634" s="48" t="s">
        <v>113</v>
      </c>
      <c r="B634" s="139">
        <f>IFERROR(GETPIVOTDATA("Date",'Activity 1 Seen by'!$A$1,"Activity 1","NG Rare","Seen by","CSS"),0)+IFERROR(GETPIVOTDATA("Date",'Activity 2 Seen by'!$A$1,"Activity 2","NG Rare","Seen by","CSS"),0)+IFERROR(GETPIVOTDATA("Date",'Activity 3 Seen by'!$A$1,"Activity 3","NG Rare","Seen by","CSS"),0)</f>
        <v>0</v>
      </c>
    </row>
    <row r="635" spans="1:2" x14ac:dyDescent="0.25">
      <c r="A635" s="48" t="s">
        <v>205</v>
      </c>
      <c r="B635" s="139">
        <f>IFERROR(GETPIVOTDATA("Date",'Activity 1 Seen by'!$A$1,"Activity 1","NG Rare","Seen by","Fundraiser"),0)+IFERROR(GETPIVOTDATA("Date",'Activity 2 Seen by'!$A$1,"Activity 2","NG Rare","Seen by","Fundraiser"),0)+IFERROR(GETPIVOTDATA("Date",'Activity 3 Seen by'!$A$1,"Activity 3","NG Rare","Seen by","Fundraiser"),0)</f>
        <v>0</v>
      </c>
    </row>
    <row r="636" spans="1:2" x14ac:dyDescent="0.25">
      <c r="A636" s="48" t="s">
        <v>114</v>
      </c>
      <c r="B636" s="139">
        <f>IFERROR(GETPIVOTDATA("Date",'Activity 1 Seen by'!$A$1,"Activity 1","NG Rare","Seen by","Psychologist"),0)+IFERROR(GETPIVOTDATA("Date",'Activity 2 Seen by'!$A$1,"Activity 2","NG Rare","Seen by","Psychologist"),0)+IFERROR(GETPIVOTDATA("Date",'Activity 3 Seen by'!$A$1,"Activity 3","NG Rare","Seen by","Psychologist"),0)</f>
        <v>0</v>
      </c>
    </row>
    <row r="637" spans="1:2" x14ac:dyDescent="0.25">
      <c r="A637" s="48" t="s">
        <v>116</v>
      </c>
      <c r="B637" s="139">
        <f>IFERROR(GETPIVOTDATA("Date",'Activity 1 Seen by'!$A$1,"Activity 1","NG Rare","Seen by","Sessional Staff"),0)+IFERROR(GETPIVOTDATA("Date",'Activity 2 Seen by'!$A$1,"Activity 2","NG Rare","Seen by","Sessional Staff"),0)+IFERROR(GETPIVOTDATA("Date",'Activity 3 Seen by'!$A$1,"Activity 3","NG Rare","Seen by","Sessional Staff"),0)</f>
        <v>0</v>
      </c>
    </row>
    <row r="638" spans="1:2" x14ac:dyDescent="0.25">
      <c r="A638" s="53" t="s">
        <v>149</v>
      </c>
      <c r="B638" s="144">
        <f>SUM(B639:B644)</f>
        <v>1</v>
      </c>
    </row>
    <row r="639" spans="1:2" x14ac:dyDescent="0.25">
      <c r="A639" s="48" t="s">
        <v>115</v>
      </c>
      <c r="B639" s="139">
        <f>IFERROR(GETPIVOTDATA("Date",'Activity 1 Seen by'!$A$1,"Activity 1","NG Sarcoma","Seen by","Benefits Advisor"),0)+IFERROR(GETPIVOTDATA("Date",'Activity 2 Seen by'!$A$1,"Activity 2","NG Sarcoma","Seen by","Benefits Advisor"),0)+IFERROR(GETPIVOTDATA("Date",'Activity 3 Seen by'!$A$1,"Activity 3","NG Sarcoma","Seen by","Benefits Advisor"),0)</f>
        <v>0</v>
      </c>
    </row>
    <row r="640" spans="1:2" x14ac:dyDescent="0.25">
      <c r="A640" s="48" t="s">
        <v>112</v>
      </c>
      <c r="B640" s="139">
        <f>IFERROR(GETPIVOTDATA("Date",'Activity 1 Seen by'!$A$1,"Activity 1","NG Sarcoma","Seen by","Centre Head"),0)+IFERROR(GETPIVOTDATA("Date",'Activity 2 Seen by'!$A$1,"Activity 2","NG Sarcoma","Seen by","Centre Head"),0)+IFERROR(GETPIVOTDATA("Date",'Activity 3 Seen by'!$A$1,"Activity 3","NG Sarcoma","Seen by","Centre Head"),0)</f>
        <v>0</v>
      </c>
    </row>
    <row r="641" spans="1:2" x14ac:dyDescent="0.25">
      <c r="A641" s="48" t="s">
        <v>113</v>
      </c>
      <c r="B641" s="139">
        <f>IFERROR(GETPIVOTDATA("Date",'Activity 1 Seen by'!$A$1,"Activity 1","NG Sarcoma","Seen by","CSS"),0)+IFERROR(GETPIVOTDATA("Date",'Activity 2 Seen by'!$A$1,"Activity 2","NG Sarcoma","Seen by","CSS"),0)+IFERROR(GETPIVOTDATA("Date",'Activity 3 Seen by'!$A$1,"Activity 3","NG Sarcoma","Seen by","CSS"),0)</f>
        <v>1</v>
      </c>
    </row>
    <row r="642" spans="1:2" x14ac:dyDescent="0.25">
      <c r="A642" s="48" t="s">
        <v>205</v>
      </c>
      <c r="B642" s="139">
        <f>IFERROR(GETPIVOTDATA("Date",'Activity 1 Seen by'!$A$1,"Activity 1","NG Sarcoma","Seen by","Fundraiser"),0)+IFERROR(GETPIVOTDATA("Date",'Activity 2 Seen by'!$A$1,"Activity 2","NG Sarcoma","Seen by","Fundraiser"),0)+IFERROR(GETPIVOTDATA("Date",'Activity 3 Seen by'!$A$1,"Activity 3","NG Sarcoma","Seen by","Fundraiser"),0)</f>
        <v>0</v>
      </c>
    </row>
    <row r="643" spans="1:2" x14ac:dyDescent="0.25">
      <c r="A643" s="48" t="s">
        <v>114</v>
      </c>
      <c r="B643" s="139">
        <f>IFERROR(GETPIVOTDATA("Date",'Activity 1 Seen by'!$A$1,"Activity 1","NG Sarcoma","Seen by","Psychologist"),0)+IFERROR(GETPIVOTDATA("Date",'Activity 2 Seen by'!$A$1,"Activity 2","NG Sarcoma","Seen by","Psychologist"),0)+IFERROR(GETPIVOTDATA("Date",'Activity 3 Seen by'!$A$1,"Activity 3","NG Sarcoma","Seen by","Psychologist"),0)</f>
        <v>0</v>
      </c>
    </row>
    <row r="644" spans="1:2" x14ac:dyDescent="0.25">
      <c r="A644" s="48" t="s">
        <v>116</v>
      </c>
      <c r="B644" s="139">
        <f>IFERROR(GETPIVOTDATA("Date",'Activity 1 Seen by'!$A$1,"Activity 1","NG Sarcoma","Seen by","Sessional Staff"),0)+IFERROR(GETPIVOTDATA("Date",'Activity 2 Seen by'!$A$1,"Activity 2","NG Sarcoma","Seen by","Sessional Staff"),0)+IFERROR(GETPIVOTDATA("Date",'Activity 3 Seen by'!$A$1,"Activity 3","NG Sarcoma","Seen by","Sessional Staff"),0)</f>
        <v>0</v>
      </c>
    </row>
    <row r="645" spans="1:2" x14ac:dyDescent="0.25">
      <c r="A645" s="53" t="s">
        <v>126</v>
      </c>
      <c r="B645" s="144">
        <f>SUM(B646:B651)</f>
        <v>0</v>
      </c>
    </row>
    <row r="646" spans="1:2" x14ac:dyDescent="0.25">
      <c r="A646" s="48" t="s">
        <v>115</v>
      </c>
      <c r="B646" s="139">
        <f>IFERROR(GETPIVOTDATA("Date",'Activity 1 Seen by'!$A$1,"Activity 1","NG Upper GI","Seen by","Benefits Advisor"),0)+IFERROR(GETPIVOTDATA("Date",'Activity 2 Seen by'!$A$1,"Activity 2","NG Upper GI","Seen by","Benefits Advisor"),0)+IFERROR(GETPIVOTDATA("Date",'Activity 3 Seen by'!$A$1,"Activity 3","NG Upper GI","Seen by","Benefits Advisor"),0)</f>
        <v>0</v>
      </c>
    </row>
    <row r="647" spans="1:2" x14ac:dyDescent="0.25">
      <c r="A647" s="48" t="s">
        <v>112</v>
      </c>
      <c r="B647" s="139">
        <f>IFERROR(GETPIVOTDATA("Date",'Activity 1 Seen by'!$A$1,"Activity 1","NG Upper GI","Seen by","Centre Head"),0)+IFERROR(GETPIVOTDATA("Date",'Activity 2 Seen by'!$A$1,"Activity 2","NG Upper GI","Seen by","Centre Head"),0)+IFERROR(GETPIVOTDATA("Date",'Activity 3 Seen by'!$A$1,"Activity 3","NG Upper GI","Seen by","Centre Head"),0)</f>
        <v>0</v>
      </c>
    </row>
    <row r="648" spans="1:2" x14ac:dyDescent="0.25">
      <c r="A648" s="48" t="s">
        <v>113</v>
      </c>
      <c r="B648" s="139">
        <f>IFERROR(GETPIVOTDATA("Date",'Activity 1 Seen by'!$A$1,"Activity 1","NG Upper GI","Seen by","CSS"),0)+IFERROR(GETPIVOTDATA("Date",'Activity 2 Seen by'!$A$1,"Activity 2","NG Upper GI","Seen by","CSS"),0)+IFERROR(GETPIVOTDATA("Date",'Activity 3 Seen by'!$A$1,"Activity 3","NG Upper GI","Seen by","CSS"),0)</f>
        <v>0</v>
      </c>
    </row>
    <row r="649" spans="1:2" x14ac:dyDescent="0.25">
      <c r="A649" s="48" t="s">
        <v>205</v>
      </c>
      <c r="B649" s="139">
        <f>IFERROR(GETPIVOTDATA("Date",'Activity 1 Seen by'!$A$1,"Activity 1","NG Upper GI","Seen by","Fundraiser"),0)+IFERROR(GETPIVOTDATA("Date",'Activity 2 Seen by'!$A$1,"Activity 2","NG Upper GI","Seen by","Fundraiser"),0)+IFERROR(GETPIVOTDATA("Date",'Activity 3 Seen by'!$A$1,"Activity 3","NG Upper GI","Seen by","Fundraiser"),0)</f>
        <v>0</v>
      </c>
    </row>
    <row r="650" spans="1:2" x14ac:dyDescent="0.25">
      <c r="A650" s="48" t="s">
        <v>114</v>
      </c>
      <c r="B650" s="139">
        <f>IFERROR(GETPIVOTDATA("Date",'Activity 1 Seen by'!$A$1,"Activity 1","NG Upper GI","Seen by","Psychologist"),0)+IFERROR(GETPIVOTDATA("Date",'Activity 2 Seen by'!$A$1,"Activity 2","NG Upper GI","Seen by","Psychologist"),0)+IFERROR(GETPIVOTDATA("Date",'Activity 3 Seen by'!$A$1,"Activity 3","NG Upper GI","Seen by","Psychologist"),0)</f>
        <v>0</v>
      </c>
    </row>
    <row r="651" spans="1:2" x14ac:dyDescent="0.25">
      <c r="A651" s="48" t="s">
        <v>116</v>
      </c>
      <c r="B651" s="139">
        <f>IFERROR(GETPIVOTDATA("Date",'Activity 1 Seen by'!$A$1,"Activity 1","NG Upper GI","Seen by","Sessional Staff"),0)+IFERROR(GETPIVOTDATA("Date",'Activity 2 Seen by'!$A$1,"Activity 2","NG Upper GI","Seen by","Sessional Staff"),0)+IFERROR(GETPIVOTDATA("Date",'Activity 3 Seen by'!$A$1,"Activity 3","NG Upper GI","Seen by","Sessional Staff"),0)</f>
        <v>0</v>
      </c>
    </row>
    <row r="652" spans="1:2" x14ac:dyDescent="0.25">
      <c r="A652" s="52" t="s">
        <v>63</v>
      </c>
      <c r="B652" s="143">
        <f>SUM(B653:B658)</f>
        <v>393</v>
      </c>
    </row>
    <row r="653" spans="1:2" x14ac:dyDescent="0.25">
      <c r="A653" s="48" t="s">
        <v>115</v>
      </c>
      <c r="B653" s="139">
        <f>SUM(B660,B667,B674)</f>
        <v>0</v>
      </c>
    </row>
    <row r="654" spans="1:2" x14ac:dyDescent="0.25">
      <c r="A654" s="48" t="s">
        <v>112</v>
      </c>
      <c r="B654" s="139">
        <f t="shared" ref="B654:B658" si="9">SUM(B661,B668,B675)</f>
        <v>124</v>
      </c>
    </row>
    <row r="655" spans="1:2" x14ac:dyDescent="0.25">
      <c r="A655" s="48" t="s">
        <v>113</v>
      </c>
      <c r="B655" s="139">
        <f t="shared" si="9"/>
        <v>125</v>
      </c>
    </row>
    <row r="656" spans="1:2" x14ac:dyDescent="0.25">
      <c r="A656" s="48" t="s">
        <v>205</v>
      </c>
      <c r="B656" s="139">
        <f t="shared" si="9"/>
        <v>0</v>
      </c>
    </row>
    <row r="657" spans="1:2" x14ac:dyDescent="0.25">
      <c r="A657" s="48" t="s">
        <v>114</v>
      </c>
      <c r="B657" s="139">
        <f t="shared" si="9"/>
        <v>142</v>
      </c>
    </row>
    <row r="658" spans="1:2" x14ac:dyDescent="0.25">
      <c r="A658" s="48" t="s">
        <v>116</v>
      </c>
      <c r="B658" s="139">
        <f t="shared" si="9"/>
        <v>2</v>
      </c>
    </row>
    <row r="659" spans="1:2" x14ac:dyDescent="0.25">
      <c r="A659" s="53" t="s">
        <v>132</v>
      </c>
      <c r="B659" s="144">
        <f>SUM(B660:B665)</f>
        <v>39</v>
      </c>
    </row>
    <row r="660" spans="1:2" x14ac:dyDescent="0.25">
      <c r="A660" s="48" t="s">
        <v>115</v>
      </c>
      <c r="B660" s="139">
        <f>IFERROR(GETPIVOTDATA("Date",'Activity 1 Seen by'!$A$1,"Activity 1","Psych Support - Couple","Seen by","Benefits Advisor"),0)+IFERROR(GETPIVOTDATA("Date",'Activity 2 Seen by'!$A$1,"Activity 2","Psych Support - Couple","Seen by","Benefits Advisor"),0)+IFERROR(GETPIVOTDATA("Date",'Activity 3 Seen by'!$A$1,"Activity 3","Psych Support - Couple","Seen by","Benefits Advisor"),0)</f>
        <v>0</v>
      </c>
    </row>
    <row r="661" spans="1:2" x14ac:dyDescent="0.25">
      <c r="A661" s="48" t="s">
        <v>112</v>
      </c>
      <c r="B661" s="139">
        <f>IFERROR(GETPIVOTDATA("Date",'Activity 1 Seen by'!$A$1,"Activity 1","Psych Support - Couple","Seen by","Centre Head"),0)+IFERROR(GETPIVOTDATA("Date",'Activity 2 Seen by'!$A$1,"Activity 2","Psych Support - Couple","Seen by","Centre Head"),0)+IFERROR(GETPIVOTDATA("Date",'Activity 3 Seen by'!$A$1,"Activity 3","Psych Support - Couple","Seen by","Centre Head"),0)</f>
        <v>0</v>
      </c>
    </row>
    <row r="662" spans="1:2" x14ac:dyDescent="0.25">
      <c r="A662" s="48" t="s">
        <v>113</v>
      </c>
      <c r="B662" s="139">
        <f>IFERROR(GETPIVOTDATA("Date",'Activity 1 Seen by'!$A$1,"Activity 1","Psych Support - Couple","Seen by","CSS"),0)+IFERROR(GETPIVOTDATA("Date",'Activity 2 Seen by'!$A$1,"Activity 2","Psych Support - Couple","Seen by","CSS"),0)+IFERROR(GETPIVOTDATA("Date",'Activity 3 Seen by'!$A$1,"Activity 3","Psych Support - Couple","Seen by","CSS"),0)</f>
        <v>23</v>
      </c>
    </row>
    <row r="663" spans="1:2" x14ac:dyDescent="0.25">
      <c r="A663" s="48" t="s">
        <v>205</v>
      </c>
      <c r="B663" s="139">
        <f>IFERROR(GETPIVOTDATA("Date",'Activity 1 Seen by'!$A$1,"Activity 1","Psych Support - Couple","Seen by","Fundraiser"),0)+IFERROR(GETPIVOTDATA("Date",'Activity 2 Seen by'!$A$1,"Activity 2","Psych Support - Couple","Seen by","Fundraiser"),0)+IFERROR(GETPIVOTDATA("Date",'Activity 3 Seen by'!$A$1,"Activity 3","Psych Support - Couple","Seen by","Fundraiser"),0)</f>
        <v>0</v>
      </c>
    </row>
    <row r="664" spans="1:2" x14ac:dyDescent="0.25">
      <c r="A664" s="48" t="s">
        <v>114</v>
      </c>
      <c r="B664" s="139">
        <f>IFERROR(GETPIVOTDATA("Date",'Activity 1 Seen by'!$A$1,"Activity 1","Psych Support - Couple","Seen by","Psychologist"),0)+IFERROR(GETPIVOTDATA("Date",'Activity 2 Seen by'!$A$1,"Activity 2","Psych Support - Couple","Seen by","Psychologist"),0)+IFERROR(GETPIVOTDATA("Date",'Activity 3 Seen by'!$A$1,"Activity 3","Psych Support - Couple","Seen by","Psychologist"),0)</f>
        <v>14</v>
      </c>
    </row>
    <row r="665" spans="1:2" x14ac:dyDescent="0.25">
      <c r="A665" s="48" t="s">
        <v>116</v>
      </c>
      <c r="B665" s="139">
        <f>IFERROR(GETPIVOTDATA("Date",'Activity 1 Seen by'!$A$1,"Activity 1","Psych Support - Couple","Seen by","Sessional Staff"),0)+IFERROR(GETPIVOTDATA("Date",'Activity 2 Seen by'!$A$1,"Activity 2","Psych Support - Couple","Seen by","Sessional Staff"),0)+IFERROR(GETPIVOTDATA("Date",'Activity 3 Seen by'!$A$1,"Activity 3","Psych Support - Couple","Seen by","Sessional Staff"),0)</f>
        <v>2</v>
      </c>
    </row>
    <row r="666" spans="1:2" x14ac:dyDescent="0.25">
      <c r="A666" s="53" t="s">
        <v>131</v>
      </c>
      <c r="B666" s="144">
        <f>SUM(B667:B672)</f>
        <v>10</v>
      </c>
    </row>
    <row r="667" spans="1:2" x14ac:dyDescent="0.25">
      <c r="A667" s="48" t="s">
        <v>115</v>
      </c>
      <c r="B667" s="139">
        <f>IFERROR(GETPIVOTDATA("Date",'Activity 1 Seen by'!$A$1,"Activity 1","Psych Support - Family","Seen by","Benefits Advisor"),0)+IFERROR(GETPIVOTDATA("Date",'Activity 2 Seen by'!$A$1,"Activity 2","Psych Support - Family","Seen by","Benefits Advisor"),0)+IFERROR(GETPIVOTDATA("Date",'Activity 3 Seen by'!$A$1,"Activity 3","Psych Support - Family","Seen by","Benefits Advisor"),0)</f>
        <v>0</v>
      </c>
    </row>
    <row r="668" spans="1:2" x14ac:dyDescent="0.25">
      <c r="A668" s="48" t="s">
        <v>112</v>
      </c>
      <c r="B668" s="139">
        <f>IFERROR(GETPIVOTDATA("Date",'Activity 1 Seen by'!$A$1,"Activity 1","Psych Support - Family","Seen by","Centre Head"),0)+IFERROR(GETPIVOTDATA("Date",'Activity 2 Seen by'!$A$1,"Activity 2","Psych Support - Family","Seen by","Centre Head"),0)+IFERROR(GETPIVOTDATA("Date",'Activity 3 Seen by'!$A$1,"Activity 3","Psych Support - Family","Seen by","Centre Head"),0)</f>
        <v>3</v>
      </c>
    </row>
    <row r="669" spans="1:2" x14ac:dyDescent="0.25">
      <c r="A669" s="48" t="s">
        <v>113</v>
      </c>
      <c r="B669" s="139">
        <f>IFERROR(GETPIVOTDATA("Date",'Activity 1 Seen by'!$A$1,"Activity 1","Psych Support - Family","Seen by","CSS"),0)+IFERROR(GETPIVOTDATA("Date",'Activity 2 Seen by'!$A$1,"Activity 2","Psych Support - Family","Seen by","CSS"),0)+IFERROR(GETPIVOTDATA("Date",'Activity 3 Seen by'!$A$1,"Activity 3","Psych Support - Family","Seen by","CSS"),0)</f>
        <v>6</v>
      </c>
    </row>
    <row r="670" spans="1:2" x14ac:dyDescent="0.25">
      <c r="A670" s="48" t="s">
        <v>205</v>
      </c>
      <c r="B670" s="139">
        <f>IFERROR(GETPIVOTDATA("Date",'Activity 1 Seen by'!$A$1,"Activity 1","Psych Support - Family","Seen by","Fundraiser"),0)+IFERROR(GETPIVOTDATA("Date",'Activity 2 Seen by'!$A$1,"Activity 2","Psych Support - Family","Seen by","Fundraiser"),0)+IFERROR(GETPIVOTDATA("Date",'Activity 3 Seen by'!$A$1,"Activity 3","Psych Support - Family","Seen by","Fundraiser"),0)</f>
        <v>0</v>
      </c>
    </row>
    <row r="671" spans="1:2" x14ac:dyDescent="0.25">
      <c r="A671" s="48" t="s">
        <v>114</v>
      </c>
      <c r="B671" s="139">
        <f>IFERROR(GETPIVOTDATA("Date",'Activity 1 Seen by'!$A$1,"Activity 1","Psych Support - Family","Seen by","Psychologist"),0)+IFERROR(GETPIVOTDATA("Date",'Activity 2 Seen by'!$A$1,"Activity 2","Psych Support - Family","Seen by","Psychologist"),0)+IFERROR(GETPIVOTDATA("Date",'Activity 3 Seen by'!$A$1,"Activity 3","Psych Support - Family","Seen by","Psychologist"),0)</f>
        <v>1</v>
      </c>
    </row>
    <row r="672" spans="1:2" x14ac:dyDescent="0.25">
      <c r="A672" s="48" t="s">
        <v>116</v>
      </c>
      <c r="B672" s="139">
        <f>IFERROR(GETPIVOTDATA("Date",'Activity 1 Seen by'!$A$1,"Activity 1","Psych Support - Family","Seen by","Sessional Staff"),0)+IFERROR(GETPIVOTDATA("Date",'Activity 2 Seen by'!$A$1,"Activity 2","Psych Support - Family","Seen by","Sessional Staff"),0)+IFERROR(GETPIVOTDATA("Date",'Activity 3 Seen by'!$A$1,"Activity 3","Psych Support - Family","Seen by","Sessional Staff"),0)</f>
        <v>0</v>
      </c>
    </row>
    <row r="673" spans="1:2" x14ac:dyDescent="0.25">
      <c r="A673" s="53" t="s">
        <v>130</v>
      </c>
      <c r="B673" s="144">
        <f>SUM(B674:B679)</f>
        <v>344</v>
      </c>
    </row>
    <row r="674" spans="1:2" x14ac:dyDescent="0.25">
      <c r="A674" s="48" t="s">
        <v>115</v>
      </c>
      <c r="B674" s="139">
        <f>IFERROR(GETPIVOTDATA("Date",'Activity 1 Seen by'!$A$1,"Activity 1","Psych Support - Individual","Seen by","Benefits Advisor"),0)+IFERROR(GETPIVOTDATA("Date",'Activity 2 Seen by'!$A$1,"Activity 2","Psych Support - Individual","Seen by","Benefits Advisor"),0)+IFERROR(GETPIVOTDATA("Date",'Activity 3 Seen by'!$A$1,"Activity 3","Psych Support - Individual","Seen by","Benefits Advisor"),0)</f>
        <v>0</v>
      </c>
    </row>
    <row r="675" spans="1:2" x14ac:dyDescent="0.25">
      <c r="A675" s="48" t="s">
        <v>112</v>
      </c>
      <c r="B675" s="139">
        <f>IFERROR(GETPIVOTDATA("Date",'Activity 1 Seen by'!$A$1,"Activity 1","Psych Support - Individual","Seen by","Centre Head"),0)+IFERROR(GETPIVOTDATA("Date",'Activity 2 Seen by'!$A$1,"Activity 2","Psych Support - Individual","Seen by","Centre Head"),0)+IFERROR(GETPIVOTDATA("Date",'Activity 3 Seen by'!$A$1,"Activity 3","Psych Support - Individual","Seen by","Centre Head"),0)</f>
        <v>121</v>
      </c>
    </row>
    <row r="676" spans="1:2" x14ac:dyDescent="0.25">
      <c r="A676" s="48" t="s">
        <v>113</v>
      </c>
      <c r="B676" s="139">
        <f>IFERROR(GETPIVOTDATA("Date",'Activity 1 Seen by'!$A$1,"Activity 1","Psych Support - Individual","Seen by","CSS"),0)+IFERROR(GETPIVOTDATA("Date",'Activity 2 Seen by'!$A$1,"Activity 2","Psych Support - Individual","Seen by","CSS"),0)+IFERROR(GETPIVOTDATA("Date",'Activity 3 Seen by'!$A$1,"Activity 3","Psych Support - Individual","Seen by","CSS"),0)</f>
        <v>96</v>
      </c>
    </row>
    <row r="677" spans="1:2" x14ac:dyDescent="0.25">
      <c r="A677" s="48" t="s">
        <v>205</v>
      </c>
      <c r="B677" s="139">
        <f>IFERROR(GETPIVOTDATA("Date",'Activity 1 Seen by'!$A$1,"Activity 1","Psych Support - Individual","Seen by","Fundraiser"),0)+IFERROR(GETPIVOTDATA("Date",'Activity 2 Seen by'!$A$1,"Activity 2","Psych Support - Individual","Seen by","Fundraiser"),0)+IFERROR(GETPIVOTDATA("Date",'Activity 3 Seen by'!$A$1,"Activity 3","Psych Support - Individual","Seen by","Fundraiser"),0)</f>
        <v>0</v>
      </c>
    </row>
    <row r="678" spans="1:2" x14ac:dyDescent="0.25">
      <c r="A678" s="48" t="s">
        <v>114</v>
      </c>
      <c r="B678" s="139">
        <f>IFERROR(GETPIVOTDATA("Date",'Activity 1 Seen by'!$A$1,"Activity 1","Psych Support - Individual","Seen by","Psychologist"),0)+IFERROR(GETPIVOTDATA("Date",'Activity 2 Seen by'!$A$1,"Activity 2","Psych Support - Individual","Seen by","Psychologist"),0)+IFERROR(GETPIVOTDATA("Date",'Activity 3 Seen by'!$A$1,"Activity 3","Psych Support - Individual","Seen by","Psychologist"),0)</f>
        <v>127</v>
      </c>
    </row>
    <row r="679" spans="1:2" x14ac:dyDescent="0.25">
      <c r="A679" s="48" t="s">
        <v>116</v>
      </c>
      <c r="B679" s="139">
        <f>IFERROR(GETPIVOTDATA("Date",'Activity 1 Seen by'!$A$1,"Activity 1","Psych Support - Individual","Seen by","Sessional Staff"),0)+IFERROR(GETPIVOTDATA("Date",'Activity 2 Seen by'!$A$1,"Activity 2","Psych Support - Individual","Seen by","Sessional Staff"),0)+IFERROR(GETPIVOTDATA("Date",'Activity 3 Seen by'!$A$1,"Activity 3","Psych Support - Individual","Seen by","Sessional Staff"),0)</f>
        <v>0</v>
      </c>
    </row>
    <row r="680" spans="1:2" x14ac:dyDescent="0.25">
      <c r="A680" s="52" t="s">
        <v>245</v>
      </c>
      <c r="B680" s="143">
        <f>SUM(B681:B686)</f>
        <v>53</v>
      </c>
    </row>
    <row r="681" spans="1:2" x14ac:dyDescent="0.25">
      <c r="A681" s="48" t="s">
        <v>115</v>
      </c>
      <c r="B681" s="139">
        <f>SUM(B688,B695,B702)</f>
        <v>34</v>
      </c>
    </row>
    <row r="682" spans="1:2" x14ac:dyDescent="0.25">
      <c r="A682" s="48" t="s">
        <v>112</v>
      </c>
      <c r="B682" s="139">
        <f t="shared" ref="B682:B686" si="10">SUM(B689,B696,B703)</f>
        <v>17</v>
      </c>
    </row>
    <row r="683" spans="1:2" x14ac:dyDescent="0.25">
      <c r="A683" s="48" t="s">
        <v>113</v>
      </c>
      <c r="B683" s="139">
        <f t="shared" si="10"/>
        <v>1</v>
      </c>
    </row>
    <row r="684" spans="1:2" x14ac:dyDescent="0.25">
      <c r="A684" s="48" t="s">
        <v>205</v>
      </c>
      <c r="B684" s="139">
        <f t="shared" si="10"/>
        <v>0</v>
      </c>
    </row>
    <row r="685" spans="1:2" x14ac:dyDescent="0.25">
      <c r="A685" s="48" t="s">
        <v>114</v>
      </c>
      <c r="B685" s="139">
        <f t="shared" si="10"/>
        <v>1</v>
      </c>
    </row>
    <row r="686" spans="1:2" x14ac:dyDescent="0.25">
      <c r="A686" s="48" t="s">
        <v>116</v>
      </c>
      <c r="B686" s="139">
        <f t="shared" si="10"/>
        <v>0</v>
      </c>
    </row>
    <row r="687" spans="1:2" x14ac:dyDescent="0.25">
      <c r="A687" s="53" t="s">
        <v>150</v>
      </c>
      <c r="B687" s="144">
        <f>SUM(B688:B693)</f>
        <v>12</v>
      </c>
    </row>
    <row r="688" spans="1:2" x14ac:dyDescent="0.25">
      <c r="A688" s="48" t="s">
        <v>115</v>
      </c>
      <c r="B688" s="139">
        <f>IFERROR(GETPIVOTDATA("Date",'Activity 1 Seen by'!$A$1,"Activity 1","Benefits - Couple","Seen by","Benefits Advisor"),0)+IFERROR(GETPIVOTDATA("Date",'Activity 2 Seen by'!$A$1,"Activity 2","Benefits - Couple","Seen by","Benefits Advisor"),0)+IFERROR(GETPIVOTDATA("Date",'Activity 3 Seen by'!$A$1,"Activity 3","Benefits - Couple","Seen by","Benefits Advisor"),0)</f>
        <v>12</v>
      </c>
    </row>
    <row r="689" spans="1:2" x14ac:dyDescent="0.25">
      <c r="A689" s="48" t="s">
        <v>112</v>
      </c>
      <c r="B689" s="139">
        <f>IFERROR(GETPIVOTDATA("Date",'Activity 1 Seen by'!$A$1,"Activity 1","Benefits - Couple","Seen by","Centre Head"),0)+IFERROR(GETPIVOTDATA("Date",'Activity 2 Seen by'!$A$1,"Activity 2","Benefits - Couple","Seen by","Centre Head"),0)+IFERROR(GETPIVOTDATA("Date",'Activity 3 Seen by'!$A$1,"Activity 3","Benefits - Couple","Seen by","Centre Head"),0)</f>
        <v>0</v>
      </c>
    </row>
    <row r="690" spans="1:2" x14ac:dyDescent="0.25">
      <c r="A690" s="48" t="s">
        <v>113</v>
      </c>
      <c r="B690" s="139">
        <f>IFERROR(GETPIVOTDATA("Date",'Activity 1 Seen by'!$A$1,"Activity 1","Benefits - Couple","Seen by","CSS"),0)+IFERROR(GETPIVOTDATA("Date",'Activity 2 Seen by'!$A$1,"Activity 2","Benefits - Couple","Seen by","CSS"),0)+IFERROR(GETPIVOTDATA("Date",'Activity 3 Seen by'!$A$1,"Activity 3","Benefits - Couple","Seen by","CSS"),0)</f>
        <v>0</v>
      </c>
    </row>
    <row r="691" spans="1:2" x14ac:dyDescent="0.25">
      <c r="A691" s="48" t="s">
        <v>205</v>
      </c>
      <c r="B691" s="139">
        <f>IFERROR(GETPIVOTDATA("Date",'Activity 1 Seen by'!$A$1,"Activity 1","Benefits - Couple","Seen by","Fundraiser"),0)+IFERROR(GETPIVOTDATA("Date",'Activity 2 Seen by'!$A$1,"Activity 2","Benefits - Couple","Seen by","Fundraiser"),0)+IFERROR(GETPIVOTDATA("Date",'Activity 3 Seen by'!$A$1,"Activity 3","Benefits - Couple","Seen by","Fundraiser"),0)</f>
        <v>0</v>
      </c>
    </row>
    <row r="692" spans="1:2" x14ac:dyDescent="0.25">
      <c r="A692" s="48" t="s">
        <v>114</v>
      </c>
      <c r="B692" s="139">
        <f>IFERROR(GETPIVOTDATA("Date",'Activity 1 Seen by'!$A$1,"Activity 1","Benefits - Couple","Seen by","Psychologist"),0)+IFERROR(GETPIVOTDATA("Date",'Activity 2 Seen by'!$A$1,"Activity 2","Benefits - Couple","Seen by","Psychologist"),0)+IFERROR(GETPIVOTDATA("Date",'Activity 3 Seen by'!$A$1,"Activity 3","Benefits - Couple","Seen by","Psychologist"),0)</f>
        <v>0</v>
      </c>
    </row>
    <row r="693" spans="1:2" x14ac:dyDescent="0.25">
      <c r="A693" s="48" t="s">
        <v>116</v>
      </c>
      <c r="B693" s="139">
        <f>IFERROR(GETPIVOTDATA("Date",'Activity 1 Seen by'!$A$1,"Activity 1","Benefits - Couple","Seen by","Sessional Staff"),0)+IFERROR(GETPIVOTDATA("Date",'Activity 2 Seen by'!$A$1,"Activity 2","Benefits - Couple","Seen by","Sessional Staff"),0)+IFERROR(GETPIVOTDATA("Date",'Activity 3 Seen by'!$A$1,"Activity 3","Benefits - Couple","Seen by","Sessional Staff"),0)</f>
        <v>0</v>
      </c>
    </row>
    <row r="694" spans="1:2" x14ac:dyDescent="0.25">
      <c r="A694" s="53" t="s">
        <v>151</v>
      </c>
      <c r="B694" s="144">
        <f>SUM(B695:B700)</f>
        <v>4</v>
      </c>
    </row>
    <row r="695" spans="1:2" x14ac:dyDescent="0.25">
      <c r="A695" s="48" t="s">
        <v>115</v>
      </c>
      <c r="B695" s="139">
        <f>IFERROR(GETPIVOTDATA("Date",'Activity 1 Seen by'!$A$1,"Activity 1","Benefits - Family","Seen by","Benefits Advisor"),0)+IFERROR(GETPIVOTDATA("Date",'Activity 2 Seen by'!$A$1,"Activity 2","Benefits - Family","Seen by","Benefits Advisor"),0)+IFERROR(GETPIVOTDATA("Date",'Activity 3 Seen by'!$A$1,"Activity 3","Benefits - Family","Seen by","Benefits Advisor"),0)</f>
        <v>4</v>
      </c>
    </row>
    <row r="696" spans="1:2" x14ac:dyDescent="0.25">
      <c r="A696" s="48" t="s">
        <v>112</v>
      </c>
      <c r="B696" s="139">
        <f>IFERROR(GETPIVOTDATA("Date",'Activity 1 Seen by'!$A$1,"Activity 1","Benefits - Family","Seen by","Centre Head"),0)+IFERROR(GETPIVOTDATA("Date",'Activity 2 Seen by'!$A$1,"Activity 2","Benefits - Family","Seen by","Centre Head"),0)+IFERROR(GETPIVOTDATA("Date",'Activity 3 Seen by'!$A$1,"Activity 3","Benefits - Family","Seen by","Centre Head"),0)</f>
        <v>0</v>
      </c>
    </row>
    <row r="697" spans="1:2" x14ac:dyDescent="0.25">
      <c r="A697" s="48" t="s">
        <v>113</v>
      </c>
      <c r="B697" s="139">
        <f>IFERROR(GETPIVOTDATA("Date",'Activity 1 Seen by'!$A$1,"Activity 1","Benefits - Family","Seen by","CSS"),0)+IFERROR(GETPIVOTDATA("Date",'Activity 2 Seen by'!$A$1,"Activity 2","Benefits - Family","Seen by","CSS"),0)+IFERROR(GETPIVOTDATA("Date",'Activity 3 Seen by'!$A$1,"Activity 3","Benefits - Family","Seen by","CSS"),0)</f>
        <v>0</v>
      </c>
    </row>
    <row r="698" spans="1:2" x14ac:dyDescent="0.25">
      <c r="A698" s="48" t="s">
        <v>205</v>
      </c>
      <c r="B698" s="139">
        <f>IFERROR(GETPIVOTDATA("Date",'Activity 1 Seen by'!$A$1,"Activity 1","Benefits - Family","Seen by","Fundraiser"),0)+IFERROR(GETPIVOTDATA("Date",'Activity 2 Seen by'!$A$1,"Activity 2","Benefits - Family","Seen by","Fundraiser"),0)+IFERROR(GETPIVOTDATA("Date",'Activity 3 Seen by'!$A$1,"Activity 3","Benefits - Family","Seen by","Fundraiser"),0)</f>
        <v>0</v>
      </c>
    </row>
    <row r="699" spans="1:2" x14ac:dyDescent="0.25">
      <c r="A699" s="48" t="s">
        <v>114</v>
      </c>
      <c r="B699" s="139">
        <f>IFERROR(GETPIVOTDATA("Date",'Activity 1 Seen by'!$A$1,"Activity 1","Benefits - Family","Seen by","Psychologist"),0)+IFERROR(GETPIVOTDATA("Date",'Activity 2 Seen by'!$A$1,"Activity 2","Benefits - Family","Seen by","Psychologist"),0)+IFERROR(GETPIVOTDATA("Date",'Activity 3 Seen by'!$A$1,"Activity 3","Benefits - Family","Seen by","Psychologist"),0)</f>
        <v>0</v>
      </c>
    </row>
    <row r="700" spans="1:2" x14ac:dyDescent="0.25">
      <c r="A700" s="48" t="s">
        <v>116</v>
      </c>
      <c r="B700" s="139">
        <f>IFERROR(GETPIVOTDATA("Date",'Activity 1 Seen by'!$A$1,"Activity 1","Benefits - Family","Seen by","Sessional Staff"),0)+IFERROR(GETPIVOTDATA("Date",'Activity 2 Seen by'!$A$1,"Activity 2","Benefits - Family","Seen by","Sessional Staff"),0)+IFERROR(GETPIVOTDATA("Date",'Activity 3 Seen by'!$A$1,"Activity 3","Benefits - Family","Seen by","Sessional Staff"),0)</f>
        <v>0</v>
      </c>
    </row>
    <row r="701" spans="1:2" x14ac:dyDescent="0.25">
      <c r="A701" s="53" t="s">
        <v>137</v>
      </c>
      <c r="B701" s="144">
        <f>SUM(B702:B707)</f>
        <v>37</v>
      </c>
    </row>
    <row r="702" spans="1:2" x14ac:dyDescent="0.25">
      <c r="A702" s="48" t="s">
        <v>115</v>
      </c>
      <c r="B702" s="139">
        <f>IFERROR(GETPIVOTDATA("Date",'Activity 1 Seen by'!$A$1,"Activity 1","Benefits - Individual","Seen by","Benefits Advisor"),0)+IFERROR(GETPIVOTDATA("Date",'Activity 2 Seen by'!$A$1,"Activity 2","Benefits - Individual","Seen by","Benefits Advisor"),0)+IFERROR(GETPIVOTDATA("Date",'Activity 3 Seen by'!$A$1,"Activity 3","Benefits - Individual","Seen by","Benefits Advisor"),0)</f>
        <v>18</v>
      </c>
    </row>
    <row r="703" spans="1:2" x14ac:dyDescent="0.25">
      <c r="A703" s="48" t="s">
        <v>112</v>
      </c>
      <c r="B703" s="139">
        <f>IFERROR(GETPIVOTDATA("Date",'Activity 1 Seen by'!$A$1,"Activity 1","Benefits - Individual","Seen by","Centre Head"),0)+IFERROR(GETPIVOTDATA("Date",'Activity 2 Seen by'!$A$1,"Activity 2","Benefits - Individual","Seen by","Centre Head"),0)+IFERROR(GETPIVOTDATA("Date",'Activity 3 Seen by'!$A$1,"Activity 3","Benefits - Individual","Seen by","Centre Head"),0)</f>
        <v>17</v>
      </c>
    </row>
    <row r="704" spans="1:2" x14ac:dyDescent="0.25">
      <c r="A704" s="48" t="s">
        <v>113</v>
      </c>
      <c r="B704" s="139">
        <f>IFERROR(GETPIVOTDATA("Date",'Activity 1 Seen by'!$A$1,"Activity 1","Benefits - Individual","Seen by","CSS"),0)+IFERROR(GETPIVOTDATA("Date",'Activity 2 Seen by'!$A$1,"Activity 2","Benefits - Individual","Seen by","CSS"),0)+IFERROR(GETPIVOTDATA("Date",'Activity 3 Seen by'!$A$1,"Activity 3","Benefits - Individual","Seen by","CSS"),0)</f>
        <v>1</v>
      </c>
    </row>
    <row r="705" spans="1:4" x14ac:dyDescent="0.25">
      <c r="A705" s="48" t="s">
        <v>205</v>
      </c>
      <c r="B705" s="139">
        <f>IFERROR(GETPIVOTDATA("Date",'Activity 1 Seen by'!$A$1,"Activity 1","Benefits - Individual","Seen by","Fundraiser"),0)+IFERROR(GETPIVOTDATA("Date",'Activity 2 Seen by'!$A$1,"Activity 2","Benefits - Individual","Seen by","Fundraiser"),0)+IFERROR(GETPIVOTDATA("Date",'Activity 3 Seen by'!$A$1,"Activity 3","Benefits - Individual","Seen by","Fundraiser"),0)</f>
        <v>0</v>
      </c>
    </row>
    <row r="706" spans="1:4" x14ac:dyDescent="0.25">
      <c r="A706" s="48" t="s">
        <v>114</v>
      </c>
      <c r="B706" s="139">
        <f>IFERROR(GETPIVOTDATA("Date",'Activity 1 Seen by'!$A$1,"Activity 1","Benefits - Individual","Seen by","Psychologist"),0)+IFERROR(GETPIVOTDATA("Date",'Activity 2 Seen by'!$A$1,"Activity 2","Benefits - Individual","Seen by","Psychologist"),0)+IFERROR(GETPIVOTDATA("Date",'Activity 3 Seen by'!$A$1,"Activity 3","Benefits - Individual","Seen by","Psychologist"),0)</f>
        <v>1</v>
      </c>
    </row>
    <row r="707" spans="1:4" x14ac:dyDescent="0.25">
      <c r="A707" s="48" t="s">
        <v>116</v>
      </c>
      <c r="B707" s="139">
        <f>IFERROR(GETPIVOTDATA("Date",'Activity 1 Seen by'!$A$1,"Activity 1","Benefits - Individual","Seen by","Sessional Staff"),0)+IFERROR(GETPIVOTDATA("Date",'Activity 2 Seen by'!$A$1,"Activity 2","Benefits - Individual","Seen by","Sessional Staff"),0)+IFERROR(GETPIVOTDATA("Date",'Activity 3 Seen by'!$A$1,"Activity 3","Benefits - Individual","Seen by","Sessional Staff"),0)</f>
        <v>0</v>
      </c>
      <c r="C707"/>
      <c r="D707"/>
    </row>
    <row r="708" spans="1:4" ht="30" customHeight="1" x14ac:dyDescent="0.25">
      <c r="A708" s="121" t="s">
        <v>286</v>
      </c>
      <c r="B708" s="145">
        <f>SUM(B715,B848)</f>
        <v>845</v>
      </c>
      <c r="C708"/>
      <c r="D708"/>
    </row>
    <row r="709" spans="1:4" x14ac:dyDescent="0.25">
      <c r="A709" s="48" t="s">
        <v>115</v>
      </c>
      <c r="B709" s="139">
        <f t="shared" ref="B709:B714" si="11">SUM(B716,B849)</f>
        <v>3</v>
      </c>
      <c r="C709"/>
      <c r="D709"/>
    </row>
    <row r="710" spans="1:4" x14ac:dyDescent="0.25">
      <c r="A710" s="48" t="s">
        <v>112</v>
      </c>
      <c r="B710" s="139">
        <f t="shared" si="11"/>
        <v>254</v>
      </c>
      <c r="C710"/>
      <c r="D710"/>
    </row>
    <row r="711" spans="1:4" x14ac:dyDescent="0.25">
      <c r="A711" s="48" t="s">
        <v>113</v>
      </c>
      <c r="B711" s="139">
        <f t="shared" si="11"/>
        <v>180</v>
      </c>
      <c r="C711"/>
      <c r="D711"/>
    </row>
    <row r="712" spans="1:4" x14ac:dyDescent="0.25">
      <c r="A712" s="48" t="s">
        <v>205</v>
      </c>
      <c r="B712" s="139">
        <f t="shared" si="11"/>
        <v>0</v>
      </c>
      <c r="C712"/>
      <c r="D712"/>
    </row>
    <row r="713" spans="1:4" x14ac:dyDescent="0.25">
      <c r="A713" s="48" t="s">
        <v>114</v>
      </c>
      <c r="B713" s="139">
        <f t="shared" si="11"/>
        <v>154</v>
      </c>
      <c r="C713"/>
      <c r="D713"/>
    </row>
    <row r="714" spans="1:4" x14ac:dyDescent="0.25">
      <c r="A714" s="48" t="s">
        <v>116</v>
      </c>
      <c r="B714" s="139">
        <f t="shared" si="11"/>
        <v>254</v>
      </c>
      <c r="C714"/>
      <c r="D714"/>
    </row>
    <row r="715" spans="1:4" ht="30" customHeight="1" x14ac:dyDescent="0.25">
      <c r="A715" s="121" t="s">
        <v>285</v>
      </c>
      <c r="B715" s="145">
        <f>SUM(B722,B799)</f>
        <v>651</v>
      </c>
      <c r="C715"/>
      <c r="D715"/>
    </row>
    <row r="716" spans="1:4" x14ac:dyDescent="0.25">
      <c r="A716" s="48" t="s">
        <v>115</v>
      </c>
      <c r="B716" s="139">
        <f t="shared" ref="B716:B720" si="12">SUM(B723,B800)</f>
        <v>3</v>
      </c>
      <c r="C716"/>
      <c r="D716"/>
    </row>
    <row r="717" spans="1:4" x14ac:dyDescent="0.25">
      <c r="A717" s="48" t="s">
        <v>112</v>
      </c>
      <c r="B717" s="139">
        <f t="shared" si="12"/>
        <v>174</v>
      </c>
      <c r="C717"/>
      <c r="D717"/>
    </row>
    <row r="718" spans="1:4" x14ac:dyDescent="0.25">
      <c r="A718" s="48" t="s">
        <v>113</v>
      </c>
      <c r="B718" s="139">
        <f t="shared" si="12"/>
        <v>148</v>
      </c>
      <c r="C718"/>
      <c r="D718"/>
    </row>
    <row r="719" spans="1:4" x14ac:dyDescent="0.25">
      <c r="A719" s="48" t="s">
        <v>205</v>
      </c>
      <c r="B719" s="139">
        <f t="shared" si="12"/>
        <v>0</v>
      </c>
      <c r="C719"/>
      <c r="D719"/>
    </row>
    <row r="720" spans="1:4" x14ac:dyDescent="0.25">
      <c r="A720" s="48" t="s">
        <v>114</v>
      </c>
      <c r="B720" s="139">
        <f t="shared" si="12"/>
        <v>146</v>
      </c>
      <c r="C720"/>
      <c r="D720"/>
    </row>
    <row r="721" spans="1:4" x14ac:dyDescent="0.25">
      <c r="A721" s="48" t="s">
        <v>116</v>
      </c>
      <c r="B721" s="139">
        <f>SUM(B728,B805)</f>
        <v>180</v>
      </c>
      <c r="C721"/>
      <c r="D721"/>
    </row>
    <row r="722" spans="1:4" x14ac:dyDescent="0.25">
      <c r="A722" s="119" t="s">
        <v>288</v>
      </c>
      <c r="B722" s="143">
        <f>SUM(B723:B728)</f>
        <v>329</v>
      </c>
      <c r="C722"/>
      <c r="D722"/>
    </row>
    <row r="723" spans="1:4" x14ac:dyDescent="0.25">
      <c r="A723" s="48" t="s">
        <v>115</v>
      </c>
      <c r="B723" s="139">
        <f>SUM(B730,B737,B744,B751,B758,B765,B772,B779,B786,B793)</f>
        <v>3</v>
      </c>
      <c r="C723"/>
      <c r="D723"/>
    </row>
    <row r="724" spans="1:4" x14ac:dyDescent="0.25">
      <c r="A724" s="48" t="s">
        <v>112</v>
      </c>
      <c r="B724" s="139">
        <f t="shared" ref="B724:B728" si="13">SUM(B731,B738,B745,B752,B759,B766,B773,B780,B787,B794)</f>
        <v>123</v>
      </c>
      <c r="C724"/>
      <c r="D724"/>
    </row>
    <row r="725" spans="1:4" x14ac:dyDescent="0.25">
      <c r="A725" s="48" t="s">
        <v>113</v>
      </c>
      <c r="B725" s="139">
        <f t="shared" si="13"/>
        <v>54</v>
      </c>
      <c r="C725"/>
      <c r="D725"/>
    </row>
    <row r="726" spans="1:4" x14ac:dyDescent="0.25">
      <c r="A726" s="48" t="s">
        <v>205</v>
      </c>
      <c r="B726" s="139">
        <f t="shared" si="13"/>
        <v>0</v>
      </c>
      <c r="C726"/>
      <c r="D726"/>
    </row>
    <row r="727" spans="1:4" x14ac:dyDescent="0.25">
      <c r="A727" s="48" t="s">
        <v>114</v>
      </c>
      <c r="B727" s="139">
        <f t="shared" si="13"/>
        <v>111</v>
      </c>
      <c r="C727"/>
      <c r="D727"/>
    </row>
    <row r="728" spans="1:4" x14ac:dyDescent="0.25">
      <c r="A728" s="48" t="s">
        <v>116</v>
      </c>
      <c r="B728" s="139">
        <f t="shared" si="13"/>
        <v>38</v>
      </c>
      <c r="C728"/>
      <c r="D728"/>
    </row>
    <row r="729" spans="1:4" x14ac:dyDescent="0.25">
      <c r="A729" s="53" t="s">
        <v>247</v>
      </c>
      <c r="B729" s="144">
        <f>SUM(B730:B735)</f>
        <v>12</v>
      </c>
      <c r="C729"/>
      <c r="D729"/>
    </row>
    <row r="730" spans="1:4" x14ac:dyDescent="0.25">
      <c r="A730" s="48" t="s">
        <v>115</v>
      </c>
      <c r="B730" s="139">
        <f>IFERROR(GETPIVOTDATA("Date",'Activity 1 Seen by'!$A$1,"Activity 1","Benefits Workshop","Seen by","Benefits Advisor"),0)+IFERROR(GETPIVOTDATA("Date",'Activity 2 Seen by'!$A$1,"Activity 2","Benefits Workshop","Seen by","Benefits Advisor"),0)+IFERROR(GETPIVOTDATA("Date",'Activity 3 Seen by'!$A$1,"Activity 3","Benefits Workshop","Seen by","Benefits Advisor"),0)</f>
        <v>0</v>
      </c>
      <c r="C730"/>
      <c r="D730"/>
    </row>
    <row r="731" spans="1:4" x14ac:dyDescent="0.25">
      <c r="A731" s="48" t="s">
        <v>112</v>
      </c>
      <c r="B731" s="139">
        <f>IFERROR(GETPIVOTDATA("Date",'Activity 1 Seen by'!$A$1,"Activity 1","Benefits Workshop","Seen by","Centre Head"),0)+IFERROR(GETPIVOTDATA("Date",'Activity 2 Seen by'!$A$1,"Activity 2","Benefits Workshop","Seen by","Centre Head"),0)+IFERROR(GETPIVOTDATA("Date",'Activity 3 Seen by'!$A$1,"Activity 3","Benefits Workshop","Seen by","Centre Head"),0)</f>
        <v>1</v>
      </c>
    </row>
    <row r="732" spans="1:4" x14ac:dyDescent="0.25">
      <c r="A732" s="48" t="s">
        <v>113</v>
      </c>
      <c r="B732" s="139">
        <f>IFERROR(GETPIVOTDATA("Date",'Activity 1 Seen by'!$A$1,"Activity 1","Benefits Workshop","Seen by","CSS"),0)+IFERROR(GETPIVOTDATA("Date",'Activity 2 Seen by'!$A$1,"Activity 2","Benefits Workshop","Seen by","CSS"),0)+IFERROR(GETPIVOTDATA("Date",'Activity 3 Seen by'!$A$1,"Activity 3","Benefits Workshop","Seen by","CSS"),0)</f>
        <v>0</v>
      </c>
    </row>
    <row r="733" spans="1:4" x14ac:dyDescent="0.25">
      <c r="A733" s="48" t="s">
        <v>205</v>
      </c>
      <c r="B733" s="139">
        <f>IFERROR(GETPIVOTDATA("Date",'Activity 1 Seen by'!$A$1,"Activity 1","Benefits Workshop","Seen by","Fundraiser"),0)+IFERROR(GETPIVOTDATA("Date",'Activity 2 Seen by'!$A$1,"Activity 2","Benefits Workshop","Seen by","Fundraiser"),0)+IFERROR(GETPIVOTDATA("Date",'Activity 3 Seen by'!$A$1,"Activity 3","Benefits Workshop","Seen by","Fundraiser"),0)</f>
        <v>0</v>
      </c>
    </row>
    <row r="734" spans="1:4" x14ac:dyDescent="0.25">
      <c r="A734" s="48" t="s">
        <v>114</v>
      </c>
      <c r="B734" s="139">
        <f>IFERROR(GETPIVOTDATA("Date",'Activity 1 Seen by'!$A$1,"Activity 1","Benefits Workshop","Seen by","Psychologist"),0)+IFERROR(GETPIVOTDATA("Date",'Activity 2 Seen by'!$A$1,"Activity 2","Benefits Workshop","Seen by","Psychologist"),0)+IFERROR(GETPIVOTDATA("Date",'Activity 3 Seen by'!$A$1,"Activity 3","Benefits Workshop","Seen by","Psychologist"),0)</f>
        <v>11</v>
      </c>
    </row>
    <row r="735" spans="1:4" x14ac:dyDescent="0.25">
      <c r="A735" s="48" t="s">
        <v>116</v>
      </c>
      <c r="B735" s="139">
        <f>IFERROR(GETPIVOTDATA("Date",'Activity 1 Seen by'!$A$1,"Activity 1","Benefits Workshop","Seen by","Sessional Staff"),0)+IFERROR(GETPIVOTDATA("Date",'Activity 2 Seen by'!$A$1,"Activity 2","Benefits Workshop","Seen by","Sessional Staff"),0)+IFERROR(GETPIVOTDATA("Date",'Activity 3 Seen by'!$A$1,"Activity 3","Benefits Workshop","Seen by","Sessional Staff"),0)</f>
        <v>0</v>
      </c>
    </row>
    <row r="736" spans="1:4" x14ac:dyDescent="0.25">
      <c r="A736" s="53" t="s">
        <v>252</v>
      </c>
      <c r="B736" s="144">
        <f>SUM(B737:B742)</f>
        <v>11</v>
      </c>
    </row>
    <row r="737" spans="1:2" x14ac:dyDescent="0.25">
      <c r="A737" s="48" t="s">
        <v>115</v>
      </c>
      <c r="B737" s="139">
        <f>IFERROR(GETPIVOTDATA("Date",'Activity 1 Seen by'!$A$1,"Activity 1","Caring for Someone with Cancer","Seen by","Benefits Advisor"),0)+IFERROR(GETPIVOTDATA("Date",'Activity 2 Seen by'!$A$1,"Activity 2","Caring for Someone with Cancer","Seen by","Benefits Advisor"),0)+IFERROR(GETPIVOTDATA("Date",'Activity 3 Seen by'!$A$1,"Activity 3","Caring for Someone with Cancer","Seen by","Benefits Advisor"),0)</f>
        <v>0</v>
      </c>
    </row>
    <row r="738" spans="1:2" x14ac:dyDescent="0.25">
      <c r="A738" s="48" t="s">
        <v>112</v>
      </c>
      <c r="B738" s="139">
        <f>IFERROR(GETPIVOTDATA("Date",'Activity 1 Seen by'!$A$1,"Activity 1","Caring for Someone with Cancer","Seen by","Centre Head"),0)+IFERROR(GETPIVOTDATA("Date",'Activity 2 Seen by'!$A$1,"Activity 2","Caring for Someone with Cancer","Seen by","Centre Head"),0)+IFERROR(GETPIVOTDATA("Date",'Activity 3 Seen by'!$A$1,"Activity 3","Caring for Someone with Cancer","Seen by","Centre Head"),0)</f>
        <v>11</v>
      </c>
    </row>
    <row r="739" spans="1:2" x14ac:dyDescent="0.25">
      <c r="A739" s="48" t="s">
        <v>113</v>
      </c>
      <c r="B739" s="139">
        <f>IFERROR(GETPIVOTDATA("Date",'Activity 1 Seen by'!$A$1,"Activity 1","Caring for Someone with Cancer","Seen by","CSS"),0)+IFERROR(GETPIVOTDATA("Date",'Activity 2 Seen by'!$A$1,"Activity 2","Caring for Someone with Cancer","Seen by","CSS"),0)+IFERROR(GETPIVOTDATA("Date",'Activity 3 Seen by'!$A$1,"Activity 3","Caring for Someone with Cancer","Seen by","CSS"),0)</f>
        <v>0</v>
      </c>
    </row>
    <row r="740" spans="1:2" x14ac:dyDescent="0.25">
      <c r="A740" s="48" t="s">
        <v>205</v>
      </c>
      <c r="B740" s="139">
        <f>IFERROR(GETPIVOTDATA("Date",'Activity 1 Seen by'!$A$1,"Activity 1","Caring for Someone with Cancer","Seen by","Fundraiser"),0)+IFERROR(GETPIVOTDATA("Date",'Activity 2 Seen by'!$A$1,"Activity 2","Caring for Someone with Cancer","Seen by","Fundraiser"),0)+IFERROR(GETPIVOTDATA("Date",'Activity 3 Seen by'!$A$1,"Activity 3","Caring for Someone with Cancer","Seen by","Fundraiser"),0)</f>
        <v>0</v>
      </c>
    </row>
    <row r="741" spans="1:2" x14ac:dyDescent="0.25">
      <c r="A741" s="48" t="s">
        <v>114</v>
      </c>
      <c r="B741" s="139">
        <f>IFERROR(GETPIVOTDATA("Date",'Activity 1 Seen by'!$A$1,"Activity 1","Caring for Someone with Cancer","Seen by","Psychologist"),0)+IFERROR(GETPIVOTDATA("Date",'Activity 2 Seen by'!$A$1,"Activity 2","Caring for Someone with Cancer","Seen by","Psychologist"),0)+IFERROR(GETPIVOTDATA("Date",'Activity 3 Seen by'!$A$1,"Activity 3","Caring for Someone with Cancer","Seen by","Psychologist"),0)</f>
        <v>0</v>
      </c>
    </row>
    <row r="742" spans="1:2" x14ac:dyDescent="0.25">
      <c r="A742" s="48" t="s">
        <v>116</v>
      </c>
      <c r="B742" s="139">
        <f>IFERROR(GETPIVOTDATA("Date",'Activity 1 Seen by'!$A$1,"Activity 1","Caring for Someone with Cancer","Seen by","Sessional Staff"),0)+IFERROR(GETPIVOTDATA("Date",'Activity 2 Seen by'!$A$1,"Activity 2","Caring for Someone with Cancer","Seen by","Sessional Staff"),0)+IFERROR(GETPIVOTDATA("Date",'Activity 3 Seen by'!$A$1,"Activity 3","Caring for Someone with Cancer","Seen by","Sessional Staff"),0)</f>
        <v>0</v>
      </c>
    </row>
    <row r="743" spans="1:2" x14ac:dyDescent="0.25">
      <c r="A743" s="53" t="s">
        <v>136</v>
      </c>
      <c r="B743" s="144">
        <f>SUM(B744:B749)</f>
        <v>7</v>
      </c>
    </row>
    <row r="744" spans="1:2" x14ac:dyDescent="0.25">
      <c r="A744" s="48" t="s">
        <v>115</v>
      </c>
      <c r="B744" s="139">
        <f>IFERROR(GETPIVOTDATA("Date",'Activity 1 Seen by'!$A$1,"Activity 1","Genetics","Seen by","Benefits Advisor"),0)+IFERROR(GETPIVOTDATA("Date",'Activity 2 Seen by'!$A$1,"Activity 2","Genetics","Seen by","Benefits Advisor"),0)+IFERROR(GETPIVOTDATA("Date",'Activity 3 Seen by'!$A$1,"Activity 3","Genetics","Seen by","Benefits Advisor"),0)</f>
        <v>0</v>
      </c>
    </row>
    <row r="745" spans="1:2" x14ac:dyDescent="0.25">
      <c r="A745" s="48" t="s">
        <v>112</v>
      </c>
      <c r="B745" s="139">
        <f>IFERROR(GETPIVOTDATA("Date",'Activity 1 Seen by'!$A$1,"Activity 1","Genetics","Seen by","Centre Head"),0)+IFERROR(GETPIVOTDATA("Date",'Activity 2 Seen by'!$A$1,"Activity 2","Genetics","Seen by","Centre Head"),0)+IFERROR(GETPIVOTDATA("Date",'Activity 3 Seen by'!$A$1,"Activity 3","Genetics","Seen by","Centre Head"),0)</f>
        <v>0</v>
      </c>
    </row>
    <row r="746" spans="1:2" x14ac:dyDescent="0.25">
      <c r="A746" s="48" t="s">
        <v>113</v>
      </c>
      <c r="B746" s="139">
        <f>IFERROR(GETPIVOTDATA("Date",'Activity 1 Seen by'!$A$1,"Activity 1","Genetics","Seen by","CSS"),0)+IFERROR(GETPIVOTDATA("Date",'Activity 2 Seen by'!$A$1,"Activity 2","Genetics","Seen by","CSS"),0)+IFERROR(GETPIVOTDATA("Date",'Activity 3 Seen by'!$A$1,"Activity 3","Genetics","Seen by","CSS"),0)</f>
        <v>1</v>
      </c>
    </row>
    <row r="747" spans="1:2" x14ac:dyDescent="0.25">
      <c r="A747" s="48" t="s">
        <v>205</v>
      </c>
      <c r="B747" s="139">
        <f>IFERROR(GETPIVOTDATA("Date",'Activity 1 Seen by'!$A$1,"Activity 1","Genetics","Seen by","Fundraiser"),0)+IFERROR(GETPIVOTDATA("Date",'Activity 2 Seen by'!$A$1,"Activity 2","Genetics","Seen by","Fundraiser"),0)+IFERROR(GETPIVOTDATA("Date",'Activity 3 Seen by'!$A$1,"Activity 3","Genetics","Seen by","Fundraiser"),0)</f>
        <v>0</v>
      </c>
    </row>
    <row r="748" spans="1:2" x14ac:dyDescent="0.25">
      <c r="A748" s="48" t="s">
        <v>114</v>
      </c>
      <c r="B748" s="139">
        <f>IFERROR(GETPIVOTDATA("Date",'Activity 1 Seen by'!$A$1,"Activity 1","Genetics","Seen by","Psychologist"),0)+IFERROR(GETPIVOTDATA("Date",'Activity 2 Seen by'!$A$1,"Activity 2","Genetics","Seen by","Psychologist"),0)+IFERROR(GETPIVOTDATA("Date",'Activity 3 Seen by'!$A$1,"Activity 3","Genetics","Seen by","Psychologist"),0)</f>
        <v>6</v>
      </c>
    </row>
    <row r="749" spans="1:2" x14ac:dyDescent="0.25">
      <c r="A749" s="48" t="s">
        <v>116</v>
      </c>
      <c r="B749" s="139">
        <f>IFERROR(GETPIVOTDATA("Date",'Activity 1 Seen by'!$A$1,"Activity 1","Genetics","Seen by","Sessional Staff"),0)+IFERROR(GETPIVOTDATA("Date",'Activity 2 Seen by'!$A$1,"Activity 2","Genetics","Seen by","Sessional Staff"),0)+IFERROR(GETPIVOTDATA("Date",'Activity 3 Seen by'!$A$1,"Activity 3","Genetics","Seen by","Sessional Staff"),0)</f>
        <v>0</v>
      </c>
    </row>
    <row r="750" spans="1:2" x14ac:dyDescent="0.25">
      <c r="A750" s="53" t="s">
        <v>248</v>
      </c>
      <c r="B750" s="144">
        <f>SUM(B751:B756)</f>
        <v>12</v>
      </c>
    </row>
    <row r="751" spans="1:2" x14ac:dyDescent="0.25">
      <c r="A751" s="48" t="s">
        <v>115</v>
      </c>
      <c r="B751" s="139">
        <f>IFERROR(GETPIVOTDATA("Date",'Activity 1 Seen by'!$A$1,"Activity 1","Getting Started with Cancer Treatment","Seen by","Benefits Advisor"),0)+IFERROR(GETPIVOTDATA("Date",'Activity 2 Seen by'!$A$1,"Activity 2","Getting Started with Cancer Treatment","Seen by","Benefits Advisor"),0)+IFERROR(GETPIVOTDATA("Date",'Activity 3 Seen by'!$A$1,"Activity 3","Getting Started with Cancer Treatment","Seen by","Benefits Advisor"),0)</f>
        <v>0</v>
      </c>
    </row>
    <row r="752" spans="1:2" x14ac:dyDescent="0.25">
      <c r="A752" s="48" t="s">
        <v>112</v>
      </c>
      <c r="B752" s="139">
        <f>IFERROR(GETPIVOTDATA("Date",'Activity 1 Seen by'!$A$1,"Activity 1","Getting Started with Cancer Treatment","Seen by","Centre Head"),0)+IFERROR(GETPIVOTDATA("Date",'Activity 2 Seen by'!$A$1,"Activity 2","Getting Started with Cancer Treatment","Seen by","Centre Head"),0)+IFERROR(GETPIVOTDATA("Date",'Activity 3 Seen by'!$A$1,"Activity 3","Getting Started with Cancer Treatment","Seen by","Centre Head"),0)</f>
        <v>0</v>
      </c>
    </row>
    <row r="753" spans="1:2" x14ac:dyDescent="0.25">
      <c r="A753" s="48" t="s">
        <v>113</v>
      </c>
      <c r="B753" s="139">
        <f>IFERROR(GETPIVOTDATA("Date",'Activity 1 Seen by'!$A$1,"Activity 1","Getting Started with Cancer Treatment","Seen by","CSS"),0)+IFERROR(GETPIVOTDATA("Date",'Activity 2 Seen by'!$A$1,"Activity 2","Getting Started with Cancer Treatment","Seen by","CSS"),0)+IFERROR(GETPIVOTDATA("Date",'Activity 3 Seen by'!$A$1,"Activity 3","Getting Started with Cancer Treatment","Seen by","CSS"),0)</f>
        <v>0</v>
      </c>
    </row>
    <row r="754" spans="1:2" x14ac:dyDescent="0.25">
      <c r="A754" s="48" t="s">
        <v>205</v>
      </c>
      <c r="B754" s="139">
        <f>IFERROR(GETPIVOTDATA("Date",'Activity 1 Seen by'!$A$1,"Activity 1","Getting Started with Cancer Treatment","Seen by","Fundraiser"),0)+IFERROR(GETPIVOTDATA("Date",'Activity 2 Seen by'!$A$1,"Activity 2","Getting Started with Cancer Treatment","Seen by","Fundraiser"),0)+IFERROR(GETPIVOTDATA("Date",'Activity 3 Seen by'!$A$1,"Activity 3","Getting Started with Cancer Treatment","Seen by","Fundraiser"),0)</f>
        <v>0</v>
      </c>
    </row>
    <row r="755" spans="1:2" x14ac:dyDescent="0.25">
      <c r="A755" s="48" t="s">
        <v>114</v>
      </c>
      <c r="B755" s="139">
        <f>IFERROR(GETPIVOTDATA("Date",'Activity 1 Seen by'!$A$1,"Activity 1","Getting Started with Cancer Treatment","Seen by","Psychologist"),0)+IFERROR(GETPIVOTDATA("Date",'Activity 2 Seen by'!$A$1,"Activity 2","Getting Started with Cancer Treatment","Seen by","Psychologist"),0)+IFERROR(GETPIVOTDATA("Date",'Activity 3 Seen by'!$A$1,"Activity 3","Getting Started with Cancer Treatment","Seen by","Psychologist"),0)</f>
        <v>6</v>
      </c>
    </row>
    <row r="756" spans="1:2" x14ac:dyDescent="0.25">
      <c r="A756" s="48" t="s">
        <v>116</v>
      </c>
      <c r="B756" s="139">
        <f>IFERROR(GETPIVOTDATA("Date",'Activity 1 Seen by'!$A$1,"Activity 1","Getting Started with Cancer Treatment","Seen by","Sessional Staff"),0)+IFERROR(GETPIVOTDATA("Date",'Activity 2 Seen by'!$A$1,"Activity 2","Getting Started with Cancer Treatment","Seen by","Sessional Staff"),0)+IFERROR(GETPIVOTDATA("Date",'Activity 3 Seen by'!$A$1,"Activity 3","Getting Started with Cancer Treatment","Seen by","Sessional Staff"),0)</f>
        <v>6</v>
      </c>
    </row>
    <row r="757" spans="1:2" x14ac:dyDescent="0.25">
      <c r="A757" s="53" t="s">
        <v>249</v>
      </c>
      <c r="B757" s="144">
        <f>SUM(B758:B763)</f>
        <v>6</v>
      </c>
    </row>
    <row r="758" spans="1:2" x14ac:dyDescent="0.25">
      <c r="A758" s="48" t="s">
        <v>115</v>
      </c>
      <c r="B758" s="139">
        <f>IFERROR(GETPIVOTDATA("Date",'Activity 1 Seen by'!$A$1,"Activity 1","Kids Days","Seen by","Benefits Advisor"),0)+IFERROR(GETPIVOTDATA("Date",'Activity 2 Seen by'!$A$1,"Activity 2","Kids Days","Seen by","Benefits Advisor"),0)+IFERROR(GETPIVOTDATA("Date",'Activity 3 Seen by'!$A$1,"Activity 3","Kids Days","Seen by","Benefits Advisor"),0)</f>
        <v>0</v>
      </c>
    </row>
    <row r="759" spans="1:2" x14ac:dyDescent="0.25">
      <c r="A759" s="48" t="s">
        <v>112</v>
      </c>
      <c r="B759" s="139">
        <f>IFERROR(GETPIVOTDATA("Date",'Activity 1 Seen by'!$A$1,"Activity 1","Kids Days","Seen by","Centre Head"),0)+IFERROR(GETPIVOTDATA("Date",'Activity 2 Seen by'!$A$1,"Activity 2","Kids Days","Seen by","Centre Head"),0)+IFERROR(GETPIVOTDATA("Date",'Activity 3 Seen by'!$A$1,"Activity 3","Kids Days","Seen by","Centre Head"),0)</f>
        <v>6</v>
      </c>
    </row>
    <row r="760" spans="1:2" x14ac:dyDescent="0.25">
      <c r="A760" s="48" t="s">
        <v>113</v>
      </c>
      <c r="B760" s="139">
        <f>IFERROR(GETPIVOTDATA("Date",'Activity 1 Seen by'!$A$1,"Activity 1","Kids Days","Seen by","CSS"),0)+IFERROR(GETPIVOTDATA("Date",'Activity 2 Seen by'!$A$1,"Activity 2","Kids Days","Seen by","CSS"),0)+IFERROR(GETPIVOTDATA("Date",'Activity 3 Seen by'!$A$1,"Activity 3","Kids Days","Seen by","CSS"),0)</f>
        <v>0</v>
      </c>
    </row>
    <row r="761" spans="1:2" x14ac:dyDescent="0.25">
      <c r="A761" s="48" t="s">
        <v>205</v>
      </c>
      <c r="B761" s="139">
        <f>IFERROR(GETPIVOTDATA("Date",'Activity 1 Seen by'!$A$1,"Activity 1","Kids Days","Seen by","Fundraiser"),0)+IFERROR(GETPIVOTDATA("Date",'Activity 2 Seen by'!$A$1,"Activity 2","Kids Days","Seen by","Fundraiser"),0)+IFERROR(GETPIVOTDATA("Date",'Activity 3 Seen by'!$A$1,"Activity 3","Kids Days","Seen by","Fundraiser"),0)</f>
        <v>0</v>
      </c>
    </row>
    <row r="762" spans="1:2" x14ac:dyDescent="0.25">
      <c r="A762" s="48" t="s">
        <v>114</v>
      </c>
      <c r="B762" s="139">
        <f>IFERROR(GETPIVOTDATA("Date",'Activity 1 Seen by'!$A$1,"Activity 1","Kids Days","Seen by","Psychologist"),0)+IFERROR(GETPIVOTDATA("Date",'Activity 2 Seen by'!$A$1,"Activity 2","Kids Days","Seen by","Psychologist"),0)+IFERROR(GETPIVOTDATA("Date",'Activity 3 Seen by'!$A$1,"Activity 3","Kids Days","Seen by","Psychologist"),0)</f>
        <v>0</v>
      </c>
    </row>
    <row r="763" spans="1:2" x14ac:dyDescent="0.25">
      <c r="A763" s="48" t="s">
        <v>116</v>
      </c>
      <c r="B763" s="139">
        <f>IFERROR(GETPIVOTDATA("Date",'Activity 1 Seen by'!$A$1,"Activity 1","Kids Days","Seen by","Sessional Staff"),0)+IFERROR(GETPIVOTDATA("Date",'Activity 2 Seen by'!$A$1,"Activity 2","Kids Days","Seen by","Sessional Staff"),0)+IFERROR(GETPIVOTDATA("Date",'Activity 3 Seen by'!$A$1,"Activity 3","Kids Days","Seen by","Sessional Staff"),0)</f>
        <v>0</v>
      </c>
    </row>
    <row r="764" spans="1:2" x14ac:dyDescent="0.25">
      <c r="A764" s="53" t="s">
        <v>250</v>
      </c>
      <c r="B764" s="144">
        <f>SUM(B765:B770)</f>
        <v>139</v>
      </c>
    </row>
    <row r="765" spans="1:2" x14ac:dyDescent="0.25">
      <c r="A765" s="48" t="s">
        <v>115</v>
      </c>
      <c r="B765" s="139">
        <f>IFERROR(GETPIVOTDATA("Date",'Activity 1 Seen by'!$A$1,"Activity 1","Lecture Series","Seen by","Benefits Advisor"),0)+IFERROR(GETPIVOTDATA("Date",'Activity 2 Seen by'!$A$1,"Activity 2","Lecture Series","Seen by","Benefits Advisor"),0)+IFERROR(GETPIVOTDATA("Date",'Activity 3 Seen by'!$A$1,"Activity 3","Lecture Series","Seen by","Benefits Advisor"),0)</f>
        <v>0</v>
      </c>
    </row>
    <row r="766" spans="1:2" x14ac:dyDescent="0.25">
      <c r="A766" s="48" t="s">
        <v>112</v>
      </c>
      <c r="B766" s="139">
        <f>IFERROR(GETPIVOTDATA("Date",'Activity 1 Seen by'!$A$1,"Activity 1","Lecture Series","Seen by","Centre Head"),0)+IFERROR(GETPIVOTDATA("Date",'Activity 2 Seen by'!$A$1,"Activity 2","Lecture Series","Seen by","Centre Head"),0)+IFERROR(GETPIVOTDATA("Date",'Activity 3 Seen by'!$A$1,"Activity 3","Lecture Series","Seen by","Centre Head"),0)</f>
        <v>104</v>
      </c>
    </row>
    <row r="767" spans="1:2" x14ac:dyDescent="0.25">
      <c r="A767" s="48" t="s">
        <v>113</v>
      </c>
      <c r="B767" s="139">
        <f>IFERROR(GETPIVOTDATA("Date",'Activity 1 Seen by'!$A$1,"Activity 1","Lecture Series","Seen by","CSS"),0)+IFERROR(GETPIVOTDATA("Date",'Activity 2 Seen by'!$A$1,"Activity 2","Lecture Series","Seen by","CSS"),0)+IFERROR(GETPIVOTDATA("Date",'Activity 3 Seen by'!$A$1,"Activity 3","Lecture Series","Seen by","CSS"),0)</f>
        <v>35</v>
      </c>
    </row>
    <row r="768" spans="1:2" x14ac:dyDescent="0.25">
      <c r="A768" s="48" t="s">
        <v>205</v>
      </c>
      <c r="B768" s="139">
        <f>IFERROR(GETPIVOTDATA("Date",'Activity 1 Seen by'!$A$1,"Activity 1","Lecture Series","Seen by","Fundraiser"),0)+IFERROR(GETPIVOTDATA("Date",'Activity 2 Seen by'!$A$1,"Activity 2","Lecture Series","Seen by","Fundraiser"),0)+IFERROR(GETPIVOTDATA("Date",'Activity 3 Seen by'!$A$1,"Activity 3","Lecture Series","Seen by","Fundraiser"),0)</f>
        <v>0</v>
      </c>
    </row>
    <row r="769" spans="1:2" x14ac:dyDescent="0.25">
      <c r="A769" s="48" t="s">
        <v>114</v>
      </c>
      <c r="B769" s="139">
        <f>IFERROR(GETPIVOTDATA("Date",'Activity 1 Seen by'!$A$1,"Activity 1","Lecture Series","Seen by","Psychologist"),0)+IFERROR(GETPIVOTDATA("Date",'Activity 2 Seen by'!$A$1,"Activity 2","Lecture Series","Seen by","Psychologist"),0)+IFERROR(GETPIVOTDATA("Date",'Activity 3 Seen by'!$A$1,"Activity 3","Lecture Series","Seen by","Psychologist"),0)</f>
        <v>0</v>
      </c>
    </row>
    <row r="770" spans="1:2" x14ac:dyDescent="0.25">
      <c r="A770" s="48" t="s">
        <v>116</v>
      </c>
      <c r="B770" s="139">
        <f>IFERROR(GETPIVOTDATA("Date",'Activity 1 Seen by'!$A$1,"Activity 1","Lecture Series","Seen by","Sessional Staff"),0)+IFERROR(GETPIVOTDATA("Date",'Activity 2 Seen by'!$A$1,"Activity 2","Lecture Series","Seen by","Sessional Staff"),0)+IFERROR(GETPIVOTDATA("Date",'Activity 3 Seen by'!$A$1,"Activity 3","Lecture Series","Seen by","Sessional Staff"),0)</f>
        <v>0</v>
      </c>
    </row>
    <row r="771" spans="1:2" x14ac:dyDescent="0.25">
      <c r="A771" s="53" t="s">
        <v>20</v>
      </c>
      <c r="B771" s="144">
        <f>SUM(B772:B777)</f>
        <v>54</v>
      </c>
    </row>
    <row r="772" spans="1:2" x14ac:dyDescent="0.25">
      <c r="A772" s="48" t="s">
        <v>115</v>
      </c>
      <c r="B772" s="139">
        <f>IFERROR(GETPIVOTDATA("Date",'Activity 1 Seen by'!$A$1,"Activity 1","Look Good Feel Better","Seen by","Benefits Advisor"),0)+IFERROR(GETPIVOTDATA("Date",'Activity 2 Seen by'!$A$1,"Activity 2","Look Good Feel Better","Seen by","Benefits Advisor"),0)+IFERROR(GETPIVOTDATA("Date",'Activity 3 Seen by'!$A$1,"Activity 3","Look Good Feel Better","Seen by","Benefits Advisor"),0)</f>
        <v>3</v>
      </c>
    </row>
    <row r="773" spans="1:2" x14ac:dyDescent="0.25">
      <c r="A773" s="48" t="s">
        <v>112</v>
      </c>
      <c r="B773" s="139">
        <f>IFERROR(GETPIVOTDATA("Date",'Activity 1 Seen by'!$A$1,"Activity 1","Look Good Feel Better","Seen by","Centre Head"),0)+IFERROR(GETPIVOTDATA("Date",'Activity 2 Seen by'!$A$1,"Activity 2","Look Good Feel Better","Seen by","Centre Head"),0)+IFERROR(GETPIVOTDATA("Date",'Activity 3 Seen by'!$A$1,"Activity 3","Look Good Feel Better","Seen by","Centre Head"),0)</f>
        <v>0</v>
      </c>
    </row>
    <row r="774" spans="1:2" x14ac:dyDescent="0.25">
      <c r="A774" s="48" t="s">
        <v>113</v>
      </c>
      <c r="B774" s="139">
        <f>IFERROR(GETPIVOTDATA("Date",'Activity 1 Seen by'!$A$1,"Activity 1","Look Good Feel Better","Seen by","CSS"),0)+IFERROR(GETPIVOTDATA("Date",'Activity 2 Seen by'!$A$1,"Activity 2","Look Good Feel Better","Seen by","CSS"),0)+IFERROR(GETPIVOTDATA("Date",'Activity 3 Seen by'!$A$1,"Activity 3","Look Good Feel Better","Seen by","CSS"),0)</f>
        <v>2</v>
      </c>
    </row>
    <row r="775" spans="1:2" x14ac:dyDescent="0.25">
      <c r="A775" s="48" t="s">
        <v>205</v>
      </c>
      <c r="B775" s="139">
        <f>IFERROR(GETPIVOTDATA("Date",'Activity 1 Seen by'!$A$1,"Activity 1","Look Good Feel Better","Seen by","Fundraiser"),0)+IFERROR(GETPIVOTDATA("Date",'Activity 2 Seen by'!$A$1,"Activity 2","Look Good Feel Better","Seen by","Fundraiser"),0)+IFERROR(GETPIVOTDATA("Date",'Activity 3 Seen by'!$A$1,"Activity 3","Look Good Feel Better","Seen by","Fundraiser"),0)</f>
        <v>0</v>
      </c>
    </row>
    <row r="776" spans="1:2" x14ac:dyDescent="0.25">
      <c r="A776" s="48" t="s">
        <v>114</v>
      </c>
      <c r="B776" s="139">
        <f>IFERROR(GETPIVOTDATA("Date",'Activity 1 Seen by'!$A$1,"Activity 1","Look Good Feel Better","Seen by","Psychologist"),0)+IFERROR(GETPIVOTDATA("Date",'Activity 2 Seen by'!$A$1,"Activity 2","Look Good Feel Better","Seen by","Psychologist"),0)+IFERROR(GETPIVOTDATA("Date",'Activity 3 Seen by'!$A$1,"Activity 3","Look Good Feel Better","Seen by","Psychologist"),0)</f>
        <v>17</v>
      </c>
    </row>
    <row r="777" spans="1:2" x14ac:dyDescent="0.25">
      <c r="A777" s="48" t="s">
        <v>116</v>
      </c>
      <c r="B777" s="139">
        <f>IFERROR(GETPIVOTDATA("Date",'Activity 1 Seen by'!$A$1,"Activity 1","Look Good Feel Better","Seen by","Sessional Staff"),0)+IFERROR(GETPIVOTDATA("Date",'Activity 2 Seen by'!$A$1,"Activity 2","Look Good Feel Better","Seen by","Sessional Staff"),0)+IFERROR(GETPIVOTDATA("Date",'Activity 3 Seen by'!$A$1,"Activity 3","Look Good Feel Better","Seen by","Sessional Staff"),0)</f>
        <v>32</v>
      </c>
    </row>
    <row r="778" spans="1:2" x14ac:dyDescent="0.25">
      <c r="A778" s="53" t="s">
        <v>251</v>
      </c>
      <c r="B778" s="144">
        <f>SUM(B779:B784)</f>
        <v>57</v>
      </c>
    </row>
    <row r="779" spans="1:2" x14ac:dyDescent="0.25">
      <c r="A779" s="48" t="s">
        <v>115</v>
      </c>
      <c r="B779" s="139">
        <f>IFERROR(GETPIVOTDATA("Date",'Activity 1 Seen by'!$A$1,"Activity 1","Managing Stress","Seen by","Benefits Advisor"),0)+IFERROR(GETPIVOTDATA("Date",'Activity 2 Seen by'!$A$1,"Activity 2","Managing Stress","Seen by","Benefits Advisor"),0)+IFERROR(GETPIVOTDATA("Date",'Activity 3 Seen by'!$A$1,"Activity 3","Managing Stress","Seen by","Benefits Advisor"),0)</f>
        <v>0</v>
      </c>
    </row>
    <row r="780" spans="1:2" x14ac:dyDescent="0.25">
      <c r="A780" s="48" t="s">
        <v>112</v>
      </c>
      <c r="B780" s="139">
        <f>IFERROR(GETPIVOTDATA("Date",'Activity 1 Seen by'!$A$1,"Activity 1","Managing Stress","Seen by","Centre Head"),0)+IFERROR(GETPIVOTDATA("Date",'Activity 2 Seen by'!$A$1,"Activity 2","Managing Stress","Seen by","Centre Head"),0)+IFERROR(GETPIVOTDATA("Date",'Activity 3 Seen by'!$A$1,"Activity 3","Managing Stress","Seen by","Centre Head"),0)</f>
        <v>0</v>
      </c>
    </row>
    <row r="781" spans="1:2" x14ac:dyDescent="0.25">
      <c r="A781" s="48" t="s">
        <v>113</v>
      </c>
      <c r="B781" s="139">
        <f>IFERROR(GETPIVOTDATA("Date",'Activity 1 Seen by'!$A$1,"Activity 1","Managing Stress","Seen by","CSS"),0)+IFERROR(GETPIVOTDATA("Date",'Activity 2 Seen by'!$A$1,"Activity 2","Managing Stress","Seen by","CSS"),0)+IFERROR(GETPIVOTDATA("Date",'Activity 3 Seen by'!$A$1,"Activity 3","Managing Stress","Seen by","CSS"),0)</f>
        <v>14</v>
      </c>
    </row>
    <row r="782" spans="1:2" x14ac:dyDescent="0.25">
      <c r="A782" s="48" t="s">
        <v>205</v>
      </c>
      <c r="B782" s="139">
        <f>IFERROR(GETPIVOTDATA("Date",'Activity 1 Seen by'!$A$1,"Activity 1","Managing Stress","Seen by","Fundraiser"),0)+IFERROR(GETPIVOTDATA("Date",'Activity 2 Seen by'!$A$1,"Activity 2","Managing Stress","Seen by","Fundraiser"),0)+IFERROR(GETPIVOTDATA("Date",'Activity 3 Seen by'!$A$1,"Activity 3","Managing Stress","Seen by","Fundraiser"),0)</f>
        <v>0</v>
      </c>
    </row>
    <row r="783" spans="1:2" x14ac:dyDescent="0.25">
      <c r="A783" s="48" t="s">
        <v>114</v>
      </c>
      <c r="B783" s="139">
        <f>IFERROR(GETPIVOTDATA("Date",'Activity 1 Seen by'!$A$1,"Activity 1","Managing Stress","Seen by","Psychologist"),0)+IFERROR(GETPIVOTDATA("Date",'Activity 2 Seen by'!$A$1,"Activity 2","Managing Stress","Seen by","Psychologist"),0)+IFERROR(GETPIVOTDATA("Date",'Activity 3 Seen by'!$A$1,"Activity 3","Managing Stress","Seen by","Psychologist"),0)</f>
        <v>43</v>
      </c>
    </row>
    <row r="784" spans="1:2" x14ac:dyDescent="0.25">
      <c r="A784" s="48" t="s">
        <v>116</v>
      </c>
      <c r="B784" s="139">
        <f>IFERROR(GETPIVOTDATA("Date",'Activity 1 Seen by'!$A$1,"Activity 1","Managing Stress","Seen by","Sessional Staff"),0)+IFERROR(GETPIVOTDATA("Date",'Activity 2 Seen by'!$A$1,"Activity 2","Managing Stress","Seen by","Sessional Staff"),0)+IFERROR(GETPIVOTDATA("Date",'Activity 3 Seen by'!$A$1,"Activity 3","Managing Stress","Seen by","Sessional Staff"),0)</f>
        <v>0</v>
      </c>
    </row>
    <row r="785" spans="1:2" x14ac:dyDescent="0.25">
      <c r="A785" s="53" t="s">
        <v>280</v>
      </c>
      <c r="B785" s="144">
        <f>SUM(B786:B791)</f>
        <v>2</v>
      </c>
    </row>
    <row r="786" spans="1:2" x14ac:dyDescent="0.25">
      <c r="A786" s="48" t="s">
        <v>115</v>
      </c>
      <c r="B786" s="139">
        <f>IFERROR(GETPIVOTDATA("Date",'Activity 1 Seen by'!$A$1,"Activity 1","Talking Heads; Managing Hair Loss","Seen by","Benefits Advisor"),0)+IFERROR(GETPIVOTDATA("Date",'Activity 2 Seen by'!$A$1,"Activity 2","Talking Heads; Managing Hair Loss","Seen by","Benefits Advisor"),0)+IFERROR(GETPIVOTDATA("Date",'Activity 3 Seen by'!$A$1,"Activity 3","Talking Heads; Managing Hair Loss","Seen by","Benefits Advisor"),0)</f>
        <v>0</v>
      </c>
    </row>
    <row r="787" spans="1:2" x14ac:dyDescent="0.25">
      <c r="A787" s="48" t="s">
        <v>112</v>
      </c>
      <c r="B787" s="139">
        <f>IFERROR(GETPIVOTDATA("Date",'Activity 1 Seen by'!$A$1,"Activity 1","Talking Heads; Managing Hair Loss","Seen by","Centre Head"),0)+IFERROR(GETPIVOTDATA("Date",'Activity 2 Seen by'!$A$1,"Activity 2","Talking Heads; Managing Hair Loss","Seen by","Centre Head"),0)+IFERROR(GETPIVOTDATA("Date",'Activity 3 Seen by'!$A$1,"Activity 3","Talking Heads; Managing Hair Loss","Seen by","Centre Head"),0)</f>
        <v>0</v>
      </c>
    </row>
    <row r="788" spans="1:2" x14ac:dyDescent="0.25">
      <c r="A788" s="48" t="s">
        <v>113</v>
      </c>
      <c r="B788" s="139">
        <f>IFERROR(GETPIVOTDATA("Date",'Activity 1 Seen by'!$A$1,"Activity 1","Talking Heads; Managing Hair Loss","Seen by","CSS"),0)+IFERROR(GETPIVOTDATA("Date",'Activity 2 Seen by'!$A$1,"Activity 2","Talking Heads; Managing Hair Loss","Seen by","CSS"),0)+IFERROR(GETPIVOTDATA("Date",'Activity 3 Seen by'!$A$1,"Activity 3","Talking Heads; Managing Hair Loss","Seen by","CSS"),0)</f>
        <v>2</v>
      </c>
    </row>
    <row r="789" spans="1:2" x14ac:dyDescent="0.25">
      <c r="A789" s="48" t="s">
        <v>205</v>
      </c>
      <c r="B789" s="139">
        <f>IFERROR(GETPIVOTDATA("Date",'Activity 1 Seen by'!$A$1,"Activity 1","Talking Heads; Managing Hair Loss","Seen by","Fundraiser"),0)+IFERROR(GETPIVOTDATA("Date",'Activity 2 Seen by'!$A$1,"Activity 2","Talking Heads; Managing Hair Loss","Seen by","Fundraiser"),0)+IFERROR(GETPIVOTDATA("Date",'Activity 3 Seen by'!$A$1,"Activity 3","Talking Heads; Managing Hair Loss","Seen by","Fundraiser"),0)</f>
        <v>0</v>
      </c>
    </row>
    <row r="790" spans="1:2" x14ac:dyDescent="0.25">
      <c r="A790" s="48" t="s">
        <v>114</v>
      </c>
      <c r="B790" s="139">
        <f>IFERROR(GETPIVOTDATA("Date",'Activity 1 Seen by'!$A$1,"Activity 1","Talking Heads; Managing Hair Loss","Seen by","Psychologist"),0)+IFERROR(GETPIVOTDATA("Date",'Activity 2 Seen by'!$A$1,"Activity 2","Talking Heads; Managing Hair Loss","Seen by","Psychologist"),0)+IFERROR(GETPIVOTDATA("Date",'Activity 3 Seen by'!$A$1,"Activity 3","Talking Heads; Managing Hair Loss","Seen by","Psychologist"),0)</f>
        <v>0</v>
      </c>
    </row>
    <row r="791" spans="1:2" x14ac:dyDescent="0.25">
      <c r="A791" s="48" t="s">
        <v>116</v>
      </c>
      <c r="B791" s="139">
        <f>IFERROR(GETPIVOTDATA("Date",'Activity 1 Seen by'!$A$1,"Activity 1","Talking Heads; Managing Hair Loss","Seen by","Sessional Staff"),0)+IFERROR(GETPIVOTDATA("Date",'Activity 2 Seen by'!$A$1,"Activity 2","Talking Heads; Managing Hair Loss","Seen by","Sessional Staff"),0)+IFERROR(GETPIVOTDATA("Date",'Activity 3 Seen by'!$A$1,"Activity 3","Talking Heads; Managing Hair Loss","Seen by","Sessional Staff"),0)</f>
        <v>0</v>
      </c>
    </row>
    <row r="792" spans="1:2" x14ac:dyDescent="0.25">
      <c r="A792" s="53" t="s">
        <v>105</v>
      </c>
      <c r="B792" s="144">
        <f>SUM(B793:B798)</f>
        <v>29</v>
      </c>
    </row>
    <row r="793" spans="1:2" x14ac:dyDescent="0.25">
      <c r="A793" s="48" t="s">
        <v>115</v>
      </c>
      <c r="B793" s="139">
        <f>IFERROR(GETPIVOTDATA("Date",'Activity 1 Seen by'!$A$1,"Activity 1","Where Now?","Seen by","Benefits Advisor"),0)+IFERROR(GETPIVOTDATA("Date",'Activity 2 Seen by'!$A$1,"Activity 2","Where Now?","Seen by","Benefits Advisor"),0)+IFERROR(GETPIVOTDATA("Date",'Activity 3 Seen by'!$A$1,"Activity 3","Where Now?","Seen by","Benefits Advisor"),0)</f>
        <v>0</v>
      </c>
    </row>
    <row r="794" spans="1:2" x14ac:dyDescent="0.25">
      <c r="A794" s="48" t="s">
        <v>112</v>
      </c>
      <c r="B794" s="139">
        <f>IFERROR(GETPIVOTDATA("Date",'Activity 1 Seen by'!$A$1,"Activity 1","Where Now?","Seen by","Centre Head"),0)+IFERROR(GETPIVOTDATA("Date",'Activity 2 Seen by'!$A$1,"Activity 2","Where Now?","Seen by","Centre Head"),0)+IFERROR(GETPIVOTDATA("Date",'Activity 3 Seen by'!$A$1,"Activity 3","Where Now?","Seen by","Centre Head"),0)</f>
        <v>1</v>
      </c>
    </row>
    <row r="795" spans="1:2" x14ac:dyDescent="0.25">
      <c r="A795" s="48" t="s">
        <v>113</v>
      </c>
      <c r="B795" s="139">
        <f>IFERROR(GETPIVOTDATA("Date",'Activity 1 Seen by'!$A$1,"Activity 1","Where Now?","Seen by","CSS"),0)+IFERROR(GETPIVOTDATA("Date",'Activity 2 Seen by'!$A$1,"Activity 2","Where Now?","Seen by","CSS"),0)+IFERROR(GETPIVOTDATA("Date",'Activity 3 Seen by'!$A$1,"Activity 3","Where Now?","Seen by","CSS"),0)</f>
        <v>0</v>
      </c>
    </row>
    <row r="796" spans="1:2" x14ac:dyDescent="0.25">
      <c r="A796" s="48" t="s">
        <v>205</v>
      </c>
      <c r="B796" s="139">
        <f>IFERROR(GETPIVOTDATA("Date",'Activity 1 Seen by'!$A$1,"Activity 1","Where Now?","Seen by","Fundraiser"),0)+IFERROR(GETPIVOTDATA("Date",'Activity 2 Seen by'!$A$1,"Activity 2","Where Now?","Seen by","Fundraiser"),0)+IFERROR(GETPIVOTDATA("Date",'Activity 3 Seen by'!$A$1,"Activity 3","Where Now?","Seen by","Fundraiser"),0)</f>
        <v>0</v>
      </c>
    </row>
    <row r="797" spans="1:2" x14ac:dyDescent="0.25">
      <c r="A797" s="48" t="s">
        <v>114</v>
      </c>
      <c r="B797" s="139">
        <f>IFERROR(GETPIVOTDATA("Date",'Activity 1 Seen by'!$A$1,"Activity 1","Where Now?","Seen by","Psychologist"),0)+IFERROR(GETPIVOTDATA("Date",'Activity 2 Seen by'!$A$1,"Activity 2","Where Now?","Seen by","Psychologist"),0)+IFERROR(GETPIVOTDATA("Date",'Activity 3 Seen by'!$A$1,"Activity 3","Where Now?","Seen by","Psychologist"),0)</f>
        <v>28</v>
      </c>
    </row>
    <row r="798" spans="1:2" x14ac:dyDescent="0.25">
      <c r="A798" s="48" t="s">
        <v>116</v>
      </c>
      <c r="B798" s="139">
        <f>IFERROR(GETPIVOTDATA("Date",'Activity 1 Seen by'!$A$1,"Activity 1","Where Now?","Seen by","Sessional Staff"),0)+IFERROR(GETPIVOTDATA("Date",'Activity 2 Seen by'!$A$1,"Activity 2","Where Now?","Seen by","Sessional Staff"),0)+IFERROR(GETPIVOTDATA("Date",'Activity 3 Seen by'!$A$1,"Activity 3","Where Now?","Seen by","Sessional Staff"),0)</f>
        <v>0</v>
      </c>
    </row>
    <row r="799" spans="1:2" x14ac:dyDescent="0.25">
      <c r="A799" s="119" t="s">
        <v>289</v>
      </c>
      <c r="B799" s="143">
        <f>SUM(B800:B805)</f>
        <v>322</v>
      </c>
    </row>
    <row r="800" spans="1:2" x14ac:dyDescent="0.25">
      <c r="A800" s="48" t="s">
        <v>115</v>
      </c>
      <c r="B800" s="139">
        <f>SUM(B807,B814,B821,B828,B835,B842)</f>
        <v>0</v>
      </c>
    </row>
    <row r="801" spans="1:2" x14ac:dyDescent="0.25">
      <c r="A801" s="48" t="s">
        <v>112</v>
      </c>
      <c r="B801" s="139">
        <f t="shared" ref="B801:B805" si="14">SUM(B808,B815,B822,B829,B836,B843)</f>
        <v>51</v>
      </c>
    </row>
    <row r="802" spans="1:2" x14ac:dyDescent="0.25">
      <c r="A802" s="48" t="s">
        <v>113</v>
      </c>
      <c r="B802" s="139">
        <f t="shared" si="14"/>
        <v>94</v>
      </c>
    </row>
    <row r="803" spans="1:2" x14ac:dyDescent="0.25">
      <c r="A803" s="48" t="s">
        <v>205</v>
      </c>
      <c r="B803" s="139">
        <f t="shared" si="14"/>
        <v>0</v>
      </c>
    </row>
    <row r="804" spans="1:2" x14ac:dyDescent="0.25">
      <c r="A804" s="48" t="s">
        <v>114</v>
      </c>
      <c r="B804" s="139">
        <f t="shared" si="14"/>
        <v>35</v>
      </c>
    </row>
    <row r="805" spans="1:2" x14ac:dyDescent="0.25">
      <c r="A805" s="48" t="s">
        <v>116</v>
      </c>
      <c r="B805" s="139">
        <f t="shared" si="14"/>
        <v>142</v>
      </c>
    </row>
    <row r="806" spans="1:2" x14ac:dyDescent="0.25">
      <c r="A806" s="53" t="s">
        <v>254</v>
      </c>
      <c r="B806" s="144">
        <f>SUM(B807:B812)</f>
        <v>53</v>
      </c>
    </row>
    <row r="807" spans="1:2" x14ac:dyDescent="0.25">
      <c r="A807" s="48" t="s">
        <v>115</v>
      </c>
      <c r="B807" s="139">
        <f>IFERROR(GETPIVOTDATA("Date",'Activity 1 Seen by'!$A$1,"Activity 1","Creative Writing","Seen by","Benefits Advisor"),0)+IFERROR(GETPIVOTDATA("Date",'Activity 2 Seen by'!$A$1,"Activity 2","Creative Writing","Seen by","Benefits Advisor"),0)+IFERROR(GETPIVOTDATA("Date",'Activity 3 Seen by'!$A$1,"Activity 3","Creative Writing","Seen by","Benefits Advisor"),0)</f>
        <v>0</v>
      </c>
    </row>
    <row r="808" spans="1:2" x14ac:dyDescent="0.25">
      <c r="A808" s="48" t="s">
        <v>112</v>
      </c>
      <c r="B808" s="139">
        <f>IFERROR(GETPIVOTDATA("Date",'Activity 1 Seen by'!$A$1,"Activity 1","Creative Writing","Seen by","Centre Head"),0)+IFERROR(GETPIVOTDATA("Date",'Activity 2 Seen by'!$A$1,"Activity 2","Creative Writing","Seen by","Centre Head"),0)+IFERROR(GETPIVOTDATA("Date",'Activity 3 Seen by'!$A$1,"Activity 3","Creative Writing","Seen by","Centre Head"),0)</f>
        <v>15</v>
      </c>
    </row>
    <row r="809" spans="1:2" x14ac:dyDescent="0.25">
      <c r="A809" s="48" t="s">
        <v>113</v>
      </c>
      <c r="B809" s="139">
        <f>IFERROR(GETPIVOTDATA("Date",'Activity 1 Seen by'!$A$1,"Activity 1","Creative Writing","Seen by","CSS"),0)+IFERROR(GETPIVOTDATA("Date",'Activity 2 Seen by'!$A$1,"Activity 2","Creative Writing","Seen by","CSS"),0)+IFERROR(GETPIVOTDATA("Date",'Activity 3 Seen by'!$A$1,"Activity 3","Creative Writing","Seen by","CSS"),0)</f>
        <v>4</v>
      </c>
    </row>
    <row r="810" spans="1:2" x14ac:dyDescent="0.25">
      <c r="A810" s="48" t="s">
        <v>205</v>
      </c>
      <c r="B810" s="139">
        <f>IFERROR(GETPIVOTDATA("Date",'Activity 1 Seen by'!$A$1,"Activity 1","Creative Writing","Seen by","Fundraiser"),0)+IFERROR(GETPIVOTDATA("Date",'Activity 2 Seen by'!$A$1,"Activity 2","Creative Writing","Seen by","Fundraiser"),0)+IFERROR(GETPIVOTDATA("Date",'Activity 3 Seen by'!$A$1,"Activity 3","Creative Writing","Seen by","Fundraiser"),0)</f>
        <v>0</v>
      </c>
    </row>
    <row r="811" spans="1:2" x14ac:dyDescent="0.25">
      <c r="A811" s="48" t="s">
        <v>114</v>
      </c>
      <c r="B811" s="139">
        <f>IFERROR(GETPIVOTDATA("Date",'Activity 1 Seen by'!$A$1,"Activity 1","Creative Writing","Seen by","Psychologist"),0)+IFERROR(GETPIVOTDATA("Date",'Activity 2 Seen by'!$A$1,"Activity 2","Creative Writing","Seen by","Psychologist"),0)+IFERROR(GETPIVOTDATA("Date",'Activity 3 Seen by'!$A$1,"Activity 3","Creative Writing","Seen by","Psychologist"),0)</f>
        <v>19</v>
      </c>
    </row>
    <row r="812" spans="1:2" x14ac:dyDescent="0.25">
      <c r="A812" s="48" t="s">
        <v>116</v>
      </c>
      <c r="B812" s="139">
        <f>IFERROR(GETPIVOTDATA("Date",'Activity 1 Seen by'!$A$1,"Activity 1","Creative Writing","Seen by","Sessional Staff"),0)+IFERROR(GETPIVOTDATA("Date",'Activity 2 Seen by'!$A$1,"Activity 2","Creative Writing","Seen by","Sessional Staff"),0)+IFERROR(GETPIVOTDATA("Date",'Activity 3 Seen by'!$A$1,"Activity 3","Creative Writing","Seen by","Sessional Staff"),0)</f>
        <v>15</v>
      </c>
    </row>
    <row r="813" spans="1:2" x14ac:dyDescent="0.25">
      <c r="A813" s="53" t="s">
        <v>146</v>
      </c>
      <c r="B813" s="144">
        <f>SUM(B814:B819)</f>
        <v>24</v>
      </c>
    </row>
    <row r="814" spans="1:2" x14ac:dyDescent="0.25">
      <c r="A814" s="48" t="s">
        <v>115</v>
      </c>
      <c r="B814" s="139">
        <f>IFERROR(GETPIVOTDATA("Date",'Activity 1 Seen by'!$A$1,"Activity 1","Expressive Art","Seen by","Benefits Advisor"),0)+IFERROR(GETPIVOTDATA("Date",'Activity 2 Seen by'!$A$1,"Activity 2","Expressive Art","Seen by","Benefits Advisor"),0)+IFERROR(GETPIVOTDATA("Date",'Activity 3 Seen by'!$A$1,"Activity 3","Expressive Art","Seen by","Benefits Advisor"),0)</f>
        <v>0</v>
      </c>
    </row>
    <row r="815" spans="1:2" x14ac:dyDescent="0.25">
      <c r="A815" s="48" t="s">
        <v>112</v>
      </c>
      <c r="B815" s="139">
        <f>IFERROR(GETPIVOTDATA("Date",'Activity 1 Seen by'!$A$1,"Activity 1","Expressive Art","Seen by","Centre Head"),0)+IFERROR(GETPIVOTDATA("Date",'Activity 2 Seen by'!$A$1,"Activity 2","Expressive Art","Seen by","Centre Head"),0)+IFERROR(GETPIVOTDATA("Date",'Activity 3 Seen by'!$A$1,"Activity 3","Expressive Art","Seen by","Centre Head"),0)</f>
        <v>1</v>
      </c>
    </row>
    <row r="816" spans="1:2" x14ac:dyDescent="0.25">
      <c r="A816" s="48" t="s">
        <v>113</v>
      </c>
      <c r="B816" s="139">
        <f>IFERROR(GETPIVOTDATA("Date",'Activity 1 Seen by'!$A$1,"Activity 1","Expressive Art","Seen by","CSS"),0)+IFERROR(GETPIVOTDATA("Date",'Activity 2 Seen by'!$A$1,"Activity 2","Expressive Art","Seen by","CSS"),0)+IFERROR(GETPIVOTDATA("Date",'Activity 3 Seen by'!$A$1,"Activity 3","Expressive Art","Seen by","CSS"),0)</f>
        <v>4</v>
      </c>
    </row>
    <row r="817" spans="1:2" x14ac:dyDescent="0.25">
      <c r="A817" s="48" t="s">
        <v>205</v>
      </c>
      <c r="B817" s="139">
        <f>IFERROR(GETPIVOTDATA("Date",'Activity 1 Seen by'!$A$1,"Activity 1","Expressive Art","Seen by","Fundraiser"),0)+IFERROR(GETPIVOTDATA("Date",'Activity 2 Seen by'!$A$1,"Activity 2","Expressive Art","Seen by","Fundraiser"),0)+IFERROR(GETPIVOTDATA("Date",'Activity 3 Seen by'!$A$1,"Activity 3","Expressive Art","Seen by","Fundraiser"),0)</f>
        <v>0</v>
      </c>
    </row>
    <row r="818" spans="1:2" x14ac:dyDescent="0.25">
      <c r="A818" s="48" t="s">
        <v>114</v>
      </c>
      <c r="B818" s="139">
        <f>IFERROR(GETPIVOTDATA("Date",'Activity 1 Seen by'!$A$1,"Activity 1","Expressive Art","Seen by","Psychologist"),0)+IFERROR(GETPIVOTDATA("Date",'Activity 2 Seen by'!$A$1,"Activity 2","Expressive Art","Seen by","Psychologist"),0)+IFERROR(GETPIVOTDATA("Date",'Activity 3 Seen by'!$A$1,"Activity 3","Expressive Art","Seen by","Psychologist"),0)</f>
        <v>16</v>
      </c>
    </row>
    <row r="819" spans="1:2" x14ac:dyDescent="0.25">
      <c r="A819" s="48" t="s">
        <v>116</v>
      </c>
      <c r="B819" s="139">
        <f>IFERROR(GETPIVOTDATA("Date",'Activity 1 Seen by'!$A$1,"Activity 1","Expressive Art","Seen by","Sessional Staff"),0)+IFERROR(GETPIVOTDATA("Date",'Activity 2 Seen by'!$A$1,"Activity 2","Expressive Art","Seen by","Sessional Staff"),0)+IFERROR(GETPIVOTDATA("Date",'Activity 3 Seen by'!$A$1,"Activity 3","Expressive Art","Seen by","Sessional Staff"),0)</f>
        <v>3</v>
      </c>
    </row>
    <row r="820" spans="1:2" x14ac:dyDescent="0.25">
      <c r="A820" s="53" t="s">
        <v>143</v>
      </c>
      <c r="B820" s="144">
        <f>SUM(B821:B826)</f>
        <v>56</v>
      </c>
    </row>
    <row r="821" spans="1:2" x14ac:dyDescent="0.25">
      <c r="A821" s="48" t="s">
        <v>115</v>
      </c>
      <c r="B821" s="139">
        <f>IFERROR(GETPIVOTDATA("Date",'Activity 1 Seen by'!$A$1,"Activity 1","Nutrition","Seen by","Benefits Advisor"),0)+IFERROR(GETPIVOTDATA("Date",'Activity 2 Seen by'!$A$1,"Activity 2","Nutrition","Seen by","Benefits Advisor"),0)+IFERROR(GETPIVOTDATA("Date",'Activity 3 Seen by'!$A$1,"Activity 3","Nutrition","Seen by","Benefits Advisor"),0)</f>
        <v>0</v>
      </c>
    </row>
    <row r="822" spans="1:2" x14ac:dyDescent="0.25">
      <c r="A822" s="48" t="s">
        <v>112</v>
      </c>
      <c r="B822" s="139">
        <f>IFERROR(GETPIVOTDATA("Date",'Activity 1 Seen by'!$A$1,"Activity 1","Nutrition","Seen by","Centre Head"),0)+IFERROR(GETPIVOTDATA("Date",'Activity 2 Seen by'!$A$1,"Activity 2","Nutrition","Seen by","Centre Head"),0)+IFERROR(GETPIVOTDATA("Date",'Activity 3 Seen by'!$A$1,"Activity 3","Nutrition","Seen by","Centre Head"),0)</f>
        <v>6</v>
      </c>
    </row>
    <row r="823" spans="1:2" x14ac:dyDescent="0.25">
      <c r="A823" s="48" t="s">
        <v>113</v>
      </c>
      <c r="B823" s="139">
        <f>IFERROR(GETPIVOTDATA("Date",'Activity 1 Seen by'!$A$1,"Activity 1","Nutrition","Seen by","CSS"),0)+IFERROR(GETPIVOTDATA("Date",'Activity 2 Seen by'!$A$1,"Activity 2","Nutrition","Seen by","CSS"),0)+IFERROR(GETPIVOTDATA("Date",'Activity 3 Seen by'!$A$1,"Activity 3","Nutrition","Seen by","CSS"),0)</f>
        <v>0</v>
      </c>
    </row>
    <row r="824" spans="1:2" x14ac:dyDescent="0.25">
      <c r="A824" s="48" t="s">
        <v>205</v>
      </c>
      <c r="B824" s="139">
        <f>IFERROR(GETPIVOTDATA("Date",'Activity 1 Seen by'!$A$1,"Activity 1","Nutrition","Seen by","Fundraiser"),0)+IFERROR(GETPIVOTDATA("Date",'Activity 2 Seen by'!$A$1,"Activity 2","Nutrition","Seen by","Fundraiser"),0)+IFERROR(GETPIVOTDATA("Date",'Activity 3 Seen by'!$A$1,"Activity 3","Nutrition","Seen by","Fundraiser"),0)</f>
        <v>0</v>
      </c>
    </row>
    <row r="825" spans="1:2" x14ac:dyDescent="0.25">
      <c r="A825" s="48" t="s">
        <v>114</v>
      </c>
      <c r="B825" s="139">
        <f>IFERROR(GETPIVOTDATA("Date",'Activity 1 Seen by'!$A$1,"Activity 1","Nutrition","Seen by","Psychologist"),0)+IFERROR(GETPIVOTDATA("Date",'Activity 2 Seen by'!$A$1,"Activity 2","Nutrition","Seen by","Psychologist"),0)+IFERROR(GETPIVOTDATA("Date",'Activity 3 Seen by'!$A$1,"Activity 3","Nutrition","Seen by","Psychologist"),0)</f>
        <v>0</v>
      </c>
    </row>
    <row r="826" spans="1:2" x14ac:dyDescent="0.25">
      <c r="A826" s="48" t="s">
        <v>116</v>
      </c>
      <c r="B826" s="139">
        <f>IFERROR(GETPIVOTDATA("Date",'Activity 1 Seen by'!$A$1,"Activity 1","Nutrition","Seen by","Sessional Staff"),0)+IFERROR(GETPIVOTDATA("Date",'Activity 2 Seen by'!$A$1,"Activity 2","Nutrition","Seen by","Sessional Staff"),0)+IFERROR(GETPIVOTDATA("Date",'Activity 3 Seen by'!$A$1,"Activity 3","Nutrition","Seen by","Sessional Staff"),0)</f>
        <v>50</v>
      </c>
    </row>
    <row r="827" spans="1:2" x14ac:dyDescent="0.25">
      <c r="A827" s="53" t="s">
        <v>133</v>
      </c>
      <c r="B827" s="144">
        <f>SUM(B828:B833)</f>
        <v>115</v>
      </c>
    </row>
    <row r="828" spans="1:2" x14ac:dyDescent="0.25">
      <c r="A828" s="48" t="s">
        <v>115</v>
      </c>
      <c r="B828" s="139">
        <f>IFERROR(GETPIVOTDATA("Date",'Activity 1 Seen by'!$A$1,"Activity 1","Relaxation","Seen by","Benefits Advisor"),0)+IFERROR(GETPIVOTDATA("Date",'Activity 2 Seen by'!$A$1,"Activity 2","Relaxation","Seen by","Benefits Advisor"),0)+IFERROR(GETPIVOTDATA("Date",'Activity 3 Seen by'!$A$1,"Activity 3","Relaxation","Seen by","Benefits Advisor"),0)</f>
        <v>0</v>
      </c>
    </row>
    <row r="829" spans="1:2" x14ac:dyDescent="0.25">
      <c r="A829" s="48" t="s">
        <v>112</v>
      </c>
      <c r="B829" s="139">
        <f>IFERROR(GETPIVOTDATA("Date",'Activity 1 Seen by'!$A$1,"Activity 1","Relaxation","Seen by","Centre Head"),0)+IFERROR(GETPIVOTDATA("Date",'Activity 2 Seen by'!$A$1,"Activity 2","Relaxation","Seen by","Centre Head"),0)+IFERROR(GETPIVOTDATA("Date",'Activity 3 Seen by'!$A$1,"Activity 3","Relaxation","Seen by","Centre Head"),0)</f>
        <v>29</v>
      </c>
    </row>
    <row r="830" spans="1:2" x14ac:dyDescent="0.25">
      <c r="A830" s="48" t="s">
        <v>113</v>
      </c>
      <c r="B830" s="139">
        <f>IFERROR(GETPIVOTDATA("Date",'Activity 1 Seen by'!$A$1,"Activity 1","Relaxation","Seen by","CSS"),0)+IFERROR(GETPIVOTDATA("Date",'Activity 2 Seen by'!$A$1,"Activity 2","Relaxation","Seen by","CSS"),0)+IFERROR(GETPIVOTDATA("Date",'Activity 3 Seen by'!$A$1,"Activity 3","Relaxation","Seen by","CSS"),0)</f>
        <v>86</v>
      </c>
    </row>
    <row r="831" spans="1:2" x14ac:dyDescent="0.25">
      <c r="A831" s="48" t="s">
        <v>205</v>
      </c>
      <c r="B831" s="139">
        <f>IFERROR(GETPIVOTDATA("Date",'Activity 1 Seen by'!$A$1,"Activity 1","Relaxation","Seen by","Fundraiser"),0)+IFERROR(GETPIVOTDATA("Date",'Activity 2 Seen by'!$A$1,"Activity 2","Relaxation","Seen by","Fundraiser"),0)+IFERROR(GETPIVOTDATA("Date",'Activity 3 Seen by'!$A$1,"Activity 3","Relaxation","Seen by","Fundraiser"),0)</f>
        <v>0</v>
      </c>
    </row>
    <row r="832" spans="1:2" x14ac:dyDescent="0.25">
      <c r="A832" s="48" t="s">
        <v>114</v>
      </c>
      <c r="B832" s="139">
        <f>IFERROR(GETPIVOTDATA("Date",'Activity 1 Seen by'!$A$1,"Activity 1","Relaxation","Seen by","Psychologist"),0)+IFERROR(GETPIVOTDATA("Date",'Activity 2 Seen by'!$A$1,"Activity 2","Relaxation","Seen by","Psychologist"),0)+IFERROR(GETPIVOTDATA("Date",'Activity 3 Seen by'!$A$1,"Activity 3","Relaxation","Seen by","Psychologist"),0)</f>
        <v>0</v>
      </c>
    </row>
    <row r="833" spans="1:2" x14ac:dyDescent="0.25">
      <c r="A833" s="48" t="s">
        <v>116</v>
      </c>
      <c r="B833" s="139">
        <f>IFERROR(GETPIVOTDATA("Date",'Activity 1 Seen by'!$A$1,"Activity 1","Relaxation","Seen by","Sessional Staff"),0)+IFERROR(GETPIVOTDATA("Date",'Activity 2 Seen by'!$A$1,"Activity 2","Relaxation","Seen by","Sessional Staff"),0)+IFERROR(GETPIVOTDATA("Date",'Activity 3 Seen by'!$A$1,"Activity 3","Relaxation","Seen by","Sessional Staff"),0)</f>
        <v>0</v>
      </c>
    </row>
    <row r="834" spans="1:2" x14ac:dyDescent="0.25">
      <c r="A834" s="53" t="s">
        <v>134</v>
      </c>
      <c r="B834" s="144">
        <f>SUM(B835:B840)</f>
        <v>74</v>
      </c>
    </row>
    <row r="835" spans="1:2" x14ac:dyDescent="0.25">
      <c r="A835" s="48" t="s">
        <v>115</v>
      </c>
      <c r="B835" s="139">
        <f>IFERROR(GETPIVOTDATA("Date",'Activity 1 Seen by'!$A$1,"Activity 1","Tai Chi/Qi Gong","Seen by","Benefits Advisor"),0)+IFERROR(GETPIVOTDATA("Date",'Activity 2 Seen by'!$A$1,"Activity 2","Tai Chi/Qi Gong","Seen by","Benefits Advisor"),0)+IFERROR(GETPIVOTDATA("Date",'Activity 3 Seen by'!$A$1,"Activity 3","Tai Chi/Qi Gong","Seen by","Benefits Advisor"),0)</f>
        <v>0</v>
      </c>
    </row>
    <row r="836" spans="1:2" x14ac:dyDescent="0.25">
      <c r="A836" s="48" t="s">
        <v>112</v>
      </c>
      <c r="B836" s="139">
        <f>IFERROR(GETPIVOTDATA("Date",'Activity 1 Seen by'!$A$1,"Activity 1","Tai Chi/Qi Gong","Seen by","Centre Head"),0)+IFERROR(GETPIVOTDATA("Date",'Activity 2 Seen by'!$A$1,"Activity 2","Tai Chi/Qi Gong","Seen by","Centre Head"),0)+IFERROR(GETPIVOTDATA("Date",'Activity 3 Seen by'!$A$1,"Activity 3","Tai Chi/Qi Gong","Seen by","Centre Head"),0)</f>
        <v>0</v>
      </c>
    </row>
    <row r="837" spans="1:2" x14ac:dyDescent="0.25">
      <c r="A837" s="48" t="s">
        <v>113</v>
      </c>
      <c r="B837" s="139">
        <f>IFERROR(GETPIVOTDATA("Date",'Activity 1 Seen by'!$A$1,"Activity 1","Tai Chi/Qi Gong","Seen by","CSS"),0)+IFERROR(GETPIVOTDATA("Date",'Activity 2 Seen by'!$A$1,"Activity 2","Tai Chi/Qi Gong","Seen by","CSS"),0)+IFERROR(GETPIVOTDATA("Date",'Activity 3 Seen by'!$A$1,"Activity 3","Tai Chi/Qi Gong","Seen by","CSS"),0)</f>
        <v>0</v>
      </c>
    </row>
    <row r="838" spans="1:2" x14ac:dyDescent="0.25">
      <c r="A838" s="48" t="s">
        <v>205</v>
      </c>
      <c r="B838" s="139">
        <f>IFERROR(GETPIVOTDATA("Date",'Activity 1 Seen by'!$A$1,"Activity 1","Tai Chi/Qi Gong","Seen by","Fundraiser"),0)+IFERROR(GETPIVOTDATA("Date",'Activity 2 Seen by'!$A$1,"Activity 2","Tai Chi/Qi Gong","Seen by","Fundraiser"),0)+IFERROR(GETPIVOTDATA("Date",'Activity 3 Seen by'!$A$1,"Activity 3","Tai Chi/Qi Gong","Seen by","Fundraiser"),0)</f>
        <v>0</v>
      </c>
    </row>
    <row r="839" spans="1:2" x14ac:dyDescent="0.25">
      <c r="A839" s="48" t="s">
        <v>114</v>
      </c>
      <c r="B839" s="139">
        <f>IFERROR(GETPIVOTDATA("Date",'Activity 1 Seen by'!$A$1,"Activity 1","Tai Chi/Qi Gong","Seen by","Psychologist"),0)+IFERROR(GETPIVOTDATA("Date",'Activity 2 Seen by'!$A$1,"Activity 2","Tai Chi/Qi Gong","Seen by","Psychologist"),0)+IFERROR(GETPIVOTDATA("Date",'Activity 3 Seen by'!$A$1,"Activity 3","Tai Chi/Qi Gong","Seen by","Psychologist"),0)</f>
        <v>0</v>
      </c>
    </row>
    <row r="840" spans="1:2" x14ac:dyDescent="0.25">
      <c r="A840" s="48" t="s">
        <v>116</v>
      </c>
      <c r="B840" s="139">
        <f>IFERROR(GETPIVOTDATA("Date",'Activity 1 Seen by'!$A$1,"Activity 1","Tai Chi/Qi Gong","Seen by","Sessional Staff"),0)+IFERROR(GETPIVOTDATA("Date",'Activity 2 Seen by'!$A$1,"Activity 2","Tai Chi/Qi Gong","Seen by","Sessional Staff"),0)+IFERROR(GETPIVOTDATA("Date",'Activity 3 Seen by'!$A$1,"Activity 3","Tai Chi/Qi Gong","Seen by","Sessional Staff"),0)</f>
        <v>74</v>
      </c>
    </row>
    <row r="841" spans="1:2" x14ac:dyDescent="0.25">
      <c r="A841" s="53" t="s">
        <v>21</v>
      </c>
      <c r="B841" s="144">
        <f>SUM(B842:B847)</f>
        <v>0</v>
      </c>
    </row>
    <row r="842" spans="1:2" x14ac:dyDescent="0.25">
      <c r="A842" s="48" t="s">
        <v>115</v>
      </c>
      <c r="B842" s="139">
        <f>IFERROR(GETPIVOTDATA("Date",'Activity 1 Seen by'!$A$1,"Activity 1","Yoga","Seen by","Benefits Advisor"),0)+IFERROR(GETPIVOTDATA("Date",'Activity 2 Seen by'!$A$1,"Activity 2","Yoga","Seen by","Benefits Advisor"),0)+IFERROR(GETPIVOTDATA("Date",'Activity 3 Seen by'!$A$1,"Activity 3","Yoga","Seen by","Benefits Advisor"),0)</f>
        <v>0</v>
      </c>
    </row>
    <row r="843" spans="1:2" x14ac:dyDescent="0.25">
      <c r="A843" s="48" t="s">
        <v>112</v>
      </c>
      <c r="B843" s="139">
        <f>IFERROR(GETPIVOTDATA("Date",'Activity 1 Seen by'!$A$1,"Activity 1","Yoga","Seen by","Centre Head"),0)+IFERROR(GETPIVOTDATA("Date",'Activity 2 Seen by'!$A$1,"Activity 2","Yoga","Seen by","Centre Head"),0)+IFERROR(GETPIVOTDATA("Date",'Activity 3 Seen by'!$A$1,"Activity 3","Yoga","Seen by","Centre Head"),0)</f>
        <v>0</v>
      </c>
    </row>
    <row r="844" spans="1:2" x14ac:dyDescent="0.25">
      <c r="A844" s="48" t="s">
        <v>113</v>
      </c>
      <c r="B844" s="139">
        <f>IFERROR(GETPIVOTDATA("Date",'Activity 1 Seen by'!$A$1,"Activity 1","Yoga","Seen by","CSS"),0)+IFERROR(GETPIVOTDATA("Date",'Activity 2 Seen by'!$A$1,"Activity 2","Yoga","Seen by","CSS"),0)+IFERROR(GETPIVOTDATA("Date",'Activity 3 Seen by'!$A$1,"Activity 3","Yoga","Seen by","CSS"),0)</f>
        <v>0</v>
      </c>
    </row>
    <row r="845" spans="1:2" x14ac:dyDescent="0.25">
      <c r="A845" s="48" t="s">
        <v>205</v>
      </c>
      <c r="B845" s="139">
        <f>IFERROR(GETPIVOTDATA("Date",'Activity 1 Seen by'!$A$1,"Activity 1","Yoga","Seen by","Fundraiser"),0)+IFERROR(GETPIVOTDATA("Date",'Activity 2 Seen by'!$A$1,"Activity 2","Yoga","Seen by","Fundraiser"),0)+IFERROR(GETPIVOTDATA("Date",'Activity 3 Seen by'!$A$1,"Activity 3","Yoga","Seen by","Fundraiser"),0)</f>
        <v>0</v>
      </c>
    </row>
    <row r="846" spans="1:2" x14ac:dyDescent="0.25">
      <c r="A846" s="48" t="s">
        <v>114</v>
      </c>
      <c r="B846" s="139">
        <f>IFERROR(GETPIVOTDATA("Date",'Activity 1 Seen by'!$A$1,"Activity 1","Yoga","Seen by","Psychologist"),0)+IFERROR(GETPIVOTDATA("Date",'Activity 2 Seen by'!$A$1,"Activity 2","Yoga","Seen by","Psychologist"),0)+IFERROR(GETPIVOTDATA("Date",'Activity 3 Seen by'!$A$1,"Activity 3","Yoga","Seen by","Psychologist"),0)</f>
        <v>0</v>
      </c>
    </row>
    <row r="847" spans="1:2" x14ac:dyDescent="0.25">
      <c r="A847" s="48" t="s">
        <v>116</v>
      </c>
      <c r="B847" s="139">
        <f>IFERROR(GETPIVOTDATA("Date",'Activity 1 Seen by'!$A$1,"Activity 1","Yoga","Seen by","Sessional Staff"),0)+IFERROR(GETPIVOTDATA("Date",'Activity 2 Seen by'!$A$1,"Activity 2","Yoga","Seen by","Sessional Staff"),0)+IFERROR(GETPIVOTDATA("Date",'Activity 3 Seen by'!$A$1,"Activity 3","Yoga","Seen by","Sessional Staff"),0)</f>
        <v>0</v>
      </c>
    </row>
    <row r="848" spans="1:2" x14ac:dyDescent="0.25">
      <c r="A848" s="119" t="s">
        <v>290</v>
      </c>
      <c r="B848" s="143">
        <f>SUM(B849:B854)</f>
        <v>194</v>
      </c>
    </row>
    <row r="849" spans="1:2" x14ac:dyDescent="0.25">
      <c r="A849" s="48" t="s">
        <v>115</v>
      </c>
      <c r="B849" s="139">
        <f>SUM(B856,B863,B870,B877,B884,B891,B898,B905,B912,B919,B926,B933,B940,B947,B954,B961,B968)</f>
        <v>0</v>
      </c>
    </row>
    <row r="850" spans="1:2" x14ac:dyDescent="0.25">
      <c r="A850" s="48" t="s">
        <v>112</v>
      </c>
      <c r="B850" s="139">
        <f>SUM(B857,B864,B871,B878,B885,B892,B899,B906,B913,B920,B927,B934,B941,B948,B955,B962,B969)</f>
        <v>80</v>
      </c>
    </row>
    <row r="851" spans="1:2" x14ac:dyDescent="0.25">
      <c r="A851" s="48" t="s">
        <v>113</v>
      </c>
      <c r="B851" s="139">
        <f t="shared" ref="B851:B854" si="15">SUM(B858,B865,B872,B879,B886,B893,B900,B907,B914,B921,B928,B935,B942,B949,B956,B963,B970)</f>
        <v>32</v>
      </c>
    </row>
    <row r="852" spans="1:2" x14ac:dyDescent="0.25">
      <c r="A852" s="48" t="s">
        <v>205</v>
      </c>
      <c r="B852" s="139">
        <f t="shared" si="15"/>
        <v>0</v>
      </c>
    </row>
    <row r="853" spans="1:2" x14ac:dyDescent="0.25">
      <c r="A853" s="48" t="s">
        <v>114</v>
      </c>
      <c r="B853" s="139">
        <f t="shared" si="15"/>
        <v>8</v>
      </c>
    </row>
    <row r="854" spans="1:2" x14ac:dyDescent="0.25">
      <c r="A854" s="48" t="s">
        <v>116</v>
      </c>
      <c r="B854" s="139">
        <f t="shared" si="15"/>
        <v>74</v>
      </c>
    </row>
    <row r="855" spans="1:2" x14ac:dyDescent="0.25">
      <c r="A855" s="53" t="s">
        <v>282</v>
      </c>
      <c r="B855" s="144">
        <f>SUM(B856:B861)</f>
        <v>80</v>
      </c>
    </row>
    <row r="856" spans="1:2" x14ac:dyDescent="0.25">
      <c r="A856" s="48" t="s">
        <v>115</v>
      </c>
      <c r="B856" s="139">
        <f>IFERROR(GETPIVOTDATA("Date",'Activity 1 Seen by'!$A$1,"Activity 1","Auricular Acupuncture","Seen by","Benefits Advisor"),0)+IFERROR(GETPIVOTDATA("Date",'Activity 2 Seen by'!$A$1,"Activity 2","Auricular Acupuncture","Seen by","Benefits Advisor"),0)+IFERROR(GETPIVOTDATA("Date",'Activity 3 Seen by'!$A$1,"Activity 3","Auricular Acupuncture","Seen by","Benefits Advisor"),0)</f>
        <v>0</v>
      </c>
    </row>
    <row r="857" spans="1:2" x14ac:dyDescent="0.25">
      <c r="A857" s="48" t="s">
        <v>112</v>
      </c>
      <c r="B857" s="139">
        <f>IFERROR(GETPIVOTDATA("Date",'Activity 1 Seen by'!$A$1,"Activity 1","Auricular Acupuncture","Seen by","Centre Head"),0)+IFERROR(GETPIVOTDATA("Date",'Activity 2 Seen by'!$A$1,"Activity 2","Auricular Acupuncture","Seen by","Centre Head"),0)+IFERROR(GETPIVOTDATA("Date",'Activity 3 Seen by'!$A$1,"Activity 3","Auricular Acupuncture","Seen by","Centre Head"),0)</f>
        <v>80</v>
      </c>
    </row>
    <row r="858" spans="1:2" x14ac:dyDescent="0.25">
      <c r="A858" s="48" t="s">
        <v>113</v>
      </c>
      <c r="B858" s="139">
        <f>IFERROR(GETPIVOTDATA("Date",'Activity 1 Seen by'!$A$1,"Activity 1","Auricular Acupuncture","Seen by","CSS"),0)+IFERROR(GETPIVOTDATA("Date",'Activity 2 Seen by'!$A$1,"Activity 2","Auricular Acupuncture","Seen by","CSS"),0)+IFERROR(GETPIVOTDATA("Date",'Activity 3 Seen by'!$A$1,"Activity 3","Auricular Acupuncture","Seen by","CSS"),0)</f>
        <v>0</v>
      </c>
    </row>
    <row r="859" spans="1:2" x14ac:dyDescent="0.25">
      <c r="A859" s="48" t="s">
        <v>205</v>
      </c>
      <c r="B859" s="139">
        <f>IFERROR(GETPIVOTDATA("Date",'Activity 1 Seen by'!$A$1,"Activity 1","Auricular Acupuncture","Seen by","Fundraiser"),0)+IFERROR(GETPIVOTDATA("Date",'Activity 2 Seen by'!$A$1,"Activity 2","Auricular Acupuncture","Seen by","Fundraiser"),0)+IFERROR(GETPIVOTDATA("Date",'Activity 3 Seen by'!$A$1,"Activity 3","Auricular Acupuncture","Seen by","Fundraiser"),0)</f>
        <v>0</v>
      </c>
    </row>
    <row r="860" spans="1:2" x14ac:dyDescent="0.25">
      <c r="A860" s="48" t="s">
        <v>114</v>
      </c>
      <c r="B860" s="139">
        <f>IFERROR(GETPIVOTDATA("Date",'Activity 1 Seen by'!$A$1,"Activity 1","Auricular Acupuncture","Seen by","Psychologist"),0)+IFERROR(GETPIVOTDATA("Date",'Activity 2 Seen by'!$A$1,"Activity 2","Auricular Acupuncture","Seen by","Psychologist"),0)+IFERROR(GETPIVOTDATA("Date",'Activity 3 Seen by'!$A$1,"Activity 3","Auricular Acupuncture","Seen by","Psychologist"),0)</f>
        <v>0</v>
      </c>
    </row>
    <row r="861" spans="1:2" x14ac:dyDescent="0.25">
      <c r="A861" s="48" t="s">
        <v>116</v>
      </c>
      <c r="B861" s="139">
        <f>IFERROR(GETPIVOTDATA("Date",'Activity 1 Seen by'!$A$1,"Activity 1","Auricular Acupuncture","Seen by","Sessional Staff"),0)+IFERROR(GETPIVOTDATA("Date",'Activity 2 Seen by'!$A$1,"Activity 2","Auricular Acupuncture","Seen by","Sessional Staff"),0)+IFERROR(GETPIVOTDATA("Date",'Activity 3 Seen by'!$A$1,"Activity 3","Auricular Acupuncture","Seen by","Sessional Staff"),0)</f>
        <v>0</v>
      </c>
    </row>
    <row r="862" spans="1:2" x14ac:dyDescent="0.25">
      <c r="A862" s="53" t="s">
        <v>278</v>
      </c>
      <c r="B862" s="144">
        <f>SUM(B863:B868)</f>
        <v>0</v>
      </c>
    </row>
    <row r="863" spans="1:2" x14ac:dyDescent="0.25">
      <c r="A863" s="48" t="s">
        <v>115</v>
      </c>
      <c r="B863" s="139">
        <f>IFERROR(GETPIVOTDATA("Date",'Activity 1 Seen by'!$A$1,"Activity 1","Bereavement Course","Seen by","Benefits Advisor"),0)+IFERROR(GETPIVOTDATA("Date",'Activity 2 Seen by'!$A$1,"Activity 2","Bereavement Course","Seen by","Benefits Advisor"),0)+IFERROR(GETPIVOTDATA("Date",'Activity 3 Seen by'!$A$1,"Activity 3","Bereavement Course","Seen by","Benefits Advisor"),0)</f>
        <v>0</v>
      </c>
    </row>
    <row r="864" spans="1:2" x14ac:dyDescent="0.25">
      <c r="A864" s="48" t="s">
        <v>112</v>
      </c>
      <c r="B864" s="139">
        <f>IFERROR(GETPIVOTDATA("Date",'Activity 1 Seen by'!$A$1,"Activity 1","Bereavement Course","Seen by","Centre Head"),0)+IFERROR(GETPIVOTDATA("Date",'Activity 2 Seen by'!$A$1,"Activity 2","Bereavement Course","Seen by","Centre Head"),0)+IFERROR(GETPIVOTDATA("Date",'Activity 3 Seen by'!$A$1,"Activity 3","Bereavement Course","Seen by","Centre Head"),0)</f>
        <v>0</v>
      </c>
    </row>
    <row r="865" spans="1:2" x14ac:dyDescent="0.25">
      <c r="A865" s="48" t="s">
        <v>113</v>
      </c>
      <c r="B865" s="139">
        <f>IFERROR(GETPIVOTDATA("Date",'Activity 1 Seen by'!$A$1,"Activity 1","Bereavement Course","Seen by","CSS"),0)+IFERROR(GETPIVOTDATA("Date",'Activity 2 Seen by'!$A$1,"Activity 2","Bereavement Course","Seen by","CSS"),0)+IFERROR(GETPIVOTDATA("Date",'Activity 3 Seen by'!$A$1,"Activity 3","Bereavement Course","Seen by","CSS"),0)</f>
        <v>0</v>
      </c>
    </row>
    <row r="866" spans="1:2" x14ac:dyDescent="0.25">
      <c r="A866" s="48" t="s">
        <v>205</v>
      </c>
      <c r="B866" s="139">
        <f>IFERROR(GETPIVOTDATA("Date",'Activity 1 Seen by'!$A$1,"Activity 1","Bereavement Course","Seen by","Fundraiser"),0)+IFERROR(GETPIVOTDATA("Date",'Activity 2 Seen by'!$A$1,"Activity 2","Bereavement Course","Seen by","Fundraiser"),0)+IFERROR(GETPIVOTDATA("Date",'Activity 3 Seen by'!$A$1,"Activity 3","Bereavement Course","Seen by","Fundraiser"),0)</f>
        <v>0</v>
      </c>
    </row>
    <row r="867" spans="1:2" x14ac:dyDescent="0.25">
      <c r="A867" s="48" t="s">
        <v>114</v>
      </c>
      <c r="B867" s="139">
        <f>IFERROR(GETPIVOTDATA("Date",'Activity 1 Seen by'!$A$1,"Activity 1","Bereavement Course","Seen by","Psychologist"),0)+IFERROR(GETPIVOTDATA("Date",'Activity 2 Seen by'!$A$1,"Activity 2","Bereavement Course","Seen by","Psychologist"),0)+IFERROR(GETPIVOTDATA("Date",'Activity 3 Seen by'!$A$1,"Activity 3","Bereavement Course","Seen by","Psychologist"),0)</f>
        <v>0</v>
      </c>
    </row>
    <row r="868" spans="1:2" x14ac:dyDescent="0.25">
      <c r="A868" s="48" t="s">
        <v>116</v>
      </c>
      <c r="B868" s="139">
        <f>IFERROR(GETPIVOTDATA("Date",'Activity 1 Seen by'!$A$1,"Activity 1","Bereavement Course","Seen by","Sessional Staff"),0)+IFERROR(GETPIVOTDATA("Date",'Activity 2 Seen by'!$A$1,"Activity 2","Bereavement Course","Seen by","Sessional Staff"),0)+IFERROR(GETPIVOTDATA("Date",'Activity 3 Seen by'!$A$1,"Activity 3","Bereavement Course","Seen by","Sessional Staff"),0)</f>
        <v>0</v>
      </c>
    </row>
    <row r="869" spans="1:2" x14ac:dyDescent="0.25">
      <c r="A869" s="53" t="s">
        <v>257</v>
      </c>
      <c r="B869" s="144">
        <f>SUM(B870:B875)</f>
        <v>0</v>
      </c>
    </row>
    <row r="870" spans="1:2" x14ac:dyDescent="0.25">
      <c r="A870" s="48" t="s">
        <v>115</v>
      </c>
      <c r="B870" s="139">
        <f>IFERROR(GETPIVOTDATA("Date",'Activity 1 Seen by'!$A$1,"Activity 1","Cancer in the Workplace","Seen by","Benefits Advisor"),0)+IFERROR(GETPIVOTDATA("Date",'Activity 2 Seen by'!$A$1,"Activity 2","Cancer in the Workplace","Seen by","Benefits Advisor"),0)+IFERROR(GETPIVOTDATA("Date",'Activity 3 Seen by'!$A$1,"Activity 3","Cancer in the Workplace","Seen by","Benefits Advisor"),0)</f>
        <v>0</v>
      </c>
    </row>
    <row r="871" spans="1:2" x14ac:dyDescent="0.25">
      <c r="A871" s="48" t="s">
        <v>112</v>
      </c>
      <c r="B871" s="139">
        <f>IFERROR(GETPIVOTDATA("Date",'Activity 1 Seen by'!$A$1,"Activity 1","Cancer in the Workplace","Seen by","Centre Head"),0)+IFERROR(GETPIVOTDATA("Date",'Activity 2 Seen by'!$A$1,"Activity 2","Cancer in the Workplace","Seen by","Centre Head"),0)+IFERROR(GETPIVOTDATA("Date",'Activity 3 Seen by'!$A$1,"Activity 3","Cancer in the Workplace","Seen by","Centre Head"),0)</f>
        <v>0</v>
      </c>
    </row>
    <row r="872" spans="1:2" x14ac:dyDescent="0.25">
      <c r="A872" s="48" t="s">
        <v>113</v>
      </c>
      <c r="B872" s="139">
        <f>IFERROR(GETPIVOTDATA("Date",'Activity 1 Seen by'!$A$1,"Activity 1","Cancer in the Workplace","Seen by","CSS"),0)+IFERROR(GETPIVOTDATA("Date",'Activity 2 Seen by'!$A$1,"Activity 2","Cancer in the Workplace","Seen by","CSS"),0)+IFERROR(GETPIVOTDATA("Date",'Activity 3 Seen by'!$A$1,"Activity 3","Cancer in the Workplace","Seen by","CSS"),0)</f>
        <v>0</v>
      </c>
    </row>
    <row r="873" spans="1:2" x14ac:dyDescent="0.25">
      <c r="A873" s="48" t="s">
        <v>205</v>
      </c>
      <c r="B873" s="139">
        <f>IFERROR(GETPIVOTDATA("Date",'Activity 1 Seen by'!$A$1,"Activity 1","Cancer in the Workplace","Seen by","Fundraiser"),0)+IFERROR(GETPIVOTDATA("Date",'Activity 2 Seen by'!$A$1,"Activity 2","Cancer in the Workplace","Seen by","Fundraiser"),0)+IFERROR(GETPIVOTDATA("Date",'Activity 3 Seen by'!$A$1,"Activity 3","Cancer in the Workplace","Seen by","Fundraiser"),0)</f>
        <v>0</v>
      </c>
    </row>
    <row r="874" spans="1:2" x14ac:dyDescent="0.25">
      <c r="A874" s="48" t="s">
        <v>114</v>
      </c>
      <c r="B874" s="139">
        <f>IFERROR(GETPIVOTDATA("Date",'Activity 1 Seen by'!$A$1,"Activity 1","Cancer in the Workplace","Seen by","Psychologist"),0)+IFERROR(GETPIVOTDATA("Date",'Activity 2 Seen by'!$A$1,"Activity 2","Cancer in the Workplace","Seen by","Psychologist"),0)+IFERROR(GETPIVOTDATA("Date",'Activity 3 Seen by'!$A$1,"Activity 3","Cancer in the Workplace","Seen by","Psychologist"),0)</f>
        <v>0</v>
      </c>
    </row>
    <row r="875" spans="1:2" x14ac:dyDescent="0.25">
      <c r="A875" s="48" t="s">
        <v>116</v>
      </c>
      <c r="B875" s="139">
        <f>IFERROR(GETPIVOTDATA("Date",'Activity 1 Seen by'!$A$1,"Activity 1","Cancer in the Workplace","Seen by","Sessional Staff"),0)+IFERROR(GETPIVOTDATA("Date",'Activity 2 Seen by'!$A$1,"Activity 2","Cancer in the Workplace","Seen by","Sessional Staff"),0)+IFERROR(GETPIVOTDATA("Date",'Activity 3 Seen by'!$A$1,"Activity 3","Cancer in the Workplace","Seen by","Sessional Staff"),0)</f>
        <v>0</v>
      </c>
    </row>
    <row r="876" spans="1:2" x14ac:dyDescent="0.25">
      <c r="A876" s="53" t="s">
        <v>258</v>
      </c>
      <c r="B876" s="144">
        <f>SUM(B877:B882)</f>
        <v>15</v>
      </c>
    </row>
    <row r="877" spans="1:2" x14ac:dyDescent="0.25">
      <c r="A877" s="48" t="s">
        <v>115</v>
      </c>
      <c r="B877" s="139">
        <f>IFERROR(GETPIVOTDATA("Date",'Activity 1 Seen by'!$A$1,"Activity 1","Fatigue Management","Seen by","Benefits Advisor"),0)+IFERROR(GETPIVOTDATA("Date",'Activity 2 Seen by'!$A$1,"Activity 2","Fatigue Management","Seen by","Benefits Advisor"),0)+IFERROR(GETPIVOTDATA("Date",'Activity 3 Seen by'!$A$1,"Activity 3","Fatigue Management","Seen by","Benefits Advisor"),0)</f>
        <v>0</v>
      </c>
    </row>
    <row r="878" spans="1:2" x14ac:dyDescent="0.25">
      <c r="A878" s="48" t="s">
        <v>112</v>
      </c>
      <c r="B878" s="139">
        <f>IFERROR(GETPIVOTDATA("Date",'Activity 1 Seen by'!$A$1,"Activity 1","Fatigue Management","Seen by","Centre Head"),0)+IFERROR(GETPIVOTDATA("Date",'Activity 2 Seen by'!$A$1,"Activity 2","Fatigue Management","Seen by","Centre Head"),0)+IFERROR(GETPIVOTDATA("Date",'Activity 3 Seen by'!$A$1,"Activity 3","Fatigue Management","Seen by","Centre Head"),0)</f>
        <v>0</v>
      </c>
    </row>
    <row r="879" spans="1:2" x14ac:dyDescent="0.25">
      <c r="A879" s="48" t="s">
        <v>113</v>
      </c>
      <c r="B879" s="139">
        <f>IFERROR(GETPIVOTDATA("Date",'Activity 1 Seen by'!$A$1,"Activity 1","Fatigue Management","Seen by","CSS"),0)+IFERROR(GETPIVOTDATA("Date",'Activity 2 Seen by'!$A$1,"Activity 2","Fatigue Management","Seen by","CSS"),0)+IFERROR(GETPIVOTDATA("Date",'Activity 3 Seen by'!$A$1,"Activity 3","Fatigue Management","Seen by","CSS"),0)</f>
        <v>15</v>
      </c>
    </row>
    <row r="880" spans="1:2" x14ac:dyDescent="0.25">
      <c r="A880" s="48" t="s">
        <v>205</v>
      </c>
      <c r="B880" s="139">
        <f>IFERROR(GETPIVOTDATA("Date",'Activity 1 Seen by'!$A$1,"Activity 1","Fatigue Management","Seen by","Fundraiser"),0)+IFERROR(GETPIVOTDATA("Date",'Activity 2 Seen by'!$A$1,"Activity 2","Fatigue Management","Seen by","Fundraiser"),0)+IFERROR(GETPIVOTDATA("Date",'Activity 3 Seen by'!$A$1,"Activity 3","Fatigue Management","Seen by","Fundraiser"),0)</f>
        <v>0</v>
      </c>
    </row>
    <row r="881" spans="1:2" x14ac:dyDescent="0.25">
      <c r="A881" s="48" t="s">
        <v>114</v>
      </c>
      <c r="B881" s="139">
        <f>IFERROR(GETPIVOTDATA("Date",'Activity 1 Seen by'!$A$1,"Activity 1","Fatigue Management","Seen by","Psychologist"),0)+IFERROR(GETPIVOTDATA("Date",'Activity 2 Seen by'!$A$1,"Activity 2","Fatigue Management","Seen by","Psychologist"),0)+IFERROR(GETPIVOTDATA("Date",'Activity 3 Seen by'!$A$1,"Activity 3","Fatigue Management","Seen by","Psychologist"),0)</f>
        <v>0</v>
      </c>
    </row>
    <row r="882" spans="1:2" x14ac:dyDescent="0.25">
      <c r="A882" s="48" t="s">
        <v>116</v>
      </c>
      <c r="B882" s="139">
        <f>IFERROR(GETPIVOTDATA("Date",'Activity 1 Seen by'!$A$1,"Activity 1","Fatigue Management","Seen by","Sessional Staff"),0)+IFERROR(GETPIVOTDATA("Date",'Activity 2 Seen by'!$A$1,"Activity 2","Fatigue Management","Seen by","Sessional Staff"),0)+IFERROR(GETPIVOTDATA("Date",'Activity 3 Seen by'!$A$1,"Activity 3","Fatigue Management","Seen by","Sessional Staff"),0)</f>
        <v>0</v>
      </c>
    </row>
    <row r="883" spans="1:2" x14ac:dyDescent="0.25">
      <c r="A883" s="53" t="s">
        <v>101</v>
      </c>
      <c r="B883" s="144">
        <f>SUM(B884:B889)</f>
        <v>0</v>
      </c>
    </row>
    <row r="884" spans="1:2" x14ac:dyDescent="0.25">
      <c r="A884" s="48" t="s">
        <v>115</v>
      </c>
      <c r="B884" s="139">
        <f>IFERROR(GETPIVOTDATA("Date",'Activity 1 Seen by'!$A$1,"Activity 1","Gardening","Seen by","Benefits Advisor"),0)+IFERROR(GETPIVOTDATA("Date",'Activity 2 Seen by'!$A$1,"Activity 2","Gardening","Seen by","Benefits Advisor"),0)+IFERROR(GETPIVOTDATA("Date",'Activity 3 Seen by'!$A$1,"Activity 3","Gardening","Seen by","Benefits Advisor"),0)</f>
        <v>0</v>
      </c>
    </row>
    <row r="885" spans="1:2" x14ac:dyDescent="0.25">
      <c r="A885" s="48" t="s">
        <v>112</v>
      </c>
      <c r="B885" s="139">
        <f>IFERROR(GETPIVOTDATA("Date",'Activity 1 Seen by'!$A$1,"Activity 1","Gardening","Seen by","Centre Head"),0)+IFERROR(GETPIVOTDATA("Date",'Activity 2 Seen by'!$A$1,"Activity 2","Gardening","Seen by","Centre Head"),0)+IFERROR(GETPIVOTDATA("Date",'Activity 3 Seen by'!$A$1,"Activity 3","Gardening","Seen by","Centre Head"),0)</f>
        <v>0</v>
      </c>
    </row>
    <row r="886" spans="1:2" x14ac:dyDescent="0.25">
      <c r="A886" s="48" t="s">
        <v>113</v>
      </c>
      <c r="B886" s="139">
        <f>IFERROR(GETPIVOTDATA("Date",'Activity 1 Seen by'!$A$1,"Activity 1","Gardening","Seen by","CSS"),0)+IFERROR(GETPIVOTDATA("Date",'Activity 2 Seen by'!$A$1,"Activity 2","Gardening","Seen by","CSS"),0)+IFERROR(GETPIVOTDATA("Date",'Activity 3 Seen by'!$A$1,"Activity 3","Gardening","Seen by","CSS"),0)</f>
        <v>0</v>
      </c>
    </row>
    <row r="887" spans="1:2" x14ac:dyDescent="0.25">
      <c r="A887" s="48" t="s">
        <v>205</v>
      </c>
      <c r="B887" s="139">
        <f>IFERROR(GETPIVOTDATA("Date",'Activity 1 Seen by'!$A$1,"Activity 1","Gardening","Seen by","Fundraiser"),0)+IFERROR(GETPIVOTDATA("Date",'Activity 2 Seen by'!$A$1,"Activity 2","Gardening","Seen by","Fundraiser"),0)+IFERROR(GETPIVOTDATA("Date",'Activity 3 Seen by'!$A$1,"Activity 3","Gardening","Seen by","Fundraiser"),0)</f>
        <v>0</v>
      </c>
    </row>
    <row r="888" spans="1:2" x14ac:dyDescent="0.25">
      <c r="A888" s="48" t="s">
        <v>114</v>
      </c>
      <c r="B888" s="139">
        <f>IFERROR(GETPIVOTDATA("Date",'Activity 1 Seen by'!$A$1,"Activity 1","Gardening","Seen by","Psychologist"),0)+IFERROR(GETPIVOTDATA("Date",'Activity 2 Seen by'!$A$1,"Activity 2","Gardening","Seen by","Psychologist"),0)+IFERROR(GETPIVOTDATA("Date",'Activity 3 Seen by'!$A$1,"Activity 3","Gardening","Seen by","Psychologist"),0)</f>
        <v>0</v>
      </c>
    </row>
    <row r="889" spans="1:2" x14ac:dyDescent="0.25">
      <c r="A889" s="48" t="s">
        <v>116</v>
      </c>
      <c r="B889" s="139">
        <f>IFERROR(GETPIVOTDATA("Date",'Activity 1 Seen by'!$A$1,"Activity 1","Gardening","Seen by","Sessional Staff"),0)+IFERROR(GETPIVOTDATA("Date",'Activity 2 Seen by'!$A$1,"Activity 2","Gardening","Seen by","Sessional Staff"),0)+IFERROR(GETPIVOTDATA("Date",'Activity 3 Seen by'!$A$1,"Activity 3","Gardening","Seen by","Sessional Staff"),0)</f>
        <v>0</v>
      </c>
    </row>
    <row r="890" spans="1:2" x14ac:dyDescent="0.25">
      <c r="A890" s="53" t="s">
        <v>102</v>
      </c>
      <c r="B890" s="144">
        <f>SUM(B891:B896)</f>
        <v>41</v>
      </c>
    </row>
    <row r="891" spans="1:2" x14ac:dyDescent="0.25">
      <c r="A891" s="48" t="s">
        <v>115</v>
      </c>
      <c r="B891" s="139">
        <f>IFERROR(GETPIVOTDATA("Date",'Activity 1 Seen by'!$A$1,"Activity 1","Gentle Exercise","Seen by","Benefits Advisor"),0)+IFERROR(GETPIVOTDATA("Date",'Activity 2 Seen by'!$A$1,"Activity 2","Gentle Exercise","Seen by","Benefits Advisor"),0)+IFERROR(GETPIVOTDATA("Date",'Activity 3 Seen by'!$A$1,"Activity 3","Gentle Exercise","Seen by","Benefits Advisor"),0)</f>
        <v>0</v>
      </c>
    </row>
    <row r="892" spans="1:2" x14ac:dyDescent="0.25">
      <c r="A892" s="48" t="s">
        <v>112</v>
      </c>
      <c r="B892" s="139">
        <f>IFERROR(GETPIVOTDATA("Date",'Activity 1 Seen by'!$A$1,"Activity 1","Gentle Exercise","Seen by","Centre Head"),0)+IFERROR(GETPIVOTDATA("Date",'Activity 2 Seen by'!$A$1,"Activity 2","Gentle Exercise","Seen by","Centre Head"),0)+IFERROR(GETPIVOTDATA("Date",'Activity 3 Seen by'!$A$1,"Activity 3","Gentle Exercise","Seen by","Centre Head"),0)</f>
        <v>0</v>
      </c>
    </row>
    <row r="893" spans="1:2" x14ac:dyDescent="0.25">
      <c r="A893" s="48" t="s">
        <v>113</v>
      </c>
      <c r="B893" s="139">
        <f>IFERROR(GETPIVOTDATA("Date",'Activity 1 Seen by'!$A$1,"Activity 1","Gentle Exercise","Seen by","CSS"),0)+IFERROR(GETPIVOTDATA("Date",'Activity 2 Seen by'!$A$1,"Activity 2","Gentle Exercise","Seen by","CSS"),0)+IFERROR(GETPIVOTDATA("Date",'Activity 3 Seen by'!$A$1,"Activity 3","Gentle Exercise","Seen by","CSS"),0)</f>
        <v>0</v>
      </c>
    </row>
    <row r="894" spans="1:2" x14ac:dyDescent="0.25">
      <c r="A894" s="48" t="s">
        <v>205</v>
      </c>
      <c r="B894" s="139">
        <f>IFERROR(GETPIVOTDATA("Date",'Activity 1 Seen by'!$A$1,"Activity 1","Gentle Exercise","Seen by","Fundraiser"),0)+IFERROR(GETPIVOTDATA("Date",'Activity 2 Seen by'!$A$1,"Activity 2","Gentle Exercise","Seen by","Fundraiser"),0)+IFERROR(GETPIVOTDATA("Date",'Activity 3 Seen by'!$A$1,"Activity 3","Gentle Exercise","Seen by","Fundraiser"),0)</f>
        <v>0</v>
      </c>
    </row>
    <row r="895" spans="1:2" x14ac:dyDescent="0.25">
      <c r="A895" s="48" t="s">
        <v>114</v>
      </c>
      <c r="B895" s="139">
        <f>IFERROR(GETPIVOTDATA("Date",'Activity 1 Seen by'!$A$1,"Activity 1","Gentle Exercise","Seen by","Psychologist"),0)+IFERROR(GETPIVOTDATA("Date",'Activity 2 Seen by'!$A$1,"Activity 2","Gentle Exercise","Seen by","Psychologist"),0)+IFERROR(GETPIVOTDATA("Date",'Activity 3 Seen by'!$A$1,"Activity 3","Gentle Exercise","Seen by","Psychologist"),0)</f>
        <v>0</v>
      </c>
    </row>
    <row r="896" spans="1:2" x14ac:dyDescent="0.25">
      <c r="A896" s="48" t="s">
        <v>116</v>
      </c>
      <c r="B896" s="139">
        <f>IFERROR(GETPIVOTDATA("Date",'Activity 1 Seen by'!$A$1,"Activity 1","Gentle Exercise","Seen by","Sessional Staff"),0)+IFERROR(GETPIVOTDATA("Date",'Activity 2 Seen by'!$A$1,"Activity 2","Gentle Exercise","Seen by","Sessional Staff"),0)+IFERROR(GETPIVOTDATA("Date",'Activity 3 Seen by'!$A$1,"Activity 3","Gentle Exercise","Seen by","Sessional Staff"),0)</f>
        <v>41</v>
      </c>
    </row>
    <row r="897" spans="1:2" x14ac:dyDescent="0.25">
      <c r="A897" s="53" t="s">
        <v>259</v>
      </c>
      <c r="B897" s="144">
        <f>SUM(B898:B903)</f>
        <v>0</v>
      </c>
    </row>
    <row r="898" spans="1:2" x14ac:dyDescent="0.25">
      <c r="A898" s="48" t="s">
        <v>115</v>
      </c>
      <c r="B898" s="139">
        <f>IFERROR(GETPIVOTDATA("Date",'Activity 1 Seen by'!$A$1,"Activity 1","Introduction to Radiotherapy","Seen by","Benefits Advisor"),0)+IFERROR(GETPIVOTDATA("Date",'Activity 2 Seen by'!$A$1,"Activity 2","Introduction to Radiotherapy","Seen by","Benefits Advisor"),0)+IFERROR(GETPIVOTDATA("Date",'Activity 3 Seen by'!$A$1,"Activity 3","Introduction to Radiotherapy","Seen by","Benefits Advisor"),0)</f>
        <v>0</v>
      </c>
    </row>
    <row r="899" spans="1:2" x14ac:dyDescent="0.25">
      <c r="A899" s="48" t="s">
        <v>112</v>
      </c>
      <c r="B899" s="139">
        <f>IFERROR(GETPIVOTDATA("Date",'Activity 1 Seen by'!$A$1,"Activity 1","Introduction to Radiotherapy","Seen by","Centre Head"),0)+IFERROR(GETPIVOTDATA("Date",'Activity 2 Seen by'!$A$1,"Activity 2","Introduction to Radiotherapy","Seen by","Centre Head"),0)+IFERROR(GETPIVOTDATA("Date",'Activity 3 Seen by'!$A$1,"Activity 3","Introduction to Radiotherapy","Seen by","Centre Head"),0)</f>
        <v>0</v>
      </c>
    </row>
    <row r="900" spans="1:2" x14ac:dyDescent="0.25">
      <c r="A900" s="48" t="s">
        <v>113</v>
      </c>
      <c r="B900" s="139">
        <f>IFERROR(GETPIVOTDATA("Date",'Activity 1 Seen by'!$A$1,"Activity 1","Introduction to Radiotherapy","Seen by","CSS"),0)+IFERROR(GETPIVOTDATA("Date",'Activity 2 Seen by'!$A$1,"Activity 2","Introduction to Radiotherapy","Seen by","CSS"),0)+IFERROR(GETPIVOTDATA("Date",'Activity 3 Seen by'!$A$1,"Activity 3","Introduction to Radiotherapy","Seen by","CSS"),0)</f>
        <v>0</v>
      </c>
    </row>
    <row r="901" spans="1:2" x14ac:dyDescent="0.25">
      <c r="A901" s="48" t="s">
        <v>205</v>
      </c>
      <c r="B901" s="139">
        <f>IFERROR(GETPIVOTDATA("Date",'Activity 1 Seen by'!$A$1,"Activity 1","Introduction to Radiotherapy","Seen by","Fundraiser"),0)+IFERROR(GETPIVOTDATA("Date",'Activity 2 Seen by'!$A$1,"Activity 2","Introduction to Radiotherapy","Seen by","Fundraiser"),0)+IFERROR(GETPIVOTDATA("Date",'Activity 3 Seen by'!$A$1,"Activity 3","Introduction to Radiotherapy","Seen by","Fundraiser"),0)</f>
        <v>0</v>
      </c>
    </row>
    <row r="902" spans="1:2" x14ac:dyDescent="0.25">
      <c r="A902" s="48" t="s">
        <v>114</v>
      </c>
      <c r="B902" s="139">
        <f>IFERROR(GETPIVOTDATA("Date",'Activity 1 Seen by'!$A$1,"Activity 1","Introduction to Radiotherapy","Seen by","Psychologist"),0)+IFERROR(GETPIVOTDATA("Date",'Activity 2 Seen by'!$A$1,"Activity 2","Introduction to Radiotherapy","Seen by","Psychologist"),0)+IFERROR(GETPIVOTDATA("Date",'Activity 3 Seen by'!$A$1,"Activity 3","Introduction to Radiotherapy","Seen by","Psychologist"),0)</f>
        <v>0</v>
      </c>
    </row>
    <row r="903" spans="1:2" x14ac:dyDescent="0.25">
      <c r="A903" s="48" t="s">
        <v>116</v>
      </c>
      <c r="B903" s="139">
        <f>IFERROR(GETPIVOTDATA("Date",'Activity 1 Seen by'!$A$1,"Activity 1","Introduction to Radiotherapy","Seen by","Sessional Staff"),0)+IFERROR(GETPIVOTDATA("Date",'Activity 2 Seen by'!$A$1,"Activity 2","Introduction to Radiotherapy","Seen by","Sessional Staff"),0)+IFERROR(GETPIVOTDATA("Date",'Activity 3 Seen by'!$A$1,"Activity 3","Introduction to Radiotherapy","Seen by","Sessional Staff"),0)</f>
        <v>0</v>
      </c>
    </row>
    <row r="904" spans="1:2" x14ac:dyDescent="0.25">
      <c r="A904" s="53" t="s">
        <v>287</v>
      </c>
      <c r="B904" s="144">
        <f>SUM(B905:B910)</f>
        <v>9</v>
      </c>
    </row>
    <row r="905" spans="1:2" x14ac:dyDescent="0.25">
      <c r="A905" s="48" t="s">
        <v>115</v>
      </c>
      <c r="B905" s="139">
        <f>IFERROR(GETPIVOTDATA("Date",'Activity 1 Seen by'!$A$1,"Activity 1","Living with and Beyond Prostate Cancer","Seen by","Benefits Advisor"),0)+IFERROR(GETPIVOTDATA("Date",'Activity 2 Seen by'!$A$1,"Activity 2","Living with and Beyond Prostate Cancer","Seen by","Benefits Advisor"),0)+IFERROR(GETPIVOTDATA("Date",'Activity 3 Seen by'!$A$1,"Activity 3","Living with and Beyond Prostate Cancer","Seen by","Benefits Advisor"),0)</f>
        <v>0</v>
      </c>
    </row>
    <row r="906" spans="1:2" x14ac:dyDescent="0.25">
      <c r="A906" s="48" t="s">
        <v>112</v>
      </c>
      <c r="B906" s="139">
        <f>IFERROR(GETPIVOTDATA("Date",'Activity 1 Seen by'!$A$1,"Activity 1","Living with and Beyond Prostate Cancer","Seen by","Centre Head"),0)+IFERROR(GETPIVOTDATA("Date",'Activity 2 Seen by'!$A$1,"Activity 2","Living with and Beyond Prostate Cancer","Seen by","Centre Head"),0)+IFERROR(GETPIVOTDATA("Date",'Activity 3 Seen by'!$A$1,"Activity 3","Living with and Beyond Prostate Cancer","Seen by","Centre Head"),0)</f>
        <v>0</v>
      </c>
    </row>
    <row r="907" spans="1:2" x14ac:dyDescent="0.25">
      <c r="A907" s="48" t="s">
        <v>113</v>
      </c>
      <c r="B907" s="139">
        <f>IFERROR(GETPIVOTDATA("Date",'Activity 1 Seen by'!$A$1,"Activity 1","Living with and Beyond Prostate Cancer","Seen by","CSS"),0)+IFERROR(GETPIVOTDATA("Date",'Activity 2 Seen by'!$A$1,"Activity 2","Living with and Beyond Prostate Cancer","Seen by","CSS"),0)+IFERROR(GETPIVOTDATA("Date",'Activity 3 Seen by'!$A$1,"Activity 3","Living with and Beyond Prostate Cancer","Seen by","CSS"),0)</f>
        <v>1</v>
      </c>
    </row>
    <row r="908" spans="1:2" x14ac:dyDescent="0.25">
      <c r="A908" s="48" t="s">
        <v>205</v>
      </c>
      <c r="B908" s="139">
        <f>IFERROR(GETPIVOTDATA("Date",'Activity 1 Seen by'!$A$1,"Activity 1","Living with and Beyond Prostate Cancer","Seen by","Fundraiser"),0)+IFERROR(GETPIVOTDATA("Date",'Activity 2 Seen by'!$A$1,"Activity 2","Living with and Beyond Prostate Cancer","Seen by","Fundraiser"),0)+IFERROR(GETPIVOTDATA("Date",'Activity 3 Seen by'!$A$1,"Activity 3","Living with and Beyond Prostate Cancer","Seen by","Fundraiser"),0)</f>
        <v>0</v>
      </c>
    </row>
    <row r="909" spans="1:2" x14ac:dyDescent="0.25">
      <c r="A909" s="48" t="s">
        <v>114</v>
      </c>
      <c r="B909" s="139">
        <f>IFERROR(GETPIVOTDATA("Date",'Activity 1 Seen by'!$A$1,"Activity 1","Living with and Beyond Prostate Cancer","Seen by","Psychologist"),0)+IFERROR(GETPIVOTDATA("Date",'Activity 2 Seen by'!$A$1,"Activity 2","Living with and Beyond Prostate Cancer","Seen by","Psychologist"),0)+IFERROR(GETPIVOTDATA("Date",'Activity 3 Seen by'!$A$1,"Activity 3","Living with and Beyond Prostate Cancer","Seen by","Psychologist"),0)</f>
        <v>8</v>
      </c>
    </row>
    <row r="910" spans="1:2" x14ac:dyDescent="0.25">
      <c r="A910" s="48" t="s">
        <v>116</v>
      </c>
      <c r="B910" s="139">
        <f>IFERROR(GETPIVOTDATA("Date",'Activity 1 Seen by'!$A$1,"Activity 1","Living with and Beyond Prostate Cancer","Seen by","Sessional Staff"),0)+IFERROR(GETPIVOTDATA("Date",'Activity 2 Seen by'!$A$1,"Activity 2","Living with and Beyond Prostate Cancer","Seen by","Sessional Staff"),0)+IFERROR(GETPIVOTDATA("Date",'Activity 3 Seen by'!$A$1,"Activity 3","Living with and Beyond Prostate Cancer","Seen by","Sessional Staff"),0)</f>
        <v>0</v>
      </c>
    </row>
    <row r="911" spans="1:2" x14ac:dyDescent="0.25">
      <c r="A911" s="53" t="s">
        <v>103</v>
      </c>
      <c r="B911" s="144">
        <f>SUM(B912:B917)</f>
        <v>6</v>
      </c>
    </row>
    <row r="912" spans="1:2" x14ac:dyDescent="0.25">
      <c r="A912" s="48" t="s">
        <v>115</v>
      </c>
      <c r="B912" s="139">
        <f>IFERROR(GETPIVOTDATA("Date",'Activity 1 Seen by'!$A$1,"Activity 1","Meditation","Seen by","Benefits Advisor"),0)+IFERROR(GETPIVOTDATA("Date",'Activity 2 Seen by'!$A$1,"Activity 2","Meditation","Seen by","Benefits Advisor"),0)+IFERROR(GETPIVOTDATA("Date",'Activity 3 Seen by'!$A$1,"Activity 3","Meditation","Seen by","Benefits Advisor"),0)</f>
        <v>0</v>
      </c>
    </row>
    <row r="913" spans="1:2" x14ac:dyDescent="0.25">
      <c r="A913" s="48" t="s">
        <v>112</v>
      </c>
      <c r="B913" s="139">
        <f>IFERROR(GETPIVOTDATA("Date",'Activity 1 Seen by'!$A$1,"Activity 1","Meditation","Seen by","Centre Head"),0)+IFERROR(GETPIVOTDATA("Date",'Activity 2 Seen by'!$A$1,"Activity 2","Meditation","Seen by","Centre Head"),0)+IFERROR(GETPIVOTDATA("Date",'Activity 3 Seen by'!$A$1,"Activity 3","Meditation","Seen by","Centre Head"),0)</f>
        <v>0</v>
      </c>
    </row>
    <row r="914" spans="1:2" x14ac:dyDescent="0.25">
      <c r="A914" s="48" t="s">
        <v>113</v>
      </c>
      <c r="B914" s="139">
        <f>IFERROR(GETPIVOTDATA("Date",'Activity 1 Seen by'!$A$1,"Activity 1","Meditation","Seen by","CSS"),0)+IFERROR(GETPIVOTDATA("Date",'Activity 2 Seen by'!$A$1,"Activity 2","Meditation","Seen by","CSS"),0)+IFERROR(GETPIVOTDATA("Date",'Activity 3 Seen by'!$A$1,"Activity 3","Meditation","Seen by","CSS"),0)</f>
        <v>6</v>
      </c>
    </row>
    <row r="915" spans="1:2" x14ac:dyDescent="0.25">
      <c r="A915" s="48" t="s">
        <v>205</v>
      </c>
      <c r="B915" s="139">
        <f>IFERROR(GETPIVOTDATA("Date",'Activity 1 Seen by'!$A$1,"Activity 1","Meditation","Seen by","Fundraiser"),0)+IFERROR(GETPIVOTDATA("Date",'Activity 2 Seen by'!$A$1,"Activity 2","Meditation","Seen by","Fundraiser"),0)+IFERROR(GETPIVOTDATA("Date",'Activity 3 Seen by'!$A$1,"Activity 3","Meditation","Seen by","Fundraiser"),0)</f>
        <v>0</v>
      </c>
    </row>
    <row r="916" spans="1:2" x14ac:dyDescent="0.25">
      <c r="A916" s="48" t="s">
        <v>114</v>
      </c>
      <c r="B916" s="139">
        <f>IFERROR(GETPIVOTDATA("Date",'Activity 1 Seen by'!$A$1,"Activity 1","Meditation","Seen by","Psychologist"),0)+IFERROR(GETPIVOTDATA("Date",'Activity 2 Seen by'!$A$1,"Activity 2","Meditation","Seen by","Psychologist"),0)+IFERROR(GETPIVOTDATA("Date",'Activity 3 Seen by'!$A$1,"Activity 3","Meditation","Seen by","Psychologist"),0)</f>
        <v>0</v>
      </c>
    </row>
    <row r="917" spans="1:2" x14ac:dyDescent="0.25">
      <c r="A917" s="48" t="s">
        <v>116</v>
      </c>
      <c r="B917" s="139">
        <f>IFERROR(GETPIVOTDATA("Date",'Activity 1 Seen by'!$A$1,"Activity 1","Meditation","Seen by","Sessional Staff"),0)+IFERROR(GETPIVOTDATA("Date",'Activity 2 Seen by'!$A$1,"Activity 2","Meditation","Seen by","Sessional Staff"),0)+IFERROR(GETPIVOTDATA("Date",'Activity 3 Seen by'!$A$1,"Activity 3","Meditation","Seen by","Sessional Staff"),0)</f>
        <v>0</v>
      </c>
    </row>
    <row r="918" spans="1:2" x14ac:dyDescent="0.25">
      <c r="A918" s="53" t="s">
        <v>261</v>
      </c>
      <c r="B918" s="144">
        <f>SUM(B919:B924)</f>
        <v>0</v>
      </c>
    </row>
    <row r="919" spans="1:2" x14ac:dyDescent="0.25">
      <c r="A919" s="48" t="s">
        <v>115</v>
      </c>
      <c r="B919" s="139">
        <f>IFERROR(GETPIVOTDATA("Date",'Activity 1 Seen by'!$A$1,"Activity 1","Mind over Mood","Seen by","Benefits Advisor"),0)+IFERROR(GETPIVOTDATA("Date",'Activity 2 Seen by'!$A$1,"Activity 2","Mind over Mood","Seen by","Benefits Advisor"),0)+IFERROR(GETPIVOTDATA("Date",'Activity 3 Seen by'!$A$1,"Activity 3","Mind over Mood","Seen by","Benefits Advisor"),0)</f>
        <v>0</v>
      </c>
    </row>
    <row r="920" spans="1:2" x14ac:dyDescent="0.25">
      <c r="A920" s="48" t="s">
        <v>112</v>
      </c>
      <c r="B920" s="139">
        <f>IFERROR(GETPIVOTDATA("Date",'Activity 1 Seen by'!$A$1,"Activity 1","Mind over Mood","Seen by","Centre Head"),0)+IFERROR(GETPIVOTDATA("Date",'Activity 2 Seen by'!$A$1,"Activity 2","Mind over Mood","Seen by","Centre Head"),0)+IFERROR(GETPIVOTDATA("Date",'Activity 3 Seen by'!$A$1,"Activity 3","Mind over Mood","Seen by","Centre Head"),0)</f>
        <v>0</v>
      </c>
    </row>
    <row r="921" spans="1:2" x14ac:dyDescent="0.25">
      <c r="A921" s="48" t="s">
        <v>113</v>
      </c>
      <c r="B921" s="139">
        <f>IFERROR(GETPIVOTDATA("Date",'Activity 1 Seen by'!$A$1,"Activity 1","Mind over Mood","Seen by","CSS"),0)+IFERROR(GETPIVOTDATA("Date",'Activity 2 Seen by'!$A$1,"Activity 2","Mind over Mood","Seen by","CSS"),0)+IFERROR(GETPIVOTDATA("Date",'Activity 3 Seen by'!$A$1,"Activity 3","Mind over Mood","Seen by","CSS"),0)</f>
        <v>0</v>
      </c>
    </row>
    <row r="922" spans="1:2" x14ac:dyDescent="0.25">
      <c r="A922" s="48" t="s">
        <v>205</v>
      </c>
      <c r="B922" s="139">
        <f>IFERROR(GETPIVOTDATA("Date",'Activity 1 Seen by'!$A$1,"Activity 1","Mind over Mood","Seen by","Fundraiser"),0)+IFERROR(GETPIVOTDATA("Date",'Activity 2 Seen by'!$A$1,"Activity 2","Mind over Mood","Seen by","Fundraiser"),0)+IFERROR(GETPIVOTDATA("Date",'Activity 3 Seen by'!$A$1,"Activity 3","Mind over Mood","Seen by","Fundraiser"),0)</f>
        <v>0</v>
      </c>
    </row>
    <row r="923" spans="1:2" x14ac:dyDescent="0.25">
      <c r="A923" s="48" t="s">
        <v>114</v>
      </c>
      <c r="B923" s="139">
        <f>IFERROR(GETPIVOTDATA("Date",'Activity 1 Seen by'!$A$1,"Activity 1","Mind over Mood","Seen by","Psychologist"),0)+IFERROR(GETPIVOTDATA("Date",'Activity 2 Seen by'!$A$1,"Activity 2","Mind over Mood","Seen by","Psychologist"),0)+IFERROR(GETPIVOTDATA("Date",'Activity 3 Seen by'!$A$1,"Activity 3","Mind over Mood","Seen by","Psychologist"),0)</f>
        <v>0</v>
      </c>
    </row>
    <row r="924" spans="1:2" x14ac:dyDescent="0.25">
      <c r="A924" s="48" t="s">
        <v>116</v>
      </c>
      <c r="B924" s="139">
        <f>IFERROR(GETPIVOTDATA("Date",'Activity 1 Seen by'!$A$1,"Activity 1","Mind over Mood","Seen by","Sessional Staff"),0)+IFERROR(GETPIVOTDATA("Date",'Activity 2 Seen by'!$A$1,"Activity 2","Mind over Mood","Seen by","Sessional Staff"),0)+IFERROR(GETPIVOTDATA("Date",'Activity 3 Seen by'!$A$1,"Activity 3","Mind over Mood","Seen by","Sessional Staff"),0)</f>
        <v>0</v>
      </c>
    </row>
    <row r="925" spans="1:2" x14ac:dyDescent="0.25">
      <c r="A925" s="53" t="s">
        <v>99</v>
      </c>
      <c r="B925" s="144">
        <f>SUM(B926:B931)</f>
        <v>0</v>
      </c>
    </row>
    <row r="926" spans="1:2" x14ac:dyDescent="0.25">
      <c r="A926" s="48" t="s">
        <v>115</v>
      </c>
      <c r="B926" s="139">
        <f>IFERROR(GETPIVOTDATA("Date",'Activity 1 Seen by'!$A$1,"Activity 1","Mindfulness","Seen by","Benefits Advisor"),0)+IFERROR(GETPIVOTDATA("Date",'Activity 2 Seen by'!$A$1,"Activity 2","Mindfulness","Seen by","Benefits Advisor"),0)+IFERROR(GETPIVOTDATA("Date",'Activity 3 Seen by'!$A$1,"Activity 3","Mindfulness","Seen by","Benefits Advisor"),0)</f>
        <v>0</v>
      </c>
    </row>
    <row r="927" spans="1:2" x14ac:dyDescent="0.25">
      <c r="A927" s="48" t="s">
        <v>112</v>
      </c>
      <c r="B927" s="139">
        <f>IFERROR(GETPIVOTDATA("Date",'Activity 1 Seen by'!$A$1,"Activity 1","Mindfulness","Seen by","Centre Head"),0)+IFERROR(GETPIVOTDATA("Date",'Activity 2 Seen by'!$A$1,"Activity 2","Mindfulness","Seen by","Centre Head"),0)+IFERROR(GETPIVOTDATA("Date",'Activity 3 Seen by'!$A$1,"Activity 3","Mindfulness","Seen by","Centre Head"),0)</f>
        <v>0</v>
      </c>
    </row>
    <row r="928" spans="1:2" x14ac:dyDescent="0.25">
      <c r="A928" s="48" t="s">
        <v>113</v>
      </c>
      <c r="B928" s="139">
        <f>IFERROR(GETPIVOTDATA("Date",'Activity 1 Seen by'!$A$1,"Activity 1","Mindfulness","Seen by","CSS"),0)+IFERROR(GETPIVOTDATA("Date",'Activity 2 Seen by'!$A$1,"Activity 2","Mindfulness","Seen by","CSS"),0)+IFERROR(GETPIVOTDATA("Date",'Activity 3 Seen by'!$A$1,"Activity 3","Mindfulness","Seen by","CSS"),0)</f>
        <v>0</v>
      </c>
    </row>
    <row r="929" spans="1:2" x14ac:dyDescent="0.25">
      <c r="A929" s="48" t="s">
        <v>205</v>
      </c>
      <c r="B929" s="139">
        <f>IFERROR(GETPIVOTDATA("Date",'Activity 1 Seen by'!$A$1,"Activity 1","Mindfulness","Seen by","Fundraiser"),0)+IFERROR(GETPIVOTDATA("Date",'Activity 2 Seen by'!$A$1,"Activity 2","Mindfulness","Seen by","Fundraiser"),0)+IFERROR(GETPIVOTDATA("Date",'Activity 3 Seen by'!$A$1,"Activity 3","Mindfulness","Seen by","Fundraiser"),0)</f>
        <v>0</v>
      </c>
    </row>
    <row r="930" spans="1:2" x14ac:dyDescent="0.25">
      <c r="A930" s="48" t="s">
        <v>114</v>
      </c>
      <c r="B930" s="139">
        <f>IFERROR(GETPIVOTDATA("Date",'Activity 1 Seen by'!$A$1,"Activity 1","Mindfulness","Seen by","Psychologist"),0)+IFERROR(GETPIVOTDATA("Date",'Activity 2 Seen by'!$A$1,"Activity 2","Mindfulness","Seen by","Psychologist"),0)+IFERROR(GETPIVOTDATA("Date",'Activity 3 Seen by'!$A$1,"Activity 3","Mindfulness","Seen by","Psychologist"),0)</f>
        <v>0</v>
      </c>
    </row>
    <row r="931" spans="1:2" x14ac:dyDescent="0.25">
      <c r="A931" s="48" t="s">
        <v>116</v>
      </c>
      <c r="B931" s="139">
        <f>IFERROR(GETPIVOTDATA("Date",'Activity 1 Seen by'!$A$1,"Activity 1","Mindfulness","Seen by","Sessional Staff"),0)+IFERROR(GETPIVOTDATA("Date",'Activity 2 Seen by'!$A$1,"Activity 2","Mindfulness","Seen by","Sessional Staff"),0)+IFERROR(GETPIVOTDATA("Date",'Activity 3 Seen by'!$A$1,"Activity 3","Mindfulness","Seen by","Sessional Staff"),0)</f>
        <v>0</v>
      </c>
    </row>
    <row r="932" spans="1:2" x14ac:dyDescent="0.25">
      <c r="A932" s="53" t="s">
        <v>262</v>
      </c>
      <c r="B932" s="144">
        <f>SUM(B933:B938)</f>
        <v>5</v>
      </c>
    </row>
    <row r="933" spans="1:2" x14ac:dyDescent="0.25">
      <c r="A933" s="48" t="s">
        <v>115</v>
      </c>
      <c r="B933" s="139">
        <f>IFERROR(GETPIVOTDATA("Date",'Activity 1 Seen by'!$A$1,"Activity 1","Music Therapy/Choir","Seen by","Benefits Advisor"),0)+IFERROR(GETPIVOTDATA("Date",'Activity 2 Seen by'!$A$1,"Activity 2","Music Therapy/Choir","Seen by","Benefits Advisor"),0)+IFERROR(GETPIVOTDATA("Date",'Activity 3 Seen by'!$A$1,"Activity 3","Music Therapy/Choir","Seen by","Benefits Advisor"),0)</f>
        <v>0</v>
      </c>
    </row>
    <row r="934" spans="1:2" x14ac:dyDescent="0.25">
      <c r="A934" s="48" t="s">
        <v>112</v>
      </c>
      <c r="B934" s="139">
        <f>IFERROR(GETPIVOTDATA("Date",'Activity 1 Seen by'!$A$1,"Activity 1","Music Therapy/Choir","Seen by","Centre Head"),0)+IFERROR(GETPIVOTDATA("Date",'Activity 2 Seen by'!$A$1,"Activity 2","Music Therapy/Choir","Seen by","Centre Head"),0)+IFERROR(GETPIVOTDATA("Date",'Activity 3 Seen by'!$A$1,"Activity 3","Music Therapy/Choir","Seen by","Centre Head"),0)</f>
        <v>0</v>
      </c>
    </row>
    <row r="935" spans="1:2" x14ac:dyDescent="0.25">
      <c r="A935" s="48" t="s">
        <v>113</v>
      </c>
      <c r="B935" s="139">
        <f>IFERROR(GETPIVOTDATA("Date",'Activity 1 Seen by'!$A$1,"Activity 1","Music Therapy/Choir","Seen by","CSS"),0)+IFERROR(GETPIVOTDATA("Date",'Activity 2 Seen by'!$A$1,"Activity 2","Music Therapy/Choir","Seen by","CSS"),0)+IFERROR(GETPIVOTDATA("Date",'Activity 3 Seen by'!$A$1,"Activity 3","Music Therapy/Choir","Seen by","CSS"),0)</f>
        <v>5</v>
      </c>
    </row>
    <row r="936" spans="1:2" x14ac:dyDescent="0.25">
      <c r="A936" s="48" t="s">
        <v>205</v>
      </c>
      <c r="B936" s="139">
        <f>IFERROR(GETPIVOTDATA("Date",'Activity 1 Seen by'!$A$1,"Activity 1","Music Therapy/Choir","Seen by","Fundraiser"),0)+IFERROR(GETPIVOTDATA("Date",'Activity 2 Seen by'!$A$1,"Activity 2","Music Therapy/Choir","Seen by","Fundraiser"),0)+IFERROR(GETPIVOTDATA("Date",'Activity 3 Seen by'!$A$1,"Activity 3","Music Therapy/Choir","Seen by","Fundraiser"),0)</f>
        <v>0</v>
      </c>
    </row>
    <row r="937" spans="1:2" x14ac:dyDescent="0.25">
      <c r="A937" s="48" t="s">
        <v>114</v>
      </c>
      <c r="B937" s="139">
        <f>IFERROR(GETPIVOTDATA("Date",'Activity 1 Seen by'!$A$1,"Activity 1","Music Therapy/Choir","Seen by","Psychologist"),0)+IFERROR(GETPIVOTDATA("Date",'Activity 2 Seen by'!$A$1,"Activity 2","Music Therapy/Choir","Seen by","Psychologist"),0)+IFERROR(GETPIVOTDATA("Date",'Activity 3 Seen by'!$A$1,"Activity 3","Music Therapy/Choir","Seen by","Psychologist"),0)</f>
        <v>0</v>
      </c>
    </row>
    <row r="938" spans="1:2" x14ac:dyDescent="0.25">
      <c r="A938" s="48" t="s">
        <v>116</v>
      </c>
      <c r="B938" s="139">
        <f>IFERROR(GETPIVOTDATA("Date",'Activity 1 Seen by'!$A$1,"Activity 1","Music Therapy/Choir","Seen by","Sessional Staff"),0)+IFERROR(GETPIVOTDATA("Date",'Activity 2 Seen by'!$A$1,"Activity 2","Music Therapy/Choir","Seen by","Sessional Staff"),0)+IFERROR(GETPIVOTDATA("Date",'Activity 3 Seen by'!$A$1,"Activity 3","Music Therapy/Choir","Seen by","Sessional Staff"),0)</f>
        <v>0</v>
      </c>
    </row>
    <row r="939" spans="1:2" x14ac:dyDescent="0.25">
      <c r="A939" s="53" t="s">
        <v>263</v>
      </c>
      <c r="B939" s="144">
        <f>SUM(B940:B945)</f>
        <v>24</v>
      </c>
    </row>
    <row r="940" spans="1:2" x14ac:dyDescent="0.25">
      <c r="A940" s="48" t="s">
        <v>115</v>
      </c>
      <c r="B940" s="139">
        <f>IFERROR(GETPIVOTDATA("Date",'Activity 1 Seen by'!$A$1,"Activity 1","Nordic Walking","Seen by","Benefits Advisor"),0)+IFERROR(GETPIVOTDATA("Date",'Activity 2 Seen by'!$A$1,"Activity 2","Nordic Walking","Seen by","Benefits Advisor"),0)+IFERROR(GETPIVOTDATA("Date",'Activity 3 Seen by'!$A$1,"Activity 3","Nordic Walking","Seen by","Benefits Advisor"),0)</f>
        <v>0</v>
      </c>
    </row>
    <row r="941" spans="1:2" x14ac:dyDescent="0.25">
      <c r="A941" s="48" t="s">
        <v>112</v>
      </c>
      <c r="B941" s="139">
        <f>IFERROR(GETPIVOTDATA("Date",'Activity 1 Seen by'!$A$1,"Activity 1","Nordic Walking","Seen by","Centre Head"),0)+IFERROR(GETPIVOTDATA("Date",'Activity 2 Seen by'!$A$1,"Activity 2","Nordic Walking","Seen by","Centre Head"),0)+IFERROR(GETPIVOTDATA("Date",'Activity 3 Seen by'!$A$1,"Activity 3","Nordic Walking","Seen by","Centre Head"),0)</f>
        <v>0</v>
      </c>
    </row>
    <row r="942" spans="1:2" x14ac:dyDescent="0.25">
      <c r="A942" s="48" t="s">
        <v>113</v>
      </c>
      <c r="B942" s="139">
        <f>IFERROR(GETPIVOTDATA("Date",'Activity 1 Seen by'!$A$1,"Activity 1","Nordic Walking","Seen by","CSS"),0)+IFERROR(GETPIVOTDATA("Date",'Activity 2 Seen by'!$A$1,"Activity 2","Nordic Walking","Seen by","CSS"),0)+IFERROR(GETPIVOTDATA("Date",'Activity 3 Seen by'!$A$1,"Activity 3","Nordic Walking","Seen by","CSS"),0)</f>
        <v>5</v>
      </c>
    </row>
    <row r="943" spans="1:2" x14ac:dyDescent="0.25">
      <c r="A943" s="48" t="s">
        <v>205</v>
      </c>
      <c r="B943" s="139">
        <f>IFERROR(GETPIVOTDATA("Date",'Activity 1 Seen by'!$A$1,"Activity 1","Nordic Walking","Seen by","Fundraiser"),0)+IFERROR(GETPIVOTDATA("Date",'Activity 2 Seen by'!$A$1,"Activity 2","Nordic Walking","Seen by","Fundraiser"),0)+IFERROR(GETPIVOTDATA("Date",'Activity 3 Seen by'!$A$1,"Activity 3","Nordic Walking","Seen by","Fundraiser"),0)</f>
        <v>0</v>
      </c>
    </row>
    <row r="944" spans="1:2" x14ac:dyDescent="0.25">
      <c r="A944" s="48" t="s">
        <v>114</v>
      </c>
      <c r="B944" s="139">
        <f>IFERROR(GETPIVOTDATA("Date",'Activity 1 Seen by'!$A$1,"Activity 1","Nordic Walking","Seen by","Psychologist"),0)+IFERROR(GETPIVOTDATA("Date",'Activity 2 Seen by'!$A$1,"Activity 2","Nordic Walking","Seen by","Psychologist"),0)+IFERROR(GETPIVOTDATA("Date",'Activity 3 Seen by'!$A$1,"Activity 3","Nordic Walking","Seen by","Psychologist"),0)</f>
        <v>0</v>
      </c>
    </row>
    <row r="945" spans="1:2" x14ac:dyDescent="0.25">
      <c r="A945" s="48" t="s">
        <v>116</v>
      </c>
      <c r="B945" s="139">
        <f>IFERROR(GETPIVOTDATA("Date",'Activity 1 Seen by'!$A$1,"Activity 1","Nordic Walking","Seen by","Sessional Staff"),0)+IFERROR(GETPIVOTDATA("Date",'Activity 2 Seen by'!$A$1,"Activity 2","Nordic Walking","Seen by","Sessional Staff"),0)+IFERROR(GETPIVOTDATA("Date",'Activity 3 Seen by'!$A$1,"Activity 3","Nordic Walking","Seen by","Sessional Staff"),0)</f>
        <v>19</v>
      </c>
    </row>
    <row r="946" spans="1:2" x14ac:dyDescent="0.25">
      <c r="A946" s="53" t="s">
        <v>264</v>
      </c>
      <c r="B946" s="144">
        <f>SUM(B947:B952)</f>
        <v>0</v>
      </c>
    </row>
    <row r="947" spans="1:2" x14ac:dyDescent="0.25">
      <c r="A947" s="48" t="s">
        <v>115</v>
      </c>
      <c r="B947" s="139">
        <f>IFERROR(GETPIVOTDATA("Date",'Activity 1 Seen by'!$A$1,"Activity 1","Pilates","Seen by","Benefits Advisor"),0)+IFERROR(GETPIVOTDATA("Date",'Activity 2 Seen by'!$A$1,"Activity 2","Pilates","Seen by","Benefits Advisor"),0)+IFERROR(GETPIVOTDATA("Date",'Activity 3 Seen by'!$A$1,"Activity 3","Pilates","Seen by","Benefits Advisor"),0)</f>
        <v>0</v>
      </c>
    </row>
    <row r="948" spans="1:2" x14ac:dyDescent="0.25">
      <c r="A948" s="48" t="s">
        <v>112</v>
      </c>
      <c r="B948" s="139">
        <f>IFERROR(GETPIVOTDATA("Date",'Activity 1 Seen by'!$A$1,"Activity 1","Pilates","Seen by","Centre Head"),0)+IFERROR(GETPIVOTDATA("Date",'Activity 2 Seen by'!$A$1,"Activity 2","Pilates","Seen by","Centre Head"),0)+IFERROR(GETPIVOTDATA("Date",'Activity 3 Seen by'!$A$1,"Activity 3","Pilates","Seen by","Centre Head"),0)</f>
        <v>0</v>
      </c>
    </row>
    <row r="949" spans="1:2" x14ac:dyDescent="0.25">
      <c r="A949" s="48" t="s">
        <v>113</v>
      </c>
      <c r="B949" s="139">
        <f>IFERROR(GETPIVOTDATA("Date",'Activity 1 Seen by'!$A$1,"Activity 1","Pilates","Seen by","CSS"),0)+IFERROR(GETPIVOTDATA("Date",'Activity 2 Seen by'!$A$1,"Activity 2","Pilates","Seen by","CSS"),0)+IFERROR(GETPIVOTDATA("Date",'Activity 3 Seen by'!$A$1,"Activity 3","Pilates","Seen by","CSS"),0)</f>
        <v>0</v>
      </c>
    </row>
    <row r="950" spans="1:2" x14ac:dyDescent="0.25">
      <c r="A950" s="48" t="s">
        <v>205</v>
      </c>
      <c r="B950" s="139">
        <f>IFERROR(GETPIVOTDATA("Date",'Activity 1 Seen by'!$A$1,"Activity 1","Pilates","Seen by","Fundraiser"),0)+IFERROR(GETPIVOTDATA("Date",'Activity 2 Seen by'!$A$1,"Activity 2","Pilates","Seen by","Fundraiser"),0)+IFERROR(GETPIVOTDATA("Date",'Activity 3 Seen by'!$A$1,"Activity 3","Pilates","Seen by","Fundraiser"),0)</f>
        <v>0</v>
      </c>
    </row>
    <row r="951" spans="1:2" x14ac:dyDescent="0.25">
      <c r="A951" s="48" t="s">
        <v>114</v>
      </c>
      <c r="B951" s="139">
        <f>IFERROR(GETPIVOTDATA("Date",'Activity 1 Seen by'!$A$1,"Activity 1","Pilates","Seen by","Psychologist"),0)+IFERROR(GETPIVOTDATA("Date",'Activity 2 Seen by'!$A$1,"Activity 2","Pilates","Seen by","Psychologist"),0)+IFERROR(GETPIVOTDATA("Date",'Activity 3 Seen by'!$A$1,"Activity 3","Pilates","Seen by","Psychologist"),0)</f>
        <v>0</v>
      </c>
    </row>
    <row r="952" spans="1:2" x14ac:dyDescent="0.25">
      <c r="A952" s="48" t="s">
        <v>116</v>
      </c>
      <c r="B952" s="139">
        <f>IFERROR(GETPIVOTDATA("Date",'Activity 1 Seen by'!$A$1,"Activity 1","Pilates","Seen by","Sessional Staff"),0)+IFERROR(GETPIVOTDATA("Date",'Activity 2 Seen by'!$A$1,"Activity 2","Pilates","Seen by","Sessional Staff"),0)+IFERROR(GETPIVOTDATA("Date",'Activity 3 Seen by'!$A$1,"Activity 3","Pilates","Seen by","Sessional Staff"),0)</f>
        <v>0</v>
      </c>
    </row>
    <row r="953" spans="1:2" x14ac:dyDescent="0.25">
      <c r="A953" s="53" t="s">
        <v>135</v>
      </c>
      <c r="B953" s="144">
        <f>SUM(B954:B959)</f>
        <v>0</v>
      </c>
    </row>
    <row r="954" spans="1:2" x14ac:dyDescent="0.25">
      <c r="A954" s="48" t="s">
        <v>115</v>
      </c>
      <c r="B954" s="139">
        <f>IFERROR(GETPIVOTDATA("Date",'Activity 1 Seen by'!$A$1,"Activity 1","Prosthesis","Seen by","Benefits Advisor"),0)+IFERROR(GETPIVOTDATA("Date",'Activity 2 Seen by'!$A$1,"Activity 2","Prosthesis","Seen by","Benefits Advisor"),0)+IFERROR(GETPIVOTDATA("Date",'Activity 3 Seen by'!$A$1,"Activity 3","Prosthesis","Seen by","Benefits Advisor"),0)</f>
        <v>0</v>
      </c>
    </row>
    <row r="955" spans="1:2" x14ac:dyDescent="0.25">
      <c r="A955" s="48" t="s">
        <v>112</v>
      </c>
      <c r="B955" s="139">
        <f>IFERROR(GETPIVOTDATA("Date",'Activity 1 Seen by'!$A$1,"Activity 1","Prosthesis","Seen by","Centre Head"),0)+IFERROR(GETPIVOTDATA("Date",'Activity 2 Seen by'!$A$1,"Activity 2","Prosthesis","Seen by","Centre Head"),0)+IFERROR(GETPIVOTDATA("Date",'Activity 3 Seen by'!$A$1,"Activity 3","Prosthesis","Seen by","Centre Head"),0)</f>
        <v>0</v>
      </c>
    </row>
    <row r="956" spans="1:2" x14ac:dyDescent="0.25">
      <c r="A956" s="48" t="s">
        <v>113</v>
      </c>
      <c r="B956" s="139">
        <f>IFERROR(GETPIVOTDATA("Date",'Activity 1 Seen by'!$A$1,"Activity 1","Prosthesis","Seen by","CSS"),0)+IFERROR(GETPIVOTDATA("Date",'Activity 2 Seen by'!$A$1,"Activity 2","Prosthesis","Seen by","CSS"),0)+IFERROR(GETPIVOTDATA("Date",'Activity 3 Seen by'!$A$1,"Activity 3","Prosthesis","Seen by","CSS"),0)</f>
        <v>0</v>
      </c>
    </row>
    <row r="957" spans="1:2" x14ac:dyDescent="0.25">
      <c r="A957" s="48" t="s">
        <v>205</v>
      </c>
      <c r="B957" s="139">
        <f>IFERROR(GETPIVOTDATA("Date",'Activity 1 Seen by'!$A$1,"Activity 1","Prosthesis","Seen by","Fundraiser"),0)+IFERROR(GETPIVOTDATA("Date",'Activity 2 Seen by'!$A$1,"Activity 2","Prosthesis","Seen by","Fundraiser"),0)+IFERROR(GETPIVOTDATA("Date",'Activity 3 Seen by'!$A$1,"Activity 3","Prosthesis","Seen by","Fundraiser"),0)</f>
        <v>0</v>
      </c>
    </row>
    <row r="958" spans="1:2" x14ac:dyDescent="0.25">
      <c r="A958" s="48" t="s">
        <v>114</v>
      </c>
      <c r="B958" s="139">
        <f>IFERROR(GETPIVOTDATA("Date",'Activity 1 Seen by'!$A$1,"Activity 1","Prosthesis","Seen by","Psychologist"),0)+IFERROR(GETPIVOTDATA("Date",'Activity 2 Seen by'!$A$1,"Activity 2","Prosthesis","Seen by","Psychologist"),0)+IFERROR(GETPIVOTDATA("Date",'Activity 3 Seen by'!$A$1,"Activity 3","Prosthesis","Seen by","Psychologist"),0)</f>
        <v>0</v>
      </c>
    </row>
    <row r="959" spans="1:2" x14ac:dyDescent="0.25">
      <c r="A959" s="48" t="s">
        <v>116</v>
      </c>
      <c r="B959" s="139">
        <f>IFERROR(GETPIVOTDATA("Date",'Activity 1 Seen by'!$A$1,"Activity 1","Prosthesis","Seen by","Sessional Staff"),0)+IFERROR(GETPIVOTDATA("Date",'Activity 2 Seen by'!$A$1,"Activity 2","Prosthesis","Seen by","Sessional Staff"),0)+IFERROR(GETPIVOTDATA("Date",'Activity 3 Seen by'!$A$1,"Activity 3","Prosthesis","Seen by","Sessional Staff"),0)</f>
        <v>0</v>
      </c>
    </row>
    <row r="960" spans="1:2" x14ac:dyDescent="0.25">
      <c r="A960" s="53" t="s">
        <v>104</v>
      </c>
      <c r="B960" s="144">
        <f>SUM(B961:B966)</f>
        <v>0</v>
      </c>
    </row>
    <row r="961" spans="1:2" x14ac:dyDescent="0.25">
      <c r="A961" s="48" t="s">
        <v>115</v>
      </c>
      <c r="B961" s="139">
        <f>IFERROR(GETPIVOTDATA("Date",'Activity 1 Seen by'!$A$1,"Activity 1","Scrapbooking","Seen by","Benefits Advisor"),0)+IFERROR(GETPIVOTDATA("Date",'Activity 2 Seen by'!$A$1,"Activity 2","Scrapbooking","Seen by","Benefits Advisor"),0)+IFERROR(GETPIVOTDATA("Date",'Activity 3 Seen by'!$A$1,"Activity 3","Scrapbooking","Seen by","Benefits Advisor"),0)</f>
        <v>0</v>
      </c>
    </row>
    <row r="962" spans="1:2" x14ac:dyDescent="0.25">
      <c r="A962" s="48" t="s">
        <v>112</v>
      </c>
      <c r="B962" s="139">
        <f>IFERROR(GETPIVOTDATA("Date",'Activity 1 Seen by'!$A$1,"Activity 1","Scrapbooking","Seen by","Centre Head"),0)+IFERROR(GETPIVOTDATA("Date",'Activity 2 Seen by'!$A$1,"Activity 2","Scrapbooking","Seen by","Centre Head"),0)+IFERROR(GETPIVOTDATA("Date",'Activity 3 Seen by'!$A$1,"Activity 3","Scrapbooking","Seen by","Centre Head"),0)</f>
        <v>0</v>
      </c>
    </row>
    <row r="963" spans="1:2" x14ac:dyDescent="0.25">
      <c r="A963" s="48" t="s">
        <v>113</v>
      </c>
      <c r="B963" s="139">
        <f>IFERROR(GETPIVOTDATA("Date",'Activity 1 Seen by'!$A$1,"Activity 1","Scrapbooking","Seen by","CSS"),0)+IFERROR(GETPIVOTDATA("Date",'Activity 2 Seen by'!$A$1,"Activity 2","Scrapbooking","Seen by","CSS"),0)+IFERROR(GETPIVOTDATA("Date",'Activity 3 Seen by'!$A$1,"Activity 3","Scrapbooking","Seen by","CSS"),0)</f>
        <v>0</v>
      </c>
    </row>
    <row r="964" spans="1:2" x14ac:dyDescent="0.25">
      <c r="A964" s="48" t="s">
        <v>205</v>
      </c>
      <c r="B964" s="139">
        <f>IFERROR(GETPIVOTDATA("Date",'Activity 1 Seen by'!$A$1,"Activity 1","Scrapbooking","Seen by","Fundraiser"),0)+IFERROR(GETPIVOTDATA("Date",'Activity 2 Seen by'!$A$1,"Activity 2","Scrapbooking","Seen by","Fundraiser"),0)+IFERROR(GETPIVOTDATA("Date",'Activity 3 Seen by'!$A$1,"Activity 3","Scrapbooking","Seen by","Fundraiser"),0)</f>
        <v>0</v>
      </c>
    </row>
    <row r="965" spans="1:2" x14ac:dyDescent="0.25">
      <c r="A965" s="48" t="s">
        <v>114</v>
      </c>
      <c r="B965" s="139">
        <f>IFERROR(GETPIVOTDATA("Date",'Activity 1 Seen by'!$A$1,"Activity 1","Scrapbooking","Seen by","Psychologist"),0)+IFERROR(GETPIVOTDATA("Date",'Activity 2 Seen by'!$A$1,"Activity 2","Scrapbooking","Seen by","Psychologist"),0)+IFERROR(GETPIVOTDATA("Date",'Activity 3 Seen by'!$A$1,"Activity 3","Scrapbooking","Seen by","Psychologist"),0)</f>
        <v>0</v>
      </c>
    </row>
    <row r="966" spans="1:2" x14ac:dyDescent="0.25">
      <c r="A966" s="48" t="s">
        <v>116</v>
      </c>
      <c r="B966" s="139">
        <f>IFERROR(GETPIVOTDATA("Date",'Activity 1 Seen by'!$A$1,"Activity 1","Scrapbooking","Seen by","Sessional Staff"),0)+IFERROR(GETPIVOTDATA("Date",'Activity 2 Seen by'!$A$1,"Activity 2","Scrapbooking","Seen by","Sessional Staff"),0)+IFERROR(GETPIVOTDATA("Date",'Activity 3 Seen by'!$A$1,"Activity 3","Scrapbooking","Seen by","Sessional Staff"),0)</f>
        <v>0</v>
      </c>
    </row>
    <row r="967" spans="1:2" x14ac:dyDescent="0.25">
      <c r="A967" s="53" t="s">
        <v>144</v>
      </c>
      <c r="B967" s="144">
        <f>SUM(B968:B973)</f>
        <v>14</v>
      </c>
    </row>
    <row r="968" spans="1:2" x14ac:dyDescent="0.25">
      <c r="A968" s="48" t="s">
        <v>115</v>
      </c>
      <c r="B968" s="139">
        <f>IFERROR(GETPIVOTDATA("Date",'Activity 1 Seen by'!$A$1,"Activity 1","Sleep","Seen by","Benefits Advisor"),0)+IFERROR(GETPIVOTDATA("Date",'Activity 2 Seen by'!$A$1,"Activity 2","Sleep","Seen by","Benefits Advisor"),0)+IFERROR(GETPIVOTDATA("Date",'Activity 3 Seen by'!$A$1,"Activity 3","Sleep","Seen by","Benefits Advisor"),0)</f>
        <v>0</v>
      </c>
    </row>
    <row r="969" spans="1:2" x14ac:dyDescent="0.25">
      <c r="A969" s="48" t="s">
        <v>112</v>
      </c>
      <c r="B969" s="139">
        <f>IFERROR(GETPIVOTDATA("Date",'Activity 1 Seen by'!$A$1,"Activity 1","Sleep","Seen by","Centre Head"),0)+IFERROR(GETPIVOTDATA("Date",'Activity 2 Seen by'!$A$1,"Activity 2","Sleep","Seen by","Centre Head"),0)+IFERROR(GETPIVOTDATA("Date",'Activity 3 Seen by'!$A$1,"Activity 3","Sleep","Seen by","Centre Head"),0)</f>
        <v>0</v>
      </c>
    </row>
    <row r="970" spans="1:2" x14ac:dyDescent="0.25">
      <c r="A970" s="48" t="s">
        <v>113</v>
      </c>
      <c r="B970" s="139">
        <f>IFERROR(GETPIVOTDATA("Date",'Activity 1 Seen by'!$A$1,"Activity 1","Sleep","Seen by","CSS"),0)+IFERROR(GETPIVOTDATA("Date",'Activity 2 Seen by'!$A$1,"Activity 2","Sleep","Seen by","CSS"),0)+IFERROR(GETPIVOTDATA("Date",'Activity 3 Seen by'!$A$1,"Activity 3","Sleep","Seen by","CSS"),0)</f>
        <v>0</v>
      </c>
    </row>
    <row r="971" spans="1:2" x14ac:dyDescent="0.25">
      <c r="A971" s="48" t="s">
        <v>205</v>
      </c>
      <c r="B971" s="139">
        <f>IFERROR(GETPIVOTDATA("Date",'Activity 1 Seen by'!$A$1,"Activity 1","Sleep","Seen by","Fundraiser"),0)+IFERROR(GETPIVOTDATA("Date",'Activity 2 Seen by'!$A$1,"Activity 2","Sleep","Seen by","Fundraiser"),0)+IFERROR(GETPIVOTDATA("Date",'Activity 3 Seen by'!$A$1,"Activity 3","Sleep","Seen by","Fundraiser"),0)</f>
        <v>0</v>
      </c>
    </row>
    <row r="972" spans="1:2" x14ac:dyDescent="0.25">
      <c r="A972" s="48" t="s">
        <v>114</v>
      </c>
      <c r="B972" s="139">
        <f>IFERROR(GETPIVOTDATA("Date",'Activity 1 Seen by'!$A$1,"Activity 1","Sleep","Seen by","Psychologist"),0)+IFERROR(GETPIVOTDATA("Date",'Activity 2 Seen by'!$A$1,"Activity 2","Sleep","Seen by","Psychologist"),0)+IFERROR(GETPIVOTDATA("Date",'Activity 3 Seen by'!$A$1,"Activity 3","Sleep","Seen by","Psychologist"),0)</f>
        <v>0</v>
      </c>
    </row>
    <row r="973" spans="1:2" x14ac:dyDescent="0.25">
      <c r="A973" s="48" t="s">
        <v>116</v>
      </c>
      <c r="B973" s="139">
        <f>IFERROR(GETPIVOTDATA("Date",'Activity 1 Seen by'!$A$1,"Activity 1","Sleep","Seen by","Sessional Staff"),0)+IFERROR(GETPIVOTDATA("Date",'Activity 2 Seen by'!$A$1,"Activity 2","Sleep","Seen by","Sessional Staff"),0)+IFERROR(GETPIVOTDATA("Date",'Activity 3 Seen by'!$A$1,"Activity 3","Sleep","Seen by","Sessional Staff"),0)</f>
        <v>14</v>
      </c>
    </row>
  </sheetData>
  <sortState ref="A468:A473">
    <sortCondition ref="A468"/>
  </sortState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"/>
  <sheetViews>
    <sheetView workbookViewId="0">
      <selection sqref="A1:N2"/>
    </sheetView>
  </sheetViews>
  <sheetFormatPr defaultRowHeight="12.75" x14ac:dyDescent="0.2"/>
  <cols>
    <col min="1" max="1" width="20" bestFit="1" customWidth="1"/>
    <col min="2" max="3" width="5.85546875" bestFit="1" customWidth="1"/>
    <col min="4" max="4" width="6" bestFit="1" customWidth="1"/>
    <col min="5" max="5" width="5.85546875" bestFit="1" customWidth="1"/>
    <col min="6" max="6" width="6.28515625" bestFit="1" customWidth="1"/>
    <col min="7" max="13" width="5.85546875" bestFit="1" customWidth="1"/>
    <col min="14" max="14" width="5.7109375" bestFit="1" customWidth="1"/>
  </cols>
  <sheetData>
    <row r="1" spans="1:14" x14ac:dyDescent="0.2">
      <c r="A1" s="171" t="s">
        <v>308</v>
      </c>
      <c r="B1" s="171"/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</row>
    <row r="2" spans="1:14" x14ac:dyDescent="0.2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</row>
    <row r="3" spans="1:14" x14ac:dyDescent="0.2"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</row>
    <row r="4" spans="1:14" ht="15" x14ac:dyDescent="0.25">
      <c r="A4" s="103" t="s">
        <v>115</v>
      </c>
      <c r="B4" s="151">
        <f>GETPIVOTDATA("Seen by",'Seen by'!$A$1,"Seen by","Benefits Advisor")</f>
        <v>35</v>
      </c>
      <c r="C4" s="155">
        <f>IF(ISERROR(B4),0,B4)</f>
        <v>35</v>
      </c>
      <c r="D4" s="152"/>
      <c r="E4" s="152"/>
      <c r="F4" s="152"/>
      <c r="G4" s="152"/>
      <c r="H4" s="152"/>
      <c r="I4" s="152"/>
      <c r="J4" s="152"/>
      <c r="K4" s="151"/>
      <c r="L4" s="151"/>
      <c r="M4" s="104"/>
      <c r="N4" s="104"/>
    </row>
    <row r="5" spans="1:14" ht="15" x14ac:dyDescent="0.25">
      <c r="A5" s="105" t="s">
        <v>110</v>
      </c>
      <c r="B5" s="153" t="e">
        <f>GETPIVOTDATA("Seen by",'Seen by'!$A$1,"Seen by","Benefits Advisor","Nature of Visit","")</f>
        <v>#REF!</v>
      </c>
      <c r="C5" s="153">
        <f>IF(ISERROR(B5),0,B5)</f>
        <v>0</v>
      </c>
      <c r="D5" s="153"/>
      <c r="E5" s="153"/>
      <c r="F5" s="153"/>
      <c r="G5" s="153"/>
      <c r="H5" s="153"/>
      <c r="I5" s="153"/>
      <c r="J5" s="153"/>
      <c r="K5" s="153"/>
      <c r="L5" s="153"/>
      <c r="M5" s="106"/>
      <c r="N5" s="106"/>
    </row>
    <row r="6" spans="1:14" ht="15" x14ac:dyDescent="0.25">
      <c r="A6" s="105" t="s">
        <v>17</v>
      </c>
      <c r="B6" s="153">
        <f>GETPIVOTDATA("Seen by",'Seen by'!$A$1,"Seen by","Benefits Advisor","Nature of Visit","Booked")</f>
        <v>10</v>
      </c>
      <c r="C6" s="153">
        <f t="shared" ref="C6:C11" si="0">IF(ISERROR(B6),0,B6)</f>
        <v>10</v>
      </c>
      <c r="D6" s="153"/>
      <c r="E6" s="153"/>
      <c r="F6" s="153"/>
      <c r="G6" s="153"/>
      <c r="H6" s="153"/>
      <c r="I6" s="153"/>
      <c r="J6" s="153"/>
      <c r="K6" s="153"/>
      <c r="L6" s="153"/>
      <c r="M6" s="106"/>
      <c r="N6" s="106"/>
    </row>
    <row r="7" spans="1:14" ht="15" x14ac:dyDescent="0.25">
      <c r="A7" s="105" t="s">
        <v>159</v>
      </c>
      <c r="B7" s="153">
        <f>GETPIVOTDATA("Seen by",'Seen by'!$A$1,"Seen by","Benefits Advisor","Nature of Visit","Drop-In")</f>
        <v>9</v>
      </c>
      <c r="C7" s="153">
        <f t="shared" si="0"/>
        <v>9</v>
      </c>
      <c r="D7" s="153"/>
      <c r="E7" s="153"/>
      <c r="F7" s="153"/>
      <c r="G7" s="153"/>
      <c r="H7" s="153"/>
      <c r="I7" s="153"/>
      <c r="J7" s="153"/>
      <c r="K7" s="153"/>
      <c r="L7" s="153"/>
      <c r="M7" s="106"/>
      <c r="N7" s="106"/>
    </row>
    <row r="8" spans="1:14" ht="15" x14ac:dyDescent="0.25">
      <c r="A8" s="105" t="s">
        <v>19</v>
      </c>
      <c r="B8" s="153">
        <f>GETPIVOTDATA("Seen by",'Seen by'!$A$1,"Seen by","Benefits Advisor","Nature of Visit","E-mail Support")</f>
        <v>1</v>
      </c>
      <c r="C8" s="153">
        <f t="shared" si="0"/>
        <v>1</v>
      </c>
      <c r="D8" s="153"/>
      <c r="E8" s="153"/>
      <c r="F8" s="153"/>
      <c r="G8" s="153"/>
      <c r="H8" s="153"/>
      <c r="I8" s="153"/>
      <c r="J8" s="153"/>
      <c r="K8" s="153"/>
      <c r="L8" s="153"/>
      <c r="M8" s="106"/>
      <c r="N8" s="106"/>
    </row>
    <row r="9" spans="1:14" ht="15" x14ac:dyDescent="0.25">
      <c r="A9" s="105" t="s">
        <v>7</v>
      </c>
      <c r="B9" s="153" t="e">
        <f>GETPIVOTDATA("Seen by",'Seen by'!$A$1,"Seen by","Benefits Advisor","Nature of Visit","Programme")</f>
        <v>#REF!</v>
      </c>
      <c r="C9" s="153">
        <f t="shared" si="0"/>
        <v>0</v>
      </c>
      <c r="D9" s="153"/>
      <c r="E9" s="153"/>
      <c r="F9" s="153"/>
      <c r="G9" s="153"/>
      <c r="H9" s="153"/>
      <c r="I9" s="153"/>
      <c r="J9" s="153"/>
      <c r="K9" s="153"/>
      <c r="L9" s="153"/>
      <c r="M9" s="106"/>
      <c r="N9" s="106"/>
    </row>
    <row r="10" spans="1:14" ht="15" x14ac:dyDescent="0.25">
      <c r="A10" s="105" t="s">
        <v>229</v>
      </c>
      <c r="B10" s="153" t="e">
        <f>GETPIVOTDATA("Seen by",'Seen by'!$A$1,"Seen by","Benefits Advisor","Nature of Visit","Outreach")</f>
        <v>#REF!</v>
      </c>
      <c r="C10" s="153">
        <f t="shared" si="0"/>
        <v>0</v>
      </c>
      <c r="D10" s="153"/>
      <c r="E10" s="153"/>
      <c r="F10" s="153"/>
      <c r="G10" s="153"/>
      <c r="H10" s="153"/>
      <c r="I10" s="153"/>
      <c r="J10" s="153"/>
      <c r="K10" s="153"/>
      <c r="L10" s="153"/>
      <c r="M10" s="106"/>
      <c r="N10" s="106"/>
    </row>
    <row r="11" spans="1:14" ht="15" x14ac:dyDescent="0.25">
      <c r="A11" s="105" t="s">
        <v>18</v>
      </c>
      <c r="B11" s="153">
        <f>GETPIVOTDATA("Seen by",'Seen by'!$A$1,"Seen by","Benefits Advisor","Nature of Visit","Telephone Support")</f>
        <v>15</v>
      </c>
      <c r="C11" s="153">
        <f t="shared" si="0"/>
        <v>15</v>
      </c>
      <c r="D11" s="153"/>
      <c r="E11" s="153"/>
      <c r="F11" s="153"/>
      <c r="G11" s="153"/>
      <c r="H11" s="153"/>
      <c r="I11" s="153"/>
      <c r="J11" s="153"/>
      <c r="K11" s="153"/>
      <c r="L11" s="153"/>
      <c r="M11" s="106"/>
      <c r="N11" s="106"/>
    </row>
    <row r="12" spans="1:14" ht="15" x14ac:dyDescent="0.25">
      <c r="A12" s="103" t="s">
        <v>112</v>
      </c>
      <c r="B12" s="151">
        <f>GETPIVOTDATA("Seen by",'Seen by'!$A$1,"Seen by","Centre Head")</f>
        <v>618</v>
      </c>
      <c r="C12" s="155">
        <f>IF(ISERROR(B12),0,B12)</f>
        <v>618</v>
      </c>
      <c r="D12" s="151"/>
      <c r="E12" s="151"/>
      <c r="F12" s="151"/>
      <c r="G12" s="151"/>
      <c r="H12" s="151"/>
      <c r="I12" s="151"/>
      <c r="J12" s="151"/>
      <c r="K12" s="151"/>
      <c r="L12" s="151"/>
      <c r="M12" s="104"/>
      <c r="N12" s="104"/>
    </row>
    <row r="13" spans="1:14" ht="15" x14ac:dyDescent="0.25">
      <c r="A13" s="105" t="s">
        <v>110</v>
      </c>
      <c r="B13" s="153">
        <f>GETPIVOTDATA("Seen by",'Seen by'!$A$1,"Seen by","Centre Head","Nature of Visit","")</f>
        <v>80</v>
      </c>
      <c r="C13" s="153">
        <f t="shared" ref="C13:C19" si="1">IF(ISERROR(B13),0,B13)</f>
        <v>80</v>
      </c>
      <c r="D13" s="153"/>
      <c r="E13" s="153"/>
      <c r="F13" s="153"/>
      <c r="G13" s="153"/>
      <c r="H13" s="153"/>
      <c r="I13" s="153"/>
      <c r="J13" s="153"/>
      <c r="K13" s="153"/>
      <c r="L13" s="153"/>
      <c r="M13" s="106"/>
      <c r="N13" s="106"/>
    </row>
    <row r="14" spans="1:14" ht="15" x14ac:dyDescent="0.25">
      <c r="A14" s="105" t="s">
        <v>17</v>
      </c>
      <c r="B14" s="153">
        <f>GETPIVOTDATA("Seen by",'Seen by'!$A$1,"Seen by","Centre Head","Nature of Visit","Booked")</f>
        <v>124</v>
      </c>
      <c r="C14" s="153">
        <f t="shared" si="1"/>
        <v>124</v>
      </c>
      <c r="D14" s="153"/>
      <c r="E14" s="153"/>
      <c r="F14" s="153"/>
      <c r="G14" s="153"/>
      <c r="H14" s="153"/>
      <c r="I14" s="153"/>
      <c r="J14" s="153"/>
      <c r="K14" s="153"/>
      <c r="L14" s="153"/>
      <c r="M14" s="106"/>
      <c r="N14" s="106"/>
    </row>
    <row r="15" spans="1:14" ht="15" x14ac:dyDescent="0.25">
      <c r="A15" s="105" t="s">
        <v>159</v>
      </c>
      <c r="B15" s="153">
        <f>GETPIVOTDATA("Seen by",'Seen by'!$A$1,"Seen by","Centre Head","Nature of Visit","Drop-In")</f>
        <v>227</v>
      </c>
      <c r="C15" s="153">
        <f t="shared" si="1"/>
        <v>227</v>
      </c>
      <c r="D15" s="153"/>
      <c r="E15" s="153"/>
      <c r="F15" s="153"/>
      <c r="G15" s="153"/>
      <c r="H15" s="153"/>
      <c r="I15" s="153"/>
      <c r="J15" s="153"/>
      <c r="K15" s="153"/>
      <c r="L15" s="153"/>
      <c r="M15" s="106"/>
      <c r="N15" s="106"/>
    </row>
    <row r="16" spans="1:14" ht="15" x14ac:dyDescent="0.25">
      <c r="A16" s="105" t="s">
        <v>19</v>
      </c>
      <c r="B16" s="153" t="e">
        <f>GETPIVOTDATA("Seen by",'Seen by'!$A$1,"Seen by","Centre Head","Nature of Visit","E-mail Support")</f>
        <v>#REF!</v>
      </c>
      <c r="C16" s="153">
        <f t="shared" si="1"/>
        <v>0</v>
      </c>
      <c r="D16" s="153"/>
      <c r="E16" s="153"/>
      <c r="F16" s="153"/>
      <c r="G16" s="153"/>
      <c r="H16" s="153"/>
      <c r="I16" s="153"/>
      <c r="J16" s="153"/>
      <c r="K16" s="153"/>
      <c r="L16" s="153"/>
      <c r="M16" s="106"/>
      <c r="N16" s="106"/>
    </row>
    <row r="17" spans="1:14" ht="15" x14ac:dyDescent="0.25">
      <c r="A17" s="105" t="s">
        <v>7</v>
      </c>
      <c r="B17" s="153">
        <f>GETPIVOTDATA("Seen by",'Seen by'!$A$1,"Seen by","Centre Head","Nature of Visit","Programme")</f>
        <v>187</v>
      </c>
      <c r="C17" s="153">
        <f t="shared" si="1"/>
        <v>187</v>
      </c>
      <c r="D17" s="153"/>
      <c r="E17" s="153"/>
      <c r="F17" s="153"/>
      <c r="G17" s="153"/>
      <c r="H17" s="153"/>
      <c r="I17" s="153"/>
      <c r="J17" s="153"/>
      <c r="K17" s="153"/>
      <c r="L17" s="153"/>
      <c r="M17" s="106"/>
      <c r="N17" s="106"/>
    </row>
    <row r="18" spans="1:14" ht="15" x14ac:dyDescent="0.25">
      <c r="A18" s="105" t="s">
        <v>229</v>
      </c>
      <c r="B18" s="153" t="e">
        <f>GETPIVOTDATA("Seen by",'Seen by'!$A$1,"Seen by","Centre Head","Nature of Visit","Outreach")</f>
        <v>#REF!</v>
      </c>
      <c r="C18" s="153">
        <f t="shared" si="1"/>
        <v>0</v>
      </c>
      <c r="D18" s="153"/>
      <c r="E18" s="153"/>
      <c r="F18" s="153"/>
      <c r="G18" s="153"/>
      <c r="H18" s="153"/>
      <c r="I18" s="153"/>
      <c r="J18" s="153"/>
      <c r="K18" s="153"/>
      <c r="L18" s="153"/>
      <c r="M18" s="106"/>
      <c r="N18" s="106"/>
    </row>
    <row r="19" spans="1:14" ht="15" x14ac:dyDescent="0.25">
      <c r="A19" s="105" t="s">
        <v>18</v>
      </c>
      <c r="B19" s="153" t="e">
        <f>GETPIVOTDATA("Seen by",'Seen by'!$A$1,"Seen by","Centre Head","Nature of Visit","Telephone Support")</f>
        <v>#REF!</v>
      </c>
      <c r="C19" s="153">
        <f t="shared" si="1"/>
        <v>0</v>
      </c>
      <c r="D19" s="153"/>
      <c r="E19" s="153"/>
      <c r="F19" s="153"/>
      <c r="G19" s="153"/>
      <c r="H19" s="153"/>
      <c r="I19" s="153"/>
      <c r="J19" s="153"/>
      <c r="K19" s="153"/>
      <c r="L19" s="153"/>
      <c r="M19" s="106"/>
      <c r="N19" s="106"/>
    </row>
    <row r="20" spans="1:14" ht="15" x14ac:dyDescent="0.25">
      <c r="A20" s="103" t="s">
        <v>114</v>
      </c>
      <c r="B20" s="151">
        <f>GETPIVOTDATA("Seen by",'Seen by'!$A$1,"Seen by","Psychologist")</f>
        <v>272</v>
      </c>
      <c r="C20" s="155">
        <f>IF(ISERROR(B20),0,B20)</f>
        <v>272</v>
      </c>
      <c r="D20" s="151"/>
      <c r="E20" s="151"/>
      <c r="F20" s="151"/>
      <c r="G20" s="151"/>
      <c r="H20" s="151"/>
      <c r="I20" s="151"/>
      <c r="J20" s="151"/>
      <c r="K20" s="151"/>
      <c r="L20" s="151"/>
      <c r="M20" s="104"/>
      <c r="N20" s="104"/>
    </row>
    <row r="21" spans="1:14" ht="15" x14ac:dyDescent="0.25">
      <c r="A21" s="105" t="s">
        <v>110</v>
      </c>
      <c r="B21" s="153" t="e">
        <f>GETPIVOTDATA("Seen by",'Seen by'!$A$1,"Seen by","Psychologist","Nature of Visit","")</f>
        <v>#REF!</v>
      </c>
      <c r="C21" s="153">
        <f t="shared" ref="C21:C27" si="2">IF(ISERROR(B21),0,B21)</f>
        <v>0</v>
      </c>
      <c r="D21" s="153"/>
      <c r="E21" s="153"/>
      <c r="F21" s="153"/>
      <c r="G21" s="153"/>
      <c r="H21" s="153"/>
      <c r="I21" s="153"/>
      <c r="J21" s="153"/>
      <c r="K21" s="153"/>
      <c r="L21" s="153"/>
      <c r="M21" s="106"/>
      <c r="N21" s="106"/>
    </row>
    <row r="22" spans="1:14" ht="15" x14ac:dyDescent="0.25">
      <c r="A22" s="105" t="s">
        <v>17</v>
      </c>
      <c r="B22" s="153">
        <f>GETPIVOTDATA("Seen by",'Seen by'!$A$1,"Seen by","Psychologist","Nature of Visit","Booked")</f>
        <v>128</v>
      </c>
      <c r="C22" s="153">
        <f t="shared" si="2"/>
        <v>128</v>
      </c>
      <c r="D22" s="153"/>
      <c r="E22" s="153"/>
      <c r="F22" s="153"/>
      <c r="G22" s="153"/>
      <c r="H22" s="153"/>
      <c r="I22" s="153"/>
      <c r="J22" s="153"/>
      <c r="K22" s="153"/>
      <c r="L22" s="153"/>
      <c r="M22" s="106"/>
      <c r="N22" s="106"/>
    </row>
    <row r="23" spans="1:14" ht="15" x14ac:dyDescent="0.25">
      <c r="A23" s="105" t="s">
        <v>159</v>
      </c>
      <c r="B23" s="153">
        <f>GETPIVOTDATA("Seen by",'Seen by'!$A$1,"Seen by","Psychologist","Nature of Visit","Drop-In")</f>
        <v>7</v>
      </c>
      <c r="C23" s="153">
        <f t="shared" si="2"/>
        <v>7</v>
      </c>
      <c r="D23" s="153"/>
      <c r="E23" s="153"/>
      <c r="F23" s="153"/>
      <c r="G23" s="153"/>
      <c r="H23" s="153"/>
      <c r="I23" s="153"/>
      <c r="J23" s="153"/>
      <c r="K23" s="153"/>
      <c r="L23" s="153"/>
      <c r="M23" s="106"/>
      <c r="N23" s="106"/>
    </row>
    <row r="24" spans="1:14" ht="15" x14ac:dyDescent="0.25">
      <c r="A24" s="105" t="s">
        <v>19</v>
      </c>
      <c r="B24" s="153" t="e">
        <f>GETPIVOTDATA("Seen by",'Seen by'!$A$1,"Seen by","Psychologist","Nature of Visit","E-mail Support")</f>
        <v>#REF!</v>
      </c>
      <c r="C24" s="153">
        <f t="shared" si="2"/>
        <v>0</v>
      </c>
      <c r="D24" s="153"/>
      <c r="E24" s="153"/>
      <c r="F24" s="153"/>
      <c r="G24" s="153"/>
      <c r="H24" s="153"/>
      <c r="I24" s="153"/>
      <c r="J24" s="153"/>
      <c r="K24" s="153"/>
      <c r="L24" s="153"/>
      <c r="M24" s="106"/>
      <c r="N24" s="106"/>
    </row>
    <row r="25" spans="1:14" ht="15" x14ac:dyDescent="0.25">
      <c r="A25" s="105" t="s">
        <v>7</v>
      </c>
      <c r="B25" s="153">
        <f>GETPIVOTDATA("Seen by",'Seen by'!$A$1,"Seen by","Psychologist","Nature of Visit","Programme")</f>
        <v>137</v>
      </c>
      <c r="C25" s="153">
        <f t="shared" si="2"/>
        <v>137</v>
      </c>
      <c r="D25" s="153"/>
      <c r="E25" s="153"/>
      <c r="F25" s="153"/>
      <c r="G25" s="153"/>
      <c r="H25" s="153"/>
      <c r="I25" s="153"/>
      <c r="J25" s="153"/>
      <c r="K25" s="153"/>
      <c r="L25" s="153"/>
      <c r="M25" s="106"/>
      <c r="N25" s="106"/>
    </row>
    <row r="26" spans="1:14" ht="15" x14ac:dyDescent="0.25">
      <c r="A26" s="105" t="s">
        <v>229</v>
      </c>
      <c r="B26" s="153" t="e">
        <f>GETPIVOTDATA("Seen by",'Seen by'!$A$1,"Seen by","Psychologist","Nature of Visit","Outreach")</f>
        <v>#REF!</v>
      </c>
      <c r="C26" s="153">
        <f t="shared" si="2"/>
        <v>0</v>
      </c>
      <c r="D26" s="153"/>
      <c r="E26" s="153"/>
      <c r="F26" s="153"/>
      <c r="G26" s="153"/>
      <c r="H26" s="153"/>
      <c r="I26" s="153"/>
      <c r="J26" s="153"/>
      <c r="K26" s="153"/>
      <c r="L26" s="153"/>
      <c r="M26" s="106"/>
      <c r="N26" s="106"/>
    </row>
    <row r="27" spans="1:14" ht="15" x14ac:dyDescent="0.25">
      <c r="A27" s="105" t="s">
        <v>18</v>
      </c>
      <c r="B27" s="153" t="e">
        <f>GETPIVOTDATA("Seen by",'Seen by'!$A$1,"Seen by","Psychologist","Nature of Visit","Telephone Support")</f>
        <v>#REF!</v>
      </c>
      <c r="C27" s="153">
        <f t="shared" si="2"/>
        <v>0</v>
      </c>
      <c r="D27" s="153"/>
      <c r="E27" s="153"/>
      <c r="F27" s="153"/>
      <c r="G27" s="153"/>
      <c r="H27" s="153"/>
      <c r="I27" s="153"/>
      <c r="J27" s="153"/>
      <c r="K27" s="153"/>
      <c r="L27" s="153"/>
      <c r="M27" s="106"/>
      <c r="N27" s="106"/>
    </row>
    <row r="28" spans="1:14" ht="15" x14ac:dyDescent="0.25">
      <c r="A28" s="103" t="s">
        <v>113</v>
      </c>
      <c r="B28" s="151">
        <f>GETPIVOTDATA("Seen by",'Seen by'!$A$1,"Seen by","CSS")</f>
        <v>681</v>
      </c>
      <c r="C28" s="155">
        <f>IF(ISERROR(B28),0,B28)</f>
        <v>681</v>
      </c>
      <c r="D28" s="151"/>
      <c r="E28" s="151"/>
      <c r="F28" s="151"/>
      <c r="G28" s="151"/>
      <c r="H28" s="151"/>
      <c r="I28" s="151"/>
      <c r="J28" s="151"/>
      <c r="K28" s="151"/>
      <c r="L28" s="151"/>
      <c r="M28" s="104"/>
      <c r="N28" s="104"/>
    </row>
    <row r="29" spans="1:14" ht="15" x14ac:dyDescent="0.25">
      <c r="A29" s="105" t="s">
        <v>110</v>
      </c>
      <c r="B29" s="153">
        <f>GETPIVOTDATA("Seen by",'Seen by'!$A$1,"Seen by","CSS","Nature of Visit","")</f>
        <v>26</v>
      </c>
      <c r="C29" s="153">
        <f t="shared" ref="C29:C35" si="3">IF(ISERROR(B29),0,B29)</f>
        <v>26</v>
      </c>
      <c r="D29" s="153"/>
      <c r="E29" s="153"/>
      <c r="F29" s="153"/>
      <c r="G29" s="153"/>
      <c r="H29" s="153"/>
      <c r="I29" s="153"/>
      <c r="J29" s="153"/>
      <c r="K29" s="153"/>
      <c r="L29" s="153"/>
      <c r="M29" s="106"/>
      <c r="N29" s="106"/>
    </row>
    <row r="30" spans="1:14" ht="15" x14ac:dyDescent="0.25">
      <c r="A30" s="105" t="s">
        <v>17</v>
      </c>
      <c r="B30" s="153">
        <f>GETPIVOTDATA("Seen by",'Seen by'!$A$1,"Seen by","CSS","Nature of Visit","Booked")</f>
        <v>128</v>
      </c>
      <c r="C30" s="153">
        <f t="shared" si="3"/>
        <v>128</v>
      </c>
      <c r="D30" s="153"/>
      <c r="E30" s="153"/>
      <c r="F30" s="153"/>
      <c r="G30" s="153"/>
      <c r="H30" s="153"/>
      <c r="I30" s="153"/>
      <c r="J30" s="153"/>
      <c r="K30" s="153"/>
      <c r="L30" s="153"/>
      <c r="M30" s="106"/>
      <c r="N30" s="106"/>
    </row>
    <row r="31" spans="1:14" ht="15" x14ac:dyDescent="0.25">
      <c r="A31" s="105" t="s">
        <v>159</v>
      </c>
      <c r="B31" s="153">
        <f>GETPIVOTDATA("Seen by",'Seen by'!$A$1,"Seen by","CSS","Nature of Visit","Drop-In")</f>
        <v>294</v>
      </c>
      <c r="C31" s="153">
        <f t="shared" si="3"/>
        <v>294</v>
      </c>
      <c r="D31" s="153"/>
      <c r="E31" s="153"/>
      <c r="F31" s="153"/>
      <c r="G31" s="153"/>
      <c r="H31" s="153"/>
      <c r="I31" s="153"/>
      <c r="J31" s="153"/>
      <c r="K31" s="153"/>
      <c r="L31" s="153"/>
      <c r="M31" s="106"/>
      <c r="N31" s="106"/>
    </row>
    <row r="32" spans="1:14" ht="15" x14ac:dyDescent="0.25">
      <c r="A32" s="105" t="s">
        <v>19</v>
      </c>
      <c r="B32" s="153" t="e">
        <f>GETPIVOTDATA("Seen by",'Seen by'!$A$1,"Seen by","CSS","Nature of Visit","E-mail Support")</f>
        <v>#REF!</v>
      </c>
      <c r="C32" s="153">
        <f t="shared" si="3"/>
        <v>0</v>
      </c>
      <c r="D32" s="153"/>
      <c r="E32" s="153"/>
      <c r="F32" s="153"/>
      <c r="G32" s="153"/>
      <c r="H32" s="153"/>
      <c r="I32" s="153"/>
      <c r="J32" s="153"/>
      <c r="K32" s="153"/>
      <c r="L32" s="153"/>
      <c r="M32" s="106"/>
      <c r="N32" s="106"/>
    </row>
    <row r="33" spans="1:14" ht="15" x14ac:dyDescent="0.25">
      <c r="A33" s="105" t="s">
        <v>7</v>
      </c>
      <c r="B33" s="153">
        <f>GETPIVOTDATA("Seen by",'Seen by'!$A$1,"Seen by","CSS","Nature of Visit","Programme")</f>
        <v>182</v>
      </c>
      <c r="C33" s="153">
        <f t="shared" si="3"/>
        <v>182</v>
      </c>
      <c r="D33" s="153"/>
      <c r="E33" s="153"/>
      <c r="F33" s="153"/>
      <c r="G33" s="153"/>
      <c r="H33" s="153"/>
      <c r="I33" s="153"/>
      <c r="J33" s="153"/>
      <c r="K33" s="153"/>
      <c r="L33" s="153"/>
      <c r="M33" s="106"/>
      <c r="N33" s="106"/>
    </row>
    <row r="34" spans="1:14" ht="15" x14ac:dyDescent="0.25">
      <c r="A34" s="105" t="s">
        <v>229</v>
      </c>
      <c r="B34" s="153">
        <f>GETPIVOTDATA("Seen by",'Seen by'!$A$1,"Seen by","CSS","Nature of Visit","Outreach")</f>
        <v>40</v>
      </c>
      <c r="C34" s="153">
        <f t="shared" si="3"/>
        <v>40</v>
      </c>
      <c r="D34" s="153"/>
      <c r="E34" s="153"/>
      <c r="F34" s="153"/>
      <c r="G34" s="153"/>
      <c r="H34" s="153"/>
      <c r="I34" s="153"/>
      <c r="J34" s="153"/>
      <c r="K34" s="153"/>
      <c r="L34" s="153"/>
      <c r="M34" s="106"/>
      <c r="N34" s="106"/>
    </row>
    <row r="35" spans="1:14" ht="15" x14ac:dyDescent="0.25">
      <c r="A35" s="105" t="s">
        <v>18</v>
      </c>
      <c r="B35" s="153">
        <f>GETPIVOTDATA("Seen by",'Seen by'!$A$1,"Seen by","CSS","Nature of Visit","Telephone Support")</f>
        <v>11</v>
      </c>
      <c r="C35" s="153">
        <f t="shared" si="3"/>
        <v>11</v>
      </c>
      <c r="D35" s="153"/>
      <c r="E35" s="153"/>
      <c r="F35" s="153"/>
      <c r="G35" s="153"/>
      <c r="H35" s="153"/>
      <c r="I35" s="153"/>
      <c r="J35" s="153"/>
      <c r="K35" s="153"/>
      <c r="L35" s="153"/>
      <c r="M35" s="106"/>
      <c r="N35" s="106"/>
    </row>
    <row r="36" spans="1:14" ht="15" x14ac:dyDescent="0.25">
      <c r="A36" s="103" t="s">
        <v>116</v>
      </c>
      <c r="B36" s="151">
        <f>GETPIVOTDATA("Seen by",'Seen by'!$A$1,"Seen by","Sessional Staff")</f>
        <v>170</v>
      </c>
      <c r="C36" s="155">
        <f>IF(ISERROR(B36),0,B36)</f>
        <v>170</v>
      </c>
      <c r="D36" s="151"/>
      <c r="E36" s="151"/>
      <c r="F36" s="151"/>
      <c r="G36" s="151"/>
      <c r="H36" s="151"/>
      <c r="I36" s="151"/>
      <c r="J36" s="151"/>
      <c r="K36" s="151"/>
      <c r="L36" s="151"/>
      <c r="M36" s="104"/>
      <c r="N36" s="104"/>
    </row>
    <row r="37" spans="1:14" ht="15" x14ac:dyDescent="0.25">
      <c r="A37" s="105" t="s">
        <v>110</v>
      </c>
      <c r="B37" s="153" t="e">
        <f>GETPIVOTDATA("Seen by",'Seen by'!$A$1,"Seen by","Sessional Staff","Nature of Visit","")</f>
        <v>#REF!</v>
      </c>
      <c r="C37" s="153">
        <f t="shared" ref="C37:C43" si="4">IF(ISERROR(B37),0,B37)</f>
        <v>0</v>
      </c>
      <c r="D37" s="153"/>
      <c r="E37" s="153"/>
      <c r="F37" s="153"/>
      <c r="G37" s="153"/>
      <c r="H37" s="153"/>
      <c r="I37" s="153"/>
      <c r="J37" s="153"/>
      <c r="K37" s="153"/>
      <c r="L37" s="153"/>
      <c r="M37" s="106"/>
      <c r="N37" s="106"/>
    </row>
    <row r="38" spans="1:14" ht="15" x14ac:dyDescent="0.25">
      <c r="A38" s="105" t="s">
        <v>17</v>
      </c>
      <c r="B38" s="153" t="e">
        <f>GETPIVOTDATA("Seen by",'Seen by'!$A$1,"Seen by","Sessional Staff","Nature of Visit","Booked")</f>
        <v>#REF!</v>
      </c>
      <c r="C38" s="153">
        <f t="shared" si="4"/>
        <v>0</v>
      </c>
      <c r="D38" s="153"/>
      <c r="E38" s="153"/>
      <c r="F38" s="153"/>
      <c r="G38" s="153"/>
      <c r="H38" s="153"/>
      <c r="I38" s="153"/>
      <c r="J38" s="153"/>
      <c r="K38" s="153"/>
      <c r="L38" s="153"/>
      <c r="M38" s="106"/>
      <c r="N38" s="106"/>
    </row>
    <row r="39" spans="1:14" ht="15" x14ac:dyDescent="0.25">
      <c r="A39" s="105" t="s">
        <v>159</v>
      </c>
      <c r="B39" s="153" t="e">
        <f>GETPIVOTDATA("Seen by",'Seen by'!$A$1,"Seen by","Sessional Staff","Nature of Visit","Drop-In")</f>
        <v>#REF!</v>
      </c>
      <c r="C39" s="153">
        <f t="shared" si="4"/>
        <v>0</v>
      </c>
      <c r="D39" s="153"/>
      <c r="E39" s="153"/>
      <c r="F39" s="153"/>
      <c r="G39" s="153"/>
      <c r="H39" s="153"/>
      <c r="I39" s="153"/>
      <c r="J39" s="153"/>
      <c r="K39" s="153"/>
      <c r="L39" s="153"/>
      <c r="M39" s="106"/>
      <c r="N39" s="106"/>
    </row>
    <row r="40" spans="1:14" ht="15" x14ac:dyDescent="0.25">
      <c r="A40" s="105" t="s">
        <v>19</v>
      </c>
      <c r="B40" s="153" t="e">
        <f>GETPIVOTDATA("Seen by",'Seen by'!$A$1,"Seen by","Sessional Staff","Nature of Visit","E-mail Support")</f>
        <v>#REF!</v>
      </c>
      <c r="C40" s="153">
        <f t="shared" si="4"/>
        <v>0</v>
      </c>
      <c r="D40" s="153"/>
      <c r="E40" s="153"/>
      <c r="F40" s="153"/>
      <c r="G40" s="153"/>
      <c r="H40" s="153"/>
      <c r="I40" s="153"/>
      <c r="J40" s="153"/>
      <c r="K40" s="153"/>
      <c r="L40" s="153"/>
      <c r="M40" s="106"/>
      <c r="N40" s="106"/>
    </row>
    <row r="41" spans="1:14" ht="15" x14ac:dyDescent="0.25">
      <c r="A41" s="105" t="s">
        <v>7</v>
      </c>
      <c r="B41" s="153">
        <f>GETPIVOTDATA("Seen by",'Seen by'!$A$1,"Seen by","Sessional Staff","Nature of Visit","Programme")</f>
        <v>170</v>
      </c>
      <c r="C41" s="153">
        <f t="shared" si="4"/>
        <v>170</v>
      </c>
      <c r="D41" s="153"/>
      <c r="E41" s="153"/>
      <c r="F41" s="153"/>
      <c r="G41" s="153"/>
      <c r="H41" s="153"/>
      <c r="I41" s="153"/>
      <c r="J41" s="153"/>
      <c r="K41" s="153"/>
      <c r="L41" s="153"/>
      <c r="M41" s="106"/>
      <c r="N41" s="106"/>
    </row>
    <row r="42" spans="1:14" ht="15" x14ac:dyDescent="0.25">
      <c r="A42" s="105" t="s">
        <v>229</v>
      </c>
      <c r="B42" s="153" t="e">
        <f>GETPIVOTDATA("Seen by",'Seen by'!$A$1,"Seen by","Sessional Staff","Nature of Visit","Outreach")</f>
        <v>#REF!</v>
      </c>
      <c r="C42" s="153">
        <f t="shared" si="4"/>
        <v>0</v>
      </c>
      <c r="D42" s="153"/>
      <c r="E42" s="153"/>
      <c r="F42" s="153"/>
      <c r="G42" s="153"/>
      <c r="H42" s="153"/>
      <c r="I42" s="153"/>
      <c r="J42" s="153"/>
      <c r="K42" s="153"/>
      <c r="L42" s="153"/>
      <c r="M42" s="106"/>
      <c r="N42" s="106"/>
    </row>
    <row r="43" spans="1:14" ht="15" x14ac:dyDescent="0.25">
      <c r="A43" s="105" t="s">
        <v>18</v>
      </c>
      <c r="B43" s="153" t="e">
        <f>GETPIVOTDATA("Seen by",'Seen by'!$A$1,"Seen by","Sessional Staff","Nature of Visit","Telephone Support")</f>
        <v>#REF!</v>
      </c>
      <c r="C43" s="153">
        <f t="shared" si="4"/>
        <v>0</v>
      </c>
      <c r="D43" s="153"/>
      <c r="E43" s="153"/>
      <c r="F43" s="153"/>
      <c r="G43" s="153"/>
      <c r="H43" s="153"/>
      <c r="I43" s="153"/>
      <c r="J43" s="153"/>
      <c r="K43" s="153"/>
      <c r="L43" s="153"/>
      <c r="M43" s="106"/>
      <c r="N43" s="106"/>
    </row>
  </sheetData>
  <mergeCells count="1">
    <mergeCell ref="A1:N2"/>
  </mergeCells>
  <conditionalFormatting sqref="B5:B11 B13:B19 B21:B27 B29:B35 B37:B43 D37:N43 D29:N35 D21:N27 D13:N19 D5:N11">
    <cfRule type="containsErrors" dxfId="16" priority="22">
      <formula>ISERROR(B5)</formula>
    </cfRule>
  </conditionalFormatting>
  <conditionalFormatting sqref="D12:J12 D20:J20 D36:J36 D28:J28">
    <cfRule type="containsErrors" dxfId="15" priority="21">
      <formula>ISERROR(D12)</formula>
    </cfRule>
  </conditionalFormatting>
  <conditionalFormatting sqref="K12 K20 K36 K28">
    <cfRule type="containsErrors" dxfId="14" priority="20">
      <formula>ISERROR(K12)</formula>
    </cfRule>
  </conditionalFormatting>
  <conditionalFormatting sqref="L12 L20 L36 L28">
    <cfRule type="containsErrors" dxfId="13" priority="19">
      <formula>ISERROR(L12)</formula>
    </cfRule>
  </conditionalFormatting>
  <conditionalFormatting sqref="M36:N36 N4 M12:N12 M20:N20 M28:N28">
    <cfRule type="containsErrors" dxfId="12" priority="18">
      <formula>ISERROR(M4)</formula>
    </cfRule>
  </conditionalFormatting>
  <conditionalFormatting sqref="B4 D4:J4">
    <cfRule type="containsErrors" dxfId="11" priority="17">
      <formula>ISERROR(B4)</formula>
    </cfRule>
  </conditionalFormatting>
  <conditionalFormatting sqref="K4">
    <cfRule type="containsErrors" dxfId="10" priority="16">
      <formula>ISERROR(K4)</formula>
    </cfRule>
  </conditionalFormatting>
  <conditionalFormatting sqref="K4">
    <cfRule type="containsErrors" dxfId="9" priority="15">
      <formula>ISERROR(K4)</formula>
    </cfRule>
  </conditionalFormatting>
  <conditionalFormatting sqref="L4">
    <cfRule type="containsErrors" dxfId="8" priority="14">
      <formula>ISERROR(L4)</formula>
    </cfRule>
  </conditionalFormatting>
  <conditionalFormatting sqref="L4">
    <cfRule type="containsErrors" dxfId="7" priority="13">
      <formula>ISERROR(L4)</formula>
    </cfRule>
  </conditionalFormatting>
  <conditionalFormatting sqref="M4">
    <cfRule type="containsErrors" dxfId="6" priority="12">
      <formula>ISERROR(M4)</formula>
    </cfRule>
  </conditionalFormatting>
  <conditionalFormatting sqref="M4">
    <cfRule type="containsErrors" dxfId="5" priority="11">
      <formula>ISERROR(M4)</formula>
    </cfRule>
  </conditionalFormatting>
  <conditionalFormatting sqref="B12">
    <cfRule type="containsErrors" dxfId="4" priority="10">
      <formula>ISERROR(B12)</formula>
    </cfRule>
  </conditionalFormatting>
  <conditionalFormatting sqref="B20">
    <cfRule type="containsErrors" dxfId="3" priority="9">
      <formula>ISERROR(B20)</formula>
    </cfRule>
  </conditionalFormatting>
  <conditionalFormatting sqref="B28">
    <cfRule type="containsErrors" dxfId="2" priority="8">
      <formula>ISERROR(B28)</formula>
    </cfRule>
  </conditionalFormatting>
  <conditionalFormatting sqref="B36">
    <cfRule type="containsErrors" dxfId="1" priority="7">
      <formula>ISERROR(B36)</formula>
    </cfRule>
  </conditionalFormatting>
  <conditionalFormatting sqref="C5:C11 C13:C19 C21:C27 C29:C35 C37:C43">
    <cfRule type="containsErrors" dxfId="0" priority="1">
      <formula>ISERROR(C5)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9</vt:i4>
      </vt:variant>
    </vt:vector>
  </HeadingPairs>
  <TitlesOfParts>
    <vt:vector size="62" baseType="lpstr">
      <vt:lpstr>First</vt:lpstr>
      <vt:lpstr>Second</vt:lpstr>
      <vt:lpstr>Third</vt:lpstr>
      <vt:lpstr>Fourth</vt:lpstr>
      <vt:lpstr>Fifth</vt:lpstr>
      <vt:lpstr>Sixth</vt:lpstr>
      <vt:lpstr>Seventh</vt:lpstr>
      <vt:lpstr>Eighth</vt:lpstr>
      <vt:lpstr>Ninth</vt:lpstr>
      <vt:lpstr>Tenth</vt:lpstr>
      <vt:lpstr>Eleventh</vt:lpstr>
      <vt:lpstr>Twelfth</vt:lpstr>
      <vt:lpstr>Thirteenth</vt:lpstr>
      <vt:lpstr>Fourteenth</vt:lpstr>
      <vt:lpstr>Fifteenth</vt:lpstr>
      <vt:lpstr>Sixteenth</vt:lpstr>
      <vt:lpstr>Seventeenth</vt:lpstr>
      <vt:lpstr>Eighteenth</vt:lpstr>
      <vt:lpstr>Nineteenth</vt:lpstr>
      <vt:lpstr>Twentieth</vt:lpstr>
      <vt:lpstr>Twenty-First</vt:lpstr>
      <vt:lpstr>Twenty-Second</vt:lpstr>
      <vt:lpstr>Twenty-Third</vt:lpstr>
      <vt:lpstr>Twenty-Fourth</vt:lpstr>
      <vt:lpstr>Twenty-Fifth</vt:lpstr>
      <vt:lpstr>Twenty-Sixth</vt:lpstr>
      <vt:lpstr>Twenty-Seventh</vt:lpstr>
      <vt:lpstr>Twenty-Eighth</vt:lpstr>
      <vt:lpstr>Twenty-Ninth</vt:lpstr>
      <vt:lpstr>Thirtieth</vt:lpstr>
      <vt:lpstr>Thirty-First</vt:lpstr>
      <vt:lpstr>Do Not Touch</vt:lpstr>
      <vt:lpstr>Visitor Numbers</vt:lpstr>
      <vt:lpstr>Seen by</vt:lpstr>
      <vt:lpstr>New or Returning</vt:lpstr>
      <vt:lpstr>Gender</vt:lpstr>
      <vt:lpstr>Nature of Visit</vt:lpstr>
      <vt:lpstr>Cancer Site</vt:lpstr>
      <vt:lpstr>Journey Stage</vt:lpstr>
      <vt:lpstr>Cancer site vs Journey Stage</vt:lpstr>
      <vt:lpstr>Activity 1</vt:lpstr>
      <vt:lpstr>Activity 1 Gender</vt:lpstr>
      <vt:lpstr>Activity 1 Seen by</vt:lpstr>
      <vt:lpstr>Activity 2</vt:lpstr>
      <vt:lpstr>Activity 2 Gender</vt:lpstr>
      <vt:lpstr>Activity 2 Seen by</vt:lpstr>
      <vt:lpstr>Activity 3</vt:lpstr>
      <vt:lpstr>Activity 3 Gender</vt:lpstr>
      <vt:lpstr>Activity 3 Seen by</vt:lpstr>
      <vt:lpstr>Psychologist data</vt:lpstr>
      <vt:lpstr>Categories</vt:lpstr>
      <vt:lpstr>Summary</vt:lpstr>
      <vt:lpstr>ASG</vt:lpstr>
      <vt:lpstr>ValidCancerSite</vt:lpstr>
      <vt:lpstr>ValidGender</vt:lpstr>
      <vt:lpstr>ValidPerson</vt:lpstr>
      <vt:lpstr>ValidProgramme</vt:lpstr>
      <vt:lpstr>ValidReason</vt:lpstr>
      <vt:lpstr>ValidSeenby</vt:lpstr>
      <vt:lpstr>ValidSite</vt:lpstr>
      <vt:lpstr>ValidStage</vt:lpstr>
      <vt:lpstr>ValidType</vt:lpstr>
    </vt:vector>
  </TitlesOfParts>
  <Company>Wanstor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Reece;Roberts</dc:creator>
  <cp:lastModifiedBy>Tom Yates</cp:lastModifiedBy>
  <cp:lastPrinted>2010-11-09T11:48:17Z</cp:lastPrinted>
  <dcterms:created xsi:type="dcterms:W3CDTF">2008-10-20T09:06:57Z</dcterms:created>
  <dcterms:modified xsi:type="dcterms:W3CDTF">2016-11-02T16:19:04Z</dcterms:modified>
</cp:coreProperties>
</file>